
<file path=[Content_Types].xml><?xml version="1.0" encoding="utf-8"?>
<Types xmlns="http://schemas.openxmlformats.org/package/2006/content-types">
  <Default Extension="rels" ContentType="application/vnd.openxmlformats-package.relationship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Types>
</file>

<file path=_rels/.rels>&#65279;<?xml version="1.0" encoding="utf-8"?><Relationships xmlns="http://schemas.openxmlformats.org/package/2006/relationships"><Relationship Id="rId1" Type="http://schemas.openxmlformats.org/package/2006/relationships/metadata/core-properties" Target="docProps/core.xml" /><Relationship Id="rId2"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sheets>
    <sheet sheetId="1" name="Operations" state="visible" r:id="rId1"/>
  </sheets>
</workbook>
</file>

<file path=xl/sharedStrings.xml><?xml version="1.0" encoding="utf-8"?>
<sst xmlns="http://schemas.openxmlformats.org/spreadsheetml/2006/main" count="23917">
  <si>
    <t>Program</t>
  </si>
  <si>
    <t>Required</t>
  </si>
  <si>
    <t>USDA or Trade Partner Government Partner</t>
  </si>
  <si>
    <t>USDA-NOP</t>
  </si>
  <si>
    <t>Certifier Name</t>
  </si>
  <si>
    <t>More information about Accredited Certifying Agents can be found at https://www.ams.usda.gov/services/organic-certification/certifying-agents</t>
  </si>
  <si>
    <t>IBD Certifications</t>
  </si>
  <si>
    <t>NOFA-NY Certified Organic, LLC</t>
  </si>
  <si>
    <t>Midwest Organic Services Association, Inc.</t>
  </si>
  <si>
    <t>Nature’s International Certification Services</t>
  </si>
  <si>
    <t>OnMark Certification Services</t>
  </si>
  <si>
    <t>Minnesota Crop Improvement Association</t>
  </si>
  <si>
    <t>Pennsylvania Certified Organic</t>
  </si>
  <si>
    <t>Quality Certification Services</t>
  </si>
  <si>
    <t>Natural Food Certifiers</t>
  </si>
  <si>
    <t>Ohio Ecological Food and Farm Association</t>
  </si>
  <si>
    <t>Vermont Organic Farmers, LLC</t>
  </si>
  <si>
    <t>Iowa Department of Agriculture and Land Stewardship</t>
  </si>
  <si>
    <t>Baystate Organic Certifiers</t>
  </si>
  <si>
    <t>Ecocert SAS (formerly Ecocert SA)</t>
  </si>
  <si>
    <t>Quality Assurance International</t>
  </si>
  <si>
    <t>Oregon Tilth Certified Organic</t>
  </si>
  <si>
    <t>Control Union Certifications</t>
  </si>
  <si>
    <t>Organic Certifiers, Inc.</t>
  </si>
  <si>
    <t>Where Food Comes From Organic (formerly A Bee Organic)</t>
  </si>
  <si>
    <t>CCOF Certification Services, LLC</t>
  </si>
  <si>
    <t>Montana Department of Agriculture</t>
  </si>
  <si>
    <t>IMOcert Latinoamerica LTDA</t>
  </si>
  <si>
    <t>Organic Crop Improvement Association</t>
  </si>
  <si>
    <t>Global Organic Alliance, Inc</t>
  </si>
  <si>
    <t>Pro-Cert Organic Systems, Ltd.</t>
  </si>
  <si>
    <t>ACO Certification Ltd.</t>
  </si>
  <si>
    <t>Washington State Department of Agriculture</t>
  </si>
  <si>
    <t>Utah Department of Agriculture and Food</t>
  </si>
  <si>
    <t>Transitioning to New Certifier</t>
  </si>
  <si>
    <t>MOFGA Certification Services, LLC - MCS</t>
  </si>
  <si>
    <t>Texas Department of Agriculture</t>
  </si>
  <si>
    <t>Maryland Department of Agriculture</t>
  </si>
  <si>
    <t>Idaho State Department of Agriculture</t>
  </si>
  <si>
    <t>Kentucky Department of Agriculture</t>
  </si>
  <si>
    <t>Colorado Department of Agriculture</t>
  </si>
  <si>
    <t>BioAgriCert</t>
  </si>
  <si>
    <t>Oregon Department of Agriculture</t>
  </si>
  <si>
    <t>Organización Internacional Agropecuaria</t>
  </si>
  <si>
    <t>Primus Auditing Operations</t>
  </si>
  <si>
    <t>CERES CERtification of Environmental Standards GmbH</t>
  </si>
  <si>
    <t>SCS Global Services, Inc.</t>
  </si>
  <si>
    <t>OneCert, Inc.</t>
  </si>
  <si>
    <t>Certificadora Mexicana de Productos y Procesos Ecologicos SC</t>
  </si>
  <si>
    <t>CCPB Srl</t>
  </si>
  <si>
    <t>Istituto per la Certificazione Etica e Ambientale</t>
  </si>
  <si>
    <t>Certifier Website</t>
  </si>
  <si>
    <t>From Certifier Profile</t>
  </si>
  <si>
    <t>www.ibd.com.br</t>
  </si>
  <si>
    <t>www.nofany.org/organiccertification</t>
  </si>
  <si>
    <t>www.mosaorganic.org</t>
  </si>
  <si>
    <t>www.naturesinternational.com</t>
  </si>
  <si>
    <t>OnMarkcertification.com</t>
  </si>
  <si>
    <t>www.mciaorganic.org</t>
  </si>
  <si>
    <t>www.paorganic.org</t>
  </si>
  <si>
    <t>www.QCSinfo.org</t>
  </si>
  <si>
    <t>www.nfccertification.com</t>
  </si>
  <si>
    <t>www.oeffa.org</t>
  </si>
  <si>
    <t>www.vermontorganic.org</t>
  </si>
  <si>
    <t>www.iowaagriculture.gov/AgDiversification/organicCertification.asp</t>
  </si>
  <si>
    <t>www.baystateorganic.org</t>
  </si>
  <si>
    <t>www.ecocert.com</t>
  </si>
  <si>
    <t>www.qai-inc.com</t>
  </si>
  <si>
    <t>www.tilth.org</t>
  </si>
  <si>
    <t>certifications.controlunion.com/en</t>
  </si>
  <si>
    <t>www.organiccertifiers.com</t>
  </si>
  <si>
    <t>www.wfcforganic.com</t>
  </si>
  <si>
    <t>www.ccof.org</t>
  </si>
  <si>
    <t>www.agr.mt.gov/agr/Producer/Organic/</t>
  </si>
  <si>
    <t>www.imocert.bio</t>
  </si>
  <si>
    <t>www.ocia.org</t>
  </si>
  <si>
    <t>www.goa-online.org</t>
  </si>
  <si>
    <t>www.pro-cert.org</t>
  </si>
  <si>
    <t>www.aco.net.au</t>
  </si>
  <si>
    <t>https://agr.wa.gov/departments/organic</t>
  </si>
  <si>
    <t>www.ag.utah.gov/divisions/plant/organic/index.html</t>
  </si>
  <si>
    <t/>
  </si>
  <si>
    <t>www.mofgacertification.org</t>
  </si>
  <si>
    <t>www.texasagriculture.gov/RegulatoryPrograms/Organics.aspx</t>
  </si>
  <si>
    <t>www.mda.maryland.gov/foodfeedquality/Pages/certified_md_organic_farms.aspx</t>
  </si>
  <si>
    <t>www.agri.idaho.gov/Categories/PlantsInsects/Organic/indexOrganicHome.php</t>
  </si>
  <si>
    <t>https://www.kyagr.com/marketing/organic-marketing.html</t>
  </si>
  <si>
    <t>www.colorado.gov/pacific/agplants/organic</t>
  </si>
  <si>
    <t>www.bioagricert.org</t>
  </si>
  <si>
    <t>https://oda.direct/NOP</t>
  </si>
  <si>
    <t>www.oia.com.ar</t>
  </si>
  <si>
    <t>www.primusauditingops.com</t>
  </si>
  <si>
    <t>www.ceres-cert.de</t>
  </si>
  <si>
    <t>www.scsglobalservices.com/services/organic-certification</t>
  </si>
  <si>
    <t>www.onecert.com</t>
  </si>
  <si>
    <t>https://certimexsc.com/cmx/</t>
  </si>
  <si>
    <t>www.ccpb.it</t>
  </si>
  <si>
    <t>www.icea.bio</t>
  </si>
  <si>
    <t>Certifier Email Address</t>
  </si>
  <si>
    <t>Ibd@Ibd.com.br</t>
  </si>
  <si>
    <t>certifiedorganic@nofany.org</t>
  </si>
  <si>
    <t>mosa@mosaorganic.org</t>
  </si>
  <si>
    <t>nics.inbox@ecocert.com</t>
  </si>
  <si>
    <t>office@onmarkcertification.com</t>
  </si>
  <si>
    <t>mncia@mncia.org</t>
  </si>
  <si>
    <t>pco@paorganic.org</t>
  </si>
  <si>
    <t>QCS@qcsinfo.org</t>
  </si>
  <si>
    <t>info@nfccertification.com</t>
  </si>
  <si>
    <t>organic@oeffa.org</t>
  </si>
  <si>
    <t>info@vermontorganic.org</t>
  </si>
  <si>
    <t>katie.hyde@iowaagriculture.gov</t>
  </si>
  <si>
    <t>certificates@baystateorganic.org</t>
  </si>
  <si>
    <t>office.international@ecocert.com</t>
  </si>
  <si>
    <t>info@qai-inc.com</t>
  </si>
  <si>
    <t>organic@tilth.org</t>
  </si>
  <si>
    <t>organic@controlunion.com</t>
  </si>
  <si>
    <t>info@occert.com</t>
  </si>
  <si>
    <t>info@wfcforganic.com</t>
  </si>
  <si>
    <t>ccof@ccof.org</t>
  </si>
  <si>
    <t>agrorganic@mt.gov</t>
  </si>
  <si>
    <t>imocert@imocert.bio</t>
  </si>
  <si>
    <t>info@ocia.org</t>
  </si>
  <si>
    <t>goaorg@goaorg.com</t>
  </si>
  <si>
    <t>info@pro-cert.org</t>
  </si>
  <si>
    <t>info@aco.net.au</t>
  </si>
  <si>
    <t>organic@agr.wa.gov</t>
  </si>
  <si>
    <t>dbasinger@utah.gov</t>
  </si>
  <si>
    <t>certification@mofga.org</t>
  </si>
  <si>
    <t>Organic@TexasAgriculture.gov</t>
  </si>
  <si>
    <t>organic.certification@maryland.gov</t>
  </si>
  <si>
    <t>organics@isda.idaho.gov</t>
  </si>
  <si>
    <t>organic@ky.gov</t>
  </si>
  <si>
    <t>cda.organic@state.co.us</t>
  </si>
  <si>
    <t>info@bioagricert.org</t>
  </si>
  <si>
    <t>certification@oda.oregon.gov</t>
  </si>
  <si>
    <t>oia@oia.com.ar</t>
  </si>
  <si>
    <t>primusorganic@primusauditingops.com</t>
  </si>
  <si>
    <t>info@ceres-cert.de</t>
  </si>
  <si>
    <t>cfanta@scsglobalservices.com</t>
  </si>
  <si>
    <t>info@onecert.com</t>
  </si>
  <si>
    <t>certimex@certimexsc.com</t>
  </si>
  <si>
    <t>ccpb@ccpb.it</t>
  </si>
  <si>
    <t>fabia.montalbani@icea.bio</t>
  </si>
  <si>
    <t>Operation ID</t>
  </si>
  <si>
    <t>NOP's 10-digit unique ID for operation.  First 3 numbers are Certifier ID; last 7 numbers are assigned by the Certifier.</t>
  </si>
  <si>
    <t>2233010850</t>
  </si>
  <si>
    <t>3252015101</t>
  </si>
  <si>
    <t>9950004710</t>
  </si>
  <si>
    <t>8431300500</t>
  </si>
  <si>
    <t>7170220445</t>
  </si>
  <si>
    <t>7170019015</t>
  </si>
  <si>
    <t>3671400012</t>
  </si>
  <si>
    <t>8210002144</t>
  </si>
  <si>
    <t>7170240757</t>
  </si>
  <si>
    <t>5870002553</t>
  </si>
  <si>
    <t>8432001921</t>
  </si>
  <si>
    <t>3252017101</t>
  </si>
  <si>
    <t>8210004352</t>
  </si>
  <si>
    <t>3252024038</t>
  </si>
  <si>
    <t>8210004334</t>
  </si>
  <si>
    <t>7170240756</t>
  </si>
  <si>
    <t>8431701296</t>
  </si>
  <si>
    <t>8431801459</t>
  </si>
  <si>
    <t>8210002348</t>
  </si>
  <si>
    <t>9950011306</t>
  </si>
  <si>
    <t>8210002343</t>
  </si>
  <si>
    <t>8431200381</t>
  </si>
  <si>
    <t>3252023072</t>
  </si>
  <si>
    <t>8431901584</t>
  </si>
  <si>
    <t>9950009857</t>
  </si>
  <si>
    <t>9950009044</t>
  </si>
  <si>
    <t>9950002302</t>
  </si>
  <si>
    <t>8241000056</t>
  </si>
  <si>
    <t>8431400872</t>
  </si>
  <si>
    <t>8432202017</t>
  </si>
  <si>
    <t>8431000207</t>
  </si>
  <si>
    <t>3252019087</t>
  </si>
  <si>
    <t>8430801090</t>
  </si>
  <si>
    <t>1600002161</t>
  </si>
  <si>
    <t>3672200041</t>
  </si>
  <si>
    <t>9950013803</t>
  </si>
  <si>
    <t>3252007060</t>
  </si>
  <si>
    <t>3252024078</t>
  </si>
  <si>
    <t>8210003417</t>
  </si>
  <si>
    <t>4210006054</t>
  </si>
  <si>
    <t>8210004769</t>
  </si>
  <si>
    <t>3252011062</t>
  </si>
  <si>
    <t>1600001070</t>
  </si>
  <si>
    <t>7170220489</t>
  </si>
  <si>
    <t>8431901764</t>
  </si>
  <si>
    <t>8210002083</t>
  </si>
  <si>
    <t>5403438879</t>
  </si>
  <si>
    <t>2201116500</t>
  </si>
  <si>
    <t>8210005604</t>
  </si>
  <si>
    <t>8431300481</t>
  </si>
  <si>
    <t>3252024114</t>
  </si>
  <si>
    <t>1600002848</t>
  </si>
  <si>
    <t>8210005202</t>
  </si>
  <si>
    <t>7880090007</t>
  </si>
  <si>
    <t>2202201200</t>
  </si>
  <si>
    <t>5520518185</t>
  </si>
  <si>
    <t>8150025683</t>
  </si>
  <si>
    <t>1780848667</t>
  </si>
  <si>
    <t>5520030126</t>
  </si>
  <si>
    <t>1780848691</t>
  </si>
  <si>
    <t>8150016058</t>
  </si>
  <si>
    <t>3252016188</t>
  </si>
  <si>
    <t>9950001183</t>
  </si>
  <si>
    <t>3670300004</t>
  </si>
  <si>
    <t>8432402244</t>
  </si>
  <si>
    <t>5520031667</t>
  </si>
  <si>
    <t>5520039207</t>
  </si>
  <si>
    <t>5520030433</t>
  </si>
  <si>
    <t>5520030119</t>
  </si>
  <si>
    <t>5520030582</t>
  </si>
  <si>
    <t>5520030101</t>
  </si>
  <si>
    <t>6220009316</t>
  </si>
  <si>
    <t>9092131702</t>
  </si>
  <si>
    <t>3252023045</t>
  </si>
  <si>
    <t>5561000977</t>
  </si>
  <si>
    <t>7170240769</t>
  </si>
  <si>
    <t>1600001159</t>
  </si>
  <si>
    <t>3252008062</t>
  </si>
  <si>
    <t>8150021026</t>
  </si>
  <si>
    <t>9950002425</t>
  </si>
  <si>
    <t>9950014451</t>
  </si>
  <si>
    <t>8150023959</t>
  </si>
  <si>
    <t>3671800055</t>
  </si>
  <si>
    <t>3671800098</t>
  </si>
  <si>
    <t>7170210338</t>
  </si>
  <si>
    <t>7170020129</t>
  </si>
  <si>
    <t>3252013020</t>
  </si>
  <si>
    <t>9950010735</t>
  </si>
  <si>
    <t>3252020098</t>
  </si>
  <si>
    <t>8431300424</t>
  </si>
  <si>
    <t>9950009011</t>
  </si>
  <si>
    <t>8431701262</t>
  </si>
  <si>
    <t>8210001050</t>
  </si>
  <si>
    <t>9950009449</t>
  </si>
  <si>
    <t>3252014069</t>
  </si>
  <si>
    <t>3252020089</t>
  </si>
  <si>
    <t>7170210369</t>
  </si>
  <si>
    <t>8210002377</t>
  </si>
  <si>
    <t>3671800077</t>
  </si>
  <si>
    <t>8210002051</t>
  </si>
  <si>
    <t>3672100054</t>
  </si>
  <si>
    <t>8210008054</t>
  </si>
  <si>
    <t>7170210322</t>
  </si>
  <si>
    <t>7170220458</t>
  </si>
  <si>
    <t>8210007259</t>
  </si>
  <si>
    <t>3252014033</t>
  </si>
  <si>
    <t>7170019038</t>
  </si>
  <si>
    <t>8431400854</t>
  </si>
  <si>
    <t>8210005261</t>
  </si>
  <si>
    <t>1460030507</t>
  </si>
  <si>
    <t>6400011784</t>
  </si>
  <si>
    <t>8150024520</t>
  </si>
  <si>
    <t>5561005622</t>
  </si>
  <si>
    <t>5561002491</t>
  </si>
  <si>
    <t>8830000409</t>
  </si>
  <si>
    <t>8431400776</t>
  </si>
  <si>
    <t>8210007517</t>
  </si>
  <si>
    <t>7170210284</t>
  </si>
  <si>
    <t>8431501106</t>
  </si>
  <si>
    <t>7170220446</t>
  </si>
  <si>
    <t>8210008267</t>
  </si>
  <si>
    <t>7170210286</t>
  </si>
  <si>
    <t>3252015015</t>
  </si>
  <si>
    <t>3252023005</t>
  </si>
  <si>
    <t>3671600071</t>
  </si>
  <si>
    <t>3928972494</t>
  </si>
  <si>
    <t>3920897979</t>
  </si>
  <si>
    <t>3671900070</t>
  </si>
  <si>
    <t>3672300051</t>
  </si>
  <si>
    <t>3252024011</t>
  </si>
  <si>
    <t>8431500969</t>
  </si>
  <si>
    <t>8210004174</t>
  </si>
  <si>
    <t>1600002010</t>
  </si>
  <si>
    <t>6430411780</t>
  </si>
  <si>
    <t>9950005096</t>
  </si>
  <si>
    <t>8210001785</t>
  </si>
  <si>
    <t>8210002394</t>
  </si>
  <si>
    <t>8210002399</t>
  </si>
  <si>
    <t>3252019076</t>
  </si>
  <si>
    <t>8431701351</t>
  </si>
  <si>
    <t>8210002553</t>
  </si>
  <si>
    <t>6431242083</t>
  </si>
  <si>
    <t>7170230693</t>
  </si>
  <si>
    <t>8210002403</t>
  </si>
  <si>
    <t>5561007912</t>
  </si>
  <si>
    <t>5520031166</t>
  </si>
  <si>
    <t>5520030078</t>
  </si>
  <si>
    <t>9950001229</t>
  </si>
  <si>
    <t>9950004953</t>
  </si>
  <si>
    <t>8210001712</t>
  </si>
  <si>
    <t>5870001613</t>
  </si>
  <si>
    <t>9950005075</t>
  </si>
  <si>
    <t>8430900170</t>
  </si>
  <si>
    <t>8431901759</t>
  </si>
  <si>
    <t>3928972280</t>
  </si>
  <si>
    <t>8431501101</t>
  </si>
  <si>
    <t>8431400920</t>
  </si>
  <si>
    <t>7170230703</t>
  </si>
  <si>
    <t>8210001911</t>
  </si>
  <si>
    <t>3672300015</t>
  </si>
  <si>
    <t>3252016021</t>
  </si>
  <si>
    <t>3252015023</t>
  </si>
  <si>
    <t>1780845414</t>
  </si>
  <si>
    <t>8431000198</t>
  </si>
  <si>
    <t>3252017035</t>
  </si>
  <si>
    <t>3252023040</t>
  </si>
  <si>
    <t>3252024028</t>
  </si>
  <si>
    <t>8431300480</t>
  </si>
  <si>
    <t>3252022027</t>
  </si>
  <si>
    <t>8210006234</t>
  </si>
  <si>
    <t>3252014052</t>
  </si>
  <si>
    <t>3252014054</t>
  </si>
  <si>
    <t>3252023070</t>
  </si>
  <si>
    <t>8431701282</t>
  </si>
  <si>
    <t>9950004005</t>
  </si>
  <si>
    <t>5520031464</t>
  </si>
  <si>
    <t>8431901627</t>
  </si>
  <si>
    <t>8210002418</t>
  </si>
  <si>
    <t>7170220490</t>
  </si>
  <si>
    <t>5520691113</t>
  </si>
  <si>
    <t>9950002607</t>
  </si>
  <si>
    <t>9950012157</t>
  </si>
  <si>
    <t>3928971772</t>
  </si>
  <si>
    <t>6431033600</t>
  </si>
  <si>
    <t>6220009164</t>
  </si>
  <si>
    <t>7170220516</t>
  </si>
  <si>
    <t>8431200343</t>
  </si>
  <si>
    <t>1780863170</t>
  </si>
  <si>
    <t>3950000907</t>
  </si>
  <si>
    <t>5561002056</t>
  </si>
  <si>
    <t>6430712940</t>
  </si>
  <si>
    <t>7170220487</t>
  </si>
  <si>
    <t>3252024067</t>
  </si>
  <si>
    <t>2780023936</t>
  </si>
  <si>
    <t>5520054291</t>
  </si>
  <si>
    <t>5520054290</t>
  </si>
  <si>
    <t>9092404702</t>
  </si>
  <si>
    <t>9092433301</t>
  </si>
  <si>
    <t>9092404701</t>
  </si>
  <si>
    <t>9092433101</t>
  </si>
  <si>
    <t>3950000038</t>
  </si>
  <si>
    <t>3252019033</t>
  </si>
  <si>
    <t>1780833920</t>
  </si>
  <si>
    <t>8830001542</t>
  </si>
  <si>
    <t>5561001417</t>
  </si>
  <si>
    <t>7170220530</t>
  </si>
  <si>
    <t>9950007444</t>
  </si>
  <si>
    <t>9950000675</t>
  </si>
  <si>
    <t>8210004689</t>
  </si>
  <si>
    <t>9950000419</t>
  </si>
  <si>
    <t>3928971193</t>
  </si>
  <si>
    <t>9950004315</t>
  </si>
  <si>
    <t>3250200419</t>
  </si>
  <si>
    <t>5870002328</t>
  </si>
  <si>
    <t>5561001758</t>
  </si>
  <si>
    <t>9950000702</t>
  </si>
  <si>
    <t>5520803920</t>
  </si>
  <si>
    <t>9950013334</t>
  </si>
  <si>
    <t>9950009745</t>
  </si>
  <si>
    <t>3250200007</t>
  </si>
  <si>
    <t>9092206003</t>
  </si>
  <si>
    <t>9950000791</t>
  </si>
  <si>
    <t>3252010051</t>
  </si>
  <si>
    <t>9950002190</t>
  </si>
  <si>
    <t>3252017003</t>
  </si>
  <si>
    <t>9950003472</t>
  </si>
  <si>
    <t>9950009111</t>
  </si>
  <si>
    <t>5520665594</t>
  </si>
  <si>
    <t>2202106200</t>
  </si>
  <si>
    <t>8431400362</t>
  </si>
  <si>
    <t>3672000007</t>
  </si>
  <si>
    <t>5870002430</t>
  </si>
  <si>
    <t>3252018064</t>
  </si>
  <si>
    <t>3252024091</t>
  </si>
  <si>
    <t>8432202099</t>
  </si>
  <si>
    <t>3671400014</t>
  </si>
  <si>
    <t>8431000201</t>
  </si>
  <si>
    <t>3928971142</t>
  </si>
  <si>
    <t>3252012037</t>
  </si>
  <si>
    <t>7170020074</t>
  </si>
  <si>
    <t>3250200563</t>
  </si>
  <si>
    <t>9950002232</t>
  </si>
  <si>
    <t>1600001766</t>
  </si>
  <si>
    <t>9950001993</t>
  </si>
  <si>
    <t>6431255400</t>
  </si>
  <si>
    <t>3252019055</t>
  </si>
  <si>
    <t>8210001248</t>
  </si>
  <si>
    <t>3672300055</t>
  </si>
  <si>
    <t>3252021020</t>
  </si>
  <si>
    <t>3252021092</t>
  </si>
  <si>
    <t>3920897917</t>
  </si>
  <si>
    <t>3252024012</t>
  </si>
  <si>
    <t>3920897538</t>
  </si>
  <si>
    <t>1780835572</t>
  </si>
  <si>
    <t>6431712300</t>
  </si>
  <si>
    <t>3252024076</t>
  </si>
  <si>
    <t>8210008627</t>
  </si>
  <si>
    <t>3252019074</t>
  </si>
  <si>
    <t>3252023047</t>
  </si>
  <si>
    <t>6431711510</t>
  </si>
  <si>
    <t>8210001247</t>
  </si>
  <si>
    <t>5561001286</t>
  </si>
  <si>
    <t>2201806300</t>
  </si>
  <si>
    <t>3672400056</t>
  </si>
  <si>
    <t>5090311501</t>
  </si>
  <si>
    <t>7170020212</t>
  </si>
  <si>
    <t>8210003641</t>
  </si>
  <si>
    <t>8150000183</t>
  </si>
  <si>
    <t>8430800104</t>
  </si>
  <si>
    <t>0009833325</t>
  </si>
  <si>
    <t>1600001071</t>
  </si>
  <si>
    <t>3928971209</t>
  </si>
  <si>
    <t>4210009023</t>
  </si>
  <si>
    <t>3928971240</t>
  </si>
  <si>
    <t>8210001515</t>
  </si>
  <si>
    <t>9950001087</t>
  </si>
  <si>
    <t>0009833317</t>
  </si>
  <si>
    <t>9950000618</t>
  </si>
  <si>
    <t>8150022876</t>
  </si>
  <si>
    <t>6220004937</t>
  </si>
  <si>
    <t>9950004385</t>
  </si>
  <si>
    <t>3252317279</t>
  </si>
  <si>
    <t>9950001854</t>
  </si>
  <si>
    <t>9950007309</t>
  </si>
  <si>
    <t>5400000177</t>
  </si>
  <si>
    <t>6220008074</t>
  </si>
  <si>
    <t>6220007870</t>
  </si>
  <si>
    <t>8150002016</t>
  </si>
  <si>
    <t>3252013066</t>
  </si>
  <si>
    <t>9950000028</t>
  </si>
  <si>
    <t>9954601594</t>
  </si>
  <si>
    <t>9950003353</t>
  </si>
  <si>
    <t>4210007068</t>
  </si>
  <si>
    <t>9950010048</t>
  </si>
  <si>
    <t>8210004660</t>
  </si>
  <si>
    <t>3252015097</t>
  </si>
  <si>
    <t>3250960020</t>
  </si>
  <si>
    <t>7889015000</t>
  </si>
  <si>
    <t>6220007875</t>
  </si>
  <si>
    <t>9950000635</t>
  </si>
  <si>
    <t>3252016033</t>
  </si>
  <si>
    <t>9950000984</t>
  </si>
  <si>
    <t>9950010501</t>
  </si>
  <si>
    <t>3250200330</t>
  </si>
  <si>
    <t>9092201806</t>
  </si>
  <si>
    <t>9950000546</t>
  </si>
  <si>
    <t>7170240775</t>
  </si>
  <si>
    <t>8210002227</t>
  </si>
  <si>
    <t>8430900149</t>
  </si>
  <si>
    <t>9950001399</t>
  </si>
  <si>
    <t>4210015040</t>
  </si>
  <si>
    <t>7142073677</t>
  </si>
  <si>
    <t>3510926062</t>
  </si>
  <si>
    <t>8150001028</t>
  </si>
  <si>
    <t>3252009030</t>
  </si>
  <si>
    <t>3252017126</t>
  </si>
  <si>
    <t>8210003640</t>
  </si>
  <si>
    <t>3252015095</t>
  </si>
  <si>
    <t>5561001943</t>
  </si>
  <si>
    <t>9950009300</t>
  </si>
  <si>
    <t>8830001816</t>
  </si>
  <si>
    <t>9950001799</t>
  </si>
  <si>
    <t>3252006116</t>
  </si>
  <si>
    <t>9950002298</t>
  </si>
  <si>
    <t>9950004461</t>
  </si>
  <si>
    <t>9092202702</t>
  </si>
  <si>
    <t>3920897072</t>
  </si>
  <si>
    <t>8150000117</t>
  </si>
  <si>
    <t>3250200542</t>
  </si>
  <si>
    <t>4210099101</t>
  </si>
  <si>
    <t>3252016131</t>
  </si>
  <si>
    <t>3920897726</t>
  </si>
  <si>
    <t>8210005172</t>
  </si>
  <si>
    <t>1600001726</t>
  </si>
  <si>
    <t>2202501700</t>
  </si>
  <si>
    <t>9950014040</t>
  </si>
  <si>
    <t>9950001141</t>
  </si>
  <si>
    <t>1600002626</t>
  </si>
  <si>
    <t>8210004160</t>
  </si>
  <si>
    <t>1780821842</t>
  </si>
  <si>
    <t>9092429201</t>
  </si>
  <si>
    <t>6220007864</t>
  </si>
  <si>
    <t>5520030594</t>
  </si>
  <si>
    <t>5520029865</t>
  </si>
  <si>
    <t>2202201100</t>
  </si>
  <si>
    <t>7142070990</t>
  </si>
  <si>
    <t>5870001420</t>
  </si>
  <si>
    <t>7170020160</t>
  </si>
  <si>
    <t>9950003482</t>
  </si>
  <si>
    <t>8432102007</t>
  </si>
  <si>
    <t>5561006833</t>
  </si>
  <si>
    <t>9950001292</t>
  </si>
  <si>
    <t>3672100067</t>
  </si>
  <si>
    <t>5561001588</t>
  </si>
  <si>
    <t>5561001458</t>
  </si>
  <si>
    <t>7880235718</t>
  </si>
  <si>
    <t>4210099018</t>
  </si>
  <si>
    <t>3252006138</t>
  </si>
  <si>
    <t>8210003940</t>
  </si>
  <si>
    <t>7170220441</t>
  </si>
  <si>
    <t>9950004399</t>
  </si>
  <si>
    <t>8150000733</t>
  </si>
  <si>
    <t>9950000812</t>
  </si>
  <si>
    <t>3252006177</t>
  </si>
  <si>
    <t>6780000201</t>
  </si>
  <si>
    <t>7142070249</t>
  </si>
  <si>
    <t>1780854352</t>
  </si>
  <si>
    <t>3928971838</t>
  </si>
  <si>
    <t>9950009603</t>
  </si>
  <si>
    <t>9950003376</t>
  </si>
  <si>
    <t>5561001760</t>
  </si>
  <si>
    <t>5561002152</t>
  </si>
  <si>
    <t>9950002473</t>
  </si>
  <si>
    <t>5561008574</t>
  </si>
  <si>
    <t>6780000261</t>
  </si>
  <si>
    <t>3252015098</t>
  </si>
  <si>
    <t>1600000647</t>
  </si>
  <si>
    <t>5870001941</t>
  </si>
  <si>
    <t>8210001316</t>
  </si>
  <si>
    <t>7142073275</t>
  </si>
  <si>
    <t>7142070258</t>
  </si>
  <si>
    <t>2201623300</t>
  </si>
  <si>
    <t>8210003261</t>
  </si>
  <si>
    <t>8210001320</t>
  </si>
  <si>
    <t>8241000157</t>
  </si>
  <si>
    <t>3252016135</t>
  </si>
  <si>
    <t>8431501050</t>
  </si>
  <si>
    <t>3252016139</t>
  </si>
  <si>
    <t>5561001537</t>
  </si>
  <si>
    <t>5870001490</t>
  </si>
  <si>
    <t>5520195675</t>
  </si>
  <si>
    <t>3252024037</t>
  </si>
  <si>
    <t>9950013745</t>
  </si>
  <si>
    <t>8210005512</t>
  </si>
  <si>
    <t>8210002578</t>
  </si>
  <si>
    <t>3920897956</t>
  </si>
  <si>
    <t>8432202063</t>
  </si>
  <si>
    <t>3252015027</t>
  </si>
  <si>
    <t>8210002511</t>
  </si>
  <si>
    <t>6431712280</t>
  </si>
  <si>
    <t>3672300008</t>
  </si>
  <si>
    <t>6432016650</t>
  </si>
  <si>
    <t>5561001025</t>
  </si>
  <si>
    <t>5871532868</t>
  </si>
  <si>
    <t>8210004584</t>
  </si>
  <si>
    <t>6431592200</t>
  </si>
  <si>
    <t>3252006162</t>
  </si>
  <si>
    <t>7889023100</t>
  </si>
  <si>
    <t>3252022063</t>
  </si>
  <si>
    <t>8431501085</t>
  </si>
  <si>
    <t>8150000303</t>
  </si>
  <si>
    <t>8431200399</t>
  </si>
  <si>
    <t>7170220556</t>
  </si>
  <si>
    <t>2230011108</t>
  </si>
  <si>
    <t>8210002226</t>
  </si>
  <si>
    <t>9950001865</t>
  </si>
  <si>
    <t>8431901592</t>
  </si>
  <si>
    <t>7880184173</t>
  </si>
  <si>
    <t>2230008872</t>
  </si>
  <si>
    <t>8210001739</t>
  </si>
  <si>
    <t>7170210301</t>
  </si>
  <si>
    <t>5870107182</t>
  </si>
  <si>
    <t>8150000717</t>
  </si>
  <si>
    <t>3250200640</t>
  </si>
  <si>
    <t>3252017072</t>
  </si>
  <si>
    <t>8210008421</t>
  </si>
  <si>
    <t>7142070954</t>
  </si>
  <si>
    <t>5870000332</t>
  </si>
  <si>
    <t>3252019060</t>
  </si>
  <si>
    <t>5561002330</t>
  </si>
  <si>
    <t>3250200102</t>
  </si>
  <si>
    <t>3928972475</t>
  </si>
  <si>
    <t>1780843266</t>
  </si>
  <si>
    <t>2170027370</t>
  </si>
  <si>
    <t>5870107283</t>
  </si>
  <si>
    <t>9950000359</t>
  </si>
  <si>
    <t>9950000384</t>
  </si>
  <si>
    <t>7170220512</t>
  </si>
  <si>
    <t>2780020724</t>
  </si>
  <si>
    <t>6220007850</t>
  </si>
  <si>
    <t>9950010099</t>
  </si>
  <si>
    <t>7170020128</t>
  </si>
  <si>
    <t>6220008652</t>
  </si>
  <si>
    <t>5561005566</t>
  </si>
  <si>
    <t>7880138445</t>
  </si>
  <si>
    <t>9950003978</t>
  </si>
  <si>
    <t>3920897745</t>
  </si>
  <si>
    <t>5100043552</t>
  </si>
  <si>
    <t>6220008076</t>
  </si>
  <si>
    <t>0009833315</t>
  </si>
  <si>
    <t>3510467664</t>
  </si>
  <si>
    <t>3250200691</t>
  </si>
  <si>
    <t>6220007424</t>
  </si>
  <si>
    <t>6430296500</t>
  </si>
  <si>
    <t>4210020029</t>
  </si>
  <si>
    <t>9950000907</t>
  </si>
  <si>
    <t>9950009057</t>
  </si>
  <si>
    <t>6350000038</t>
  </si>
  <si>
    <t>6780000231</t>
  </si>
  <si>
    <t>3252019048</t>
  </si>
  <si>
    <t>9950009479</t>
  </si>
  <si>
    <t>5520029825</t>
  </si>
  <si>
    <t>3252009041</t>
  </si>
  <si>
    <t>3252013061</t>
  </si>
  <si>
    <t>8431701197</t>
  </si>
  <si>
    <t>8150001357</t>
  </si>
  <si>
    <t>3250200652</t>
  </si>
  <si>
    <t>5561006980</t>
  </si>
  <si>
    <t>3252023078</t>
  </si>
  <si>
    <t>5561002374</t>
  </si>
  <si>
    <t>5561002252</t>
  </si>
  <si>
    <t>3252024080</t>
  </si>
  <si>
    <t>3259869934</t>
  </si>
  <si>
    <t>9950000922</t>
  </si>
  <si>
    <t>9950001869</t>
  </si>
  <si>
    <t>9950004881</t>
  </si>
  <si>
    <t>8432001846</t>
  </si>
  <si>
    <t>3252024001</t>
  </si>
  <si>
    <t>9092132703</t>
  </si>
  <si>
    <t>3671800102</t>
  </si>
  <si>
    <t>4212021067</t>
  </si>
  <si>
    <t>1780899875</t>
  </si>
  <si>
    <t>3920001004</t>
  </si>
  <si>
    <t>0009832198</t>
  </si>
  <si>
    <t>8698973939</t>
  </si>
  <si>
    <t>8693692134</t>
  </si>
  <si>
    <t>8699694247</t>
  </si>
  <si>
    <t>8699694250</t>
  </si>
  <si>
    <t>0009833442</t>
  </si>
  <si>
    <t>5561002357</t>
  </si>
  <si>
    <t>7170020080</t>
  </si>
  <si>
    <t>3252016100</t>
  </si>
  <si>
    <t>9950005145</t>
  </si>
  <si>
    <t>3252024077</t>
  </si>
  <si>
    <t>8431300529</t>
  </si>
  <si>
    <t>8431300561</t>
  </si>
  <si>
    <t>9950001567</t>
  </si>
  <si>
    <t>8210001405</t>
  </si>
  <si>
    <t>8431300460</t>
  </si>
  <si>
    <t>8431200385</t>
  </si>
  <si>
    <t>3252022052</t>
  </si>
  <si>
    <t>3258475713</t>
  </si>
  <si>
    <t>7170210409</t>
  </si>
  <si>
    <t>8210002542</t>
  </si>
  <si>
    <t>9950008645</t>
  </si>
  <si>
    <t>9950009750</t>
  </si>
  <si>
    <t>8431300526</t>
  </si>
  <si>
    <t>3671500011</t>
  </si>
  <si>
    <t>3671700111</t>
  </si>
  <si>
    <t>3252017137</t>
  </si>
  <si>
    <t>7170019043</t>
  </si>
  <si>
    <t>6432117890</t>
  </si>
  <si>
    <t>7170230640</t>
  </si>
  <si>
    <t>8432302173</t>
  </si>
  <si>
    <t>8431400911</t>
  </si>
  <si>
    <t>3252023071</t>
  </si>
  <si>
    <t>8432102006</t>
  </si>
  <si>
    <t>6431581600</t>
  </si>
  <si>
    <t>3252015013</t>
  </si>
  <si>
    <t>3252020073</t>
  </si>
  <si>
    <t>8431701194</t>
  </si>
  <si>
    <t>8431501136</t>
  </si>
  <si>
    <t>1600001585</t>
  </si>
  <si>
    <t>1600000848</t>
  </si>
  <si>
    <t>3252022067</t>
  </si>
  <si>
    <t>3252023048</t>
  </si>
  <si>
    <t>3252020092</t>
  </si>
  <si>
    <t>3920897875</t>
  </si>
  <si>
    <t>9950002739</t>
  </si>
  <si>
    <t>8430700050</t>
  </si>
  <si>
    <t>3928972396</t>
  </si>
  <si>
    <t>3252021051</t>
  </si>
  <si>
    <t>3928971930</t>
  </si>
  <si>
    <t>5870002358</t>
  </si>
  <si>
    <t>3252023007</t>
  </si>
  <si>
    <t>2202405800</t>
  </si>
  <si>
    <t>8432101938</t>
  </si>
  <si>
    <t>8431501104</t>
  </si>
  <si>
    <t>6432219260</t>
  </si>
  <si>
    <t>6431250300</t>
  </si>
  <si>
    <t>8210008038</t>
  </si>
  <si>
    <t>6430613740</t>
  </si>
  <si>
    <t>8431501026</t>
  </si>
  <si>
    <t>5561000062</t>
  </si>
  <si>
    <t>3252017147</t>
  </si>
  <si>
    <t>3252023044</t>
  </si>
  <si>
    <t>3252024053</t>
  </si>
  <si>
    <t>3252023011</t>
  </si>
  <si>
    <t>3252017114</t>
  </si>
  <si>
    <t>6220006944</t>
  </si>
  <si>
    <t>6220008457</t>
  </si>
  <si>
    <t>9950002503</t>
  </si>
  <si>
    <t>1600003638</t>
  </si>
  <si>
    <t>5561001010</t>
  </si>
  <si>
    <t>9092201905</t>
  </si>
  <si>
    <t>5561007325</t>
  </si>
  <si>
    <t>8431300618</t>
  </si>
  <si>
    <t>7170230648</t>
  </si>
  <si>
    <t>8431501111</t>
  </si>
  <si>
    <t>8431400837</t>
  </si>
  <si>
    <t>7170020082</t>
  </si>
  <si>
    <t>7170240830</t>
  </si>
  <si>
    <t>8210002175</t>
  </si>
  <si>
    <t>8431500924</t>
  </si>
  <si>
    <t>8431501140</t>
  </si>
  <si>
    <t>8210002587</t>
  </si>
  <si>
    <t>8431400891</t>
  </si>
  <si>
    <t>8210005336</t>
  </si>
  <si>
    <t>6430713910</t>
  </si>
  <si>
    <t>3252016035</t>
  </si>
  <si>
    <t>9092201703</t>
  </si>
  <si>
    <t>8210004124</t>
  </si>
  <si>
    <t>8210008126</t>
  </si>
  <si>
    <t>9950004989</t>
  </si>
  <si>
    <t>6432117300</t>
  </si>
  <si>
    <t>7170220525</t>
  </si>
  <si>
    <t>3671400039</t>
  </si>
  <si>
    <t>2202501500</t>
  </si>
  <si>
    <t>3252024035</t>
  </si>
  <si>
    <t>8210004574</t>
  </si>
  <si>
    <t>1600001871</t>
  </si>
  <si>
    <t>6432016640</t>
  </si>
  <si>
    <t>8210002590</t>
  </si>
  <si>
    <t>5870001623</t>
  </si>
  <si>
    <t>9950004523</t>
  </si>
  <si>
    <t>3928971417</t>
  </si>
  <si>
    <t>3252023004</t>
  </si>
  <si>
    <t>3252012032</t>
  </si>
  <si>
    <t>8431500947</t>
  </si>
  <si>
    <t>3920897545</t>
  </si>
  <si>
    <t>3252024045</t>
  </si>
  <si>
    <t>5879235433</t>
  </si>
  <si>
    <t>1600001088</t>
  </si>
  <si>
    <t>7170210342</t>
  </si>
  <si>
    <t>7170020156</t>
  </si>
  <si>
    <t>8210005003</t>
  </si>
  <si>
    <t>3252018088</t>
  </si>
  <si>
    <t>8210006636</t>
  </si>
  <si>
    <t>3252014071</t>
  </si>
  <si>
    <t>8210006164</t>
  </si>
  <si>
    <t>3671600137</t>
  </si>
  <si>
    <t>3252016150</t>
  </si>
  <si>
    <t>9950008335</t>
  </si>
  <si>
    <t>8432102028</t>
  </si>
  <si>
    <t>7170210416</t>
  </si>
  <si>
    <t>8431501090</t>
  </si>
  <si>
    <t>5870001600</t>
  </si>
  <si>
    <t>8210002603</t>
  </si>
  <si>
    <t>8431300562</t>
  </si>
  <si>
    <t>8210003498</t>
  </si>
  <si>
    <t>8431901719</t>
  </si>
  <si>
    <t>4212024011</t>
  </si>
  <si>
    <t>5561002450</t>
  </si>
  <si>
    <t>9950002400</t>
  </si>
  <si>
    <t>9950000956</t>
  </si>
  <si>
    <t>3252008012</t>
  </si>
  <si>
    <t>7170210327</t>
  </si>
  <si>
    <t>8431801526</t>
  </si>
  <si>
    <t>2170024753</t>
  </si>
  <si>
    <t>9950009072</t>
  </si>
  <si>
    <t>3920897204</t>
  </si>
  <si>
    <t>5561001526</t>
  </si>
  <si>
    <t>5870107370</t>
  </si>
  <si>
    <t>9950004935</t>
  </si>
  <si>
    <t>5561000985</t>
  </si>
  <si>
    <t>8431400879</t>
  </si>
  <si>
    <t>7170020094</t>
  </si>
  <si>
    <t>5870001617</t>
  </si>
  <si>
    <t>8210008575</t>
  </si>
  <si>
    <t>6431915530</t>
  </si>
  <si>
    <t>8210008835</t>
  </si>
  <si>
    <t>5561007548</t>
  </si>
  <si>
    <t>6430311000</t>
  </si>
  <si>
    <t>5876224534</t>
  </si>
  <si>
    <t>3671700041</t>
  </si>
  <si>
    <t>9950001515</t>
  </si>
  <si>
    <t>8431801494</t>
  </si>
  <si>
    <t>7170020268</t>
  </si>
  <si>
    <t>7170230678</t>
  </si>
  <si>
    <t>3672400018</t>
  </si>
  <si>
    <t>3252024119</t>
  </si>
  <si>
    <t>9950001818</t>
  </si>
  <si>
    <t>8210002616</t>
  </si>
  <si>
    <t>9950003959</t>
  </si>
  <si>
    <t>7170019001</t>
  </si>
  <si>
    <t>7170230688</t>
  </si>
  <si>
    <t>8210007326</t>
  </si>
  <si>
    <t>7170220608</t>
  </si>
  <si>
    <t>8431300815</t>
  </si>
  <si>
    <t>5561002536</t>
  </si>
  <si>
    <t>9950013347</t>
  </si>
  <si>
    <t>5561000973</t>
  </si>
  <si>
    <t>6220007861</t>
  </si>
  <si>
    <t>3250200358</t>
  </si>
  <si>
    <t>0009833319</t>
  </si>
  <si>
    <t>2780000530</t>
  </si>
  <si>
    <t>4212024009</t>
  </si>
  <si>
    <t>9950003679</t>
  </si>
  <si>
    <t>9950002114</t>
  </si>
  <si>
    <t>5561008820</t>
  </si>
  <si>
    <t>0009833328</t>
  </si>
  <si>
    <t>3252011066</t>
  </si>
  <si>
    <t>9950000802</t>
  </si>
  <si>
    <t>6220007865</t>
  </si>
  <si>
    <t>9950000841</t>
  </si>
  <si>
    <t>8210004180</t>
  </si>
  <si>
    <t>9950004870</t>
  </si>
  <si>
    <t>5870001434</t>
  </si>
  <si>
    <t>5561001462</t>
  </si>
  <si>
    <t>9092117201</t>
  </si>
  <si>
    <t>9950000131</t>
  </si>
  <si>
    <t>9950014196</t>
  </si>
  <si>
    <t>5561001360</t>
  </si>
  <si>
    <t>9950006986</t>
  </si>
  <si>
    <t>5870001427</t>
  </si>
  <si>
    <t>3250200603</t>
  </si>
  <si>
    <t>5520557151</t>
  </si>
  <si>
    <t>6220008178</t>
  </si>
  <si>
    <t>9950003118</t>
  </si>
  <si>
    <t>9092116802</t>
  </si>
  <si>
    <t>7170220503</t>
  </si>
  <si>
    <t>7170220611</t>
  </si>
  <si>
    <t>7142074726</t>
  </si>
  <si>
    <t>8431300458</t>
  </si>
  <si>
    <t>8241000130</t>
  </si>
  <si>
    <t>9950002154</t>
  </si>
  <si>
    <t>8150001581</t>
  </si>
  <si>
    <t>3252018074</t>
  </si>
  <si>
    <t>9092128002</t>
  </si>
  <si>
    <t>8210005268</t>
  </si>
  <si>
    <t>9950008462</t>
  </si>
  <si>
    <t>3671800005</t>
  </si>
  <si>
    <t>6220007351</t>
  </si>
  <si>
    <t>9950003239</t>
  </si>
  <si>
    <t>9092117202</t>
  </si>
  <si>
    <t>2201700300</t>
  </si>
  <si>
    <t>8210002635</t>
  </si>
  <si>
    <t>9950000792</t>
  </si>
  <si>
    <t>5870000809</t>
  </si>
  <si>
    <t>7270001187</t>
  </si>
  <si>
    <t>1600001177</t>
  </si>
  <si>
    <t>9950008691</t>
  </si>
  <si>
    <t>8210009235</t>
  </si>
  <si>
    <t>9950002873</t>
  </si>
  <si>
    <t>5520721268</t>
  </si>
  <si>
    <t>7170210354</t>
  </si>
  <si>
    <t>8830000657</t>
  </si>
  <si>
    <t>8210006286</t>
  </si>
  <si>
    <t>8210001481</t>
  </si>
  <si>
    <t>8431400764</t>
  </si>
  <si>
    <t>1600002785</t>
  </si>
  <si>
    <t>8210002642</t>
  </si>
  <si>
    <t>5870002355</t>
  </si>
  <si>
    <t>3252024021</t>
  </si>
  <si>
    <t>3250200536</t>
  </si>
  <si>
    <t>9950001498</t>
  </si>
  <si>
    <t>7880137529</t>
  </si>
  <si>
    <t>7170220453</t>
  </si>
  <si>
    <t>8210002657</t>
  </si>
  <si>
    <t>8431500973</t>
  </si>
  <si>
    <t>3252023094</t>
  </si>
  <si>
    <t>6432117230</t>
  </si>
  <si>
    <t>3928971959</t>
  </si>
  <si>
    <t>3252006122</t>
  </si>
  <si>
    <t>8210006321</t>
  </si>
  <si>
    <t>1600001375</t>
  </si>
  <si>
    <t>8431500951</t>
  </si>
  <si>
    <t>8210003620</t>
  </si>
  <si>
    <t>8431701387</t>
  </si>
  <si>
    <t>9950008828</t>
  </si>
  <si>
    <t>8431300427</t>
  </si>
  <si>
    <t>3252010047</t>
  </si>
  <si>
    <t>2202500200</t>
  </si>
  <si>
    <t>3252015117</t>
  </si>
  <si>
    <t>3252014053</t>
  </si>
  <si>
    <t>3671600033</t>
  </si>
  <si>
    <t>8210002717</t>
  </si>
  <si>
    <t>9950014089</t>
  </si>
  <si>
    <t>3671800087</t>
  </si>
  <si>
    <t>3252024044</t>
  </si>
  <si>
    <t>1600000698</t>
  </si>
  <si>
    <t>6431361100</t>
  </si>
  <si>
    <t>9950011378</t>
  </si>
  <si>
    <t>3672300023</t>
  </si>
  <si>
    <t>3252024046</t>
  </si>
  <si>
    <t>3252019031</t>
  </si>
  <si>
    <t>3252015111</t>
  </si>
  <si>
    <t>8431400871</t>
  </si>
  <si>
    <t>8210002662</t>
  </si>
  <si>
    <t>9950004520</t>
  </si>
  <si>
    <t>3928971992</t>
  </si>
  <si>
    <t>3252017007</t>
  </si>
  <si>
    <t>8431400915</t>
  </si>
  <si>
    <t>3920897641</t>
  </si>
  <si>
    <t>8210005975</t>
  </si>
  <si>
    <t>5561008738</t>
  </si>
  <si>
    <t>8432402119</t>
  </si>
  <si>
    <t>8210007594</t>
  </si>
  <si>
    <t>7170210275</t>
  </si>
  <si>
    <t>5870002089</t>
  </si>
  <si>
    <t>3252024087</t>
  </si>
  <si>
    <t>8432001782</t>
  </si>
  <si>
    <t>5870001462</t>
  </si>
  <si>
    <t>7170019017</t>
  </si>
  <si>
    <t>8210002674</t>
  </si>
  <si>
    <t>9950003018</t>
  </si>
  <si>
    <t>4210099082</t>
  </si>
  <si>
    <t>9950000455</t>
  </si>
  <si>
    <t>8210002680</t>
  </si>
  <si>
    <t>9950011512</t>
  </si>
  <si>
    <t>3252023052</t>
  </si>
  <si>
    <t>6432016730</t>
  </si>
  <si>
    <t>3252022005</t>
  </si>
  <si>
    <t>1600002755</t>
  </si>
  <si>
    <t>3252017049</t>
  </si>
  <si>
    <t>8431701378</t>
  </si>
  <si>
    <t>3252024030</t>
  </si>
  <si>
    <t>8210004571</t>
  </si>
  <si>
    <t>3250200345</t>
  </si>
  <si>
    <t>8432202011</t>
  </si>
  <si>
    <t>9950009936</t>
  </si>
  <si>
    <t>3250200349</t>
  </si>
  <si>
    <t>9950006202</t>
  </si>
  <si>
    <t>8150014772</t>
  </si>
  <si>
    <t>9092130807</t>
  </si>
  <si>
    <t>4210019106</t>
  </si>
  <si>
    <t>8210006740</t>
  </si>
  <si>
    <t>3252013070</t>
  </si>
  <si>
    <t>3252017075</t>
  </si>
  <si>
    <t>6430713900</t>
  </si>
  <si>
    <t>5870107346</t>
  </si>
  <si>
    <t>3252023023</t>
  </si>
  <si>
    <t>7170230686</t>
  </si>
  <si>
    <t>8431300259</t>
  </si>
  <si>
    <t>8210001409</t>
  </si>
  <si>
    <t>8210006963</t>
  </si>
  <si>
    <t>9950013256</t>
  </si>
  <si>
    <t>8210002697</t>
  </si>
  <si>
    <t>8210002696</t>
  </si>
  <si>
    <t>7170240851</t>
  </si>
  <si>
    <t>3920897565</t>
  </si>
  <si>
    <t>9950007675</t>
  </si>
  <si>
    <t>8150000920</t>
  </si>
  <si>
    <t>6430612910</t>
  </si>
  <si>
    <t>8210007451</t>
  </si>
  <si>
    <t>8210002701</t>
  </si>
  <si>
    <t>1600002583</t>
  </si>
  <si>
    <t>1600002050</t>
  </si>
  <si>
    <t>7170210394</t>
  </si>
  <si>
    <t>5870001395</t>
  </si>
  <si>
    <t>7170020174</t>
  </si>
  <si>
    <t>5870106992</t>
  </si>
  <si>
    <t>7170020182</t>
  </si>
  <si>
    <t>7170210335</t>
  </si>
  <si>
    <t>8210006307</t>
  </si>
  <si>
    <t>7170210274</t>
  </si>
  <si>
    <t>6431712330</t>
  </si>
  <si>
    <t>8431801560</t>
  </si>
  <si>
    <t>8432302179</t>
  </si>
  <si>
    <t>9950010983</t>
  </si>
  <si>
    <t>8210003536</t>
  </si>
  <si>
    <t>3252019085</t>
  </si>
  <si>
    <t>3252015120</t>
  </si>
  <si>
    <t>8150001033</t>
  </si>
  <si>
    <t>9950013033</t>
  </si>
  <si>
    <t>1780893841</t>
  </si>
  <si>
    <t>7170240824</t>
  </si>
  <si>
    <t>1600001979</t>
  </si>
  <si>
    <t>8210002714</t>
  </si>
  <si>
    <t>8432302135</t>
  </si>
  <si>
    <t>7170210292</t>
  </si>
  <si>
    <t>8210005765</t>
  </si>
  <si>
    <t>7170220472</t>
  </si>
  <si>
    <t>5561000383</t>
  </si>
  <si>
    <t>8210001525</t>
  </si>
  <si>
    <t>7142070902</t>
  </si>
  <si>
    <t>9950000072</t>
  </si>
  <si>
    <t>9950004846</t>
  </si>
  <si>
    <t>8210007139</t>
  </si>
  <si>
    <t>8241000246</t>
  </si>
  <si>
    <t>3928972267</t>
  </si>
  <si>
    <t>8150024145</t>
  </si>
  <si>
    <t>5870107106</t>
  </si>
  <si>
    <t>9950003424</t>
  </si>
  <si>
    <t>5400000215</t>
  </si>
  <si>
    <t>3928971334</t>
  </si>
  <si>
    <t>9950004011</t>
  </si>
  <si>
    <t>4213724487</t>
  </si>
  <si>
    <t>2230011452</t>
  </si>
  <si>
    <t>3253348043</t>
  </si>
  <si>
    <t>3252016152</t>
  </si>
  <si>
    <t>3921208003</t>
  </si>
  <si>
    <t>6220008545</t>
  </si>
  <si>
    <t>3252024025</t>
  </si>
  <si>
    <t>7170220515</t>
  </si>
  <si>
    <t>7170020181</t>
  </si>
  <si>
    <t>6220005362</t>
  </si>
  <si>
    <t>5561000978</t>
  </si>
  <si>
    <t>3252016086</t>
  </si>
  <si>
    <t>7170220450</t>
  </si>
  <si>
    <t>7880023765</t>
  </si>
  <si>
    <t>9950003164</t>
  </si>
  <si>
    <t>5500006158</t>
  </si>
  <si>
    <t>3920897084</t>
  </si>
  <si>
    <t>5520263778</t>
  </si>
  <si>
    <t>9950002344</t>
  </si>
  <si>
    <t>3920897398</t>
  </si>
  <si>
    <t>7170220454</t>
  </si>
  <si>
    <t>3252024095</t>
  </si>
  <si>
    <t>7170019013</t>
  </si>
  <si>
    <t>7170220540</t>
  </si>
  <si>
    <t>7170220478</t>
  </si>
  <si>
    <t>5561004661</t>
  </si>
  <si>
    <t>8431300510</t>
  </si>
  <si>
    <t>8431501132</t>
  </si>
  <si>
    <t>3250200401</t>
  </si>
  <si>
    <t>5520506071</t>
  </si>
  <si>
    <t>9950004927</t>
  </si>
  <si>
    <t>5561001956</t>
  </si>
  <si>
    <t>7170240743</t>
  </si>
  <si>
    <t>3250200604</t>
  </si>
  <si>
    <t>3252006120</t>
  </si>
  <si>
    <t>8150020292</t>
  </si>
  <si>
    <t>2230011314</t>
  </si>
  <si>
    <t>7880013001</t>
  </si>
  <si>
    <t>1560061000</t>
  </si>
  <si>
    <t>1780842817</t>
  </si>
  <si>
    <t>4210004068</t>
  </si>
  <si>
    <t>5878516276</t>
  </si>
  <si>
    <t>3250200020</t>
  </si>
  <si>
    <t>9950013136</t>
  </si>
  <si>
    <t>8431400762</t>
  </si>
  <si>
    <t>8432202088</t>
  </si>
  <si>
    <t>7170019011</t>
  </si>
  <si>
    <t>8431200400</t>
  </si>
  <si>
    <t>9950004487</t>
  </si>
  <si>
    <t>8431200401</t>
  </si>
  <si>
    <t>8431400745</t>
  </si>
  <si>
    <t>8431400759</t>
  </si>
  <si>
    <t>6220009234</t>
  </si>
  <si>
    <t>5561007369</t>
  </si>
  <si>
    <t>5561007133</t>
  </si>
  <si>
    <t>5561005070</t>
  </si>
  <si>
    <t>5561007136</t>
  </si>
  <si>
    <t>5561004525</t>
  </si>
  <si>
    <t>5561007451</t>
  </si>
  <si>
    <t>2170241103</t>
  </si>
  <si>
    <t>5520104556</t>
  </si>
  <si>
    <t>5520030614</t>
  </si>
  <si>
    <t>5561003058</t>
  </si>
  <si>
    <t>9092102802</t>
  </si>
  <si>
    <t>8241000047</t>
  </si>
  <si>
    <t>6220007393</t>
  </si>
  <si>
    <t>4210003055</t>
  </si>
  <si>
    <t>3672200009</t>
  </si>
  <si>
    <t>3250200646</t>
  </si>
  <si>
    <t>7170210347</t>
  </si>
  <si>
    <t>9950003312</t>
  </si>
  <si>
    <t>9950004960</t>
  </si>
  <si>
    <t>8150000355</t>
  </si>
  <si>
    <t>5561001284</t>
  </si>
  <si>
    <t>6220006475</t>
  </si>
  <si>
    <t>3252016171</t>
  </si>
  <si>
    <t>9092225802</t>
  </si>
  <si>
    <t>5561000989</t>
  </si>
  <si>
    <t>8150000516</t>
  </si>
  <si>
    <t>9950004707</t>
  </si>
  <si>
    <t>9950010136</t>
  </si>
  <si>
    <t>3252014047</t>
  </si>
  <si>
    <t>2202412700</t>
  </si>
  <si>
    <t>3252022041</t>
  </si>
  <si>
    <t>8210002651</t>
  </si>
  <si>
    <t>8210004682</t>
  </si>
  <si>
    <t>9950008379</t>
  </si>
  <si>
    <t>5870002549</t>
  </si>
  <si>
    <t>5520106855</t>
  </si>
  <si>
    <t>9950009167</t>
  </si>
  <si>
    <t>5870000012</t>
  </si>
  <si>
    <t>5870001544</t>
  </si>
  <si>
    <t>3252008026</t>
  </si>
  <si>
    <t>7170220474</t>
  </si>
  <si>
    <t>7170220492</t>
  </si>
  <si>
    <t>9950002657</t>
  </si>
  <si>
    <t>9950009695</t>
  </si>
  <si>
    <t>3920897581</t>
  </si>
  <si>
    <t>3252023064</t>
  </si>
  <si>
    <t>3928971250</t>
  </si>
  <si>
    <t>6431131263</t>
  </si>
  <si>
    <t>9950002525</t>
  </si>
  <si>
    <t>3920897516</t>
  </si>
  <si>
    <t>9950013202</t>
  </si>
  <si>
    <t>9092204201</t>
  </si>
  <si>
    <t>1600001460</t>
  </si>
  <si>
    <t>3928972467</t>
  </si>
  <si>
    <t>9950004464</t>
  </si>
  <si>
    <t>7142074636</t>
  </si>
  <si>
    <t>3252006114</t>
  </si>
  <si>
    <t>1600002037</t>
  </si>
  <si>
    <t>6220005804</t>
  </si>
  <si>
    <t>8150009953</t>
  </si>
  <si>
    <t>7142077703</t>
  </si>
  <si>
    <t>9950002059</t>
  </si>
  <si>
    <t>8210001699</t>
  </si>
  <si>
    <t>9950008937</t>
  </si>
  <si>
    <t>4210015002</t>
  </si>
  <si>
    <t>9950000374</t>
  </si>
  <si>
    <t>7170230637</t>
  </si>
  <si>
    <t>9092132201</t>
  </si>
  <si>
    <t>9950005089</t>
  </si>
  <si>
    <t>9950002891</t>
  </si>
  <si>
    <t>5561005176</t>
  </si>
  <si>
    <t>3252014077</t>
  </si>
  <si>
    <t>3252010042</t>
  </si>
  <si>
    <t>7170020083</t>
  </si>
  <si>
    <t>4210099051</t>
  </si>
  <si>
    <t>9950002823</t>
  </si>
  <si>
    <t>7170020150</t>
  </si>
  <si>
    <t>9950003413</t>
  </si>
  <si>
    <t>4210004041</t>
  </si>
  <si>
    <t>9950012999</t>
  </si>
  <si>
    <t>9950001826</t>
  </si>
  <si>
    <t>9950011554</t>
  </si>
  <si>
    <t>2201013900</t>
  </si>
  <si>
    <t>9950008610</t>
  </si>
  <si>
    <t>9950002294</t>
  </si>
  <si>
    <t>4087184116</t>
  </si>
  <si>
    <t>6220003446</t>
  </si>
  <si>
    <t>9950010477</t>
  </si>
  <si>
    <t>3252015001</t>
  </si>
  <si>
    <t>9092130806</t>
  </si>
  <si>
    <t>3252016002</t>
  </si>
  <si>
    <t>5520030742</t>
  </si>
  <si>
    <t>9950003914</t>
  </si>
  <si>
    <t>9950004036</t>
  </si>
  <si>
    <t>3252017109</t>
  </si>
  <si>
    <t>7142070558</t>
  </si>
  <si>
    <t>9950002337</t>
  </si>
  <si>
    <t>9950002822</t>
  </si>
  <si>
    <t>9950002362</t>
  </si>
  <si>
    <t>3250990025</t>
  </si>
  <si>
    <t>7142070575</t>
  </si>
  <si>
    <t>8210001742</t>
  </si>
  <si>
    <t>8210002746</t>
  </si>
  <si>
    <t>8431200333</t>
  </si>
  <si>
    <t>5870001450</t>
  </si>
  <si>
    <t>7170210329</t>
  </si>
  <si>
    <t>5870002603</t>
  </si>
  <si>
    <t>1600002220</t>
  </si>
  <si>
    <t>7170220529</t>
  </si>
  <si>
    <t>5870104091</t>
  </si>
  <si>
    <t>8690009409</t>
  </si>
  <si>
    <t>5520787352</t>
  </si>
  <si>
    <t>8210001747</t>
  </si>
  <si>
    <t>1600003576</t>
  </si>
  <si>
    <t>9092134303</t>
  </si>
  <si>
    <t>9950000119</t>
  </si>
  <si>
    <t>9950003165</t>
  </si>
  <si>
    <t>6431036700</t>
  </si>
  <si>
    <t>9950003019</t>
  </si>
  <si>
    <t>6432016780</t>
  </si>
  <si>
    <t>6430713960</t>
  </si>
  <si>
    <t>3252015134</t>
  </si>
  <si>
    <t>8210002585</t>
  </si>
  <si>
    <t>5870001899</t>
  </si>
  <si>
    <t>8210007629</t>
  </si>
  <si>
    <t>3252023032</t>
  </si>
  <si>
    <t>3252022092</t>
  </si>
  <si>
    <t>5520692148</t>
  </si>
  <si>
    <t>9092135002</t>
  </si>
  <si>
    <t>8431300641</t>
  </si>
  <si>
    <t>3252018075</t>
  </si>
  <si>
    <t>9950000121</t>
  </si>
  <si>
    <t>2202412300</t>
  </si>
  <si>
    <t>9950012191</t>
  </si>
  <si>
    <t>3672300040</t>
  </si>
  <si>
    <t>3510934741</t>
  </si>
  <si>
    <t>3510928939</t>
  </si>
  <si>
    <t>3510934737</t>
  </si>
  <si>
    <t>7889002100</t>
  </si>
  <si>
    <t>3252024066</t>
  </si>
  <si>
    <t>3252008019</t>
  </si>
  <si>
    <t>3252015018</t>
  </si>
  <si>
    <t>3250980009</t>
  </si>
  <si>
    <t>3252024071</t>
  </si>
  <si>
    <t>8431801464</t>
  </si>
  <si>
    <t>7170220532</t>
  </si>
  <si>
    <t>3252019042</t>
  </si>
  <si>
    <t>9950001684</t>
  </si>
  <si>
    <t>3252017115</t>
  </si>
  <si>
    <t>4210020041</t>
  </si>
  <si>
    <t>8210007064</t>
  </si>
  <si>
    <t>6430713930</t>
  </si>
  <si>
    <t>8431801398</t>
  </si>
  <si>
    <t>8210006180</t>
  </si>
  <si>
    <t>3252024097</t>
  </si>
  <si>
    <t>8210002765</t>
  </si>
  <si>
    <t>3252020095</t>
  </si>
  <si>
    <t>7170210304</t>
  </si>
  <si>
    <t>3252019044</t>
  </si>
  <si>
    <t>3252020047</t>
  </si>
  <si>
    <t>7170220500</t>
  </si>
  <si>
    <t>9950008693</t>
  </si>
  <si>
    <t>9950004706</t>
  </si>
  <si>
    <t>8210002771</t>
  </si>
  <si>
    <t>3920897486</t>
  </si>
  <si>
    <t>3671600002</t>
  </si>
  <si>
    <t>1600003367</t>
  </si>
  <si>
    <t>3252023068</t>
  </si>
  <si>
    <t>8431701162</t>
  </si>
  <si>
    <t>8150025214</t>
  </si>
  <si>
    <t>3252016144</t>
  </si>
  <si>
    <t>3252016121</t>
  </si>
  <si>
    <t>7880289220</t>
  </si>
  <si>
    <t>3252019079</t>
  </si>
  <si>
    <t>3252021081</t>
  </si>
  <si>
    <t>9950004576</t>
  </si>
  <si>
    <t>3252010069</t>
  </si>
  <si>
    <t>3671900013</t>
  </si>
  <si>
    <t>9092116501</t>
  </si>
  <si>
    <t>9950003361</t>
  </si>
  <si>
    <t>2201704300</t>
  </si>
  <si>
    <t>2170321055</t>
  </si>
  <si>
    <t>9950008567</t>
  </si>
  <si>
    <t>9950001314</t>
  </si>
  <si>
    <t>7170230636</t>
  </si>
  <si>
    <t>3252017102</t>
  </si>
  <si>
    <t>8210004705</t>
  </si>
  <si>
    <t>4210099127</t>
  </si>
  <si>
    <t>3920897713</t>
  </si>
  <si>
    <t>4213724402</t>
  </si>
  <si>
    <t>9950005015</t>
  </si>
  <si>
    <t>9950002681</t>
  </si>
  <si>
    <t>3920897836</t>
  </si>
  <si>
    <t>4210016056</t>
  </si>
  <si>
    <t>3671600009</t>
  </si>
  <si>
    <t>6220008075</t>
  </si>
  <si>
    <t>8431501027</t>
  </si>
  <si>
    <t>9950012179</t>
  </si>
  <si>
    <t>3671500037</t>
  </si>
  <si>
    <t>3928971896</t>
  </si>
  <si>
    <t>9950005079</t>
  </si>
  <si>
    <t>3671238012</t>
  </si>
  <si>
    <t>3252015086</t>
  </si>
  <si>
    <t>2202502300</t>
  </si>
  <si>
    <t>6220007867</t>
  </si>
  <si>
    <t>6780000200</t>
  </si>
  <si>
    <t>5870000816</t>
  </si>
  <si>
    <t>9950010304</t>
  </si>
  <si>
    <t>3252006131</t>
  </si>
  <si>
    <t>7170220570</t>
  </si>
  <si>
    <t>3928971613</t>
  </si>
  <si>
    <t>5100035620</t>
  </si>
  <si>
    <t>3252014078</t>
  </si>
  <si>
    <t>4210005030</t>
  </si>
  <si>
    <t>3671800004</t>
  </si>
  <si>
    <t>5400000684</t>
  </si>
  <si>
    <t>4210007076</t>
  </si>
  <si>
    <t>8150017899</t>
  </si>
  <si>
    <t>3252006141</t>
  </si>
  <si>
    <t>0009833320</t>
  </si>
  <si>
    <t>3252006163</t>
  </si>
  <si>
    <t>5561005389</t>
  </si>
  <si>
    <t>5561008178</t>
  </si>
  <si>
    <t>3252014044</t>
  </si>
  <si>
    <t>5400000242</t>
  </si>
  <si>
    <t>9950003636</t>
  </si>
  <si>
    <t>7880289693</t>
  </si>
  <si>
    <t>5561001379</t>
  </si>
  <si>
    <t>6220005790</t>
  </si>
  <si>
    <t>5350000154</t>
  </si>
  <si>
    <t>5870001621</t>
  </si>
  <si>
    <t>8241000243</t>
  </si>
  <si>
    <t>7170020229</t>
  </si>
  <si>
    <t>5561007543</t>
  </si>
  <si>
    <t>5561008157</t>
  </si>
  <si>
    <t>9950010825</t>
  </si>
  <si>
    <t>5520168321</t>
  </si>
  <si>
    <t>5520048410</t>
  </si>
  <si>
    <t>2580006974</t>
  </si>
  <si>
    <t>6220009131</t>
  </si>
  <si>
    <t>2580001101</t>
  </si>
  <si>
    <t>5870001591</t>
  </si>
  <si>
    <t>9950000324</t>
  </si>
  <si>
    <t>9092135402</t>
  </si>
  <si>
    <t>3252007025</t>
  </si>
  <si>
    <t>3252023069</t>
  </si>
  <si>
    <t>8210002579</t>
  </si>
  <si>
    <t>9950009229</t>
  </si>
  <si>
    <t>3672300039</t>
  </si>
  <si>
    <t>8210005794</t>
  </si>
  <si>
    <t>3252017066</t>
  </si>
  <si>
    <t>8210004469</t>
  </si>
  <si>
    <t>3252021060</t>
  </si>
  <si>
    <t>2780093459</t>
  </si>
  <si>
    <t>8210002783</t>
  </si>
  <si>
    <t>8210008813</t>
  </si>
  <si>
    <t>9950008526</t>
  </si>
  <si>
    <t>8210006353</t>
  </si>
  <si>
    <t>9950011182</t>
  </si>
  <si>
    <t>1600003333</t>
  </si>
  <si>
    <t>9950004219</t>
  </si>
  <si>
    <t>7170019026</t>
  </si>
  <si>
    <t>8431901733</t>
  </si>
  <si>
    <t>8210001870</t>
  </si>
  <si>
    <t>9950004623</t>
  </si>
  <si>
    <t>9950002271</t>
  </si>
  <si>
    <t>9950009351</t>
  </si>
  <si>
    <t>9950001596</t>
  </si>
  <si>
    <t>9950001232</t>
  </si>
  <si>
    <t>2580001947</t>
  </si>
  <si>
    <t>9950011911</t>
  </si>
  <si>
    <t>3252023030</t>
  </si>
  <si>
    <t>6431813920</t>
  </si>
  <si>
    <t>5870001643</t>
  </si>
  <si>
    <t>9950001772</t>
  </si>
  <si>
    <t>7170220439</t>
  </si>
  <si>
    <t>3252023073</t>
  </si>
  <si>
    <t>3252017017</t>
  </si>
  <si>
    <t>3252024052</t>
  </si>
  <si>
    <t>3252021091</t>
  </si>
  <si>
    <t>8431701263</t>
  </si>
  <si>
    <t>8210006349</t>
  </si>
  <si>
    <t>8432101935</t>
  </si>
  <si>
    <t>3672400003</t>
  </si>
  <si>
    <t>8432402251</t>
  </si>
  <si>
    <t>3252024089</t>
  </si>
  <si>
    <t>8432001924</t>
  </si>
  <si>
    <t>6432117440</t>
  </si>
  <si>
    <t>8210007082</t>
  </si>
  <si>
    <t>3252023037</t>
  </si>
  <si>
    <t>3252017050</t>
  </si>
  <si>
    <t>8210006463</t>
  </si>
  <si>
    <t>3252007054</t>
  </si>
  <si>
    <t>3928971931</t>
  </si>
  <si>
    <t>1600003744</t>
  </si>
  <si>
    <t>3255814142</t>
  </si>
  <si>
    <t>9950010007</t>
  </si>
  <si>
    <t>5870002600</t>
  </si>
  <si>
    <t>3252021085</t>
  </si>
  <si>
    <t>8431400909</t>
  </si>
  <si>
    <t>3252016008</t>
  </si>
  <si>
    <t>3920897317</t>
  </si>
  <si>
    <t>6432117560</t>
  </si>
  <si>
    <t>3252016052</t>
  </si>
  <si>
    <t>9950107802</t>
  </si>
  <si>
    <t>3252019067</t>
  </si>
  <si>
    <t>3252019072</t>
  </si>
  <si>
    <t>9950010785</t>
  </si>
  <si>
    <t>9950002064</t>
  </si>
  <si>
    <t>8210004282</t>
  </si>
  <si>
    <t>8210002584</t>
  </si>
  <si>
    <t>8210005613</t>
  </si>
  <si>
    <t>9950009731</t>
  </si>
  <si>
    <t>8432202018</t>
  </si>
  <si>
    <t>3252023057</t>
  </si>
  <si>
    <t>8210004173</t>
  </si>
  <si>
    <t>1600001586</t>
  </si>
  <si>
    <t>8210002815</t>
  </si>
  <si>
    <t>9950002573</t>
  </si>
  <si>
    <t>3252018045</t>
  </si>
  <si>
    <t>9950001948</t>
  </si>
  <si>
    <t>5561000051</t>
  </si>
  <si>
    <t>8210002145</t>
  </si>
  <si>
    <t>3252016079</t>
  </si>
  <si>
    <t>1780832904</t>
  </si>
  <si>
    <t>9950003488</t>
  </si>
  <si>
    <t>7170020135</t>
  </si>
  <si>
    <t>7880090240</t>
  </si>
  <si>
    <t>8210002824</t>
  </si>
  <si>
    <t>3252006166</t>
  </si>
  <si>
    <t>9092201702</t>
  </si>
  <si>
    <t>5520031278</t>
  </si>
  <si>
    <t>9950001153</t>
  </si>
  <si>
    <t>3252016098</t>
  </si>
  <si>
    <t>8210008076</t>
  </si>
  <si>
    <t>4210016110</t>
  </si>
  <si>
    <t>9950001860</t>
  </si>
  <si>
    <t>8210002837</t>
  </si>
  <si>
    <t>8210003436</t>
  </si>
  <si>
    <t>7170230679</t>
  </si>
  <si>
    <t>8830000508</t>
  </si>
  <si>
    <t>7142074589</t>
  </si>
  <si>
    <t>7170210297</t>
  </si>
  <si>
    <t>8431400912</t>
  </si>
  <si>
    <t>7170230656</t>
  </si>
  <si>
    <t>8210001330</t>
  </si>
  <si>
    <t>7170020068</t>
  </si>
  <si>
    <t>2202300300</t>
  </si>
  <si>
    <t>7170210357</t>
  </si>
  <si>
    <t>7170240752</t>
  </si>
  <si>
    <t>8432001773</t>
  </si>
  <si>
    <t>8210002852</t>
  </si>
  <si>
    <t>9950004962</t>
  </si>
  <si>
    <t>3928972442</t>
  </si>
  <si>
    <t>8431300461</t>
  </si>
  <si>
    <t>8431200321</t>
  </si>
  <si>
    <t>9950004554</t>
  </si>
  <si>
    <t>7170210294</t>
  </si>
  <si>
    <t>7889011000</t>
  </si>
  <si>
    <t>9950008637</t>
  </si>
  <si>
    <t>5561001394</t>
  </si>
  <si>
    <t>9950003001</t>
  </si>
  <si>
    <t>6220008168</t>
  </si>
  <si>
    <t>8210001860</t>
  </si>
  <si>
    <t>3252018071</t>
  </si>
  <si>
    <t>6220006983</t>
  </si>
  <si>
    <t>4213724377</t>
  </si>
  <si>
    <t>8431601138</t>
  </si>
  <si>
    <t>6227233652</t>
  </si>
  <si>
    <t>7170230676</t>
  </si>
  <si>
    <t>3920897049</t>
  </si>
  <si>
    <t>9950000916</t>
  </si>
  <si>
    <t>8432001774</t>
  </si>
  <si>
    <t>3252024088</t>
  </si>
  <si>
    <t>7170240774</t>
  </si>
  <si>
    <t>3672400010</t>
  </si>
  <si>
    <t>9950005025</t>
  </si>
  <si>
    <t>9950002255</t>
  </si>
  <si>
    <t>3672400006</t>
  </si>
  <si>
    <t>5520091662</t>
  </si>
  <si>
    <t>5520205939</t>
  </si>
  <si>
    <t>8431701235</t>
  </si>
  <si>
    <t>8431200393</t>
  </si>
  <si>
    <t>5870001678</t>
  </si>
  <si>
    <t>7170210374</t>
  </si>
  <si>
    <t>8210005186</t>
  </si>
  <si>
    <t>1600001914</t>
  </si>
  <si>
    <t>3928972400</t>
  </si>
  <si>
    <t>3252015034</t>
  </si>
  <si>
    <t>8431400914</t>
  </si>
  <si>
    <t>3252016101</t>
  </si>
  <si>
    <t>5870001515</t>
  </si>
  <si>
    <t>6431914730</t>
  </si>
  <si>
    <t>3252023027</t>
  </si>
  <si>
    <t>3252019061</t>
  </si>
  <si>
    <t>8210002910</t>
  </si>
  <si>
    <t>1600001830</t>
  </si>
  <si>
    <t>3250200409</t>
  </si>
  <si>
    <t>3252024034</t>
  </si>
  <si>
    <t>6431242087</t>
  </si>
  <si>
    <t>9950006565</t>
  </si>
  <si>
    <t>3252020055</t>
  </si>
  <si>
    <t>8210006572</t>
  </si>
  <si>
    <t>8210007270</t>
  </si>
  <si>
    <t>8210006252</t>
  </si>
  <si>
    <t>5870106321</t>
  </si>
  <si>
    <t>3928972018</t>
  </si>
  <si>
    <t>8210002873</t>
  </si>
  <si>
    <t>6431251900</t>
  </si>
  <si>
    <t>3252024020</t>
  </si>
  <si>
    <t>8432101977</t>
  </si>
  <si>
    <t>3252023024</t>
  </si>
  <si>
    <t>3928971317</t>
  </si>
  <si>
    <t>3252023060</t>
  </si>
  <si>
    <t>8210004599</t>
  </si>
  <si>
    <t>6430311390</t>
  </si>
  <si>
    <t>3252024018</t>
  </si>
  <si>
    <t>6431249100</t>
  </si>
  <si>
    <t>8210002919</t>
  </si>
  <si>
    <t>7170240754</t>
  </si>
  <si>
    <t>3252019047</t>
  </si>
  <si>
    <t>8431801468</t>
  </si>
  <si>
    <t>8210003887</t>
  </si>
  <si>
    <t>5400000302</t>
  </si>
  <si>
    <t>8210001471</t>
  </si>
  <si>
    <t>9950009317</t>
  </si>
  <si>
    <t>9950011353</t>
  </si>
  <si>
    <t>3671200010</t>
  </si>
  <si>
    <t>5561000987</t>
  </si>
  <si>
    <t>6431914630</t>
  </si>
  <si>
    <t>7170230668</t>
  </si>
  <si>
    <t>3252020093</t>
  </si>
  <si>
    <t>6431364800</t>
  </si>
  <si>
    <t>6431914620</t>
  </si>
  <si>
    <t>8210004450</t>
  </si>
  <si>
    <t>3252023062</t>
  </si>
  <si>
    <t>5561008352</t>
  </si>
  <si>
    <t>9950001019</t>
  </si>
  <si>
    <t>8210008782</t>
  </si>
  <si>
    <t>3928971413</t>
  </si>
  <si>
    <t>1600001861</t>
  </si>
  <si>
    <t>3928972429</t>
  </si>
  <si>
    <t>3250200626</t>
  </si>
  <si>
    <t>3252024098</t>
  </si>
  <si>
    <t>8210007902</t>
  </si>
  <si>
    <t>8210007529</t>
  </si>
  <si>
    <t>9950010678</t>
  </si>
  <si>
    <t>8431300414</t>
  </si>
  <si>
    <t>9950003386</t>
  </si>
  <si>
    <t>1600003719</t>
  </si>
  <si>
    <t>3252018034</t>
  </si>
  <si>
    <t>2202501600</t>
  </si>
  <si>
    <t>3252024056</t>
  </si>
  <si>
    <t>5872741167</t>
  </si>
  <si>
    <t>8431300556</t>
  </si>
  <si>
    <t>8210004959</t>
  </si>
  <si>
    <t>3252024033</t>
  </si>
  <si>
    <t>3252006133</t>
  </si>
  <si>
    <t>7170020164</t>
  </si>
  <si>
    <t>9950008826</t>
  </si>
  <si>
    <t>7170020158</t>
  </si>
  <si>
    <t>7142074719</t>
  </si>
  <si>
    <t>3252024085</t>
  </si>
  <si>
    <t>9950002697</t>
  </si>
  <si>
    <t>7170020272</t>
  </si>
  <si>
    <t>3671009642</t>
  </si>
  <si>
    <t>5561001389</t>
  </si>
  <si>
    <t>3252024086</t>
  </si>
  <si>
    <t>7880270467</t>
  </si>
  <si>
    <t>9950003222</t>
  </si>
  <si>
    <t>7170210314</t>
  </si>
  <si>
    <t>3920897978</t>
  </si>
  <si>
    <t>8210004244</t>
  </si>
  <si>
    <t>8431200307</t>
  </si>
  <si>
    <t>5561001378</t>
  </si>
  <si>
    <t>8431501034</t>
  </si>
  <si>
    <t>8431801543</t>
  </si>
  <si>
    <t>3252024027</t>
  </si>
  <si>
    <t>3920897436</t>
  </si>
  <si>
    <t>1600003606</t>
  </si>
  <si>
    <t>3672300017</t>
  </si>
  <si>
    <t>2202501000</t>
  </si>
  <si>
    <t>7170020178</t>
  </si>
  <si>
    <t>5870002361</t>
  </si>
  <si>
    <t>8431500981</t>
  </si>
  <si>
    <t>8210006368</t>
  </si>
  <si>
    <t>9950004856</t>
  </si>
  <si>
    <t>5870001532</t>
  </si>
  <si>
    <t>8210004770</t>
  </si>
  <si>
    <t>7170240777</t>
  </si>
  <si>
    <t>8210002946</t>
  </si>
  <si>
    <t>7170210285</t>
  </si>
  <si>
    <t>8210001822</t>
  </si>
  <si>
    <t>8432001876</t>
  </si>
  <si>
    <t>5870001510</t>
  </si>
  <si>
    <t>9950011686</t>
  </si>
  <si>
    <t>9092205903</t>
  </si>
  <si>
    <t>8431300496</t>
  </si>
  <si>
    <t>1600003713</t>
  </si>
  <si>
    <t>3252024063</t>
  </si>
  <si>
    <t>8210006589</t>
  </si>
  <si>
    <t>5520031241</t>
  </si>
  <si>
    <t>3672400013</t>
  </si>
  <si>
    <t>9950000236</t>
  </si>
  <si>
    <t>8430700011</t>
  </si>
  <si>
    <t>8210001874</t>
  </si>
  <si>
    <t>5406859126</t>
  </si>
  <si>
    <t>5400000560</t>
  </si>
  <si>
    <t>8210009073</t>
  </si>
  <si>
    <t>7880234662</t>
  </si>
  <si>
    <t>5520335903</t>
  </si>
  <si>
    <t>3252014068</t>
  </si>
  <si>
    <t>7170240853</t>
  </si>
  <si>
    <t>9092127903</t>
  </si>
  <si>
    <t>3671800012</t>
  </si>
  <si>
    <t>8241000052</t>
  </si>
  <si>
    <t>5520031649</t>
  </si>
  <si>
    <t>0009833321</t>
  </si>
  <si>
    <t>5561000103</t>
  </si>
  <si>
    <t>8210001403</t>
  </si>
  <si>
    <t>9950002491</t>
  </si>
  <si>
    <t>9092204803</t>
  </si>
  <si>
    <t>9950000921</t>
  </si>
  <si>
    <t>9092204901</t>
  </si>
  <si>
    <t>3252013052</t>
  </si>
  <si>
    <t>9950000420</t>
  </si>
  <si>
    <t>7170220605</t>
  </si>
  <si>
    <t>6431242170</t>
  </si>
  <si>
    <t>9950010508</t>
  </si>
  <si>
    <t>3920897311</t>
  </si>
  <si>
    <t>8210004894</t>
  </si>
  <si>
    <t>1600000746</t>
  </si>
  <si>
    <t>5872376139</t>
  </si>
  <si>
    <t>3671200005</t>
  </si>
  <si>
    <t>3252019092</t>
  </si>
  <si>
    <t>8210008618</t>
  </si>
  <si>
    <t>9950001601</t>
  </si>
  <si>
    <t>9950000229</t>
  </si>
  <si>
    <t>1600001157</t>
  </si>
  <si>
    <t>8210001371</t>
  </si>
  <si>
    <t>4210012023</t>
  </si>
  <si>
    <t>3250200634</t>
  </si>
  <si>
    <t>9950008825</t>
  </si>
  <si>
    <t>9950008028</t>
  </si>
  <si>
    <t>9950000687</t>
  </si>
  <si>
    <t>6431813010</t>
  </si>
  <si>
    <t>9950009298</t>
  </si>
  <si>
    <t>8210001914</t>
  </si>
  <si>
    <t>8210004630</t>
  </si>
  <si>
    <t>3252012046</t>
  </si>
  <si>
    <t>8210002992</t>
  </si>
  <si>
    <t>9950010622</t>
  </si>
  <si>
    <t>8210001919</t>
  </si>
  <si>
    <t>7142073583</t>
  </si>
  <si>
    <t>8210005103</t>
  </si>
  <si>
    <t>3250970024</t>
  </si>
  <si>
    <t>8241000219</t>
  </si>
  <si>
    <t>3950001318</t>
  </si>
  <si>
    <t>3671800109</t>
  </si>
  <si>
    <t>9950012492</t>
  </si>
  <si>
    <t>3672400031</t>
  </si>
  <si>
    <t>3928971205</t>
  </si>
  <si>
    <t>5870001866</t>
  </si>
  <si>
    <t>7281691132</t>
  </si>
  <si>
    <t>4210011031</t>
  </si>
  <si>
    <t>5561001474</t>
  </si>
  <si>
    <t>9950000651</t>
  </si>
  <si>
    <t>9950007730</t>
  </si>
  <si>
    <t>8150021879</t>
  </si>
  <si>
    <t>3250200008</t>
  </si>
  <si>
    <t>5561008307</t>
  </si>
  <si>
    <t>8432302115</t>
  </si>
  <si>
    <t>7170019030</t>
  </si>
  <si>
    <t>3252018060</t>
  </si>
  <si>
    <t>8210002079</t>
  </si>
  <si>
    <t>9950000941</t>
  </si>
  <si>
    <t>9950009164</t>
  </si>
  <si>
    <t>9950009549</t>
  </si>
  <si>
    <t>9950001143</t>
  </si>
  <si>
    <t>8210001961</t>
  </si>
  <si>
    <t>8210001580</t>
  </si>
  <si>
    <t>8431400870</t>
  </si>
  <si>
    <t>7170220497</t>
  </si>
  <si>
    <t>9950000178</t>
  </si>
  <si>
    <t>8431801443</t>
  </si>
  <si>
    <t>7170020165</t>
  </si>
  <si>
    <t>8431300477</t>
  </si>
  <si>
    <t>8431701369</t>
  </si>
  <si>
    <t>3928971848</t>
  </si>
  <si>
    <t>8431501137</t>
  </si>
  <si>
    <t>7170220577</t>
  </si>
  <si>
    <t>7170210291</t>
  </si>
  <si>
    <t>6432420450</t>
  </si>
  <si>
    <t>6431361700</t>
  </si>
  <si>
    <t>9950010280</t>
  </si>
  <si>
    <t>4210011037</t>
  </si>
  <si>
    <t>3252016115</t>
  </si>
  <si>
    <t>9950001130</t>
  </si>
  <si>
    <t>9950004490</t>
  </si>
  <si>
    <t>8431701167</t>
  </si>
  <si>
    <t>9950008296</t>
  </si>
  <si>
    <t>9950001800</t>
  </si>
  <si>
    <t>9950001359</t>
  </si>
  <si>
    <t>9950000433</t>
  </si>
  <si>
    <t>7170230642</t>
  </si>
  <si>
    <t>1600002884</t>
  </si>
  <si>
    <t>3252024107</t>
  </si>
  <si>
    <t>3252014051</t>
  </si>
  <si>
    <t>7170020076</t>
  </si>
  <si>
    <t>8210006489</t>
  </si>
  <si>
    <t>3920897571</t>
  </si>
  <si>
    <t>7170240744</t>
  </si>
  <si>
    <t>8431701286</t>
  </si>
  <si>
    <t>8210003016</t>
  </si>
  <si>
    <t>5561000991</t>
  </si>
  <si>
    <t>1780867067</t>
  </si>
  <si>
    <t>3252019091</t>
  </si>
  <si>
    <t>8210008510</t>
  </si>
  <si>
    <t>6432016560</t>
  </si>
  <si>
    <t>3252019020</t>
  </si>
  <si>
    <t>7170210287</t>
  </si>
  <si>
    <t>7170220485</t>
  </si>
  <si>
    <t>5870002017</t>
  </si>
  <si>
    <t>7170220455</t>
  </si>
  <si>
    <t>2202305200</t>
  </si>
  <si>
    <t>7170240779</t>
  </si>
  <si>
    <t>9950000189</t>
  </si>
  <si>
    <t>3928971130</t>
  </si>
  <si>
    <t>8431701243</t>
  </si>
  <si>
    <t>3252021095</t>
  </si>
  <si>
    <t>5870001897</t>
  </si>
  <si>
    <t>1600001442</t>
  </si>
  <si>
    <t>1600003308</t>
  </si>
  <si>
    <t>8210001604</t>
  </si>
  <si>
    <t>6431141600</t>
  </si>
  <si>
    <t>3252021069</t>
  </si>
  <si>
    <t>8210008645</t>
  </si>
  <si>
    <t>3252015028</t>
  </si>
  <si>
    <t>9950003419</t>
  </si>
  <si>
    <t>3928971620</t>
  </si>
  <si>
    <t>6432117850</t>
  </si>
  <si>
    <t>6431915390</t>
  </si>
  <si>
    <t>6432117460</t>
  </si>
  <si>
    <t>3252024075</t>
  </si>
  <si>
    <t>9950013855</t>
  </si>
  <si>
    <t>8210003024</t>
  </si>
  <si>
    <t>9950008172</t>
  </si>
  <si>
    <t>9950013949</t>
  </si>
  <si>
    <t>7170220471</t>
  </si>
  <si>
    <t>9950013400</t>
  </si>
  <si>
    <t>1600002280</t>
  </si>
  <si>
    <t>7170020062</t>
  </si>
  <si>
    <t>3252024062</t>
  </si>
  <si>
    <t>4210099061</t>
  </si>
  <si>
    <t>9092126006</t>
  </si>
  <si>
    <t>9950011690</t>
  </si>
  <si>
    <t>3928971062</t>
  </si>
  <si>
    <t>3252006139</t>
  </si>
  <si>
    <t>3252024026</t>
  </si>
  <si>
    <t>5561002191</t>
  </si>
  <si>
    <t>1463880628</t>
  </si>
  <si>
    <t>4210004039</t>
  </si>
  <si>
    <t>3928971274</t>
  </si>
  <si>
    <t>8431200376</t>
  </si>
  <si>
    <t>9950004234</t>
  </si>
  <si>
    <t>9950009889</t>
  </si>
  <si>
    <t>7170210367</t>
  </si>
  <si>
    <t>8830000527</t>
  </si>
  <si>
    <t>5520030659</t>
  </si>
  <si>
    <t>5520031648</t>
  </si>
  <si>
    <t>5520078090</t>
  </si>
  <si>
    <t>5520548440</t>
  </si>
  <si>
    <t>3920897435</t>
  </si>
  <si>
    <t>9950001817</t>
  </si>
  <si>
    <t>3252015138</t>
  </si>
  <si>
    <t>9092209702</t>
  </si>
  <si>
    <t>2170040631</t>
  </si>
  <si>
    <t>3252006191</t>
  </si>
  <si>
    <t>5875897559</t>
  </si>
  <si>
    <t>3672300076</t>
  </si>
  <si>
    <t>8210007272</t>
  </si>
  <si>
    <t>9950000088</t>
  </si>
  <si>
    <t>3928972141</t>
  </si>
  <si>
    <t>6220009056</t>
  </si>
  <si>
    <t>8210005556</t>
  </si>
  <si>
    <t>5561000745</t>
  </si>
  <si>
    <t>9950000125</t>
  </si>
  <si>
    <t>9950002153</t>
  </si>
  <si>
    <t>3252021070</t>
  </si>
  <si>
    <t>5871578517</t>
  </si>
  <si>
    <t>9950013183</t>
  </si>
  <si>
    <t>3252023021</t>
  </si>
  <si>
    <t>5561000998</t>
  </si>
  <si>
    <t>8210003040</t>
  </si>
  <si>
    <t>6431144900</t>
  </si>
  <si>
    <t>8210003042</t>
  </si>
  <si>
    <t>6431142400</t>
  </si>
  <si>
    <t>1780833888</t>
  </si>
  <si>
    <t>9950004785</t>
  </si>
  <si>
    <t>7170210341</t>
  </si>
  <si>
    <t>5875720800</t>
  </si>
  <si>
    <t>3252015006</t>
  </si>
  <si>
    <t>3920000972</t>
  </si>
  <si>
    <t>5870002354</t>
  </si>
  <si>
    <t>9950003043</t>
  </si>
  <si>
    <t>6220007872</t>
  </si>
  <si>
    <t>6220006883</t>
  </si>
  <si>
    <t>3252006187</t>
  </si>
  <si>
    <t>9950004833</t>
  </si>
  <si>
    <t>9092202008</t>
  </si>
  <si>
    <t>5520811931</t>
  </si>
  <si>
    <t>9950004705</t>
  </si>
  <si>
    <t>9950009388</t>
  </si>
  <si>
    <t>3920897373</t>
  </si>
  <si>
    <t>3252007052</t>
  </si>
  <si>
    <t>8210007497</t>
  </si>
  <si>
    <t>8431701320</t>
  </si>
  <si>
    <t>7142074239</t>
  </si>
  <si>
    <t>9950003195</t>
  </si>
  <si>
    <t>8150000557</t>
  </si>
  <si>
    <t>3671800033</t>
  </si>
  <si>
    <t>3928971284</t>
  </si>
  <si>
    <t>8210002118</t>
  </si>
  <si>
    <t>8210002135</t>
  </si>
  <si>
    <t>3671500019</t>
  </si>
  <si>
    <t>7170240797</t>
  </si>
  <si>
    <t>3672100023</t>
  </si>
  <si>
    <t>9950000253</t>
  </si>
  <si>
    <t>3928971580</t>
  </si>
  <si>
    <t>9950009781</t>
  </si>
  <si>
    <t>8432101991</t>
  </si>
  <si>
    <t>8432101997</t>
  </si>
  <si>
    <t>7170220506</t>
  </si>
  <si>
    <t>7170210376</t>
  </si>
  <si>
    <t>5870002308</t>
  </si>
  <si>
    <t>8210006506</t>
  </si>
  <si>
    <t>3252023043</t>
  </si>
  <si>
    <t>5870001513</t>
  </si>
  <si>
    <t>7170240778</t>
  </si>
  <si>
    <t>6431254900</t>
  </si>
  <si>
    <t>8431501099</t>
  </si>
  <si>
    <t>9950009393</t>
  </si>
  <si>
    <t>8431400826</t>
  </si>
  <si>
    <t>7170240857</t>
  </si>
  <si>
    <t>8431100242</t>
  </si>
  <si>
    <t>6431254600</t>
  </si>
  <si>
    <t>9092133404</t>
  </si>
  <si>
    <t>8431801552</t>
  </si>
  <si>
    <t>8210003057</t>
  </si>
  <si>
    <t>3671600133</t>
  </si>
  <si>
    <t>3252011059</t>
  </si>
  <si>
    <t>7170020079</t>
  </si>
  <si>
    <t>8431901590</t>
  </si>
  <si>
    <t>8210003041</t>
  </si>
  <si>
    <t>8431701310</t>
  </si>
  <si>
    <t>8210001786</t>
  </si>
  <si>
    <t>7170020163</t>
  </si>
  <si>
    <t>8431501126</t>
  </si>
  <si>
    <t>7170220476</t>
  </si>
  <si>
    <t>5870001536</t>
  </si>
  <si>
    <t>3252008078</t>
  </si>
  <si>
    <t>3252015109</t>
  </si>
  <si>
    <t>1600001192</t>
  </si>
  <si>
    <t>7170020066</t>
  </si>
  <si>
    <t>4212022036</t>
  </si>
  <si>
    <t>8210004007</t>
  </si>
  <si>
    <t>9950002164</t>
  </si>
  <si>
    <t>7170210337</t>
  </si>
  <si>
    <t>8150000919</t>
  </si>
  <si>
    <t>7170210343</t>
  </si>
  <si>
    <t>8210007602</t>
  </si>
  <si>
    <t>7170230673</t>
  </si>
  <si>
    <t>6431697300</t>
  </si>
  <si>
    <t>9950010251</t>
  </si>
  <si>
    <t>3671600079</t>
  </si>
  <si>
    <t>3252010064</t>
  </si>
  <si>
    <t>3252022096</t>
  </si>
  <si>
    <t>9950014158</t>
  </si>
  <si>
    <t>3252020043</t>
  </si>
  <si>
    <t>9950003615</t>
  </si>
  <si>
    <t>3252016149</t>
  </si>
  <si>
    <t>9950008812</t>
  </si>
  <si>
    <t>3252017130</t>
  </si>
  <si>
    <t>6432420320</t>
  </si>
  <si>
    <t>6220007860</t>
  </si>
  <si>
    <t>3252013019</t>
  </si>
  <si>
    <t>7170220479</t>
  </si>
  <si>
    <t>3253155668</t>
  </si>
  <si>
    <t>8210001082</t>
  </si>
  <si>
    <t>8210001240</t>
  </si>
  <si>
    <t>3671600134</t>
  </si>
  <si>
    <t>5870002218</t>
  </si>
  <si>
    <t>8210003087</t>
  </si>
  <si>
    <t>8431701321</t>
  </si>
  <si>
    <t>7170240787</t>
  </si>
  <si>
    <t>8431200345</t>
  </si>
  <si>
    <t>5872619594</t>
  </si>
  <si>
    <t>7170240780</t>
  </si>
  <si>
    <t>5561001429</t>
  </si>
  <si>
    <t>6220005333</t>
  </si>
  <si>
    <t>4212024040</t>
  </si>
  <si>
    <t>4210019033</t>
  </si>
  <si>
    <t>6220005828</t>
  </si>
  <si>
    <t>4210007119</t>
  </si>
  <si>
    <t>9950009789</t>
  </si>
  <si>
    <t>7882375630</t>
  </si>
  <si>
    <t>8241000136</t>
  </si>
  <si>
    <t>3920897841</t>
  </si>
  <si>
    <t>9950001318</t>
  </si>
  <si>
    <t>9950003547</t>
  </si>
  <si>
    <t>3252009002</t>
  </si>
  <si>
    <t>1600003625</t>
  </si>
  <si>
    <t>3252014025</t>
  </si>
  <si>
    <t>1600003823</t>
  </si>
  <si>
    <t>8210004662</t>
  </si>
  <si>
    <t>9950013322</t>
  </si>
  <si>
    <t>5561001283</t>
  </si>
  <si>
    <t>8210001086</t>
  </si>
  <si>
    <t>7170220436</t>
  </si>
  <si>
    <t>3252020023</t>
  </si>
  <si>
    <t>8431701279</t>
  </si>
  <si>
    <t>5870001631</t>
  </si>
  <si>
    <t>3928972014</t>
  </si>
  <si>
    <t>8210003093</t>
  </si>
  <si>
    <t>8431200389</t>
  </si>
  <si>
    <t>3252016078</t>
  </si>
  <si>
    <t>8210004358</t>
  </si>
  <si>
    <t>7170020091</t>
  </si>
  <si>
    <t>7170220583</t>
  </si>
  <si>
    <t>3252015126</t>
  </si>
  <si>
    <t>8210001415</t>
  </si>
  <si>
    <t>2202501100</t>
  </si>
  <si>
    <t>3928971035</t>
  </si>
  <si>
    <t>9950009648</t>
  </si>
  <si>
    <t>8431501023</t>
  </si>
  <si>
    <t>3250200056</t>
  </si>
  <si>
    <t>3950000199</t>
  </si>
  <si>
    <t>1600001395</t>
  </si>
  <si>
    <t>5870001469</t>
  </si>
  <si>
    <t>7170240770</t>
  </si>
  <si>
    <t>7170240758</t>
  </si>
  <si>
    <t>6432319640</t>
  </si>
  <si>
    <t>8432402190</t>
  </si>
  <si>
    <t>7170240819</t>
  </si>
  <si>
    <t>6431814240</t>
  </si>
  <si>
    <t>7170230624</t>
  </si>
  <si>
    <t>9092135403</t>
  </si>
  <si>
    <t>3672300001</t>
  </si>
  <si>
    <t>7170020075</t>
  </si>
  <si>
    <t>9950007009</t>
  </si>
  <si>
    <t>7170230658</t>
  </si>
  <si>
    <t>8150006766</t>
  </si>
  <si>
    <t>1780833577</t>
  </si>
  <si>
    <t>3252016022</t>
  </si>
  <si>
    <t>8431200339</t>
  </si>
  <si>
    <t>1600000936</t>
  </si>
  <si>
    <t>5873483460</t>
  </si>
  <si>
    <t>8210005592</t>
  </si>
  <si>
    <t>9950011319</t>
  </si>
  <si>
    <t>9950006620</t>
  </si>
  <si>
    <t>9092202105</t>
  </si>
  <si>
    <t>9950004844</t>
  </si>
  <si>
    <t>3671800056</t>
  </si>
  <si>
    <t>3252019035</t>
  </si>
  <si>
    <t>9950004958</t>
  </si>
  <si>
    <t>6220008035</t>
  </si>
  <si>
    <t>9950000825</t>
  </si>
  <si>
    <t>9950003265</t>
  </si>
  <si>
    <t>3252009016</t>
  </si>
  <si>
    <t>8431300505</t>
  </si>
  <si>
    <t>8431400660</t>
  </si>
  <si>
    <t>9092206701</t>
  </si>
  <si>
    <t>3928971332</t>
  </si>
  <si>
    <t>3252015026</t>
  </si>
  <si>
    <t>3671700026</t>
  </si>
  <si>
    <t>3252016157</t>
  </si>
  <si>
    <t>4210009050</t>
  </si>
  <si>
    <t>3672300073</t>
  </si>
  <si>
    <t>9950009127</t>
  </si>
  <si>
    <t>3252014065</t>
  </si>
  <si>
    <t>3250970055</t>
  </si>
  <si>
    <t>3671800015</t>
  </si>
  <si>
    <t>2202609164</t>
  </si>
  <si>
    <t>7170240811</t>
  </si>
  <si>
    <t>6220005332</t>
  </si>
  <si>
    <t>8699694035</t>
  </si>
  <si>
    <t>7142074245</t>
  </si>
  <si>
    <t>4210012001</t>
  </si>
  <si>
    <t>3928971757</t>
  </si>
  <si>
    <t>5561008353</t>
  </si>
  <si>
    <t>8431501153</t>
  </si>
  <si>
    <t>3920897899</t>
  </si>
  <si>
    <t>8150001559</t>
  </si>
  <si>
    <t>9950001674</t>
  </si>
  <si>
    <t>9950001864</t>
  </si>
  <si>
    <t>4213724478</t>
  </si>
  <si>
    <t>8431701240</t>
  </si>
  <si>
    <t>8432001850</t>
  </si>
  <si>
    <t>3252006155</t>
  </si>
  <si>
    <t>9950011292</t>
  </si>
  <si>
    <t>3920897439</t>
  </si>
  <si>
    <t>4210015007</t>
  </si>
  <si>
    <t>0009833331</t>
  </si>
  <si>
    <t>9950002502</t>
  </si>
  <si>
    <t>8210005397</t>
  </si>
  <si>
    <t>5561001285</t>
  </si>
  <si>
    <t>4210099118</t>
  </si>
  <si>
    <t>3672000068</t>
  </si>
  <si>
    <t>3252022066</t>
  </si>
  <si>
    <t>3252022094</t>
  </si>
  <si>
    <t>8210003123</t>
  </si>
  <si>
    <t>9950011561</t>
  </si>
  <si>
    <t>8432102004</t>
  </si>
  <si>
    <t>3252023093</t>
  </si>
  <si>
    <t>3928972200</t>
  </si>
  <si>
    <t>6430813940</t>
  </si>
  <si>
    <t>2202500900</t>
  </si>
  <si>
    <t>1600003633</t>
  </si>
  <si>
    <t>7142074605</t>
  </si>
  <si>
    <t>6220005762</t>
  </si>
  <si>
    <t>3928971046</t>
  </si>
  <si>
    <t>7142073390</t>
  </si>
  <si>
    <t>9950012300</t>
  </si>
  <si>
    <t>1600002813</t>
  </si>
  <si>
    <t>3252012029</t>
  </si>
  <si>
    <t>9950002562</t>
  </si>
  <si>
    <t>9950004339</t>
  </si>
  <si>
    <t>7170020199</t>
  </si>
  <si>
    <t>7170240796</t>
  </si>
  <si>
    <t>1780853435</t>
  </si>
  <si>
    <t>9950003082</t>
  </si>
  <si>
    <t>9950008782</t>
  </si>
  <si>
    <t>1600001356</t>
  </si>
  <si>
    <t>8432202014</t>
  </si>
  <si>
    <t>8210004696</t>
  </si>
  <si>
    <t>8210003128</t>
  </si>
  <si>
    <t>7170020185</t>
  </si>
  <si>
    <t>8210007298</t>
  </si>
  <si>
    <t>9950011242</t>
  </si>
  <si>
    <t>9950009184</t>
  </si>
  <si>
    <t>8210003127</t>
  </si>
  <si>
    <t>3252023050</t>
  </si>
  <si>
    <t>7881334230</t>
  </si>
  <si>
    <t>3510851539</t>
  </si>
  <si>
    <t>8210002271</t>
  </si>
  <si>
    <t>5561007377</t>
  </si>
  <si>
    <t>3510440723</t>
  </si>
  <si>
    <t>3510440222</t>
  </si>
  <si>
    <t>2780003276</t>
  </si>
  <si>
    <t>2170161008</t>
  </si>
  <si>
    <t>5520670392</t>
  </si>
  <si>
    <t>5561005772</t>
  </si>
  <si>
    <t>8431801453</t>
  </si>
  <si>
    <t>3920897410</t>
  </si>
  <si>
    <t>9950009053</t>
  </si>
  <si>
    <t>0009833332</t>
  </si>
  <si>
    <t>8690014244</t>
  </si>
  <si>
    <t>7170220470</t>
  </si>
  <si>
    <t>7170230663</t>
  </si>
  <si>
    <t>8210003138</t>
  </si>
  <si>
    <t>9950009620</t>
  </si>
  <si>
    <t>7880181024</t>
  </si>
  <si>
    <t>4210007011</t>
  </si>
  <si>
    <t>5350000113</t>
  </si>
  <si>
    <t>5350000112</t>
  </si>
  <si>
    <t>8210002290</t>
  </si>
  <si>
    <t>3250200249</t>
  </si>
  <si>
    <t>7880090169</t>
  </si>
  <si>
    <t>8432001826</t>
  </si>
  <si>
    <t>6220007869</t>
  </si>
  <si>
    <t>8430800085</t>
  </si>
  <si>
    <t>9950004929</t>
  </si>
  <si>
    <t>3928971131</t>
  </si>
  <si>
    <t>7170020202</t>
  </si>
  <si>
    <t>3928972355</t>
  </si>
  <si>
    <t>8432202083</t>
  </si>
  <si>
    <t>8210003142</t>
  </si>
  <si>
    <t>3252015115</t>
  </si>
  <si>
    <t>3252018065</t>
  </si>
  <si>
    <t>7170220452</t>
  </si>
  <si>
    <t>8210008200</t>
  </si>
  <si>
    <t>7170220544</t>
  </si>
  <si>
    <t>5870002395</t>
  </si>
  <si>
    <t>1600001014</t>
  </si>
  <si>
    <t>8431500923</t>
  </si>
  <si>
    <t>8210006348</t>
  </si>
  <si>
    <t>8432202015</t>
  </si>
  <si>
    <t>3252019093</t>
  </si>
  <si>
    <t>9092115505</t>
  </si>
  <si>
    <t>5561008199</t>
  </si>
  <si>
    <t>3252013054</t>
  </si>
  <si>
    <t>3252017036</t>
  </si>
  <si>
    <t>5561007883</t>
  </si>
  <si>
    <t>5561001391</t>
  </si>
  <si>
    <t>3671500056</t>
  </si>
  <si>
    <t>3671600118</t>
  </si>
  <si>
    <t>9950001058</t>
  </si>
  <si>
    <t>8210002319</t>
  </si>
  <si>
    <t>6220008502</t>
  </si>
  <si>
    <t>2201806000</t>
  </si>
  <si>
    <t>1780863025</t>
  </si>
  <si>
    <t>9950003829</t>
  </si>
  <si>
    <t>9950004136</t>
  </si>
  <si>
    <t>3928971537</t>
  </si>
  <si>
    <t>7142073318</t>
  </si>
  <si>
    <t>7170020064</t>
  </si>
  <si>
    <t>7170240794</t>
  </si>
  <si>
    <t>5870001553</t>
  </si>
  <si>
    <t>3250200557</t>
  </si>
  <si>
    <t>5561007878</t>
  </si>
  <si>
    <t>2230006840</t>
  </si>
  <si>
    <t>6220005110</t>
  </si>
  <si>
    <t>8240023559</t>
  </si>
  <si>
    <t>9950009366</t>
  </si>
  <si>
    <t>7170020098</t>
  </si>
  <si>
    <t>7170220561</t>
  </si>
  <si>
    <t>7170240820</t>
  </si>
  <si>
    <t>9950008490</t>
  </si>
  <si>
    <t>8432402184</t>
  </si>
  <si>
    <t>3252016009</t>
  </si>
  <si>
    <t>7889029600</t>
  </si>
  <si>
    <t>5520030030</t>
  </si>
  <si>
    <t>9950002252</t>
  </si>
  <si>
    <t>9950002992</t>
  </si>
  <si>
    <t>4210006047</t>
  </si>
  <si>
    <t>8210004605</t>
  </si>
  <si>
    <t>8210005113</t>
  </si>
  <si>
    <t>8150000195</t>
  </si>
  <si>
    <t>8210008179</t>
  </si>
  <si>
    <t>3252016118</t>
  </si>
  <si>
    <t>6220008515</t>
  </si>
  <si>
    <t>2170000298</t>
  </si>
  <si>
    <t>2170411156</t>
  </si>
  <si>
    <t>9950009197</t>
  </si>
  <si>
    <t>9950002763</t>
  </si>
  <si>
    <t>9950002075</t>
  </si>
  <si>
    <t>9956101958</t>
  </si>
  <si>
    <t>2202105800</t>
  </si>
  <si>
    <t>9950002385</t>
  </si>
  <si>
    <t>3920897577</t>
  </si>
  <si>
    <t>9950001228</t>
  </si>
  <si>
    <t>9950014138</t>
  </si>
  <si>
    <t>8431400896</t>
  </si>
  <si>
    <t>9092134304</t>
  </si>
  <si>
    <t>7170220614</t>
  </si>
  <si>
    <t>6431254800</t>
  </si>
  <si>
    <t>9950004378</t>
  </si>
  <si>
    <t>3252012049</t>
  </si>
  <si>
    <t>9950010350</t>
  </si>
  <si>
    <t>9950004807</t>
  </si>
  <si>
    <t>8210005332</t>
  </si>
  <si>
    <t>7170210300</t>
  </si>
  <si>
    <t>7170020184</t>
  </si>
  <si>
    <t>6780000150</t>
  </si>
  <si>
    <t>3252022026</t>
  </si>
  <si>
    <t>9950008966</t>
  </si>
  <si>
    <t>8210007353</t>
  </si>
  <si>
    <t>1600001343</t>
  </si>
  <si>
    <t>3252012054</t>
  </si>
  <si>
    <t>8240100922</t>
  </si>
  <si>
    <t>5561006317</t>
  </si>
  <si>
    <t>7170020134</t>
  </si>
  <si>
    <t>3671400045</t>
  </si>
  <si>
    <t>8431901680</t>
  </si>
  <si>
    <t>8432001918</t>
  </si>
  <si>
    <t>5561001390</t>
  </si>
  <si>
    <t>3252021097</t>
  </si>
  <si>
    <t>5561001423</t>
  </si>
  <si>
    <t>9950004428</t>
  </si>
  <si>
    <t>5561000975</t>
  </si>
  <si>
    <t>3671900073</t>
  </si>
  <si>
    <t>7881666120</t>
  </si>
  <si>
    <t>9950000398</t>
  </si>
  <si>
    <t>7170220447</t>
  </si>
  <si>
    <t>8210008453</t>
  </si>
  <si>
    <t>3250200688</t>
  </si>
  <si>
    <t>5870001475</t>
  </si>
  <si>
    <t>8830000953</t>
  </si>
  <si>
    <t>9950003401</t>
  </si>
  <si>
    <t>9950009073</t>
  </si>
  <si>
    <t>9950009409</t>
  </si>
  <si>
    <t>9950002324</t>
  </si>
  <si>
    <t>3671700107</t>
  </si>
  <si>
    <t>3252014049</t>
  </si>
  <si>
    <t>8210004326</t>
  </si>
  <si>
    <t>7142071156</t>
  </si>
  <si>
    <t>3928971469</t>
  </si>
  <si>
    <t>9950004796</t>
  </si>
  <si>
    <t>9092422802</t>
  </si>
  <si>
    <t>5561001401</t>
  </si>
  <si>
    <t>5561004622</t>
  </si>
  <si>
    <t>5561005416</t>
  </si>
  <si>
    <t>9950000232</t>
  </si>
  <si>
    <t>3671200014</t>
  </si>
  <si>
    <t>9950004802</t>
  </si>
  <si>
    <t>2230004122</t>
  </si>
  <si>
    <t>3671900011</t>
  </si>
  <si>
    <t>3928972459</t>
  </si>
  <si>
    <t>9950003689</t>
  </si>
  <si>
    <t>9950013629</t>
  </si>
  <si>
    <t>9092204701</t>
  </si>
  <si>
    <t>8150009931</t>
  </si>
  <si>
    <t>8210003540</t>
  </si>
  <si>
    <t>3928971346</t>
  </si>
  <si>
    <t>9950010596</t>
  </si>
  <si>
    <t>9950009418</t>
  </si>
  <si>
    <t>9950001341</t>
  </si>
  <si>
    <t>8431501112</t>
  </si>
  <si>
    <t>9950007187</t>
  </si>
  <si>
    <t>8210006148</t>
  </si>
  <si>
    <t>1780863998</t>
  </si>
  <si>
    <t>5561004747</t>
  </si>
  <si>
    <t>4210006012</t>
  </si>
  <si>
    <t>4212020073</t>
  </si>
  <si>
    <t>4210004027</t>
  </si>
  <si>
    <t>4210007070</t>
  </si>
  <si>
    <t>4210019024</t>
  </si>
  <si>
    <t>4210007046</t>
  </si>
  <si>
    <t>4210005055</t>
  </si>
  <si>
    <t>4212024042</t>
  </si>
  <si>
    <t>4212023027</t>
  </si>
  <si>
    <t>4210011041</t>
  </si>
  <si>
    <t>4210004010</t>
  </si>
  <si>
    <t>4210013026</t>
  </si>
  <si>
    <t>4210099001</t>
  </si>
  <si>
    <t>4210006037</t>
  </si>
  <si>
    <t>4210005006</t>
  </si>
  <si>
    <t>4210099074</t>
  </si>
  <si>
    <t>4210007054</t>
  </si>
  <si>
    <t>4210099148</t>
  </si>
  <si>
    <t>4210007087</t>
  </si>
  <si>
    <t>4213724486</t>
  </si>
  <si>
    <t>4210007013</t>
  </si>
  <si>
    <t>4210007018</t>
  </si>
  <si>
    <t>4210008093</t>
  </si>
  <si>
    <t>4210016070</t>
  </si>
  <si>
    <t>4210016078</t>
  </si>
  <si>
    <t>4210003040</t>
  </si>
  <si>
    <t>4210003042</t>
  </si>
  <si>
    <t>4210007062</t>
  </si>
  <si>
    <t>4210016076</t>
  </si>
  <si>
    <t>4210099120</t>
  </si>
  <si>
    <t>4210003057</t>
  </si>
  <si>
    <t>4210007043</t>
  </si>
  <si>
    <t>4210011036</t>
  </si>
  <si>
    <t>4210014027</t>
  </si>
  <si>
    <t>4210099189</t>
  </si>
  <si>
    <t>4210004061</t>
  </si>
  <si>
    <t>4210007005</t>
  </si>
  <si>
    <t>4210004049</t>
  </si>
  <si>
    <t>4210007033</t>
  </si>
  <si>
    <t>4210012027</t>
  </si>
  <si>
    <t>4210015047</t>
  </si>
  <si>
    <t>4210006048</t>
  </si>
  <si>
    <t>4210007029</t>
  </si>
  <si>
    <t>4210002001</t>
  </si>
  <si>
    <t>4210008053</t>
  </si>
  <si>
    <t>4210008004</t>
  </si>
  <si>
    <t>4210007031</t>
  </si>
  <si>
    <t>4210013049</t>
  </si>
  <si>
    <t>4210008076</t>
  </si>
  <si>
    <t>4212022009</t>
  </si>
  <si>
    <t>4210019021</t>
  </si>
  <si>
    <t>4210099066</t>
  </si>
  <si>
    <t>4210012046</t>
  </si>
  <si>
    <t>4210016116</t>
  </si>
  <si>
    <t>4210010048</t>
  </si>
  <si>
    <t>4210011008</t>
  </si>
  <si>
    <t>4210007028</t>
  </si>
  <si>
    <t>4210007041</t>
  </si>
  <si>
    <t>4210016090</t>
  </si>
  <si>
    <t>4210099150</t>
  </si>
  <si>
    <t>4212020059</t>
  </si>
  <si>
    <t>4210012005</t>
  </si>
  <si>
    <t>4210015026</t>
  </si>
  <si>
    <t>4210005050</t>
  </si>
  <si>
    <t>4210007052</t>
  </si>
  <si>
    <t>4210002039</t>
  </si>
  <si>
    <t>4210006059</t>
  </si>
  <si>
    <t>4212021022</t>
  </si>
  <si>
    <t>4210012044</t>
  </si>
  <si>
    <t>4210006023</t>
  </si>
  <si>
    <t>4210099197</t>
  </si>
  <si>
    <t>4213724415</t>
  </si>
  <si>
    <t>4210003002</t>
  </si>
  <si>
    <t>4212024021</t>
  </si>
  <si>
    <t>4213724407</t>
  </si>
  <si>
    <t>4210016020</t>
  </si>
  <si>
    <t>4210099088</t>
  </si>
  <si>
    <t>4210002017</t>
  </si>
  <si>
    <t>4210007008</t>
  </si>
  <si>
    <t>4212024045</t>
  </si>
  <si>
    <t>4210007059</t>
  </si>
  <si>
    <t>4212024020</t>
  </si>
  <si>
    <t>4210016087</t>
  </si>
  <si>
    <t>4210004064</t>
  </si>
  <si>
    <t>4212024025</t>
  </si>
  <si>
    <t>4210007017</t>
  </si>
  <si>
    <t>4210005058</t>
  </si>
  <si>
    <t>4210018043</t>
  </si>
  <si>
    <t>4212024043</t>
  </si>
  <si>
    <t>4210007050</t>
  </si>
  <si>
    <t>4210007051</t>
  </si>
  <si>
    <t>4210004019</t>
  </si>
  <si>
    <t>4210007079</t>
  </si>
  <si>
    <t>4210099141</t>
  </si>
  <si>
    <t>4210016052</t>
  </si>
  <si>
    <t>4212024032</t>
  </si>
  <si>
    <t>5400000035</t>
  </si>
  <si>
    <t>5561000288</t>
  </si>
  <si>
    <t>5520164708</t>
  </si>
  <si>
    <t>1780867051</t>
  </si>
  <si>
    <t>1780834073</t>
  </si>
  <si>
    <t>1780851573</t>
  </si>
  <si>
    <t>1780901347</t>
  </si>
  <si>
    <t>1780834314</t>
  </si>
  <si>
    <t>1780845544</t>
  </si>
  <si>
    <t>1780889014</t>
  </si>
  <si>
    <t>5870001905</t>
  </si>
  <si>
    <t>5870000763</t>
  </si>
  <si>
    <t>9950002540</t>
  </si>
  <si>
    <t>3928971056</t>
  </si>
  <si>
    <t>3252014003</t>
  </si>
  <si>
    <t>3928972455</t>
  </si>
  <si>
    <t>5350000128</t>
  </si>
  <si>
    <t>9091730701</t>
  </si>
  <si>
    <t>3928971065</t>
  </si>
  <si>
    <t>8240012155</t>
  </si>
  <si>
    <t>4210003021</t>
  </si>
  <si>
    <t>8241000011</t>
  </si>
  <si>
    <t>3928971126</t>
  </si>
  <si>
    <t>9950000207</t>
  </si>
  <si>
    <t>3928972407</t>
  </si>
  <si>
    <t>3672300009</t>
  </si>
  <si>
    <t>8432202019</t>
  </si>
  <si>
    <t>5561000984</t>
  </si>
  <si>
    <t>8431200350</t>
  </si>
  <si>
    <t>9950005054</t>
  </si>
  <si>
    <t>9950000787</t>
  </si>
  <si>
    <t>3928972206</t>
  </si>
  <si>
    <t>9950000259</t>
  </si>
  <si>
    <t>7142070178</t>
  </si>
  <si>
    <t>3252023063</t>
  </si>
  <si>
    <t>6431610410</t>
  </si>
  <si>
    <t>5870001823</t>
  </si>
  <si>
    <t>8430700031</t>
  </si>
  <si>
    <t>4210005057</t>
  </si>
  <si>
    <t>3252010018</t>
  </si>
  <si>
    <t>3671700043</t>
  </si>
  <si>
    <t>3920897303</t>
  </si>
  <si>
    <t>8431100277</t>
  </si>
  <si>
    <t>3252024112</t>
  </si>
  <si>
    <t>8210004480</t>
  </si>
  <si>
    <t>7170210334</t>
  </si>
  <si>
    <t>6431914690</t>
  </si>
  <si>
    <t>9950012819</t>
  </si>
  <si>
    <t>3671800088</t>
  </si>
  <si>
    <t>8431701386</t>
  </si>
  <si>
    <t>8431701329</t>
  </si>
  <si>
    <t>6431365000</t>
  </si>
  <si>
    <t>8431801466</t>
  </si>
  <si>
    <t>9950003354</t>
  </si>
  <si>
    <t>9950002052</t>
  </si>
  <si>
    <t>3252009013</t>
  </si>
  <si>
    <t>9092130701</t>
  </si>
  <si>
    <t>5870002572</t>
  </si>
  <si>
    <t>8150001036</t>
  </si>
  <si>
    <t>9950010495</t>
  </si>
  <si>
    <t>5561000981</t>
  </si>
  <si>
    <t>3928972235</t>
  </si>
  <si>
    <t>3252018072</t>
  </si>
  <si>
    <t>1600001710</t>
  </si>
  <si>
    <t>6220008366</t>
  </si>
  <si>
    <t>6220007866</t>
  </si>
  <si>
    <t>9950001452</t>
  </si>
  <si>
    <t>3252009051</t>
  </si>
  <si>
    <t>9950008189</t>
  </si>
  <si>
    <t>8431400685</t>
  </si>
  <si>
    <t>7170240793</t>
  </si>
  <si>
    <t>8210003191</t>
  </si>
  <si>
    <t>7881416320</t>
  </si>
  <si>
    <t>3252007541</t>
  </si>
  <si>
    <t>3252017081</t>
  </si>
  <si>
    <t>5870001624</t>
  </si>
  <si>
    <t>8150001273</t>
  </si>
  <si>
    <t>8150021251</t>
  </si>
  <si>
    <t>5520048571</t>
  </si>
  <si>
    <t>3252011053</t>
  </si>
  <si>
    <t>8241000025</t>
  </si>
  <si>
    <t>8430900174</t>
  </si>
  <si>
    <t>9092204702</t>
  </si>
  <si>
    <t>8431200397</t>
  </si>
  <si>
    <t>9950002578</t>
  </si>
  <si>
    <t>8210003998</t>
  </si>
  <si>
    <t>9950009800</t>
  </si>
  <si>
    <t>8431801487</t>
  </si>
  <si>
    <t>7170220460</t>
  </si>
  <si>
    <t>6431593300</t>
  </si>
  <si>
    <t>5870001418</t>
  </si>
  <si>
    <t>9950002343</t>
  </si>
  <si>
    <t>9950001107</t>
  </si>
  <si>
    <t>9950004503</t>
  </si>
  <si>
    <t>3252011049</t>
  </si>
  <si>
    <t>7142073972</t>
  </si>
  <si>
    <t>9950003263</t>
  </si>
  <si>
    <t>8210008118</t>
  </si>
  <si>
    <t>3252014060</t>
  </si>
  <si>
    <t>4210012034</t>
  </si>
  <si>
    <t>9950009082</t>
  </si>
  <si>
    <t>3920897217</t>
  </si>
  <si>
    <t>8431400712</t>
  </si>
  <si>
    <t>3252017131</t>
  </si>
  <si>
    <t>9950001579</t>
  </si>
  <si>
    <t>9950008401</t>
  </si>
  <si>
    <t>3252014020</t>
  </si>
  <si>
    <t>8210004131</t>
  </si>
  <si>
    <t>9950009848</t>
  </si>
  <si>
    <t>3252020056</t>
  </si>
  <si>
    <t>3250200475</t>
  </si>
  <si>
    <t>8430900139</t>
  </si>
  <si>
    <t>4210099142</t>
  </si>
  <si>
    <t>9092204604</t>
  </si>
  <si>
    <t>3250200304</t>
  </si>
  <si>
    <t>6350000207</t>
  </si>
  <si>
    <t>3672100012</t>
  </si>
  <si>
    <t>7142070101</t>
  </si>
  <si>
    <t>3250970006</t>
  </si>
  <si>
    <t>5870001620</t>
  </si>
  <si>
    <t>9950001261</t>
  </si>
  <si>
    <t>4210013027</t>
  </si>
  <si>
    <t>3671800083</t>
  </si>
  <si>
    <t>9950004135</t>
  </si>
  <si>
    <t>3252021063</t>
  </si>
  <si>
    <t>1600000831</t>
  </si>
  <si>
    <t>3252019054</t>
  </si>
  <si>
    <t>5870001726</t>
  </si>
  <si>
    <t>3671800062</t>
  </si>
  <si>
    <t>9950007894</t>
  </si>
  <si>
    <t>1600001455</t>
  </si>
  <si>
    <t>6220005884</t>
  </si>
  <si>
    <t>8210003349</t>
  </si>
  <si>
    <t>3928971475</t>
  </si>
  <si>
    <t>3928971264</t>
  </si>
  <si>
    <t>7170220613</t>
  </si>
  <si>
    <t>7889024200</t>
  </si>
  <si>
    <t>9092206101</t>
  </si>
  <si>
    <t>1780851404</t>
  </si>
  <si>
    <t>3252016130</t>
  </si>
  <si>
    <t>7170230664</t>
  </si>
  <si>
    <t>9950002008</t>
  </si>
  <si>
    <t>3252016090</t>
  </si>
  <si>
    <t>8432302180</t>
  </si>
  <si>
    <t>5870107036</t>
  </si>
  <si>
    <t>6430930200</t>
  </si>
  <si>
    <t>3252016028</t>
  </si>
  <si>
    <t>3252020101</t>
  </si>
  <si>
    <t>1600002689</t>
  </si>
  <si>
    <t>3252019014</t>
  </si>
  <si>
    <t>5870001598</t>
  </si>
  <si>
    <t>8210004453</t>
  </si>
  <si>
    <t>6431242179</t>
  </si>
  <si>
    <t>6220007851</t>
  </si>
  <si>
    <t>5874078865</t>
  </si>
  <si>
    <t>3928972469</t>
  </si>
  <si>
    <t>1600001934</t>
  </si>
  <si>
    <t>1600003011</t>
  </si>
  <si>
    <t>9092208301</t>
  </si>
  <si>
    <t>3252023087</t>
  </si>
  <si>
    <t>2170023282</t>
  </si>
  <si>
    <t>9950001105</t>
  </si>
  <si>
    <t>6780000230</t>
  </si>
  <si>
    <t>1600003798</t>
  </si>
  <si>
    <t>3672300065</t>
  </si>
  <si>
    <t>3252013051</t>
  </si>
  <si>
    <t>7170210336</t>
  </si>
  <si>
    <t>8431801462</t>
  </si>
  <si>
    <t>8210008663</t>
  </si>
  <si>
    <t>3252024036</t>
  </si>
  <si>
    <t>1600002958</t>
  </si>
  <si>
    <t>3252008071</t>
  </si>
  <si>
    <t>3252020076</t>
  </si>
  <si>
    <t>3252024054</t>
  </si>
  <si>
    <t>7170020078</t>
  </si>
  <si>
    <t>6431249500</t>
  </si>
  <si>
    <t>3252024032</t>
  </si>
  <si>
    <t>9950002155</t>
  </si>
  <si>
    <t>8210005269</t>
  </si>
  <si>
    <t>7170210353</t>
  </si>
  <si>
    <t>3252020067</t>
  </si>
  <si>
    <t>3252016059</t>
  </si>
  <si>
    <t>5870107231</t>
  </si>
  <si>
    <t>8210008974</t>
  </si>
  <si>
    <t>6431584500</t>
  </si>
  <si>
    <t>8431501143</t>
  </si>
  <si>
    <t>8210003792</t>
  </si>
  <si>
    <t>6431253900</t>
  </si>
  <si>
    <t>8210001667</t>
  </si>
  <si>
    <t>1600002502</t>
  </si>
  <si>
    <t>3252022042</t>
  </si>
  <si>
    <t>8210002163</t>
  </si>
  <si>
    <t>8431501083</t>
  </si>
  <si>
    <t>3928972048</t>
  </si>
  <si>
    <t>6432218890</t>
  </si>
  <si>
    <t>3252019045</t>
  </si>
  <si>
    <t>9950008717</t>
  </si>
  <si>
    <t>9950009296</t>
  </si>
  <si>
    <t>8431801425</t>
  </si>
  <si>
    <t>3252016108</t>
  </si>
  <si>
    <t>3920897582</t>
  </si>
  <si>
    <t>3928971234</t>
  </si>
  <si>
    <t>3928972498</t>
  </si>
  <si>
    <t>8210007267</t>
  </si>
  <si>
    <t>3252022048</t>
  </si>
  <si>
    <t>6432218370</t>
  </si>
  <si>
    <t>8210006756</t>
  </si>
  <si>
    <t>9950005032</t>
  </si>
  <si>
    <t>5870001628</t>
  </si>
  <si>
    <t>3252024060</t>
  </si>
  <si>
    <t>6431252400</t>
  </si>
  <si>
    <t>8432101972</t>
  </si>
  <si>
    <t>3928972153</t>
  </si>
  <si>
    <t>8431300633</t>
  </si>
  <si>
    <t>9950007528</t>
  </si>
  <si>
    <t>3252016091</t>
  </si>
  <si>
    <t>5878390649</t>
  </si>
  <si>
    <t>8150019050</t>
  </si>
  <si>
    <t>7142073846</t>
  </si>
  <si>
    <t>5870107033</t>
  </si>
  <si>
    <t>5561000993</t>
  </si>
  <si>
    <t>7142077631</t>
  </si>
  <si>
    <t>3928971156</t>
  </si>
  <si>
    <t>3259700481</t>
  </si>
  <si>
    <t>3671800014</t>
  </si>
  <si>
    <t>3252020080</t>
  </si>
  <si>
    <t>1600003537</t>
  </si>
  <si>
    <t>3252019095</t>
  </si>
  <si>
    <t>3250200694</t>
  </si>
  <si>
    <t>3252019053</t>
  </si>
  <si>
    <t>9950003064</t>
  </si>
  <si>
    <t>3671200001</t>
  </si>
  <si>
    <t>3672400012</t>
  </si>
  <si>
    <t>9950003190</t>
  </si>
  <si>
    <t>6220007868</t>
  </si>
  <si>
    <t>9950001699</t>
  </si>
  <si>
    <t>9950011952</t>
  </si>
  <si>
    <t>3252006146</t>
  </si>
  <si>
    <t>8150019679</t>
  </si>
  <si>
    <t>8830001310</t>
  </si>
  <si>
    <t>9950002967</t>
  </si>
  <si>
    <t>4210007058</t>
  </si>
  <si>
    <t>3252013067</t>
  </si>
  <si>
    <t>7170019024</t>
  </si>
  <si>
    <t>9950004120</t>
  </si>
  <si>
    <t>9950009992</t>
  </si>
  <si>
    <t>9950004201</t>
  </si>
  <si>
    <t>7142073472</t>
  </si>
  <si>
    <t>8210004755</t>
  </si>
  <si>
    <t>1600001929</t>
  </si>
  <si>
    <t>9950008785</t>
  </si>
  <si>
    <t>3252007065</t>
  </si>
  <si>
    <t>9950011749</t>
  </si>
  <si>
    <t>3928972506</t>
  </si>
  <si>
    <t>5380000691</t>
  </si>
  <si>
    <t>5561001415</t>
  </si>
  <si>
    <t>9950001443</t>
  </si>
  <si>
    <t>4213724490</t>
  </si>
  <si>
    <t>0009833323</t>
  </si>
  <si>
    <t>5561001629</t>
  </si>
  <si>
    <t>9950001844</t>
  </si>
  <si>
    <t>7142073394</t>
  </si>
  <si>
    <t>1780901510</t>
  </si>
  <si>
    <t>8431001185</t>
  </si>
  <si>
    <t>1600000662</t>
  </si>
  <si>
    <t>8431901758</t>
  </si>
  <si>
    <t>3672200050</t>
  </si>
  <si>
    <t>8210008175</t>
  </si>
  <si>
    <t>3252024024</t>
  </si>
  <si>
    <t>3252023038</t>
  </si>
  <si>
    <t>3252024029</t>
  </si>
  <si>
    <t>3928972272</t>
  </si>
  <si>
    <t>3672400029</t>
  </si>
  <si>
    <t>3252012043</t>
  </si>
  <si>
    <t>3252007076</t>
  </si>
  <si>
    <t>3252015061</t>
  </si>
  <si>
    <t>5870106485</t>
  </si>
  <si>
    <t>3252013053</t>
  </si>
  <si>
    <t>2780002787</t>
  </si>
  <si>
    <t>3671800016</t>
  </si>
  <si>
    <t>3252021055</t>
  </si>
  <si>
    <t>8210008250</t>
  </si>
  <si>
    <t>9092134802</t>
  </si>
  <si>
    <t>9950010526</t>
  </si>
  <si>
    <t>8210007525</t>
  </si>
  <si>
    <t>8210006299</t>
  </si>
  <si>
    <t>5561001398</t>
  </si>
  <si>
    <t>6220005883</t>
  </si>
  <si>
    <t>9950008803</t>
  </si>
  <si>
    <t>9950001431</t>
  </si>
  <si>
    <t>3928971776</t>
  </si>
  <si>
    <t>8210003732</t>
  </si>
  <si>
    <t>5870002427</t>
  </si>
  <si>
    <t>8431300507</t>
  </si>
  <si>
    <t>3920897837</t>
  </si>
  <si>
    <t>3252019069</t>
  </si>
  <si>
    <t>5400000906</t>
  </si>
  <si>
    <t>3252017019</t>
  </si>
  <si>
    <t>8210003741</t>
  </si>
  <si>
    <t>7142071516</t>
  </si>
  <si>
    <t>9950003526</t>
  </si>
  <si>
    <t>3928972448</t>
  </si>
  <si>
    <t>1600003749</t>
  </si>
  <si>
    <t>7880168946</t>
  </si>
  <si>
    <t>9950002254</t>
  </si>
  <si>
    <t>5561001500</t>
  </si>
  <si>
    <t>3920897293</t>
  </si>
  <si>
    <t>8210003291</t>
  </si>
  <si>
    <t>8210005253</t>
  </si>
  <si>
    <t>1600003580</t>
  </si>
  <si>
    <t>9950011042</t>
  </si>
  <si>
    <t>8431901639</t>
  </si>
  <si>
    <t>5870001432</t>
  </si>
  <si>
    <t>1600001359</t>
  </si>
  <si>
    <t>3671600139</t>
  </si>
  <si>
    <t>8431801555</t>
  </si>
  <si>
    <t>3252018027</t>
  </si>
  <si>
    <t>5870002378</t>
  </si>
  <si>
    <t>1600001848</t>
  </si>
  <si>
    <t>1600003716</t>
  </si>
  <si>
    <t>3252015080</t>
  </si>
  <si>
    <t>3928972456</t>
  </si>
  <si>
    <t>5872060355</t>
  </si>
  <si>
    <t>9950008162</t>
  </si>
  <si>
    <t>9950008908</t>
  </si>
  <si>
    <t>7170020197</t>
  </si>
  <si>
    <t>8431501058</t>
  </si>
  <si>
    <t>5870002543</t>
  </si>
  <si>
    <t>3672300066</t>
  </si>
  <si>
    <t>3928971926</t>
  </si>
  <si>
    <t>6432218310</t>
  </si>
  <si>
    <t>2205663872</t>
  </si>
  <si>
    <t>1600000798</t>
  </si>
  <si>
    <t>9950002258</t>
  </si>
  <si>
    <t>9950009087</t>
  </si>
  <si>
    <t>3250200605</t>
  </si>
  <si>
    <t>3252019056</t>
  </si>
  <si>
    <t>3252023003</t>
  </si>
  <si>
    <t>9950004118</t>
  </si>
  <si>
    <t>3250990023</t>
  </si>
  <si>
    <t>5561001172</t>
  </si>
  <si>
    <t>1600000768</t>
  </si>
  <si>
    <t>3928971298</t>
  </si>
  <si>
    <t>3252019057</t>
  </si>
  <si>
    <t>6350000646</t>
  </si>
  <si>
    <t>1780862758</t>
  </si>
  <si>
    <t>8699693650</t>
  </si>
  <si>
    <t>9950012006</t>
  </si>
  <si>
    <t>3252018029</t>
  </si>
  <si>
    <t>9950002333</t>
  </si>
  <si>
    <t>3672300011</t>
  </si>
  <si>
    <t>3252006158</t>
  </si>
  <si>
    <t>3252015036</t>
  </si>
  <si>
    <t>5520238593</t>
  </si>
  <si>
    <t>5520196779</t>
  </si>
  <si>
    <t>3252021024</t>
  </si>
  <si>
    <t>7170020086</t>
  </si>
  <si>
    <t>2780003940</t>
  </si>
  <si>
    <t>3252021072</t>
  </si>
  <si>
    <t>3252010055</t>
  </si>
  <si>
    <t>3252008014</t>
  </si>
  <si>
    <t>9950002517</t>
  </si>
  <si>
    <t>9950004175</t>
  </si>
  <si>
    <t>9950013163</t>
  </si>
  <si>
    <t>9950001423</t>
  </si>
  <si>
    <t>1780833900</t>
  </si>
  <si>
    <t>5871052627</t>
  </si>
  <si>
    <t>2170151085</t>
  </si>
  <si>
    <t>3920897455</t>
  </si>
  <si>
    <t>3672000015</t>
  </si>
  <si>
    <t>9950003037</t>
  </si>
  <si>
    <t>3510796434</t>
  </si>
  <si>
    <t>3510796385</t>
  </si>
  <si>
    <t>9950004906</t>
  </si>
  <si>
    <t>9950001122</t>
  </si>
  <si>
    <t>9950004526</t>
  </si>
  <si>
    <t>1600002267</t>
  </si>
  <si>
    <t>8210003310</t>
  </si>
  <si>
    <t>2230011094</t>
  </si>
  <si>
    <t>2230005787</t>
  </si>
  <si>
    <t>5561002344</t>
  </si>
  <si>
    <t>9950001322</t>
  </si>
  <si>
    <t>9950012849</t>
  </si>
  <si>
    <t>5520450067</t>
  </si>
  <si>
    <t>4210099028</t>
  </si>
  <si>
    <t>7170220582</t>
  </si>
  <si>
    <t>3252018052</t>
  </si>
  <si>
    <t>4210004067</t>
  </si>
  <si>
    <t>4210004002</t>
  </si>
  <si>
    <t>2197256664</t>
  </si>
  <si>
    <t>8150000498</t>
  </si>
  <si>
    <t>5520048292</t>
  </si>
  <si>
    <t>5561002471</t>
  </si>
  <si>
    <t>7170020240</t>
  </si>
  <si>
    <t>9092130602</t>
  </si>
  <si>
    <t>6350000629</t>
  </si>
  <si>
    <t>5561001832</t>
  </si>
  <si>
    <t>6220006573</t>
  </si>
  <si>
    <t>1780829660</t>
  </si>
  <si>
    <t>3920001015</t>
  </si>
  <si>
    <t>3252024003</t>
  </si>
  <si>
    <t>4210005019</t>
  </si>
  <si>
    <t>4210008057</t>
  </si>
  <si>
    <t>5520501360</t>
  </si>
  <si>
    <t>8150003363</t>
  </si>
  <si>
    <t>3252023019</t>
  </si>
  <si>
    <t>3252017043</t>
  </si>
  <si>
    <t>3250200679</t>
  </si>
  <si>
    <t>7142074582</t>
  </si>
  <si>
    <t>5561007727</t>
  </si>
  <si>
    <t>5870107089</t>
  </si>
  <si>
    <t>3250200662</t>
  </si>
  <si>
    <t>8150001321</t>
  </si>
  <si>
    <t>7880090245</t>
  </si>
  <si>
    <t>7170210348</t>
  </si>
  <si>
    <t>8210001069</t>
  </si>
  <si>
    <t>3252006126</t>
  </si>
  <si>
    <t>7880090241</t>
  </si>
  <si>
    <t>9950001088</t>
  </si>
  <si>
    <t>1780882064</t>
  </si>
  <si>
    <t>3250200523</t>
  </si>
  <si>
    <t>3252006113</t>
  </si>
  <si>
    <t>7170220473</t>
  </si>
  <si>
    <t>3252018070</t>
  </si>
  <si>
    <t>5870001533</t>
  </si>
  <si>
    <t>3920897209</t>
  </si>
  <si>
    <t>7170240747</t>
  </si>
  <si>
    <t>8431801407</t>
  </si>
  <si>
    <t>5400000461</t>
  </si>
  <si>
    <t>9092129205</t>
  </si>
  <si>
    <t>7170230649</t>
  </si>
  <si>
    <t>8210003331</t>
  </si>
  <si>
    <t>3252006137</t>
  </si>
  <si>
    <t>9950008943</t>
  </si>
  <si>
    <t>8210003334</t>
  </si>
  <si>
    <t>8431501091</t>
  </si>
  <si>
    <t>8431701336</t>
  </si>
  <si>
    <t>9950003272</t>
  </si>
  <si>
    <t>5870001636</t>
  </si>
  <si>
    <t>7170210355</t>
  </si>
  <si>
    <t>5561007731</t>
  </si>
  <si>
    <t>3252020100</t>
  </si>
  <si>
    <t>3252021073</t>
  </si>
  <si>
    <t>5870002228</t>
  </si>
  <si>
    <t>5400000362</t>
  </si>
  <si>
    <t>9092201804</t>
  </si>
  <si>
    <t>5561001004</t>
  </si>
  <si>
    <t>9950000052</t>
  </si>
  <si>
    <t>9950009587</t>
  </si>
  <si>
    <t>3252016072</t>
  </si>
  <si>
    <t>5520813867</t>
  </si>
  <si>
    <t>3928972167</t>
  </si>
  <si>
    <t>5520031486</t>
  </si>
  <si>
    <t>7889032800</t>
  </si>
  <si>
    <t>3920897268</t>
  </si>
  <si>
    <t>9950000311</t>
  </si>
  <si>
    <t>9950000215</t>
  </si>
  <si>
    <t>5520626790</t>
  </si>
  <si>
    <t>3252016176</t>
  </si>
  <si>
    <t>3252016116</t>
  </si>
  <si>
    <t>0009833318</t>
  </si>
  <si>
    <t>3928971823</t>
  </si>
  <si>
    <t>3252018091</t>
  </si>
  <si>
    <t>3252006117</t>
  </si>
  <si>
    <t>0009833327</t>
  </si>
  <si>
    <t>5561000995</t>
  </si>
  <si>
    <t>7142070369</t>
  </si>
  <si>
    <t>8431801572</t>
  </si>
  <si>
    <t>7170210302</t>
  </si>
  <si>
    <t>9950007802</t>
  </si>
  <si>
    <t>3672200022</t>
  </si>
  <si>
    <t>3252016159</t>
  </si>
  <si>
    <t>5561005252</t>
  </si>
  <si>
    <t>8241000137</t>
  </si>
  <si>
    <t>4087184217</t>
  </si>
  <si>
    <t>8150024287</t>
  </si>
  <si>
    <t>8210006126</t>
  </si>
  <si>
    <t>3250200436</t>
  </si>
  <si>
    <t>7170020204</t>
  </si>
  <si>
    <t>1600003559</t>
  </si>
  <si>
    <t>3920897694</t>
  </si>
  <si>
    <t>3250200343</t>
  </si>
  <si>
    <t>9950000244</t>
  </si>
  <si>
    <t>7142070046</t>
  </si>
  <si>
    <t>8210006533</t>
  </si>
  <si>
    <t>9950003270</t>
  </si>
  <si>
    <t>3252006105</t>
  </si>
  <si>
    <t>8431200324</t>
  </si>
  <si>
    <t>9950004459</t>
  </si>
  <si>
    <t>8241000096</t>
  </si>
  <si>
    <t>8210009089</t>
  </si>
  <si>
    <t>3252024043</t>
  </si>
  <si>
    <t>3252015113</t>
  </si>
  <si>
    <t>8210003346</t>
  </si>
  <si>
    <t>3252016034</t>
  </si>
  <si>
    <t>7170230659</t>
  </si>
  <si>
    <t>9950002915</t>
  </si>
  <si>
    <t>7170019002</t>
  </si>
  <si>
    <t>5561006579</t>
  </si>
  <si>
    <t>9950009347</t>
  </si>
  <si>
    <t>5561007735</t>
  </si>
  <si>
    <t>9950002406</t>
  </si>
  <si>
    <t>9950004580</t>
  </si>
  <si>
    <t>9950002340</t>
  </si>
  <si>
    <t>2201519600</t>
  </si>
  <si>
    <t>9950008912</t>
  </si>
  <si>
    <t>3928971391</t>
  </si>
  <si>
    <t>5561002206</t>
  </si>
  <si>
    <t>9950008742</t>
  </si>
  <si>
    <t>5870002630</t>
  </si>
  <si>
    <t>7170019059</t>
  </si>
  <si>
    <t>7170220463</t>
  </si>
  <si>
    <t>9950008811</t>
  </si>
  <si>
    <t>3671800080</t>
  </si>
  <si>
    <t>3252021075</t>
  </si>
  <si>
    <t>3252012039</t>
  </si>
  <si>
    <t>8431500945</t>
  </si>
  <si>
    <t>9950008598</t>
  </si>
  <si>
    <t>9950000048</t>
  </si>
  <si>
    <t>1780848450</t>
  </si>
  <si>
    <t>9950003593</t>
  </si>
  <si>
    <t>3252017112</t>
  </si>
  <si>
    <t>3510904692</t>
  </si>
  <si>
    <t>4210007010</t>
  </si>
  <si>
    <t>9950001026</t>
  </si>
  <si>
    <t>3252022057</t>
  </si>
  <si>
    <t>3252024022</t>
  </si>
  <si>
    <t>9950006106</t>
  </si>
  <si>
    <t>9950005118</t>
  </si>
  <si>
    <t>3671800110</t>
  </si>
  <si>
    <t>2580005532</t>
  </si>
  <si>
    <t>8430800064</t>
  </si>
  <si>
    <t>3250950040</t>
  </si>
  <si>
    <t>0009833393</t>
  </si>
  <si>
    <t>9950002506</t>
  </si>
  <si>
    <t>6430612890</t>
  </si>
  <si>
    <t>8431500999</t>
  </si>
  <si>
    <t>7170220475</t>
  </si>
  <si>
    <t>3252019009</t>
  </si>
  <si>
    <t>7170020069</t>
  </si>
  <si>
    <t>8431901665</t>
  </si>
  <si>
    <t>7142071384</t>
  </si>
  <si>
    <t>7142074381</t>
  </si>
  <si>
    <t>8431901646</t>
  </si>
  <si>
    <t>9950000328</t>
  </si>
  <si>
    <t>3920897863</t>
  </si>
  <si>
    <t>8210003472</t>
  </si>
  <si>
    <t>9950003429</t>
  </si>
  <si>
    <t>9950005134</t>
  </si>
  <si>
    <t>9950001809</t>
  </si>
  <si>
    <t>9950001717</t>
  </si>
  <si>
    <t>5400000559</t>
  </si>
  <si>
    <t>6220008063</t>
  </si>
  <si>
    <t>5520029751</t>
  </si>
  <si>
    <t>5520030121</t>
  </si>
  <si>
    <t>3252011027</t>
  </si>
  <si>
    <t>3252010039</t>
  </si>
  <si>
    <t>3920897261</t>
  </si>
  <si>
    <t>3671900046</t>
  </si>
  <si>
    <t>3672400009</t>
  </si>
  <si>
    <t>3250200696</t>
  </si>
  <si>
    <t>3252015038</t>
  </si>
  <si>
    <t>3510287124</t>
  </si>
  <si>
    <t>7142070807</t>
  </si>
  <si>
    <t>7170210332</t>
  </si>
  <si>
    <t>4210007083</t>
  </si>
  <si>
    <t>8432101989</t>
  </si>
  <si>
    <t>2202403300</t>
  </si>
  <si>
    <t>4212022017</t>
  </si>
  <si>
    <t>9950004498</t>
  </si>
  <si>
    <t>6431471000</t>
  </si>
  <si>
    <t>3671500050</t>
  </si>
  <si>
    <t>8210004125</t>
  </si>
  <si>
    <t>3672300030</t>
  </si>
  <si>
    <t>3252006173</t>
  </si>
  <si>
    <t>3252023051</t>
  </si>
  <si>
    <t>3252023049</t>
  </si>
  <si>
    <t>5870107157</t>
  </si>
  <si>
    <t>9950004557</t>
  </si>
  <si>
    <t>5870001552</t>
  </si>
  <si>
    <t>8431300571</t>
  </si>
  <si>
    <t>3252019028</t>
  </si>
  <si>
    <t>9092205902</t>
  </si>
  <si>
    <t>8432202075</t>
  </si>
  <si>
    <t>8431300435</t>
  </si>
  <si>
    <t>2202302900</t>
  </si>
  <si>
    <t>5870001661</t>
  </si>
  <si>
    <t>3252018057</t>
  </si>
  <si>
    <t>3250200017</t>
  </si>
  <si>
    <t>0009833329</t>
  </si>
  <si>
    <t>8210003986</t>
  </si>
  <si>
    <t>7170020087</t>
  </si>
  <si>
    <t>1600001705</t>
  </si>
  <si>
    <t>3252022011</t>
  </si>
  <si>
    <t>9950000335</t>
  </si>
  <si>
    <t>5520362791</t>
  </si>
  <si>
    <t>3250970048</t>
  </si>
  <si>
    <t>3928971379</t>
  </si>
  <si>
    <t>9950004024</t>
  </si>
  <si>
    <t>9950009768</t>
  </si>
  <si>
    <t>3252014042</t>
  </si>
  <si>
    <t>9950003911</t>
  </si>
  <si>
    <t>2202304400</t>
  </si>
  <si>
    <t>9950001807</t>
  </si>
  <si>
    <t>8431400725</t>
  </si>
  <si>
    <t>9950000463</t>
  </si>
  <si>
    <t>8432402181</t>
  </si>
  <si>
    <t>8430800056</t>
  </si>
  <si>
    <t>9950003390</t>
  </si>
  <si>
    <t>7142074520</t>
  </si>
  <si>
    <t>9950000066</t>
  </si>
  <si>
    <t>8210002870</t>
  </si>
  <si>
    <t>7142071165</t>
  </si>
  <si>
    <t>3252019075</t>
  </si>
  <si>
    <t>9950012723</t>
  </si>
  <si>
    <t>3250200657</t>
  </si>
  <si>
    <t>8431200377</t>
  </si>
  <si>
    <t>9950000542</t>
  </si>
  <si>
    <t>3250200501</t>
  </si>
  <si>
    <t>6350000378</t>
  </si>
  <si>
    <t>3672100049</t>
  </si>
  <si>
    <t>7142074532</t>
  </si>
  <si>
    <t>8432101976</t>
  </si>
  <si>
    <t>7170020214</t>
  </si>
  <si>
    <t>5100110001</t>
  </si>
  <si>
    <t>5520379439</t>
  </si>
  <si>
    <t>2170141169</t>
  </si>
  <si>
    <t>1600003189</t>
  </si>
  <si>
    <t>9950002895</t>
  </si>
  <si>
    <t>Operation Name</t>
  </si>
  <si>
    <t>Operation's business name</t>
  </si>
  <si>
    <t>100% Amazonia Agroindustria Ltda</t>
  </si>
  <si>
    <t>1700 Stiles Rd Farm</t>
  </si>
  <si>
    <t>4 K&amp;S Dairy</t>
  </si>
  <si>
    <t>A.G. Cropping Services, LLC</t>
  </si>
  <si>
    <t>Aaron &amp; Anna Nolt - Clear Creek Dairy</t>
  </si>
  <si>
    <t>Aaron &amp; Rebecca Miller</t>
  </si>
  <si>
    <t>Aaron A Yoder</t>
  </si>
  <si>
    <t>Aaron and Lavina Lapp</t>
  </si>
  <si>
    <t>Aaron Beiler</t>
  </si>
  <si>
    <t>Aaron E. Mast</t>
  </si>
  <si>
    <t>Aaron Erb</t>
  </si>
  <si>
    <t>Aaron F. Stoltzfus</t>
  </si>
  <si>
    <t>Aaron Fisher</t>
  </si>
  <si>
    <t>Aaron Fisher Jr.</t>
  </si>
  <si>
    <t>Aaron H. Kilmer dba Cherry Hill Farm</t>
  </si>
  <si>
    <t>Aaron Hershberger - Harmony Ridge</t>
  </si>
  <si>
    <t>Aaron Kempf</t>
  </si>
  <si>
    <t>Aaron King</t>
  </si>
  <si>
    <t>Aaron L. Lantz</t>
  </si>
  <si>
    <t>Aaron Lapp</t>
  </si>
  <si>
    <t>Aaron S. Esh dba Peaceful Valley Farm</t>
  </si>
  <si>
    <t>Aaron Schroht</t>
  </si>
  <si>
    <t>Aaron Sloan</t>
  </si>
  <si>
    <t>Aaron Stoltzfoos</t>
  </si>
  <si>
    <t>Aaron Swarey</t>
  </si>
  <si>
    <t>Aaron Wachholz</t>
  </si>
  <si>
    <t>Aaron Yoder Farm</t>
  </si>
  <si>
    <t>Abbey Specialty Foods LLC</t>
  </si>
  <si>
    <t>Abe M. &amp; Rosie R. Yoder</t>
  </si>
  <si>
    <t>Abe R. and Anna Yoder</t>
  </si>
  <si>
    <t>Abie Y. Borntreger, Jr.</t>
  </si>
  <si>
    <t>Abner &amp; Fannie Miller</t>
  </si>
  <si>
    <t>Abner Allgyer</t>
  </si>
  <si>
    <t>Abner B. and Lena F. Beiler</t>
  </si>
  <si>
    <t>Abner D and Rachel Renno</t>
  </si>
  <si>
    <t>Abner Miller</t>
  </si>
  <si>
    <t>Abram L. Miller</t>
  </si>
  <si>
    <t>Abram Smoker</t>
  </si>
  <si>
    <t>Abram Ziegler dba Ziegler Farms</t>
  </si>
  <si>
    <t>Ackermann Dairy, LLC</t>
  </si>
  <si>
    <t>Adam and Linda Burrows dba Burrows Rocky Acres Farm</t>
  </si>
  <si>
    <t>Adam E. Hershberger</t>
  </si>
  <si>
    <t>Adam J. and Linda S. Yoder</t>
  </si>
  <si>
    <t>Adam M. Yoder</t>
  </si>
  <si>
    <t>Adam Riniker</t>
  </si>
  <si>
    <t>Adam Rusweiler</t>
  </si>
  <si>
    <t>Adam Schulte DBA KALS Jerseys</t>
  </si>
  <si>
    <t>Adamow Farm</t>
  </si>
  <si>
    <t>Aden A. Raber dba Maple Cove Dairy</t>
  </si>
  <si>
    <t>Aden E. and Laura J. Helmuth</t>
  </si>
  <si>
    <t>Aden Weaver</t>
  </si>
  <si>
    <t>Adin and Susan Kuepfer</t>
  </si>
  <si>
    <t>Adirondack View Farm</t>
  </si>
  <si>
    <t>ADM ANIMAL NUTRITION</t>
  </si>
  <si>
    <t>Aeschlimann Farms LLC</t>
  </si>
  <si>
    <t>AFP Advanced Food Products, LLC</t>
  </si>
  <si>
    <t>AgMotion Dairy Ingredients, LLC</t>
  </si>
  <si>
    <t>AGRI EXIM GLOBAL PHILIPPINES INC.</t>
  </si>
  <si>
    <t>Agropur, Inc. – Le Sueur Food Ingredients Facility</t>
  </si>
  <si>
    <t>AHYA COCO ORGANIC FOOD MANUFACTURING CORP.</t>
  </si>
  <si>
    <t>AJLS Enterprises Inc. DBA Schoep's Ice Cream</t>
  </si>
  <si>
    <t>Alain Choiniere</t>
  </si>
  <si>
    <t>Alan Schroepfer</t>
  </si>
  <si>
    <t>Albert Lea Seed House, Inc</t>
  </si>
  <si>
    <t>Albert Mast</t>
  </si>
  <si>
    <t>Albert's Organics Twin Cities Division</t>
  </si>
  <si>
    <t>Albert's Organics, Inc (South East Division)</t>
  </si>
  <si>
    <t>Albert's Organics, Inc. dba Albert's Fresh Produce, Inc.</t>
  </si>
  <si>
    <t>Albert's Organics-South</t>
  </si>
  <si>
    <t>Albert's Organics-West</t>
  </si>
  <si>
    <t>Albertsons Companies, Inc. dba Lucerne Foods, Inc.</t>
  </si>
  <si>
    <t>Albin Livestock LLC</t>
  </si>
  <si>
    <t>Alex Hellermann dba Hellermann Farms</t>
  </si>
  <si>
    <t>Alex Weaver</t>
  </si>
  <si>
    <t>Alexandre Family Farm</t>
  </si>
  <si>
    <t>ALFG Farm III LLC - Allen A. Gingerich</t>
  </si>
  <si>
    <t>Alfred and Beth Bulcher</t>
  </si>
  <si>
    <t>Alfred State Farm</t>
  </si>
  <si>
    <t>All American Foods, Inc.</t>
  </si>
  <si>
    <t>All Seasons</t>
  </si>
  <si>
    <t>All Star LLC</t>
  </si>
  <si>
    <t>All Star Purchasing Association</t>
  </si>
  <si>
    <t>Allan and Ann Middendorf</t>
  </si>
  <si>
    <t>Allan L Miller</t>
  </si>
  <si>
    <t>Allen &amp; Leanna Troyer</t>
  </si>
  <si>
    <t>Allen &amp; Rachel Miller</t>
  </si>
  <si>
    <t>Allen A. Byler</t>
  </si>
  <si>
    <t>Allen Hershberger</t>
  </si>
  <si>
    <t>Allen M. Yoder</t>
  </si>
  <si>
    <t>Allen Mast</t>
  </si>
  <si>
    <t>Allen Miller</t>
  </si>
  <si>
    <t>Alpine Heritage Creamery</t>
  </si>
  <si>
    <t>Alpine Jay Farm</t>
  </si>
  <si>
    <t>Alpine Meadows Farm</t>
  </si>
  <si>
    <t>Alvin &amp; Martha Troyer</t>
  </si>
  <si>
    <t>Alvin &amp; Miriam Lambright - Jerz Acres Dairy</t>
  </si>
  <si>
    <t>Alvin D. Fisher</t>
  </si>
  <si>
    <t>Alvin E Stutzman</t>
  </si>
  <si>
    <t>Alvin F. Zook dba Liberty Square Farm</t>
  </si>
  <si>
    <t>Alvin H &amp; Mary E Yoder</t>
  </si>
  <si>
    <t>Alvin H. Esh</t>
  </si>
  <si>
    <t>Alvin J. &amp; Linda R. Beechy - Dove Creek Farm.</t>
  </si>
  <si>
    <t>Alvin O Lambright</t>
  </si>
  <si>
    <t>Alvin Ringler</t>
  </si>
  <si>
    <t>Alvin Schwartz</t>
  </si>
  <si>
    <t>Alvin V &amp; Rosann Beechy - A &amp; R Farm</t>
  </si>
  <si>
    <t>Alvin W. &amp; Clara Schrock</t>
  </si>
  <si>
    <t>Alvin W. Weaver</t>
  </si>
  <si>
    <t>Amaltheia Dairy LLC</t>
  </si>
  <si>
    <t>AMAZON SPECIALTIES S.A.C.</t>
  </si>
  <si>
    <t>American International Foods Inc</t>
  </si>
  <si>
    <t>American Pasteurization Company - CoManufacturing</t>
  </si>
  <si>
    <t>American River Ag, Inc.</t>
  </si>
  <si>
    <t>American Soy Products, Inc.</t>
  </si>
  <si>
    <t>Ammon J. Mast</t>
  </si>
  <si>
    <t>Ammon S. Fisher</t>
  </si>
  <si>
    <t>Amos &amp; Beth Hochstetler</t>
  </si>
  <si>
    <t>Amos &amp; Lena Glick</t>
  </si>
  <si>
    <t>Amos &amp; Norma Nolt</t>
  </si>
  <si>
    <t>Amos B. Smoker dba Walnut Valley Farm</t>
  </si>
  <si>
    <t>Amos D &amp; Katie Bontrager</t>
  </si>
  <si>
    <t>Amos D. Troyer</t>
  </si>
  <si>
    <t>Amos E. Lee</t>
  </si>
  <si>
    <t>Amos EM Borntrager</t>
  </si>
  <si>
    <t>Amos F Beiler, Barbie S Beiler</t>
  </si>
  <si>
    <t>Amos J Stoltzfus, Daniel J.Stoltzfus</t>
  </si>
  <si>
    <t>Amos J Yoder</t>
  </si>
  <si>
    <t>Amos L and Toby A Miller</t>
  </si>
  <si>
    <t>Amos L Lee</t>
  </si>
  <si>
    <t>Amos L. &amp; Mary K. Beiler</t>
  </si>
  <si>
    <t>Amos L. Beiler</t>
  </si>
  <si>
    <t>Amos L. Fisher</t>
  </si>
  <si>
    <t>Amos L. Nolt</t>
  </si>
  <si>
    <t>Amos Lapp</t>
  </si>
  <si>
    <t>Amos M. King dba Hillside Organics</t>
  </si>
  <si>
    <t>Amos M. Martin dba Lux-Star Organic Feeds</t>
  </si>
  <si>
    <t>Amos M. Stoltzfus</t>
  </si>
  <si>
    <t>Amos N. Raber</t>
  </si>
  <si>
    <t>Amos Nisley</t>
  </si>
  <si>
    <t>Amos S. Esh</t>
  </si>
  <si>
    <t>Amos S. King</t>
  </si>
  <si>
    <t>Amos Stoltzfus, Emma Stoltzfus</t>
  </si>
  <si>
    <t>Amos T. &amp; Salina V. Kanagy</t>
  </si>
  <si>
    <t>AMPST Online, LLC dba Boxed Greens Certified Organic</t>
  </si>
  <si>
    <t>Amy's Kitchen</t>
  </si>
  <si>
    <t>Amy's Kitchen, Inc.</t>
  </si>
  <si>
    <t>Andersen Feeds Inc.</t>
  </si>
  <si>
    <t>Anderson Farm</t>
  </si>
  <si>
    <t>Andrew &amp; Eva Hoover dba Green Meadow Dairy</t>
  </si>
  <si>
    <t>Andrew Coblentz dba Hills-N-Valley Farm</t>
  </si>
  <si>
    <t>Andrew Fisher</t>
  </si>
  <si>
    <t>Andrew Kinsinger</t>
  </si>
  <si>
    <t>Andrew Lapp</t>
  </si>
  <si>
    <t>Andrew Mast</t>
  </si>
  <si>
    <t>Andrew Miller</t>
  </si>
  <si>
    <t>Andrew R. &amp; Leah V. Miller - Glistening Dew Meadows</t>
  </si>
  <si>
    <t>Andrew S. Young</t>
  </si>
  <si>
    <t>Andy A and Fannie J Yoder</t>
  </si>
  <si>
    <t>Andy A. Mast</t>
  </si>
  <si>
    <t>ANDY ALBAO CORPORATION</t>
  </si>
  <si>
    <t>Andy Borntreger</t>
  </si>
  <si>
    <t>Andy D. Mast</t>
  </si>
  <si>
    <t>Andy E. Mast</t>
  </si>
  <si>
    <t>Andy G Mast</t>
  </si>
  <si>
    <t>Andy Helmuth</t>
  </si>
  <si>
    <t>Andy Hershberger</t>
  </si>
  <si>
    <t>Andy J. Yoder</t>
  </si>
  <si>
    <t>Andy L. Byler</t>
  </si>
  <si>
    <t>Andy Mast</t>
  </si>
  <si>
    <t>Andy Weaver</t>
  </si>
  <si>
    <t>Andy Yoder</t>
  </si>
  <si>
    <t>Andy's Organic Acres, LLC</t>
  </si>
  <si>
    <t>Anita's Mexican Foods Corp.</t>
  </si>
  <si>
    <t>Ann Kormann</t>
  </si>
  <si>
    <t>Anthony D. Burkholder</t>
  </si>
  <si>
    <t>Anthony Schlabach</t>
  </si>
  <si>
    <t>Anton Schilter</t>
  </si>
  <si>
    <t>Apple Lane Farm</t>
  </si>
  <si>
    <t>Apple Valley Farm</t>
  </si>
  <si>
    <t>Appleton Organics</t>
  </si>
  <si>
    <t>Arlan Zimmerman</t>
  </si>
  <si>
    <t>Armagh Dairy, LLC</t>
  </si>
  <si>
    <t>Aron &amp; Ruby Miller - L and V Farms</t>
  </si>
  <si>
    <t>Arthur &amp; Jean Thicke</t>
  </si>
  <si>
    <t>Asia Coconut Processing Joint Stock Company</t>
  </si>
  <si>
    <t>Asiatic Agro Industry Co., Ltd</t>
  </si>
  <si>
    <t>Associated Feed &amp; Supply Co.</t>
  </si>
  <si>
    <t>Atlee J. Keim</t>
  </si>
  <si>
    <t>Atlee J. Yutzy - Atlee J. Yutzy Farm</t>
  </si>
  <si>
    <t>Atlee N. Miller</t>
  </si>
  <si>
    <t>Auburn Dairy Products, Inc.</t>
  </si>
  <si>
    <t>Aurora Organic Farms - Coldwater</t>
  </si>
  <si>
    <t>Aurora Organic Farms - Pepper</t>
  </si>
  <si>
    <t>Aurora Organic Farms Coldwater</t>
  </si>
  <si>
    <t>Aurora Organic Farms High Plains</t>
  </si>
  <si>
    <t>Aurora Organic Farms Pepper</t>
  </si>
  <si>
    <t>Aurora Organic Farms Platteville</t>
  </si>
  <si>
    <t>Aus Organic Feeds Pty Ltd</t>
  </si>
  <si>
    <t>Austin Simone</t>
  </si>
  <si>
    <t>AXELUM RESOURCES CORPORATION</t>
  </si>
  <si>
    <t>Axiom Foods Inc.</t>
  </si>
  <si>
    <t>B/S Ranch</t>
  </si>
  <si>
    <t>Bachman's Swiss Farm, LLC - Greg Bachman</t>
  </si>
  <si>
    <t>Backwoods Organics</t>
  </si>
  <si>
    <t>Badger Hill Farm, LLC</t>
  </si>
  <si>
    <t>Baer Bros Farm</t>
  </si>
  <si>
    <t>Baerwolf Dairies LLC</t>
  </si>
  <si>
    <t>Baese Family Farm LLC</t>
  </si>
  <si>
    <t>Bair-Trax Dairy LLC</t>
  </si>
  <si>
    <t>Baltz Family Farms</t>
  </si>
  <si>
    <t>Bamboo LLC dba Bamboo Juices</t>
  </si>
  <si>
    <t>Bar ALE, Inc.</t>
  </si>
  <si>
    <t>Bar-Char Dairy</t>
  </si>
  <si>
    <t>Barry Callebaut USA LLC - Barry Callebaut USA Sourcing</t>
  </si>
  <si>
    <t>Barth Family Farms</t>
  </si>
  <si>
    <t>Bauderer Packaging</t>
  </si>
  <si>
    <t>Bawden Farms</t>
  </si>
  <si>
    <t>Bean Holstein Farm</t>
  </si>
  <si>
    <t>Bear Creek Acres Dairy</t>
  </si>
  <si>
    <t>Beaver Hollow Farm</t>
  </si>
  <si>
    <t>Bedtke Dairy</t>
  </si>
  <si>
    <t>Beech-Born Farm</t>
  </si>
  <si>
    <t>Beechy Family Farm</t>
  </si>
  <si>
    <t>Beiler Poultry Farm</t>
  </si>
  <si>
    <t>Bell Flavors and Fragrances</t>
  </si>
  <si>
    <t>Beloved Bashan Farm</t>
  </si>
  <si>
    <t>Ben Claerbaut</t>
  </si>
  <si>
    <t>Ben D Borntreger</t>
  </si>
  <si>
    <t>Ben E. Byler dba Byler Farm</t>
  </si>
  <si>
    <t>Ben Hostetler</t>
  </si>
  <si>
    <t>Ben J Yoder</t>
  </si>
  <si>
    <t>Ben Kauffman</t>
  </si>
  <si>
    <t>Ben M Borntreger</t>
  </si>
  <si>
    <t>Ben Petersheim</t>
  </si>
  <si>
    <t>Ben S Borntreger</t>
  </si>
  <si>
    <t>Ben Weaver</t>
  </si>
  <si>
    <t>Ben Yutzy - Meadowlark Dairy</t>
  </si>
  <si>
    <t>Ben-Co Holsteins, LLC dba Red Creek Farm</t>
  </si>
  <si>
    <t>Ben-Dover Farms</t>
  </si>
  <si>
    <t>Benjamin A Wengerd</t>
  </si>
  <si>
    <t>Benjamin B. Allgyer Farm</t>
  </si>
  <si>
    <t>Benjamin J. Detweiler</t>
  </si>
  <si>
    <t>Benjamin J. Wagler</t>
  </si>
  <si>
    <t>Benjamin K. Stoltzfus dba Breezy Meadows</t>
  </si>
  <si>
    <t>Benjamin S Borntreger</t>
  </si>
  <si>
    <t>Benjamin S. Stoltzfus</t>
  </si>
  <si>
    <t>Benjmain F Stoltzfus</t>
  </si>
  <si>
    <t>Bennie J Byler</t>
  </si>
  <si>
    <t>Bensvue Farms LLC</t>
  </si>
  <si>
    <t>BENTRE IMPORT EXPORT JOINT- STOCK CORPORATION</t>
  </si>
  <si>
    <t>Benuel E. Beiler</t>
  </si>
  <si>
    <t>Benuel E. Blank</t>
  </si>
  <si>
    <t>Benuel G. King</t>
  </si>
  <si>
    <t>Benuel H. Stoltzfus</t>
  </si>
  <si>
    <t>Benuel J. Stoltzfus</t>
  </si>
  <si>
    <t>Benuel M. King</t>
  </si>
  <si>
    <t>Benuel Z. Stoltzfus dba Brandy Run Farms</t>
  </si>
  <si>
    <t>Beretta Dairy</t>
  </si>
  <si>
    <t>Berle Farm</t>
  </si>
  <si>
    <t>Bertoski Green Acres Dairy / Reagan and Kevin Hulbert</t>
  </si>
  <si>
    <t>Betterbody Foods And Nutrition</t>
  </si>
  <si>
    <t>Betty E. &amp; Ivan Troyer - Troyer Farm</t>
  </si>
  <si>
    <t>Bevan and Sandra Jones dba RRR Farms</t>
  </si>
  <si>
    <t>Beverage Visions LLC</t>
  </si>
  <si>
    <t>Beyercrest, LLC</t>
  </si>
  <si>
    <t>Bianchini Inc., Bivalve Dairy®</t>
  </si>
  <si>
    <t>Biery Cheese Company</t>
  </si>
  <si>
    <t>Birch Lane Acres</t>
  </si>
  <si>
    <t>Bittersweet Farm of Vermont, LLC.</t>
  </si>
  <si>
    <t>Black Bear Dairy</t>
  </si>
  <si>
    <t>Blacklick Holdings, LLC dba Everclear Valley Farms</t>
  </si>
  <si>
    <t>Blake Family Organic Farm</t>
  </si>
  <si>
    <t>Blake's Landing Farms</t>
  </si>
  <si>
    <t>Blatz Dairy Farm</t>
  </si>
  <si>
    <t>BlendSource, Inc.</t>
  </si>
  <si>
    <t>Bliss Unlimited LLC</t>
  </si>
  <si>
    <t>Blooming Acres Farm</t>
  </si>
  <si>
    <t>Blue Ridge Organics</t>
  </si>
  <si>
    <t>Blue-Collar Holsteins, LLC</t>
  </si>
  <si>
    <t>Blueloon Farm</t>
  </si>
  <si>
    <t>Bluestem Enterprises, LLC</t>
  </si>
  <si>
    <t>Boehning Dairy, LLC</t>
  </si>
  <si>
    <t>Boldrini Dairy</t>
  </si>
  <si>
    <t>Bonanza View Dairy, Inc.</t>
  </si>
  <si>
    <t>Bontrager's Dairy</t>
  </si>
  <si>
    <t>Books Rainbow View</t>
  </si>
  <si>
    <t>Borgerding Dairy, LLC</t>
  </si>
  <si>
    <t>Borkholder Family Farm</t>
  </si>
  <si>
    <t>Bouchard Family Dairy, LLC</t>
  </si>
  <si>
    <t>Brad Midtling</t>
  </si>
  <si>
    <t>Brandon Varner</t>
  </si>
  <si>
    <t>Brant's Hilltop Dairy Farm</t>
  </si>
  <si>
    <t>Bratt Farms</t>
  </si>
  <si>
    <t>BRAWNER FARMS LLC.</t>
  </si>
  <si>
    <t>Brazil Dairy</t>
  </si>
  <si>
    <t>Breezy Acres</t>
  </si>
  <si>
    <t>Breezy Hill Farm</t>
  </si>
  <si>
    <t>Breezy Hills Farm of Baldwin, Inc.</t>
  </si>
  <si>
    <t>Breezy Vista</t>
  </si>
  <si>
    <t>Brendan Wyly</t>
  </si>
  <si>
    <t>Brent Duncan</t>
  </si>
  <si>
    <t>Brent Johnson Farm</t>
  </si>
  <si>
    <t>Brian I. Yoder - Emerald Valley Farm</t>
  </si>
  <si>
    <t>Brian Mizikar dba Mizikar Farm</t>
  </si>
  <si>
    <t>Brian Voelker</t>
  </si>
  <si>
    <t>Brian Wedig Farm</t>
  </si>
  <si>
    <t>Brickey Brothers Valley View Farm</t>
  </si>
  <si>
    <t>Brook Ridge Farm LLC</t>
  </si>
  <si>
    <t>BROOKSHIRE BROTHERS DISTRIBUTION CENTER</t>
  </si>
  <si>
    <t>Brothers International Desserts Inc.</t>
  </si>
  <si>
    <t>Brown Family Farm</t>
  </si>
  <si>
    <t>Brown's Farms</t>
  </si>
  <si>
    <t>Bruce A. Roy dba Royal Knoll Farm</t>
  </si>
  <si>
    <t>Brucker's Organic Dairy</t>
  </si>
  <si>
    <t>Brunos Breads, LLC dba Organic Bread of Heaven</t>
  </si>
  <si>
    <t>Bryce Kowalzek Farm</t>
  </si>
  <si>
    <t>BUF CREAMERY LLC DBA BUF</t>
  </si>
  <si>
    <t>Buffalo Ridge Organic LLC</t>
  </si>
  <si>
    <t>Bundy Creek Farm LLC</t>
  </si>
  <si>
    <t>Buntz Farms</t>
  </si>
  <si>
    <t>Burkholder Dairy</t>
  </si>
  <si>
    <t>Bush Hollow Farm LLC</t>
  </si>
  <si>
    <t>Busy Bee Enterprises</t>
  </si>
  <si>
    <t>Butter Buds Inc.</t>
  </si>
  <si>
    <t>Butterfield Farm</t>
  </si>
  <si>
    <t>Butterworks Farm</t>
  </si>
  <si>
    <t>Button Acres</t>
  </si>
  <si>
    <t>By Grace Farm</t>
  </si>
  <si>
    <t>Byers Family Farms</t>
  </si>
  <si>
    <t>Byers' Organic Dairy LLC</t>
  </si>
  <si>
    <t>Byler's Farm</t>
  </si>
  <si>
    <t>Byom Family Farms</t>
  </si>
  <si>
    <t>Byom Farms - Tim Byom, Roger Byom, Seth Byom</t>
  </si>
  <si>
    <t>Byron R. Brooks</t>
  </si>
  <si>
    <t>C. R. Farms LLC</t>
  </si>
  <si>
    <t>C.W. Mackie PLC</t>
  </si>
  <si>
    <t>Cabaniss Dairy LLC</t>
  </si>
  <si>
    <t>Cahill Dairy Inc.</t>
  </si>
  <si>
    <t>California Natural Products</t>
  </si>
  <si>
    <t>California Packaging Centers</t>
  </si>
  <si>
    <t>Callie's Creamery LLC</t>
  </si>
  <si>
    <t>Cal-Rae Farms</t>
  </si>
  <si>
    <t>Calvin E. Raber dba Wabash Trails Dairy</t>
  </si>
  <si>
    <t>Calvin H. Mast - Tree Line Acres</t>
  </si>
  <si>
    <t>Calvin Lambright Farm</t>
  </si>
  <si>
    <t>Calvin Zimmerman</t>
  </si>
  <si>
    <t>Camino de Paz</t>
  </si>
  <si>
    <t>Canoe Creek Dairy</t>
  </si>
  <si>
    <t>Cardinal Hill Farm / John &amp; Mattie Swarey</t>
  </si>
  <si>
    <t>Cardoza Dairy LLC</t>
  </si>
  <si>
    <t>Carinalli Dairy</t>
  </si>
  <si>
    <t>CARLSON ORGANICS LLC.</t>
  </si>
  <si>
    <t>Carpenter Farm, LLC</t>
  </si>
  <si>
    <t>Carroll Farms</t>
  </si>
  <si>
    <t>Carroll V. Wade II dba Wade Farms</t>
  </si>
  <si>
    <t>Carson &amp; Janet Martin - Sonnet Farm</t>
  </si>
  <si>
    <t>Cartledge Family Farms</t>
  </si>
  <si>
    <t>Cascade Fruit Marketing DBA Foodguys, Inc.</t>
  </si>
  <si>
    <t>Cashton Farm Supply, Ltd.</t>
  </si>
  <si>
    <t>Casimer Trybuskiewicz</t>
  </si>
  <si>
    <t>Castle Henry Farm</t>
  </si>
  <si>
    <t>Castonguay Ayrshires, LLC</t>
  </si>
  <si>
    <t>CB COCONUTS CO., LTD.</t>
  </si>
  <si>
    <t>Cedar Crest Farm</t>
  </si>
  <si>
    <t>Cedar Grove Cheese Inc</t>
  </si>
  <si>
    <t>Center Ridge Farm</t>
  </si>
  <si>
    <t>Central Milling/Keith Giusto Bakery Supply</t>
  </si>
  <si>
    <t>Central Valley Ag Group dba Central Valley Ag Grinding</t>
  </si>
  <si>
    <t>Century Hills, Inc.</t>
  </si>
  <si>
    <t>Certified Organic Direct LLC</t>
  </si>
  <si>
    <t>Chad McCuller</t>
  </si>
  <si>
    <t>Chambers Family Farm LLC</t>
  </si>
  <si>
    <t>Charles and Jamie Eselgroth; Brendan &amp; Sarah Prendergast</t>
  </si>
  <si>
    <t>Charles E. Miller dba C &amp; E Organic Farm</t>
  </si>
  <si>
    <t>Charvin Organic Farm</t>
  </si>
  <si>
    <t>Chase Family Farms</t>
  </si>
  <si>
    <t>Chase Farm</t>
  </si>
  <si>
    <t>Chase Hill Farm</t>
  </si>
  <si>
    <t>Chaseholm Farm, LLC dba Chaseholm Farm</t>
  </si>
  <si>
    <t>Chautauqua Hilltop Organic</t>
  </si>
  <si>
    <t>Cheezewhse.com, Inc DBA Worlds Best Cheeses</t>
  </si>
  <si>
    <t>Chester Miller</t>
  </si>
  <si>
    <t>Chester Yoder</t>
  </si>
  <si>
    <t>Chestnut Ridge</t>
  </si>
  <si>
    <t>Chico State Enterprises</t>
  </si>
  <si>
    <t>Chris Borkholder</t>
  </si>
  <si>
    <t>Chris' Coffee Service, Inc.</t>
  </si>
  <si>
    <t>Chris L. Byler</t>
  </si>
  <si>
    <t>Chris Yoder</t>
  </si>
  <si>
    <t>Christ B. King</t>
  </si>
  <si>
    <t>Christ M. Esh and Susie G. Esh</t>
  </si>
  <si>
    <t>Christian Beery, Lydia Beery</t>
  </si>
  <si>
    <t>Christian Borntreger</t>
  </si>
  <si>
    <t>Christian E. Wengerd</t>
  </si>
  <si>
    <t>Christian F. Fisher</t>
  </si>
  <si>
    <t>Christian H. Esh</t>
  </si>
  <si>
    <t>Christian S Stoltzfus</t>
  </si>
  <si>
    <t>Christian S. Beiler &amp; Naomi L. Beiler</t>
  </si>
  <si>
    <t>Christiansen Ranch</t>
  </si>
  <si>
    <t>Christie Zook</t>
  </si>
  <si>
    <t>Christopher B. Kemnah dba Clover Bliss Farm</t>
  </si>
  <si>
    <t>Christopher G. King &amp; Heather King</t>
  </si>
  <si>
    <t>Christopher Spaulding</t>
  </si>
  <si>
    <t>CHRISTOPHER SUNDERLAND dba SUNDERLAND FARMS Sole Prop</t>
  </si>
  <si>
    <t>Christopher W. Boning</t>
  </si>
  <si>
    <t>Christy J. Carolyn E. Graber</t>
  </si>
  <si>
    <t>CHS Inc.</t>
  </si>
  <si>
    <t>Chuck Henry</t>
  </si>
  <si>
    <t>Circle Drive Farms - Lavern O. &amp; Mary Anna Miller</t>
  </si>
  <si>
    <t>Citrobio Indústria e Comércio de Ativos Naturais Ltda (Citrobio - SP)</t>
  </si>
  <si>
    <t>Clair and Darlene Wenger dba Misty Meadow Farm LLC</t>
  </si>
  <si>
    <t>Clark Pines Farm, Edwin Burkholder, Paul Burkholder</t>
  </si>
  <si>
    <t>Clayton &amp; Kathryn Yoder</t>
  </si>
  <si>
    <t>CLAYTON SHIRK Sole Prop</t>
  </si>
  <si>
    <t>Clemens Chocoart Industria e Comercio De Chocolates Ltda (Clemens Chocoart)</t>
  </si>
  <si>
    <t>Clifford Hawbaker dba Hamilton Heights Dairy Farm</t>
  </si>
  <si>
    <t>Clifford Martin - Harmony Meadows Farm</t>
  </si>
  <si>
    <t>Clifford Martin dba Green Hills Dairy</t>
  </si>
  <si>
    <t>Clofine Dairy &amp; Food Products</t>
  </si>
  <si>
    <t>Clover Meadows</t>
  </si>
  <si>
    <t>Clover Meadows Dairy</t>
  </si>
  <si>
    <t>Clover Valley Creamery LLC</t>
  </si>
  <si>
    <t>Clovercrest Farm DBA Maine Organic Beef Co.</t>
  </si>
  <si>
    <t>Clover-Stornetta Farms, LLC</t>
  </si>
  <si>
    <t>Clyde N. Hoover</t>
  </si>
  <si>
    <t>Coastal Sunbelt, LLC</t>
  </si>
  <si>
    <t>Cobblestone Valley Enterprises, LLC</t>
  </si>
  <si>
    <t>Coconut Country Living</t>
  </si>
  <si>
    <t>CocoPlus Aquarian Development Corporation</t>
  </si>
  <si>
    <t>Commercial Creamery Company</t>
  </si>
  <si>
    <t>Community Foods, LLC</t>
  </si>
  <si>
    <t>Community Homestead Inc., Cedar Bend Farm</t>
  </si>
  <si>
    <t>Conner Holtz</t>
  </si>
  <si>
    <t>Conrad &amp; Carolyn Gingerich - Brookside Farm</t>
  </si>
  <si>
    <t>Conway Feed Inc</t>
  </si>
  <si>
    <t>Coppini Lane Jerseys</t>
  </si>
  <si>
    <t>CoreFX Ingredients</t>
  </si>
  <si>
    <t>Corneal J &amp; Freeda Troyer - Eddy Acres</t>
  </si>
  <si>
    <t>Cory &amp; Loretta Rocha</t>
  </si>
  <si>
    <t>Cosmic Apple Gardens</t>
  </si>
  <si>
    <t>COTTONWOOD FARMS LLC.</t>
  </si>
  <si>
    <t>Country Boy Farm</t>
  </si>
  <si>
    <t>Country Mill Farms</t>
  </si>
  <si>
    <t>Countryside Organics</t>
  </si>
  <si>
    <t>County Line Dairy, LLC</t>
  </si>
  <si>
    <t>Cowgirl Creamery</t>
  </si>
  <si>
    <t>COYOTE CREEK ORGANIC FEED MILL &amp; FARM</t>
  </si>
  <si>
    <t>Cozy Valley Farm</t>
  </si>
  <si>
    <t>CR Griffith Dairy Inc</t>
  </si>
  <si>
    <t>Craig Vitale And Neil Vitale Dba Vitale Organic Farm</t>
  </si>
  <si>
    <t>Crazy 8 Farm, Inc</t>
  </si>
  <si>
    <t>Crazy Acres</t>
  </si>
  <si>
    <t>Crazy Daze Dairy</t>
  </si>
  <si>
    <t>Creation Gardens, Inc</t>
  </si>
  <si>
    <t>Creek Bend Dairy Farm</t>
  </si>
  <si>
    <t>Creek Side Farm</t>
  </si>
  <si>
    <t>Creekside Organic Eggs</t>
  </si>
  <si>
    <t>Crest Foods Co., Inc.</t>
  </si>
  <si>
    <t>Cripple Creek Farm</t>
  </si>
  <si>
    <t>Crist D. Byler</t>
  </si>
  <si>
    <t>Crist M. &amp; Mary Nisley</t>
  </si>
  <si>
    <t>CROPP Cooperative (Cooperative Regions of Organic Producer Pools) DBA Organic Valley</t>
  </si>
  <si>
    <t>Cross Island Farms</t>
  </si>
  <si>
    <t>Crush Provision, LP</t>
  </si>
  <si>
    <t>Crystal Acres Farm</t>
  </si>
  <si>
    <t>Crystal Creamery, Inc.</t>
  </si>
  <si>
    <t>Crystal Creamery, Inc. dba Humboldt Creamery</t>
  </si>
  <si>
    <t>Crystal Spring Farm</t>
  </si>
  <si>
    <t>Crystal Springs Dairy</t>
  </si>
  <si>
    <t>Culver Family Farms, LLC</t>
  </si>
  <si>
    <t>Curtis Creek Dairy, LLC</t>
  </si>
  <si>
    <t>Curtis E. Miller Farm</t>
  </si>
  <si>
    <t>Curtiss Newell</t>
  </si>
  <si>
    <t>Curvin N Burkholder</t>
  </si>
  <si>
    <t>Custom Feed Services Corp.</t>
  </si>
  <si>
    <t>Cutoff Acres / Moses L or Lydia V Miller</t>
  </si>
  <si>
    <t>Cutting Hill Beef, LLC</t>
  </si>
  <si>
    <t>CV. Bunga Palm A</t>
  </si>
  <si>
    <t>D - B Hills</t>
  </si>
  <si>
    <t>Daily Driver</t>
  </si>
  <si>
    <t>DairiConcepts L.P - Bruce</t>
  </si>
  <si>
    <t>DairiConcepts L.P - El Dorado Springs</t>
  </si>
  <si>
    <t>Dairy Farmers of America, Inc. - Bruce</t>
  </si>
  <si>
    <t>Dairy Farmers of America, Inc. - El Dorado Springs</t>
  </si>
  <si>
    <t>Dairyland Produce, LLC dba Greenleaf</t>
  </si>
  <si>
    <t>Dairymen's Feed &amp; Supply Co-op</t>
  </si>
  <si>
    <t>Dale &amp; Janie Helmuth</t>
  </si>
  <si>
    <t>Dale Windecker</t>
  </si>
  <si>
    <t>Dan Hershberger Farm</t>
  </si>
  <si>
    <t>Dan J. Yoder</t>
  </si>
  <si>
    <t>Dan S. &amp; Anna Gingerich</t>
  </si>
  <si>
    <t>Dan Siegmann</t>
  </si>
  <si>
    <t>Dancing Cow Farm</t>
  </si>
  <si>
    <t>Danda Farms LLC</t>
  </si>
  <si>
    <t>Daniel &amp; Barbara Wengerd</t>
  </si>
  <si>
    <t>Daniel A. &amp; Susannah Miller</t>
  </si>
  <si>
    <t>Daniel A. Byler</t>
  </si>
  <si>
    <t>Daniel and Rebecca Lee</t>
  </si>
  <si>
    <t>Daniel B. &amp; Mary Anna Zook</t>
  </si>
  <si>
    <t>Daniel B. Fisher dba Aurora Acres</t>
  </si>
  <si>
    <t>Daniel Beachy</t>
  </si>
  <si>
    <t>Daniel Borntrager</t>
  </si>
  <si>
    <t>Daniel C Borntreger</t>
  </si>
  <si>
    <t>Daniel D &amp; Anna A Bontrager</t>
  </si>
  <si>
    <t>Daniel D. Miller</t>
  </si>
  <si>
    <t>Daniel E. Bontrager - Maple Tree Farm</t>
  </si>
  <si>
    <t>Daniel E. Kurtz</t>
  </si>
  <si>
    <t>Daniel Erb</t>
  </si>
  <si>
    <t>Daniel Glick</t>
  </si>
  <si>
    <t>Daniel H. &amp; Erma Miller</t>
  </si>
  <si>
    <t>Daniel H. Yoder</t>
  </si>
  <si>
    <t>Daniel Hershberger</t>
  </si>
  <si>
    <t>Daniel I. Hochstetler</t>
  </si>
  <si>
    <t>Daniel J. Kurtz</t>
  </si>
  <si>
    <t>Daniel J. Wagler</t>
  </si>
  <si>
    <t>Daniel King</t>
  </si>
  <si>
    <t>Daniel L. &amp; Linda Miller</t>
  </si>
  <si>
    <t>Daniel L. Fisher or Levi A. Fisher</t>
  </si>
  <si>
    <t>Daniel L. Stutzman</t>
  </si>
  <si>
    <t>Daniel Lee</t>
  </si>
  <si>
    <t>Daniel M Stoltzfus</t>
  </si>
  <si>
    <t>Daniel P. Miller</t>
  </si>
  <si>
    <t>Daniel R Esh</t>
  </si>
  <si>
    <t>Daniel Reps Farm</t>
  </si>
  <si>
    <t>Daniel Roberts</t>
  </si>
  <si>
    <t>Daniel S Borntreger</t>
  </si>
  <si>
    <t>Daniel S Byler</t>
  </si>
  <si>
    <t>Daniel S Stoltzfus</t>
  </si>
  <si>
    <t>Daniel S. Kinsinger &amp; Rachel L. Kinsinger</t>
  </si>
  <si>
    <t>Daniel S. Mast</t>
  </si>
  <si>
    <t>Daniel S. Yoder</t>
  </si>
  <si>
    <t>Daniel Stoltzfus</t>
  </si>
  <si>
    <t>Daniel Stutzman</t>
  </si>
  <si>
    <t>Daniel T. Stoltzfus</t>
  </si>
  <si>
    <t>Daniel V Byler</t>
  </si>
  <si>
    <t>Daniel W. Brubaker</t>
  </si>
  <si>
    <t>Daniel W. Casler</t>
  </si>
  <si>
    <t>Daniel Yoder</t>
  </si>
  <si>
    <t>Danish Dairy, LLC</t>
  </si>
  <si>
    <t>Dannie E. Mast</t>
  </si>
  <si>
    <t>Dannie J. Wengerd</t>
  </si>
  <si>
    <t>Danny E. Miller</t>
  </si>
  <si>
    <t>Danny J Mast</t>
  </si>
  <si>
    <t>Danny J. Byler</t>
  </si>
  <si>
    <t>Danone US, LLC</t>
  </si>
  <si>
    <t>Danzeisen Dairy LLC</t>
  </si>
  <si>
    <t>Darin Von Ruden Farm</t>
  </si>
  <si>
    <t>Darrell &amp; Rebecca Eby</t>
  </si>
  <si>
    <t>Darren &amp; Karen Hansen</t>
  </si>
  <si>
    <t>Darron Kennedy</t>
  </si>
  <si>
    <t>Daryl Germann Farms LLC</t>
  </si>
  <si>
    <t>David &amp; Emma Detweiler</t>
  </si>
  <si>
    <t>David &amp; Emma King - David S. King</t>
  </si>
  <si>
    <t>David &amp; Karen Miller</t>
  </si>
  <si>
    <t>David &amp; Marie Beachy</t>
  </si>
  <si>
    <t>David &amp; Naomi Miller - Miller Farm</t>
  </si>
  <si>
    <t>David &amp; Rhoda Weaver - Covered Bridge Acres Farm</t>
  </si>
  <si>
    <t>David &amp; Ruby Troyer dba Meadow View Dairy</t>
  </si>
  <si>
    <t>David &amp; Sarah Hochstetler</t>
  </si>
  <si>
    <t>David A. &amp; Edna Ellen Miller</t>
  </si>
  <si>
    <t>David B. King</t>
  </si>
  <si>
    <t>David Bontrager</t>
  </si>
  <si>
    <t>David C. Weaver</t>
  </si>
  <si>
    <t>David D. Kurtz</t>
  </si>
  <si>
    <t>David D. Schwartz</t>
  </si>
  <si>
    <t>David Fazzio</t>
  </si>
  <si>
    <t>David G. Fisher</t>
  </si>
  <si>
    <t>David G. King</t>
  </si>
  <si>
    <t>David G. Lapp</t>
  </si>
  <si>
    <t>David H. Detweiler Jr.</t>
  </si>
  <si>
    <t>David Hershberger - Legend Hollow Farm</t>
  </si>
  <si>
    <t>David J Yoder</t>
  </si>
  <si>
    <t>David J. Mast</t>
  </si>
  <si>
    <t>David K. and Naomi B. Blank</t>
  </si>
  <si>
    <t>David Keim</t>
  </si>
  <si>
    <t>David L. Kurtz &amp; Sarah Kurtz</t>
  </si>
  <si>
    <t>David L. Martin dba Martin Family Farm</t>
  </si>
  <si>
    <t>David L. Mast dba Double Creek Dairy</t>
  </si>
  <si>
    <t>David L. Stoltzfus Farm</t>
  </si>
  <si>
    <t>David M Miller</t>
  </si>
  <si>
    <t>David M. &amp; Rebecca S. Shetler</t>
  </si>
  <si>
    <t>David M. King</t>
  </si>
  <si>
    <t>David Miller</t>
  </si>
  <si>
    <t>David N Miller, Aden Ray Miller</t>
  </si>
  <si>
    <t>David N. Byler</t>
  </si>
  <si>
    <t>David O. Miller dba David Miller Farm</t>
  </si>
  <si>
    <t>David R and Laurel Ring</t>
  </si>
  <si>
    <t>David R. &amp; Martha Yoder - Pumpkin Vine Pastures</t>
  </si>
  <si>
    <t>David R. &amp; SuAnn Mast - Sand Hill Dairy</t>
  </si>
  <si>
    <t>David S. Burkholder</t>
  </si>
  <si>
    <t>David S. Mast</t>
  </si>
  <si>
    <t>David S. Stoltzfus</t>
  </si>
  <si>
    <t>David Schmucker</t>
  </si>
  <si>
    <t>David Shetler</t>
  </si>
  <si>
    <t>David Stoltzfus</t>
  </si>
  <si>
    <t>David Stoltzfus - Whistling Acres</t>
  </si>
  <si>
    <t>David Stutzman</t>
  </si>
  <si>
    <t>David W. Yoder</t>
  </si>
  <si>
    <t>David Y. &amp; Sylvia L. Swarey</t>
  </si>
  <si>
    <t>David Yoder</t>
  </si>
  <si>
    <t>David Z. Horst dba Pillar Lane Farm</t>
  </si>
  <si>
    <t>David Zook</t>
  </si>
  <si>
    <t>Daybreak Maple LLC</t>
  </si>
  <si>
    <t>Daylight Foods, Inc.</t>
  </si>
  <si>
    <t>dba Green Valley Farm, dba Beiler Family Farm LLC, dba Southwest Produce LLC</t>
  </si>
  <si>
    <t>De Fere Family Farms LLC</t>
  </si>
  <si>
    <t>Dead End Farm LLC</t>
  </si>
  <si>
    <t>Dean &amp; Lorraine Miller - D&amp;L Dairy</t>
  </si>
  <si>
    <t>Dean &amp; Norma Yoder</t>
  </si>
  <si>
    <t>Deelstra Dairy</t>
  </si>
  <si>
    <t>Deeply Rooted Dairy</t>
  </si>
  <si>
    <t>Deepwater Farm</t>
  </si>
  <si>
    <t>Defanti Ranch</t>
  </si>
  <si>
    <t>Dega Group Inc DBA CocoOne, Inc</t>
  </si>
  <si>
    <t>DeKam Organics, Inc.</t>
  </si>
  <si>
    <t>Del Biaggio Dairy</t>
  </si>
  <si>
    <t>Delbert L. &amp; Renee Bontrager</t>
  </si>
  <si>
    <t>Delbert M. Yoder</t>
  </si>
  <si>
    <t>Delmar Ray Kemp dba Kemp Organic Farm</t>
  </si>
  <si>
    <t>Delton Burkholder</t>
  </si>
  <si>
    <t>Delton Burkholder &amp; Alta Burkholder</t>
  </si>
  <si>
    <t>Demick Farms, LLC</t>
  </si>
  <si>
    <t>Deniz Dairy</t>
  </si>
  <si>
    <t>Denmor Farms Inc.</t>
  </si>
  <si>
    <t>Dennis and David Miller</t>
  </si>
  <si>
    <t>Dennis and Melissa Fronning</t>
  </si>
  <si>
    <t>Dennis Bourget Farm</t>
  </si>
  <si>
    <t>Dennis Hatfield</t>
  </si>
  <si>
    <t>Dennis P &amp; Mary Anna Schrock - Den Mar Acres</t>
  </si>
  <si>
    <t>Dennis Yoder</t>
  </si>
  <si>
    <t>Derek Schmitz</t>
  </si>
  <si>
    <t>Dermott Dairy</t>
  </si>
  <si>
    <t>Derrydale Farm</t>
  </si>
  <si>
    <t>Dervin L. Horning</t>
  </si>
  <si>
    <t>Deutsch Family Farm</t>
  </si>
  <si>
    <t>Devon Ray &amp; LaVera Sue Yoder - DeLay Family Farm</t>
  </si>
  <si>
    <t>DeVon Ray Graber, Alvin H, Graber - Buck Creek Acres</t>
  </si>
  <si>
    <t>Devon Yoder</t>
  </si>
  <si>
    <t>DeWayne &amp; Dorcas Miller</t>
  </si>
  <si>
    <t>DeWayne Mishler</t>
  </si>
  <si>
    <t>DG Partners LLC dba Ponderosa Dairies</t>
  </si>
  <si>
    <t>Dharma Lea, LLC</t>
  </si>
  <si>
    <t>Diamond R Ranch</t>
  </si>
  <si>
    <t>Diamond R Ranch dba Diamond Point Dairy</t>
  </si>
  <si>
    <t>Diamond S Farms</t>
  </si>
  <si>
    <t>Diamond W Ranch</t>
  </si>
  <si>
    <t>Diamondback Acres, Inc. dba Glacier Fed Organics</t>
  </si>
  <si>
    <t>DKB Dairy</t>
  </si>
  <si>
    <t>Do Over Dairy</t>
  </si>
  <si>
    <t>Dolan Farms</t>
  </si>
  <si>
    <t>Dolcini Jersey Dairy</t>
  </si>
  <si>
    <t>Dominion Farm</t>
  </si>
  <si>
    <t>Don Anibas Farm</t>
  </si>
  <si>
    <t>Donald A. Pedrotti</t>
  </si>
  <si>
    <t>Donald Schmidt, Bernice Schmidt, John Schmidt</t>
  </si>
  <si>
    <t>Donna &amp; Paul Baran</t>
  </si>
  <si>
    <t>Dorin Smalbergher</t>
  </si>
  <si>
    <t>Doris Bontrager dba Long Lane Dairy</t>
  </si>
  <si>
    <t>Dotti Brothers Dairy, LLC</t>
  </si>
  <si>
    <t>Double Eagle Dairy, Inc. dba Darrell Funk Farms dba Darrell Funk</t>
  </si>
  <si>
    <t>Double L Acres</t>
  </si>
  <si>
    <t>Double L Dairy LLC</t>
  </si>
  <si>
    <t>Double M Dairy, LLC</t>
  </si>
  <si>
    <t>Double S Dairy</t>
  </si>
  <si>
    <t>Doug Stoller</t>
  </si>
  <si>
    <t>Douglas Morse</t>
  </si>
  <si>
    <t>Dowd International, Inc dba Cado Desserts</t>
  </si>
  <si>
    <t>Drakes View Dairy LLC</t>
  </si>
  <si>
    <t>Dreamfarm, LLC</t>
  </si>
  <si>
    <t>Dreamily Delicious Inc.</t>
  </si>
  <si>
    <t>Duane Eash - Six Mile Farm</t>
  </si>
  <si>
    <t>Duane Keim - Emerald Acres Dairy</t>
  </si>
  <si>
    <t>Duff Farms</t>
  </si>
  <si>
    <t>Dukelow Dairy Farm, Inc.</t>
  </si>
  <si>
    <t>Dunhill Enterprises LLC</t>
  </si>
  <si>
    <t>Dutch Acres Farm LLC</t>
  </si>
  <si>
    <t>Dutch American Foods, Inc.</t>
  </si>
  <si>
    <t>Dutch Corner Farm</t>
  </si>
  <si>
    <t>Dutch Lane Farms</t>
  </si>
  <si>
    <t>Dwayne Hoover dba Dwayne Hoover Farm</t>
  </si>
  <si>
    <t>Dwight &amp; Joyce Orton Farm</t>
  </si>
  <si>
    <t>E &amp; S Farm / Eli W Hochstetler</t>
  </si>
  <si>
    <t>E3 Artisan</t>
  </si>
  <si>
    <t>Eagle Valley Family Farm</t>
  </si>
  <si>
    <t>Eagle View Dairy, Inc.</t>
  </si>
  <si>
    <t>Eagle View Farm</t>
  </si>
  <si>
    <t>Earl &amp; Marlene Fox</t>
  </si>
  <si>
    <t>Earl, Tim, &amp; Mary Lust Farm</t>
  </si>
  <si>
    <t>Earth Supplied Products, LLC</t>
  </si>
  <si>
    <t>Earthly Gourmet Distribution, LLC</t>
  </si>
  <si>
    <t>East Side Jersey Dairy- Orrville DBA East Side Jersey Dairy, Inc – Smith Foods</t>
  </si>
  <si>
    <t>Echo Dell Dairy</t>
  </si>
  <si>
    <t>Echo Lake Farms, LLC</t>
  </si>
  <si>
    <t>Eckardt Farms</t>
  </si>
  <si>
    <t>Ed Josie Dairy</t>
  </si>
  <si>
    <t>Eddie Imhoff, Mary Imhoff - Imhoff Dairy Farm</t>
  </si>
  <si>
    <t>Eden Foods, Inc.</t>
  </si>
  <si>
    <t>Eden Valley Creamery</t>
  </si>
  <si>
    <t>Eden Valley Organics, LLC</t>
  </si>
  <si>
    <t>Edward Borntrager</t>
  </si>
  <si>
    <t>Edward Stutzman</t>
  </si>
  <si>
    <t>Edwin &amp; Esther Brubacher</t>
  </si>
  <si>
    <t>Edwin J. Steiner dba Sunrise Dairy</t>
  </si>
  <si>
    <t>Edwin L. Lee</t>
  </si>
  <si>
    <t>Eight Mile Creek Farm</t>
  </si>
  <si>
    <t>E-K Dairy</t>
  </si>
  <si>
    <t>EKLUND FARM MACHINERY Inc</t>
  </si>
  <si>
    <t>Elam E &amp; Naomi K Stoltzfoos</t>
  </si>
  <si>
    <t>Elam F. Stoltzfus</t>
  </si>
  <si>
    <t>Elam J. &amp; Rebecca Stoltzfus</t>
  </si>
  <si>
    <t>Elam K. Fisher</t>
  </si>
  <si>
    <t>Elam L. Lapp and Lydia Z. Lapp</t>
  </si>
  <si>
    <t>Elam S King</t>
  </si>
  <si>
    <t>Elbert Hoffman</t>
  </si>
  <si>
    <t>Eldon &amp; Shawnna Shively</t>
  </si>
  <si>
    <t>Eldon Zimmerman</t>
  </si>
  <si>
    <t>Eli &amp; Susie Bontrager</t>
  </si>
  <si>
    <t>Eli B. Zook dba Riverview Farm</t>
  </si>
  <si>
    <t>Eli Barkman</t>
  </si>
  <si>
    <t>Eli Bontrager</t>
  </si>
  <si>
    <t>Eli Borntreger</t>
  </si>
  <si>
    <t>Eli Byler III</t>
  </si>
  <si>
    <t>Eli C. Miller</t>
  </si>
  <si>
    <t>Eli D &amp; Elizabeth Troyer</t>
  </si>
  <si>
    <t>Eli D. Mast</t>
  </si>
  <si>
    <t>Eli E Borntrager Jr and David E Borntrager</t>
  </si>
  <si>
    <t>Eli F. Summy</t>
  </si>
  <si>
    <t>Eli Glick</t>
  </si>
  <si>
    <t>Eli H or Ida H Yoder</t>
  </si>
  <si>
    <t>Eli H. Mast</t>
  </si>
  <si>
    <t>Eli J. and Emma Nisley</t>
  </si>
  <si>
    <t>Eli J. Mast</t>
  </si>
  <si>
    <t>Eli King</t>
  </si>
  <si>
    <t>Eli L and Rachel Miller</t>
  </si>
  <si>
    <t>Eli L. Kurtz</t>
  </si>
  <si>
    <t>Eli M. Hershberger</t>
  </si>
  <si>
    <t>Eli M. Kuhns</t>
  </si>
  <si>
    <t>Eli Miller</t>
  </si>
  <si>
    <t>Eli R. and Rebecca L. Peachey</t>
  </si>
  <si>
    <t>Eli Troyer Farm</t>
  </si>
  <si>
    <t>Eli Wagler, Jonas Wagler</t>
  </si>
  <si>
    <t>Elias J. Miller</t>
  </si>
  <si>
    <t>Elias Raber</t>
  </si>
  <si>
    <t>El-Mar Farms</t>
  </si>
  <si>
    <t>Elmer B. King dba Rocky Ridge Farm</t>
  </si>
  <si>
    <t>Elmer Beiler Jr.</t>
  </si>
  <si>
    <t>Elmer Bontrager</t>
  </si>
  <si>
    <t>Elmer Brenneman</t>
  </si>
  <si>
    <t>Elmer Graber - Graber Family Farm</t>
  </si>
  <si>
    <t>Elmer J. Beechy</t>
  </si>
  <si>
    <t>Elmer Kinsinger</t>
  </si>
  <si>
    <t>Elmer Yoder</t>
  </si>
  <si>
    <t>Elmer Yoder Jr.</t>
  </si>
  <si>
    <t>Elroy &amp; Lorene Miller - Elm Acres</t>
  </si>
  <si>
    <t>Elvin H. Eberly</t>
  </si>
  <si>
    <t>Elvin Zimmerman Farm</t>
  </si>
  <si>
    <t>Elysian Fields LLC</t>
  </si>
  <si>
    <t>Elysian View Farm</t>
  </si>
  <si>
    <t>Emanuel &amp; Ruth Kanagy dba E &amp; R Family Farm</t>
  </si>
  <si>
    <t>Emanuel Beiler</t>
  </si>
  <si>
    <t>Emanuel Byler</t>
  </si>
  <si>
    <t>Emanuel Girod Jr.</t>
  </si>
  <si>
    <t>Emanuel J. Raber</t>
  </si>
  <si>
    <t>Emanuel K. Lapp</t>
  </si>
  <si>
    <t>Emanuel M. Shetler</t>
  </si>
  <si>
    <t>Emanuel Miller</t>
  </si>
  <si>
    <t>Emanuel N. Raber</t>
  </si>
  <si>
    <t>Emanuel R. Byler and Nancy L. Byler</t>
  </si>
  <si>
    <t>Emanuel Schwartz</t>
  </si>
  <si>
    <t>Emanuel Troyer</t>
  </si>
  <si>
    <t>Emanuel Yoder</t>
  </si>
  <si>
    <t>Emary Springs Farm</t>
  </si>
  <si>
    <t>Emery Raber</t>
  </si>
  <si>
    <t>Empire Milling, Inc.</t>
  </si>
  <si>
    <t>Enchantment Pastures, LLC</t>
  </si>
  <si>
    <t>Engelbert Farms Organic</t>
  </si>
  <si>
    <t>Enos &amp; Jemima Weaver Farm</t>
  </si>
  <si>
    <t>Enos B. Wengerd</t>
  </si>
  <si>
    <t>Enos Byler</t>
  </si>
  <si>
    <t>Enos D. Kurtz</t>
  </si>
  <si>
    <t>Enos F Beiler</t>
  </si>
  <si>
    <t>Enos J Kurtz</t>
  </si>
  <si>
    <t>Enos L. Miller &amp; Andy J. L. Miller - Miller Dairy Farm</t>
  </si>
  <si>
    <t>Enos Lee &amp; Martha Borntreger</t>
  </si>
  <si>
    <t>Enos S. Wengerd dba Dawn Hill Farm</t>
  </si>
  <si>
    <t>Enos Wengerd</t>
  </si>
  <si>
    <t>Ephraim  Allgyer</t>
  </si>
  <si>
    <t>Ephraim D. and Katie M. Yoder dba The Grass Shop</t>
  </si>
  <si>
    <t>Ephraim F. Stoltzfus dba Maple Ridge Organics</t>
  </si>
  <si>
    <t>Ephraim Fisher - Sunset Valley Farm</t>
  </si>
  <si>
    <t>Ephraim H Kilmer, Annetta H Kilmer</t>
  </si>
  <si>
    <t>Ephraim Lapp</t>
  </si>
  <si>
    <t>Equal Exchange, Inc.</t>
  </si>
  <si>
    <t>Eric J. Nickol And Jessica L. Nickol</t>
  </si>
  <si>
    <t>Eric Peck</t>
  </si>
  <si>
    <t>Eric Z. Martin</t>
  </si>
  <si>
    <t>Ernest and Leonard Martin</t>
  </si>
  <si>
    <t>Ernest and Norma Martin</t>
  </si>
  <si>
    <t>Ernest Lee Mast - Maple Wood Dairy</t>
  </si>
  <si>
    <t>Ernest M. Wengerd dba Wengerd Family Farm</t>
  </si>
  <si>
    <t>Ernest Miller - Cable Line Dairy</t>
  </si>
  <si>
    <t>Ervin and Miriam Schrock</t>
  </si>
  <si>
    <t>Ervin E &amp; Edna J Bontrager</t>
  </si>
  <si>
    <t>Ervin Imhoff</t>
  </si>
  <si>
    <t>Ervin J. Mast</t>
  </si>
  <si>
    <t>Ervin Jr. &amp; Wilma Bontrager</t>
  </si>
  <si>
    <t>Ervin L. Kurtz</t>
  </si>
  <si>
    <t>Ervin Nisley</t>
  </si>
  <si>
    <t>Erwin Zook</t>
  </si>
  <si>
    <t>Esh Family Farm</t>
  </si>
  <si>
    <t>Evan R. Showalter dba Portwood Acres</t>
  </si>
  <si>
    <t>Evans Farmhouse Creamery</t>
  </si>
  <si>
    <t>Evening Star Ranch</t>
  </si>
  <si>
    <t>Ever Fresh Fruit Company</t>
  </si>
  <si>
    <t>Evergreen Acres Organics</t>
  </si>
  <si>
    <t>Expo Commodities (Vietnam) Co. Ltd</t>
  </si>
  <si>
    <t>Ezra &amp; Rachel Bontrager</t>
  </si>
  <si>
    <t>Ezra and Miriam Hershberger</t>
  </si>
  <si>
    <t>Ezra E. Mast</t>
  </si>
  <si>
    <t>Ezra Kauffman</t>
  </si>
  <si>
    <t>Ezra L. Bontrager - Seldom Rest Farm</t>
  </si>
  <si>
    <t>Ezra S. Peachey dba Sunnyhill Farm</t>
  </si>
  <si>
    <t>Ezra Schrock</t>
  </si>
  <si>
    <t>Fagundes Bros. Dairy</t>
  </si>
  <si>
    <t>Fair Hill Farms Inc.</t>
  </si>
  <si>
    <t>Faithful Venture Farm</t>
  </si>
  <si>
    <t>Falfa-Divide, LLC</t>
  </si>
  <si>
    <t>Family Cow Farm</t>
  </si>
  <si>
    <t>Family Farmstead Dairy, LLC</t>
  </si>
  <si>
    <t>Fantis Foods Inc.</t>
  </si>
  <si>
    <t>Fanuel Farm</t>
  </si>
  <si>
    <t>Far West Distributors Inc.</t>
  </si>
  <si>
    <t>Farm Fresh Carolinas, LLC</t>
  </si>
  <si>
    <t>Farmdale Organics</t>
  </si>
  <si>
    <t>Farmers All Natural Creamery</t>
  </si>
  <si>
    <t>Farmington Acres LLC</t>
  </si>
  <si>
    <t>Farmland Produce</t>
  </si>
  <si>
    <t>Farnham's Livestock LLC</t>
  </si>
  <si>
    <t>Fast Acai USA LLC</t>
  </si>
  <si>
    <t>Fayette Hill Farm</t>
  </si>
  <si>
    <t>Feather Brook Farm</t>
  </si>
  <si>
    <t>Fehringer Farms - Dalton</t>
  </si>
  <si>
    <t>Felbro Food Products, Inc.</t>
  </si>
  <si>
    <t>Feldy E. Miller</t>
  </si>
  <si>
    <t>Ferman Lehman - Muck Creek Farm</t>
  </si>
  <si>
    <t>Ferman O &amp; Ruby Graber - Sugar Bush Dairy</t>
  </si>
  <si>
    <t>Fern Vallee Farm</t>
  </si>
  <si>
    <t>Ferreira Dairy</t>
  </si>
  <si>
    <t>Finch Family Farm</t>
  </si>
  <si>
    <t>Firman Yoder - Many Miracles Dairy</t>
  </si>
  <si>
    <t>FIRMENICH Inc</t>
  </si>
  <si>
    <t>Fisher Dairy LLC</t>
  </si>
  <si>
    <t>FJP COMÉRCIO LTDA</t>
  </si>
  <si>
    <t>Flaig Farms LLC</t>
  </si>
  <si>
    <t>Flavor Manufacturing Center</t>
  </si>
  <si>
    <t>Fleming Farms</t>
  </si>
  <si>
    <t>Flint Ridge Organic Produce LLC</t>
  </si>
  <si>
    <t>Floyd &amp; Mary Anna Mast</t>
  </si>
  <si>
    <t>Floyd D. Kinsinger</t>
  </si>
  <si>
    <t>Floyd J. &amp; Marietta S. Troyer - Valentine Farm</t>
  </si>
  <si>
    <t>Floyd O. Bontrager - Bontrager Family Farms</t>
  </si>
  <si>
    <t>Floyd O. Miller</t>
  </si>
  <si>
    <t>Floyd Peterson Company dba The Peterson Company</t>
  </si>
  <si>
    <t>Floyd S. Waneta Schrock</t>
  </si>
  <si>
    <t>Floyd Yoder Farm</t>
  </si>
  <si>
    <t>Foggy Meadow</t>
  </si>
  <si>
    <t>FONA International, LLC</t>
  </si>
  <si>
    <t>Fonder Brothers Organic Dairy</t>
  </si>
  <si>
    <t>Forager Project</t>
  </si>
  <si>
    <t>Foraker Farms, LLC - Galen, Stanton, Brent, and Scott Ramer</t>
  </si>
  <si>
    <t>Ford Farm</t>
  </si>
  <si>
    <t>Ford-Ridge Farm</t>
  </si>
  <si>
    <t>Forest Glen Oaks, Inc.</t>
  </si>
  <si>
    <t>Forever Cheese, LLC</t>
  </si>
  <si>
    <t>FOUNDATION RACHEL Y PAMELA SCHIELE</t>
  </si>
  <si>
    <t>Four Season Produce Inc.</t>
  </si>
  <si>
    <t>Franklin Baker Incorporated</t>
  </si>
  <si>
    <t>Franklin Farm, LLC</t>
  </si>
  <si>
    <t>Franklin H. Wadel</t>
  </si>
  <si>
    <t>Frasier Farm</t>
  </si>
  <si>
    <t>Fred Hartzler</t>
  </si>
  <si>
    <t>Freeman Beechy</t>
  </si>
  <si>
    <t>Freeman Bontrager</t>
  </si>
  <si>
    <t>Freeman D. Bontrager</t>
  </si>
  <si>
    <t>Freeman E. &amp; Florence Helmuth</t>
  </si>
  <si>
    <t>Freeman Helmuth Farm</t>
  </si>
  <si>
    <t>Freeman Miller</t>
  </si>
  <si>
    <t>Freeman Stutzman</t>
  </si>
  <si>
    <t>Freeman Wengerd</t>
  </si>
  <si>
    <t>Fresh Breeze Organic Dairy Inc</t>
  </si>
  <si>
    <t>FreshPoint Central Florida</t>
  </si>
  <si>
    <t>FreshPoint Nashville dba FreshPoint Nashville LLC</t>
  </si>
  <si>
    <t>FreshPoint San Francisco</t>
  </si>
  <si>
    <t>FreshPoint South Florida</t>
  </si>
  <si>
    <t>FreshPoint Southern California dba FreshPoint</t>
  </si>
  <si>
    <t>FreshPoint West Coast Tampa</t>
  </si>
  <si>
    <t>Frisian Farm</t>
  </si>
  <si>
    <t>Frontier Co-op</t>
  </si>
  <si>
    <t>Full Belly Farm Inc.</t>
  </si>
  <si>
    <t>Furst-McNess Company - Lodi</t>
  </si>
  <si>
    <t>Gam Zu Letovah LLC</t>
  </si>
  <si>
    <t>Gamlake Dairy</t>
  </si>
  <si>
    <t>Gardner Family LLC</t>
  </si>
  <si>
    <t>Gary &amp; Verba Mast</t>
  </si>
  <si>
    <t>Gayle Thorpe DBA Thorpes Organic Family Farm</t>
  </si>
  <si>
    <t>Gaylerd Imhoff</t>
  </si>
  <si>
    <t>Gearing Oakdale Farms Inc.</t>
  </si>
  <si>
    <t>Gebhart Farms</t>
  </si>
  <si>
    <t>General Mills Inc.</t>
  </si>
  <si>
    <t>George Bianchi, Inc.</t>
  </si>
  <si>
    <t>Gerald Spaletta Dairy</t>
  </si>
  <si>
    <t>Geremy Cox</t>
  </si>
  <si>
    <t>Gerk Heifer Facility Co., AOFI</t>
  </si>
  <si>
    <t>Ghidinelli Dairy</t>
  </si>
  <si>
    <t>Gibbsville Cheese Company</t>
  </si>
  <si>
    <t>Gideon &amp; Sarann Lapp Farm</t>
  </si>
  <si>
    <t>Gideon Hostetler</t>
  </si>
  <si>
    <t>Gideon M. Byler</t>
  </si>
  <si>
    <t>Gideon Mast</t>
  </si>
  <si>
    <t>Gideon Miller</t>
  </si>
  <si>
    <t>Gideon S. Blank dba County Line Organics</t>
  </si>
  <si>
    <t>Gideon S. Kauffman dba South Ridge Dairy</t>
  </si>
  <si>
    <t>Gideon Stoltzfus</t>
  </si>
  <si>
    <t>Gier Dairy</t>
  </si>
  <si>
    <t>Gimme Health Foods Inc.</t>
  </si>
  <si>
    <t>Gingerich Family Farm</t>
  </si>
  <si>
    <t>Glaser Organic Farms, Inc.</t>
  </si>
  <si>
    <t>Glen &amp; Ruth Chupp</t>
  </si>
  <si>
    <t>Glen Cove Farms</t>
  </si>
  <si>
    <t>Glen R. Mast - Pine Meadow Farm</t>
  </si>
  <si>
    <t>Glen W. Miller - Glen Miller Farm</t>
  </si>
  <si>
    <t>Glenn Harder Farm</t>
  </si>
  <si>
    <t>Glenn Hochstetler</t>
  </si>
  <si>
    <t>Glenn Mast</t>
  </si>
  <si>
    <t>Glenn Matthew Horst</t>
  </si>
  <si>
    <t>Glick Farms</t>
  </si>
  <si>
    <t>Gluten Free Foods Manufacturing LLC</t>
  </si>
  <si>
    <t>God's Country Farm</t>
  </si>
  <si>
    <t>Godspeed Farm</t>
  </si>
  <si>
    <t>Good Culture LLC</t>
  </si>
  <si>
    <t>good2grow</t>
  </si>
  <si>
    <t>Goodell Family Farm LLC</t>
  </si>
  <si>
    <t>GoodForYou LLC</t>
  </si>
  <si>
    <t>Goose Creek Farm</t>
  </si>
  <si>
    <t>Grace Pond Farm</t>
  </si>
  <si>
    <t>Gracey Farm</t>
  </si>
  <si>
    <t>Graham's Organics/Graham Farms</t>
  </si>
  <si>
    <t>Grand Canyon Dairy LLC</t>
  </si>
  <si>
    <t>Grange Cooperative Supply Association</t>
  </si>
  <si>
    <t>Granite State Coffee Roasters, Inc. DBA Rare Breed Coffee</t>
  </si>
  <si>
    <t>Grassfield Organic Acres</t>
  </si>
  <si>
    <t>Grassland Dairy Inc.</t>
  </si>
  <si>
    <t>Grassway Farm</t>
  </si>
  <si>
    <t>Grateful Morning Dairy, LLC</t>
  </si>
  <si>
    <t>Grazing Acres</t>
  </si>
  <si>
    <t>Green Acre Farm LLC - Benjamin &amp; David Miller</t>
  </si>
  <si>
    <t>Green Acres Organic Co-operative</t>
  </si>
  <si>
    <t>Green Circle Farms</t>
  </si>
  <si>
    <t>Green Family Farm Inc</t>
  </si>
  <si>
    <t>Green Girl Bakeshop, Inc.</t>
  </si>
  <si>
    <t>Green Heart Dairy</t>
  </si>
  <si>
    <t>Green Meadow Farm</t>
  </si>
  <si>
    <t>Green Meadow Farms, Inc. - Steven K. Hooley</t>
  </si>
  <si>
    <t>Green Mountain Feeds</t>
  </si>
  <si>
    <t>Green Pastures Farm</t>
  </si>
  <si>
    <t>Green Pastures LLC - Jesse Meerman</t>
  </si>
  <si>
    <t>Green Valley Organics</t>
  </si>
  <si>
    <t>Green Wind Farm LLC</t>
  </si>
  <si>
    <t>Greenfield Farm</t>
  </si>
  <si>
    <t>Greenwood Meadows</t>
  </si>
  <si>
    <t>Greg Thomas</t>
  </si>
  <si>
    <t>Grey Barn Farm Enterprises LLC</t>
  </si>
  <si>
    <t>Grim Farm LLC</t>
  </si>
  <si>
    <t>Groovy Dairy</t>
  </si>
  <si>
    <t>GUAICARAMO S.A.S.</t>
  </si>
  <si>
    <t>Guittard Chocolate Company</t>
  </si>
  <si>
    <t>Gwenyn Hill Farm, LLC</t>
  </si>
  <si>
    <t>H &amp; R Farms of WNY, LLC</t>
  </si>
  <si>
    <t>Hacienda Dairy</t>
  </si>
  <si>
    <t>Hafelin Farm</t>
  </si>
  <si>
    <t>Hain Celestial Group, Inc.</t>
  </si>
  <si>
    <t>Halcyon Hollow</t>
  </si>
  <si>
    <t>Hale Lane Farm</t>
  </si>
  <si>
    <t>Hall Farms</t>
  </si>
  <si>
    <t>Hall Farms LLC</t>
  </si>
  <si>
    <t>Happy Cows Dairy</t>
  </si>
  <si>
    <t>Happy Hollow Farm</t>
  </si>
  <si>
    <t>Hardie-Quall Family Farm</t>
  </si>
  <si>
    <t>Hardy Family Farm, LLC</t>
  </si>
  <si>
    <t>Hardy Farm</t>
  </si>
  <si>
    <t>Har-Go Farms LLC</t>
  </si>
  <si>
    <t>Harlan B. Nolt</t>
  </si>
  <si>
    <t>Harley &amp; Anna Mast</t>
  </si>
  <si>
    <t>Harley &amp; Ella Schrock dba Schrock's Family Farm</t>
  </si>
  <si>
    <t>Harley J. &amp; Rachel L. Mast - Mast Family Farm</t>
  </si>
  <si>
    <t>Harley M. Hochstetler dba North Star Farm</t>
  </si>
  <si>
    <t>Harley Miller</t>
  </si>
  <si>
    <t>Harley P Whetstone - Whetstone Farm</t>
  </si>
  <si>
    <t>Harley R Mast dba Maple Crest Dairy</t>
  </si>
  <si>
    <t>HARMLESS HARVEST (THAILAND) LTD</t>
  </si>
  <si>
    <t>Harmless Harvest, Inc.</t>
  </si>
  <si>
    <t>Harold R. Kreider dba Harold Kreider Dairy</t>
  </si>
  <si>
    <t>Harold Weber</t>
  </si>
  <si>
    <t>Harry Bontrager</t>
  </si>
  <si>
    <t>Hart Farms</t>
  </si>
  <si>
    <t>Harvey and/or Jackie Menn</t>
  </si>
  <si>
    <t>Harvey B. Frasier Jr.</t>
  </si>
  <si>
    <t>Harvey Hoover Farm</t>
  </si>
  <si>
    <t>Harvey J. Byler  &amp; Emma D. Byler</t>
  </si>
  <si>
    <t>Harvey J. Yoder</t>
  </si>
  <si>
    <t>Harvey N. Zimmerman</t>
  </si>
  <si>
    <t>Harvey O. and Marlene H. Hoover</t>
  </si>
  <si>
    <t>Harvey O. Schrock dba Twin Pine Farm</t>
  </si>
  <si>
    <t>Harvey R. Byler</t>
  </si>
  <si>
    <t>Harvey W. Lee</t>
  </si>
  <si>
    <t>Harvey Yoder</t>
  </si>
  <si>
    <t>Haugen Family Farm LLC</t>
  </si>
  <si>
    <t>Havengreen Organic Dairy</t>
  </si>
  <si>
    <t>Haverinen Dairy</t>
  </si>
  <si>
    <t>Hawthorne Valley Farm and Creamery</t>
  </si>
  <si>
    <t>Hayes Acres</t>
  </si>
  <si>
    <t>Hays Family Dairy</t>
  </si>
  <si>
    <t>Heartland Organics LLC., dba Michiana Feed LLC.</t>
  </si>
  <si>
    <t>Heavens View Dairy Farm / Charles &amp; Lori Fremstad</t>
  </si>
  <si>
    <t>H-E-B, LP H-E-B HOUSTON REFRIGERATED DISTRIBUTION CENTER 703</t>
  </si>
  <si>
    <t>H-E-B, LP; H-E-B SAN ANTONIO REFRIGERATED DISTRIBUTION CENTER 203</t>
  </si>
  <si>
    <t>H-E-B, LP; H-E-B TEMPLE REFRIGERATED DISTRIBUTION CENTER 403</t>
  </si>
  <si>
    <t>HELFTER ENTERPRISES Inc</t>
  </si>
  <si>
    <t>Hemlock Hollow Farm</t>
  </si>
  <si>
    <t>Hemlock Ridge Farm</t>
  </si>
  <si>
    <t>Henningstead Organic Farm</t>
  </si>
  <si>
    <t>Henry &amp; John Stoker</t>
  </si>
  <si>
    <t>Henry A Hertzler</t>
  </si>
  <si>
    <t>Henry A. &amp; Mary Anne Raber</t>
  </si>
  <si>
    <t>Henry A.F. Hershberger - Stony Creek Farm</t>
  </si>
  <si>
    <t>Henry B. Stoltzfus</t>
  </si>
  <si>
    <t>Henry Beiler</t>
  </si>
  <si>
    <t>Henry Brenneman</t>
  </si>
  <si>
    <t>Henry Bros. Wolf Ridge Dairy</t>
  </si>
  <si>
    <t>Henry D. and Elsie D. Yoder</t>
  </si>
  <si>
    <t>Henry D. Kurtz &amp; Margaret Kurtz</t>
  </si>
  <si>
    <t>Henry E. &amp; Annie Yoder</t>
  </si>
  <si>
    <t>Henry Esh</t>
  </si>
  <si>
    <t>Henry F. Stoltzfus</t>
  </si>
  <si>
    <t>Henry J. Brenneman</t>
  </si>
  <si>
    <t>Henry J. Wagler</t>
  </si>
  <si>
    <t>Henry Jay &amp; Vera Mae Mullett</t>
  </si>
  <si>
    <t>Henry L Stoltzfus</t>
  </si>
  <si>
    <t>Henry M Shetler</t>
  </si>
  <si>
    <t>Henry M. Miller - Sandstone Dairy</t>
  </si>
  <si>
    <t>Henry Miller</t>
  </si>
  <si>
    <t>Henry S. Stoltzfus Farm</t>
  </si>
  <si>
    <t>Henry S. Zook dba Stricklerstown Farm</t>
  </si>
  <si>
    <t>Henry T Miller, Solomon Miller</t>
  </si>
  <si>
    <t>Henry T Petersheim</t>
  </si>
  <si>
    <t>Henry Wengerd</t>
  </si>
  <si>
    <t>Henry Yoder</t>
  </si>
  <si>
    <t>Heritage Dairy Farm</t>
  </si>
  <si>
    <t>Heritage Proteins LLC</t>
  </si>
  <si>
    <t>Hershberger Dairy Farm</t>
  </si>
  <si>
    <t>Hester &amp; Tubuloq Chase</t>
  </si>
  <si>
    <t>HEZE FORTUNE BIOTECH CO., LTD</t>
  </si>
  <si>
    <t>HI Food Lab, Inc. dba 123Dough</t>
  </si>
  <si>
    <t>Hidden Meadows</t>
  </si>
  <si>
    <t>Hidden River Ranch</t>
  </si>
  <si>
    <t>Hidden Valley Farm</t>
  </si>
  <si>
    <t>Hidden Valley Farms / David H or Dora Mast</t>
  </si>
  <si>
    <t>Hidden Valley Organic</t>
  </si>
  <si>
    <t>Hidden View Farm</t>
  </si>
  <si>
    <t>High Meadows of Hoosick LLC</t>
  </si>
  <si>
    <t>Highland Dairy LLC and Arcadia Farm Inc.</t>
  </si>
  <si>
    <t>Highland Farm</t>
  </si>
  <si>
    <t>Hill Creek Grazing Acres</t>
  </si>
  <si>
    <t>Hill High Dairy LLC - Joe Golimbieski</t>
  </si>
  <si>
    <t>Hill Pasture Farm</t>
  </si>
  <si>
    <t>Hill Top Farm</t>
  </si>
  <si>
    <t>Hill View Farms, LLC</t>
  </si>
  <si>
    <t>Hillcrest Dairy</t>
  </si>
  <si>
    <t>Hillcrest Farms, LLC</t>
  </si>
  <si>
    <t>Hillside Dairy</t>
  </si>
  <si>
    <t>Hillside Dairy Farm</t>
  </si>
  <si>
    <t>Hillside Dairy, LLC</t>
  </si>
  <si>
    <t>Hillside Farm</t>
  </si>
  <si>
    <t>Hillside Horse Training / Rudy N Gingerich</t>
  </si>
  <si>
    <t>Hilltop Dairy, LLC</t>
  </si>
  <si>
    <t>Hilltop Holsteins, LLC</t>
  </si>
  <si>
    <t>Hilltop Organic Dairy</t>
  </si>
  <si>
    <t>Hilltop Produce / Phineas A Yoder</t>
  </si>
  <si>
    <t>Hilly Acre Holsteins</t>
  </si>
  <si>
    <t>Hilly Acres Produce</t>
  </si>
  <si>
    <t>Hochstetler Organic Dairy / Joe P Hochstetler</t>
  </si>
  <si>
    <t>Hoel-Way Farm</t>
  </si>
  <si>
    <t>Hoke Hollow</t>
  </si>
  <si>
    <t>Holgieville Jerseys</t>
  </si>
  <si>
    <t>Holterholm Farms</t>
  </si>
  <si>
    <t>Homer Kinsinger dba Hi-Valley Farm</t>
  </si>
  <si>
    <t>Homer Miller</t>
  </si>
  <si>
    <t>Homestead Fields</t>
  </si>
  <si>
    <t>Homestead Organic Farm - Jonathan Lambright, James Lambright</t>
  </si>
  <si>
    <t>Hope Springs Farm Organic</t>
  </si>
  <si>
    <t>Horst, Willard</t>
  </si>
  <si>
    <t>Hosking Sales, LLC</t>
  </si>
  <si>
    <t>Houde Family Farm LLC</t>
  </si>
  <si>
    <t>Houston Berscheit and Nick Pesta</t>
  </si>
  <si>
    <t>Howard Nisley</t>
  </si>
  <si>
    <t>Hoyt Hill Farmstead LLC</t>
  </si>
  <si>
    <t>Hudsonville Creamery &amp; Ice Cream Company, LLC</t>
  </si>
  <si>
    <t>Huftalen Farms</t>
  </si>
  <si>
    <t>Hughes/Westview Jersey Dairy</t>
  </si>
  <si>
    <t>Hu-Hill Farm LLC</t>
  </si>
  <si>
    <t>Humboldt Bay Coffee Company</t>
  </si>
  <si>
    <t>Hunter, Walton &amp; Co., Inc</t>
  </si>
  <si>
    <t>Huntley Family Dairy</t>
  </si>
  <si>
    <t>HyView Feeds, LLC</t>
  </si>
  <si>
    <t>Ideker Brothers Farm, LLC</t>
  </si>
  <si>
    <t>IDO FEED &amp; SUPPLY Corp</t>
  </si>
  <si>
    <t>Ielmorini Dairy</t>
  </si>
  <si>
    <t>Ielmorini Moody Dairy</t>
  </si>
  <si>
    <t>Imperfect Foods dba Misfits Market</t>
  </si>
  <si>
    <t>IMS Dairy LLP dba IMS Dairy</t>
  </si>
  <si>
    <t>Independent Dairy Commodities, Inc.</t>
  </si>
  <si>
    <t>Indiana Logistics, Inc. - Dan &amp; Leah Chupp</t>
  </si>
  <si>
    <t>Infinity Dairy</t>
  </si>
  <si>
    <t>Ingardia Bros. Produce, Inc.</t>
  </si>
  <si>
    <t>Ingersoll Dairy Farm</t>
  </si>
  <si>
    <t>Ingredion Incorporated</t>
  </si>
  <si>
    <t>In-Season Farms Ltd.</t>
  </si>
  <si>
    <t>Integrity Trading LLC</t>
  </si>
  <si>
    <t>International Food Products Corporation</t>
  </si>
  <si>
    <t>Inversiones Italo Tropicales dba Estancia La Querencia</t>
  </si>
  <si>
    <t>Irish Valley Organic</t>
  </si>
  <si>
    <t>Irvin Martin</t>
  </si>
  <si>
    <t>Irvin Z. Martin</t>
  </si>
  <si>
    <t>Isaac A. Hertzler</t>
  </si>
  <si>
    <t>Isaac B. Fisher</t>
  </si>
  <si>
    <t>Isaac Fisher</t>
  </si>
  <si>
    <t>Isaac H Stoltzfus and Isaac H Stoltzfus Jr</t>
  </si>
  <si>
    <t>Isaac L. &amp; Ida L. Zook</t>
  </si>
  <si>
    <t>Isaac M. Horst</t>
  </si>
  <si>
    <t>Isaac S. Beiler</t>
  </si>
  <si>
    <t>Isaac Troyer</t>
  </si>
  <si>
    <t>Island Spring Inc.</t>
  </si>
  <si>
    <t>Israel F. Beiler</t>
  </si>
  <si>
    <t>Israel S. Stoltzfus</t>
  </si>
  <si>
    <t>Israel Swarey</t>
  </si>
  <si>
    <t>Ivan B. Stoltzfus</t>
  </si>
  <si>
    <t>Ivan Barkman</t>
  </si>
  <si>
    <t>Ivan Hershberger</t>
  </si>
  <si>
    <t>Ivan Lapp</t>
  </si>
  <si>
    <t>Ivan Lee &amp; Sara Etta Mast - Pine Dew Farm</t>
  </si>
  <si>
    <t>Ivan Mullet</t>
  </si>
  <si>
    <t>Ivan Peachey dba Ka-Vee Farm</t>
  </si>
  <si>
    <t>Ivan Troyer Farm</t>
  </si>
  <si>
    <t>J &amp; J Peake Farm</t>
  </si>
  <si>
    <t>J &amp; N Halama, Inc.</t>
  </si>
  <si>
    <t>J D Hemmbach</t>
  </si>
  <si>
    <t>J. David Swarey Farm</t>
  </si>
  <si>
    <t>J.V.M. Sales Corp</t>
  </si>
  <si>
    <t>Jack Schouweiler</t>
  </si>
  <si>
    <t>Jacob A Mast</t>
  </si>
  <si>
    <t>Jacob A. Miller</t>
  </si>
  <si>
    <t>Jacob A. Yoder dba Valley Acre</t>
  </si>
  <si>
    <t>Jacob Baack</t>
  </si>
  <si>
    <t>Jacob Beachy</t>
  </si>
  <si>
    <t>Jacob D. Beiler</t>
  </si>
  <si>
    <t>Jacob D. Schwartz</t>
  </si>
  <si>
    <t>Jacob E .Mast</t>
  </si>
  <si>
    <t>Jacob E. Smucker</t>
  </si>
  <si>
    <t>Jacob Esch</t>
  </si>
  <si>
    <t>Jacob F. Beiler and Rachel B. Beiler</t>
  </si>
  <si>
    <t>Jacob Fisher</t>
  </si>
  <si>
    <t>Jacob K Lapp Jr</t>
  </si>
  <si>
    <t>Jacob K. &amp; Bertha E. King</t>
  </si>
  <si>
    <t>Jacob K. Byler</t>
  </si>
  <si>
    <t>Jacob King</t>
  </si>
  <si>
    <t>Jacob L. Esh</t>
  </si>
  <si>
    <t>Jacob M. Glick</t>
  </si>
  <si>
    <t>Jacob M. Stoltzfus</t>
  </si>
  <si>
    <t>Jacob M. Weaver</t>
  </si>
  <si>
    <t>Jacob Moyer</t>
  </si>
  <si>
    <t>Jacob R. Byler</t>
  </si>
  <si>
    <t>Jacob S Beiler</t>
  </si>
  <si>
    <t>Jacob S. and Barbara E. Esh</t>
  </si>
  <si>
    <t>Jacob S. Hostetler</t>
  </si>
  <si>
    <t>Jacob Stoltzfus</t>
  </si>
  <si>
    <t>Jacob U. Hostetler dba Green Pastures Dairy</t>
  </si>
  <si>
    <t>Jacob Wengerd</t>
  </si>
  <si>
    <t>Jacob Yoder</t>
  </si>
  <si>
    <t>Jacobus M.J. Meulenberg</t>
  </si>
  <si>
    <t>Jahnke Family Farm Limited Partnership</t>
  </si>
  <si>
    <t>Jake H. Byler</t>
  </si>
  <si>
    <t>Jake R. Byler</t>
  </si>
  <si>
    <t>Jake's Organic Farm, LLC.</t>
  </si>
  <si>
    <t>Jakie J. Wengerd</t>
  </si>
  <si>
    <t>James &amp; Hannah Martens</t>
  </si>
  <si>
    <t>James Bloome</t>
  </si>
  <si>
    <t>James D. Yoder Farm</t>
  </si>
  <si>
    <t>James F. Sargent</t>
  </si>
  <si>
    <t>James Hoover dba Benton Acres</t>
  </si>
  <si>
    <t>James J. and Tanya R. Howe</t>
  </si>
  <si>
    <t>James Miller</t>
  </si>
  <si>
    <t>James R Hoover</t>
  </si>
  <si>
    <t>James R. Slicer</t>
  </si>
  <si>
    <t>James Troyer</t>
  </si>
  <si>
    <t>James W. Weaver dba Meadowview Farms</t>
  </si>
  <si>
    <t>James West</t>
  </si>
  <si>
    <t>James Yoder</t>
  </si>
  <si>
    <t>Jamie and Amy Mundt Farm</t>
  </si>
  <si>
    <t>Jan &amp; Rinske de Jong dba Working Cows Dairy</t>
  </si>
  <si>
    <t>Jana Ashline dba Maple Summit Farm</t>
  </si>
  <si>
    <t>Jaremy Jock</t>
  </si>
  <si>
    <t>Jaruwan Sangsawangsarekun</t>
  </si>
  <si>
    <t>JAS Farm</t>
  </si>
  <si>
    <t>Jason Detweiler - White Tail Run Farm</t>
  </si>
  <si>
    <t>JASON H. SCHELL</t>
  </si>
  <si>
    <t>Jason H. Zimmerman</t>
  </si>
  <si>
    <t>Jason Schilling</t>
  </si>
  <si>
    <t>Jason Shaw</t>
  </si>
  <si>
    <t>Jasper Products, LLC</t>
  </si>
  <si>
    <t>JC&amp;F Organics Jim W. Campbell &amp; Isaac Campbell</t>
  </si>
  <si>
    <t>JD Grass LLC</t>
  </si>
  <si>
    <t>Jeannine S Missaoui dba Ama-Lurra Acres</t>
  </si>
  <si>
    <t>Jed and Tammi Ladd</t>
  </si>
  <si>
    <t>Jeff Koester</t>
  </si>
  <si>
    <t>Jeffrey and Ellen Enslin dba Crosswinds Farm</t>
  </si>
  <si>
    <t>Jeffrey Peeters dba Peeter's Farms</t>
  </si>
  <si>
    <t>Jeffrey Zehr &amp; Dawn Zehr</t>
  </si>
  <si>
    <t>Jeneil Biotech, Inc.</t>
  </si>
  <si>
    <t>JenTom Farms</t>
  </si>
  <si>
    <t>Jeremiah &amp; Esther Lambright</t>
  </si>
  <si>
    <t>Jeremy Nennig</t>
  </si>
  <si>
    <t>Jeremy R. Yoder, Ann M. Yoder - Wild Hill Farm</t>
  </si>
  <si>
    <t>Jerry Clapper dba Clapper Farm</t>
  </si>
  <si>
    <t>Jerry D. Lehman - Townline Acres</t>
  </si>
  <si>
    <t>Jerry Dell Farm, Inc.</t>
  </si>
  <si>
    <t>Jerry L. &amp; Naomi S. Miller - Powerline Acres</t>
  </si>
  <si>
    <t>Jerry Raber - Raber Dairy</t>
  </si>
  <si>
    <t>Jerry Stutzman</t>
  </si>
  <si>
    <t>Jesse and Rachel Esh</t>
  </si>
  <si>
    <t>Jesse Fisher Farm</t>
  </si>
  <si>
    <t>Jesse S. Wengerd</t>
  </si>
  <si>
    <t>Jesse Stoltzfus</t>
  </si>
  <si>
    <t>Jessica Dermody</t>
  </si>
  <si>
    <t>Jewelview Farm</t>
  </si>
  <si>
    <t>Jim &amp; Janice Gasser - Gasser Family Farm</t>
  </si>
  <si>
    <t>JIM &amp; TRUDY ZOOK Sole Prop</t>
  </si>
  <si>
    <t>Jim Blum</t>
  </si>
  <si>
    <t>Jim Riebli Dairy</t>
  </si>
  <si>
    <t>Ji-mmy Dairy</t>
  </si>
  <si>
    <t>JJ's FAMILY DAIRY, INC</t>
  </si>
  <si>
    <t>JJS Farm LLC</t>
  </si>
  <si>
    <t>JKLM Dairy Farms, Inc.</t>
  </si>
  <si>
    <t>JLT Ranch</t>
  </si>
  <si>
    <t>JMB Farms, LLC</t>
  </si>
  <si>
    <t>Joe &amp; Christina Tomandl</t>
  </si>
  <si>
    <t>Joe Ficher Dairy</t>
  </si>
  <si>
    <t>Joe Fisher &amp; David Stoltzfus - Secluded Acres</t>
  </si>
  <si>
    <t>Joe Hammon</t>
  </si>
  <si>
    <t>Joe Hemmersbach Farm</t>
  </si>
  <si>
    <t>Joe L. &amp; Linda E. Fisher</t>
  </si>
  <si>
    <t>Joe L. Hertzler</t>
  </si>
  <si>
    <t>Joe Lehman - Country View Acres</t>
  </si>
  <si>
    <t>Joe M Miller</t>
  </si>
  <si>
    <t>Joe Schmucker</t>
  </si>
  <si>
    <t>Joe Trybula Farm</t>
  </si>
  <si>
    <t>Joel and Katie Winnes / Hillsong Farm</t>
  </si>
  <si>
    <t>Jogue Inc.</t>
  </si>
  <si>
    <t>Jogue, Incorporated</t>
  </si>
  <si>
    <t>John &amp; Christina Pogue</t>
  </si>
  <si>
    <t>John &amp; Donna Bedtke</t>
  </si>
  <si>
    <t>John A. Bontrager</t>
  </si>
  <si>
    <t>John A. Bontrager - Morning Star Dairy</t>
  </si>
  <si>
    <t>John Amos Ebersol</t>
  </si>
  <si>
    <t>John and Matthew Miller</t>
  </si>
  <si>
    <t>John B Lapp</t>
  </si>
  <si>
    <t>John B. Lapp</t>
  </si>
  <si>
    <t>John Bontrager</t>
  </si>
  <si>
    <t>John Cardner</t>
  </si>
  <si>
    <t>John E. Fisher dba Poor Farm Dairy</t>
  </si>
  <si>
    <t>John E. Mast</t>
  </si>
  <si>
    <t>John E. Miller</t>
  </si>
  <si>
    <t>John E. Stoltzfus Jr.</t>
  </si>
  <si>
    <t>John F. Stoltzfus</t>
  </si>
  <si>
    <t>John F. Stoltzfus, Jr.</t>
  </si>
  <si>
    <t>John G. Kellett Jr.</t>
  </si>
  <si>
    <t>John H. Byler</t>
  </si>
  <si>
    <t>John H. Esh and Naomi  Esh</t>
  </si>
  <si>
    <t>John Henry Miller</t>
  </si>
  <si>
    <t>John Hostetler</t>
  </si>
  <si>
    <t>John I. Zimmerman dba Oakview Farm</t>
  </si>
  <si>
    <t>John Ivan and Suetta Zimmerman</t>
  </si>
  <si>
    <t>John J. Mast</t>
  </si>
  <si>
    <t>John J. Swarey dba Walnut Acres Farm</t>
  </si>
  <si>
    <t>John L Miller</t>
  </si>
  <si>
    <t>John M. Glick</t>
  </si>
  <si>
    <t>John M. Hershberger</t>
  </si>
  <si>
    <t>John M. Kurtz</t>
  </si>
  <si>
    <t>John Miller</t>
  </si>
  <si>
    <t>John N. Detweiler</t>
  </si>
  <si>
    <t>John O Bontrager</t>
  </si>
  <si>
    <t>John R. &amp; Martha D. Byler</t>
  </si>
  <si>
    <t>John R. Glick</t>
  </si>
  <si>
    <t>John R. Hoover &amp; Erma Hoover</t>
  </si>
  <si>
    <t>John S. Byler</t>
  </si>
  <si>
    <t>John S. Stoltzfus</t>
  </si>
  <si>
    <t>John S. Zook dba Stillwater Produce</t>
  </si>
  <si>
    <t>John Schmucker - Schmucker Farms</t>
  </si>
  <si>
    <t>John Schwartzentruber</t>
  </si>
  <si>
    <t>John Troyer</t>
  </si>
  <si>
    <t>John Troyer dba Troyer Family Farm</t>
  </si>
  <si>
    <t>John V. Bontrager</t>
  </si>
  <si>
    <t>John W. Hartranft dba Echo Valley Organic Farm</t>
  </si>
  <si>
    <t>John Yoder</t>
  </si>
  <si>
    <t>John, Chris &amp; Anna Donnay Family Farm</t>
  </si>
  <si>
    <t>John, Kris, Robert &amp; Ronald Vevoda DBA Vevoda Dairy</t>
  </si>
  <si>
    <t>Johnnie R. Yoder</t>
  </si>
  <si>
    <t>Johnny &amp; Fannie Mae Nisley - Scenic Ridge Dairy</t>
  </si>
  <si>
    <t>Johnny E. Wengerd</t>
  </si>
  <si>
    <t>Johnny J. Miller</t>
  </si>
  <si>
    <t>Johnny L. Kurtz</t>
  </si>
  <si>
    <t>Johnny Ray Miller</t>
  </si>
  <si>
    <t>Johnny W Byler</t>
  </si>
  <si>
    <t>Johnson Cattle</t>
  </si>
  <si>
    <t>Johnson Grass Dairy</t>
  </si>
  <si>
    <t>Jonas &amp; Lena Swartzentruber</t>
  </si>
  <si>
    <t>Jonas A Schlabach</t>
  </si>
  <si>
    <t>Jonas and Anna Raber</t>
  </si>
  <si>
    <t>Jonas D. Borntreger, Anna E. Borntreger</t>
  </si>
  <si>
    <t>Jonas F Stoltzfus</t>
  </si>
  <si>
    <t>Jonas J. Stoltzfus</t>
  </si>
  <si>
    <t>Jonas L. Fisher dba London Run Farm</t>
  </si>
  <si>
    <t>Jonas Lapp</t>
  </si>
  <si>
    <t>Jonas M. Jr. &amp; Susie Miller</t>
  </si>
  <si>
    <t>Jonas M. Schmucker Farm</t>
  </si>
  <si>
    <t>Jonas Miller</t>
  </si>
  <si>
    <t>Jonas N. Burkholder</t>
  </si>
  <si>
    <t>Jonas R. &amp; Esther W. Zeiset</t>
  </si>
  <si>
    <t>Jonas S. Fisher</t>
  </si>
  <si>
    <t>Jonas Troyer</t>
  </si>
  <si>
    <t>Jonas Yoder</t>
  </si>
  <si>
    <t>Jonathan and Alta Waltz</t>
  </si>
  <si>
    <t>Jonathan B. Hoover</t>
  </si>
  <si>
    <t>Jonathan Burkholder</t>
  </si>
  <si>
    <t>Jonathan Martin - Martins Misty Meadows Dairy</t>
  </si>
  <si>
    <t>Jonathan Miller</t>
  </si>
  <si>
    <t>Jonathan Miller - Miller Family Farm</t>
  </si>
  <si>
    <t>Jonathan Stoll &amp; Sons</t>
  </si>
  <si>
    <t>Jonathan W. Martin</t>
  </si>
  <si>
    <t>Jonathan Weaver Farm</t>
  </si>
  <si>
    <t>Jonathan Yoder</t>
  </si>
  <si>
    <t>Jones Brother's Farm LLC</t>
  </si>
  <si>
    <t>Jones Family Farm</t>
  </si>
  <si>
    <t>Joni J. Zook</t>
  </si>
  <si>
    <t>JORDAN STAUFFER Sole Prop</t>
  </si>
  <si>
    <t>Jordan's Dairy, Brad Jordan and Reed Rakowska</t>
  </si>
  <si>
    <t>Joseph A. &amp; Josiah Daniel Miller - Meadowbrook Farm</t>
  </si>
  <si>
    <t>Joseph A. Esch</t>
  </si>
  <si>
    <t>Joseph B. Beiler dba Beiler Family Farm</t>
  </si>
  <si>
    <t>Joseph Borntreger</t>
  </si>
  <si>
    <t>Joseph Camozzi Dairy</t>
  </si>
  <si>
    <t>Joseph D. &amp; Ruth Beachy</t>
  </si>
  <si>
    <t>Joseph D. Miller</t>
  </si>
  <si>
    <t>Joseph Fox</t>
  </si>
  <si>
    <t>Joseph G Fisher</t>
  </si>
  <si>
    <t>Joseph G. and Annie B. Lapp</t>
  </si>
  <si>
    <t>Joseph L Miller</t>
  </si>
  <si>
    <t>Joseph L. &amp; Lizzie J. Swartzentruber</t>
  </si>
  <si>
    <t>Joseph Lambright, Mark Lambright &amp; Jeremiah Lambright - Joseph Lambright Farm</t>
  </si>
  <si>
    <t>Joseph M. Nisley dba Grassy Meadow Dairy</t>
  </si>
  <si>
    <t>Joseph Miller</t>
  </si>
  <si>
    <t>Joseph N. Zeiset</t>
  </si>
  <si>
    <t>Joseph Nolt Farm</t>
  </si>
  <si>
    <t>Joseph P. Miller dba WillowBrook Farm</t>
  </si>
  <si>
    <t>Joseph P. Stutzman</t>
  </si>
  <si>
    <t>Joseph S. Fisher</t>
  </si>
  <si>
    <t>Joseph S. Hoover</t>
  </si>
  <si>
    <t>Joseph Schlabach - Nature's Acres</t>
  </si>
  <si>
    <t>Joseph T. Hribal</t>
  </si>
  <si>
    <t>Joseph Yoder</t>
  </si>
  <si>
    <t>Joseph Yoder dba Hidden Valley Acres</t>
  </si>
  <si>
    <t>Joseph Zaiger</t>
  </si>
  <si>
    <t>Joshua Seal dba Seal Farm</t>
  </si>
  <si>
    <t>Joshua Wolfe</t>
  </si>
  <si>
    <t>Josiah H. Peachey Jr</t>
  </si>
  <si>
    <t>Josiah Kauffman</t>
  </si>
  <si>
    <t>Josiah M. Martin</t>
  </si>
  <si>
    <t>Jovial Foods, Inc.</t>
  </si>
  <si>
    <t>Julian Dairy Farm / Jason and Katrina Julian</t>
  </si>
  <si>
    <t>Jumping Jersey Dairy</t>
  </si>
  <si>
    <t>Justin &amp; Jennifer Wolfe</t>
  </si>
  <si>
    <t>Kalmbach Feeds, Inc. (MPK)</t>
  </si>
  <si>
    <t>Kalona Creamery</t>
  </si>
  <si>
    <t>Kalona Farms</t>
  </si>
  <si>
    <t>Kalona Organics, LLC DBA Provision Ingredients</t>
  </si>
  <si>
    <t>KALONA SALES BARN Inc</t>
  </si>
  <si>
    <t>Kamco Group</t>
  </si>
  <si>
    <t>Kanagy Acres</t>
  </si>
  <si>
    <t>Karl Bontrager - Mooville Dairy</t>
  </si>
  <si>
    <t>Karl Brown</t>
  </si>
  <si>
    <t>Katie Yoder and Will Yoder</t>
  </si>
  <si>
    <t>Kawasho Foods USA Inc.</t>
  </si>
  <si>
    <t>KeHE Distributors, LLC</t>
  </si>
  <si>
    <t>Kehoe Dairy</t>
  </si>
  <si>
    <t>Keith F. Marshall dba Marshall Dairy Inc.</t>
  </si>
  <si>
    <t>Keith J. Gerhardt dba Dairy Ayr Farm</t>
  </si>
  <si>
    <t>Keith Kammes Farm</t>
  </si>
  <si>
    <t>Keith Turnage</t>
  </si>
  <si>
    <t>Keller Family Farm</t>
  </si>
  <si>
    <t>Kendall Temples</t>
  </si>
  <si>
    <t>Kendig Creek Farm</t>
  </si>
  <si>
    <t>Ken-Do Organic Dairy</t>
  </si>
  <si>
    <t>Kenneth &amp; Pauline Imhoff - Apple Ridge Farm</t>
  </si>
  <si>
    <t>Kenneth R. Horst</t>
  </si>
  <si>
    <t>Kenneth Zimmerman</t>
  </si>
  <si>
    <t>Kerith Brook Farm</t>
  </si>
  <si>
    <t>Kevin &amp; Kelly Caldwell dba Broadrun Farms</t>
  </si>
  <si>
    <t>Kevin and Ann Miller</t>
  </si>
  <si>
    <t>Kevin and Calvin Oberholtzer/Jason Zimmerman</t>
  </si>
  <si>
    <t>Kevin Donnay</t>
  </si>
  <si>
    <t>Kevin Murphy</t>
  </si>
  <si>
    <t>Key View Farms LLC dba Abner Miller</t>
  </si>
  <si>
    <t>K-Farms Of Clayton LLC</t>
  </si>
  <si>
    <t>Kiefer's Maple Ledge Farm, Inc.</t>
  </si>
  <si>
    <t>King's AgriSeeds Inc.</t>
  </si>
  <si>
    <t>Kinley Coulter dba Coulter Farms</t>
  </si>
  <si>
    <t>Kiss the Cow, LLC</t>
  </si>
  <si>
    <t>Klaas &amp; Mary-Howell Martens Farm</t>
  </si>
  <si>
    <t>Kling Farms</t>
  </si>
  <si>
    <t>Klinkner Dairy LLC</t>
  </si>
  <si>
    <t>Klinkner Legacy Dairy</t>
  </si>
  <si>
    <t>Klock Family Dairy Farm LLC</t>
  </si>
  <si>
    <t>Knapp Hollow Orchard</t>
  </si>
  <si>
    <t>Komal Herbals, Inc</t>
  </si>
  <si>
    <t>Kore D. Yoder</t>
  </si>
  <si>
    <t>Kore M Stoltzfus</t>
  </si>
  <si>
    <t>Kori G. Stay</t>
  </si>
  <si>
    <t>Korkowski Dairy</t>
  </si>
  <si>
    <t>Kreamer Feed Inc.</t>
  </si>
  <si>
    <t>Krebs Organic Dairy Farm</t>
  </si>
  <si>
    <t>Kriemhild Dairy Farms LLC.</t>
  </si>
  <si>
    <t>Kringstead Farm</t>
  </si>
  <si>
    <t>Krinos Foods LLC</t>
  </si>
  <si>
    <t>KTT Merchandise Co.,Ltd</t>
  </si>
  <si>
    <t>Kuffy Knob Dairy / Reuben E &amp; Anna A Schrock</t>
  </si>
  <si>
    <t>Kuhn's Springfield Jerseys</t>
  </si>
  <si>
    <t>Kyle and Casey Sutliff</t>
  </si>
  <si>
    <t>L &amp; M Dairy</t>
  </si>
  <si>
    <t>L&amp;E Family Farm</t>
  </si>
  <si>
    <t>Lactocondensed S.A. de C.V.</t>
  </si>
  <si>
    <t>Lady Bug Farm, LLP</t>
  </si>
  <si>
    <t>Lafranchi Ranch</t>
  </si>
  <si>
    <t>LAG Dairy</t>
  </si>
  <si>
    <t>Lake Country Dairy</t>
  </si>
  <si>
    <t>Lake Missoula Tea Company, LLC</t>
  </si>
  <si>
    <t>Lake View Farm</t>
  </si>
  <si>
    <t>Lakeview Farms LLC dba Fresh Cravings LLC</t>
  </si>
  <si>
    <t>Lamar &amp; Sadie Anna Yoder</t>
  </si>
  <si>
    <t>Lamar H. Hochstetler</t>
  </si>
  <si>
    <t>Lamar Horning</t>
  </si>
  <si>
    <t>Lamar Horst dba Maple Grove Farm</t>
  </si>
  <si>
    <t>Lamar Brubaker Farm</t>
  </si>
  <si>
    <t>Lancaster Farm Fresh Cooperative</t>
  </si>
  <si>
    <t>Land O'' Lakes, Inc.</t>
  </si>
  <si>
    <t>Langmeier Dairy Inc.</t>
  </si>
  <si>
    <t>Lappin Farm LLC</t>
  </si>
  <si>
    <t>Larry A. Finnerty dba Finnerty Farm</t>
  </si>
  <si>
    <t>Larry Lehman</t>
  </si>
  <si>
    <t>Larry Lengacher</t>
  </si>
  <si>
    <t>Lars Leum Family Farm</t>
  </si>
  <si>
    <t>Lavern &amp; Susan Ropp</t>
  </si>
  <si>
    <t>LaVern J. &amp; Dorothy Sue Kurtz - Eden Meadow Family Farm</t>
  </si>
  <si>
    <t>LaVern Miller</t>
  </si>
  <si>
    <t>Lavern Miller</t>
  </si>
  <si>
    <t>Lavern S Borkholder</t>
  </si>
  <si>
    <t>Laverne O. &amp; Ida A. Borkholder</t>
  </si>
  <si>
    <t>Lavon &amp; Ruth Jones</t>
  </si>
  <si>
    <t>Lavon Hochstetler - Spring Acres Farm</t>
  </si>
  <si>
    <t>Lavon S. Burkholder</t>
  </si>
  <si>
    <t>Lawrence Horst And Mary Jane Horst</t>
  </si>
  <si>
    <t>Lazy Daze Acres</t>
  </si>
  <si>
    <t>Lazy Dog Farm LLC</t>
  </si>
  <si>
    <t>Lazy Jay Farm</t>
  </si>
  <si>
    <t>L-Cove Farms</t>
  </si>
  <si>
    <t>Leeper Lane Farm</t>
  </si>
  <si>
    <t>Legacy Grass Dairy LLC</t>
  </si>
  <si>
    <t>Leid's Organic Dairy</t>
  </si>
  <si>
    <t>Leis Dairy Inc.</t>
  </si>
  <si>
    <t>Leis Farms</t>
  </si>
  <si>
    <t>Leis Organic Farms</t>
  </si>
  <si>
    <t>Leland &amp; Norma Mast - Triple Lane Farm</t>
  </si>
  <si>
    <t>Leo and JoAnn Weaver</t>
  </si>
  <si>
    <t>Leon B. Esch</t>
  </si>
  <si>
    <t>Leon Horning</t>
  </si>
  <si>
    <t>Leon M. Mast - Double L Dairy</t>
  </si>
  <si>
    <t>Leon Newswanger</t>
  </si>
  <si>
    <t>Leon S Brubacher</t>
  </si>
  <si>
    <t>Leon Shetler - L.M. Acres</t>
  </si>
  <si>
    <t>Leon Yoder</t>
  </si>
  <si>
    <t>Leonard H. Martin dba Sunshine Dairy</t>
  </si>
  <si>
    <t>Leonardi Dairy dba Evening Star Holsteins</t>
  </si>
  <si>
    <t>LEONIE AGRICEUTICAL CORP.</t>
  </si>
  <si>
    <t>Leroy Burkholder</t>
  </si>
  <si>
    <t>Leroy F. Stoltzfus dba Peaceful Hills</t>
  </si>
  <si>
    <t>Leroy L. Esh</t>
  </si>
  <si>
    <t>Leroy Miller</t>
  </si>
  <si>
    <t>Leroy O. Yoder - Yoder Family Farm</t>
  </si>
  <si>
    <t>Leroy Oberholtzer - Lone-Trail Farm</t>
  </si>
  <si>
    <t>Lester A. Miller</t>
  </si>
  <si>
    <t>Lester and Viola Bontrager - Double LV</t>
  </si>
  <si>
    <t>Lester H. Detweiler</t>
  </si>
  <si>
    <t>Lester Hershberger</t>
  </si>
  <si>
    <t>Lester Martin Farm</t>
  </si>
  <si>
    <t>Lester S Hoover</t>
  </si>
  <si>
    <t>Levi &amp; Emma Raber, Jr.</t>
  </si>
  <si>
    <t>Levi A Hertzler</t>
  </si>
  <si>
    <t>Levi A. Beechy</t>
  </si>
  <si>
    <t>Levi and Martha Hershberger</t>
  </si>
  <si>
    <t>Levi D Lapp</t>
  </si>
  <si>
    <t>Levi D. and Ada R. Yoder dba Fox Hollow Jerseys</t>
  </si>
  <si>
    <t>Levi D. Kurtz</t>
  </si>
  <si>
    <t>Levi E. Mast</t>
  </si>
  <si>
    <t>Levi F. Fisher</t>
  </si>
  <si>
    <t>Levi F. Miller</t>
  </si>
  <si>
    <t>Levi F. Stoltzfus Farm</t>
  </si>
  <si>
    <t>Levi G Fisher</t>
  </si>
  <si>
    <t>Levi G. Stoltzfus &amp; Elizabeth G. Stoltzfus</t>
  </si>
  <si>
    <t>Levi H. Esh</t>
  </si>
  <si>
    <t>Levi J. Kurtz</t>
  </si>
  <si>
    <t>Levi J. Yoder</t>
  </si>
  <si>
    <t>Levi King</t>
  </si>
  <si>
    <t>Levi M. Byler</t>
  </si>
  <si>
    <t>Levi Miller</t>
  </si>
  <si>
    <t>Levi P Fisher</t>
  </si>
  <si>
    <t>Levi Raber</t>
  </si>
  <si>
    <t>Levi S. &amp; Malinda K. Smoker</t>
  </si>
  <si>
    <t>Levi Schrock - Schrock's Farm</t>
  </si>
  <si>
    <t>Levi Y. Stoltzfus</t>
  </si>
  <si>
    <t>Lewis Creek Jerseys Inc</t>
  </si>
  <si>
    <t>Lewis Martin</t>
  </si>
  <si>
    <t>Lewiston Sales Inc</t>
  </si>
  <si>
    <t>Liberty View Farm</t>
  </si>
  <si>
    <t>Liberty View Farm, LLC</t>
  </si>
  <si>
    <t>Liddick Farms</t>
  </si>
  <si>
    <t>LiDestri Foods, Inc.</t>
  </si>
  <si>
    <t>Lifeline Farm</t>
  </si>
  <si>
    <t>Lilac Ridge Farm LLP</t>
  </si>
  <si>
    <t>Lime Creek Farm</t>
  </si>
  <si>
    <t>Linda Marks</t>
  </si>
  <si>
    <t>Linden View Dairy</t>
  </si>
  <si>
    <t>Lindsay Woodworth, Mark Woodworth</t>
  </si>
  <si>
    <t>Linn Dairy Inc. - Carl &amp; Laura Linnemeier</t>
  </si>
  <si>
    <t>Lipari Foods Operating Company, LLC. DBA The Deli Source</t>
  </si>
  <si>
    <t>Litehouse Inc.</t>
  </si>
  <si>
    <t>Litehouse, Inc</t>
  </si>
  <si>
    <t>Litehouse, Inc.</t>
  </si>
  <si>
    <t>Little Crick Farm</t>
  </si>
  <si>
    <t>Little Elk Dairy</t>
  </si>
  <si>
    <t>Lively Run Goat Dairy, LLC</t>
  </si>
  <si>
    <t>Living Intentions LLC</t>
  </si>
  <si>
    <t>LK Dairy and Ranch</t>
  </si>
  <si>
    <t>Lloyd &amp; Tammy Thomas</t>
  </si>
  <si>
    <t>Lloyd Gingerich dba Sleepy Hollow Farm</t>
  </si>
  <si>
    <t>L-N-L Farm / Lester A and Laura Stutzman</t>
  </si>
  <si>
    <t>Locust Farm</t>
  </si>
  <si>
    <t>Locust Valley Farm</t>
  </si>
  <si>
    <t>LOFCO-JR</t>
  </si>
  <si>
    <t>Lone Star Organic Dairy LLC</t>
  </si>
  <si>
    <t>Lone Tree Farms dba Ivan Kauffman</t>
  </si>
  <si>
    <t>Lone Willow Ranch</t>
  </si>
  <si>
    <t>Long Lane Farm</t>
  </si>
  <si>
    <t>Long Lane Farms Dairy LLC.</t>
  </si>
  <si>
    <t>Lonnie &amp; Emily Mast</t>
  </si>
  <si>
    <t>Lonnie D. Beachy</t>
  </si>
  <si>
    <t>Loren Brubaker</t>
  </si>
  <si>
    <t>Loren Nolt</t>
  </si>
  <si>
    <t>Losa Dairy</t>
  </si>
  <si>
    <t>Louie S. Swarey</t>
  </si>
  <si>
    <t>Louis W. Martin</t>
  </si>
  <si>
    <t>Luke M. Shirk &amp; Lois H. Shirk</t>
  </si>
  <si>
    <t>Luke Zimmerman And Joanne Zimmerman</t>
  </si>
  <si>
    <t>Luong Quoi Coconut Co.,Ltd</t>
  </si>
  <si>
    <t>LW Dairy Farm</t>
  </si>
  <si>
    <t>Lyle D. Yoder</t>
  </si>
  <si>
    <t>LyleStanley Trace II LLC</t>
  </si>
  <si>
    <t>Lyman Farms</t>
  </si>
  <si>
    <t>Lyndon Miller Farm</t>
  </si>
  <si>
    <t>Lynn Brubacker</t>
  </si>
  <si>
    <t>M &amp; E Acres</t>
  </si>
  <si>
    <t>M&amp;N Miranda Dairy</t>
  </si>
  <si>
    <t>M.C.E. Amos Inc dba Amos Bros Dairy</t>
  </si>
  <si>
    <t>M.K. Dairy, LLC</t>
  </si>
  <si>
    <t>Macholl Family Farm</t>
  </si>
  <si>
    <t>Mack H. Hobgood Farms, LLC</t>
  </si>
  <si>
    <t>Mad Markets, PBC</t>
  </si>
  <si>
    <t>Mahalko Dairy</t>
  </si>
  <si>
    <t>Mahlon Barkman</t>
  </si>
  <si>
    <t>Mahlon L Mast</t>
  </si>
  <si>
    <t>Mahlon Schlabach</t>
  </si>
  <si>
    <t>Mahlon Weaver</t>
  </si>
  <si>
    <t>Mahlon Yoder</t>
  </si>
  <si>
    <t>Maine-ly Grass Farm</t>
  </si>
  <si>
    <t>Malecki Farm</t>
  </si>
  <si>
    <t>Mane, Inc.</t>
  </si>
  <si>
    <t>Maple Bee Acres LLC / Troy Kuehn</t>
  </si>
  <si>
    <t>Maple Crest</t>
  </si>
  <si>
    <t>Maple Hill Creamery</t>
  </si>
  <si>
    <t>Maple Hill Creamery, LLC</t>
  </si>
  <si>
    <t>Maple Hill Organic Dairy / Joseph A Borntreger</t>
  </si>
  <si>
    <t>Maple Lane Farm - Steven Weaver</t>
  </si>
  <si>
    <t>Maple Lane Farm / Jeff D Miller</t>
  </si>
  <si>
    <t>Maple Leaf Organic Dairy LLC</t>
  </si>
  <si>
    <t>Maple Shade Farm</t>
  </si>
  <si>
    <t>Maple Valley Farm</t>
  </si>
  <si>
    <t>Marcus &amp; Irene Mae Troyer</t>
  </si>
  <si>
    <t>Marcus &amp; Mary Anna Miller</t>
  </si>
  <si>
    <t>Marcus &amp; Rhoda Schlabach - Song Bird Acres</t>
  </si>
  <si>
    <t>Marcus Gingerich</t>
  </si>
  <si>
    <t>Marcus J. Mast dba Meadow Valley Farm</t>
  </si>
  <si>
    <t>Marcus M. Miller dba Miller's Dairy</t>
  </si>
  <si>
    <t>Marcus S. Glick</t>
  </si>
  <si>
    <t>Marion A. Mishler dba Twilight Acres</t>
  </si>
  <si>
    <t>Marion Hershberger - Marion Hershberger Farm</t>
  </si>
  <si>
    <t>Marion J. Yutzy</t>
  </si>
  <si>
    <t>Marion Miller</t>
  </si>
  <si>
    <t>MarJon Dairy Farm</t>
  </si>
  <si>
    <t>Mark &amp; Janet Irani</t>
  </si>
  <si>
    <t>Mark &amp; Louella Zimmerman</t>
  </si>
  <si>
    <t>Mark &amp; Peter McDonald</t>
  </si>
  <si>
    <t>Mark A. Yoder</t>
  </si>
  <si>
    <t>Mark Brothen</t>
  </si>
  <si>
    <t>Mark Detweiler</t>
  </si>
  <si>
    <t>Mark Heater</t>
  </si>
  <si>
    <t>Mark Seller</t>
  </si>
  <si>
    <t>Mark Stutzman</t>
  </si>
  <si>
    <t>Mark T. Yoder - LT Farm</t>
  </si>
  <si>
    <t>Mark Wickenhauser</t>
  </si>
  <si>
    <t>Marlin H. Horst</t>
  </si>
  <si>
    <t>Marlin J. Miller</t>
  </si>
  <si>
    <t>Marlin J. Spicher dba Hillside Pastures</t>
  </si>
  <si>
    <t>Marlin Miller - Miller Farm</t>
  </si>
  <si>
    <t>Marlin Newswanger</t>
  </si>
  <si>
    <t>Marlin R. Eash - Shipshe Meadows Organic Farm</t>
  </si>
  <si>
    <t>Marlin R. Miller</t>
  </si>
  <si>
    <t>Martens Farms</t>
  </si>
  <si>
    <t>Martin D. Miller</t>
  </si>
  <si>
    <t>Martin Detweiler</t>
  </si>
  <si>
    <t>Martin E Lambright</t>
  </si>
  <si>
    <t>Martin Family Farm, LLC</t>
  </si>
  <si>
    <t>Martin H. Fox dba Woodsview Farm/Woodsview Animal Health</t>
  </si>
  <si>
    <t>Martin Hoover Farm</t>
  </si>
  <si>
    <t>Martin Miller - North Fork Farm</t>
  </si>
  <si>
    <t>Martin Warehousing, LLC</t>
  </si>
  <si>
    <t>Martin Yoder Jr. - Forks Valley Dairy</t>
  </si>
  <si>
    <t>Marty Ellis</t>
  </si>
  <si>
    <t>Marvin E Miller</t>
  </si>
  <si>
    <t>Marvin Fisher</t>
  </si>
  <si>
    <t>Marvin Hershberger</t>
  </si>
  <si>
    <t>Marvin N Miller and Verna W Miller</t>
  </si>
  <si>
    <t>Marvin S. Hostetler</t>
  </si>
  <si>
    <t>Marvin W. Fisher</t>
  </si>
  <si>
    <t>Mason's Organic Dairy Farm</t>
  </si>
  <si>
    <t>Masserville Farm</t>
  </si>
  <si>
    <t>Mast Dairy</t>
  </si>
  <si>
    <t>Mast Dairy Farm</t>
  </si>
  <si>
    <t>Mast Farm</t>
  </si>
  <si>
    <t>Matt Bomgardner and Amie Bomgardner</t>
  </si>
  <si>
    <t>Matt Boynton Dairy</t>
  </si>
  <si>
    <t>Matt Snyder</t>
  </si>
  <si>
    <t>Matthew &amp; Debbie Drallette - Homestead Dairy</t>
  </si>
  <si>
    <t>Matthew Baldwin</t>
  </si>
  <si>
    <t>Matthew Bast dba Bast Family Farm</t>
  </si>
  <si>
    <t>Matthew Glenn Borbonus dba Borbonus Family Farm</t>
  </si>
  <si>
    <t>Matthew Martin</t>
  </si>
  <si>
    <t>Matthew P. Troyer dba Hill Top Farms</t>
  </si>
  <si>
    <t>Matthew Sensenig</t>
  </si>
  <si>
    <t>Matthew Turner</t>
  </si>
  <si>
    <t>Matthew Yoder - NiederTal Farm</t>
  </si>
  <si>
    <t>Matthias J. &amp; Yvonne Ruth Yoder</t>
  </si>
  <si>
    <t>Maynard F. Miller dba Forks Valley Farms</t>
  </si>
  <si>
    <t>Maynard Schlabach - Clover Valley Farm</t>
  </si>
  <si>
    <t>Mazzetta Dairy</t>
  </si>
  <si>
    <t>McCanless Dairy</t>
  </si>
  <si>
    <t>McCarthy Farm</t>
  </si>
  <si>
    <t>McCracken Livestock</t>
  </si>
  <si>
    <t>McIsaac Dairy</t>
  </si>
  <si>
    <t>McKnight Farm LLC</t>
  </si>
  <si>
    <t>McMill Hill Acres</t>
  </si>
  <si>
    <t>MCP FOODS INC DBA FIRMENICH Inc</t>
  </si>
  <si>
    <t>MCT Dairies Inc.</t>
  </si>
  <si>
    <t>Meadow Brook Organics</t>
  </si>
  <si>
    <t>Meadow Ridge Farm</t>
  </si>
  <si>
    <t>Meadow Springs Farm</t>
  </si>
  <si>
    <t>Meadow View Farm</t>
  </si>
  <si>
    <t>Meadowlark Creamery</t>
  </si>
  <si>
    <t>Meadowsweet Farm LLC</t>
  </si>
  <si>
    <t>Mediterranean Gyros Products Inc</t>
  </si>
  <si>
    <t>Meeks Farms &amp; Sons</t>
  </si>
  <si>
    <t>Melissa Weyland</t>
  </si>
  <si>
    <t>Mello Dairy dba Mello Farms/Llano Oaks</t>
  </si>
  <si>
    <t>Melvin B. Huyard dba BB Farm</t>
  </si>
  <si>
    <t>Melvin D Miller</t>
  </si>
  <si>
    <t>Melvin E. Miller</t>
  </si>
  <si>
    <t>Melvin Hoover</t>
  </si>
  <si>
    <t>Melvin J. Helmuth dba Moo-Cluckin Farm</t>
  </si>
  <si>
    <t>Melvin Jay Stoltzfus</t>
  </si>
  <si>
    <t>Melvin K. and Lydia S. Zook dba Pasture Valley Acres</t>
  </si>
  <si>
    <t>Melvin Miller</t>
  </si>
  <si>
    <t>Melvin N. Detweiler</t>
  </si>
  <si>
    <t>Melvin R. Peachey dba Production Acres Dairy</t>
  </si>
  <si>
    <t>Melvin Schrock - Maple Leaf Dairy</t>
  </si>
  <si>
    <t>Melvin Wengerd, Naomi Wengerd - Rolling Acres</t>
  </si>
  <si>
    <t>Melvin Zimmerman</t>
  </si>
  <si>
    <t>Menno B. Esch dba Deer Hollow Farm</t>
  </si>
  <si>
    <t>Menno L. Swartzentruber</t>
  </si>
  <si>
    <t>Menno Miller</t>
  </si>
  <si>
    <t>Menno Schwartz</t>
  </si>
  <si>
    <t>Menno Troyer</t>
  </si>
  <si>
    <t>Merit Food Products Co. Ltd, Thailand</t>
  </si>
  <si>
    <t>Merle and Ryan Borntrager</t>
  </si>
  <si>
    <t>Merle J. Miller dba M + M Organic Farm</t>
  </si>
  <si>
    <t>Merlin Hershberger - Hillside Acres</t>
  </si>
  <si>
    <t>Merlin M. Miller - Triple M Farm</t>
  </si>
  <si>
    <t>Merlin M. Yoder</t>
  </si>
  <si>
    <t>Merlin Schmucker</t>
  </si>
  <si>
    <t>Merline &amp; Linda Beachy - Breezy Hollow Farm</t>
  </si>
  <si>
    <t>Mervin B. Miller</t>
  </si>
  <si>
    <t>Mervin M. Bontrager - Clearview Farm</t>
  </si>
  <si>
    <t>Mervin Martin</t>
  </si>
  <si>
    <t>Mervin Miller Farm / Mervin and Edna Miller and Melvin Miller</t>
  </si>
  <si>
    <t>Mervin O. Miller</t>
  </si>
  <si>
    <t>Mervin Yoder Farm</t>
  </si>
  <si>
    <t>Mervin, Lorene, and James Graber - Little Farmer's Dairy</t>
  </si>
  <si>
    <t>Metarom USA, LLC</t>
  </si>
  <si>
    <t>Metshu Exports (Pvt) Ltd.</t>
  </si>
  <si>
    <t>Mezydlo Dairy LLC</t>
  </si>
  <si>
    <t>Micah &amp; Judith Hershberger</t>
  </si>
  <si>
    <t>Miceli Dairy Products Company</t>
  </si>
  <si>
    <t>Michael A Miller dba Miller Farm</t>
  </si>
  <si>
    <t>Michael George</t>
  </si>
  <si>
    <t>Michael Hendrickx</t>
  </si>
  <si>
    <t>Michael Nolt</t>
  </si>
  <si>
    <t>Michael Peterson</t>
  </si>
  <si>
    <t>Michael Yoder Farm</t>
  </si>
  <si>
    <t>Middendorf Family Organics / Donnie and Carolyn Middendorf</t>
  </si>
  <si>
    <t>Middle Ridge Farm</t>
  </si>
  <si>
    <t>Midd-Minn Dairy, LLC</t>
  </si>
  <si>
    <t>Mike McCall Dairy</t>
  </si>
  <si>
    <t>Mike Sebion Farm</t>
  </si>
  <si>
    <t>Mike Wilbur Farm - Mike Wilbur, Lisa Wilbur</t>
  </si>
  <si>
    <t>Mikel Yutzy</t>
  </si>
  <si>
    <t>Milford Miller</t>
  </si>
  <si>
    <t>Milford Ropp</t>
  </si>
  <si>
    <t>Milkco, Inc.</t>
  </si>
  <si>
    <t>Miller Dairy</t>
  </si>
  <si>
    <t>Miller Family Farm</t>
  </si>
  <si>
    <t>Miller Family Farm / Rudy Miller</t>
  </si>
  <si>
    <t>Miller Farm</t>
  </si>
  <si>
    <t>Miller Farms / Samuel H and Howard V Miller</t>
  </si>
  <si>
    <t>Miller's Dairy</t>
  </si>
  <si>
    <t>Miller's Organic Dairy, LLC</t>
  </si>
  <si>
    <t>Miller's Ridgetop Farm / Enos L Miller</t>
  </si>
  <si>
    <t>Mills Farm</t>
  </si>
  <si>
    <t>Milton &amp; Martha Bontrager - Clearspring Hills Dairy</t>
  </si>
  <si>
    <t>Miranda Dairy CA</t>
  </si>
  <si>
    <t>Misha's Kind Foods, Inc.</t>
  </si>
  <si>
    <t>Misty Brook Farm</t>
  </si>
  <si>
    <t>Misty Maples Farm, Inc.</t>
  </si>
  <si>
    <t>Misty Meadow Maple</t>
  </si>
  <si>
    <t>Misty Morning Dairy Inc.</t>
  </si>
  <si>
    <t>Mitch &amp; Laura Peters</t>
  </si>
  <si>
    <t>Mockingbird Creek Farm</t>
  </si>
  <si>
    <t>Modesto Milling, Inc.</t>
  </si>
  <si>
    <t>Moechnig Farm</t>
  </si>
  <si>
    <t>Molitor Organic Farms, Inc.</t>
  </si>
  <si>
    <t>Molly Brook Farm, LLC</t>
  </si>
  <si>
    <t>Monroe F. Yoder</t>
  </si>
  <si>
    <t>Monroe Nisley</t>
  </si>
  <si>
    <t>Moo Land LLC</t>
  </si>
  <si>
    <t>Moore Farms</t>
  </si>
  <si>
    <t>Moos Farms</t>
  </si>
  <si>
    <t>Moose Mountain Maple, LLC</t>
  </si>
  <si>
    <t>Moretti Family Dairy</t>
  </si>
  <si>
    <t>Morning Dew Dairy</t>
  </si>
  <si>
    <t>Morotai Farms</t>
  </si>
  <si>
    <t>Morrison Dairy</t>
  </si>
  <si>
    <t>Morrison's Custom Feeds, Inc</t>
  </si>
  <si>
    <t>Mose J Borntrager</t>
  </si>
  <si>
    <t>Moses F. Fisher</t>
  </si>
  <si>
    <t>Moses Kurtz</t>
  </si>
  <si>
    <t>Moses S. Esh</t>
  </si>
  <si>
    <t>Moses Stoltzfus</t>
  </si>
  <si>
    <t>Moses Z Stoltzfus</t>
  </si>
  <si>
    <t>Mosie D. Kurtz</t>
  </si>
  <si>
    <t>Mosie Swartzentruber</t>
  </si>
  <si>
    <t>Mountain Branch Creamery, LLC</t>
  </si>
  <si>
    <t>Mountain View Dairy</t>
  </si>
  <si>
    <t>Mountain View Jerseys</t>
  </si>
  <si>
    <t>Mountainside Organics</t>
  </si>
  <si>
    <t>M-T Farm</t>
  </si>
  <si>
    <t>Mt. Tabor Farm</t>
  </si>
  <si>
    <t>Mullet Enterprises Inc. dba. TMK Farm Service</t>
  </si>
  <si>
    <t>Murraydale Farms LLC</t>
  </si>
  <si>
    <t>Mycue Farms</t>
  </si>
  <si>
    <t>Myers Family Farm, LLC</t>
  </si>
  <si>
    <t>Myron &amp; Treva Miller - M Tweet Dairy</t>
  </si>
  <si>
    <t>Naaman Martin</t>
  </si>
  <si>
    <t>NAM VIET FOODS AND BEVERAGE JOINT STOCK COMPANY</t>
  </si>
  <si>
    <t>Narrow Way Organic Farm</t>
  </si>
  <si>
    <t>Narrows Valley Jerseys</t>
  </si>
  <si>
    <t>Nathan &amp; Lavern Martin</t>
  </si>
  <si>
    <t>Nathan &amp; Mary Troyer</t>
  </si>
  <si>
    <t>Nathan and Nancy Miller</t>
  </si>
  <si>
    <t>Nathan Burkholder</t>
  </si>
  <si>
    <t>Nathan E. &amp; Susie F. Miller - Tilfert Lake Dairy</t>
  </si>
  <si>
    <t>Nathan H. Kilmer</t>
  </si>
  <si>
    <t>Nathan Hershberger</t>
  </si>
  <si>
    <t>Nathan Jaenke</t>
  </si>
  <si>
    <t>Nathan M. Zimmerman</t>
  </si>
  <si>
    <t>Nathan Weaver</t>
  </si>
  <si>
    <t>NATHAN ZIMMERMAN Sole Prop</t>
  </si>
  <si>
    <t>NATIONAL FOOD AND BEVERAGE INC</t>
  </si>
  <si>
    <t>Natural Dairy Products Corp.</t>
  </si>
  <si>
    <t>Natural Milk Too LLC dba Cliffhaven LLC / Valley Brothers LLC</t>
  </si>
  <si>
    <t>NATURAL PRAIRIE DAIRY FARMS</t>
  </si>
  <si>
    <t>Nature Nate's LLC</t>
  </si>
  <si>
    <t>Nature Ridge Organic Dairy, LLC</t>
  </si>
  <si>
    <t>Nature's One, LLC</t>
  </si>
  <si>
    <t>Nature's Sungrown Foods, LLC</t>
  </si>
  <si>
    <t>Neal Borkholder</t>
  </si>
  <si>
    <t>Neal Borntrager, Ezra Borntrager</t>
  </si>
  <si>
    <t>Neil Kauffman</t>
  </si>
  <si>
    <t>Neil McIsaac and Son Dairy</t>
  </si>
  <si>
    <t>NEKUTLI S.A DE C.V</t>
  </si>
  <si>
    <t>Nelson &amp; Alma Martin - Grazing Acres</t>
  </si>
  <si>
    <t>Nelson J. Miller - Memory Knob Farm</t>
  </si>
  <si>
    <t>Nelson S. Kreider</t>
  </si>
  <si>
    <t>Nelson Troyer</t>
  </si>
  <si>
    <t>NEMO FEED LLC.</t>
  </si>
  <si>
    <t>NestleNook Farm LLC</t>
  </si>
  <si>
    <t>New Country Organics</t>
  </si>
  <si>
    <t>New Holland Sales Stables, Inc</t>
  </si>
  <si>
    <t>New Hope Mills Manufacturing, Inc.</t>
  </si>
  <si>
    <t>NEWELL FARMS LLC.</t>
  </si>
  <si>
    <t>Nicholas Hicks</t>
  </si>
  <si>
    <t>Nicholson Livestock LLC</t>
  </si>
  <si>
    <t>Niedzwiecki Dairy</t>
  </si>
  <si>
    <t>Nisley Evergreen Acres</t>
  </si>
  <si>
    <t>Nisley Farm</t>
  </si>
  <si>
    <t>Noah &amp; Christina Miller</t>
  </si>
  <si>
    <t>Noah H Yoder</t>
  </si>
  <si>
    <t>Noah Hershberger</t>
  </si>
  <si>
    <t>Noah J. Brenneman</t>
  </si>
  <si>
    <t>Noah J. Detweiler</t>
  </si>
  <si>
    <t>Noah Lee Hoover</t>
  </si>
  <si>
    <t>Noah R. Martin, Marceil Martin - Martin's Grass Dairy</t>
  </si>
  <si>
    <t>Noah Worobey dba Worobey Farm</t>
  </si>
  <si>
    <t>Norman &amp; Doris Frye - Nor-Dor Acres</t>
  </si>
  <si>
    <t>Norman D. Kinsinger dba Kinsinger Dairy</t>
  </si>
  <si>
    <t>Norman D. Schlabach</t>
  </si>
  <si>
    <t>Norman J. &amp; Irene Shetler</t>
  </si>
  <si>
    <t>Norman R. Byler</t>
  </si>
  <si>
    <t>Norman Yoder</t>
  </si>
  <si>
    <t>Norman Z. Burkholder</t>
  </si>
  <si>
    <t>Norr Organic LLC</t>
  </si>
  <si>
    <t>North Central Companies, Inc.</t>
  </si>
  <si>
    <t>North Grove Farm</t>
  </si>
  <si>
    <t>Northland Sheep Dairy</t>
  </si>
  <si>
    <t>Nosato, Inc. dba Nomosu</t>
  </si>
  <si>
    <t>Nosecchi Dairy</t>
  </si>
  <si>
    <t>Oak Hill Farm &amp; Feed, Inc / Jason &amp; Becky Bock</t>
  </si>
  <si>
    <t>Oak Hill Farm / Samuel Bontrager</t>
  </si>
  <si>
    <t>Oak Lane Dairy</t>
  </si>
  <si>
    <t>Oasis Creamery LLC</t>
  </si>
  <si>
    <t>Ocean View Beef DBA Lopez Ranch</t>
  </si>
  <si>
    <t>Old Fashioned Farm</t>
  </si>
  <si>
    <t>Oleo-Fats, Incorporated</t>
  </si>
  <si>
    <t>Olin Beachy Farm</t>
  </si>
  <si>
    <t>Olson's Organic Enterprise</t>
  </si>
  <si>
    <t>Omar S King</t>
  </si>
  <si>
    <t>O'Meara Family Farm</t>
  </si>
  <si>
    <t>Omer &amp; Katie Lambright - Omer and Katie Lambright &amp; Family</t>
  </si>
  <si>
    <t>Omer &amp; Linda Miller- Northport Farms</t>
  </si>
  <si>
    <t>Omer E. Miller</t>
  </si>
  <si>
    <t>OnABrook Farm</t>
  </si>
  <si>
    <t>Once Upon a Farm PBC</t>
  </si>
  <si>
    <t>Onvit Alimentos Ltda</t>
  </si>
  <si>
    <t>Oregon Ice Cream Co</t>
  </si>
  <si>
    <t>Organic Nectars Inc.</t>
  </si>
  <si>
    <t>Organic Unlimited, Inc.</t>
  </si>
  <si>
    <t>Orlie &amp; Willard Miller - Miller Family Farm</t>
  </si>
  <si>
    <t>Orva F. Yoder &amp; Naomi Yoder - O-N-J Farm</t>
  </si>
  <si>
    <t>Orvan A. Miller</t>
  </si>
  <si>
    <t>Orvan Miller</t>
  </si>
  <si>
    <t>Osage Food Products, Inc.</t>
  </si>
  <si>
    <t>Osage Meadow Farms</t>
  </si>
  <si>
    <t>OSCAR ROBINSON Sole Prop</t>
  </si>
  <si>
    <t>OSF Flavors, Inc.</t>
  </si>
  <si>
    <t>Oswald Schnick Farm</t>
  </si>
  <si>
    <t>Otter Creek Valley Farm LLC</t>
  </si>
  <si>
    <t>Oughta-Be Farm</t>
  </si>
  <si>
    <t>Owen E. Kauffman</t>
  </si>
  <si>
    <t>P. Jeffrey and Rebekah Ehst dba Ehstview Dairy</t>
  </si>
  <si>
    <t>Pacific Foods of Oregon</t>
  </si>
  <si>
    <t>Painterland Sisters</t>
  </si>
  <si>
    <t>Palmer Farm</t>
  </si>
  <si>
    <t>Palmer Westbrook Inc DBA Oat Hill Organic Beef</t>
  </si>
  <si>
    <t>Paradise Farm Organics, Inc. DBA MaryJanesFarm</t>
  </si>
  <si>
    <t>Paradise Springs Farm</t>
  </si>
  <si>
    <t>Paris Farm</t>
  </si>
  <si>
    <t>Parker Hill Century Farm</t>
  </si>
  <si>
    <t>Pascal D'Huyvetter Farm</t>
  </si>
  <si>
    <t>Pasture Pride Cheese</t>
  </si>
  <si>
    <t>Pasture Vale</t>
  </si>
  <si>
    <t>Pastureland Dairy Farm</t>
  </si>
  <si>
    <t>Pastureland Dairy LLC</t>
  </si>
  <si>
    <t>Pattison Home Farm, Inc.</t>
  </si>
  <si>
    <t>Patzer Farms LLC.</t>
  </si>
  <si>
    <t>Paul Bontrager</t>
  </si>
  <si>
    <t>Paul J. Troyer</t>
  </si>
  <si>
    <t>Paul M. Horst</t>
  </si>
  <si>
    <t>Paul M. Miller Farm</t>
  </si>
  <si>
    <t>Paul Martens Farm</t>
  </si>
  <si>
    <t>Paul Miller</t>
  </si>
  <si>
    <t>Paul S. Miller Farm</t>
  </si>
  <si>
    <t>Paul Schmieder Jr. dba Paul Schmieder Jr. Farm</t>
  </si>
  <si>
    <t>Paul W. &amp; Ida M. Miller - Meadow Lane Farm</t>
  </si>
  <si>
    <t>Paul Yoder - Urban Meadows Farm</t>
  </si>
  <si>
    <t>Peace Hollow Farm</t>
  </si>
  <si>
    <t>Peaceful Acres</t>
  </si>
  <si>
    <t>Peasley Farm LLC</t>
  </si>
  <si>
    <t>Penn Dairy LLC</t>
  </si>
  <si>
    <t>Penner Farms LLC</t>
  </si>
  <si>
    <t>Pepacton Farms</t>
  </si>
  <si>
    <t>Pequea Valley Farm</t>
  </si>
  <si>
    <t>Perrin Farms</t>
  </si>
  <si>
    <t>Perry &amp; Miriam Lambright - Lambright Famly Farm</t>
  </si>
  <si>
    <t>Perry B Miller</t>
  </si>
  <si>
    <t>Perry Beachy</t>
  </si>
  <si>
    <t>Perry Yoder</t>
  </si>
  <si>
    <t>Perucchi Dairy</t>
  </si>
  <si>
    <t>Petaluma Livestock Auction Yard, Inc.</t>
  </si>
  <si>
    <t>Pete and Becky Lepori Dairy</t>
  </si>
  <si>
    <t>Peter And Amy Mursu Farm</t>
  </si>
  <si>
    <t>Petersen-Helzer Ranch</t>
  </si>
  <si>
    <t>Petersheim Acres / Felty B Petersheim</t>
  </si>
  <si>
    <t>PETERSON PROCESSING Inc</t>
  </si>
  <si>
    <t>Peterson's Crossroad Acres</t>
  </si>
  <si>
    <t>Philip Byler - South Fork Dairy</t>
  </si>
  <si>
    <t>Philip N. Weaver</t>
  </si>
  <si>
    <t>Phillip H. Pittroff</t>
  </si>
  <si>
    <t>Phillip Whetstone dba Phillip L. or Lora G. Whetstone</t>
  </si>
  <si>
    <t>Phoenix Bean LLC</t>
  </si>
  <si>
    <t>Phoenix Farm</t>
  </si>
  <si>
    <t>Pine Circle Holsteins, Inc.</t>
  </si>
  <si>
    <t>Pine Corner Custom</t>
  </si>
  <si>
    <t>Pine Crest Dairy</t>
  </si>
  <si>
    <t>Pine Grove Dairy / Jacob and Barbara Schmucker</t>
  </si>
  <si>
    <t>Pine Grove Farm</t>
  </si>
  <si>
    <t>Pine Hill Farm</t>
  </si>
  <si>
    <t>Pine Hill Jerseys</t>
  </si>
  <si>
    <t>Pine View Farm</t>
  </si>
  <si>
    <t>Pine View Organic</t>
  </si>
  <si>
    <t>PineMelon</t>
  </si>
  <si>
    <t>Pinheiro Dairy</t>
  </si>
  <si>
    <t>Pink Rose Organix, LLC</t>
  </si>
  <si>
    <t>Pinnacle PreMix LLC</t>
  </si>
  <si>
    <t>Placke Organic Acres, LLC dba  Fever Hill Farmstead</t>
  </si>
  <si>
    <t>Plaetz Dairy, Inc</t>
  </si>
  <si>
    <t>Plain View Turkey Farm</t>
  </si>
  <si>
    <t>Plantus Industria E Comércio De Óleos Extratos E Saneantes Ltda</t>
  </si>
  <si>
    <t>Pleasant View Dairy / David J and Edna Bontrager</t>
  </si>
  <si>
    <t>Pleasant View Farm</t>
  </si>
  <si>
    <t>Polich Dairy</t>
  </si>
  <si>
    <t>Pond Farm</t>
  </si>
  <si>
    <t>Pope Brothers Dairy, LLC</t>
  </si>
  <si>
    <t>Portland Juice Company, LLC DBA Portland Juice Co.; Portland Juice Press</t>
  </si>
  <si>
    <t>Powl Associates</t>
  </si>
  <si>
    <t>Prairie River Dairy Farm</t>
  </si>
  <si>
    <t>Premier Co-op (Swiggum Rd Mill)</t>
  </si>
  <si>
    <t>Premier Livestock and Auctions</t>
  </si>
  <si>
    <t>Prime Pastures Organic Dairy</t>
  </si>
  <si>
    <t>Primmer Family Dairy LLC</t>
  </si>
  <si>
    <t>Prindle Farms, Inc.</t>
  </si>
  <si>
    <t>Pro Ag Premix, LLC</t>
  </si>
  <si>
    <t>Pro Natural Foods Co., Ltd.</t>
  </si>
  <si>
    <t>Probiotic Productions, LLC</t>
  </si>
  <si>
    <t>Producer Benjamin Covey</t>
  </si>
  <si>
    <t>Producer: Adrian and Jessica Fortin</t>
  </si>
  <si>
    <t>Producer: Allan Bathalon</t>
  </si>
  <si>
    <t>Producer: Allen and Sandra Cutting</t>
  </si>
  <si>
    <t>Producer: Baird Swift</t>
  </si>
  <si>
    <t>Producer: Ben Williams</t>
  </si>
  <si>
    <t>Producer: Benjamin Moulton</t>
  </si>
  <si>
    <t>Producer: Benuel Stoltzfus</t>
  </si>
  <si>
    <t>Producer: Brad Sprague</t>
  </si>
  <si>
    <t>Producer: Brendan Schreindorfer</t>
  </si>
  <si>
    <t>Producer: Brian Wilson</t>
  </si>
  <si>
    <t>Producer: Cheryl Cesario</t>
  </si>
  <si>
    <t>Producer: Chester Abbot</t>
  </si>
  <si>
    <t>Producer: Craig Russell</t>
  </si>
  <si>
    <t>Producer: Damien Boomhower</t>
  </si>
  <si>
    <t>Producer: Dan and Merri Paquin</t>
  </si>
  <si>
    <t>Producer: David Callan</t>
  </si>
  <si>
    <t>Producer: David Rooney</t>
  </si>
  <si>
    <t>Producer: Dean Conant</t>
  </si>
  <si>
    <t>Producer: Denise Pothier</t>
  </si>
  <si>
    <t>Producer: Donald Godin</t>
  </si>
  <si>
    <t>Producer: Doug Lawson</t>
  </si>
  <si>
    <t>Producer: Edward Choiniere</t>
  </si>
  <si>
    <t>Producer: Eric Bean</t>
  </si>
  <si>
    <t>Producer: Eugene Bedard</t>
  </si>
  <si>
    <t>Producer: Ferdinand Gamache</t>
  </si>
  <si>
    <t>Producer: Forrest Foster</t>
  </si>
  <si>
    <t>Producer: Frank Johnson</t>
  </si>
  <si>
    <t>Producer: Gary Davis</t>
  </si>
  <si>
    <t>Producer: Gary Mullen</t>
  </si>
  <si>
    <t>Producer: Gene Manning</t>
  </si>
  <si>
    <t>Producer: Geoff Sweeney</t>
  </si>
  <si>
    <t>Producer: Geordie Lynd</t>
  </si>
  <si>
    <t>Producer: George Osgood</t>
  </si>
  <si>
    <t>Producer: George Woodard</t>
  </si>
  <si>
    <t>Producer: Glenn Burkholder</t>
  </si>
  <si>
    <t>Producer: Gregory Beaudoin</t>
  </si>
  <si>
    <t>Producer: Hayden Tanner</t>
  </si>
  <si>
    <t>Producer: James and Darlene Doyle</t>
  </si>
  <si>
    <t>Producer: James and Kristie Callan</t>
  </si>
  <si>
    <t>Producer: James Blodgett</t>
  </si>
  <si>
    <t>Producer: James Gratton</t>
  </si>
  <si>
    <t>Producer: James Spaulding</t>
  </si>
  <si>
    <t>Producer: Jennifer Churchill</t>
  </si>
  <si>
    <t>Producer: Joe Donegan</t>
  </si>
  <si>
    <t>Producer: John (Andy) Andrew</t>
  </si>
  <si>
    <t>Producer: John Bailey</t>
  </si>
  <si>
    <t>Producer: John Brigham</t>
  </si>
  <si>
    <t>Producer: John Cleary</t>
  </si>
  <si>
    <t>Producer: John Hayes</t>
  </si>
  <si>
    <t>Producer: John Tiffany</t>
  </si>
  <si>
    <t>Producer: Jonathan Gates</t>
  </si>
  <si>
    <t>Producer: Jonathan LeBlanc</t>
  </si>
  <si>
    <t>Producer: Kyle Leibold</t>
  </si>
  <si>
    <t>Producer: Leonard Hammond</t>
  </si>
  <si>
    <t>Producer: Lisa McCrory</t>
  </si>
  <si>
    <t>Producer: Malcolm Sumner</t>
  </si>
  <si>
    <t>Producer: Marcel Patenaude</t>
  </si>
  <si>
    <t>Producer: Marcella Guillette</t>
  </si>
  <si>
    <t>Producer: Mark and Sarah Russell</t>
  </si>
  <si>
    <t>Producer: Mark Morrison</t>
  </si>
  <si>
    <t>Producer: Mark Stone</t>
  </si>
  <si>
    <t>Producer: Martin Churchill</t>
  </si>
  <si>
    <t>Producer: Matthew Lindstrom</t>
  </si>
  <si>
    <t>Producer: Michael Boudreau</t>
  </si>
  <si>
    <t>Producer: Michael Menard</t>
  </si>
  <si>
    <t>Producer: Mike Eastman</t>
  </si>
  <si>
    <t>Producer: Nick Farnham</t>
  </si>
  <si>
    <t>Producer: Patrick J and Melanie L Harrison</t>
  </si>
  <si>
    <t>Producer: Paul de la Bruere</t>
  </si>
  <si>
    <t>Producer: Paul Stecker</t>
  </si>
  <si>
    <t>Producer: Ransom 'Randy' Mead</t>
  </si>
  <si>
    <t>Producer: Raymond Tardif</t>
  </si>
  <si>
    <t>Producer: Reuben Stoltzfus</t>
  </si>
  <si>
    <t>Producer: Richard Larson</t>
  </si>
  <si>
    <t>Producer: Robert Adams</t>
  </si>
  <si>
    <t>Producer: Robert Howe</t>
  </si>
  <si>
    <t>Producer: Robert LePage</t>
  </si>
  <si>
    <t>Producer: Roger Scholten</t>
  </si>
  <si>
    <t>Producer: Roland Ayer</t>
  </si>
  <si>
    <t>Producer: Rory Allen</t>
  </si>
  <si>
    <t>Producer: Samuel Stoltzfus</t>
  </si>
  <si>
    <t>Producer: Sarah Boutin</t>
  </si>
  <si>
    <t>Producer: Scott Bidwell</t>
  </si>
  <si>
    <t>Producer: Sebastien Latraverse</t>
  </si>
  <si>
    <t>Producer: Steven Brown</t>
  </si>
  <si>
    <t>Producer: Tami Carboni</t>
  </si>
  <si>
    <t>Producer: Tia Judd</t>
  </si>
  <si>
    <t>Producer: Tobias Stoltzfus</t>
  </si>
  <si>
    <t>Producer: Tom Boutin</t>
  </si>
  <si>
    <t>Producer: Tom Collins</t>
  </si>
  <si>
    <t>Producer: Tyler Webb</t>
  </si>
  <si>
    <t>Producer: Una Pease</t>
  </si>
  <si>
    <t>Producer: Warren Rankin</t>
  </si>
  <si>
    <t>Producer: Wendy Burkewitz</t>
  </si>
  <si>
    <t>Producer: William Huntoon</t>
  </si>
  <si>
    <t>Professional Proteins, Ltd.</t>
  </si>
  <si>
    <t>Prosper Farms Investments, LLC</t>
  </si>
  <si>
    <t>Prosperity Organic Foods, Inc.</t>
  </si>
  <si>
    <t>PT. Bionesia Organic Foods</t>
  </si>
  <si>
    <t>PT. Coco Sugar Indonesia</t>
  </si>
  <si>
    <t>PT. Integral Mulia Cipta</t>
  </si>
  <si>
    <t>PT. Integral Mulia Cipta 2</t>
  </si>
  <si>
    <t>PT. Intrafood Singabera Indonesia</t>
  </si>
  <si>
    <t>PT. Pacific Eastern Coconut Utama</t>
  </si>
  <si>
    <t>PT. SARI SEGAR HUSADA</t>
  </si>
  <si>
    <t>Publix Super Markets, Inc.</t>
  </si>
  <si>
    <t>Puchalla Farms - Andrew Puchalla, Kyle Puchalla</t>
  </si>
  <si>
    <t>Pulteney Valley Farm</t>
  </si>
  <si>
    <t>Pure Functional Foods, Inc.</t>
  </si>
  <si>
    <t>Pure Milk Pastures</t>
  </si>
  <si>
    <t>Pure Nature Foods, LLC</t>
  </si>
  <si>
    <t>Puredia USA Corporation</t>
  </si>
  <si>
    <t>Quail Ridge Farm</t>
  </si>
  <si>
    <t>Quantum Fulfillment and Support LLC</t>
  </si>
  <si>
    <t>Quarry Road Farms, Inc.</t>
  </si>
  <si>
    <t>Quartet USA Inc.</t>
  </si>
  <si>
    <t>Quiet Meadows Farm</t>
  </si>
  <si>
    <t>R &amp; G Miller &amp; Sons, Inc.</t>
  </si>
  <si>
    <t>R &amp; K Farms</t>
  </si>
  <si>
    <t>R &amp; R Farm / Reuben AG Miller and Abner Miller</t>
  </si>
  <si>
    <t>R Dairy, LLC</t>
  </si>
  <si>
    <t>Radelfinger Dairy</t>
  </si>
  <si>
    <t>Radiance Dairy</t>
  </si>
  <si>
    <t>Rail Trail Organics</t>
  </si>
  <si>
    <t>Railside Dairy</t>
  </si>
  <si>
    <t>Rainbow Acres</t>
  </si>
  <si>
    <t>Rainbow Farm</t>
  </si>
  <si>
    <t>Rainbow Valley Farm</t>
  </si>
  <si>
    <t>Ralph Burkholder</t>
  </si>
  <si>
    <t>Ralph S. Martin</t>
  </si>
  <si>
    <t>Ramar International Corp.</t>
  </si>
  <si>
    <t>Randall &amp; Iva Kauffman</t>
  </si>
  <si>
    <t>Randall Family Farm LLC</t>
  </si>
  <si>
    <t>Randy Minnig</t>
  </si>
  <si>
    <t>Randy or Nancy Middendorf</t>
  </si>
  <si>
    <t>Rat Race Farm</t>
  </si>
  <si>
    <t>Ray D. Borntreger</t>
  </si>
  <si>
    <t>Raymond A. Yoder</t>
  </si>
  <si>
    <t>Raymond Beachy</t>
  </si>
  <si>
    <t>Raymond D. &amp; Marilyn K. Yoder - Cableline Crossing Farm</t>
  </si>
  <si>
    <t>Raymond J. Mast &amp; Mattie Mast</t>
  </si>
  <si>
    <t>Raymond Kuhr</t>
  </si>
  <si>
    <t>Raymond L Wagler</t>
  </si>
  <si>
    <t>Raymond Miller</t>
  </si>
  <si>
    <t>Raymond R. Gingerich</t>
  </si>
  <si>
    <t>Raymond Raber, Jr.</t>
  </si>
  <si>
    <t>Raymond S. Miller Farm</t>
  </si>
  <si>
    <t>RDJ's Farm</t>
  </si>
  <si>
    <t>Red House Farms</t>
  </si>
  <si>
    <t>Red Roof Organic Dairy, LLC</t>
  </si>
  <si>
    <t>Redwood Hill Farm &amp; Creamery, Inc.</t>
  </si>
  <si>
    <t>Reedy Fork Farm</t>
  </si>
  <si>
    <t>Regan Organic</t>
  </si>
  <si>
    <t>Regli Jerseys</t>
  </si>
  <si>
    <t>Rejoicing Hills</t>
  </si>
  <si>
    <t>Remembrance Farm</t>
  </si>
  <si>
    <t>Remington and Mary Perkins</t>
  </si>
  <si>
    <t>Renegade Dairy, LLC</t>
  </si>
  <si>
    <t>Renner Ranches-Fortuna</t>
  </si>
  <si>
    <t>Restoration Acres</t>
  </si>
  <si>
    <t>Reuben A. Schlabach</t>
  </si>
  <si>
    <t>Reuben Fisher</t>
  </si>
  <si>
    <t>Reuben Hershberger</t>
  </si>
  <si>
    <t>Reuben I. &amp; Kayleen Weaver</t>
  </si>
  <si>
    <t>Reuben J. Peachey dba Hidden Brook Farm</t>
  </si>
  <si>
    <t>REUBEN MARTIN</t>
  </si>
  <si>
    <t>Reuben R.J. Byler</t>
  </si>
  <si>
    <t>Reuben S. Miller</t>
  </si>
  <si>
    <t>Reuben Zook dba Zook's Organics</t>
  </si>
  <si>
    <t>Revela Foods - Colby, LLC</t>
  </si>
  <si>
    <t>Revela Foods - Litchfield LLC</t>
  </si>
  <si>
    <t>Rex Creamery</t>
  </si>
  <si>
    <t>Rex Seamon</t>
  </si>
  <si>
    <t>Rhee Bros LLC</t>
  </si>
  <si>
    <t>Rhonda &amp; Keith Rach</t>
  </si>
  <si>
    <t>Rials Dairy LLC</t>
  </si>
  <si>
    <t>Richard &amp; Helaine Fonder</t>
  </si>
  <si>
    <t>Richard A Johnson</t>
  </si>
  <si>
    <t>Richard and Ellen Stahl dba Windy Valley Farms</t>
  </si>
  <si>
    <t>Richard Baker</t>
  </si>
  <si>
    <t>Richard Detweiler</t>
  </si>
  <si>
    <t>Richard Martin &amp; Mark Martin - Willow Creek Farm</t>
  </si>
  <si>
    <t>Richard Nolt</t>
  </si>
  <si>
    <t>Richard O. Lambright</t>
  </si>
  <si>
    <t>Ricky Von Ruden Farm</t>
  </si>
  <si>
    <t>Ridge-n-Valley Acres</t>
  </si>
  <si>
    <t>Ridgeview Farms</t>
  </si>
  <si>
    <t>Riehlman Farms LLC</t>
  </si>
  <si>
    <t>Ripley Farm</t>
  </si>
  <si>
    <t>Rippling Brook Farm</t>
  </si>
  <si>
    <t>River Nutrition, LLC</t>
  </si>
  <si>
    <t>River Ridge Dairy, LLC</t>
  </si>
  <si>
    <t>Riverhill Farms, Inc.</t>
  </si>
  <si>
    <t>Riverside Feeds, LLC</t>
  </si>
  <si>
    <t>Riverview Farms</t>
  </si>
  <si>
    <t>Robert DePauw</t>
  </si>
  <si>
    <t>Robert E. Hershberger</t>
  </si>
  <si>
    <t>Robert Fiedler</t>
  </si>
  <si>
    <t>Robert Hinsch</t>
  </si>
  <si>
    <t>Robert J. Bondi</t>
  </si>
  <si>
    <t>Robert Jennings dba Jennings Hill Dairy</t>
  </si>
  <si>
    <t>Robert Troyer</t>
  </si>
  <si>
    <t>Robert Yoder</t>
  </si>
  <si>
    <t>Robert Zufall</t>
  </si>
  <si>
    <t>Robin Geissler</t>
  </si>
  <si>
    <t>Rock Bottom Dairy</t>
  </si>
  <si>
    <t>Rocking R Dairy Inc</t>
  </si>
  <si>
    <t>Rocky Knoll Farm</t>
  </si>
  <si>
    <t>Rocky Mountain Spice Company</t>
  </si>
  <si>
    <t>Rocky Ridge Farm / Marvin Kurtz</t>
  </si>
  <si>
    <t>Rocky Ridge Organic Dairy Farm</t>
  </si>
  <si>
    <t>Rocky Top Acres LLC</t>
  </si>
  <si>
    <t>Roger &amp; Lisa Garland dba Green Pastures Dairy</t>
  </si>
  <si>
    <t>Roger Benrud Farm</t>
  </si>
  <si>
    <t>Rogers Farmstead, LLC</t>
  </si>
  <si>
    <t>Rolling Acres Dairy / William Bontrager</t>
  </si>
  <si>
    <t>Rolling Acres Farm</t>
  </si>
  <si>
    <t>Rolling Meadow Farm</t>
  </si>
  <si>
    <t>Roman A. Gingerich</t>
  </si>
  <si>
    <t>Roman Lambright dba R &amp; L Dairy</t>
  </si>
  <si>
    <t>Ron Klaphake</t>
  </si>
  <si>
    <t>Ron Rundhaug</t>
  </si>
  <si>
    <t>Ronald and Marlene Pohl</t>
  </si>
  <si>
    <t>Ronald Renati Dairy ETAL DBA Renati Dairy</t>
  </si>
  <si>
    <t>Rooster Run Dairy</t>
  </si>
  <si>
    <t>Rose Acres Dairy</t>
  </si>
  <si>
    <t>Rosegale Farm, LLC</t>
  </si>
  <si>
    <t>Rosewater Farm and Dairy, LLC - Mark Hostetler</t>
  </si>
  <si>
    <t>ROWEN FARMS LLP.</t>
  </si>
  <si>
    <t>Rowley Farms, Inc.</t>
  </si>
  <si>
    <t>ROXAS SIGMA AGRIVENTURES, INC.</t>
  </si>
  <si>
    <t>Roy J. Miller</t>
  </si>
  <si>
    <t>Roy M. Miller, Rachel N. Miller - Double R Dairy</t>
  </si>
  <si>
    <t>Royal Elm Dairy</t>
  </si>
  <si>
    <t>Rudy D. Kurtz</t>
  </si>
  <si>
    <t>Rudy Gingerich</t>
  </si>
  <si>
    <t>Rudy H. Kinsinger</t>
  </si>
  <si>
    <t>Rudy J. Yoder</t>
  </si>
  <si>
    <t>Rudy Kurtz</t>
  </si>
  <si>
    <t>Rudy M. Shetler</t>
  </si>
  <si>
    <t>Rudy R. Yoder</t>
  </si>
  <si>
    <t>Rudy S. Byler</t>
  </si>
  <si>
    <t>Rufus &amp; Elsie Troyer</t>
  </si>
  <si>
    <t>Rufus and Anna Ruth Fox dba Greenfield Dairy</t>
  </si>
  <si>
    <t>Rufus Zimmerman</t>
  </si>
  <si>
    <t>Rumiano Cheese Company (Crescent City)</t>
  </si>
  <si>
    <t>Russell McCall's Inc./Gourmet Foods International</t>
  </si>
  <si>
    <t>Rutkowski Farms Inc.</t>
  </si>
  <si>
    <t>Ryan and Regina Weaver</t>
  </si>
  <si>
    <t>S &amp; D Smith Dairy, LLC</t>
  </si>
  <si>
    <t>Saddle Creek Corporation</t>
  </si>
  <si>
    <t>Saint Isidore Farm</t>
  </si>
  <si>
    <t>Saint John's Organic Farm</t>
  </si>
  <si>
    <t>Salber Farms Limited Partnership</t>
  </si>
  <si>
    <t>Salem View Farms</t>
  </si>
  <si>
    <t>Salmans and Associates, Inc</t>
  </si>
  <si>
    <t>Salmen Farms / Duane Salmen, Lanny Salmen, Scott Makela</t>
  </si>
  <si>
    <t>Salubrious Farms LLC</t>
  </si>
  <si>
    <t>Sam &amp; Polly Mast - Mast Family Farm</t>
  </si>
  <si>
    <t>Sam &amp; Susie Hertzler</t>
  </si>
  <si>
    <t>Sam A. &amp; Lydia L. Miller</t>
  </si>
  <si>
    <t>Sam J. Zook</t>
  </si>
  <si>
    <t>Sam S. Stoltzfus</t>
  </si>
  <si>
    <t>Sammie Miller</t>
  </si>
  <si>
    <t>Sammie Schwartz</t>
  </si>
  <si>
    <t>Sammy E. Miller</t>
  </si>
  <si>
    <t>Samuel &amp; Idasue Petersheim</t>
  </si>
  <si>
    <t>Samuel B. Stoltzfus</t>
  </si>
  <si>
    <t>Samuel D. Mast</t>
  </si>
  <si>
    <t>Samuel David Miller Farm</t>
  </si>
  <si>
    <t>Samuel E. King</t>
  </si>
  <si>
    <t>Samuel E. Lehman</t>
  </si>
  <si>
    <t>Samuel E. Mast</t>
  </si>
  <si>
    <t>Samuel E. Miller</t>
  </si>
  <si>
    <t>Samuel Esh</t>
  </si>
  <si>
    <t>Samuel F. King</t>
  </si>
  <si>
    <t>Samuel F. King Jr. &amp; Anna B. King</t>
  </si>
  <si>
    <t>Samuel Fonder</t>
  </si>
  <si>
    <t>Samuel G. Stoltzfus dba Swampy Hollow Farm</t>
  </si>
  <si>
    <t>Samuel H. Byler &amp; Saloma J. Byler</t>
  </si>
  <si>
    <t>Samuel J. and Ruth B. Stoltzfus dba Given Hollow Farm</t>
  </si>
  <si>
    <t>Samuel J. and Sadie M. Beiler</t>
  </si>
  <si>
    <t>Samuel J. Stoltzfus</t>
  </si>
  <si>
    <t>Samuel J. Stoltzfus dba Maxwell Hill Farm</t>
  </si>
  <si>
    <t>Samuel King</t>
  </si>
  <si>
    <t>Samuel L Stotlzfus</t>
  </si>
  <si>
    <t>Samuel L. Esh</t>
  </si>
  <si>
    <t>Samuel L. Stoltzfus</t>
  </si>
  <si>
    <t>Samuel Miller</t>
  </si>
  <si>
    <t>Samuel Nissley</t>
  </si>
  <si>
    <t>Samuel R King, Lydia Ann King</t>
  </si>
  <si>
    <t>Samuel R Weaver</t>
  </si>
  <si>
    <t>Samuel S Swarey</t>
  </si>
  <si>
    <t>Samuel S. and Nancy Z. Beiler dba Echo Hollow</t>
  </si>
  <si>
    <t>Samuel S. Esh</t>
  </si>
  <si>
    <t>Samuel S. Fisher</t>
  </si>
  <si>
    <t>Samuel S. Fisher Sr., Samuel S. Fisher Jr.</t>
  </si>
  <si>
    <t>Samuel S. Lapp dba Sugar Creek Highlands</t>
  </si>
  <si>
    <t>Samuel S. Lee</t>
  </si>
  <si>
    <t>Samuel S. Stoltzfus Jr.</t>
  </si>
  <si>
    <t>Samuel Stoltzfoos</t>
  </si>
  <si>
    <t>Samuel Wagler</t>
  </si>
  <si>
    <t>Samuel Yoder</t>
  </si>
  <si>
    <t>Sandhill Farm</t>
  </si>
  <si>
    <t>Sandra Thibault</t>
  </si>
  <si>
    <t>Sandy Lane Farm</t>
  </si>
  <si>
    <t>Sani-TEST. LLC DBA The Hypochlorous Company, HYP Skincare</t>
  </si>
  <si>
    <t>Santy Dairy Farm</t>
  </si>
  <si>
    <t>Sapore Della Vita, LLC</t>
  </si>
  <si>
    <t>Sarvinski Dairy</t>
  </si>
  <si>
    <t>Savage Dairy Farm LLC</t>
  </si>
  <si>
    <t>Scenic Acres</t>
  </si>
  <si>
    <t>Scenic Gorge Organic Dairy</t>
  </si>
  <si>
    <t>Scenic Ridge Dairy / Samuel L Miller &amp; Marvin S Miller</t>
  </si>
  <si>
    <t>Scenic View Acres</t>
  </si>
  <si>
    <t>Scenic View Dairy</t>
  </si>
  <si>
    <t>Scenic View Farms</t>
  </si>
  <si>
    <t>Schenevus Creek Dairy &amp; Beef</t>
  </si>
  <si>
    <t>Schlabach Family Farm</t>
  </si>
  <si>
    <t>Schmitz Organic Dairy</t>
  </si>
  <si>
    <t>Schneider Farms / Michael Schneider</t>
  </si>
  <si>
    <t>Schrocks Sandy Acres / Ora Jr and Mattie Schrock</t>
  </si>
  <si>
    <t>Schwarz Family Dairy Farm</t>
  </si>
  <si>
    <t>Scilacci Dairy Partnership</t>
  </si>
  <si>
    <t>See-Stafs Farm</t>
  </si>
  <si>
    <t>Seidl Dairy Cattle Sales LLC</t>
  </si>
  <si>
    <t>Serenity Acres Farm</t>
  </si>
  <si>
    <t>Serenity Kids, Inc.</t>
  </si>
  <si>
    <t>Seven Stars Farm, Inc</t>
  </si>
  <si>
    <t>Seven W Farm</t>
  </si>
  <si>
    <t>Severy Farm, LLC</t>
  </si>
  <si>
    <t>Shader Hill Farm</t>
  </si>
  <si>
    <t>Shady Brook Farm LLC - David F. Stolzfus, Ben L. Stoltzfus</t>
  </si>
  <si>
    <t>Shady Rest Farm</t>
  </si>
  <si>
    <t>Shauna Szymanski</t>
  </si>
  <si>
    <t>Shedd Road Dairy</t>
  </si>
  <si>
    <t>Sheepscot Valley Farm, Inc</t>
  </si>
  <si>
    <t>Sheffer's Grassland Properties, LLC dba Sheffer's Grassland Dairy</t>
  </si>
  <si>
    <t>Shenandoah Valley Family Farms</t>
  </si>
  <si>
    <t>Shepherd's View</t>
  </si>
  <si>
    <t>Sher-Brook Farms Organic Dairy</t>
  </si>
  <si>
    <t>Shipshewana Auction, Inc.</t>
  </si>
  <si>
    <t>Sibu Sura Chocolates, LLC</t>
  </si>
  <si>
    <t>SIHA &amp; AFIA INTERNATIONAL</t>
  </si>
  <si>
    <t>Silacci Dairy</t>
  </si>
  <si>
    <t>Silky Cow Farm, LLC</t>
  </si>
  <si>
    <t>Silloway Farms LLP</t>
  </si>
  <si>
    <t>Silva Family Dairy</t>
  </si>
  <si>
    <t>Silveira Jerstein Dairy</t>
  </si>
  <si>
    <t>Silver Dust Farm</t>
  </si>
  <si>
    <t>Silver Valley Farm Inc.</t>
  </si>
  <si>
    <t>Silvermill Natural Beverages (Pvt) Ltd.</t>
  </si>
  <si>
    <t>Simeon &amp; Keturah Petre</t>
  </si>
  <si>
    <t>Simeon Kanagy</t>
  </si>
  <si>
    <t>Simeon Lapp</t>
  </si>
  <si>
    <t>Simon D Borntreger</t>
  </si>
  <si>
    <t>Simon D. Mast</t>
  </si>
  <si>
    <t>Simon I. Brenneman</t>
  </si>
  <si>
    <t>Simon J Lee</t>
  </si>
  <si>
    <t>Simon W. Miller</t>
  </si>
  <si>
    <t>Singing Meadow Farm</t>
  </si>
  <si>
    <t>Sioux Creek Farm / Vernon A Yoder</t>
  </si>
  <si>
    <t>Slate Hill Farm</t>
  </si>
  <si>
    <t>Slate Stone Dairy</t>
  </si>
  <si>
    <t>Slayton Crest Farm</t>
  </si>
  <si>
    <t>Small Farmers Organic Food Coop dba Farmers Fresh Health Market</t>
  </si>
  <si>
    <t>Smart Cookies Inc DBA Steve &amp; Andy's Organics</t>
  </si>
  <si>
    <t>Smith Brothers Farms</t>
  </si>
  <si>
    <t>Smith Family Farm / Mark Smith</t>
  </si>
  <si>
    <t>Solomon Beiler</t>
  </si>
  <si>
    <t>Solomon F. Beiler</t>
  </si>
  <si>
    <t>Sorrento Lactalis, Inc</t>
  </si>
  <si>
    <t>Sosalla Farm</t>
  </si>
  <si>
    <t>South Mountain Creamery LLC dba Trickling Springs Organic</t>
  </si>
  <si>
    <t>Southern Tier Organics</t>
  </si>
  <si>
    <t>Spaletta Dairy</t>
  </si>
  <si>
    <t>Spaletta Ranch</t>
  </si>
  <si>
    <t>Sparks Cedarlee Farm, LLC</t>
  </si>
  <si>
    <t>Spartan Acres, LLC</t>
  </si>
  <si>
    <t>Splendid View Farm</t>
  </si>
  <si>
    <t>Spring Creek Farms, LLC</t>
  </si>
  <si>
    <t>Spring Hill Dairy</t>
  </si>
  <si>
    <t>Spring Hill Organics</t>
  </si>
  <si>
    <t>Spring Meadow Farm</t>
  </si>
  <si>
    <t>Spring Run Acres</t>
  </si>
  <si>
    <t>Spring Sunrise Natural Foods</t>
  </si>
  <si>
    <t>Spring Weather Farm</t>
  </si>
  <si>
    <t>Spring Wood Organic Farm</t>
  </si>
  <si>
    <t>Springside Farms</t>
  </si>
  <si>
    <t>Spruce Hill Dairy</t>
  </si>
  <si>
    <t>Sri Ganesh Foods</t>
  </si>
  <si>
    <t>Sri Sri Tattva Inc</t>
  </si>
  <si>
    <t>ST. MARY CATTLE CO. LLC.</t>
  </si>
  <si>
    <t>Stamschror Farms</t>
  </si>
  <si>
    <t>StarWalker Organic Farms</t>
  </si>
  <si>
    <t>Steinbach Farms Inc</t>
  </si>
  <si>
    <t>Stephen D. Yoder</t>
  </si>
  <si>
    <t>Stephen F. Stoltzfus</t>
  </si>
  <si>
    <t>Stephen S. Lantz or Ruth F. Lantz</t>
  </si>
  <si>
    <t>Stephen Stoltzfus</t>
  </si>
  <si>
    <t>Steve &amp; Joanna Miller dba S &amp; J Acres</t>
  </si>
  <si>
    <t>Steve Marty</t>
  </si>
  <si>
    <t>Steve Schueller</t>
  </si>
  <si>
    <t>Steven &amp; Patricia Kling</t>
  </si>
  <si>
    <t>Steven A. Hershberger</t>
  </si>
  <si>
    <t>Steven and Brenda Weaver dba Meadowley Farm</t>
  </si>
  <si>
    <t>Steven and Rachel Gingerich</t>
  </si>
  <si>
    <t>Steven J. Beiler</t>
  </si>
  <si>
    <t>Steven L. Byler</t>
  </si>
  <si>
    <t>Steven L. Fisher</t>
  </si>
  <si>
    <t>Steven Lambright dba Valley Line Dairy</t>
  </si>
  <si>
    <t>Steven Lapp</t>
  </si>
  <si>
    <t>Steven M. Yoder - Locust Lane Dairy</t>
  </si>
  <si>
    <t>Steven Miller</t>
  </si>
  <si>
    <t>Steven R. Troyer</t>
  </si>
  <si>
    <t>Steven S and Sarah Lapp</t>
  </si>
  <si>
    <t>Steven S Zook</t>
  </si>
  <si>
    <t>Stevie Fisher</t>
  </si>
  <si>
    <t>Stevie S. &amp; Malinda E. Kinsinger</t>
  </si>
  <si>
    <t>Stollers' Organic Dairy Ltd.</t>
  </si>
  <si>
    <t>Stoltz Family Farm</t>
  </si>
  <si>
    <t>Stoltzfus Organic Farm</t>
  </si>
  <si>
    <t>Stone Mill Dairy</t>
  </si>
  <si>
    <t>Stone Wall Acres</t>
  </si>
  <si>
    <t>Stoney Creek Farm</t>
  </si>
  <si>
    <t>Stoney Hollow Farm</t>
  </si>
  <si>
    <t>Stoneyridge Dairy Farm</t>
  </si>
  <si>
    <t>Stornetta Ranch LLC</t>
  </si>
  <si>
    <t>Straits Brothers, Inc.</t>
  </si>
  <si>
    <t>Stumptown Towerline Farm</t>
  </si>
  <si>
    <t>Stutzman Acres</t>
  </si>
  <si>
    <t>Sun Ghee</t>
  </si>
  <si>
    <t>SUNG GYUNG FOOD</t>
  </si>
  <si>
    <t>SUNIL PRODUCTS CO., LTD.</t>
  </si>
  <si>
    <t>Sunny Acres Farm</t>
  </si>
  <si>
    <t>Sunny Alp Farm LLC</t>
  </si>
  <si>
    <t>Sunny Meadows Organic Dairy</t>
  </si>
  <si>
    <t>Sunny Morning Holsteins / Matt Fendry</t>
  </si>
  <si>
    <t>Sunny Slope Farm</t>
  </si>
  <si>
    <t>Sunnyside Organics</t>
  </si>
  <si>
    <t>SunOpta Grains &amp; Foods Inc. - Aseptic</t>
  </si>
  <si>
    <t>SunOpta Grains and Foods Inc.</t>
  </si>
  <si>
    <t>Sunrise Acres</t>
  </si>
  <si>
    <t>Sunrise Acres LLC - Pete &amp; Jay Lehman</t>
  </si>
  <si>
    <t>Sunrise Creamery LLC</t>
  </si>
  <si>
    <t>Sunrise Family Farms Inc</t>
  </si>
  <si>
    <t>Sunrise Farm</t>
  </si>
  <si>
    <t>Sunset Acres</t>
  </si>
  <si>
    <t>Sunset Dairy</t>
  </si>
  <si>
    <t>Sunset Ridge Organic Dairy</t>
  </si>
  <si>
    <t>Sunset View Acres</t>
  </si>
  <si>
    <t>Super Soy LLC / Cashton Farm Supply, Ltd</t>
  </si>
  <si>
    <t>SUPER STAR COCONUT PRODUCTS CO., INC.</t>
  </si>
  <si>
    <t>Super Store Industries</t>
  </si>
  <si>
    <t>Superview Holsteins</t>
  </si>
  <si>
    <t>Suring Farms</t>
  </si>
  <si>
    <t>Susan A Schrock</t>
  </si>
  <si>
    <t>Sweet Blossom Dairy</t>
  </si>
  <si>
    <t>SWEETWATER CREEK DAIRY LLC</t>
  </si>
  <si>
    <t>SWEETWATER CREEK DAIRY LLC - MILK &amp; FEED</t>
  </si>
  <si>
    <t>Swift Wing Farm</t>
  </si>
  <si>
    <t>Swinn Valley Acres LLC</t>
  </si>
  <si>
    <t>Sycamore Run Acres</t>
  </si>
  <si>
    <t>Sylvan Stoltzfus</t>
  </si>
  <si>
    <t>Sylvanus E. Peachey, Jr.</t>
  </si>
  <si>
    <t>Sylvestre Industria e Comercio de Insumos Alimenticios Ltda (Sylvestre Ingredientes Naturais)</t>
  </si>
  <si>
    <t>Synergy Flavors, Inc.</t>
  </si>
  <si>
    <t>Szymanski Dairy</t>
  </si>
  <si>
    <t>T&amp;D Dairy</t>
  </si>
  <si>
    <t>T. Hasegawa USA, Inc.</t>
  </si>
  <si>
    <t>Taconic End Dairy LLC</t>
  </si>
  <si>
    <t>Tad &amp; Michelle Ellinghuysen - 2 Creeks Farm</t>
  </si>
  <si>
    <t>Tafel Dairy Farm LLC</t>
  </si>
  <si>
    <t>Tamarlane Farm LLC</t>
  </si>
  <si>
    <t>Tandom Farm</t>
  </si>
  <si>
    <t>TANELLI ELIO SRL</t>
  </si>
  <si>
    <t>Target Flavors, Inc.</t>
  </si>
  <si>
    <t>Tate &amp; Lyle Solutions USA, LLC</t>
  </si>
  <si>
    <t>TCHO Ventures, Inc.</t>
  </si>
  <si>
    <t>Ted &amp; Karyn Hesters - T&amp;K Hesters Dairy</t>
  </si>
  <si>
    <t>Tejas Dunes Dairy, LLC</t>
  </si>
  <si>
    <t>Temptee Brand Steak</t>
  </si>
  <si>
    <t>Terrasoul Superfoods, LLC</t>
  </si>
  <si>
    <t>Terrilinda Dairy</t>
  </si>
  <si>
    <t>Thai Coconut Public Co.,Ltd</t>
  </si>
  <si>
    <t>The Benjamin P Forbes Co.</t>
  </si>
  <si>
    <t>The Charles Stube Co Inc</t>
  </si>
  <si>
    <t>The Choiniere Family Farm, LLC</t>
  </si>
  <si>
    <t>The Corse Farm Dairy LLC</t>
  </si>
  <si>
    <t>The Edlong Corporation</t>
  </si>
  <si>
    <t>The Food Source International Inc</t>
  </si>
  <si>
    <t>The Foundation for Agricultural Integrity</t>
  </si>
  <si>
    <t>The Grazing Edge Dairy</t>
  </si>
  <si>
    <t>The Little Farm on West Creek</t>
  </si>
  <si>
    <t>The Milkhouse</t>
  </si>
  <si>
    <t>The Milky Whey, Inc.</t>
  </si>
  <si>
    <t>The Origin Milk Co.</t>
  </si>
  <si>
    <t>The Ortensi Farm</t>
  </si>
  <si>
    <t>The Purple Mixer, LLC DBA Miss Jones Baking Co.</t>
  </si>
  <si>
    <t>THE VITA COCO COMPANY Inc</t>
  </si>
  <si>
    <t>Thomas &amp; Margaret Zimmerman - Thomas Zimmerman Dairy Farm</t>
  </si>
  <si>
    <t>Thomas McGrath dba Autumn Valley Farm</t>
  </si>
  <si>
    <t>Thomas Perrin</t>
  </si>
  <si>
    <t>THOMAS UTEGG Sole Prop</t>
  </si>
  <si>
    <t>Three Oaks Farms, Inc.</t>
  </si>
  <si>
    <t>THUAN PHONG AGRICULTURAL PRODUCTS PROCESSING COMPANY LIMITED</t>
  </si>
  <si>
    <t>Tim Christiansen</t>
  </si>
  <si>
    <t>Tim Furgison</t>
  </si>
  <si>
    <t>Tim Kline - Meandering Creek Family Farm</t>
  </si>
  <si>
    <t>Tim Knapp</t>
  </si>
  <si>
    <t>Tim Maibach dba Maibach Farms, LLC</t>
  </si>
  <si>
    <t>Tim Neu</t>
  </si>
  <si>
    <t>Tim Schlabach - Hillside Acres</t>
  </si>
  <si>
    <t>Timothy &amp; Heather Hansen</t>
  </si>
  <si>
    <t>Timothy Beachy</t>
  </si>
  <si>
    <t>Timothy D. Eisenbeis dba 5th Generation Farm</t>
  </si>
  <si>
    <t>Timothy D. Miller - Fryburg Valley Farm</t>
  </si>
  <si>
    <t>Timothy H. Fox dba Bountiful Meadows Farm</t>
  </si>
  <si>
    <t>Timothy P. Elliott</t>
  </si>
  <si>
    <t>Timothy Pauli</t>
  </si>
  <si>
    <t>Timothy Stoltman</t>
  </si>
  <si>
    <t>Titus &amp; Leanna Bontrager</t>
  </si>
  <si>
    <t>Titus &amp; Lois Zimmerman</t>
  </si>
  <si>
    <t>Titus and Katherine Derstine, Ebenezer Dairy</t>
  </si>
  <si>
    <t>Titus Schlabach dba Miami Side Farm</t>
  </si>
  <si>
    <t>Titus Yoder - Natural Life Acres</t>
  </si>
  <si>
    <t>TMW International, Inc.</t>
  </si>
  <si>
    <t>Tobias D. Stoltzfus</t>
  </si>
  <si>
    <t>Tobias J Stoltzfus</t>
  </si>
  <si>
    <t>Tobie Kinsinger</t>
  </si>
  <si>
    <t>Toby Miller</t>
  </si>
  <si>
    <t>Todd Bond dba Bond Dairy</t>
  </si>
  <si>
    <t>Tom Rayl Dairy</t>
  </si>
  <si>
    <t>Tomato Mountain Farm</t>
  </si>
  <si>
    <t>Torgerson Farm</t>
  </si>
  <si>
    <t>Torlic Organic Farms LLC</t>
  </si>
  <si>
    <t>Total Sweeteners dba Batory Foods</t>
  </si>
  <si>
    <t>Track-View Dairy</t>
  </si>
  <si>
    <t>Trader Joe's Company</t>
  </si>
  <si>
    <t>TRADERS POINT FARM ORGANICS Corp</t>
  </si>
  <si>
    <t>Tranel Family Farms, LLC</t>
  </si>
  <si>
    <t>Tranland Dairy</t>
  </si>
  <si>
    <t>Travis and Angela Scherping Family Farm</t>
  </si>
  <si>
    <t>Travis Moreda dba Travis Moreda Dairy</t>
  </si>
  <si>
    <t>Travis Villnave</t>
  </si>
  <si>
    <t>Tre-G Farms, LLC</t>
  </si>
  <si>
    <t>Tresch Family Dairy and Orchards</t>
  </si>
  <si>
    <t>Trickling Springs Farm</t>
  </si>
  <si>
    <t>Triform Farm</t>
  </si>
  <si>
    <t>Triple 3 Livestock, LLC</t>
  </si>
  <si>
    <t>Triple C Ranch</t>
  </si>
  <si>
    <t>Triple Creek Jerseys</t>
  </si>
  <si>
    <t>Triple 'D' Acres</t>
  </si>
  <si>
    <t>Triple E Organic Dairy</t>
  </si>
  <si>
    <t>Triple H Acres, LLC - Paul L. Miller</t>
  </si>
  <si>
    <t>Triple T Organics, LLC</t>
  </si>
  <si>
    <t>Tristan Stoltzfus</t>
  </si>
  <si>
    <t>True Blessings Dairy</t>
  </si>
  <si>
    <t>True Fresh HPP, LLC</t>
  </si>
  <si>
    <t>Trugman Nash LLC</t>
  </si>
  <si>
    <t>Truly Organics Co. Ltd.</t>
  </si>
  <si>
    <t>Trusted Foods LLC DBA BAM</t>
  </si>
  <si>
    <t>TSC Emerald Valley dba Reykjavik Creamery</t>
  </si>
  <si>
    <t>Tuning Family Farm</t>
  </si>
  <si>
    <t>Twelve Oaks Farm - Richard Chaffee</t>
  </si>
  <si>
    <t>Twilight Dairy, LLC</t>
  </si>
  <si>
    <t>Twin Farms Inc</t>
  </si>
  <si>
    <t>Twin Oaks Dairy, LLC</t>
  </si>
  <si>
    <t>Twin-Hollow Organic Farm - Paula &amp; Jay Richard</t>
  </si>
  <si>
    <t>Two Loons Farm</t>
  </si>
  <si>
    <t>Tyler A. Perrigo dba Perrigo's Farm</t>
  </si>
  <si>
    <t>Uebersetzig Farms, LLC</t>
  </si>
  <si>
    <t>Ullrich Farms</t>
  </si>
  <si>
    <t>Ulrich Dairy Farms, LLC</t>
  </si>
  <si>
    <t>Unicorn Valley Farm</t>
  </si>
  <si>
    <t>United Safety Agents</t>
  </si>
  <si>
    <t>Universal Specialty Foods, Inc.</t>
  </si>
  <si>
    <t>Urban Edge Farm</t>
  </si>
  <si>
    <t>Uria D. Mast</t>
  </si>
  <si>
    <t>Uria J. Petersheim</t>
  </si>
  <si>
    <t>Urie J. Mast</t>
  </si>
  <si>
    <t>Uriel &amp; Christina Miller</t>
  </si>
  <si>
    <t>Vaarendahl Dairy, LLC</t>
  </si>
  <si>
    <t>Valley Line Dairy LLC - Kenneth &amp; Tressie Bontrager, Chris &amp; Nora Bontrager</t>
  </si>
  <si>
    <t>Valley Milk, LLC</t>
  </si>
  <si>
    <t>Valley View Acres</t>
  </si>
  <si>
    <t>Valley View Dairy</t>
  </si>
  <si>
    <t>Valley View Dairy, LLC</t>
  </si>
  <si>
    <t>Valley View Organic Dairy</t>
  </si>
  <si>
    <t>Vangsness Dairy</t>
  </si>
  <si>
    <t>Varney Farm</t>
  </si>
  <si>
    <t>Ventura Grass Farms</t>
  </si>
  <si>
    <t>Verdant Valley Farm</t>
  </si>
  <si>
    <t>Veritable Vegetable, Inc.</t>
  </si>
  <si>
    <t>Verlin R. Miller Farm</t>
  </si>
  <si>
    <t>Vernon &amp; Rachel Borkholder dba Borkholder Family Dairy</t>
  </si>
  <si>
    <t>Vernon A. &amp; Miriam Mast</t>
  </si>
  <si>
    <t>Vernon E. Miller</t>
  </si>
  <si>
    <t>Vernon Glick</t>
  </si>
  <si>
    <t>Vernon L Lambright</t>
  </si>
  <si>
    <t>Vernon L. Shetler</t>
  </si>
  <si>
    <t>Vernon M. Martin</t>
  </si>
  <si>
    <t>Vernon Schrock</t>
  </si>
  <si>
    <t>Vernon Yoder Family Farm</t>
  </si>
  <si>
    <t>Viewpoint Organic Acres, LLC</t>
  </si>
  <si>
    <t>Vinamit Joint Stock Company</t>
  </si>
  <si>
    <t>Virtues Farms LLC</t>
  </si>
  <si>
    <t>Vision-Hope Dairy, LLC</t>
  </si>
  <si>
    <t>VOLLEMAN DAIRY PROCESSING LLC</t>
  </si>
  <si>
    <t>Von Trapp Farm LLC</t>
  </si>
  <si>
    <t>Wagner Family Farm</t>
  </si>
  <si>
    <t>Wallie J Mast</t>
  </si>
  <si>
    <t>Wallie L. Lee</t>
  </si>
  <si>
    <t>Walnut Run Dairy</t>
  </si>
  <si>
    <t>Walter Dairy</t>
  </si>
  <si>
    <t>Warbling Brook Organic Acres / Enos E and Ida Miller</t>
  </si>
  <si>
    <t>Ward and Rosie Burroughs dba California Cloverleaf Farms</t>
  </si>
  <si>
    <t>Wasielewski Brothers Farm</t>
  </si>
  <si>
    <t>Watercolor Dairy LLC</t>
  </si>
  <si>
    <t>Watsonville Coast Produce, Inc</t>
  </si>
  <si>
    <t>Waumandee View Dairy</t>
  </si>
  <si>
    <t>Wayne C. Gates</t>
  </si>
  <si>
    <t>Wayne Hershberger</t>
  </si>
  <si>
    <t>Wayne L. Bontrager - Countryview Farm</t>
  </si>
  <si>
    <t>Wayne N. Burkholder</t>
  </si>
  <si>
    <t>Wayne O. &amp; Esther E. Helmuth - Helmuth Family Farm</t>
  </si>
  <si>
    <t>Wayne Ray Miller</t>
  </si>
  <si>
    <t>Webb Family Farm</t>
  </si>
  <si>
    <t>Webber Farm</t>
  </si>
  <si>
    <t>Wedeberg Farms, Inc.</t>
  </si>
  <si>
    <t>Wedig Organic Farms, LLC</t>
  </si>
  <si>
    <t>Welsh Mountain Farm</t>
  </si>
  <si>
    <t>Wendall Nolt</t>
  </si>
  <si>
    <t>West Central Research and Outreach Center (WCROC) Univ of MN</t>
  </si>
  <si>
    <t>West Road Farm</t>
  </si>
  <si>
    <t>Westby Co-op Creamery</t>
  </si>
  <si>
    <t>Westenberg Dairy &amp; Seed of Faith Farm</t>
  </si>
  <si>
    <t>Western Dairy Transport, LLC</t>
  </si>
  <si>
    <t>Western Organic Family Farms COOP</t>
  </si>
  <si>
    <t>Western Quality Foods</t>
  </si>
  <si>
    <t>WFM Private Label, L.P., A Delaware Limited Partnership</t>
  </si>
  <si>
    <t>Wheelhorse Farm</t>
  </si>
  <si>
    <t>Whispering Grass Dairy</t>
  </si>
  <si>
    <t>Whispering Pine Organic Dairy, LLC</t>
  </si>
  <si>
    <t>Whispering Pines / Raymond Mast</t>
  </si>
  <si>
    <t>Whispering Spruce Organics / Jay Dean Bontrager</t>
  </si>
  <si>
    <t>Whispering Winds Farm</t>
  </si>
  <si>
    <t>White Birch Farms</t>
  </si>
  <si>
    <t>WHITE MOUNTAIN FOODS</t>
  </si>
  <si>
    <t>White Orchard Farm</t>
  </si>
  <si>
    <t>Wilbur Eash - Eash Dairy</t>
  </si>
  <si>
    <t>Wilbur Farms LLC</t>
  </si>
  <si>
    <t>Wilbur Miller</t>
  </si>
  <si>
    <t>Wild Acres</t>
  </si>
  <si>
    <t>Wild Earth Farm LLC</t>
  </si>
  <si>
    <t>Wilke 'R' Farm</t>
  </si>
  <si>
    <t>Willam Osborne And Sandra Osborne Dba Osbro Dairy</t>
  </si>
  <si>
    <t>Willenbring Farm / Ed and Ann Willenbring</t>
  </si>
  <si>
    <t>William and Valerie Baker dba Baker Farm</t>
  </si>
  <si>
    <t>William C Borntreger</t>
  </si>
  <si>
    <t>William Larchar</t>
  </si>
  <si>
    <t>William R. Byler</t>
  </si>
  <si>
    <t>William R. Yoder dba Stoney Creek Meadows</t>
  </si>
  <si>
    <t>William Schrock Farm</t>
  </si>
  <si>
    <t>William Troyer dba Maple View Dairy</t>
  </si>
  <si>
    <t>William Yoder</t>
  </si>
  <si>
    <t>William Zimmerman</t>
  </si>
  <si>
    <t>Williams Organic Dairy Farm LLC</t>
  </si>
  <si>
    <t>Willie Gingerich</t>
  </si>
  <si>
    <t>Willis &amp; Linda Hershberger</t>
  </si>
  <si>
    <t>Willis Byler Farm</t>
  </si>
  <si>
    <t>Willis E. Miller</t>
  </si>
  <si>
    <t>Willis Hochstetler</t>
  </si>
  <si>
    <t>Willow Creek Farm</t>
  </si>
  <si>
    <t>Willow Creek Jerseys</t>
  </si>
  <si>
    <t>Willow Meadow Farm, LLC</t>
  </si>
  <si>
    <t>Wilmer &amp; Laurisa Martin - Hilltop Farm</t>
  </si>
  <si>
    <t>Wilmer and Christine Oberholtzer</t>
  </si>
  <si>
    <t>Wilmer N Horning</t>
  </si>
  <si>
    <t>Wilson Brothers LLC.</t>
  </si>
  <si>
    <t>Win Soon Inc., dba Epoca</t>
  </si>
  <si>
    <t>Wincille Farms</t>
  </si>
  <si>
    <t>Windmill Meadows Farm</t>
  </si>
  <si>
    <t>Windmill Ridge Farm, Ezra Bontrager, Andrew Bontrager</t>
  </si>
  <si>
    <t>Windsong Acres Dairy</t>
  </si>
  <si>
    <t>Windy Acreage</t>
  </si>
  <si>
    <t>Windy Ridge Dairy</t>
  </si>
  <si>
    <t>Windy Ridge Farm</t>
  </si>
  <si>
    <t>Windyhil -  Peter Ruegemer, Anita Ruegemer, Jeremy Ruegemer, Sara Ruegemer, Nathan Ruegemer</t>
  </si>
  <si>
    <t>Wingnut Farm</t>
  </si>
  <si>
    <t>Winkel Farms LLC</t>
  </si>
  <si>
    <t>WIowa Foods, LLC</t>
  </si>
  <si>
    <t>Wojciehowski Brothers Farms</t>
  </si>
  <si>
    <t>Wolbeck's Jersey Dairy</t>
  </si>
  <si>
    <t>Wolfe's Neck Center For Education and the Environment</t>
  </si>
  <si>
    <t>Wonder Spot Dairy</t>
  </si>
  <si>
    <t>Wood-B-Ayr Farm</t>
  </si>
  <si>
    <t>Woodside Farm</t>
  </si>
  <si>
    <t>Woodside Jersey Farm</t>
  </si>
  <si>
    <t>Woodward Farms</t>
  </si>
  <si>
    <t>Worden Farm LLC</t>
  </si>
  <si>
    <t>Wyman Yoder</t>
  </si>
  <si>
    <t>Y-Creek Farm</t>
  </si>
  <si>
    <t>Yoder Dairy</t>
  </si>
  <si>
    <t>Yoder Family Farms</t>
  </si>
  <si>
    <t>Yoder's Goat Dairy / Wilbur A &amp; Amanda Yoder</t>
  </si>
  <si>
    <t>Yost Farms LLC</t>
  </si>
  <si>
    <t>Zach Hansen</t>
  </si>
  <si>
    <t>Zimba Dairy, Inc. - Ed &amp; Melanie Zimba</t>
  </si>
  <si>
    <t>Zimmerman, Glenn</t>
  </si>
  <si>
    <t>ZoomEssence, Inc</t>
  </si>
  <si>
    <t>Zoroco Packaging, Inc.</t>
  </si>
  <si>
    <t>Zumberger Farms, LLC</t>
  </si>
  <si>
    <t>Zweber Farms LLC</t>
  </si>
  <si>
    <t>Other/Former Names</t>
  </si>
  <si>
    <t xml:space="preserve">Optional </t>
  </si>
  <si>
    <t>Other names that the operation is doing or has done business as</t>
  </si>
  <si>
    <t>Wachholz Family Farm</t>
  </si>
  <si>
    <t>Lime Stone Ridge Farm</t>
  </si>
  <si>
    <t>Brook Run Dairy</t>
  </si>
  <si>
    <t>Leo Schulte, Keith Schulte</t>
  </si>
  <si>
    <t>848667</t>
  </si>
  <si>
    <t>848691</t>
  </si>
  <si>
    <t>Spring Creek Dairy</t>
  </si>
  <si>
    <t>Other/Former OID# 3672200020</t>
  </si>
  <si>
    <t>Formerly Alexandre EcoDairy Farms</t>
  </si>
  <si>
    <t>Saint Isidore Dairy</t>
  </si>
  <si>
    <t>Alvin C. Troyer</t>
  </si>
  <si>
    <t>Lone Oak Farm</t>
  </si>
  <si>
    <t>Woodside Acres Farm</t>
  </si>
  <si>
    <t>Amaltheia Sustainable Concepts</t>
  </si>
  <si>
    <t>Formerly Freshco LLC</t>
  </si>
  <si>
    <t>Amos L Miller</t>
  </si>
  <si>
    <t>Daniel S. Esh</t>
  </si>
  <si>
    <t>845414</t>
  </si>
  <si>
    <t>N/A</t>
  </si>
  <si>
    <t>Formerly Organiq, A Division of Associated Feed</t>
  </si>
  <si>
    <t>833920</t>
  </si>
  <si>
    <t>Sassy Cow Creamery LLC</t>
  </si>
  <si>
    <t>formerly Bar Ale, Inc.</t>
  </si>
  <si>
    <t>na</t>
  </si>
  <si>
    <t>Cedar Valley Farm</t>
  </si>
  <si>
    <t>7360000055 (Former Operation ID, (Other/Former Name: Bivalve Creamery)</t>
  </si>
  <si>
    <t>Ben Biery</t>
  </si>
  <si>
    <t>7360000035 (Former Operation ID)</t>
  </si>
  <si>
    <t>Townside Jerseys</t>
  </si>
  <si>
    <t>Carrie Varner</t>
  </si>
  <si>
    <t>By-Grace Dairy</t>
  </si>
  <si>
    <t>James L. &amp; Janet M. Byers</t>
  </si>
  <si>
    <t>B. Brooks Farm</t>
  </si>
  <si>
    <t>Landon Farm</t>
  </si>
  <si>
    <t>Formerly: Pinnacle Ag Services. Formerly: Central Valley Ag Group dba Pinnacle Ag Service</t>
  </si>
  <si>
    <t>formerly sup6226</t>
  </si>
  <si>
    <t>Bernard &amp; Ann Chambers</t>
  </si>
  <si>
    <t>Buckskin Valley Farms and Dairy</t>
  </si>
  <si>
    <t>DBA Worlds Best Cheeses</t>
  </si>
  <si>
    <t>Formerly CSU Chico Research Foundation - ATRC</t>
  </si>
  <si>
    <t>Christian E. &amp; Nancy D. Wengerd</t>
  </si>
  <si>
    <t>Formerly East Coast Fresh</t>
  </si>
  <si>
    <t>843266</t>
  </si>
  <si>
    <t>Starr, Peter</t>
  </si>
  <si>
    <t>7360000008 (Former Operation ID)</t>
  </si>
  <si>
    <t>WORLD's BEST EGGS LLC, JEREMIAH CUNNINGHAM's COYOTE CREEK FARMS, JEREMIAH CUNNINGHAM's WORLDS BEST EGGS</t>
  </si>
  <si>
    <t>DBA: What Chefs Want</t>
  </si>
  <si>
    <t>Formerly Foster Dairy Farms dba Crystal Creamery. Formerly:Foster Farms Dairy</t>
  </si>
  <si>
    <t>ProCert Reg# 19-1557</t>
  </si>
  <si>
    <t>Curtis Creek Organic Dairy, LLC</t>
  </si>
  <si>
    <t>Cutting Hill Beef Company LLC</t>
  </si>
  <si>
    <t>7361051656 (Former Operation ID)</t>
  </si>
  <si>
    <t>DairiConcepts L.P. Bruce</t>
  </si>
  <si>
    <t>DairiConcepts L.P. El Dorado Springs</t>
  </si>
  <si>
    <t>9730016277 (Former Operation ID), (Other/Former Name: Oakville Produce Partners, LLC dba Greenleaf)</t>
  </si>
  <si>
    <t>William L. Morren, Dancing Cow Farm</t>
  </si>
  <si>
    <t>South Ridge Sugar Bush</t>
  </si>
  <si>
    <t>Sand Creek Station</t>
  </si>
  <si>
    <t>Shady Lane Farm</t>
  </si>
  <si>
    <t>8430800081</t>
  </si>
  <si>
    <t>Previously ht107</t>
  </si>
  <si>
    <t>Darrell &amp; Rebecca Eby Farm</t>
  </si>
  <si>
    <t>Maple Hill Farm</t>
  </si>
  <si>
    <t>David M &amp; Miriam Miller</t>
  </si>
  <si>
    <t>Shiloh Acres Dairy</t>
  </si>
  <si>
    <t>DeKam Organics Inc.</t>
  </si>
  <si>
    <t>Former name: Delmar Kemp OID 5100030303</t>
  </si>
  <si>
    <t>Formerly sup4034</t>
  </si>
  <si>
    <t>formerly Rockview Farms</t>
  </si>
  <si>
    <t>Diamond Point Dairy</t>
  </si>
  <si>
    <t>7360000040 (Former Operation ID)</t>
  </si>
  <si>
    <t>7360000066 (Former Operation ID)</t>
  </si>
  <si>
    <t>Dreamfarm LLC</t>
  </si>
  <si>
    <t>Rolling Acres Dairy</t>
  </si>
  <si>
    <t>Eli E Borntrager Jr and Levi Borntrager</t>
  </si>
  <si>
    <t>Eli H and Ida H Yoder</t>
  </si>
  <si>
    <t>Waterblest Farm</t>
  </si>
  <si>
    <t>Elysian Fields Organic Dairy; Elysian Fields</t>
  </si>
  <si>
    <t>County Line Farm</t>
  </si>
  <si>
    <t>Engelbert Farms Organic, LLC; Engelbert Farms, LLC</t>
  </si>
  <si>
    <t>Sunnyside Farms</t>
  </si>
  <si>
    <t>Lark Ridge Farm</t>
  </si>
  <si>
    <t>Hickory Knoll Dairy</t>
  </si>
  <si>
    <t>1600001959</t>
  </si>
  <si>
    <t>Flint Ridge Organic Produce LLC aka Erro Head Dairy</t>
  </si>
  <si>
    <t>Formerly Forager Project Inc. and seal331</t>
  </si>
  <si>
    <t>842817</t>
  </si>
  <si>
    <t>formerly: Full Belly Farm</t>
  </si>
  <si>
    <t>previously PLEASANT POINT DAIRY</t>
  </si>
  <si>
    <t>Good Culture</t>
  </si>
  <si>
    <t>Nathan and Barb Goodell</t>
  </si>
  <si>
    <t>Jim, Pat and Matt Graham</t>
  </si>
  <si>
    <t>Happy Hollow Farms</t>
  </si>
  <si>
    <t>Miller Dairy Farm</t>
  </si>
  <si>
    <t>Hickory Hollow Dairy</t>
  </si>
  <si>
    <t>Lawn View Farm</t>
  </si>
  <si>
    <t>James F. &amp;amp; Dawn R. Hayes</t>
  </si>
  <si>
    <t>Michiana Feed</t>
  </si>
  <si>
    <t>David C Byler</t>
  </si>
  <si>
    <t>Henry Mullet Farm</t>
  </si>
  <si>
    <t>Pleasant Hill Farm</t>
  </si>
  <si>
    <t>Highland Dairy</t>
  </si>
  <si>
    <t>C. Thomas Trinder</t>
  </si>
  <si>
    <t>8210001805</t>
  </si>
  <si>
    <t>Hoyt Hill Farm</t>
  </si>
  <si>
    <t>James &amp; Sarah Huftalen</t>
  </si>
  <si>
    <t>7360000042 (Former Operation ID)</t>
  </si>
  <si>
    <t>Formerly sup3995</t>
  </si>
  <si>
    <t>formerly sup10371</t>
  </si>
  <si>
    <t>formerly sup5341</t>
  </si>
  <si>
    <t>Isaac &amp; Rebekah Troyer</t>
  </si>
  <si>
    <t>Misty Creek Farm</t>
  </si>
  <si>
    <t>Jeremy &amp;amp; Jodi Peake</t>
  </si>
  <si>
    <t>Baack Farms</t>
  </si>
  <si>
    <t>Jasob S. Esh</t>
  </si>
  <si>
    <t>Jacobus M. J. (John) Meulenberg</t>
  </si>
  <si>
    <t>Cherokee Run Dairy</t>
  </si>
  <si>
    <t>J &amp; M Ladd Families Farm</t>
  </si>
  <si>
    <t>Jeremiah &amp; Esther Lambright Farm</t>
  </si>
  <si>
    <t>Jim Blum-sole proprietor</t>
  </si>
  <si>
    <t>Ji-mmy Dairy Farm</t>
  </si>
  <si>
    <t>Fort LOG</t>
  </si>
  <si>
    <t>Misty Valley Farm</t>
  </si>
  <si>
    <t>8210005478</t>
  </si>
  <si>
    <t>Mt. Pleasant Farm</t>
  </si>
  <si>
    <t>Donnay Family Farm; John &amp; Chris Donnay Family Farm</t>
  </si>
  <si>
    <t>Formally Vevoda Dairy</t>
  </si>
  <si>
    <t>Formerly sup6984</t>
  </si>
  <si>
    <t>Jonas Raber Farm</t>
  </si>
  <si>
    <t>8431500950</t>
  </si>
  <si>
    <t>Ben T. Fisher</t>
  </si>
  <si>
    <t>Travis Jones</t>
  </si>
  <si>
    <t>Fox Family Farm &amp; Green Ridge Acres</t>
  </si>
  <si>
    <t>Katie Yoder</t>
  </si>
  <si>
    <t>7360000043 (Former Operation ID)</t>
  </si>
  <si>
    <t>Larksong Farm</t>
  </si>
  <si>
    <t>Taylor Fritz</t>
  </si>
  <si>
    <t>Kiss the Cow Creamery; Kiss the Cow Farm</t>
  </si>
  <si>
    <t>Kling Family Farms</t>
  </si>
  <si>
    <t>Family Goat Dairy; Cuffy Knob Dairy</t>
  </si>
  <si>
    <t>Formerly: Lafranchi Dairy</t>
  </si>
  <si>
    <t>Lazy Daze Acres, Inc.</t>
  </si>
  <si>
    <t>Leis Organic Farms, Inc</t>
  </si>
  <si>
    <t>LeJo's Dairy Farm</t>
  </si>
  <si>
    <t>867067</t>
  </si>
  <si>
    <t>Hershberger Organic Dairy</t>
  </si>
  <si>
    <t>Stoney Ledge Farm</t>
  </si>
  <si>
    <t>Badger Brook Meats</t>
  </si>
  <si>
    <t>Arcadia Livestock</t>
  </si>
  <si>
    <t>Liberty View Dairy</t>
  </si>
  <si>
    <t>7770000135 (Former Operation ID)</t>
  </si>
  <si>
    <t>Amos S Borkholder</t>
  </si>
  <si>
    <t>Henry and Clara Hershberger, would like to add our son, Norman Hershberger as a responsible person</t>
  </si>
  <si>
    <t>May-Bark Farm</t>
  </si>
  <si>
    <t>Fred S. Mast, Mahlon L Mast</t>
  </si>
  <si>
    <t>Joseph A Borntreger</t>
  </si>
  <si>
    <t>Spring Acres Farm</t>
  </si>
  <si>
    <t>Marvin Hershberger Farm</t>
  </si>
  <si>
    <t>Masons Organic Dairy Farm</t>
  </si>
  <si>
    <t>Curvin Nolt</t>
  </si>
  <si>
    <t>Vasilios Memmos</t>
  </si>
  <si>
    <t>Melvin &amp; Lucille Zimmerman</t>
  </si>
  <si>
    <t>Ramsey Hill Dairy</t>
  </si>
  <si>
    <t>Bradley West</t>
  </si>
  <si>
    <t>Mike Wilbur</t>
  </si>
  <si>
    <t>Tobie D Miller</t>
  </si>
  <si>
    <t>Miller Milk LLC</t>
  </si>
  <si>
    <t>n/a</t>
  </si>
  <si>
    <t>7360000105 (Former Operation ID)</t>
  </si>
  <si>
    <t>Formerly "Morrison Brothers Dairy"</t>
  </si>
  <si>
    <t>Wayne and Annie Beery</t>
  </si>
  <si>
    <t>Keith Mullet</t>
  </si>
  <si>
    <t>Green Hill Dairy LLC</t>
  </si>
  <si>
    <t>formerly Nature's Sungrown Foods, Inc.</t>
  </si>
  <si>
    <t>7360000109 (Former Operation ID)</t>
  </si>
  <si>
    <t>New York Farm</t>
  </si>
  <si>
    <t>Sandy Knoll Farm</t>
  </si>
  <si>
    <t>Norman Z. &amp; Mary Burkholder</t>
  </si>
  <si>
    <t>Bock Farm</t>
  </si>
  <si>
    <t>863025</t>
  </si>
  <si>
    <t>Otter Creek Valley Farm</t>
  </si>
  <si>
    <t>Paradise Farm Organics, Inc. DBA MaryJanesFarm/Mary Janes Farm</t>
  </si>
  <si>
    <t>Parker Hill Century Farm LP</t>
  </si>
  <si>
    <t>Pattison Home Farm</t>
  </si>
  <si>
    <t>Patzer Farm</t>
  </si>
  <si>
    <t>Lester and Lonnie Penner</t>
  </si>
  <si>
    <t>formerly Petersen Dairy Ranch</t>
  </si>
  <si>
    <t>Schmucker's Organics / Jacob Schmucker</t>
  </si>
  <si>
    <t>formerly MM-6490</t>
  </si>
  <si>
    <t>Placke Organic Acres, LLC</t>
  </si>
  <si>
    <t>o polich dairy</t>
  </si>
  <si>
    <t>David L Nisley</t>
  </si>
  <si>
    <t>Premier Livestock &amp; Auctions, LLC</t>
  </si>
  <si>
    <t>formerly Biotic Beverages, LLC</t>
  </si>
  <si>
    <t>Haynes Dairy</t>
  </si>
  <si>
    <t>Knox Ridge Holsteins</t>
  </si>
  <si>
    <t>Benuel S Stoltzfus</t>
  </si>
  <si>
    <t>Fog Lake Enterprises</t>
  </si>
  <si>
    <t>Covered Bridge Farm</t>
  </si>
  <si>
    <t>MacBain Homestead</t>
  </si>
  <si>
    <t>Buttercup Mountain Farm</t>
  </si>
  <si>
    <t>Sweeney Farm</t>
  </si>
  <si>
    <t>Northwind Farm</t>
  </si>
  <si>
    <t>Osgood's Organic Farm</t>
  </si>
  <si>
    <t>Woodard's Farm</t>
  </si>
  <si>
    <t>Rainbow's Edge Farm</t>
  </si>
  <si>
    <t>Good Oak Farm</t>
  </si>
  <si>
    <t>Wonder Why Farm</t>
  </si>
  <si>
    <t>Donegan Family Farm</t>
  </si>
  <si>
    <t>Holyoke Farm</t>
  </si>
  <si>
    <t>Cleary Family Farm</t>
  </si>
  <si>
    <t>Howmars Farm</t>
  </si>
  <si>
    <t>LeBlanc Family Farm</t>
  </si>
  <si>
    <t>Sittin' Pretty Farm</t>
  </si>
  <si>
    <t>Earthwise Farm and Forest</t>
  </si>
  <si>
    <t>Maple Cedar View Farm</t>
  </si>
  <si>
    <t>St. Rocks farm</t>
  </si>
  <si>
    <t>Nicholas Livestock</t>
  </si>
  <si>
    <t>Maple Lane Farm</t>
  </si>
  <si>
    <t>Rockledge Maple Trust</t>
  </si>
  <si>
    <t>Larson Farm; Larson Creamery</t>
  </si>
  <si>
    <t>Howvale Farm</t>
  </si>
  <si>
    <t>LePages Rising Sun Farm</t>
  </si>
  <si>
    <t>Scholten Family Farm</t>
  </si>
  <si>
    <t>Topnotch Jerseys Farm</t>
  </si>
  <si>
    <t>T's Hilltop Haven Farm</t>
  </si>
  <si>
    <t>Collins Mill Road Farm This has been registered with the Secretary of State as of April 2022. Please update for the farm guides so that the farm name is listed instead of individual names.</t>
  </si>
  <si>
    <t>Stony Pond Farm</t>
  </si>
  <si>
    <t>none</t>
  </si>
  <si>
    <t>DBA: Atlanta Dairy</t>
  </si>
  <si>
    <t>8210007479</t>
  </si>
  <si>
    <t>DBA: Ramar Foods Dairy Plant</t>
  </si>
  <si>
    <t>Amos S Esh</t>
  </si>
  <si>
    <t>D&amp;amp;C Regan Farms</t>
  </si>
  <si>
    <t>Crosswinds Enterprises</t>
  </si>
  <si>
    <t>Perk Farm Organic Dairy</t>
  </si>
  <si>
    <t>Rhee Bros, Inc</t>
  </si>
  <si>
    <t>Ricky Von Ruden</t>
  </si>
  <si>
    <t>Phil and Sue Flock</t>
  </si>
  <si>
    <t>Robert J., Mary Lou, Matthew R. &amp; Andrew Bondi</t>
  </si>
  <si>
    <t>Roger &amp;amp; Michelle Benrud</t>
  </si>
  <si>
    <t>William Bontrager</t>
  </si>
  <si>
    <t>Andy C. Miller</t>
  </si>
  <si>
    <t>Pohl Dairy</t>
  </si>
  <si>
    <t>851404</t>
  </si>
  <si>
    <t>Former name: Harvey S kinsinger #2320GL under QCS , Rudy took over certification in 2024</t>
  </si>
  <si>
    <t>Scenic Trail Farm</t>
  </si>
  <si>
    <t>Rumiano Cheese Company - Crescent City</t>
  </si>
  <si>
    <t>7170020232</t>
  </si>
  <si>
    <t>Maple Vista</t>
  </si>
  <si>
    <t>Scott Smith</t>
  </si>
  <si>
    <t>Providence Organic Farm</t>
  </si>
  <si>
    <t>Gavin O'Hara</t>
  </si>
  <si>
    <t>Triple 'S' Farm</t>
  </si>
  <si>
    <t>Samuel E Lehman Farm</t>
  </si>
  <si>
    <t>Railway Acres</t>
  </si>
  <si>
    <t>Crikado Dairy</t>
  </si>
  <si>
    <t>Marlin M. Yoder</t>
  </si>
  <si>
    <t>Leon A. and Pauline Yutzy</t>
  </si>
  <si>
    <t>Purple Barn Farm</t>
  </si>
  <si>
    <t>Thomas &amp; Shauna Szymanski</t>
  </si>
  <si>
    <t>Shipshewana Trading Place Auction &amp; Flea Market</t>
  </si>
  <si>
    <t>NA</t>
  </si>
  <si>
    <t>7360000051 (Former Operation ID)</t>
  </si>
  <si>
    <t>Sunset Meadows</t>
  </si>
  <si>
    <t>9950004006</t>
  </si>
  <si>
    <t>Steve &amp; Andy's Organic Inc.</t>
  </si>
  <si>
    <t>Madhushri Tejasvi</t>
  </si>
  <si>
    <t>Formerly StarWalker Farms</t>
  </si>
  <si>
    <t>Chequest Creek Farm</t>
  </si>
  <si>
    <t>Scott and Charlene Stoller Family</t>
  </si>
  <si>
    <t>formerly Walter Stornetta Ranch</t>
  </si>
  <si>
    <t>Steven, Edward, Fredrick Straits</t>
  </si>
  <si>
    <t>Super Soy LLC.</t>
  </si>
  <si>
    <t>833900</t>
  </si>
  <si>
    <t>Daniel A Schrock</t>
  </si>
  <si>
    <t>Formerly Synergy Flavors (Ny) Company LLC dba Vanlab, Formerly Vanlab Corporation</t>
  </si>
  <si>
    <t>Miedema Farms</t>
  </si>
  <si>
    <t>formerly TCHO VENTURES</t>
  </si>
  <si>
    <t>Forbes Chocolate (The Benjamin P Forbes Co)</t>
  </si>
  <si>
    <t>formerly sup6565</t>
  </si>
  <si>
    <t>Christi Farms, LLC &amp; Townridge Farms, LLC</t>
  </si>
  <si>
    <t>David B Fisher, Naomi F Fisher</t>
  </si>
  <si>
    <t>Tranel Farms USA Inc</t>
  </si>
  <si>
    <t>7360000037 (Former Operation ID)</t>
  </si>
  <si>
    <t>7360000064 (Former Operation ID)</t>
  </si>
  <si>
    <t>formerly True Food Innovations, LLC dba Subsidiary of True Beverage Holdings, LLC</t>
  </si>
  <si>
    <t>John and Amos Esh</t>
  </si>
  <si>
    <t>Vaarendahl Dairy LLC</t>
  </si>
  <si>
    <t>John J King Farm</t>
  </si>
  <si>
    <t>Von Trapp Farm</t>
  </si>
  <si>
    <t>Walter Organic Family Farm</t>
  </si>
  <si>
    <t>Enos E and Ida Miller</t>
  </si>
  <si>
    <t>9730007533 (Former Operation ID)</t>
  </si>
  <si>
    <t>West Central Research and Outreach Center</t>
  </si>
  <si>
    <t>West Road Dairy</t>
  </si>
  <si>
    <t>Westby Creamery</t>
  </si>
  <si>
    <t>Ed &amp; Ann Willenbring Farm</t>
  </si>
  <si>
    <t>7360000072 (Former Operation ID)</t>
  </si>
  <si>
    <t>Wilson Organic Farms</t>
  </si>
  <si>
    <t>No DBA on file.</t>
  </si>
  <si>
    <t>DBA:: Yoder Farms</t>
  </si>
  <si>
    <t>Whippoorwill Creek Dairy</t>
  </si>
  <si>
    <t>Derek and Martha Zumberger</t>
  </si>
  <si>
    <t>Client ID</t>
  </si>
  <si>
    <t>Optional</t>
  </si>
  <si>
    <t xml:space="preserve">Client ID issued by certifier. This can be any identifier that the Certifier uses to identify the operation. No constraints on format. </t>
  </si>
  <si>
    <t>PA133</t>
  </si>
  <si>
    <t>2015101</t>
  </si>
  <si>
    <t>4710</t>
  </si>
  <si>
    <t>642</t>
  </si>
  <si>
    <t>220445D</t>
  </si>
  <si>
    <t>19015D</t>
  </si>
  <si>
    <t>11144</t>
  </si>
  <si>
    <t>240757D</t>
  </si>
  <si>
    <t>2553</t>
  </si>
  <si>
    <t>3223</t>
  </si>
  <si>
    <t>2017101</t>
  </si>
  <si>
    <t>13352</t>
  </si>
  <si>
    <t>2024038</t>
  </si>
  <si>
    <t>13334</t>
  </si>
  <si>
    <t>240756D</t>
  </si>
  <si>
    <t>2188</t>
  </si>
  <si>
    <t>2869</t>
  </si>
  <si>
    <t>11348</t>
  </si>
  <si>
    <t>11306</t>
  </si>
  <si>
    <t>11343</t>
  </si>
  <si>
    <t>6</t>
  </si>
  <si>
    <t>2023072</t>
  </si>
  <si>
    <t>3176</t>
  </si>
  <si>
    <t>9857</t>
  </si>
  <si>
    <t>9044</t>
  </si>
  <si>
    <t>2302</t>
  </si>
  <si>
    <t>7700001050</t>
  </si>
  <si>
    <t>1217</t>
  </si>
  <si>
    <t>4001</t>
  </si>
  <si>
    <t>151</t>
  </si>
  <si>
    <t>2019087</t>
  </si>
  <si>
    <t>275</t>
  </si>
  <si>
    <t>2161</t>
  </si>
  <si>
    <t>13803</t>
  </si>
  <si>
    <t>2007060</t>
  </si>
  <si>
    <t>2024078</t>
  </si>
  <si>
    <t>12417</t>
  </si>
  <si>
    <t>06054</t>
  </si>
  <si>
    <t>13769</t>
  </si>
  <si>
    <t>2011062</t>
  </si>
  <si>
    <t>1070</t>
  </si>
  <si>
    <t>220489D</t>
  </si>
  <si>
    <t>3429</t>
  </si>
  <si>
    <t>11083</t>
  </si>
  <si>
    <t>CAL934AS</t>
  </si>
  <si>
    <t>14603</t>
  </si>
  <si>
    <t>481</t>
  </si>
  <si>
    <t>2024114</t>
  </si>
  <si>
    <t>2848</t>
  </si>
  <si>
    <t>14201</t>
  </si>
  <si>
    <t>90007</t>
  </si>
  <si>
    <t>518185</t>
  </si>
  <si>
    <t>OT-045808</t>
  </si>
  <si>
    <t>30126</t>
  </si>
  <si>
    <t>OT-036188</t>
  </si>
  <si>
    <t>2016188</t>
  </si>
  <si>
    <t>1183</t>
  </si>
  <si>
    <t>4751</t>
  </si>
  <si>
    <t>31667</t>
  </si>
  <si>
    <t>39207</t>
  </si>
  <si>
    <t>30433</t>
  </si>
  <si>
    <t>30119</t>
  </si>
  <si>
    <t>30582</t>
  </si>
  <si>
    <t>30101</t>
  </si>
  <si>
    <t>9316</t>
  </si>
  <si>
    <t>2023045</t>
  </si>
  <si>
    <t>ht096</t>
  </si>
  <si>
    <t>240769D</t>
  </si>
  <si>
    <t>1159</t>
  </si>
  <si>
    <t>2008062</t>
  </si>
  <si>
    <t>OT-041153</t>
  </si>
  <si>
    <t>2425</t>
  </si>
  <si>
    <t>14451</t>
  </si>
  <si>
    <t>OT-044084</t>
  </si>
  <si>
    <t>210338D</t>
  </si>
  <si>
    <t>20129D</t>
  </si>
  <si>
    <t>2013020</t>
  </si>
  <si>
    <t>10735</t>
  </si>
  <si>
    <t>2020098</t>
  </si>
  <si>
    <t>525</t>
  </si>
  <si>
    <t>9011</t>
  </si>
  <si>
    <t>2366</t>
  </si>
  <si>
    <t>10050</t>
  </si>
  <si>
    <t>9449</t>
  </si>
  <si>
    <t>2014069</t>
  </si>
  <si>
    <t>2020089</t>
  </si>
  <si>
    <t>210369D</t>
  </si>
  <si>
    <t>11377</t>
  </si>
  <si>
    <t>11051</t>
  </si>
  <si>
    <t>54183</t>
  </si>
  <si>
    <t>210322D</t>
  </si>
  <si>
    <t>220458D</t>
  </si>
  <si>
    <t>16258</t>
  </si>
  <si>
    <t>2014033</t>
  </si>
  <si>
    <t>19038L</t>
  </si>
  <si>
    <t>1171</t>
  </si>
  <si>
    <t>14260</t>
  </si>
  <si>
    <t>24 11784 NOP</t>
  </si>
  <si>
    <t>OT-044645</t>
  </si>
  <si>
    <t>pr2150</t>
  </si>
  <si>
    <t>pr849</t>
  </si>
  <si>
    <t>3575</t>
  </si>
  <si>
    <t>757</t>
  </si>
  <si>
    <t>16516</t>
  </si>
  <si>
    <t>210284D</t>
  </si>
  <si>
    <t>1334</t>
  </si>
  <si>
    <t>220446D</t>
  </si>
  <si>
    <t>55111</t>
  </si>
  <si>
    <t>210286D</t>
  </si>
  <si>
    <t>2015015</t>
  </si>
  <si>
    <t>2023005</t>
  </si>
  <si>
    <t>4039DG2494-25</t>
  </si>
  <si>
    <t>4039DG979-10</t>
  </si>
  <si>
    <t>2024011</t>
  </si>
  <si>
    <t>1612</t>
  </si>
  <si>
    <t>13174</t>
  </si>
  <si>
    <t>2010</t>
  </si>
  <si>
    <t>04-1178</t>
  </si>
  <si>
    <t>5096</t>
  </si>
  <si>
    <t>10785</t>
  </si>
  <si>
    <t>11394</t>
  </si>
  <si>
    <t>11399</t>
  </si>
  <si>
    <t>2019076</t>
  </si>
  <si>
    <t>1912</t>
  </si>
  <si>
    <t>11553</t>
  </si>
  <si>
    <t>24-2083</t>
  </si>
  <si>
    <t>230693D</t>
  </si>
  <si>
    <t>pr3033</t>
  </si>
  <si>
    <t>31166</t>
  </si>
  <si>
    <t>0030078</t>
  </si>
  <si>
    <t>1229</t>
  </si>
  <si>
    <t>4953</t>
  </si>
  <si>
    <t>10712</t>
  </si>
  <si>
    <t>1613</t>
  </si>
  <si>
    <t>5075</t>
  </si>
  <si>
    <t>335</t>
  </si>
  <si>
    <t>3174</t>
  </si>
  <si>
    <t>4016DG2280-22</t>
  </si>
  <si>
    <t>1247</t>
  </si>
  <si>
    <t>1226</t>
  </si>
  <si>
    <t>230703D</t>
  </si>
  <si>
    <t>10911</t>
  </si>
  <si>
    <t>2016021</t>
  </si>
  <si>
    <t>2015023</t>
  </si>
  <si>
    <t>5</t>
  </si>
  <si>
    <t>2017035</t>
  </si>
  <si>
    <t>2023040</t>
  </si>
  <si>
    <t>2024028</t>
  </si>
  <si>
    <t>482</t>
  </si>
  <si>
    <t>2022027</t>
  </si>
  <si>
    <t>15233</t>
  </si>
  <si>
    <t>2014052</t>
  </si>
  <si>
    <t>2014054</t>
  </si>
  <si>
    <t>2023070</t>
  </si>
  <si>
    <t>1996</t>
  </si>
  <si>
    <t>4005</t>
  </si>
  <si>
    <t>31464</t>
  </si>
  <si>
    <t>3211</t>
  </si>
  <si>
    <t>11418</t>
  </si>
  <si>
    <t>220490D</t>
  </si>
  <si>
    <t>691113</t>
  </si>
  <si>
    <t>2607</t>
  </si>
  <si>
    <t>12157</t>
  </si>
  <si>
    <t>4039DG1772-17</t>
  </si>
  <si>
    <t>10-336</t>
  </si>
  <si>
    <t>9164</t>
  </si>
  <si>
    <t>220516D</t>
  </si>
  <si>
    <t>52</t>
  </si>
  <si>
    <t>CU 863170</t>
  </si>
  <si>
    <t>12974</t>
  </si>
  <si>
    <t>pr1516</t>
  </si>
  <si>
    <t>07-1294</t>
  </si>
  <si>
    <t>220487D</t>
  </si>
  <si>
    <t>2024067</t>
  </si>
  <si>
    <t>23936</t>
  </si>
  <si>
    <t>54291</t>
  </si>
  <si>
    <t>54290</t>
  </si>
  <si>
    <t>11283</t>
  </si>
  <si>
    <t>2019033</t>
  </si>
  <si>
    <t>101625</t>
  </si>
  <si>
    <t>nc495</t>
  </si>
  <si>
    <t>220530D</t>
  </si>
  <si>
    <t>7444</t>
  </si>
  <si>
    <t>675</t>
  </si>
  <si>
    <t>13689</t>
  </si>
  <si>
    <t>419</t>
  </si>
  <si>
    <t>4023DG1193-12</t>
  </si>
  <si>
    <t>4315</t>
  </si>
  <si>
    <t>0200419</t>
  </si>
  <si>
    <t>2328</t>
  </si>
  <si>
    <t>pr1140</t>
  </si>
  <si>
    <t>702</t>
  </si>
  <si>
    <t>803920</t>
  </si>
  <si>
    <t>9745</t>
  </si>
  <si>
    <t>0200007</t>
  </si>
  <si>
    <t>791</t>
  </si>
  <si>
    <t>2010051</t>
  </si>
  <si>
    <t>2190</t>
  </si>
  <si>
    <t>2017003</t>
  </si>
  <si>
    <t>3472</t>
  </si>
  <si>
    <t>9111</t>
  </si>
  <si>
    <t>665594</t>
  </si>
  <si>
    <t>1252</t>
  </si>
  <si>
    <t>2430</t>
  </si>
  <si>
    <t>2018064</t>
  </si>
  <si>
    <t>2024091</t>
  </si>
  <si>
    <t>4296</t>
  </si>
  <si>
    <t>149</t>
  </si>
  <si>
    <t>4049DG1142-12</t>
  </si>
  <si>
    <t>2012037</t>
  </si>
  <si>
    <t>20074D</t>
  </si>
  <si>
    <t>0200563</t>
  </si>
  <si>
    <t>2232</t>
  </si>
  <si>
    <t>1766</t>
  </si>
  <si>
    <t>1993</t>
  </si>
  <si>
    <t>12-554</t>
  </si>
  <si>
    <t>2019055</t>
  </si>
  <si>
    <t>10248</t>
  </si>
  <si>
    <t>2021020</t>
  </si>
  <si>
    <t>2021092</t>
  </si>
  <si>
    <t>4039DG917-09</t>
  </si>
  <si>
    <t>2024012</t>
  </si>
  <si>
    <t>4033DG538-06</t>
  </si>
  <si>
    <t>CU 835572</t>
  </si>
  <si>
    <t>17-1230</t>
  </si>
  <si>
    <t>2024076</t>
  </si>
  <si>
    <t>56456</t>
  </si>
  <si>
    <t>2019074</t>
  </si>
  <si>
    <t>2023047</t>
  </si>
  <si>
    <t>17-1151</t>
  </si>
  <si>
    <t>10247</t>
  </si>
  <si>
    <t>nc291</t>
  </si>
  <si>
    <t>6003-1150</t>
  </si>
  <si>
    <t>20212D</t>
  </si>
  <si>
    <t>12641</t>
  </si>
  <si>
    <t>OT-003275</t>
  </si>
  <si>
    <t>58</t>
  </si>
  <si>
    <t>055</t>
  </si>
  <si>
    <t>1071</t>
  </si>
  <si>
    <t>4033DG1209-12</t>
  </si>
  <si>
    <t>09023</t>
  </si>
  <si>
    <t>4049DG1240-12</t>
  </si>
  <si>
    <t>10515</t>
  </si>
  <si>
    <t>1087</t>
  </si>
  <si>
    <t>035</t>
  </si>
  <si>
    <t>618</t>
  </si>
  <si>
    <t>OT-043003</t>
  </si>
  <si>
    <t>4937</t>
  </si>
  <si>
    <t>4385</t>
  </si>
  <si>
    <t>1854</t>
  </si>
  <si>
    <t>7309</t>
  </si>
  <si>
    <t>PGH177BSE</t>
  </si>
  <si>
    <t>8074</t>
  </si>
  <si>
    <t>7870</t>
  </si>
  <si>
    <t>OT-001125</t>
  </si>
  <si>
    <t>2013066</t>
  </si>
  <si>
    <t>28</t>
  </si>
  <si>
    <t>1594.36946</t>
  </si>
  <si>
    <t>3353</t>
  </si>
  <si>
    <t>07068</t>
  </si>
  <si>
    <t>10048</t>
  </si>
  <si>
    <t>13660</t>
  </si>
  <si>
    <t>2015097</t>
  </si>
  <si>
    <t>0960020</t>
  </si>
  <si>
    <t>90150</t>
  </si>
  <si>
    <t>7875</t>
  </si>
  <si>
    <t>635</t>
  </si>
  <si>
    <t>2016033</t>
  </si>
  <si>
    <t>984</t>
  </si>
  <si>
    <t>10501</t>
  </si>
  <si>
    <t>0200330</t>
  </si>
  <si>
    <t>546</t>
  </si>
  <si>
    <t>240775D</t>
  </si>
  <si>
    <t>11227</t>
  </si>
  <si>
    <t>99</t>
  </si>
  <si>
    <t>1399</t>
  </si>
  <si>
    <t>15040</t>
  </si>
  <si>
    <t>3677</t>
  </si>
  <si>
    <t>0926062</t>
  </si>
  <si>
    <t>OT-013648</t>
  </si>
  <si>
    <t>2009030</t>
  </si>
  <si>
    <t>2017126</t>
  </si>
  <si>
    <t>12640</t>
  </si>
  <si>
    <t>2015095</t>
  </si>
  <si>
    <t>pr1393</t>
  </si>
  <si>
    <t>9300</t>
  </si>
  <si>
    <t>102298</t>
  </si>
  <si>
    <t>1799</t>
  </si>
  <si>
    <t>2006116</t>
  </si>
  <si>
    <t>2298</t>
  </si>
  <si>
    <t>4461</t>
  </si>
  <si>
    <t>4049DG072-97</t>
  </si>
  <si>
    <t>OT-001477</t>
  </si>
  <si>
    <t>0200542</t>
  </si>
  <si>
    <t>99101</t>
  </si>
  <si>
    <t>2016131</t>
  </si>
  <si>
    <t>4033DG726-08</t>
  </si>
  <si>
    <t>14171</t>
  </si>
  <si>
    <t>1726</t>
  </si>
  <si>
    <t>14040</t>
  </si>
  <si>
    <t>1141</t>
  </si>
  <si>
    <t>2626</t>
  </si>
  <si>
    <t>7864</t>
  </si>
  <si>
    <t>30594</t>
  </si>
  <si>
    <t>0029865</t>
  </si>
  <si>
    <t>990</t>
  </si>
  <si>
    <t>1420</t>
  </si>
  <si>
    <t>20160D</t>
  </si>
  <si>
    <t>3482</t>
  </si>
  <si>
    <t>1502</t>
  </si>
  <si>
    <t>al775</t>
  </si>
  <si>
    <t>1292</t>
  </si>
  <si>
    <t>nv375</t>
  </si>
  <si>
    <t>nc543</t>
  </si>
  <si>
    <t>235718</t>
  </si>
  <si>
    <t>99018</t>
  </si>
  <si>
    <t>2006138</t>
  </si>
  <si>
    <t>12940</t>
  </si>
  <si>
    <t>220441D</t>
  </si>
  <si>
    <t>4399</t>
  </si>
  <si>
    <t>OT-001665</t>
  </si>
  <si>
    <t>812</t>
  </si>
  <si>
    <t>2006177</t>
  </si>
  <si>
    <t>201</t>
  </si>
  <si>
    <t>249</t>
  </si>
  <si>
    <t>CU 854352</t>
  </si>
  <si>
    <t>4016DG1838-17</t>
  </si>
  <si>
    <t>9603</t>
  </si>
  <si>
    <t>3376</t>
  </si>
  <si>
    <t>pr1143</t>
  </si>
  <si>
    <t>pr1613</t>
  </si>
  <si>
    <t>2473</t>
  </si>
  <si>
    <t>pr3492</t>
  </si>
  <si>
    <t>261</t>
  </si>
  <si>
    <t>2015098</t>
  </si>
  <si>
    <t>647</t>
  </si>
  <si>
    <t>1941</t>
  </si>
  <si>
    <t>10316</t>
  </si>
  <si>
    <t>3275</t>
  </si>
  <si>
    <t>258</t>
  </si>
  <si>
    <t>12261</t>
  </si>
  <si>
    <t>10320</t>
  </si>
  <si>
    <t>7700001146</t>
  </si>
  <si>
    <t>2016135</t>
  </si>
  <si>
    <t>1209</t>
  </si>
  <si>
    <t>2016139</t>
  </si>
  <si>
    <t>nv267</t>
  </si>
  <si>
    <t>1490</t>
  </si>
  <si>
    <t>195675</t>
  </si>
  <si>
    <t>2024037</t>
  </si>
  <si>
    <t>13745</t>
  </si>
  <si>
    <t>14511</t>
  </si>
  <si>
    <t>11578</t>
  </si>
  <si>
    <t>4047DG956-10</t>
  </si>
  <si>
    <t>3352</t>
  </si>
  <si>
    <t>2015027</t>
  </si>
  <si>
    <t>11511</t>
  </si>
  <si>
    <t>17-1228</t>
  </si>
  <si>
    <t>20-1665</t>
  </si>
  <si>
    <t>ht179</t>
  </si>
  <si>
    <t>2934</t>
  </si>
  <si>
    <t>13584</t>
  </si>
  <si>
    <t>15-922</t>
  </si>
  <si>
    <t>2006162</t>
  </si>
  <si>
    <t>90231</t>
  </si>
  <si>
    <t>2022063</t>
  </si>
  <si>
    <t>1246</t>
  </si>
  <si>
    <t>OT-001877</t>
  </si>
  <si>
    <t>48</t>
  </si>
  <si>
    <t>220556L</t>
  </si>
  <si>
    <t>SP1479</t>
  </si>
  <si>
    <t>11226</t>
  </si>
  <si>
    <t>1865</t>
  </si>
  <si>
    <t>3147</t>
  </si>
  <si>
    <t>184173</t>
  </si>
  <si>
    <t>DF090</t>
  </si>
  <si>
    <t>10739</t>
  </si>
  <si>
    <t>210301D</t>
  </si>
  <si>
    <t>7182</t>
  </si>
  <si>
    <t>OT-001959</t>
  </si>
  <si>
    <t>0200640</t>
  </si>
  <si>
    <t>2017072</t>
  </si>
  <si>
    <t>55636</t>
  </si>
  <si>
    <t>954</t>
  </si>
  <si>
    <t>0332</t>
  </si>
  <si>
    <t>2019060</t>
  </si>
  <si>
    <t>pr483</t>
  </si>
  <si>
    <t>0200102</t>
  </si>
  <si>
    <t>4036H2475-24</t>
  </si>
  <si>
    <t>27-370</t>
  </si>
  <si>
    <t>7283</t>
  </si>
  <si>
    <t>359</t>
  </si>
  <si>
    <t>384</t>
  </si>
  <si>
    <t>220512D</t>
  </si>
  <si>
    <t>20724</t>
  </si>
  <si>
    <t>7850</t>
  </si>
  <si>
    <t>10099</t>
  </si>
  <si>
    <t>20128D</t>
  </si>
  <si>
    <t>8652</t>
  </si>
  <si>
    <t>al607</t>
  </si>
  <si>
    <t>138445</t>
  </si>
  <si>
    <t>3978</t>
  </si>
  <si>
    <t>4023DG745-13, 4023P745-13</t>
  </si>
  <si>
    <t>14-043-552</t>
  </si>
  <si>
    <t>8076</t>
  </si>
  <si>
    <t>008</t>
  </si>
  <si>
    <t>0467664</t>
  </si>
  <si>
    <t>0200691</t>
  </si>
  <si>
    <t>7424</t>
  </si>
  <si>
    <t>02-965</t>
  </si>
  <si>
    <t>20029</t>
  </si>
  <si>
    <t>907</t>
  </si>
  <si>
    <t>9057</t>
  </si>
  <si>
    <t>038</t>
  </si>
  <si>
    <t>231</t>
  </si>
  <si>
    <t>2019048</t>
  </si>
  <si>
    <t>9479</t>
  </si>
  <si>
    <t>0029825</t>
  </si>
  <si>
    <t>2009041</t>
  </si>
  <si>
    <t>2013061</t>
  </si>
  <si>
    <t>2529</t>
  </si>
  <si>
    <t>OT-007554</t>
  </si>
  <si>
    <t>0200652</t>
  </si>
  <si>
    <t>pr2583</t>
  </si>
  <si>
    <t>2023078</t>
  </si>
  <si>
    <t>pr581</t>
  </si>
  <si>
    <t>pr330</t>
  </si>
  <si>
    <t>2024080</t>
  </si>
  <si>
    <t>3252022050</t>
  </si>
  <si>
    <t>922</t>
  </si>
  <si>
    <t>1869</t>
  </si>
  <si>
    <t>4881</t>
  </si>
  <si>
    <t>3808</t>
  </si>
  <si>
    <t>2024001</t>
  </si>
  <si>
    <t>2021067</t>
  </si>
  <si>
    <t>CU 899875</t>
  </si>
  <si>
    <t>4049GOAC1004-95</t>
  </si>
  <si>
    <t>119</t>
  </si>
  <si>
    <t>NPV19UCC</t>
  </si>
  <si>
    <t>NPV17NCC</t>
  </si>
  <si>
    <t>V19U</t>
  </si>
  <si>
    <t>V17N</t>
  </si>
  <si>
    <t>9730000064</t>
  </si>
  <si>
    <t>pr538</t>
  </si>
  <si>
    <t>20080D</t>
  </si>
  <si>
    <t>2016100</t>
  </si>
  <si>
    <t>5145</t>
  </si>
  <si>
    <t>2024077</t>
  </si>
  <si>
    <t>473</t>
  </si>
  <si>
    <t>687</t>
  </si>
  <si>
    <t>1567</t>
  </si>
  <si>
    <t>10405</t>
  </si>
  <si>
    <t>436</t>
  </si>
  <si>
    <t>41</t>
  </si>
  <si>
    <t>2022052</t>
  </si>
  <si>
    <t>2022067</t>
  </si>
  <si>
    <t>210409D</t>
  </si>
  <si>
    <t>11542</t>
  </si>
  <si>
    <t>8645</t>
  </si>
  <si>
    <t>9750</t>
  </si>
  <si>
    <t>672</t>
  </si>
  <si>
    <t>2017137</t>
  </si>
  <si>
    <t>19043D</t>
  </si>
  <si>
    <t>21-1789</t>
  </si>
  <si>
    <t>230640D</t>
  </si>
  <si>
    <t>946</t>
  </si>
  <si>
    <t>2023071</t>
  </si>
  <si>
    <t>3896</t>
  </si>
  <si>
    <t>15-816</t>
  </si>
  <si>
    <t>2015013</t>
  </si>
  <si>
    <t>2020073</t>
  </si>
  <si>
    <t>2399</t>
  </si>
  <si>
    <t>1741</t>
  </si>
  <si>
    <t>1585</t>
  </si>
  <si>
    <t>848</t>
  </si>
  <si>
    <t>2023048</t>
  </si>
  <si>
    <t>2020092</t>
  </si>
  <si>
    <t>4039DG875-09</t>
  </si>
  <si>
    <t>2739</t>
  </si>
  <si>
    <t>200</t>
  </si>
  <si>
    <t>4049DG2396-23</t>
  </si>
  <si>
    <t>2021051</t>
  </si>
  <si>
    <t>4039DG1930-18</t>
  </si>
  <si>
    <t>2358</t>
  </si>
  <si>
    <t>2023007</t>
  </si>
  <si>
    <t>3863</t>
  </si>
  <si>
    <t>1719</t>
  </si>
  <si>
    <t>22-1926</t>
  </si>
  <si>
    <t>12-503</t>
  </si>
  <si>
    <t>54134</t>
  </si>
  <si>
    <t>06-1374</t>
  </si>
  <si>
    <t>1614</t>
  </si>
  <si>
    <t>al148</t>
  </si>
  <si>
    <t>2017147</t>
  </si>
  <si>
    <t>2023044</t>
  </si>
  <si>
    <t>2024053</t>
  </si>
  <si>
    <t>2023011</t>
  </si>
  <si>
    <t>2017114</t>
  </si>
  <si>
    <t>6944</t>
  </si>
  <si>
    <t>8457</t>
  </si>
  <si>
    <t>2503</t>
  </si>
  <si>
    <t>3638</t>
  </si>
  <si>
    <t>ht160</t>
  </si>
  <si>
    <t>al843</t>
  </si>
  <si>
    <t>780</t>
  </si>
  <si>
    <t>230648D</t>
  </si>
  <si>
    <t>1323</t>
  </si>
  <si>
    <t>902</t>
  </si>
  <si>
    <t>20082D</t>
  </si>
  <si>
    <t>240830D</t>
  </si>
  <si>
    <t>11175</t>
  </si>
  <si>
    <t>1041</t>
  </si>
  <si>
    <t>1725</t>
  </si>
  <si>
    <t>11587</t>
  </si>
  <si>
    <t>703</t>
  </si>
  <si>
    <t>14335</t>
  </si>
  <si>
    <t>07-1391</t>
  </si>
  <si>
    <t>2016035</t>
  </si>
  <si>
    <t>13124</t>
  </si>
  <si>
    <t>54437</t>
  </si>
  <si>
    <t>4989</t>
  </si>
  <si>
    <t>21-1730</t>
  </si>
  <si>
    <t>220525D</t>
  </si>
  <si>
    <t>2024035</t>
  </si>
  <si>
    <t>13574</t>
  </si>
  <si>
    <t>1871</t>
  </si>
  <si>
    <t>20-1664</t>
  </si>
  <si>
    <t>11590</t>
  </si>
  <si>
    <t>1623</t>
  </si>
  <si>
    <t>4523</t>
  </si>
  <si>
    <t>4036DG1417-14</t>
  </si>
  <si>
    <t>2023004</t>
  </si>
  <si>
    <t>2012032</t>
  </si>
  <si>
    <t>1445</t>
  </si>
  <si>
    <t>4036DG545-06</t>
  </si>
  <si>
    <t>2024045</t>
  </si>
  <si>
    <t>3639</t>
  </si>
  <si>
    <t>1088</t>
  </si>
  <si>
    <t>210342D</t>
  </si>
  <si>
    <t>20156D</t>
  </si>
  <si>
    <t>14003</t>
  </si>
  <si>
    <t>2018088</t>
  </si>
  <si>
    <t>15635</t>
  </si>
  <si>
    <t>2014071</t>
  </si>
  <si>
    <t>15163</t>
  </si>
  <si>
    <t>2016150</t>
  </si>
  <si>
    <t>8335</t>
  </si>
  <si>
    <t>3772</t>
  </si>
  <si>
    <t>210416DG</t>
  </si>
  <si>
    <t>1407</t>
  </si>
  <si>
    <t>1600</t>
  </si>
  <si>
    <t>11603</t>
  </si>
  <si>
    <t>686</t>
  </si>
  <si>
    <t>12498</t>
  </si>
  <si>
    <t>3428</t>
  </si>
  <si>
    <t>pr752</t>
  </si>
  <si>
    <t>2400</t>
  </si>
  <si>
    <t>956</t>
  </si>
  <si>
    <t>2008012</t>
  </si>
  <si>
    <t>210327D</t>
  </si>
  <si>
    <t>1931</t>
  </si>
  <si>
    <t>24-753</t>
  </si>
  <si>
    <t>9072</t>
  </si>
  <si>
    <t>4033DG204-02</t>
  </si>
  <si>
    <t>nv236</t>
  </si>
  <si>
    <t>7370</t>
  </si>
  <si>
    <t>4935</t>
  </si>
  <si>
    <t>ht113</t>
  </si>
  <si>
    <t>942</t>
  </si>
  <si>
    <t>20094D</t>
  </si>
  <si>
    <t>1617</t>
  </si>
  <si>
    <t>56221</t>
  </si>
  <si>
    <t>19-1553</t>
  </si>
  <si>
    <t>57294</t>
  </si>
  <si>
    <t>nc704</t>
  </si>
  <si>
    <t>03-1100</t>
  </si>
  <si>
    <t>4057</t>
  </si>
  <si>
    <t>1515</t>
  </si>
  <si>
    <t>1953</t>
  </si>
  <si>
    <t>20268D</t>
  </si>
  <si>
    <t>230678L</t>
  </si>
  <si>
    <t>2024119</t>
  </si>
  <si>
    <t>1818</t>
  </si>
  <si>
    <t>11616</t>
  </si>
  <si>
    <t>3959</t>
  </si>
  <si>
    <t>19001D</t>
  </si>
  <si>
    <t>230688C</t>
  </si>
  <si>
    <t>16325</t>
  </si>
  <si>
    <t>220608D</t>
  </si>
  <si>
    <t>798</t>
  </si>
  <si>
    <t>pr924</t>
  </si>
  <si>
    <t>13347</t>
  </si>
  <si>
    <t>ht089</t>
  </si>
  <si>
    <t>7861</t>
  </si>
  <si>
    <t>0200358</t>
  </si>
  <si>
    <t>040</t>
  </si>
  <si>
    <t>530</t>
  </si>
  <si>
    <t>2024009</t>
  </si>
  <si>
    <t>3679</t>
  </si>
  <si>
    <t>2114</t>
  </si>
  <si>
    <t>nc965</t>
  </si>
  <si>
    <t>066</t>
  </si>
  <si>
    <t>2011066</t>
  </si>
  <si>
    <t>802</t>
  </si>
  <si>
    <t>7865</t>
  </si>
  <si>
    <t>841</t>
  </si>
  <si>
    <t>13180</t>
  </si>
  <si>
    <t>4870</t>
  </si>
  <si>
    <t>1434</t>
  </si>
  <si>
    <t>nc547</t>
  </si>
  <si>
    <t>131</t>
  </si>
  <si>
    <t>14196</t>
  </si>
  <si>
    <t>nc420</t>
  </si>
  <si>
    <t>6986</t>
  </si>
  <si>
    <t>1427</t>
  </si>
  <si>
    <t>0200603</t>
  </si>
  <si>
    <t>557151</t>
  </si>
  <si>
    <t>8178</t>
  </si>
  <si>
    <t>3118</t>
  </si>
  <si>
    <t>220503D</t>
  </si>
  <si>
    <t>220611D</t>
  </si>
  <si>
    <t>4726</t>
  </si>
  <si>
    <t>470</t>
  </si>
  <si>
    <t>7700001096</t>
  </si>
  <si>
    <t>2154</t>
  </si>
  <si>
    <t>OT-002769</t>
  </si>
  <si>
    <t>2018074</t>
  </si>
  <si>
    <t>14267</t>
  </si>
  <si>
    <t>8462</t>
  </si>
  <si>
    <t>7351</t>
  </si>
  <si>
    <t>3239</t>
  </si>
  <si>
    <t>11635</t>
  </si>
  <si>
    <t>792</t>
  </si>
  <si>
    <t>0809</t>
  </si>
  <si>
    <t>AG-C0001187OC</t>
  </si>
  <si>
    <t>1177</t>
  </si>
  <si>
    <t>8691</t>
  </si>
  <si>
    <t>58720</t>
  </si>
  <si>
    <t>2873</t>
  </si>
  <si>
    <t>721268</t>
  </si>
  <si>
    <t>210354C</t>
  </si>
  <si>
    <t>979</t>
  </si>
  <si>
    <t>15285</t>
  </si>
  <si>
    <t>10481</t>
  </si>
  <si>
    <t>1026</t>
  </si>
  <si>
    <t>2785</t>
  </si>
  <si>
    <t>11642</t>
  </si>
  <si>
    <t>2355</t>
  </si>
  <si>
    <t>2024021</t>
  </si>
  <si>
    <t>0200536</t>
  </si>
  <si>
    <t>1498</t>
  </si>
  <si>
    <t>137529</t>
  </si>
  <si>
    <t>220453D</t>
  </si>
  <si>
    <t>11657</t>
  </si>
  <si>
    <t>1700</t>
  </si>
  <si>
    <t>2023094</t>
  </si>
  <si>
    <t>21-1723</t>
  </si>
  <si>
    <t>4039DG1959-18</t>
  </si>
  <si>
    <t>2006122</t>
  </si>
  <si>
    <t>15320</t>
  </si>
  <si>
    <t>1375</t>
  </si>
  <si>
    <t>1144</t>
  </si>
  <si>
    <t>12620</t>
  </si>
  <si>
    <t>2372</t>
  </si>
  <si>
    <t>8828</t>
  </si>
  <si>
    <t>552</t>
  </si>
  <si>
    <t>2010047</t>
  </si>
  <si>
    <t>2015117</t>
  </si>
  <si>
    <t>2014053</t>
  </si>
  <si>
    <t>11717</t>
  </si>
  <si>
    <t>14089</t>
  </si>
  <si>
    <t>2024044</t>
  </si>
  <si>
    <t>698</t>
  </si>
  <si>
    <t>13-611</t>
  </si>
  <si>
    <t>11378</t>
  </si>
  <si>
    <t>2024046</t>
  </si>
  <si>
    <t>2019031</t>
  </si>
  <si>
    <t>2015111</t>
  </si>
  <si>
    <t>815</t>
  </si>
  <si>
    <t>11662</t>
  </si>
  <si>
    <t>4520</t>
  </si>
  <si>
    <t>4033DG1992-19</t>
  </si>
  <si>
    <t>2017007</t>
  </si>
  <si>
    <t>1235</t>
  </si>
  <si>
    <t>4033DG641-06</t>
  </si>
  <si>
    <t>14974</t>
  </si>
  <si>
    <t>al952</t>
  </si>
  <si>
    <t>4605</t>
  </si>
  <si>
    <t>16593</t>
  </si>
  <si>
    <t>210275D</t>
  </si>
  <si>
    <t>2089</t>
  </si>
  <si>
    <t>2024087</t>
  </si>
  <si>
    <t>3234</t>
  </si>
  <si>
    <t>1462</t>
  </si>
  <si>
    <t>19017D</t>
  </si>
  <si>
    <t>11674</t>
  </si>
  <si>
    <t>3018</t>
  </si>
  <si>
    <t>99082</t>
  </si>
  <si>
    <t>455</t>
  </si>
  <si>
    <t>11680</t>
  </si>
  <si>
    <t>11512</t>
  </si>
  <si>
    <t>2023052</t>
  </si>
  <si>
    <t>20-1673</t>
  </si>
  <si>
    <t>2022005</t>
  </si>
  <si>
    <t>2755</t>
  </si>
  <si>
    <t>2017049</t>
  </si>
  <si>
    <t>2193</t>
  </si>
  <si>
    <t>2024030</t>
  </si>
  <si>
    <t>13571</t>
  </si>
  <si>
    <t>0200345</t>
  </si>
  <si>
    <t>4097</t>
  </si>
  <si>
    <t>9936</t>
  </si>
  <si>
    <t>0200349</t>
  </si>
  <si>
    <t>6202</t>
  </si>
  <si>
    <t>OT-034903</t>
  </si>
  <si>
    <t>19106</t>
  </si>
  <si>
    <t>15739</t>
  </si>
  <si>
    <t>2013070</t>
  </si>
  <si>
    <t>2017075</t>
  </si>
  <si>
    <t>07-1390</t>
  </si>
  <si>
    <t>7346</t>
  </si>
  <si>
    <t>2023023</t>
  </si>
  <si>
    <t>230686D</t>
  </si>
  <si>
    <t>741</t>
  </si>
  <si>
    <t>10409</t>
  </si>
  <si>
    <t>15962</t>
  </si>
  <si>
    <t>13256</t>
  </si>
  <si>
    <t>11697</t>
  </si>
  <si>
    <t>11696</t>
  </si>
  <si>
    <t>240851D</t>
  </si>
  <si>
    <t>4033DG565-06</t>
  </si>
  <si>
    <t>7675</t>
  </si>
  <si>
    <t>OT-003009</t>
  </si>
  <si>
    <t>06-1291</t>
  </si>
  <si>
    <t>16450</t>
  </si>
  <si>
    <t>11701</t>
  </si>
  <si>
    <t>2583</t>
  </si>
  <si>
    <t>2050</t>
  </si>
  <si>
    <t>210394D</t>
  </si>
  <si>
    <t>1395</t>
  </si>
  <si>
    <t>20174D</t>
  </si>
  <si>
    <t>6992</t>
  </si>
  <si>
    <t>20182D</t>
  </si>
  <si>
    <t>210335C</t>
  </si>
  <si>
    <t>15306</t>
  </si>
  <si>
    <t>210274D</t>
  </si>
  <si>
    <t>17-1233</t>
  </si>
  <si>
    <t>3117</t>
  </si>
  <si>
    <t>4488</t>
  </si>
  <si>
    <t>10983</t>
  </si>
  <si>
    <t>12536</t>
  </si>
  <si>
    <t>2019085</t>
  </si>
  <si>
    <t>2015120</t>
  </si>
  <si>
    <t>OT-003080</t>
  </si>
  <si>
    <t>13033</t>
  </si>
  <si>
    <t>CU 893841</t>
  </si>
  <si>
    <t>240824D</t>
  </si>
  <si>
    <t>1979</t>
  </si>
  <si>
    <t>11714</t>
  </si>
  <si>
    <t>4316</t>
  </si>
  <si>
    <t>210292D</t>
  </si>
  <si>
    <t>14764</t>
  </si>
  <si>
    <t>220472D</t>
  </si>
  <si>
    <t>bv905</t>
  </si>
  <si>
    <t>10525</t>
  </si>
  <si>
    <t>72</t>
  </si>
  <si>
    <t>4846</t>
  </si>
  <si>
    <t>16138</t>
  </si>
  <si>
    <t>7700001232</t>
  </si>
  <si>
    <t>4039DG2267-22</t>
  </si>
  <si>
    <t>OT-044270</t>
  </si>
  <si>
    <t>7106</t>
  </si>
  <si>
    <t>3424</t>
  </si>
  <si>
    <t>PFP215FANC</t>
  </si>
  <si>
    <t>4021DG1334-13</t>
  </si>
  <si>
    <t>4011</t>
  </si>
  <si>
    <t>18039</t>
  </si>
  <si>
    <t>US089</t>
  </si>
  <si>
    <t>2016152</t>
  </si>
  <si>
    <t>4028H1028-12</t>
  </si>
  <si>
    <t>8545</t>
  </si>
  <si>
    <t>2024025</t>
  </si>
  <si>
    <t>220515L</t>
  </si>
  <si>
    <t>20181D</t>
  </si>
  <si>
    <t>5362</t>
  </si>
  <si>
    <t>ht097</t>
  </si>
  <si>
    <t>2016086</t>
  </si>
  <si>
    <t>220450D</t>
  </si>
  <si>
    <t>237635</t>
  </si>
  <si>
    <t>3164</t>
  </si>
  <si>
    <t>6158</t>
  </si>
  <si>
    <t>4049DG084-01</t>
  </si>
  <si>
    <t>263778</t>
  </si>
  <si>
    <t>2344</t>
  </si>
  <si>
    <t>4016DG398-04</t>
  </si>
  <si>
    <t>220454D</t>
  </si>
  <si>
    <t>2024095</t>
  </si>
  <si>
    <t>19013D</t>
  </si>
  <si>
    <t>220540D</t>
  </si>
  <si>
    <t>220478DE</t>
  </si>
  <si>
    <t>pr1859</t>
  </si>
  <si>
    <t>542</t>
  </si>
  <si>
    <t>1645</t>
  </si>
  <si>
    <t>0200401</t>
  </si>
  <si>
    <t>506071</t>
  </si>
  <si>
    <t>4927</t>
  </si>
  <si>
    <t>pr1409</t>
  </si>
  <si>
    <t>240743D</t>
  </si>
  <si>
    <t>0200604</t>
  </si>
  <si>
    <t>2006120</t>
  </si>
  <si>
    <t>OT-040420</t>
  </si>
  <si>
    <t>US080</t>
  </si>
  <si>
    <t>97410</t>
  </si>
  <si>
    <t>PA-OR-006-1</t>
  </si>
  <si>
    <t>04068</t>
  </si>
  <si>
    <t>2914</t>
  </si>
  <si>
    <t>0200020</t>
  </si>
  <si>
    <t>13136</t>
  </si>
  <si>
    <t>874</t>
  </si>
  <si>
    <t>4096</t>
  </si>
  <si>
    <t>19011L</t>
  </si>
  <si>
    <t>242</t>
  </si>
  <si>
    <t>4487</t>
  </si>
  <si>
    <t>426</t>
  </si>
  <si>
    <t>827</t>
  </si>
  <si>
    <t>1011</t>
  </si>
  <si>
    <t>9234</t>
  </si>
  <si>
    <t>pr2694</t>
  </si>
  <si>
    <t>pr2620</t>
  </si>
  <si>
    <t>pr1994</t>
  </si>
  <si>
    <t>pr2623</t>
  </si>
  <si>
    <t>pr1807</t>
  </si>
  <si>
    <t>pr2718</t>
  </si>
  <si>
    <t>24-1103</t>
  </si>
  <si>
    <t>104556</t>
  </si>
  <si>
    <t>30614</t>
  </si>
  <si>
    <t>yo009</t>
  </si>
  <si>
    <t>7700001013</t>
  </si>
  <si>
    <t>7393</t>
  </si>
  <si>
    <t>03055</t>
  </si>
  <si>
    <t>0200646</t>
  </si>
  <si>
    <t>210347D</t>
  </si>
  <si>
    <t>3312</t>
  </si>
  <si>
    <t>4960</t>
  </si>
  <si>
    <t>OT-000355</t>
  </si>
  <si>
    <t>nc289</t>
  </si>
  <si>
    <t>6475</t>
  </si>
  <si>
    <t>2016171</t>
  </si>
  <si>
    <t>ht119</t>
  </si>
  <si>
    <t>OT-003675</t>
  </si>
  <si>
    <t>4707</t>
  </si>
  <si>
    <t>10136</t>
  </si>
  <si>
    <t>2014047</t>
  </si>
  <si>
    <t>2022041</t>
  </si>
  <si>
    <t>11651</t>
  </si>
  <si>
    <t>13682</t>
  </si>
  <si>
    <t>8379</t>
  </si>
  <si>
    <t>2549</t>
  </si>
  <si>
    <t>106855</t>
  </si>
  <si>
    <t>9167</t>
  </si>
  <si>
    <t>0012</t>
  </si>
  <si>
    <t>1544</t>
  </si>
  <si>
    <t>2008026</t>
  </si>
  <si>
    <t>220474D</t>
  </si>
  <si>
    <t>220492D</t>
  </si>
  <si>
    <t>2657</t>
  </si>
  <si>
    <t>9695</t>
  </si>
  <si>
    <t>4016DG581-06</t>
  </si>
  <si>
    <t>2023064</t>
  </si>
  <si>
    <t>4023DG1250-12</t>
  </si>
  <si>
    <t>99-405</t>
  </si>
  <si>
    <t>2525</t>
  </si>
  <si>
    <t>4049DG516-05</t>
  </si>
  <si>
    <t>13202</t>
  </si>
  <si>
    <t>1460</t>
  </si>
  <si>
    <t>4047H2467-24</t>
  </si>
  <si>
    <t>4464</t>
  </si>
  <si>
    <t>4636</t>
  </si>
  <si>
    <t>2006114</t>
  </si>
  <si>
    <t>2037</t>
  </si>
  <si>
    <t>5804</t>
  </si>
  <si>
    <t>OT-030097</t>
  </si>
  <si>
    <t>7703</t>
  </si>
  <si>
    <t>2059</t>
  </si>
  <si>
    <t>10699</t>
  </si>
  <si>
    <t>8937</t>
  </si>
  <si>
    <t>15002</t>
  </si>
  <si>
    <t>374</t>
  </si>
  <si>
    <t>230637D</t>
  </si>
  <si>
    <t>5089</t>
  </si>
  <si>
    <t>2891</t>
  </si>
  <si>
    <t>pr2039</t>
  </si>
  <si>
    <t>2014077</t>
  </si>
  <si>
    <t>2010042</t>
  </si>
  <si>
    <t>20083D</t>
  </si>
  <si>
    <t>99051</t>
  </si>
  <si>
    <t>2823</t>
  </si>
  <si>
    <t>20150D</t>
  </si>
  <si>
    <t>3413</t>
  </si>
  <si>
    <t>04041</t>
  </si>
  <si>
    <t>12999</t>
  </si>
  <si>
    <t>1826</t>
  </si>
  <si>
    <t>11554</t>
  </si>
  <si>
    <t>8610</t>
  </si>
  <si>
    <t>2294</t>
  </si>
  <si>
    <t>CE-200892</t>
  </si>
  <si>
    <t>3446</t>
  </si>
  <si>
    <t>10477</t>
  </si>
  <si>
    <t>2015001</t>
  </si>
  <si>
    <t>2016002</t>
  </si>
  <si>
    <t>30742</t>
  </si>
  <si>
    <t>3914</t>
  </si>
  <si>
    <t>4036</t>
  </si>
  <si>
    <t>2017109</t>
  </si>
  <si>
    <t>558</t>
  </si>
  <si>
    <t>2337</t>
  </si>
  <si>
    <t>2822</t>
  </si>
  <si>
    <t>2362</t>
  </si>
  <si>
    <t>0990025</t>
  </si>
  <si>
    <t>575</t>
  </si>
  <si>
    <t>10742</t>
  </si>
  <si>
    <t>11746</t>
  </si>
  <si>
    <t>139</t>
  </si>
  <si>
    <t>1450</t>
  </si>
  <si>
    <t>210329D</t>
  </si>
  <si>
    <t>2603</t>
  </si>
  <si>
    <t>2220</t>
  </si>
  <si>
    <t>220529L</t>
  </si>
  <si>
    <t>4091</t>
  </si>
  <si>
    <t>I91X</t>
  </si>
  <si>
    <t>787352</t>
  </si>
  <si>
    <t>10747</t>
  </si>
  <si>
    <t>3576</t>
  </si>
  <si>
    <t>3165</t>
  </si>
  <si>
    <t>10-367</t>
  </si>
  <si>
    <t>3019</t>
  </si>
  <si>
    <t>20-1678</t>
  </si>
  <si>
    <t>07-1396</t>
  </si>
  <si>
    <t>2015134</t>
  </si>
  <si>
    <t>11585</t>
  </si>
  <si>
    <t>1899</t>
  </si>
  <si>
    <t>16628</t>
  </si>
  <si>
    <t>2023032</t>
  </si>
  <si>
    <t>2022092</t>
  </si>
  <si>
    <t>692148</t>
  </si>
  <si>
    <t>775</t>
  </si>
  <si>
    <t>2018075</t>
  </si>
  <si>
    <t>121</t>
  </si>
  <si>
    <t>12191</t>
  </si>
  <si>
    <t>0934741</t>
  </si>
  <si>
    <t>0928939</t>
  </si>
  <si>
    <t>0934737</t>
  </si>
  <si>
    <t>90021</t>
  </si>
  <si>
    <t>2024066</t>
  </si>
  <si>
    <t>2008019</t>
  </si>
  <si>
    <t>2015018</t>
  </si>
  <si>
    <t>0980009</t>
  </si>
  <si>
    <t>2024071</t>
  </si>
  <si>
    <t>3033</t>
  </si>
  <si>
    <t>220532D</t>
  </si>
  <si>
    <t>2019042</t>
  </si>
  <si>
    <t>1684</t>
  </si>
  <si>
    <t>2017115</t>
  </si>
  <si>
    <t>20041</t>
  </si>
  <si>
    <t>16063</t>
  </si>
  <si>
    <t>07-1393</t>
  </si>
  <si>
    <t>2021</t>
  </si>
  <si>
    <t>15179</t>
  </si>
  <si>
    <t>2024097</t>
  </si>
  <si>
    <t>11765</t>
  </si>
  <si>
    <t>2020095</t>
  </si>
  <si>
    <t>210304D</t>
  </si>
  <si>
    <t>2019044</t>
  </si>
  <si>
    <t>2020047</t>
  </si>
  <si>
    <t>220500D</t>
  </si>
  <si>
    <t>8693</t>
  </si>
  <si>
    <t>4706</t>
  </si>
  <si>
    <t>11771</t>
  </si>
  <si>
    <t>4016DG486-05</t>
  </si>
  <si>
    <t>3367</t>
  </si>
  <si>
    <t>2023068</t>
  </si>
  <si>
    <t>2347</t>
  </si>
  <si>
    <t>OT-045339</t>
  </si>
  <si>
    <t>2016144</t>
  </si>
  <si>
    <t>2016121</t>
  </si>
  <si>
    <t>289220</t>
  </si>
  <si>
    <t>2019079</t>
  </si>
  <si>
    <t>2021081</t>
  </si>
  <si>
    <t>4576</t>
  </si>
  <si>
    <t>2010069</t>
  </si>
  <si>
    <t>3361</t>
  </si>
  <si>
    <t>32-1055</t>
  </si>
  <si>
    <t>8567</t>
  </si>
  <si>
    <t>1314</t>
  </si>
  <si>
    <t>230636D</t>
  </si>
  <si>
    <t>2017102</t>
  </si>
  <si>
    <t>99127</t>
  </si>
  <si>
    <t>4016DG713-09</t>
  </si>
  <si>
    <t>17014</t>
  </si>
  <si>
    <t>5015</t>
  </si>
  <si>
    <t>2681</t>
  </si>
  <si>
    <t>4033DG836-09</t>
  </si>
  <si>
    <t>16056</t>
  </si>
  <si>
    <t>8075</t>
  </si>
  <si>
    <t>1220</t>
  </si>
  <si>
    <t>12179</t>
  </si>
  <si>
    <t>4023DG1896-18</t>
  </si>
  <si>
    <t>5079</t>
  </si>
  <si>
    <t>2015086</t>
  </si>
  <si>
    <t>7867</t>
  </si>
  <si>
    <t>0816</t>
  </si>
  <si>
    <t>10304</t>
  </si>
  <si>
    <t>2006131</t>
  </si>
  <si>
    <t>220570DH</t>
  </si>
  <si>
    <t>4039DG1613-15, 4039P1613-15</t>
  </si>
  <si>
    <t>15-035-620</t>
  </si>
  <si>
    <t>2014078</t>
  </si>
  <si>
    <t>05030</t>
  </si>
  <si>
    <t>CAL684HN</t>
  </si>
  <si>
    <t>07076</t>
  </si>
  <si>
    <t>OT-038028</t>
  </si>
  <si>
    <t>2006141</t>
  </si>
  <si>
    <t>042</t>
  </si>
  <si>
    <t>2006163</t>
  </si>
  <si>
    <t>pr2089</t>
  </si>
  <si>
    <t>pr3227</t>
  </si>
  <si>
    <t>2014044</t>
  </si>
  <si>
    <t>PGH242HVF</t>
  </si>
  <si>
    <t>3636</t>
  </si>
  <si>
    <t>289693</t>
  </si>
  <si>
    <t>nc448</t>
  </si>
  <si>
    <t>5790</t>
  </si>
  <si>
    <t>1621</t>
  </si>
  <si>
    <t>7700001229</t>
  </si>
  <si>
    <t>20229D</t>
  </si>
  <si>
    <t>ht203</t>
  </si>
  <si>
    <t>pr3208</t>
  </si>
  <si>
    <t>10825</t>
  </si>
  <si>
    <t>168321</t>
  </si>
  <si>
    <t>48410</t>
  </si>
  <si>
    <t>6974</t>
  </si>
  <si>
    <t>9131</t>
  </si>
  <si>
    <t>1101</t>
  </si>
  <si>
    <t>1591</t>
  </si>
  <si>
    <t>324</t>
  </si>
  <si>
    <t>2007025</t>
  </si>
  <si>
    <t>2023069</t>
  </si>
  <si>
    <t>11579</t>
  </si>
  <si>
    <t>9229</t>
  </si>
  <si>
    <t>14793</t>
  </si>
  <si>
    <t>2017066</t>
  </si>
  <si>
    <t>13469</t>
  </si>
  <si>
    <t>2021060</t>
  </si>
  <si>
    <t>93459</t>
  </si>
  <si>
    <t>11783</t>
  </si>
  <si>
    <t>57181</t>
  </si>
  <si>
    <t>8526</t>
  </si>
  <si>
    <t>15352</t>
  </si>
  <si>
    <t>11182</t>
  </si>
  <si>
    <t>3333</t>
  </si>
  <si>
    <t>4219</t>
  </si>
  <si>
    <t>19026D</t>
  </si>
  <si>
    <t>3286</t>
  </si>
  <si>
    <t>10870</t>
  </si>
  <si>
    <t>4623</t>
  </si>
  <si>
    <t>2271</t>
  </si>
  <si>
    <t>9351</t>
  </si>
  <si>
    <t>1596</t>
  </si>
  <si>
    <t>1232</t>
  </si>
  <si>
    <t>1947</t>
  </si>
  <si>
    <t>11911</t>
  </si>
  <si>
    <t>2023030</t>
  </si>
  <si>
    <t>18-1392</t>
  </si>
  <si>
    <t>1643</t>
  </si>
  <si>
    <t>1772</t>
  </si>
  <si>
    <t>220439D</t>
  </si>
  <si>
    <t>2023073</t>
  </si>
  <si>
    <t>2017017</t>
  </si>
  <si>
    <t>2024052</t>
  </si>
  <si>
    <t>2021091</t>
  </si>
  <si>
    <t>2354</t>
  </si>
  <si>
    <t>15348</t>
  </si>
  <si>
    <t>3943</t>
  </si>
  <si>
    <t>4521</t>
  </si>
  <si>
    <t>2024089</t>
  </si>
  <si>
    <t>3865</t>
  </si>
  <si>
    <t>21-1744</t>
  </si>
  <si>
    <t>16081</t>
  </si>
  <si>
    <t>2023037</t>
  </si>
  <si>
    <t>2017050</t>
  </si>
  <si>
    <t>15462</t>
  </si>
  <si>
    <t>2007054</t>
  </si>
  <si>
    <t>4039DG1931-18</t>
  </si>
  <si>
    <t>3744</t>
  </si>
  <si>
    <t>2022078</t>
  </si>
  <si>
    <t>10007</t>
  </si>
  <si>
    <t>2600</t>
  </si>
  <si>
    <t>2021085</t>
  </si>
  <si>
    <t>1036</t>
  </si>
  <si>
    <t>2016008</t>
  </si>
  <si>
    <t>4049DG317-03</t>
  </si>
  <si>
    <t>21-1756</t>
  </si>
  <si>
    <t>2016052</t>
  </si>
  <si>
    <t>7802.21001</t>
  </si>
  <si>
    <t>2019067</t>
  </si>
  <si>
    <t>2019072</t>
  </si>
  <si>
    <t>2064</t>
  </si>
  <si>
    <t>13282</t>
  </si>
  <si>
    <t>11584</t>
  </si>
  <si>
    <t>14612</t>
  </si>
  <si>
    <t>9731</t>
  </si>
  <si>
    <t>4146</t>
  </si>
  <si>
    <t>2023057</t>
  </si>
  <si>
    <t>13173</t>
  </si>
  <si>
    <t>1586</t>
  </si>
  <si>
    <t>11815</t>
  </si>
  <si>
    <t>2573</t>
  </si>
  <si>
    <t>2018045</t>
  </si>
  <si>
    <t>1948</t>
  </si>
  <si>
    <t>al129</t>
  </si>
  <si>
    <t>11145</t>
  </si>
  <si>
    <t>2016079</t>
  </si>
  <si>
    <t>CU 832904</t>
  </si>
  <si>
    <t>3488</t>
  </si>
  <si>
    <t>20135D</t>
  </si>
  <si>
    <t>90240</t>
  </si>
  <si>
    <t>11824</t>
  </si>
  <si>
    <t>2006166</t>
  </si>
  <si>
    <t>31278</t>
  </si>
  <si>
    <t>1153</t>
  </si>
  <si>
    <t>2016098</t>
  </si>
  <si>
    <t>54082</t>
  </si>
  <si>
    <t>16110</t>
  </si>
  <si>
    <t>1860</t>
  </si>
  <si>
    <t>11837</t>
  </si>
  <si>
    <t>12436</t>
  </si>
  <si>
    <t>230679D</t>
  </si>
  <si>
    <t>13471</t>
  </si>
  <si>
    <t>4589</t>
  </si>
  <si>
    <t>210297D</t>
  </si>
  <si>
    <t>1284</t>
  </si>
  <si>
    <t>230656D</t>
  </si>
  <si>
    <t>10330</t>
  </si>
  <si>
    <t>20068D</t>
  </si>
  <si>
    <t>210357D</t>
  </si>
  <si>
    <t>240752D</t>
  </si>
  <si>
    <t>3527</t>
  </si>
  <si>
    <t>11852</t>
  </si>
  <si>
    <t>4962</t>
  </si>
  <si>
    <t>4039DG2442-24</t>
  </si>
  <si>
    <t>615</t>
  </si>
  <si>
    <t>61</t>
  </si>
  <si>
    <t>4554</t>
  </si>
  <si>
    <t>210294D</t>
  </si>
  <si>
    <t>90110</t>
  </si>
  <si>
    <t>8637</t>
  </si>
  <si>
    <t>nc468</t>
  </si>
  <si>
    <t>3001</t>
  </si>
  <si>
    <t>10860</t>
  </si>
  <si>
    <t>2018071</t>
  </si>
  <si>
    <t>6983</t>
  </si>
  <si>
    <t>17065</t>
  </si>
  <si>
    <t>1695</t>
  </si>
  <si>
    <t>9578</t>
  </si>
  <si>
    <t>230676D</t>
  </si>
  <si>
    <t>4036DG049-00</t>
  </si>
  <si>
    <t>916</t>
  </si>
  <si>
    <t>3181</t>
  </si>
  <si>
    <t>2024088</t>
  </si>
  <si>
    <t>240774D</t>
  </si>
  <si>
    <t>5025</t>
  </si>
  <si>
    <t>2255</t>
  </si>
  <si>
    <t>91662</t>
  </si>
  <si>
    <t>205939</t>
  </si>
  <si>
    <t>2440</t>
  </si>
  <si>
    <t>116</t>
  </si>
  <si>
    <t>1678</t>
  </si>
  <si>
    <t>210374D</t>
  </si>
  <si>
    <t>14185</t>
  </si>
  <si>
    <t>1914</t>
  </si>
  <si>
    <t>4039DG2400-24</t>
  </si>
  <si>
    <t>2015034</t>
  </si>
  <si>
    <t>1029</t>
  </si>
  <si>
    <t>2016101</t>
  </si>
  <si>
    <t>19-1473</t>
  </si>
  <si>
    <t>2023027</t>
  </si>
  <si>
    <t>2019061</t>
  </si>
  <si>
    <t>11910</t>
  </si>
  <si>
    <t>1830</t>
  </si>
  <si>
    <t>0200409</t>
  </si>
  <si>
    <t>2024034</t>
  </si>
  <si>
    <t>24-2087</t>
  </si>
  <si>
    <t>6565</t>
  </si>
  <si>
    <t>2020055</t>
  </si>
  <si>
    <t>15571</t>
  </si>
  <si>
    <t>16269</t>
  </si>
  <si>
    <t>15251</t>
  </si>
  <si>
    <t>6321</t>
  </si>
  <si>
    <t>4033DG2018-19</t>
  </si>
  <si>
    <t>11873</t>
  </si>
  <si>
    <t>12-519</t>
  </si>
  <si>
    <t>2024020</t>
  </si>
  <si>
    <t>3841</t>
  </si>
  <si>
    <t>2023024</t>
  </si>
  <si>
    <t>4016DG1317-13</t>
  </si>
  <si>
    <t>2023060</t>
  </si>
  <si>
    <t>13599</t>
  </si>
  <si>
    <t>03-1139</t>
  </si>
  <si>
    <t>2024018</t>
  </si>
  <si>
    <t>12-491</t>
  </si>
  <si>
    <t>11919</t>
  </si>
  <si>
    <t>240754D</t>
  </si>
  <si>
    <t>2019047</t>
  </si>
  <si>
    <t>2900</t>
  </si>
  <si>
    <t>12887</t>
  </si>
  <si>
    <t>CAL302JVB</t>
  </si>
  <si>
    <t>10471</t>
  </si>
  <si>
    <t>9317</t>
  </si>
  <si>
    <t>11353</t>
  </si>
  <si>
    <t>ht116</t>
  </si>
  <si>
    <t>19-1463</t>
  </si>
  <si>
    <t>230668D</t>
  </si>
  <si>
    <t>2020093</t>
  </si>
  <si>
    <t>13-648</t>
  </si>
  <si>
    <t>19-1464</t>
  </si>
  <si>
    <t>13450</t>
  </si>
  <si>
    <t>2023062</t>
  </si>
  <si>
    <t>ht206</t>
  </si>
  <si>
    <t>1019</t>
  </si>
  <si>
    <t>57067</t>
  </si>
  <si>
    <t>4036DG1413-14</t>
  </si>
  <si>
    <t>1861</t>
  </si>
  <si>
    <t>4049DG2429-24</t>
  </si>
  <si>
    <t>0200626</t>
  </si>
  <si>
    <t>2024098</t>
  </si>
  <si>
    <t>16901</t>
  </si>
  <si>
    <t>16528</t>
  </si>
  <si>
    <t>10678</t>
  </si>
  <si>
    <t>523</t>
  </si>
  <si>
    <t>3386</t>
  </si>
  <si>
    <t>3719</t>
  </si>
  <si>
    <t>2018034</t>
  </si>
  <si>
    <t>2024056</t>
  </si>
  <si>
    <t>3662</t>
  </si>
  <si>
    <t>643</t>
  </si>
  <si>
    <t>13959</t>
  </si>
  <si>
    <t>2024033</t>
  </si>
  <si>
    <t>2006133</t>
  </si>
  <si>
    <t>20164D</t>
  </si>
  <si>
    <t>8826</t>
  </si>
  <si>
    <t>20158D</t>
  </si>
  <si>
    <t>4719</t>
  </si>
  <si>
    <t>2024085</t>
  </si>
  <si>
    <t>2697</t>
  </si>
  <si>
    <t>20272D</t>
  </si>
  <si>
    <t>3672100017</t>
  </si>
  <si>
    <t>nc463</t>
  </si>
  <si>
    <t>2024086</t>
  </si>
  <si>
    <t>270467</t>
  </si>
  <si>
    <t>3222</t>
  </si>
  <si>
    <t>210314D</t>
  </si>
  <si>
    <t>4039DG978-10</t>
  </si>
  <si>
    <t>13244</t>
  </si>
  <si>
    <t>nc447</t>
  </si>
  <si>
    <t>1106</t>
  </si>
  <si>
    <t>2047</t>
  </si>
  <si>
    <t>2024027</t>
  </si>
  <si>
    <t>4039DG436-05</t>
  </si>
  <si>
    <t>3606</t>
  </si>
  <si>
    <t>20178D</t>
  </si>
  <si>
    <t>2361</t>
  </si>
  <si>
    <t>1406</t>
  </si>
  <si>
    <t>15367</t>
  </si>
  <si>
    <t>4856</t>
  </si>
  <si>
    <t>1532</t>
  </si>
  <si>
    <t>13770</t>
  </si>
  <si>
    <t>240777D</t>
  </si>
  <si>
    <t>11946</t>
  </si>
  <si>
    <t>210285D</t>
  </si>
  <si>
    <t>10822</t>
  </si>
  <si>
    <t>3687</t>
  </si>
  <si>
    <t>1510</t>
  </si>
  <si>
    <t>11686</t>
  </si>
  <si>
    <t>616</t>
  </si>
  <si>
    <t>3713</t>
  </si>
  <si>
    <t>2024063</t>
  </si>
  <si>
    <t>15588</t>
  </si>
  <si>
    <t>31241</t>
  </si>
  <si>
    <t>236</t>
  </si>
  <si>
    <t>336</t>
  </si>
  <si>
    <t>10874</t>
  </si>
  <si>
    <t>PFP915KC</t>
  </si>
  <si>
    <t>P560KF</t>
  </si>
  <si>
    <t>58166</t>
  </si>
  <si>
    <t>234662</t>
  </si>
  <si>
    <t>335903</t>
  </si>
  <si>
    <t>2014068</t>
  </si>
  <si>
    <t>240853D</t>
  </si>
  <si>
    <t>7700001045</t>
  </si>
  <si>
    <t>31649</t>
  </si>
  <si>
    <t>043</t>
  </si>
  <si>
    <t>al219</t>
  </si>
  <si>
    <t>10403</t>
  </si>
  <si>
    <t>2491</t>
  </si>
  <si>
    <t>921</t>
  </si>
  <si>
    <t>2013052</t>
  </si>
  <si>
    <t>420</t>
  </si>
  <si>
    <t>220605D</t>
  </si>
  <si>
    <t>24-2170</t>
  </si>
  <si>
    <t>10508</t>
  </si>
  <si>
    <t>4039DG311-03</t>
  </si>
  <si>
    <t>13894</t>
  </si>
  <si>
    <t>746</t>
  </si>
  <si>
    <t>3614</t>
  </si>
  <si>
    <t>2019092</t>
  </si>
  <si>
    <t>56417</t>
  </si>
  <si>
    <t>1601</t>
  </si>
  <si>
    <t>229</t>
  </si>
  <si>
    <t>1157</t>
  </si>
  <si>
    <t>10371</t>
  </si>
  <si>
    <t>12023</t>
  </si>
  <si>
    <t>0200634</t>
  </si>
  <si>
    <t>8825</t>
  </si>
  <si>
    <t>8028</t>
  </si>
  <si>
    <t>18-1301</t>
  </si>
  <si>
    <t>9298</t>
  </si>
  <si>
    <t>10914</t>
  </si>
  <si>
    <t>13630</t>
  </si>
  <si>
    <t>2012046</t>
  </si>
  <si>
    <t>11992</t>
  </si>
  <si>
    <t>10622</t>
  </si>
  <si>
    <t>10919</t>
  </si>
  <si>
    <t>3583</t>
  </si>
  <si>
    <t>14103</t>
  </si>
  <si>
    <t>0970024</t>
  </si>
  <si>
    <t>7700001207</t>
  </si>
  <si>
    <t>13812</t>
  </si>
  <si>
    <t>12492</t>
  </si>
  <si>
    <t>4036DG1205-12</t>
  </si>
  <si>
    <t>1866</t>
  </si>
  <si>
    <t>CMX-NOP-1132</t>
  </si>
  <si>
    <t>11031</t>
  </si>
  <si>
    <t>nc910</t>
  </si>
  <si>
    <t>651</t>
  </si>
  <si>
    <t>7730</t>
  </si>
  <si>
    <t>OT-042005</t>
  </si>
  <si>
    <t>0200008</t>
  </si>
  <si>
    <t>pr3302</t>
  </si>
  <si>
    <t>4420</t>
  </si>
  <si>
    <t>19030L</t>
  </si>
  <si>
    <t>2018060</t>
  </si>
  <si>
    <t>11079</t>
  </si>
  <si>
    <t>941</t>
  </si>
  <si>
    <t>9549</t>
  </si>
  <si>
    <t>1143</t>
  </si>
  <si>
    <t>10961</t>
  </si>
  <si>
    <t>10580</t>
  </si>
  <si>
    <t>1025</t>
  </si>
  <si>
    <t>220497D</t>
  </si>
  <si>
    <t>178</t>
  </si>
  <si>
    <t>2867</t>
  </si>
  <si>
    <t>20165D</t>
  </si>
  <si>
    <t>527</t>
  </si>
  <si>
    <t>1404</t>
  </si>
  <si>
    <t>4016DG1848-17</t>
  </si>
  <si>
    <t>1728</t>
  </si>
  <si>
    <t>220577D</t>
  </si>
  <si>
    <t>210291D</t>
  </si>
  <si>
    <t>24-2045</t>
  </si>
  <si>
    <t>13-617</t>
  </si>
  <si>
    <t>10280</t>
  </si>
  <si>
    <t>11037</t>
  </si>
  <si>
    <t>2016115</t>
  </si>
  <si>
    <t>1130</t>
  </si>
  <si>
    <t>4490</t>
  </si>
  <si>
    <t>2342</t>
  </si>
  <si>
    <t>8296</t>
  </si>
  <si>
    <t>1800</t>
  </si>
  <si>
    <t>1359</t>
  </si>
  <si>
    <t>433</t>
  </si>
  <si>
    <t>230642D</t>
  </si>
  <si>
    <t>2884</t>
  </si>
  <si>
    <t>2024107</t>
  </si>
  <si>
    <t>2014051</t>
  </si>
  <si>
    <t>20076D</t>
  </si>
  <si>
    <t>15488</t>
  </si>
  <si>
    <t>4033DG571-06, 4033P571-06</t>
  </si>
  <si>
    <t>240744D</t>
  </si>
  <si>
    <t>1929</t>
  </si>
  <si>
    <t>12016</t>
  </si>
  <si>
    <t>ht123</t>
  </si>
  <si>
    <t>2019091</t>
  </si>
  <si>
    <t>55987</t>
  </si>
  <si>
    <t>20-1656</t>
  </si>
  <si>
    <t>2019020</t>
  </si>
  <si>
    <t>210287D</t>
  </si>
  <si>
    <t>220485D</t>
  </si>
  <si>
    <t>2017</t>
  </si>
  <si>
    <t>220455D</t>
  </si>
  <si>
    <t>240779D</t>
  </si>
  <si>
    <t>189</t>
  </si>
  <si>
    <t>4033DG1130-12</t>
  </si>
  <si>
    <t>2178</t>
  </si>
  <si>
    <t>2021095</t>
  </si>
  <si>
    <t>1897</t>
  </si>
  <si>
    <t>1442</t>
  </si>
  <si>
    <t>3308</t>
  </si>
  <si>
    <t>10604</t>
  </si>
  <si>
    <t>11-416</t>
  </si>
  <si>
    <t>2021069</t>
  </si>
  <si>
    <t>56521</t>
  </si>
  <si>
    <t>2015028</t>
  </si>
  <si>
    <t>3419</t>
  </si>
  <si>
    <t>4039DG1620-16</t>
  </si>
  <si>
    <t>21-1785</t>
  </si>
  <si>
    <t>19-1539</t>
  </si>
  <si>
    <t>21-1746</t>
  </si>
  <si>
    <t>2024075</t>
  </si>
  <si>
    <t>13855</t>
  </si>
  <si>
    <t>12024</t>
  </si>
  <si>
    <t>8172</t>
  </si>
  <si>
    <t>13949</t>
  </si>
  <si>
    <t>220471D</t>
  </si>
  <si>
    <t>13400</t>
  </si>
  <si>
    <t>2280</t>
  </si>
  <si>
    <t>20062D</t>
  </si>
  <si>
    <t>2024062</t>
  </si>
  <si>
    <t>99061</t>
  </si>
  <si>
    <t>11690</t>
  </si>
  <si>
    <t>4049DG1062-11</t>
  </si>
  <si>
    <t>2006139</t>
  </si>
  <si>
    <t>2024026</t>
  </si>
  <si>
    <t>pr224</t>
  </si>
  <si>
    <t>04039</t>
  </si>
  <si>
    <t>4016DG1274-13</t>
  </si>
  <si>
    <t>344</t>
  </si>
  <si>
    <t>4234</t>
  </si>
  <si>
    <t>9889</t>
  </si>
  <si>
    <t>210367D</t>
  </si>
  <si>
    <t>42574</t>
  </si>
  <si>
    <t>30659</t>
  </si>
  <si>
    <t>31648</t>
  </si>
  <si>
    <t>78090</t>
  </si>
  <si>
    <t>548440</t>
  </si>
  <si>
    <t>4039DG435-05</t>
  </si>
  <si>
    <t>1817</t>
  </si>
  <si>
    <t>2015138</t>
  </si>
  <si>
    <t>4-631C</t>
  </si>
  <si>
    <t>2006191</t>
  </si>
  <si>
    <t>2966</t>
  </si>
  <si>
    <t>16271</t>
  </si>
  <si>
    <t>88</t>
  </si>
  <si>
    <t>4021H2141-20</t>
  </si>
  <si>
    <t>9056</t>
  </si>
  <si>
    <t>14555</t>
  </si>
  <si>
    <t>ft042</t>
  </si>
  <si>
    <t>125</t>
  </si>
  <si>
    <t>2153</t>
  </si>
  <si>
    <t>2021070</t>
  </si>
  <si>
    <t>2909</t>
  </si>
  <si>
    <t>13183</t>
  </si>
  <si>
    <t>2023021</t>
  </si>
  <si>
    <t>ht137</t>
  </si>
  <si>
    <t>12040</t>
  </si>
  <si>
    <t>11-449</t>
  </si>
  <si>
    <t>12042</t>
  </si>
  <si>
    <t>11-424</t>
  </si>
  <si>
    <t>CU 833888</t>
  </si>
  <si>
    <t>4785</t>
  </si>
  <si>
    <t>210341D</t>
  </si>
  <si>
    <t>3779</t>
  </si>
  <si>
    <t>2015006</t>
  </si>
  <si>
    <t>4016DG972-10</t>
  </si>
  <si>
    <t>3043</t>
  </si>
  <si>
    <t>7872</t>
  </si>
  <si>
    <t>6883</t>
  </si>
  <si>
    <t>2006187</t>
  </si>
  <si>
    <t>4833</t>
  </si>
  <si>
    <t>811931</t>
  </si>
  <si>
    <t>4705</t>
  </si>
  <si>
    <t>9388</t>
  </si>
  <si>
    <t>4016DG373-04</t>
  </si>
  <si>
    <t>2007052</t>
  </si>
  <si>
    <t>16496</t>
  </si>
  <si>
    <t>2304</t>
  </si>
  <si>
    <t>4239</t>
  </si>
  <si>
    <t>3195</t>
  </si>
  <si>
    <t>OT-006195</t>
  </si>
  <si>
    <t>4036DG1284-13</t>
  </si>
  <si>
    <t>11135</t>
  </si>
  <si>
    <t>240797L</t>
  </si>
  <si>
    <t>253</t>
  </si>
  <si>
    <t>4039DG1580-15</t>
  </si>
  <si>
    <t>9781</t>
  </si>
  <si>
    <t>3794</t>
  </si>
  <si>
    <t>4084</t>
  </si>
  <si>
    <t>220506D</t>
  </si>
  <si>
    <t>210376D</t>
  </si>
  <si>
    <t>2308</t>
  </si>
  <si>
    <t>15505</t>
  </si>
  <si>
    <t>2023043</t>
  </si>
  <si>
    <t>1513</t>
  </si>
  <si>
    <t>240778D</t>
  </si>
  <si>
    <t>12-549</t>
  </si>
  <si>
    <t>1343</t>
  </si>
  <si>
    <t>9393</t>
  </si>
  <si>
    <t>974</t>
  </si>
  <si>
    <t>240857D</t>
  </si>
  <si>
    <t>42</t>
  </si>
  <si>
    <t>12-546</t>
  </si>
  <si>
    <t>2986</t>
  </si>
  <si>
    <t>12057</t>
  </si>
  <si>
    <t>2011059</t>
  </si>
  <si>
    <t>20079D</t>
  </si>
  <si>
    <t>3101</t>
  </si>
  <si>
    <t>12041</t>
  </si>
  <si>
    <t>2433</t>
  </si>
  <si>
    <t>10786</t>
  </si>
  <si>
    <t>20163D</t>
  </si>
  <si>
    <t>1431</t>
  </si>
  <si>
    <t>220476D</t>
  </si>
  <si>
    <t>1536</t>
  </si>
  <si>
    <t>2008078</t>
  </si>
  <si>
    <t>2015109</t>
  </si>
  <si>
    <t>1192</t>
  </si>
  <si>
    <t>20066D</t>
  </si>
  <si>
    <t>2022036</t>
  </si>
  <si>
    <t>13007</t>
  </si>
  <si>
    <t>2164</t>
  </si>
  <si>
    <t>210337D</t>
  </si>
  <si>
    <t>OT-018639</t>
  </si>
  <si>
    <t>210343D</t>
  </si>
  <si>
    <t>16601</t>
  </si>
  <si>
    <t>230673D</t>
  </si>
  <si>
    <t>16-973</t>
  </si>
  <si>
    <t>10251</t>
  </si>
  <si>
    <t>2010064</t>
  </si>
  <si>
    <t>2022096</t>
  </si>
  <si>
    <t>14158</t>
  </si>
  <si>
    <t>2020043</t>
  </si>
  <si>
    <t>3615</t>
  </si>
  <si>
    <t>2016149</t>
  </si>
  <si>
    <t>8812</t>
  </si>
  <si>
    <t>2017130</t>
  </si>
  <si>
    <t>24-2032</t>
  </si>
  <si>
    <t>7860</t>
  </si>
  <si>
    <t>2013019</t>
  </si>
  <si>
    <t>220479D</t>
  </si>
  <si>
    <t>2022088</t>
  </si>
  <si>
    <t>10082</t>
  </si>
  <si>
    <t>10240</t>
  </si>
  <si>
    <t>2218</t>
  </si>
  <si>
    <t>12087</t>
  </si>
  <si>
    <t>2270</t>
  </si>
  <si>
    <t>240787D</t>
  </si>
  <si>
    <t>107</t>
  </si>
  <si>
    <t>3259</t>
  </si>
  <si>
    <t>240780D</t>
  </si>
  <si>
    <t>nc509</t>
  </si>
  <si>
    <t>5333</t>
  </si>
  <si>
    <t>2024040</t>
  </si>
  <si>
    <t>19033</t>
  </si>
  <si>
    <t>5828</t>
  </si>
  <si>
    <t>07119</t>
  </si>
  <si>
    <t>9789</t>
  </si>
  <si>
    <t>237563</t>
  </si>
  <si>
    <t>7700001059</t>
  </si>
  <si>
    <t>4039DG841-09</t>
  </si>
  <si>
    <t>1318</t>
  </si>
  <si>
    <t>3547</t>
  </si>
  <si>
    <t>2009002</t>
  </si>
  <si>
    <t>3625</t>
  </si>
  <si>
    <t>2014025</t>
  </si>
  <si>
    <t>3823</t>
  </si>
  <si>
    <t>13662</t>
  </si>
  <si>
    <t>13322</t>
  </si>
  <si>
    <t>nc287</t>
  </si>
  <si>
    <t>10086</t>
  </si>
  <si>
    <t>220436D</t>
  </si>
  <si>
    <t>2020023</t>
  </si>
  <si>
    <t>1926</t>
  </si>
  <si>
    <t>1631</t>
  </si>
  <si>
    <t>4039DG2014-19</t>
  </si>
  <si>
    <t>12093</t>
  </si>
  <si>
    <t>126</t>
  </si>
  <si>
    <t>2016078</t>
  </si>
  <si>
    <t>13358</t>
  </si>
  <si>
    <t>20091D</t>
  </si>
  <si>
    <t>220583D</t>
  </si>
  <si>
    <t>2015126</t>
  </si>
  <si>
    <t>10415</t>
  </si>
  <si>
    <t>4023DG1035-11</t>
  </si>
  <si>
    <t>9648</t>
  </si>
  <si>
    <t>619</t>
  </si>
  <si>
    <t>0200056</t>
  </si>
  <si>
    <t>10002</t>
  </si>
  <si>
    <t>1469</t>
  </si>
  <si>
    <t>240770D</t>
  </si>
  <si>
    <t>240758D</t>
  </si>
  <si>
    <t>23-1964</t>
  </si>
  <si>
    <t>4510</t>
  </si>
  <si>
    <t>240819D</t>
  </si>
  <si>
    <t>18-1424</t>
  </si>
  <si>
    <t>230624L</t>
  </si>
  <si>
    <t>20075D</t>
  </si>
  <si>
    <t>7009</t>
  </si>
  <si>
    <t>230658D</t>
  </si>
  <si>
    <t>OT-026925</t>
  </si>
  <si>
    <t>2016022</t>
  </si>
  <si>
    <t>293</t>
  </si>
  <si>
    <t>936</t>
  </si>
  <si>
    <t>3801</t>
  </si>
  <si>
    <t>14591</t>
  </si>
  <si>
    <t>11319</t>
  </si>
  <si>
    <t>6620</t>
  </si>
  <si>
    <t>4844</t>
  </si>
  <si>
    <t>2019035</t>
  </si>
  <si>
    <t>4958</t>
  </si>
  <si>
    <t>8035</t>
  </si>
  <si>
    <t>825</t>
  </si>
  <si>
    <t>3265</t>
  </si>
  <si>
    <t>2009016</t>
  </si>
  <si>
    <t>649</t>
  </si>
  <si>
    <t>625</t>
  </si>
  <si>
    <t>4023DG1332-13</t>
  </si>
  <si>
    <t>2015026</t>
  </si>
  <si>
    <t>2016157</t>
  </si>
  <si>
    <t>09050</t>
  </si>
  <si>
    <t>9127</t>
  </si>
  <si>
    <t>2014065</t>
  </si>
  <si>
    <t>0970055</t>
  </si>
  <si>
    <t>2202418900</t>
  </si>
  <si>
    <t>240811D</t>
  </si>
  <si>
    <t>5332</t>
  </si>
  <si>
    <t>U14O</t>
  </si>
  <si>
    <t>4245</t>
  </si>
  <si>
    <t>12001</t>
  </si>
  <si>
    <t>4023DG1757-16</t>
  </si>
  <si>
    <t>al930</t>
  </si>
  <si>
    <t>1760</t>
  </si>
  <si>
    <t>4036DG899-09</t>
  </si>
  <si>
    <t>OT-006781</t>
  </si>
  <si>
    <t>1674</t>
  </si>
  <si>
    <t>1864</t>
  </si>
  <si>
    <t>18001</t>
  </si>
  <si>
    <t>2332</t>
  </si>
  <si>
    <t>3812</t>
  </si>
  <si>
    <t>2006155</t>
  </si>
  <si>
    <t>11292</t>
  </si>
  <si>
    <t>4049DG439-05</t>
  </si>
  <si>
    <t>15007</t>
  </si>
  <si>
    <t>105</t>
  </si>
  <si>
    <t>2502</t>
  </si>
  <si>
    <t>14396</t>
  </si>
  <si>
    <t>nc290</t>
  </si>
  <si>
    <t>99118</t>
  </si>
  <si>
    <t>2022066</t>
  </si>
  <si>
    <t>2022094</t>
  </si>
  <si>
    <t>12123</t>
  </si>
  <si>
    <t>11561</t>
  </si>
  <si>
    <t>3982</t>
  </si>
  <si>
    <t>2023093</t>
  </si>
  <si>
    <t>4039DG2200-21</t>
  </si>
  <si>
    <t>08-1394</t>
  </si>
  <si>
    <t>3633</t>
  </si>
  <si>
    <t>5762</t>
  </si>
  <si>
    <t>4039DG1046-11</t>
  </si>
  <si>
    <t>3390</t>
  </si>
  <si>
    <t>12300</t>
  </si>
  <si>
    <t>2813</t>
  </si>
  <si>
    <t>2012029</t>
  </si>
  <si>
    <t>2562</t>
  </si>
  <si>
    <t>4339</t>
  </si>
  <si>
    <t>20199D</t>
  </si>
  <si>
    <t>240796D</t>
  </si>
  <si>
    <t>CU 853435</t>
  </si>
  <si>
    <t>3082</t>
  </si>
  <si>
    <t>8782</t>
  </si>
  <si>
    <t>1356</t>
  </si>
  <si>
    <t>3882</t>
  </si>
  <si>
    <t>13696</t>
  </si>
  <si>
    <t>12128</t>
  </si>
  <si>
    <t>20185D</t>
  </si>
  <si>
    <t>16297</t>
  </si>
  <si>
    <t>11242</t>
  </si>
  <si>
    <t>9184</t>
  </si>
  <si>
    <t>12127</t>
  </si>
  <si>
    <t>2023050</t>
  </si>
  <si>
    <t>133423</t>
  </si>
  <si>
    <t>0851539</t>
  </si>
  <si>
    <t>11271</t>
  </si>
  <si>
    <t>al852</t>
  </si>
  <si>
    <t>0440723</t>
  </si>
  <si>
    <t>0440222</t>
  </si>
  <si>
    <t>3276</t>
  </si>
  <si>
    <t>16-1008</t>
  </si>
  <si>
    <t>670392</t>
  </si>
  <si>
    <t>pr2219</t>
  </si>
  <si>
    <t>4016DG410-04</t>
  </si>
  <si>
    <t>9053</t>
  </si>
  <si>
    <t>109</t>
  </si>
  <si>
    <t>A04B</t>
  </si>
  <si>
    <t>220470D</t>
  </si>
  <si>
    <t>230663D</t>
  </si>
  <si>
    <t>12138</t>
  </si>
  <si>
    <t>9620</t>
  </si>
  <si>
    <t>181024</t>
  </si>
  <si>
    <t>07011</t>
  </si>
  <si>
    <t>11290</t>
  </si>
  <si>
    <t>0200249</t>
  </si>
  <si>
    <t>90169</t>
  </si>
  <si>
    <t>3631</t>
  </si>
  <si>
    <t>7869</t>
  </si>
  <si>
    <t>62</t>
  </si>
  <si>
    <t>4929</t>
  </si>
  <si>
    <t>4016DG1131-12</t>
  </si>
  <si>
    <t>20202D</t>
  </si>
  <si>
    <t>4033DG2355-23</t>
  </si>
  <si>
    <t>4280</t>
  </si>
  <si>
    <t>12142</t>
  </si>
  <si>
    <t>2015115</t>
  </si>
  <si>
    <t>2018065</t>
  </si>
  <si>
    <t>220452D</t>
  </si>
  <si>
    <t>54830</t>
  </si>
  <si>
    <t>220544DP</t>
  </si>
  <si>
    <t>2395</t>
  </si>
  <si>
    <t>1014</t>
  </si>
  <si>
    <t>1277</t>
  </si>
  <si>
    <t>15347</t>
  </si>
  <si>
    <t>4143</t>
  </si>
  <si>
    <t>2019093</t>
  </si>
  <si>
    <t>pr3244</t>
  </si>
  <si>
    <t>2013054</t>
  </si>
  <si>
    <t>2017036</t>
  </si>
  <si>
    <t>pr3019</t>
  </si>
  <si>
    <t>nc465</t>
  </si>
  <si>
    <t>1058</t>
  </si>
  <si>
    <t>8502</t>
  </si>
  <si>
    <t>3829</t>
  </si>
  <si>
    <t>4136</t>
  </si>
  <si>
    <t>4039DG1537-15</t>
  </si>
  <si>
    <t>3318</t>
  </si>
  <si>
    <t>20064D</t>
  </si>
  <si>
    <t>240794D</t>
  </si>
  <si>
    <t>1553</t>
  </si>
  <si>
    <t>0200557</t>
  </si>
  <si>
    <t>pr3016</t>
  </si>
  <si>
    <t>CE145</t>
  </si>
  <si>
    <t>5110</t>
  </si>
  <si>
    <t>770-02-19-09</t>
  </si>
  <si>
    <t>9366</t>
  </si>
  <si>
    <t>20098D</t>
  </si>
  <si>
    <t>220561D</t>
  </si>
  <si>
    <t>240820D</t>
  </si>
  <si>
    <t>8490</t>
  </si>
  <si>
    <t>4599</t>
  </si>
  <si>
    <t>2016009</t>
  </si>
  <si>
    <t>90296</t>
  </si>
  <si>
    <t>0030030</t>
  </si>
  <si>
    <t>2252</t>
  </si>
  <si>
    <t>2992</t>
  </si>
  <si>
    <t>06047</t>
  </si>
  <si>
    <t>13605</t>
  </si>
  <si>
    <t>14113</t>
  </si>
  <si>
    <t>OT-007671</t>
  </si>
  <si>
    <t>54680</t>
  </si>
  <si>
    <t>2016118</t>
  </si>
  <si>
    <t>8515</t>
  </si>
  <si>
    <t>29-8</t>
  </si>
  <si>
    <t>41-1156</t>
  </si>
  <si>
    <t>9197</t>
  </si>
  <si>
    <t>2763</t>
  </si>
  <si>
    <t>2075</t>
  </si>
  <si>
    <t>1958.1061</t>
  </si>
  <si>
    <t>2385</t>
  </si>
  <si>
    <t>4033DG577-06</t>
  </si>
  <si>
    <t>1228</t>
  </si>
  <si>
    <t>14138</t>
  </si>
  <si>
    <t>996</t>
  </si>
  <si>
    <t>220614D</t>
  </si>
  <si>
    <t>12-548</t>
  </si>
  <si>
    <t>4378</t>
  </si>
  <si>
    <t>2012049</t>
  </si>
  <si>
    <t>10350</t>
  </si>
  <si>
    <t>4807</t>
  </si>
  <si>
    <t>14331</t>
  </si>
  <si>
    <t>210300D</t>
  </si>
  <si>
    <t>20184D</t>
  </si>
  <si>
    <t>150</t>
  </si>
  <si>
    <t>2022026</t>
  </si>
  <si>
    <t>8966</t>
  </si>
  <si>
    <t>16352</t>
  </si>
  <si>
    <t>2012054</t>
  </si>
  <si>
    <t>770-10-09-22</t>
  </si>
  <si>
    <t>al716</t>
  </si>
  <si>
    <t>20134D</t>
  </si>
  <si>
    <t>3271</t>
  </si>
  <si>
    <t>3701</t>
  </si>
  <si>
    <t>nc464</t>
  </si>
  <si>
    <t>2021097</t>
  </si>
  <si>
    <t>nc502</t>
  </si>
  <si>
    <t>4428</t>
  </si>
  <si>
    <t>ht091</t>
  </si>
  <si>
    <t>166612</t>
  </si>
  <si>
    <t>398</t>
  </si>
  <si>
    <t>220447D</t>
  </si>
  <si>
    <t>55722</t>
  </si>
  <si>
    <t>0200688</t>
  </si>
  <si>
    <t>1475</t>
  </si>
  <si>
    <t>100282</t>
  </si>
  <si>
    <t>3401</t>
  </si>
  <si>
    <t>9073</t>
  </si>
  <si>
    <t>9409</t>
  </si>
  <si>
    <t>2324</t>
  </si>
  <si>
    <t>2014049</t>
  </si>
  <si>
    <t>1156</t>
  </si>
  <si>
    <t>4033DG1469-15</t>
  </si>
  <si>
    <t>4796</t>
  </si>
  <si>
    <t>nc475</t>
  </si>
  <si>
    <t>pr1841</t>
  </si>
  <si>
    <t>pr2096</t>
  </si>
  <si>
    <t>232</t>
  </si>
  <si>
    <t>4802</t>
  </si>
  <si>
    <t>RN025</t>
  </si>
  <si>
    <t>4047DG2459-24</t>
  </si>
  <si>
    <t>3689</t>
  </si>
  <si>
    <t>13629</t>
  </si>
  <si>
    <t>OT-030076</t>
  </si>
  <si>
    <t>12540</t>
  </si>
  <si>
    <t>4023DG1346-13</t>
  </si>
  <si>
    <t>10596</t>
  </si>
  <si>
    <t>9418</t>
  </si>
  <si>
    <t>1341</t>
  </si>
  <si>
    <t>1786</t>
  </si>
  <si>
    <t>7187</t>
  </si>
  <si>
    <t>15147</t>
  </si>
  <si>
    <t>CU 863998</t>
  </si>
  <si>
    <t>pr1886</t>
  </si>
  <si>
    <t>06012</t>
  </si>
  <si>
    <t>04027</t>
  </si>
  <si>
    <t>07070</t>
  </si>
  <si>
    <t>19024</t>
  </si>
  <si>
    <t>07046</t>
  </si>
  <si>
    <t>05055</t>
  </si>
  <si>
    <t>2024042</t>
  </si>
  <si>
    <t>11041</t>
  </si>
  <si>
    <t>04010</t>
  </si>
  <si>
    <t>13026</t>
  </si>
  <si>
    <t>99001</t>
  </si>
  <si>
    <t>06037</t>
  </si>
  <si>
    <t>05006</t>
  </si>
  <si>
    <t>99074</t>
  </si>
  <si>
    <t>07054</t>
  </si>
  <si>
    <t>99148</t>
  </si>
  <si>
    <t>07087</t>
  </si>
  <si>
    <t>18002</t>
  </si>
  <si>
    <t>07013</t>
  </si>
  <si>
    <t>07018</t>
  </si>
  <si>
    <t>08093</t>
  </si>
  <si>
    <t>16070</t>
  </si>
  <si>
    <t>16078</t>
  </si>
  <si>
    <t>03040</t>
  </si>
  <si>
    <t>03042</t>
  </si>
  <si>
    <t>07062</t>
  </si>
  <si>
    <t>16076</t>
  </si>
  <si>
    <t>99120</t>
  </si>
  <si>
    <t>03057</t>
  </si>
  <si>
    <t>07043</t>
  </si>
  <si>
    <t>11036</t>
  </si>
  <si>
    <t>14027</t>
  </si>
  <si>
    <t>99189</t>
  </si>
  <si>
    <t>04061</t>
  </si>
  <si>
    <t>07005</t>
  </si>
  <si>
    <t>05001</t>
  </si>
  <si>
    <t>07033</t>
  </si>
  <si>
    <t>12027</t>
  </si>
  <si>
    <t>15047</t>
  </si>
  <si>
    <t>06048</t>
  </si>
  <si>
    <t>07029</t>
  </si>
  <si>
    <t>02001</t>
  </si>
  <si>
    <t>08053</t>
  </si>
  <si>
    <t>08004</t>
  </si>
  <si>
    <t>07031</t>
  </si>
  <si>
    <t>13049</t>
  </si>
  <si>
    <t>08076</t>
  </si>
  <si>
    <t>2022009</t>
  </si>
  <si>
    <t>19021</t>
  </si>
  <si>
    <t>99066</t>
  </si>
  <si>
    <t>14001</t>
  </si>
  <si>
    <t>16116</t>
  </si>
  <si>
    <t>11008</t>
  </si>
  <si>
    <t>07028</t>
  </si>
  <si>
    <t>07041</t>
  </si>
  <si>
    <t>16090</t>
  </si>
  <si>
    <t>99150</t>
  </si>
  <si>
    <t>2020059</t>
  </si>
  <si>
    <t>12005</t>
  </si>
  <si>
    <t>15026</t>
  </si>
  <si>
    <t>05050</t>
  </si>
  <si>
    <t>07052</t>
  </si>
  <si>
    <t>02039</t>
  </si>
  <si>
    <t>06059</t>
  </si>
  <si>
    <t>2021022</t>
  </si>
  <si>
    <t>12044</t>
  </si>
  <si>
    <t>06023</t>
  </si>
  <si>
    <t>99197</t>
  </si>
  <si>
    <t>17043</t>
  </si>
  <si>
    <t>03002</t>
  </si>
  <si>
    <t>17045</t>
  </si>
  <si>
    <t>16020</t>
  </si>
  <si>
    <t>99088</t>
  </si>
  <si>
    <t>02017</t>
  </si>
  <si>
    <t>07008</t>
  </si>
  <si>
    <t>07059</t>
  </si>
  <si>
    <t>16087</t>
  </si>
  <si>
    <t>04064</t>
  </si>
  <si>
    <t>07017</t>
  </si>
  <si>
    <t>05058</t>
  </si>
  <si>
    <t>18043</t>
  </si>
  <si>
    <t>2024043</t>
  </si>
  <si>
    <t>07050</t>
  </si>
  <si>
    <t>07051</t>
  </si>
  <si>
    <t>04019</t>
  </si>
  <si>
    <t>07079</t>
  </si>
  <si>
    <t>99141</t>
  </si>
  <si>
    <t>16052</t>
  </si>
  <si>
    <t>2024032</t>
  </si>
  <si>
    <t>PGH065PP</t>
  </si>
  <si>
    <t>al444</t>
  </si>
  <si>
    <t>164708</t>
  </si>
  <si>
    <t>CU 867051</t>
  </si>
  <si>
    <t>CU 834073</t>
  </si>
  <si>
    <t>CU 851573</t>
  </si>
  <si>
    <t>CU 901347</t>
  </si>
  <si>
    <t>CU 834314</t>
  </si>
  <si>
    <t>CU 845544</t>
  </si>
  <si>
    <t>CU 889014</t>
  </si>
  <si>
    <t>1905</t>
  </si>
  <si>
    <t>0763</t>
  </si>
  <si>
    <t>2540</t>
  </si>
  <si>
    <t>4033DG1056-11</t>
  </si>
  <si>
    <t>2014003</t>
  </si>
  <si>
    <t>4039DG2455-24</t>
  </si>
  <si>
    <t>4023DG1065-11</t>
  </si>
  <si>
    <t>770-12-24-12</t>
  </si>
  <si>
    <t>03021</t>
  </si>
  <si>
    <t>770-05-04-24</t>
  </si>
  <si>
    <t>4033DG1126-12</t>
  </si>
  <si>
    <t>207</t>
  </si>
  <si>
    <t>4033DG2407-24</t>
  </si>
  <si>
    <t>4050</t>
  </si>
  <si>
    <t>ht109</t>
  </si>
  <si>
    <t>347</t>
  </si>
  <si>
    <t>5054</t>
  </si>
  <si>
    <t>787</t>
  </si>
  <si>
    <t>4039DG2206-21, 4039H2206-24</t>
  </si>
  <si>
    <t>259</t>
  </si>
  <si>
    <t>2023063</t>
  </si>
  <si>
    <t>16-1041</t>
  </si>
  <si>
    <t>1823</t>
  </si>
  <si>
    <t>415</t>
  </si>
  <si>
    <t>05057</t>
  </si>
  <si>
    <t>2010018</t>
  </si>
  <si>
    <t>4039DG303-03</t>
  </si>
  <si>
    <t>171</t>
  </si>
  <si>
    <t>2024112</t>
  </si>
  <si>
    <t>13480</t>
  </si>
  <si>
    <t>210334D</t>
  </si>
  <si>
    <t>19-1469</t>
  </si>
  <si>
    <t>12819</t>
  </si>
  <si>
    <t>1883</t>
  </si>
  <si>
    <t>13-650</t>
  </si>
  <si>
    <t>2841</t>
  </si>
  <si>
    <t>3354</t>
  </si>
  <si>
    <t>2052</t>
  </si>
  <si>
    <t>2009013</t>
  </si>
  <si>
    <t>2572</t>
  </si>
  <si>
    <t>OT-008429</t>
  </si>
  <si>
    <t>10495</t>
  </si>
  <si>
    <t>ht104</t>
  </si>
  <si>
    <t>4039DG2235-21</t>
  </si>
  <si>
    <t>2018072</t>
  </si>
  <si>
    <t>1710</t>
  </si>
  <si>
    <t>8366</t>
  </si>
  <si>
    <t>7866</t>
  </si>
  <si>
    <t>1452</t>
  </si>
  <si>
    <t>2009051</t>
  </si>
  <si>
    <t>8189</t>
  </si>
  <si>
    <t>963</t>
  </si>
  <si>
    <t>240793D</t>
  </si>
  <si>
    <t>141632</t>
  </si>
  <si>
    <t>2007541</t>
  </si>
  <si>
    <t>2017081</t>
  </si>
  <si>
    <t>1624</t>
  </si>
  <si>
    <t>OT-010790</t>
  </si>
  <si>
    <t>OT-041378</t>
  </si>
  <si>
    <t>48571</t>
  </si>
  <si>
    <t>2011053</t>
  </si>
  <si>
    <t>7700001027</t>
  </si>
  <si>
    <t>452</t>
  </si>
  <si>
    <t>115</t>
  </si>
  <si>
    <t>2578</t>
  </si>
  <si>
    <t>12998</t>
  </si>
  <si>
    <t>9800</t>
  </si>
  <si>
    <t>2930</t>
  </si>
  <si>
    <t>220460D</t>
  </si>
  <si>
    <t>15-933</t>
  </si>
  <si>
    <t>1418</t>
  </si>
  <si>
    <t>2343</t>
  </si>
  <si>
    <t>1107</t>
  </si>
  <si>
    <t>4503</t>
  </si>
  <si>
    <t>2011049</t>
  </si>
  <si>
    <t>3972</t>
  </si>
  <si>
    <t>3263</t>
  </si>
  <si>
    <t>54374</t>
  </si>
  <si>
    <t>2014060</t>
  </si>
  <si>
    <t>12034</t>
  </si>
  <si>
    <t>9082</t>
  </si>
  <si>
    <t>4049DG217-02</t>
  </si>
  <si>
    <t>919</t>
  </si>
  <si>
    <t>2017131</t>
  </si>
  <si>
    <t>1579</t>
  </si>
  <si>
    <t>8401</t>
  </si>
  <si>
    <t>2014020</t>
  </si>
  <si>
    <t>13131</t>
  </si>
  <si>
    <t>9848</t>
  </si>
  <si>
    <t>2020056</t>
  </si>
  <si>
    <t>0200475</t>
  </si>
  <si>
    <t>87</t>
  </si>
  <si>
    <t>99142</t>
  </si>
  <si>
    <t>0200304</t>
  </si>
  <si>
    <t>101</t>
  </si>
  <si>
    <t>0970006</t>
  </si>
  <si>
    <t>1620</t>
  </si>
  <si>
    <t>1261</t>
  </si>
  <si>
    <t>13027</t>
  </si>
  <si>
    <t>4135</t>
  </si>
  <si>
    <t>2021063</t>
  </si>
  <si>
    <t>831</t>
  </si>
  <si>
    <t>2019054</t>
  </si>
  <si>
    <t>7894</t>
  </si>
  <si>
    <t>1455</t>
  </si>
  <si>
    <t>5884</t>
  </si>
  <si>
    <t>12349</t>
  </si>
  <si>
    <t>4023DG1475-12</t>
  </si>
  <si>
    <t>4039DG1264-13</t>
  </si>
  <si>
    <t>220613D</t>
  </si>
  <si>
    <t>90242</t>
  </si>
  <si>
    <t>2016130</t>
  </si>
  <si>
    <t>230664C</t>
  </si>
  <si>
    <t>2008</t>
  </si>
  <si>
    <t>2016090</t>
  </si>
  <si>
    <t>1437</t>
  </si>
  <si>
    <t>7036</t>
  </si>
  <si>
    <t>09-302</t>
  </si>
  <si>
    <t>2016028</t>
  </si>
  <si>
    <t>2020101</t>
  </si>
  <si>
    <t>2689</t>
  </si>
  <si>
    <t>2019014</t>
  </si>
  <si>
    <t>1598</t>
  </si>
  <si>
    <t>13453</t>
  </si>
  <si>
    <t>24-2179</t>
  </si>
  <si>
    <t>7851</t>
  </si>
  <si>
    <t>3980</t>
  </si>
  <si>
    <t>4023DG2469-24</t>
  </si>
  <si>
    <t>1934</t>
  </si>
  <si>
    <t>3011</t>
  </si>
  <si>
    <t>2023087</t>
  </si>
  <si>
    <t>23-282</t>
  </si>
  <si>
    <t>1105</t>
  </si>
  <si>
    <t>230</t>
  </si>
  <si>
    <t>3798</t>
  </si>
  <si>
    <t>2013051</t>
  </si>
  <si>
    <t>210336D</t>
  </si>
  <si>
    <t>2223</t>
  </si>
  <si>
    <t>56584</t>
  </si>
  <si>
    <t>2024036</t>
  </si>
  <si>
    <t>2958</t>
  </si>
  <si>
    <t>2008071</t>
  </si>
  <si>
    <t>2020076</t>
  </si>
  <si>
    <t>2024054</t>
  </si>
  <si>
    <t>20078DG</t>
  </si>
  <si>
    <t>12-495</t>
  </si>
  <si>
    <t>2155</t>
  </si>
  <si>
    <t>14268</t>
  </si>
  <si>
    <t>210353L</t>
  </si>
  <si>
    <t>2020067</t>
  </si>
  <si>
    <t>2016059</t>
  </si>
  <si>
    <t>7231</t>
  </si>
  <si>
    <t>57854</t>
  </si>
  <si>
    <t>15-845</t>
  </si>
  <si>
    <t>1656</t>
  </si>
  <si>
    <t>12792</t>
  </si>
  <si>
    <t>12-539</t>
  </si>
  <si>
    <t>10667</t>
  </si>
  <si>
    <t>2022042</t>
  </si>
  <si>
    <t>11163</t>
  </si>
  <si>
    <t>1773</t>
  </si>
  <si>
    <t>4039DG2048-19</t>
  </si>
  <si>
    <t>22-1889</t>
  </si>
  <si>
    <t>2019045</t>
  </si>
  <si>
    <t>8717</t>
  </si>
  <si>
    <t>9296</t>
  </si>
  <si>
    <t>2976</t>
  </si>
  <si>
    <t>2016108</t>
  </si>
  <si>
    <t>4039DG582-06</t>
  </si>
  <si>
    <t>4039DG1234-12</t>
  </si>
  <si>
    <t>4047DG2498-24</t>
  </si>
  <si>
    <t>16266</t>
  </si>
  <si>
    <t>2022048</t>
  </si>
  <si>
    <t>22-1837</t>
  </si>
  <si>
    <t>15755</t>
  </si>
  <si>
    <t>5032</t>
  </si>
  <si>
    <t>1628</t>
  </si>
  <si>
    <t>2024060</t>
  </si>
  <si>
    <t>12-524</t>
  </si>
  <si>
    <t>3231</t>
  </si>
  <si>
    <t>4033DG2153-20</t>
  </si>
  <si>
    <t>722</t>
  </si>
  <si>
    <t>7528</t>
  </si>
  <si>
    <t>2016091</t>
  </si>
  <si>
    <t>3876</t>
  </si>
  <si>
    <t>OT-039178</t>
  </si>
  <si>
    <t>3846</t>
  </si>
  <si>
    <t>7033</t>
  </si>
  <si>
    <t>ht128</t>
  </si>
  <si>
    <t>7631</t>
  </si>
  <si>
    <t>4039DG1156-12</t>
  </si>
  <si>
    <t>9700481</t>
  </si>
  <si>
    <t>2020080</t>
  </si>
  <si>
    <t>3537</t>
  </si>
  <si>
    <t>2019095</t>
  </si>
  <si>
    <t>0200694</t>
  </si>
  <si>
    <t>2019053</t>
  </si>
  <si>
    <t>3064</t>
  </si>
  <si>
    <t>3190</t>
  </si>
  <si>
    <t>7868</t>
  </si>
  <si>
    <t>1699</t>
  </si>
  <si>
    <t>11952</t>
  </si>
  <si>
    <t>2006146</t>
  </si>
  <si>
    <t>OT-039807</t>
  </si>
  <si>
    <t>100963</t>
  </si>
  <si>
    <t>2967</t>
  </si>
  <si>
    <t>07058</t>
  </si>
  <si>
    <t>2013067</t>
  </si>
  <si>
    <t>19024DG</t>
  </si>
  <si>
    <t>4120</t>
  </si>
  <si>
    <t>9992</t>
  </si>
  <si>
    <t>4201</t>
  </si>
  <si>
    <t>13755</t>
  </si>
  <si>
    <t>8785</t>
  </si>
  <si>
    <t>2007065</t>
  </si>
  <si>
    <t>11749</t>
  </si>
  <si>
    <t>4034H2506-25</t>
  </si>
  <si>
    <t>O0003</t>
  </si>
  <si>
    <t>nc492</t>
  </si>
  <si>
    <t>1443</t>
  </si>
  <si>
    <t>18020</t>
  </si>
  <si>
    <t>051</t>
  </si>
  <si>
    <t>nv433</t>
  </si>
  <si>
    <t>1844</t>
  </si>
  <si>
    <t>3394</t>
  </si>
  <si>
    <t>2396</t>
  </si>
  <si>
    <t>662</t>
  </si>
  <si>
    <t>3423</t>
  </si>
  <si>
    <t>54653</t>
  </si>
  <si>
    <t>2024024</t>
  </si>
  <si>
    <t>2023038</t>
  </si>
  <si>
    <t>2024029</t>
  </si>
  <si>
    <t>4039DG2272-22</t>
  </si>
  <si>
    <t>2012043</t>
  </si>
  <si>
    <t>2007076</t>
  </si>
  <si>
    <t>2015061</t>
  </si>
  <si>
    <t>6485</t>
  </si>
  <si>
    <t>2013053</t>
  </si>
  <si>
    <t>2787</t>
  </si>
  <si>
    <t>2021055</t>
  </si>
  <si>
    <t>55009</t>
  </si>
  <si>
    <t>10526</t>
  </si>
  <si>
    <t>16524</t>
  </si>
  <si>
    <t>15298</t>
  </si>
  <si>
    <t>nc472</t>
  </si>
  <si>
    <t>5883</t>
  </si>
  <si>
    <t>8803</t>
  </si>
  <si>
    <t>4033DG1776-17</t>
  </si>
  <si>
    <t>12732</t>
  </si>
  <si>
    <t>2427</t>
  </si>
  <si>
    <t>3</t>
  </si>
  <si>
    <t>4039DG835-08</t>
  </si>
  <si>
    <t>2019069</t>
  </si>
  <si>
    <t>PFP906SSNF</t>
  </si>
  <si>
    <t>2017019</t>
  </si>
  <si>
    <t>12741</t>
  </si>
  <si>
    <t>1516</t>
  </si>
  <si>
    <t>3526</t>
  </si>
  <si>
    <t>4011P2448-24</t>
  </si>
  <si>
    <t>3749</t>
  </si>
  <si>
    <t>168946</t>
  </si>
  <si>
    <t>2254</t>
  </si>
  <si>
    <t>nv104</t>
  </si>
  <si>
    <t>4049DG293-03</t>
  </si>
  <si>
    <t>12291</t>
  </si>
  <si>
    <t>14252</t>
  </si>
  <si>
    <t>3580</t>
  </si>
  <si>
    <t>11042</t>
  </si>
  <si>
    <t>3305</t>
  </si>
  <si>
    <t>1432</t>
  </si>
  <si>
    <t>3133</t>
  </si>
  <si>
    <t>2018027</t>
  </si>
  <si>
    <t>2378</t>
  </si>
  <si>
    <t>1848</t>
  </si>
  <si>
    <t>3716</t>
  </si>
  <si>
    <t>2015080</t>
  </si>
  <si>
    <t>4039DG2456-24</t>
  </si>
  <si>
    <t>8162</t>
  </si>
  <si>
    <t>8908</t>
  </si>
  <si>
    <t>20197D</t>
  </si>
  <si>
    <t>2543</t>
  </si>
  <si>
    <t>4039DG1926-18</t>
  </si>
  <si>
    <t>22-1831</t>
  </si>
  <si>
    <t>2202500300</t>
  </si>
  <si>
    <t>2258</t>
  </si>
  <si>
    <t>9087</t>
  </si>
  <si>
    <t>0200605</t>
  </si>
  <si>
    <t>2019056</t>
  </si>
  <si>
    <t>2023003</t>
  </si>
  <si>
    <t>4118</t>
  </si>
  <si>
    <t>0990023</t>
  </si>
  <si>
    <t>me313</t>
  </si>
  <si>
    <t>768</t>
  </si>
  <si>
    <t>4039DG1298-13</t>
  </si>
  <si>
    <t>2019057</t>
  </si>
  <si>
    <t>633</t>
  </si>
  <si>
    <t>S64B</t>
  </si>
  <si>
    <t>12006</t>
  </si>
  <si>
    <t>2018029</t>
  </si>
  <si>
    <t>2333</t>
  </si>
  <si>
    <t>2006158</t>
  </si>
  <si>
    <t>2015036</t>
  </si>
  <si>
    <t>238593</t>
  </si>
  <si>
    <t>196779</t>
  </si>
  <si>
    <t>2021024</t>
  </si>
  <si>
    <t>20086D</t>
  </si>
  <si>
    <t>3940</t>
  </si>
  <si>
    <t>2021072</t>
  </si>
  <si>
    <t>2010055</t>
  </si>
  <si>
    <t>2008014</t>
  </si>
  <si>
    <t>2517</t>
  </si>
  <si>
    <t>4175</t>
  </si>
  <si>
    <t>13163</t>
  </si>
  <si>
    <t>1423</t>
  </si>
  <si>
    <t>3175</t>
  </si>
  <si>
    <t>15-1085</t>
  </si>
  <si>
    <t>4049DG455-05</t>
  </si>
  <si>
    <t>3037</t>
  </si>
  <si>
    <t>0796434</t>
  </si>
  <si>
    <t>0796385</t>
  </si>
  <si>
    <t>4906</t>
  </si>
  <si>
    <t>1122</t>
  </si>
  <si>
    <t>4526</t>
  </si>
  <si>
    <t>2267</t>
  </si>
  <si>
    <t>12310</t>
  </si>
  <si>
    <t>SP883-1</t>
  </si>
  <si>
    <t>SP883</t>
  </si>
  <si>
    <t>pr516</t>
  </si>
  <si>
    <t>1322</t>
  </si>
  <si>
    <t>12849</t>
  </si>
  <si>
    <t>450067</t>
  </si>
  <si>
    <t>99028</t>
  </si>
  <si>
    <t>220582D</t>
  </si>
  <si>
    <t>2018052</t>
  </si>
  <si>
    <t>04067</t>
  </si>
  <si>
    <t>04002</t>
  </si>
  <si>
    <t>OT-009962</t>
  </si>
  <si>
    <t>48292</t>
  </si>
  <si>
    <t>pr810</t>
  </si>
  <si>
    <t>20240D</t>
  </si>
  <si>
    <t>614</t>
  </si>
  <si>
    <t>pr1247</t>
  </si>
  <si>
    <t>6573</t>
  </si>
  <si>
    <t>CU 829660</t>
  </si>
  <si>
    <t>4036P1015-10</t>
  </si>
  <si>
    <t>2024003</t>
  </si>
  <si>
    <t>05019</t>
  </si>
  <si>
    <t>08057</t>
  </si>
  <si>
    <t>501360</t>
  </si>
  <si>
    <t>OT-023550</t>
  </si>
  <si>
    <t>2023019</t>
  </si>
  <si>
    <t>2017043</t>
  </si>
  <si>
    <t>0200679</t>
  </si>
  <si>
    <t>4582</t>
  </si>
  <si>
    <t>pr2944</t>
  </si>
  <si>
    <t>7089</t>
  </si>
  <si>
    <t>0200662</t>
  </si>
  <si>
    <t>OT-018914</t>
  </si>
  <si>
    <t>90245</t>
  </si>
  <si>
    <t>210348C</t>
  </si>
  <si>
    <t>10069</t>
  </si>
  <si>
    <t>2006126</t>
  </si>
  <si>
    <t>90241</t>
  </si>
  <si>
    <t>CU 882064</t>
  </si>
  <si>
    <t>0200523</t>
  </si>
  <si>
    <t>2006113</t>
  </si>
  <si>
    <t>220473D</t>
  </si>
  <si>
    <t>2018070</t>
  </si>
  <si>
    <t>1533</t>
  </si>
  <si>
    <t>4049DG209-02</t>
  </si>
  <si>
    <t>240747D</t>
  </si>
  <si>
    <t>1491</t>
  </si>
  <si>
    <t>CA461TMB</t>
  </si>
  <si>
    <t>230649D</t>
  </si>
  <si>
    <t>12331</t>
  </si>
  <si>
    <t>2006137</t>
  </si>
  <si>
    <t>8943</t>
  </si>
  <si>
    <t>12334</t>
  </si>
  <si>
    <t>1051</t>
  </si>
  <si>
    <t>2110</t>
  </si>
  <si>
    <t>3272</t>
  </si>
  <si>
    <t>1636</t>
  </si>
  <si>
    <t>210355D</t>
  </si>
  <si>
    <t>pr2946</t>
  </si>
  <si>
    <t>2020100</t>
  </si>
  <si>
    <t>2021073</t>
  </si>
  <si>
    <t>2228</t>
  </si>
  <si>
    <t>CAL326TEM</t>
  </si>
  <si>
    <t>ht147</t>
  </si>
  <si>
    <t>9587</t>
  </si>
  <si>
    <t>2016072</t>
  </si>
  <si>
    <t>813867</t>
  </si>
  <si>
    <t>4039DG2167-20</t>
  </si>
  <si>
    <t>31486</t>
  </si>
  <si>
    <t>90328</t>
  </si>
  <si>
    <t>4049DG268-03</t>
  </si>
  <si>
    <t>311</t>
  </si>
  <si>
    <t>215</t>
  </si>
  <si>
    <t>626790</t>
  </si>
  <si>
    <t>2016176</t>
  </si>
  <si>
    <t>2016116</t>
  </si>
  <si>
    <t>037</t>
  </si>
  <si>
    <t>4033DG1823-17</t>
  </si>
  <si>
    <t>2018091</t>
  </si>
  <si>
    <t>2006117</t>
  </si>
  <si>
    <t>064</t>
  </si>
  <si>
    <t>ht131</t>
  </si>
  <si>
    <t>369</t>
  </si>
  <si>
    <t>3036</t>
  </si>
  <si>
    <t>210302D</t>
  </si>
  <si>
    <t>7802</t>
  </si>
  <si>
    <t>2016159</t>
  </si>
  <si>
    <t>pr2052</t>
  </si>
  <si>
    <t>7700001060</t>
  </si>
  <si>
    <t>CE-201866</t>
  </si>
  <si>
    <t>OT-044412</t>
  </si>
  <si>
    <t>15125</t>
  </si>
  <si>
    <t>0200436</t>
  </si>
  <si>
    <t>20204D</t>
  </si>
  <si>
    <t>3559</t>
  </si>
  <si>
    <t>4033DG694-07</t>
  </si>
  <si>
    <t>0200343</t>
  </si>
  <si>
    <t>244</t>
  </si>
  <si>
    <t>46</t>
  </si>
  <si>
    <t>15532</t>
  </si>
  <si>
    <t>3270</t>
  </si>
  <si>
    <t>2006105</t>
  </si>
  <si>
    <t>172</t>
  </si>
  <si>
    <t>4459</t>
  </si>
  <si>
    <t>7700001090</t>
  </si>
  <si>
    <t>58236</t>
  </si>
  <si>
    <t>2015113</t>
  </si>
  <si>
    <t>12346</t>
  </si>
  <si>
    <t>2016034</t>
  </si>
  <si>
    <t>230659D</t>
  </si>
  <si>
    <t>2915</t>
  </si>
  <si>
    <t>19002D</t>
  </si>
  <si>
    <t>pr2425</t>
  </si>
  <si>
    <t>9347</t>
  </si>
  <si>
    <t>nc717</t>
  </si>
  <si>
    <t>2406</t>
  </si>
  <si>
    <t>4580</t>
  </si>
  <si>
    <t>2340</t>
  </si>
  <si>
    <t>8912</t>
  </si>
  <si>
    <t>4039DG1391-14</t>
  </si>
  <si>
    <t>pr258</t>
  </si>
  <si>
    <t>8742</t>
  </si>
  <si>
    <t>2630</t>
  </si>
  <si>
    <t>19059D</t>
  </si>
  <si>
    <t>220463D</t>
  </si>
  <si>
    <t>8811</t>
  </si>
  <si>
    <t>2021075</t>
  </si>
  <si>
    <t>2012039</t>
  </si>
  <si>
    <t>1376</t>
  </si>
  <si>
    <t>8598</t>
  </si>
  <si>
    <t>CU 848450</t>
  </si>
  <si>
    <t>3593</t>
  </si>
  <si>
    <t>2017112</t>
  </si>
  <si>
    <t>0904692</t>
  </si>
  <si>
    <t>07010</t>
  </si>
  <si>
    <t>2022057</t>
  </si>
  <si>
    <t>2024022</t>
  </si>
  <si>
    <t>6106</t>
  </si>
  <si>
    <t>5118</t>
  </si>
  <si>
    <t>5532</t>
  </si>
  <si>
    <t>9</t>
  </si>
  <si>
    <t>0950040</t>
  </si>
  <si>
    <t>9730000065</t>
  </si>
  <si>
    <t>2506</t>
  </si>
  <si>
    <t>06-1289</t>
  </si>
  <si>
    <t>1791</t>
  </si>
  <si>
    <t>220475D</t>
  </si>
  <si>
    <t>2019009</t>
  </si>
  <si>
    <t>20069D</t>
  </si>
  <si>
    <t>3138</t>
  </si>
  <si>
    <t>1384</t>
  </si>
  <si>
    <t>4381</t>
  </si>
  <si>
    <t>2742</t>
  </si>
  <si>
    <t>328</t>
  </si>
  <si>
    <t>4033DG863-09</t>
  </si>
  <si>
    <t>12472</t>
  </si>
  <si>
    <t>5134</t>
  </si>
  <si>
    <t>1809</t>
  </si>
  <si>
    <t>1717</t>
  </si>
  <si>
    <t>PFP559WDT</t>
  </si>
  <si>
    <t>8063</t>
  </si>
  <si>
    <t>0029751</t>
  </si>
  <si>
    <t>30121</t>
  </si>
  <si>
    <t>2011027</t>
  </si>
  <si>
    <t>2010039</t>
  </si>
  <si>
    <t>4049DG261-03</t>
  </si>
  <si>
    <t>0200696</t>
  </si>
  <si>
    <t>2015038</t>
  </si>
  <si>
    <t>0287124</t>
  </si>
  <si>
    <t>807</t>
  </si>
  <si>
    <t>210332D</t>
  </si>
  <si>
    <t>07083</t>
  </si>
  <si>
    <t>3931</t>
  </si>
  <si>
    <t>2022017</t>
  </si>
  <si>
    <t>4498</t>
  </si>
  <si>
    <t>14-710</t>
  </si>
  <si>
    <t>13125</t>
  </si>
  <si>
    <t>2006173</t>
  </si>
  <si>
    <t>2023051</t>
  </si>
  <si>
    <t>2023049</t>
  </si>
  <si>
    <t>7157</t>
  </si>
  <si>
    <t>4557</t>
  </si>
  <si>
    <t>1552</t>
  </si>
  <si>
    <t>503</t>
  </si>
  <si>
    <t>2019028</t>
  </si>
  <si>
    <t>4254</t>
  </si>
  <si>
    <t>516</t>
  </si>
  <si>
    <t>1661</t>
  </si>
  <si>
    <t>2018057</t>
  </si>
  <si>
    <t>0200017</t>
  </si>
  <si>
    <t>072</t>
  </si>
  <si>
    <t>12986</t>
  </si>
  <si>
    <t>20087D</t>
  </si>
  <si>
    <t>1705</t>
  </si>
  <si>
    <t>2022011</t>
  </si>
  <si>
    <t>362791</t>
  </si>
  <si>
    <t>0970048</t>
  </si>
  <si>
    <t>4021DG1379-14</t>
  </si>
  <si>
    <t>4024</t>
  </si>
  <si>
    <t>9768</t>
  </si>
  <si>
    <t>2014042</t>
  </si>
  <si>
    <t>3911</t>
  </si>
  <si>
    <t>1807</t>
  </si>
  <si>
    <t>829</t>
  </si>
  <si>
    <t>463</t>
  </si>
  <si>
    <t>4572</t>
  </si>
  <si>
    <t>17</t>
  </si>
  <si>
    <t>66</t>
  </si>
  <si>
    <t>11870</t>
  </si>
  <si>
    <t>1165</t>
  </si>
  <si>
    <t>2019075</t>
  </si>
  <si>
    <t>12723</t>
  </si>
  <si>
    <t>0200657</t>
  </si>
  <si>
    <t>361</t>
  </si>
  <si>
    <t>0200501</t>
  </si>
  <si>
    <t>378</t>
  </si>
  <si>
    <t>4532</t>
  </si>
  <si>
    <t>4052</t>
  </si>
  <si>
    <t>20214D</t>
  </si>
  <si>
    <t>10-110-001</t>
  </si>
  <si>
    <t>379439</t>
  </si>
  <si>
    <t>14-1169</t>
  </si>
  <si>
    <t>3189</t>
  </si>
  <si>
    <t>2895</t>
  </si>
  <si>
    <t>Contact First Name</t>
  </si>
  <si>
    <t>Raquel</t>
  </si>
  <si>
    <t>Klaas</t>
  </si>
  <si>
    <t>Kevin</t>
  </si>
  <si>
    <t>Aaron</t>
  </si>
  <si>
    <t>Aaron &amp; Rebecca</t>
  </si>
  <si>
    <t>Aaron A</t>
  </si>
  <si>
    <t>Aaron L.</t>
  </si>
  <si>
    <t>Aaron H.</t>
  </si>
  <si>
    <t>Aaron S.</t>
  </si>
  <si>
    <t>Jim</t>
  </si>
  <si>
    <t>Abe M. &amp; Rosie R.</t>
  </si>
  <si>
    <t>Abie Y.</t>
  </si>
  <si>
    <t>Abner</t>
  </si>
  <si>
    <t>Abner B.</t>
  </si>
  <si>
    <t>Abner D And Rachel</t>
  </si>
  <si>
    <t>Abram</t>
  </si>
  <si>
    <t>Abram (Bucky)</t>
  </si>
  <si>
    <t>Sara</t>
  </si>
  <si>
    <t>Adam P.</t>
  </si>
  <si>
    <t>Adam</t>
  </si>
  <si>
    <t>Adam J.</t>
  </si>
  <si>
    <t>Adam M</t>
  </si>
  <si>
    <t>Dmitri</t>
  </si>
  <si>
    <t>Aden A.</t>
  </si>
  <si>
    <t>Aden E. and Laura J.</t>
  </si>
  <si>
    <t>Aden</t>
  </si>
  <si>
    <t>Adin</t>
  </si>
  <si>
    <t>Joseph</t>
  </si>
  <si>
    <t>Lukas</t>
  </si>
  <si>
    <t>Renae</t>
  </si>
  <si>
    <t>Steve</t>
  </si>
  <si>
    <t>Rohit</t>
  </si>
  <si>
    <t>Walter</t>
  </si>
  <si>
    <t>Luis</t>
  </si>
  <si>
    <t>Mel</t>
  </si>
  <si>
    <t>Alain</t>
  </si>
  <si>
    <t>Alan</t>
  </si>
  <si>
    <t>Ben</t>
  </si>
  <si>
    <t>Albert</t>
  </si>
  <si>
    <t>Raymond</t>
  </si>
  <si>
    <t>Timo</t>
  </si>
  <si>
    <t>Andy</t>
  </si>
  <si>
    <t>Alex</t>
  </si>
  <si>
    <t>Stephanie</t>
  </si>
  <si>
    <t>Allen A.</t>
  </si>
  <si>
    <t>Alfred</t>
  </si>
  <si>
    <t>Virginia</t>
  </si>
  <si>
    <t>Shawn</t>
  </si>
  <si>
    <t>Tucker</t>
  </si>
  <si>
    <t>Wyatt</t>
  </si>
  <si>
    <t>Joel</t>
  </si>
  <si>
    <t>Allan and Ann</t>
  </si>
  <si>
    <t>Allan L</t>
  </si>
  <si>
    <t>Allen &amp; Leanna</t>
  </si>
  <si>
    <t>Allen I. &amp; Rachel</t>
  </si>
  <si>
    <t>Allen</t>
  </si>
  <si>
    <t>Alvin</t>
  </si>
  <si>
    <t>Jason</t>
  </si>
  <si>
    <t>Samuel</t>
  </si>
  <si>
    <t>Alvin &amp; Miriam</t>
  </si>
  <si>
    <t>Alvin D.</t>
  </si>
  <si>
    <t>Alvin E</t>
  </si>
  <si>
    <t>Alvin H And Mary E</t>
  </si>
  <si>
    <t>Alvin H.</t>
  </si>
  <si>
    <t>Alvin O</t>
  </si>
  <si>
    <t>Alvin &amp; Rosann</t>
  </si>
  <si>
    <t>Alvin W. &amp; Clara</t>
  </si>
  <si>
    <t>Melyvn, Nate And Sue</t>
  </si>
  <si>
    <t>AURELIO EMILIO</t>
  </si>
  <si>
    <t>Chris</t>
  </si>
  <si>
    <t>Eric</t>
  </si>
  <si>
    <t>Melina</t>
  </si>
  <si>
    <t>Ammon J.</t>
  </si>
  <si>
    <t>Ammon S.</t>
  </si>
  <si>
    <t>Amos &amp; Mary Beth</t>
  </si>
  <si>
    <t>Amos &amp; Lena</t>
  </si>
  <si>
    <t>Amos &amp; Nora</t>
  </si>
  <si>
    <t>Amos B.</t>
  </si>
  <si>
    <t>Amos D &amp; Katie</t>
  </si>
  <si>
    <t>Amos</t>
  </si>
  <si>
    <t>Amos EM</t>
  </si>
  <si>
    <t>Amos F &amp; Barbie S</t>
  </si>
  <si>
    <t>Amos J &amp; Daniel J</t>
  </si>
  <si>
    <t>Amos J</t>
  </si>
  <si>
    <t>Amos L</t>
  </si>
  <si>
    <t>Amos L. &amp; Mary K.</t>
  </si>
  <si>
    <t>Amos L.</t>
  </si>
  <si>
    <t>Elam E.</t>
  </si>
  <si>
    <t>Amos M.</t>
  </si>
  <si>
    <t>Amos S.</t>
  </si>
  <si>
    <t>Amos &amp; Emma</t>
  </si>
  <si>
    <t>Amos T. &amp; Salina V.</t>
  </si>
  <si>
    <t>Chadwick</t>
  </si>
  <si>
    <t>Lindsay</t>
  </si>
  <si>
    <t>Ray</t>
  </si>
  <si>
    <t>Timothy</t>
  </si>
  <si>
    <t>Andrew</t>
  </si>
  <si>
    <t>Andrew M</t>
  </si>
  <si>
    <t>Andrew R. &amp; Leah V.</t>
  </si>
  <si>
    <t>Andrew S.</t>
  </si>
  <si>
    <t>Andy A and Fannie J</t>
  </si>
  <si>
    <t>Adriano</t>
  </si>
  <si>
    <t>Marcela</t>
  </si>
  <si>
    <t>Ann</t>
  </si>
  <si>
    <t>Anthony D.</t>
  </si>
  <si>
    <t>Anthony</t>
  </si>
  <si>
    <t>Anton</t>
  </si>
  <si>
    <t>Nevin</t>
  </si>
  <si>
    <t>Samuel M</t>
  </si>
  <si>
    <t>Arlan</t>
  </si>
  <si>
    <t>Ryan &amp; Katie</t>
  </si>
  <si>
    <t>Leroy</t>
  </si>
  <si>
    <t>Arthur &amp; Jean</t>
  </si>
  <si>
    <t>Ky</t>
  </si>
  <si>
    <t>Naratch-on</t>
  </si>
  <si>
    <t>Luke</t>
  </si>
  <si>
    <t>Atlee J.</t>
  </si>
  <si>
    <t>Atlee</t>
  </si>
  <si>
    <t>Troy</t>
  </si>
  <si>
    <t>Emily</t>
  </si>
  <si>
    <t>Kristine</t>
  </si>
  <si>
    <t>Austin</t>
  </si>
  <si>
    <t>Macario</t>
  </si>
  <si>
    <t>Celine</t>
  </si>
  <si>
    <t>Bill</t>
  </si>
  <si>
    <t>Greg</t>
  </si>
  <si>
    <t>Menno</t>
  </si>
  <si>
    <t>Mark</t>
  </si>
  <si>
    <t>Grant E.</t>
  </si>
  <si>
    <t>James</t>
  </si>
  <si>
    <t>Pamela J, William &amp; Renee</t>
  </si>
  <si>
    <t>David</t>
  </si>
  <si>
    <t>Michael</t>
  </si>
  <si>
    <t>Emileann</t>
  </si>
  <si>
    <t>Stephen</t>
  </si>
  <si>
    <t>Charles</t>
  </si>
  <si>
    <t>Liz</t>
  </si>
  <si>
    <t>Aglaen</t>
  </si>
  <si>
    <t>Brian</t>
  </si>
  <si>
    <t>Brad</t>
  </si>
  <si>
    <t>Jake</t>
  </si>
  <si>
    <t>Lawrence</t>
  </si>
  <si>
    <t>Marion</t>
  </si>
  <si>
    <t>Noreen</t>
  </si>
  <si>
    <t>Ben D</t>
  </si>
  <si>
    <t>Ben M</t>
  </si>
  <si>
    <t>Ben S</t>
  </si>
  <si>
    <t>Paul</t>
  </si>
  <si>
    <t>Benjamin</t>
  </si>
  <si>
    <t>Benjamin A.</t>
  </si>
  <si>
    <t>Benjamin J.</t>
  </si>
  <si>
    <t>Benjamin K.</t>
  </si>
  <si>
    <t>Benjamin S</t>
  </si>
  <si>
    <t>Benjamin F</t>
  </si>
  <si>
    <t>Bennie</t>
  </si>
  <si>
    <t>Chandler</t>
  </si>
  <si>
    <t>Phan</t>
  </si>
  <si>
    <t>Benuel E.</t>
  </si>
  <si>
    <t>Benuel</t>
  </si>
  <si>
    <t>Benuel G.</t>
  </si>
  <si>
    <t>Benuel M.</t>
  </si>
  <si>
    <t>Benuel Z.</t>
  </si>
  <si>
    <t>Doug</t>
  </si>
  <si>
    <t>Beatrice</t>
  </si>
  <si>
    <t>Reagan and Kevin</t>
  </si>
  <si>
    <t>Dwayne</t>
  </si>
  <si>
    <t>Ivan &amp; Betty</t>
  </si>
  <si>
    <t>Bevan</t>
  </si>
  <si>
    <t>Norma</t>
  </si>
  <si>
    <t>Richard, Sharon &amp; Rory</t>
  </si>
  <si>
    <t>John</t>
  </si>
  <si>
    <t>Nathan H</t>
  </si>
  <si>
    <t>Dave or Jen</t>
  </si>
  <si>
    <t>John S</t>
  </si>
  <si>
    <t>Cheryl</t>
  </si>
  <si>
    <t>Francis</t>
  </si>
  <si>
    <t>Alexandria</t>
  </si>
  <si>
    <t>Megan</t>
  </si>
  <si>
    <t>Ivan</t>
  </si>
  <si>
    <t>Samuel J. &amp; Sylvia S, Kore</t>
  </si>
  <si>
    <t>Tim</t>
  </si>
  <si>
    <t>Courtland</t>
  </si>
  <si>
    <t>Cindy</t>
  </si>
  <si>
    <t>Frank</t>
  </si>
  <si>
    <t>Jenneke</t>
  </si>
  <si>
    <t>Wilmer</t>
  </si>
  <si>
    <t>Larry</t>
  </si>
  <si>
    <t>Brandon</t>
  </si>
  <si>
    <t>Douglas</t>
  </si>
  <si>
    <t>Mike Joseph</t>
  </si>
  <si>
    <t>Dillan</t>
  </si>
  <si>
    <t>Mahlon</t>
  </si>
  <si>
    <t>Richard</t>
  </si>
  <si>
    <t>Carl</t>
  </si>
  <si>
    <t>Brent</t>
  </si>
  <si>
    <t>Bian I.</t>
  </si>
  <si>
    <t>Cody</t>
  </si>
  <si>
    <t>Kerbie</t>
  </si>
  <si>
    <t>Brenda</t>
  </si>
  <si>
    <t>Korey</t>
  </si>
  <si>
    <t>Bruce A.</t>
  </si>
  <si>
    <t>Abigail</t>
  </si>
  <si>
    <t>Bryce</t>
  </si>
  <si>
    <t>Alejandro</t>
  </si>
  <si>
    <t>Nathan</t>
  </si>
  <si>
    <t>Cecelia</t>
  </si>
  <si>
    <t>Crist</t>
  </si>
  <si>
    <t>Glenn</t>
  </si>
  <si>
    <t>Mike</t>
  </si>
  <si>
    <t>Bradley</t>
  </si>
  <si>
    <t>Erica</t>
  </si>
  <si>
    <t>Garvin</t>
  </si>
  <si>
    <t>Mark &amp; Joyce</t>
  </si>
  <si>
    <t>Anthony P.</t>
  </si>
  <si>
    <t>Danny C.</t>
  </si>
  <si>
    <t>Seth and Roger</t>
  </si>
  <si>
    <t>Byron R.</t>
  </si>
  <si>
    <t>Josh</t>
  </si>
  <si>
    <t>Nalin</t>
  </si>
  <si>
    <t>Jon</t>
  </si>
  <si>
    <t>Christopher</t>
  </si>
  <si>
    <t>Connie</t>
  </si>
  <si>
    <t>Shahrzad</t>
  </si>
  <si>
    <t>Robin &amp; Shelley</t>
  </si>
  <si>
    <t>Lewis</t>
  </si>
  <si>
    <t>Calvin</t>
  </si>
  <si>
    <t>Calvin H</t>
  </si>
  <si>
    <t>Parker</t>
  </si>
  <si>
    <t>John &amp; Mattie</t>
  </si>
  <si>
    <t>Allison</t>
  </si>
  <si>
    <t>Lynda</t>
  </si>
  <si>
    <t>Susan</t>
  </si>
  <si>
    <t>Carroll V.</t>
  </si>
  <si>
    <t>Carson</t>
  </si>
  <si>
    <t>Toby</t>
  </si>
  <si>
    <t>Daria</t>
  </si>
  <si>
    <t>Ernie</t>
  </si>
  <si>
    <t>Casimer</t>
  </si>
  <si>
    <t>Robert C.</t>
  </si>
  <si>
    <t>Peter</t>
  </si>
  <si>
    <t>Phakpoom</t>
  </si>
  <si>
    <t>Delbert, Leland</t>
  </si>
  <si>
    <t>Deborah</t>
  </si>
  <si>
    <t>Victoria</t>
  </si>
  <si>
    <t>Jeff</t>
  </si>
  <si>
    <t>Nicole</t>
  </si>
  <si>
    <t>Chad</t>
  </si>
  <si>
    <t>Bernard</t>
  </si>
  <si>
    <t>Vaughn</t>
  </si>
  <si>
    <t>Benjamin &amp; Laura</t>
  </si>
  <si>
    <t>Sarah L.</t>
  </si>
  <si>
    <t>Brendan</t>
  </si>
  <si>
    <t>Elisa</t>
  </si>
  <si>
    <t>Chester C.</t>
  </si>
  <si>
    <t>Chester</t>
  </si>
  <si>
    <t>Leonard</t>
  </si>
  <si>
    <t>Darby</t>
  </si>
  <si>
    <t>Mackenzie</t>
  </si>
  <si>
    <t>Christ B.</t>
  </si>
  <si>
    <t>Christ</t>
  </si>
  <si>
    <t>Christian &amp; Lydia</t>
  </si>
  <si>
    <t>Christian</t>
  </si>
  <si>
    <t>Christian F.</t>
  </si>
  <si>
    <t>Christian S</t>
  </si>
  <si>
    <t>Lane</t>
  </si>
  <si>
    <t>Christie</t>
  </si>
  <si>
    <t>Christopher B.</t>
  </si>
  <si>
    <t>Christopher G. &amp; Heather</t>
  </si>
  <si>
    <t>Christy J. Carolyn E.</t>
  </si>
  <si>
    <t>Tom</t>
  </si>
  <si>
    <t>Chuck</t>
  </si>
  <si>
    <t>Lavern O.</t>
  </si>
  <si>
    <t>Marilia</t>
  </si>
  <si>
    <t>Clair H.</t>
  </si>
  <si>
    <t>Edwin &amp; Paul</t>
  </si>
  <si>
    <t>Clayton &amp; Kathryn</t>
  </si>
  <si>
    <t>Mario</t>
  </si>
  <si>
    <t>Clifford L.</t>
  </si>
  <si>
    <t>Clifford</t>
  </si>
  <si>
    <t>Robert P.</t>
  </si>
  <si>
    <t>Julia</t>
  </si>
  <si>
    <t>Clyde N.</t>
  </si>
  <si>
    <t>Annie</t>
  </si>
  <si>
    <t>Jeraldine</t>
  </si>
  <si>
    <t>Jamie</t>
  </si>
  <si>
    <t>Shannon</t>
  </si>
  <si>
    <t>Conner</t>
  </si>
  <si>
    <t>Conrad</t>
  </si>
  <si>
    <t>Dena</t>
  </si>
  <si>
    <t>Sarah</t>
  </si>
  <si>
    <t>Corneal J</t>
  </si>
  <si>
    <t>Cory &amp; Loretta</t>
  </si>
  <si>
    <t>Jed</t>
  </si>
  <si>
    <t>Jonas</t>
  </si>
  <si>
    <t>Jesana</t>
  </si>
  <si>
    <t>Jenny</t>
  </si>
  <si>
    <t>Casey &amp; Robin</t>
  </si>
  <si>
    <t>Craig And Neil</t>
  </si>
  <si>
    <t>Suzanne</t>
  </si>
  <si>
    <t>Shelby</t>
  </si>
  <si>
    <t>Angela</t>
  </si>
  <si>
    <t>Harry</t>
  </si>
  <si>
    <t>Enos</t>
  </si>
  <si>
    <t>Levi</t>
  </si>
  <si>
    <t>Justin</t>
  </si>
  <si>
    <t>Don</t>
  </si>
  <si>
    <t>Manny</t>
  </si>
  <si>
    <t>Harlan</t>
  </si>
  <si>
    <t>Travis</t>
  </si>
  <si>
    <t>Stevie</t>
  </si>
  <si>
    <t>Daryl</t>
  </si>
  <si>
    <t>Scott</t>
  </si>
  <si>
    <t>Caleb</t>
  </si>
  <si>
    <t>Curtis</t>
  </si>
  <si>
    <t>Curtiss</t>
  </si>
  <si>
    <t>Curvin</t>
  </si>
  <si>
    <t>Moses L or Lydia V</t>
  </si>
  <si>
    <t>Ramsay</t>
  </si>
  <si>
    <t>Arief</t>
  </si>
  <si>
    <t>John &amp; Mary</t>
  </si>
  <si>
    <t>Tamara</t>
  </si>
  <si>
    <t>Jose</t>
  </si>
  <si>
    <t>Siegrid</t>
  </si>
  <si>
    <t>Dale &amp; Janie</t>
  </si>
  <si>
    <t>Dale</t>
  </si>
  <si>
    <t>Dan</t>
  </si>
  <si>
    <t>Dan S. &amp; Anna</t>
  </si>
  <si>
    <t>Patricia</t>
  </si>
  <si>
    <t>D. David</t>
  </si>
  <si>
    <t>Daniel &amp; Barbara</t>
  </si>
  <si>
    <t>Daniel A. &amp; Susannah</t>
  </si>
  <si>
    <t>Daniel</t>
  </si>
  <si>
    <t>Daniel, Rebecca</t>
  </si>
  <si>
    <t>Daniel B</t>
  </si>
  <si>
    <t>Daniel B.</t>
  </si>
  <si>
    <t>Daniel C</t>
  </si>
  <si>
    <t>Daniel D and Anna A</t>
  </si>
  <si>
    <t>Daniel E</t>
  </si>
  <si>
    <t>Daniel E.</t>
  </si>
  <si>
    <t>Daniel I.</t>
  </si>
  <si>
    <t>Daniel L. &amp; Linda</t>
  </si>
  <si>
    <t>Daniel L.</t>
  </si>
  <si>
    <t>Daniel R</t>
  </si>
  <si>
    <t>Daniel S</t>
  </si>
  <si>
    <t>Daniel V</t>
  </si>
  <si>
    <t>Daniel W.</t>
  </si>
  <si>
    <t>Madelyn</t>
  </si>
  <si>
    <t>Dannie</t>
  </si>
  <si>
    <t>Danny</t>
  </si>
  <si>
    <t>Janie</t>
  </si>
  <si>
    <t>Brett</t>
  </si>
  <si>
    <t>Darrell</t>
  </si>
  <si>
    <t>Darren</t>
  </si>
  <si>
    <t>Darron</t>
  </si>
  <si>
    <t>David &amp; Emma</t>
  </si>
  <si>
    <t>David &amp; Karen</t>
  </si>
  <si>
    <t>David H &amp; Naomi G</t>
  </si>
  <si>
    <t>David &amp; Rhoda</t>
  </si>
  <si>
    <t>David B.</t>
  </si>
  <si>
    <t>David D.</t>
  </si>
  <si>
    <t>David G.</t>
  </si>
  <si>
    <t>David H</t>
  </si>
  <si>
    <t>David J</t>
  </si>
  <si>
    <t>David J.</t>
  </si>
  <si>
    <t>David K.</t>
  </si>
  <si>
    <t>David L.&amp; Sarah</t>
  </si>
  <si>
    <t>David L.</t>
  </si>
  <si>
    <t>David M</t>
  </si>
  <si>
    <t>David N, Aden Ray</t>
  </si>
  <si>
    <t>David O</t>
  </si>
  <si>
    <t>David R.</t>
  </si>
  <si>
    <t>David R &amp; Martha</t>
  </si>
  <si>
    <t>David S,</t>
  </si>
  <si>
    <t>David S.</t>
  </si>
  <si>
    <t>David Y.</t>
  </si>
  <si>
    <t>Jacob</t>
  </si>
  <si>
    <t>Dean</t>
  </si>
  <si>
    <t>Dean &amp; Norma</t>
  </si>
  <si>
    <t>Pete</t>
  </si>
  <si>
    <t>Philip Or Karl</t>
  </si>
  <si>
    <t>Maria</t>
  </si>
  <si>
    <t>Dario</t>
  </si>
  <si>
    <t>Dave</t>
  </si>
  <si>
    <t>Jourdon</t>
  </si>
  <si>
    <t>Delbert L. &amp; Renee</t>
  </si>
  <si>
    <t>Delbert M.</t>
  </si>
  <si>
    <t>Delmar</t>
  </si>
  <si>
    <t>Delton</t>
  </si>
  <si>
    <t>Becky</t>
  </si>
  <si>
    <t>John N.</t>
  </si>
  <si>
    <t>Dennis</t>
  </si>
  <si>
    <t>Dennis P &amp; Mary Anna</t>
  </si>
  <si>
    <t>Derek</t>
  </si>
  <si>
    <t>Boone</t>
  </si>
  <si>
    <t>Meg</t>
  </si>
  <si>
    <t>Dervin L.</t>
  </si>
  <si>
    <t>Alison</t>
  </si>
  <si>
    <t>Devon R. &amp; Lavera S</t>
  </si>
  <si>
    <t>DeVon R &amp; Alvin H</t>
  </si>
  <si>
    <t>Devon</t>
  </si>
  <si>
    <t>DeWayne &amp; Dorcas</t>
  </si>
  <si>
    <t>DeWayne</t>
  </si>
  <si>
    <t>Billie</t>
  </si>
  <si>
    <t>Phyllis</t>
  </si>
  <si>
    <t>Robin</t>
  </si>
  <si>
    <t>Bruce</t>
  </si>
  <si>
    <t>Ron And Kathy</t>
  </si>
  <si>
    <t>Phillip</t>
  </si>
  <si>
    <t>Dustin</t>
  </si>
  <si>
    <t>Kim</t>
  </si>
  <si>
    <t>Jennifer</t>
  </si>
  <si>
    <t>Donald A.</t>
  </si>
  <si>
    <t>Donald</t>
  </si>
  <si>
    <t>Dorin</t>
  </si>
  <si>
    <t>Cameron</t>
  </si>
  <si>
    <t>Abby</t>
  </si>
  <si>
    <t>Jarrod</t>
  </si>
  <si>
    <t>Jack</t>
  </si>
  <si>
    <t>William</t>
  </si>
  <si>
    <t>Diana</t>
  </si>
  <si>
    <t>Frederik</t>
  </si>
  <si>
    <t>Duane</t>
  </si>
  <si>
    <t>Cherry</t>
  </si>
  <si>
    <t>Tineke</t>
  </si>
  <si>
    <t>Nancy</t>
  </si>
  <si>
    <t>Jonathan</t>
  </si>
  <si>
    <t>Dwayne L.</t>
  </si>
  <si>
    <t>Joyce</t>
  </si>
  <si>
    <t>Eli W</t>
  </si>
  <si>
    <t>Earl</t>
  </si>
  <si>
    <t>Heman</t>
  </si>
  <si>
    <t>Cora</t>
  </si>
  <si>
    <t>Vernon</t>
  </si>
  <si>
    <t>Maya</t>
  </si>
  <si>
    <t>Ed</t>
  </si>
  <si>
    <t>Eddie</t>
  </si>
  <si>
    <t>Edward</t>
  </si>
  <si>
    <t>Edwin</t>
  </si>
  <si>
    <t>Pamela</t>
  </si>
  <si>
    <t>Elam E &amp; Naomi K</t>
  </si>
  <si>
    <t>Elam F.</t>
  </si>
  <si>
    <t>Elam J. &amp; Rebecca</t>
  </si>
  <si>
    <t>Elam</t>
  </si>
  <si>
    <t>Elam S</t>
  </si>
  <si>
    <t>Elbert</t>
  </si>
  <si>
    <t>Eldon</t>
  </si>
  <si>
    <t>Eli &amp; Susie</t>
  </si>
  <si>
    <t>Eli B.</t>
  </si>
  <si>
    <t>Eli</t>
  </si>
  <si>
    <t>Eli E Jr and David E</t>
  </si>
  <si>
    <t>Eli H</t>
  </si>
  <si>
    <t>Eli J.</t>
  </si>
  <si>
    <t>Eli L and Rachel</t>
  </si>
  <si>
    <t>Eli R.</t>
  </si>
  <si>
    <t>Elias</t>
  </si>
  <si>
    <t>Elvin</t>
  </si>
  <si>
    <t>Elmer B.</t>
  </si>
  <si>
    <t>Leslie</t>
  </si>
  <si>
    <t>Elmer</t>
  </si>
  <si>
    <t>Elmer J.</t>
  </si>
  <si>
    <t>Elmer &amp; Verba</t>
  </si>
  <si>
    <t>Elroy O &amp; Lorene O</t>
  </si>
  <si>
    <t>Kathleen</t>
  </si>
  <si>
    <t>Emanuel S.</t>
  </si>
  <si>
    <t>Emanuel</t>
  </si>
  <si>
    <t>Emanuel K.</t>
  </si>
  <si>
    <t>Emanuel R.</t>
  </si>
  <si>
    <t>Emery</t>
  </si>
  <si>
    <t>Jared</t>
  </si>
  <si>
    <t>Joe</t>
  </si>
  <si>
    <t>P. Jeffrey</t>
  </si>
  <si>
    <t>Enos J.</t>
  </si>
  <si>
    <t>Enos D.</t>
  </si>
  <si>
    <t>Andy J. L.</t>
  </si>
  <si>
    <t>Enos Lee &amp; Martha</t>
  </si>
  <si>
    <t>Enos S.</t>
  </si>
  <si>
    <t>Ephraim</t>
  </si>
  <si>
    <t>Ephraim F.</t>
  </si>
  <si>
    <t>Ephraim H</t>
  </si>
  <si>
    <t>Todd</t>
  </si>
  <si>
    <t>Eric J.</t>
  </si>
  <si>
    <t>Ernest</t>
  </si>
  <si>
    <t>Ernest Lee</t>
  </si>
  <si>
    <t>Ernest E.</t>
  </si>
  <si>
    <t>Ervin</t>
  </si>
  <si>
    <t>Ervin E &amp; Edna J</t>
  </si>
  <si>
    <t>Ervin J.</t>
  </si>
  <si>
    <t>Ervin Jr. &amp; Wilma</t>
  </si>
  <si>
    <t>Ervin L.</t>
  </si>
  <si>
    <t>Erwin</t>
  </si>
  <si>
    <t>Evan</t>
  </si>
  <si>
    <t>Melissa</t>
  </si>
  <si>
    <t>Corby</t>
  </si>
  <si>
    <t>Abdul</t>
  </si>
  <si>
    <t>Ezra &amp; Rachel</t>
  </si>
  <si>
    <t>Ezra</t>
  </si>
  <si>
    <t>Ezra L</t>
  </si>
  <si>
    <t>Ezra S.</t>
  </si>
  <si>
    <t>Matthew R.</t>
  </si>
  <si>
    <t>Glendon</t>
  </si>
  <si>
    <t>Liam</t>
  </si>
  <si>
    <t>George J.</t>
  </si>
  <si>
    <t>Sam M</t>
  </si>
  <si>
    <t>Louis</t>
  </si>
  <si>
    <t>Adriana</t>
  </si>
  <si>
    <t>Henry</t>
  </si>
  <si>
    <t>Arthur &amp; Karen</t>
  </si>
  <si>
    <t>Christy</t>
  </si>
  <si>
    <t>Rodrigo</t>
  </si>
  <si>
    <t>Moses F</t>
  </si>
  <si>
    <t>John, Sara</t>
  </si>
  <si>
    <t>Oswaldo</t>
  </si>
  <si>
    <t>Feldy</t>
  </si>
  <si>
    <t>Ferman</t>
  </si>
  <si>
    <t>Ferman O &amp; Ruby</t>
  </si>
  <si>
    <t>Darin</t>
  </si>
  <si>
    <t>Dakota</t>
  </si>
  <si>
    <t>Firman</t>
  </si>
  <si>
    <t>George &amp; Max</t>
  </si>
  <si>
    <t>Mennae</t>
  </si>
  <si>
    <t>Jerad</t>
  </si>
  <si>
    <t>Floyd &amp; Mary Anna</t>
  </si>
  <si>
    <t>Floyd</t>
  </si>
  <si>
    <t>Floyd J. &amp; Marietta</t>
  </si>
  <si>
    <t>Floyd O</t>
  </si>
  <si>
    <t>Kelly</t>
  </si>
  <si>
    <t>Floyd S. Waneta</t>
  </si>
  <si>
    <t>Moses</t>
  </si>
  <si>
    <t>Rob</t>
  </si>
  <si>
    <t>Galen</t>
  </si>
  <si>
    <t>Roger</t>
  </si>
  <si>
    <t>Joshua</t>
  </si>
  <si>
    <t>Robert</t>
  </si>
  <si>
    <t>Kinga</t>
  </si>
  <si>
    <t>Jessica</t>
  </si>
  <si>
    <t>Berfinne</t>
  </si>
  <si>
    <t>Franklin</t>
  </si>
  <si>
    <t>Harvey</t>
  </si>
  <si>
    <t>Fred</t>
  </si>
  <si>
    <t>Freeman</t>
  </si>
  <si>
    <t>Freeman D</t>
  </si>
  <si>
    <t>Freeman E. &amp; Florence</t>
  </si>
  <si>
    <t>Clarissa</t>
  </si>
  <si>
    <t>Hernan</t>
  </si>
  <si>
    <t>Daniella</t>
  </si>
  <si>
    <t>Dominic</t>
  </si>
  <si>
    <t>Steven</t>
  </si>
  <si>
    <t>Reuvie</t>
  </si>
  <si>
    <t>Marc</t>
  </si>
  <si>
    <t>Gary</t>
  </si>
  <si>
    <t>Gayle</t>
  </si>
  <si>
    <t>Gaylerd</t>
  </si>
  <si>
    <t>Dallas</t>
  </si>
  <si>
    <t>Norbert</t>
  </si>
  <si>
    <t>Hannah</t>
  </si>
  <si>
    <t>Jerry</t>
  </si>
  <si>
    <t>Geremy</t>
  </si>
  <si>
    <t>Mary Jo</t>
  </si>
  <si>
    <t>Gideon</t>
  </si>
  <si>
    <t>Gideon S.</t>
  </si>
  <si>
    <t>Nobuyo</t>
  </si>
  <si>
    <t>Alonso</t>
  </si>
  <si>
    <t>Glen</t>
  </si>
  <si>
    <t>Glen R</t>
  </si>
  <si>
    <t>Glen W.</t>
  </si>
  <si>
    <t>Glenn M</t>
  </si>
  <si>
    <t>Glenn Matthew</t>
  </si>
  <si>
    <t>Milo D</t>
  </si>
  <si>
    <t>Kenia</t>
  </si>
  <si>
    <t>Stewart</t>
  </si>
  <si>
    <t>Jeremy</t>
  </si>
  <si>
    <t>Pernille</t>
  </si>
  <si>
    <t>Gregory</t>
  </si>
  <si>
    <t>Dorice</t>
  </si>
  <si>
    <t>Ronald</t>
  </si>
  <si>
    <t>Lauren</t>
  </si>
  <si>
    <t>Cheyenne</t>
  </si>
  <si>
    <t>Benjamin &amp; David</t>
  </si>
  <si>
    <t>Karl</t>
  </si>
  <si>
    <t>Lisa</t>
  </si>
  <si>
    <t>Norman</t>
  </si>
  <si>
    <t>Steven K.</t>
  </si>
  <si>
    <t>Jesse</t>
  </si>
  <si>
    <t>Roberto</t>
  </si>
  <si>
    <t>Anachal</t>
  </si>
  <si>
    <t>Dylan</t>
  </si>
  <si>
    <t>Leo</t>
  </si>
  <si>
    <t>Vanessa</t>
  </si>
  <si>
    <t>Orla</t>
  </si>
  <si>
    <t>Bryan</t>
  </si>
  <si>
    <t>Randy</t>
  </si>
  <si>
    <t>Rebecca</t>
  </si>
  <si>
    <t>Harlan B.</t>
  </si>
  <si>
    <t>Harley &amp; Anna</t>
  </si>
  <si>
    <t>Harley</t>
  </si>
  <si>
    <t>Harley J. &amp; Rachel L</t>
  </si>
  <si>
    <t>Harley P</t>
  </si>
  <si>
    <t>Harley R</t>
  </si>
  <si>
    <t>Delaney</t>
  </si>
  <si>
    <t>Harold R.</t>
  </si>
  <si>
    <t>Harold</t>
  </si>
  <si>
    <t>Harvey J.</t>
  </si>
  <si>
    <t>Harvey O.</t>
  </si>
  <si>
    <t>Harvey R.</t>
  </si>
  <si>
    <t>Burton</t>
  </si>
  <si>
    <t>Spencer</t>
  </si>
  <si>
    <t>Gary Hays III &amp;</t>
  </si>
  <si>
    <t>Barbara</t>
  </si>
  <si>
    <t>Charles and Lori</t>
  </si>
  <si>
    <t>MICHAEL</t>
  </si>
  <si>
    <t>Leon</t>
  </si>
  <si>
    <t>Kelvin</t>
  </si>
  <si>
    <t>Henry A. &amp; Mary Anne</t>
  </si>
  <si>
    <t>Henry A.F.</t>
  </si>
  <si>
    <t>Henry D.</t>
  </si>
  <si>
    <t>Henry E. &amp; Annie</t>
  </si>
  <si>
    <t>Henry P.</t>
  </si>
  <si>
    <t>Henry J.</t>
  </si>
  <si>
    <t>Henry Jay &amp; Vera Mae</t>
  </si>
  <si>
    <t>Henry M</t>
  </si>
  <si>
    <t>Henry T</t>
  </si>
  <si>
    <t>Qi</t>
  </si>
  <si>
    <t>Hester</t>
  </si>
  <si>
    <t>Elmer E</t>
  </si>
  <si>
    <t>Ashley</t>
  </si>
  <si>
    <t>Matthew</t>
  </si>
  <si>
    <t>Brooke</t>
  </si>
  <si>
    <t>Linda</t>
  </si>
  <si>
    <t>Ethan</t>
  </si>
  <si>
    <t>Rudy N</t>
  </si>
  <si>
    <t>Phineas A</t>
  </si>
  <si>
    <t>Jonas Y</t>
  </si>
  <si>
    <t>Joe P</t>
  </si>
  <si>
    <t>Ronald W. &amp; Kathy M.</t>
  </si>
  <si>
    <t>Homer</t>
  </si>
  <si>
    <t>Wm Edward</t>
  </si>
  <si>
    <t>Perry</t>
  </si>
  <si>
    <t>Loren</t>
  </si>
  <si>
    <t>Willard</t>
  </si>
  <si>
    <t>Houston</t>
  </si>
  <si>
    <t>Howard</t>
  </si>
  <si>
    <t>Amber</t>
  </si>
  <si>
    <t>Abbey</t>
  </si>
  <si>
    <t>Lucia</t>
  </si>
  <si>
    <t>Dillon</t>
  </si>
  <si>
    <t>Marlys "Kit"</t>
  </si>
  <si>
    <t>Jeannie</t>
  </si>
  <si>
    <t>Irvin</t>
  </si>
  <si>
    <t>Dan &amp; Leah</t>
  </si>
  <si>
    <t>Genevieve</t>
  </si>
  <si>
    <t>Taylor</t>
  </si>
  <si>
    <t>Ryan</t>
  </si>
  <si>
    <t>Rod</t>
  </si>
  <si>
    <t>Rocco</t>
  </si>
  <si>
    <t>Kalvin</t>
  </si>
  <si>
    <t>Isaac</t>
  </si>
  <si>
    <t>Isaac B.</t>
  </si>
  <si>
    <t>Isaac H and Isaac H Jr</t>
  </si>
  <si>
    <t>Isaac S.</t>
  </si>
  <si>
    <t>Lois</t>
  </si>
  <si>
    <t>Israel F.</t>
  </si>
  <si>
    <t>Israel S.</t>
  </si>
  <si>
    <t>Israel</t>
  </si>
  <si>
    <t>Ivan Lee &amp; Sara Etta</t>
  </si>
  <si>
    <t>Jacob K</t>
  </si>
  <si>
    <t>Jacob M.</t>
  </si>
  <si>
    <t>Jacob S</t>
  </si>
  <si>
    <t>Jacobus</t>
  </si>
  <si>
    <t>Kevin &amp; Mary</t>
  </si>
  <si>
    <t>Jakie J.</t>
  </si>
  <si>
    <t>James J.</t>
  </si>
  <si>
    <t>Rinske</t>
  </si>
  <si>
    <t>Jana</t>
  </si>
  <si>
    <t>Jaremy</t>
  </si>
  <si>
    <t>Jaruwan</t>
  </si>
  <si>
    <t>Frederick</t>
  </si>
  <si>
    <t>Jeannine</t>
  </si>
  <si>
    <t>Jeffrey</t>
  </si>
  <si>
    <t>Thomas</t>
  </si>
  <si>
    <t>Jeremiah &amp; Esther</t>
  </si>
  <si>
    <t>Jeremy R</t>
  </si>
  <si>
    <t>Jerry D.</t>
  </si>
  <si>
    <t>Jerry L. &amp; Naomi S.</t>
  </si>
  <si>
    <t>Jesse L.</t>
  </si>
  <si>
    <t>Jesse S.</t>
  </si>
  <si>
    <t>James &amp; Janice</t>
  </si>
  <si>
    <t>Ove</t>
  </si>
  <si>
    <t>Luci and JV</t>
  </si>
  <si>
    <t>Jay</t>
  </si>
  <si>
    <t>Joe &amp; Christina</t>
  </si>
  <si>
    <t>Joe L. &amp; Linda E.</t>
  </si>
  <si>
    <t>Joe M</t>
  </si>
  <si>
    <t>Joel and Katie</t>
  </si>
  <si>
    <t>Mima</t>
  </si>
  <si>
    <t>John &amp; Christina</t>
  </si>
  <si>
    <t>John &amp; Donna</t>
  </si>
  <si>
    <t>John A</t>
  </si>
  <si>
    <t>John Amos</t>
  </si>
  <si>
    <t>John B</t>
  </si>
  <si>
    <t>John F.</t>
  </si>
  <si>
    <t>John Henry</t>
  </si>
  <si>
    <t>John I.</t>
  </si>
  <si>
    <t>John Ivan</t>
  </si>
  <si>
    <t>John J.</t>
  </si>
  <si>
    <t>John L</t>
  </si>
  <si>
    <t>John M.</t>
  </si>
  <si>
    <t>John O</t>
  </si>
  <si>
    <t>John R.</t>
  </si>
  <si>
    <t>John S.</t>
  </si>
  <si>
    <t>John V.</t>
  </si>
  <si>
    <t>John W.</t>
  </si>
  <si>
    <t>John, Chris &amp; Anna</t>
  </si>
  <si>
    <t>Kristin</t>
  </si>
  <si>
    <t>John &amp; Fannie Mae</t>
  </si>
  <si>
    <t>Johnny J.</t>
  </si>
  <si>
    <t>Johnny L.</t>
  </si>
  <si>
    <t>Johnny</t>
  </si>
  <si>
    <t>Laurel</t>
  </si>
  <si>
    <t>Philip</t>
  </si>
  <si>
    <t>Jonas L.</t>
  </si>
  <si>
    <t>Jonas A</t>
  </si>
  <si>
    <t>Jonas D, Anna E</t>
  </si>
  <si>
    <t>Jonas J.</t>
  </si>
  <si>
    <t>Jonas M. Jr. &amp; Susie</t>
  </si>
  <si>
    <t>Jonas Lee</t>
  </si>
  <si>
    <t>Jonas R. &amp; Esther W.</t>
  </si>
  <si>
    <t>Alta</t>
  </si>
  <si>
    <t>Lavern M &amp; Jonathan</t>
  </si>
  <si>
    <t>Albert J., Jonathan</t>
  </si>
  <si>
    <t>Jonathan J And Lora S</t>
  </si>
  <si>
    <t>Joni</t>
  </si>
  <si>
    <t>Joseph A.</t>
  </si>
  <si>
    <t>Joseph G</t>
  </si>
  <si>
    <t>Joseph G.</t>
  </si>
  <si>
    <t>Joseph L</t>
  </si>
  <si>
    <t>Joseph L. &amp; Lizzie J.</t>
  </si>
  <si>
    <t>Joseph N.</t>
  </si>
  <si>
    <t>Joseph S.</t>
  </si>
  <si>
    <t>Josiah H.</t>
  </si>
  <si>
    <t>Josiah</t>
  </si>
  <si>
    <t>Josiah M.</t>
  </si>
  <si>
    <t>Danielle</t>
  </si>
  <si>
    <t>Jason and Katrina</t>
  </si>
  <si>
    <t>Marques</t>
  </si>
  <si>
    <t>Justin &amp; Jennifer</t>
  </si>
  <si>
    <t>Heather</t>
  </si>
  <si>
    <t>Katie</t>
  </si>
  <si>
    <t>Masatomo</t>
  </si>
  <si>
    <t>Guyneth</t>
  </si>
  <si>
    <t>Keith F.</t>
  </si>
  <si>
    <t>Keith J.</t>
  </si>
  <si>
    <t>Keith</t>
  </si>
  <si>
    <t>Tessa</t>
  </si>
  <si>
    <t>Cleson</t>
  </si>
  <si>
    <t>Kenneth</t>
  </si>
  <si>
    <t>Kenneth &amp; Pauline</t>
  </si>
  <si>
    <t>Tyler</t>
  </si>
  <si>
    <t>Abner S.</t>
  </si>
  <si>
    <t>Mary</t>
  </si>
  <si>
    <t>Kinley</t>
  </si>
  <si>
    <t>Lee</t>
  </si>
  <si>
    <t>Harpinder</t>
  </si>
  <si>
    <t>Kore D.</t>
  </si>
  <si>
    <t>Kore</t>
  </si>
  <si>
    <t>Kori G.</t>
  </si>
  <si>
    <t>Chananchida</t>
  </si>
  <si>
    <t>Jonas E And Reuben E</t>
  </si>
  <si>
    <t>Kyle and Casey</t>
  </si>
  <si>
    <t>Levi D &amp; Marlene</t>
  </si>
  <si>
    <t>Randall</t>
  </si>
  <si>
    <t>Lamar &amp; Sadie Anna</t>
  </si>
  <si>
    <t>Lamar H.</t>
  </si>
  <si>
    <t>Lamar</t>
  </si>
  <si>
    <t>Kerry</t>
  </si>
  <si>
    <t>Larry A.</t>
  </si>
  <si>
    <t>Lars</t>
  </si>
  <si>
    <t>Lavern &amp; Susan</t>
  </si>
  <si>
    <t>Lavern J. &amp; Dorothy Sue</t>
  </si>
  <si>
    <t>LaVern</t>
  </si>
  <si>
    <t>Lavern</t>
  </si>
  <si>
    <t>Lavern S</t>
  </si>
  <si>
    <t>Laverne O. &amp; Ida A.</t>
  </si>
  <si>
    <t>Lavon &amp; Ruth</t>
  </si>
  <si>
    <t>Lavon</t>
  </si>
  <si>
    <t>Lawrence And Mary Jane</t>
  </si>
  <si>
    <t>Lyle</t>
  </si>
  <si>
    <t>Leland</t>
  </si>
  <si>
    <t>Leon M.</t>
  </si>
  <si>
    <t>Leon S</t>
  </si>
  <si>
    <t>Leonard H.</t>
  </si>
  <si>
    <t>Felicisima</t>
  </si>
  <si>
    <t>Leroy F.</t>
  </si>
  <si>
    <t>Leroy O.</t>
  </si>
  <si>
    <t>Lester</t>
  </si>
  <si>
    <t>Lester S</t>
  </si>
  <si>
    <t>Levi &amp; Emma</t>
  </si>
  <si>
    <t>Levi D.</t>
  </si>
  <si>
    <t>Levi G</t>
  </si>
  <si>
    <t>Levi M.</t>
  </si>
  <si>
    <t>Levi P</t>
  </si>
  <si>
    <t>Levi S.</t>
  </si>
  <si>
    <t>Vincent</t>
  </si>
  <si>
    <t>Charla</t>
  </si>
  <si>
    <t>Ken</t>
  </si>
  <si>
    <t>Ross</t>
  </si>
  <si>
    <t>Mary, Gerald &amp; Marcus</t>
  </si>
  <si>
    <t>Marlin</t>
  </si>
  <si>
    <t>Carl &amp; Laura</t>
  </si>
  <si>
    <t>Lexis M.</t>
  </si>
  <si>
    <t>Jeani</t>
  </si>
  <si>
    <t>Peter P.</t>
  </si>
  <si>
    <t>Layne</t>
  </si>
  <si>
    <t>Lloyd</t>
  </si>
  <si>
    <t>Lester A and Laura</t>
  </si>
  <si>
    <t>Ellen S.</t>
  </si>
  <si>
    <t>Amanda</t>
  </si>
  <si>
    <t>Lonnie</t>
  </si>
  <si>
    <t>Louie</t>
  </si>
  <si>
    <t>Louis W.</t>
  </si>
  <si>
    <t>Luke M.</t>
  </si>
  <si>
    <t>Luke and JoAnne</t>
  </si>
  <si>
    <t>Thanh</t>
  </si>
  <si>
    <t>Lyle D</t>
  </si>
  <si>
    <t>Kevin M</t>
  </si>
  <si>
    <t>Lyndon M</t>
  </si>
  <si>
    <t>Lynn</t>
  </si>
  <si>
    <t>Marcus</t>
  </si>
  <si>
    <t>Matt and Greg</t>
  </si>
  <si>
    <t>Madeline</t>
  </si>
  <si>
    <t>Mack</t>
  </si>
  <si>
    <t>Lizzie</t>
  </si>
  <si>
    <t>Mahlon L</t>
  </si>
  <si>
    <t>Owen</t>
  </si>
  <si>
    <t>Wilson</t>
  </si>
  <si>
    <t>Enos A</t>
  </si>
  <si>
    <t>Larry &amp; Debora</t>
  </si>
  <si>
    <t>Amit</t>
  </si>
  <si>
    <t>Joseph A</t>
  </si>
  <si>
    <t>Jeff D</t>
  </si>
  <si>
    <t>Jonas J</t>
  </si>
  <si>
    <t>Marcus &amp; Irene Mae</t>
  </si>
  <si>
    <t>Marcus &amp; Mary Anna</t>
  </si>
  <si>
    <t>Marcus &amp; Rhoda</t>
  </si>
  <si>
    <t>Marcus M.</t>
  </si>
  <si>
    <t>Marion J.</t>
  </si>
  <si>
    <t>Mark &amp; Janet</t>
  </si>
  <si>
    <t>Mark &amp; Peter</t>
  </si>
  <si>
    <t>Mark A.</t>
  </si>
  <si>
    <t>Mark T.</t>
  </si>
  <si>
    <t>Marlin J.</t>
  </si>
  <si>
    <t>Marlin R.</t>
  </si>
  <si>
    <t>Martin</t>
  </si>
  <si>
    <t>Martin E</t>
  </si>
  <si>
    <t>Samantha</t>
  </si>
  <si>
    <t>Martin (Marty) R.</t>
  </si>
  <si>
    <t>Marty</t>
  </si>
  <si>
    <t>Marvin E</t>
  </si>
  <si>
    <t>Marvin</t>
  </si>
  <si>
    <t>Marvin N</t>
  </si>
  <si>
    <t>Sammy</t>
  </si>
  <si>
    <t>Roy</t>
  </si>
  <si>
    <t>Mose</t>
  </si>
  <si>
    <t>Matt</t>
  </si>
  <si>
    <t>Matthew &amp; Debbie</t>
  </si>
  <si>
    <t>Matthew H.</t>
  </si>
  <si>
    <t>Matthew Glenn</t>
  </si>
  <si>
    <t>Matthew P</t>
  </si>
  <si>
    <t>Matthias J. &amp; Yvonne Ruth</t>
  </si>
  <si>
    <t>Maynard</t>
  </si>
  <si>
    <t>Lucas</t>
  </si>
  <si>
    <t>Seth</t>
  </si>
  <si>
    <t>Gus</t>
  </si>
  <si>
    <t>Felipe</t>
  </si>
  <si>
    <t>Vicki</t>
  </si>
  <si>
    <t>Melvin B.</t>
  </si>
  <si>
    <t>Melvin D</t>
  </si>
  <si>
    <t>Melvin</t>
  </si>
  <si>
    <t>Melvin Jay</t>
  </si>
  <si>
    <t>Melvin R.</t>
  </si>
  <si>
    <t>Melvin E &amp; Saranna</t>
  </si>
  <si>
    <t>Menno B.</t>
  </si>
  <si>
    <t>Menno L.</t>
  </si>
  <si>
    <t>Menno A</t>
  </si>
  <si>
    <t>Merle</t>
  </si>
  <si>
    <t>Merlin</t>
  </si>
  <si>
    <t>Merlin M.</t>
  </si>
  <si>
    <t>Mervin</t>
  </si>
  <si>
    <t>Mervin M</t>
  </si>
  <si>
    <t>Mervin and Edna</t>
  </si>
  <si>
    <t>Mervin O.</t>
  </si>
  <si>
    <t>Mervin, Lorene, James</t>
  </si>
  <si>
    <t>Dulshan</t>
  </si>
  <si>
    <t>Micah &amp; Judith</t>
  </si>
  <si>
    <t>Michael A</t>
  </si>
  <si>
    <t>Donnie and Carolyn</t>
  </si>
  <si>
    <t>Mikel</t>
  </si>
  <si>
    <t>Milford</t>
  </si>
  <si>
    <t>Patrick</t>
  </si>
  <si>
    <t>Tobie D</t>
  </si>
  <si>
    <t>Rudy M</t>
  </si>
  <si>
    <t>Ronnie</t>
  </si>
  <si>
    <t>Samuel H and Howard V</t>
  </si>
  <si>
    <t>Rudy</t>
  </si>
  <si>
    <t>Les</t>
  </si>
  <si>
    <t>Enos L</t>
  </si>
  <si>
    <t>Chandler Mills</t>
  </si>
  <si>
    <t>Milton &amp; Martha</t>
  </si>
  <si>
    <t>Katia</t>
  </si>
  <si>
    <t>Andries</t>
  </si>
  <si>
    <t>Mitch &amp; Laura</t>
  </si>
  <si>
    <t>Wesley</t>
  </si>
  <si>
    <t>Rhonda</t>
  </si>
  <si>
    <t>Monroe F.</t>
  </si>
  <si>
    <t>Monroe</t>
  </si>
  <si>
    <t>Pam</t>
  </si>
  <si>
    <t>Monique</t>
  </si>
  <si>
    <t>Mose J</t>
  </si>
  <si>
    <t>Moses F.</t>
  </si>
  <si>
    <t>Moses Z</t>
  </si>
  <si>
    <t>Mosie D.</t>
  </si>
  <si>
    <t>Mosie</t>
  </si>
  <si>
    <t>Wayne</t>
  </si>
  <si>
    <t>Donis</t>
  </si>
  <si>
    <t>Levi E &amp; Sarah</t>
  </si>
  <si>
    <t>Malcolm</t>
  </si>
  <si>
    <t>Myron &amp; Treva</t>
  </si>
  <si>
    <t>Naaman</t>
  </si>
  <si>
    <t>Tran</t>
  </si>
  <si>
    <t>Nathan &amp; Mary</t>
  </si>
  <si>
    <t>Nathan A.</t>
  </si>
  <si>
    <t>Nathan E</t>
  </si>
  <si>
    <t>Nathan H.</t>
  </si>
  <si>
    <t>Cheri</t>
  </si>
  <si>
    <t>Nate</t>
  </si>
  <si>
    <t>Riley</t>
  </si>
  <si>
    <t>Valerie</t>
  </si>
  <si>
    <t>Neal</t>
  </si>
  <si>
    <t>Neil</t>
  </si>
  <si>
    <t>Nelson</t>
  </si>
  <si>
    <t>Nelson S.</t>
  </si>
  <si>
    <t>Ryan J.</t>
  </si>
  <si>
    <t>Nicholas</t>
  </si>
  <si>
    <t>Allen R</t>
  </si>
  <si>
    <t>Noah &amp; Christina</t>
  </si>
  <si>
    <t>Noah H</t>
  </si>
  <si>
    <t>Noah</t>
  </si>
  <si>
    <t>Noah J.</t>
  </si>
  <si>
    <t>Noah Lee</t>
  </si>
  <si>
    <t>Noah R</t>
  </si>
  <si>
    <t>Norman D.</t>
  </si>
  <si>
    <t>Pierre</t>
  </si>
  <si>
    <t>Maryrose</t>
  </si>
  <si>
    <t>Sakiko</t>
  </si>
  <si>
    <t>Dino</t>
  </si>
  <si>
    <t>Jason and Becky</t>
  </si>
  <si>
    <t>Angel</t>
  </si>
  <si>
    <t>Diane &amp; Jonathan</t>
  </si>
  <si>
    <t>Antero</t>
  </si>
  <si>
    <t>Olin</t>
  </si>
  <si>
    <t>Omar S</t>
  </si>
  <si>
    <t>Omer And Katie</t>
  </si>
  <si>
    <t>Omer</t>
  </si>
  <si>
    <t>Miguel</t>
  </si>
  <si>
    <t>Cleber</t>
  </si>
  <si>
    <t>Orlie &amp; Willard</t>
  </si>
  <si>
    <t>Orva F.</t>
  </si>
  <si>
    <t>Orvan A.</t>
  </si>
  <si>
    <t>Orvan</t>
  </si>
  <si>
    <t>Sonia</t>
  </si>
  <si>
    <t>Oswald</t>
  </si>
  <si>
    <t>Owen E.</t>
  </si>
  <si>
    <t>Adenike</t>
  </si>
  <si>
    <t>Rosemary</t>
  </si>
  <si>
    <t>MaryJane</t>
  </si>
  <si>
    <t>Bert</t>
  </si>
  <si>
    <t>Pascal</t>
  </si>
  <si>
    <t>Peter, Melissa, Jeremy, Kelsey</t>
  </si>
  <si>
    <t>Sydnie</t>
  </si>
  <si>
    <t>Paul &amp; Emily</t>
  </si>
  <si>
    <t>Paul M.</t>
  </si>
  <si>
    <t>Paul W. &amp; Ida M.</t>
  </si>
  <si>
    <t>Myron</t>
  </si>
  <si>
    <t>Laura</t>
  </si>
  <si>
    <t>Molly</t>
  </si>
  <si>
    <t>Perry &amp; Miriam</t>
  </si>
  <si>
    <t>Perry B</t>
  </si>
  <si>
    <t>Manuel</t>
  </si>
  <si>
    <t>Felty B</t>
  </si>
  <si>
    <t>Philip N.</t>
  </si>
  <si>
    <t>Phillip H.</t>
  </si>
  <si>
    <t>Eli J</t>
  </si>
  <si>
    <t>Kathy</t>
  </si>
  <si>
    <t>Zelita</t>
  </si>
  <si>
    <t>Christie &amp; David</t>
  </si>
  <si>
    <t>Ron</t>
  </si>
  <si>
    <t>Luka</t>
  </si>
  <si>
    <t>Deidre</t>
  </si>
  <si>
    <t>David L, Amanda</t>
  </si>
  <si>
    <t>Jordan</t>
  </si>
  <si>
    <t>Suwit</t>
  </si>
  <si>
    <t>Adrian</t>
  </si>
  <si>
    <t>Allan</t>
  </si>
  <si>
    <t>Baird</t>
  </si>
  <si>
    <t>Craig</t>
  </si>
  <si>
    <t>Damien</t>
  </si>
  <si>
    <t>Denise</t>
  </si>
  <si>
    <t>Eugene</t>
  </si>
  <si>
    <t>kody</t>
  </si>
  <si>
    <t>Forrest</t>
  </si>
  <si>
    <t>Kirt</t>
  </si>
  <si>
    <t>Gene</t>
  </si>
  <si>
    <t>Geoff</t>
  </si>
  <si>
    <t>Geordie</t>
  </si>
  <si>
    <t>George</t>
  </si>
  <si>
    <t>Hayden</t>
  </si>
  <si>
    <t>Dawn</t>
  </si>
  <si>
    <t>John (Andy)</t>
  </si>
  <si>
    <t>Kyle</t>
  </si>
  <si>
    <t>Marcel</t>
  </si>
  <si>
    <t>Marcella</t>
  </si>
  <si>
    <t>Nick</t>
  </si>
  <si>
    <t>Melanie</t>
  </si>
  <si>
    <t>Ranson "Randy"</t>
  </si>
  <si>
    <t>Reuben</t>
  </si>
  <si>
    <t>Rich</t>
  </si>
  <si>
    <t>Roland</t>
  </si>
  <si>
    <t>Rory</t>
  </si>
  <si>
    <t>Sebastien</t>
  </si>
  <si>
    <t>Tami</t>
  </si>
  <si>
    <t>Tia</t>
  </si>
  <si>
    <t>Tobias</t>
  </si>
  <si>
    <t>Howard (Tom)</t>
  </si>
  <si>
    <t>Una</t>
  </si>
  <si>
    <t>Tara</t>
  </si>
  <si>
    <t>Wendy</t>
  </si>
  <si>
    <t>Beth</t>
  </si>
  <si>
    <t>Setiawan</t>
  </si>
  <si>
    <t>Amir</t>
  </si>
  <si>
    <t>Ellyzabeth</t>
  </si>
  <si>
    <t>Michael Na</t>
  </si>
  <si>
    <t>Mashuri</t>
  </si>
  <si>
    <t>Hendrajaya</t>
  </si>
  <si>
    <t>DuBois</t>
  </si>
  <si>
    <t>Carrie</t>
  </si>
  <si>
    <t>Joel, Earla</t>
  </si>
  <si>
    <t>Tina</t>
  </si>
  <si>
    <t>Glen E</t>
  </si>
  <si>
    <t>Sharon</t>
  </si>
  <si>
    <t>Volkan</t>
  </si>
  <si>
    <t>Nevin R, Louella, Harold &amp; Ella</t>
  </si>
  <si>
    <t>Reuben AG and Abner</t>
  </si>
  <si>
    <t>Shane</t>
  </si>
  <si>
    <t>Ralph</t>
  </si>
  <si>
    <t>Ralph S.</t>
  </si>
  <si>
    <t>Gema</t>
  </si>
  <si>
    <t>Randall &amp; Iva</t>
  </si>
  <si>
    <t>Irene</t>
  </si>
  <si>
    <t>Randy or Nancy</t>
  </si>
  <si>
    <t>Amos S</t>
  </si>
  <si>
    <t>Ray D.</t>
  </si>
  <si>
    <t>Raymond D.</t>
  </si>
  <si>
    <t>Raymond D &amp; Marilyn K</t>
  </si>
  <si>
    <t>Raymond J.</t>
  </si>
  <si>
    <t>Raymond L</t>
  </si>
  <si>
    <t>Raymond R.</t>
  </si>
  <si>
    <t>Atanas</t>
  </si>
  <si>
    <t>Russel</t>
  </si>
  <si>
    <t>Nathaniel</t>
  </si>
  <si>
    <t>Remington</t>
  </si>
  <si>
    <t>Jimmy</t>
  </si>
  <si>
    <t>Rueben</t>
  </si>
  <si>
    <t>Reuben J.</t>
  </si>
  <si>
    <t>Daniela</t>
  </si>
  <si>
    <t>Rex</t>
  </si>
  <si>
    <t>Rhonda &amp; Keith</t>
  </si>
  <si>
    <t>Roman</t>
  </si>
  <si>
    <t>Richard &amp; Helaine</t>
  </si>
  <si>
    <t>Rick</t>
  </si>
  <si>
    <t>Vernon E.</t>
  </si>
  <si>
    <t>Jeanne</t>
  </si>
  <si>
    <t>Thomas, Nick, Pat</t>
  </si>
  <si>
    <t>Blake</t>
  </si>
  <si>
    <t>Catalina</t>
  </si>
  <si>
    <t>Johnnie</t>
  </si>
  <si>
    <t>Andy C.</t>
  </si>
  <si>
    <t>Ty</t>
  </si>
  <si>
    <t>Stevie I</t>
  </si>
  <si>
    <t>Aaron Lee</t>
  </si>
  <si>
    <t>Domingo</t>
  </si>
  <si>
    <t>Rudy H.</t>
  </si>
  <si>
    <t>Rudy J.</t>
  </si>
  <si>
    <t>Rudy S.</t>
  </si>
  <si>
    <t>Rudy R.</t>
  </si>
  <si>
    <t>Rufus</t>
  </si>
  <si>
    <t>Joby</t>
  </si>
  <si>
    <t>Kenlin</t>
  </si>
  <si>
    <t>Gavin</t>
  </si>
  <si>
    <t>Duane, Lanny Salmen and</t>
  </si>
  <si>
    <t>Sam &amp; Polly</t>
  </si>
  <si>
    <t>Sam &amp; Susie</t>
  </si>
  <si>
    <t>Sam A.</t>
  </si>
  <si>
    <t>Sam</t>
  </si>
  <si>
    <t>Sam S.</t>
  </si>
  <si>
    <t>Sammie</t>
  </si>
  <si>
    <t>Samuel &amp; Idasue</t>
  </si>
  <si>
    <t>Samuel B.</t>
  </si>
  <si>
    <t>Samuel E.</t>
  </si>
  <si>
    <t>Samuel &amp; Martha</t>
  </si>
  <si>
    <t>Samuel F.</t>
  </si>
  <si>
    <t>Samuel F. Jr.</t>
  </si>
  <si>
    <t>Samuel G.</t>
  </si>
  <si>
    <t>Samuel H. &amp; Saloma J.</t>
  </si>
  <si>
    <t>Samuel J.</t>
  </si>
  <si>
    <t>Samuel J. (John)</t>
  </si>
  <si>
    <t>Samuel L</t>
  </si>
  <si>
    <t>Samuel R</t>
  </si>
  <si>
    <t>Samuel S.</t>
  </si>
  <si>
    <t>Samuel S. Jr.</t>
  </si>
  <si>
    <t>Sandra</t>
  </si>
  <si>
    <t>Fabio</t>
  </si>
  <si>
    <t>Ginger</t>
  </si>
  <si>
    <t>Amos K</t>
  </si>
  <si>
    <t>Samuel L and Marvin S</t>
  </si>
  <si>
    <t>Leon A.</t>
  </si>
  <si>
    <t>Milton "Butch"</t>
  </si>
  <si>
    <t>Ora Jr and Mattie</t>
  </si>
  <si>
    <t>Kandace</t>
  </si>
  <si>
    <t>Carina</t>
  </si>
  <si>
    <t>Torray</t>
  </si>
  <si>
    <t>David F. &amp; Rachel M.</t>
  </si>
  <si>
    <t>Art</t>
  </si>
  <si>
    <t>Shauna</t>
  </si>
  <si>
    <t>Julie</t>
  </si>
  <si>
    <t>Jihad</t>
  </si>
  <si>
    <t>Louis and Marissa</t>
  </si>
  <si>
    <t>Rosa</t>
  </si>
  <si>
    <t>Amitha</t>
  </si>
  <si>
    <t>Simeon &amp; Keturah</t>
  </si>
  <si>
    <t>Simeon</t>
  </si>
  <si>
    <t>Simon D and Barbara J</t>
  </si>
  <si>
    <t>Simon D.</t>
  </si>
  <si>
    <t>Simon</t>
  </si>
  <si>
    <t>Benjamin &amp; Mary</t>
  </si>
  <si>
    <t>Vernon A</t>
  </si>
  <si>
    <t>Toby E</t>
  </si>
  <si>
    <t>Arjan</t>
  </si>
  <si>
    <t>Solomon</t>
  </si>
  <si>
    <t>Solomon F.</t>
  </si>
  <si>
    <t>Amy</t>
  </si>
  <si>
    <t>Kelsey</t>
  </si>
  <si>
    <t>Nichola</t>
  </si>
  <si>
    <t>Forrest C.</t>
  </si>
  <si>
    <t>Glenn, Merlin</t>
  </si>
  <si>
    <t>Karen</t>
  </si>
  <si>
    <t>Dwight</t>
  </si>
  <si>
    <t>Herbert</t>
  </si>
  <si>
    <t>Murugesan Saravana</t>
  </si>
  <si>
    <t>Bindu</t>
  </si>
  <si>
    <t>Stephen D.</t>
  </si>
  <si>
    <t>Stephen F.</t>
  </si>
  <si>
    <t>Stephen S.</t>
  </si>
  <si>
    <t>Steven &amp; Patricia</t>
  </si>
  <si>
    <t>Steven J.</t>
  </si>
  <si>
    <t>Steven L</t>
  </si>
  <si>
    <t>Steven M</t>
  </si>
  <si>
    <t>Steven S and Sarah</t>
  </si>
  <si>
    <t>Steven S</t>
  </si>
  <si>
    <t>Stevie S. Kinsinger</t>
  </si>
  <si>
    <t>Lance</t>
  </si>
  <si>
    <t>Henry K</t>
  </si>
  <si>
    <t>Farnosh</t>
  </si>
  <si>
    <t>Hyun Jin</t>
  </si>
  <si>
    <t>Rudolf</t>
  </si>
  <si>
    <t>Brinn</t>
  </si>
  <si>
    <t>Pete &amp; Jay</t>
  </si>
  <si>
    <t>Clair</t>
  </si>
  <si>
    <t>Mildred</t>
  </si>
  <si>
    <t>Marlowe</t>
  </si>
  <si>
    <t>Curtis, Jeff</t>
  </si>
  <si>
    <t>Susan A</t>
  </si>
  <si>
    <t>Sidney</t>
  </si>
  <si>
    <t>Sylvan</t>
  </si>
  <si>
    <t>Sylvanus</t>
  </si>
  <si>
    <t>Titus</t>
  </si>
  <si>
    <t>Taryn</t>
  </si>
  <si>
    <t>Tad &amp; Michelle</t>
  </si>
  <si>
    <t>Oega</t>
  </si>
  <si>
    <t>Taisha</t>
  </si>
  <si>
    <t>Lizeth</t>
  </si>
  <si>
    <t>Aileen</t>
  </si>
  <si>
    <t>Ted</t>
  </si>
  <si>
    <t>Maggie</t>
  </si>
  <si>
    <t>Dennis J.</t>
  </si>
  <si>
    <t>Stan</t>
  </si>
  <si>
    <t>Suthamart</t>
  </si>
  <si>
    <t>Alexis</t>
  </si>
  <si>
    <t>Kraig</t>
  </si>
  <si>
    <t>Guy</t>
  </si>
  <si>
    <t>Sue</t>
  </si>
  <si>
    <t>Steffen</t>
  </si>
  <si>
    <t>Lea</t>
  </si>
  <si>
    <t>Thomas &amp; Margaret</t>
  </si>
  <si>
    <t>Jan</t>
  </si>
  <si>
    <t>Doan</t>
  </si>
  <si>
    <t>Timothy &amp; Heather</t>
  </si>
  <si>
    <t>Timothy M.</t>
  </si>
  <si>
    <t>Timothy D</t>
  </si>
  <si>
    <t>Titus &amp; Leanna</t>
  </si>
  <si>
    <t>Titus &amp; Lois</t>
  </si>
  <si>
    <t>Tobie</t>
  </si>
  <si>
    <t>Rachel</t>
  </si>
  <si>
    <t>David B</t>
  </si>
  <si>
    <t>Hanna</t>
  </si>
  <si>
    <t>Joe and Kathy</t>
  </si>
  <si>
    <t>Daryl Z</t>
  </si>
  <si>
    <t>John M</t>
  </si>
  <si>
    <t>Paul L.</t>
  </si>
  <si>
    <t>Tristan</t>
  </si>
  <si>
    <t>Maryam</t>
  </si>
  <si>
    <t>Warren</t>
  </si>
  <si>
    <t>Paige</t>
  </si>
  <si>
    <t>John and Amos</t>
  </si>
  <si>
    <t>Kathie</t>
  </si>
  <si>
    <t>Tyler A.</t>
  </si>
  <si>
    <t>Daniel J.</t>
  </si>
  <si>
    <t>Claudio</t>
  </si>
  <si>
    <t>Majid</t>
  </si>
  <si>
    <t>Uria</t>
  </si>
  <si>
    <t>Urie</t>
  </si>
  <si>
    <t>Uriel &amp; Christina</t>
  </si>
  <si>
    <t>Alin</t>
  </si>
  <si>
    <t>Landis</t>
  </si>
  <si>
    <t>Gregg &amp; Gloria</t>
  </si>
  <si>
    <t>Verlin</t>
  </si>
  <si>
    <t>Vernon L</t>
  </si>
  <si>
    <t>Vernon M.</t>
  </si>
  <si>
    <t>Nguyen</t>
  </si>
  <si>
    <t>Yvonne</t>
  </si>
  <si>
    <t>Thomas C.</t>
  </si>
  <si>
    <t>Wallie</t>
  </si>
  <si>
    <t>Enos E and Ida</t>
  </si>
  <si>
    <t>Ward</t>
  </si>
  <si>
    <t>Wayne C.</t>
  </si>
  <si>
    <t>Wayne L</t>
  </si>
  <si>
    <t>Wayne N.</t>
  </si>
  <si>
    <t>Wayne O &amp; Esther E</t>
  </si>
  <si>
    <t>Wayne Ray</t>
  </si>
  <si>
    <t>Donnie</t>
  </si>
  <si>
    <t>Peter N</t>
  </si>
  <si>
    <t>Wendall</t>
  </si>
  <si>
    <t>Drew</t>
  </si>
  <si>
    <t>Kui</t>
  </si>
  <si>
    <t>Richard, Jean, Roy &amp; Katelyn</t>
  </si>
  <si>
    <t>Jay Dean</t>
  </si>
  <si>
    <t>James A.</t>
  </si>
  <si>
    <t>Cecil</t>
  </si>
  <si>
    <t>Wilbur</t>
  </si>
  <si>
    <t>William And Sandra</t>
  </si>
  <si>
    <t>Ed and Ann</t>
  </si>
  <si>
    <t>William C</t>
  </si>
  <si>
    <t>William R.</t>
  </si>
  <si>
    <t>Baylie</t>
  </si>
  <si>
    <t>Willie</t>
  </si>
  <si>
    <t>Willis &amp; Linda</t>
  </si>
  <si>
    <t>Willis</t>
  </si>
  <si>
    <t>Charles F. Jr.</t>
  </si>
  <si>
    <t>Michael L.</t>
  </si>
  <si>
    <t>Jacob E Or May A</t>
  </si>
  <si>
    <t>James &amp; Phebe</t>
  </si>
  <si>
    <t>Ron &amp; Susan</t>
  </si>
  <si>
    <t>Dennis, Tom, Scott, &amp; Gene</t>
  </si>
  <si>
    <t>Walen</t>
  </si>
  <si>
    <t>Janel</t>
  </si>
  <si>
    <t>Wyman</t>
  </si>
  <si>
    <t>Wilbur A and Amanda</t>
  </si>
  <si>
    <t>Zach</t>
  </si>
  <si>
    <t>Ed &amp; Melanie</t>
  </si>
  <si>
    <t>Crystal</t>
  </si>
  <si>
    <t>Contact Last Name</t>
  </si>
  <si>
    <t>Liana</t>
  </si>
  <si>
    <t>Martens</t>
  </si>
  <si>
    <t>Hanson</t>
  </si>
  <si>
    <t>Nolt</t>
  </si>
  <si>
    <t>Miller</t>
  </si>
  <si>
    <t>Yoder</t>
  </si>
  <si>
    <t>Lapp</t>
  </si>
  <si>
    <t>Beiler</t>
  </si>
  <si>
    <t>Mast</t>
  </si>
  <si>
    <t>Erb</t>
  </si>
  <si>
    <t>Stoltzfus</t>
  </si>
  <si>
    <t>Fisher</t>
  </si>
  <si>
    <t>Fisher Jr.</t>
  </si>
  <si>
    <t>Kilmer</t>
  </si>
  <si>
    <t>Hershberger</t>
  </si>
  <si>
    <t>Kempf</t>
  </si>
  <si>
    <t>King</t>
  </si>
  <si>
    <t>Lantz</t>
  </si>
  <si>
    <t>Esh</t>
  </si>
  <si>
    <t>Schroht</t>
  </si>
  <si>
    <t>Sloan</t>
  </si>
  <si>
    <t>Stoltzfoos</t>
  </si>
  <si>
    <t>Swarey</t>
  </si>
  <si>
    <t>Wachholz</t>
  </si>
  <si>
    <t>Robinson</t>
  </si>
  <si>
    <t>Borntreger, Jr.</t>
  </si>
  <si>
    <t>Allgyer</t>
  </si>
  <si>
    <t>Renno</t>
  </si>
  <si>
    <t>Smoker</t>
  </si>
  <si>
    <t>Ziegler</t>
  </si>
  <si>
    <t>Ackermann</t>
  </si>
  <si>
    <t>Burrows</t>
  </si>
  <si>
    <t>Riniker</t>
  </si>
  <si>
    <t>Rusweiler</t>
  </si>
  <si>
    <t>Schulte</t>
  </si>
  <si>
    <t>Adamow</t>
  </si>
  <si>
    <t>Raber</t>
  </si>
  <si>
    <t>Helmuth</t>
  </si>
  <si>
    <t>Weaver</t>
  </si>
  <si>
    <t>Kuepfer</t>
  </si>
  <si>
    <t>Kauffman</t>
  </si>
  <si>
    <t>Erin Casey</t>
  </si>
  <si>
    <t>Aeschlimann</t>
  </si>
  <si>
    <t>Holmes</t>
  </si>
  <si>
    <t>Peterson</t>
  </si>
  <si>
    <t>Dhawan</t>
  </si>
  <si>
    <t>Lozano</t>
  </si>
  <si>
    <t>Roldan</t>
  </si>
  <si>
    <t>Ching</t>
  </si>
  <si>
    <t>Choiniere</t>
  </si>
  <si>
    <t>Schroepfer</t>
  </si>
  <si>
    <t>Hinueber</t>
  </si>
  <si>
    <t>White</t>
  </si>
  <si>
    <t>Soeganda</t>
  </si>
  <si>
    <t>Albin</t>
  </si>
  <si>
    <t>Hellermann</t>
  </si>
  <si>
    <t>Alexandre</t>
  </si>
  <si>
    <t>Gingerich</t>
  </si>
  <si>
    <t>Bulcher</t>
  </si>
  <si>
    <t>Chamberlain</t>
  </si>
  <si>
    <t>Stoley</t>
  </si>
  <si>
    <t>Gretebeck</t>
  </si>
  <si>
    <t>Wiskerchen</t>
  </si>
  <si>
    <t>Bryant</t>
  </si>
  <si>
    <t>Middendorf</t>
  </si>
  <si>
    <t>Troyer</t>
  </si>
  <si>
    <t>Byler</t>
  </si>
  <si>
    <t>Lambright</t>
  </si>
  <si>
    <t>Stutzman</t>
  </si>
  <si>
    <t>Zook</t>
  </si>
  <si>
    <t>Beechy</t>
  </si>
  <si>
    <t>Ringler</t>
  </si>
  <si>
    <t>Schwartz</t>
  </si>
  <si>
    <t>Schrock</t>
  </si>
  <si>
    <t>Brown</t>
  </si>
  <si>
    <t>LORET DE MOLA CACERES</t>
  </si>
  <si>
    <t>Morse</t>
  </si>
  <si>
    <t>Schaefer</t>
  </si>
  <si>
    <t>Bejleri</t>
  </si>
  <si>
    <t>Hochstetler</t>
  </si>
  <si>
    <t>Glick</t>
  </si>
  <si>
    <t>Bontrager</t>
  </si>
  <si>
    <t>Borntrager</t>
  </si>
  <si>
    <t>Nisley</t>
  </si>
  <si>
    <t>Kanagy</t>
  </si>
  <si>
    <t>Stevens</t>
  </si>
  <si>
    <t>Quick</t>
  </si>
  <si>
    <t>Andersen</t>
  </si>
  <si>
    <t>Anderson</t>
  </si>
  <si>
    <t>Hoover</t>
  </si>
  <si>
    <t>Coblentz</t>
  </si>
  <si>
    <t>Kinsinger</t>
  </si>
  <si>
    <t>Young</t>
  </si>
  <si>
    <t>Albao</t>
  </si>
  <si>
    <t>Borntreger</t>
  </si>
  <si>
    <t>Jaworski</t>
  </si>
  <si>
    <t>Arechiga</t>
  </si>
  <si>
    <t>Kormann</t>
  </si>
  <si>
    <t>Burkholder</t>
  </si>
  <si>
    <t>Schlabach</t>
  </si>
  <si>
    <t>Schilter</t>
  </si>
  <si>
    <t>Stoltzfus Jr</t>
  </si>
  <si>
    <t>Zimmerman</t>
  </si>
  <si>
    <t>McDowell</t>
  </si>
  <si>
    <t>Thicke</t>
  </si>
  <si>
    <t>Nguyen Ba</t>
  </si>
  <si>
    <t>Sopee</t>
  </si>
  <si>
    <t>Vieira</t>
  </si>
  <si>
    <t>Keim</t>
  </si>
  <si>
    <t>Yutzy</t>
  </si>
  <si>
    <t>Rasmussen</t>
  </si>
  <si>
    <t>Velazquez</t>
  </si>
  <si>
    <t>Vasquez</t>
  </si>
  <si>
    <t>Arthy</t>
  </si>
  <si>
    <t>Simone</t>
  </si>
  <si>
    <t>Pelaez</t>
  </si>
  <si>
    <t>Lacote</t>
  </si>
  <si>
    <t>Bachman</t>
  </si>
  <si>
    <t>Steffes</t>
  </si>
  <si>
    <t>Baer</t>
  </si>
  <si>
    <t>Baerwolf</t>
  </si>
  <si>
    <t>Baese</t>
  </si>
  <si>
    <t>Bair</t>
  </si>
  <si>
    <t>Baltz</t>
  </si>
  <si>
    <t>Fernander</t>
  </si>
  <si>
    <t>Davis</t>
  </si>
  <si>
    <t>Wellner</t>
  </si>
  <si>
    <t>Palmer</t>
  </si>
  <si>
    <t>Barth</t>
  </si>
  <si>
    <t>Paz</t>
  </si>
  <si>
    <t>Bawden</t>
  </si>
  <si>
    <t>Bean</t>
  </si>
  <si>
    <t>Dlouhy</t>
  </si>
  <si>
    <t>Bedtke</t>
  </si>
  <si>
    <t>Beecher</t>
  </si>
  <si>
    <t>Lally</t>
  </si>
  <si>
    <t>Gardiner</t>
  </si>
  <si>
    <t>Claerbaut</t>
  </si>
  <si>
    <t>Hostetler</t>
  </si>
  <si>
    <t>Petersheim</t>
  </si>
  <si>
    <t>Wawrzyniak</t>
  </si>
  <si>
    <t>Horstman</t>
  </si>
  <si>
    <t>Wengerd</t>
  </si>
  <si>
    <t>Detweiler</t>
  </si>
  <si>
    <t>Wagler</t>
  </si>
  <si>
    <t>Benson</t>
  </si>
  <si>
    <t>Thi Bich Phuong</t>
  </si>
  <si>
    <t>Blank</t>
  </si>
  <si>
    <t>Beretta</t>
  </si>
  <si>
    <t>Berle</t>
  </si>
  <si>
    <t>Hulbert</t>
  </si>
  <si>
    <t>Jones</t>
  </si>
  <si>
    <t>Alvarez</t>
  </si>
  <si>
    <t>Beyer</t>
  </si>
  <si>
    <t>Biery</t>
  </si>
  <si>
    <t>Brubacher</t>
  </si>
  <si>
    <t>Reynolds</t>
  </si>
  <si>
    <t>Woods</t>
  </si>
  <si>
    <t>Straus</t>
  </si>
  <si>
    <t>Blatz</t>
  </si>
  <si>
    <t>Vosberg</t>
  </si>
  <si>
    <t>Mccollough</t>
  </si>
  <si>
    <t>Boehning</t>
  </si>
  <si>
    <t>Boldrini</t>
  </si>
  <si>
    <t>deJong</t>
  </si>
  <si>
    <t>Books</t>
  </si>
  <si>
    <t>Borkholder</t>
  </si>
  <si>
    <t>Bouchard</t>
  </si>
  <si>
    <t>Midtling</t>
  </si>
  <si>
    <t>Varner</t>
  </si>
  <si>
    <t>Brant</t>
  </si>
  <si>
    <t>Bratt</t>
  </si>
  <si>
    <t>Greg Brawner</t>
  </si>
  <si>
    <t>Brazil</t>
  </si>
  <si>
    <t>Klinkner</t>
  </si>
  <si>
    <t>Holman</t>
  </si>
  <si>
    <t>Crispell</t>
  </si>
  <si>
    <t>Duncan</t>
  </si>
  <si>
    <t>Johnson</t>
  </si>
  <si>
    <t>Mizikar</t>
  </si>
  <si>
    <t>Voelker</t>
  </si>
  <si>
    <t>Wedig</t>
  </si>
  <si>
    <t>Brickey</t>
  </si>
  <si>
    <t>Guillemette</t>
  </si>
  <si>
    <t>Hernandez</t>
  </si>
  <si>
    <t>Brucker</t>
  </si>
  <si>
    <t>Bruno</t>
  </si>
  <si>
    <t>Kowalzek</t>
  </si>
  <si>
    <t>Gomez Torres</t>
  </si>
  <si>
    <t>Brandt</t>
  </si>
  <si>
    <t>Murray</t>
  </si>
  <si>
    <t>Buntz</t>
  </si>
  <si>
    <t>Kent</t>
  </si>
  <si>
    <t>Button</t>
  </si>
  <si>
    <t>Plaisted</t>
  </si>
  <si>
    <t>Byers</t>
  </si>
  <si>
    <t>Byom</t>
  </si>
  <si>
    <t>Brooks</t>
  </si>
  <si>
    <t>Colvin</t>
  </si>
  <si>
    <t>Jayasinghe</t>
  </si>
  <si>
    <t>Cabaniss</t>
  </si>
  <si>
    <t>Cahill</t>
  </si>
  <si>
    <t>Gutierrez</t>
  </si>
  <si>
    <t>Shahvand</t>
  </si>
  <si>
    <t>Nuite</t>
  </si>
  <si>
    <t>Nussbaum</t>
  </si>
  <si>
    <t>Beard</t>
  </si>
  <si>
    <t>Cardoza</t>
  </si>
  <si>
    <t>Carinalli</t>
  </si>
  <si>
    <t>Sam Carlson</t>
  </si>
  <si>
    <t>Carpenter</t>
  </si>
  <si>
    <t>Carroll</t>
  </si>
  <si>
    <t>Wade II</t>
  </si>
  <si>
    <t>Cartledge</t>
  </si>
  <si>
    <t>Van De Grift</t>
  </si>
  <si>
    <t>Trybuskiewicz</t>
  </si>
  <si>
    <t>Harrington Jr.</t>
  </si>
  <si>
    <t>Castonguay</t>
  </si>
  <si>
    <t>Surawit</t>
  </si>
  <si>
    <t>Byrne</t>
  </si>
  <si>
    <t>Rosario</t>
  </si>
  <si>
    <t>Newsom</t>
  </si>
  <si>
    <t>Mcculler</t>
  </si>
  <si>
    <t>Chambers</t>
  </si>
  <si>
    <t>Eselgroth</t>
  </si>
  <si>
    <t>Ranck</t>
  </si>
  <si>
    <t>Chase</t>
  </si>
  <si>
    <t>Wells-Tolley</t>
  </si>
  <si>
    <t>O'Gorman - Chautauqua Hilltop Organic</t>
  </si>
  <si>
    <t>Naclerio</t>
  </si>
  <si>
    <t>Heffner</t>
  </si>
  <si>
    <t>Halse</t>
  </si>
  <si>
    <t>Beery</t>
  </si>
  <si>
    <t>Christiansen</t>
  </si>
  <si>
    <t>Kemnah</t>
  </si>
  <si>
    <t>Spaulding</t>
  </si>
  <si>
    <t>Christopher Sunderland</t>
  </si>
  <si>
    <t>Boning</t>
  </si>
  <si>
    <t>Graber</t>
  </si>
  <si>
    <t>Martinelli</t>
  </si>
  <si>
    <t>Wenger</t>
  </si>
  <si>
    <t>Clayton Shirk</t>
  </si>
  <si>
    <t>Gisi</t>
  </si>
  <si>
    <t>Hawbaker</t>
  </si>
  <si>
    <t>Bernisky</t>
  </si>
  <si>
    <t>Horst</t>
  </si>
  <si>
    <t>Morrison</t>
  </si>
  <si>
    <t>Lowry</t>
  </si>
  <si>
    <t>Church</t>
  </si>
  <si>
    <t>Knapp</t>
  </si>
  <si>
    <t>DiSalvo</t>
  </si>
  <si>
    <t>Bautista</t>
  </si>
  <si>
    <t>Sweetser</t>
  </si>
  <si>
    <t>Goldovitz</t>
  </si>
  <si>
    <t>Kulig</t>
  </si>
  <si>
    <t>Holtz</t>
  </si>
  <si>
    <t>Klocke</t>
  </si>
  <si>
    <t>Coppini</t>
  </si>
  <si>
    <t>Luebker</t>
  </si>
  <si>
    <t>Rocha</t>
  </si>
  <si>
    <t>Restuccia</t>
  </si>
  <si>
    <t>Paul Tillotson</t>
  </si>
  <si>
    <t>Esch</t>
  </si>
  <si>
    <t>Tennes</t>
  </si>
  <si>
    <t>Starr</t>
  </si>
  <si>
    <t>Goldsmith</t>
  </si>
  <si>
    <t>Myers</t>
  </si>
  <si>
    <t>Harkness</t>
  </si>
  <si>
    <t>Griffith</t>
  </si>
  <si>
    <t>Vitale</t>
  </si>
  <si>
    <t>Brasseur</t>
  </si>
  <si>
    <t>Vander Ziel</t>
  </si>
  <si>
    <t>Baker</t>
  </si>
  <si>
    <t>Vigil</t>
  </si>
  <si>
    <t>Strite</t>
  </si>
  <si>
    <t>Shetler</t>
  </si>
  <si>
    <t>Guenther</t>
  </si>
  <si>
    <t>Oldick</t>
  </si>
  <si>
    <t>Crotser</t>
  </si>
  <si>
    <t>Belding</t>
  </si>
  <si>
    <t>Leal</t>
  </si>
  <si>
    <t>Stauffer</t>
  </si>
  <si>
    <t>Regulatory Team</t>
  </si>
  <si>
    <t>Victorine</t>
  </si>
  <si>
    <t>Newswanger</t>
  </si>
  <si>
    <t>Culver</t>
  </si>
  <si>
    <t>Herrema</t>
  </si>
  <si>
    <t>Newell</t>
  </si>
  <si>
    <t>Smith</t>
  </si>
  <si>
    <t>Mellish</t>
  </si>
  <si>
    <t>Nugroho Adi</t>
  </si>
  <si>
    <t>Debauch</t>
  </si>
  <si>
    <t>Hicks</t>
  </si>
  <si>
    <t>Escobar</t>
  </si>
  <si>
    <t>Vosseler</t>
  </si>
  <si>
    <t>Windecker</t>
  </si>
  <si>
    <t>Siegmann</t>
  </si>
  <si>
    <t>Laskowski-Morren</t>
  </si>
  <si>
    <t>Beachy</t>
  </si>
  <si>
    <t>Kurtz</t>
  </si>
  <si>
    <t>Reps</t>
  </si>
  <si>
    <t>Roberts</t>
  </si>
  <si>
    <t>Brubaker</t>
  </si>
  <si>
    <t>Casler</t>
  </si>
  <si>
    <t>Jackson</t>
  </si>
  <si>
    <t>Markowski</t>
  </si>
  <si>
    <t>Clement</t>
  </si>
  <si>
    <t>Von Ruden</t>
  </si>
  <si>
    <t>Eby</t>
  </si>
  <si>
    <t>Hansen</t>
  </si>
  <si>
    <t>Kennedy</t>
  </si>
  <si>
    <t>Germann</t>
  </si>
  <si>
    <t>Fazzio</t>
  </si>
  <si>
    <t>Detweiler Jr.</t>
  </si>
  <si>
    <t>Ring</t>
  </si>
  <si>
    <t>Schmucker</t>
  </si>
  <si>
    <t>Trudell</t>
  </si>
  <si>
    <t>Bolosan</t>
  </si>
  <si>
    <t>DeFere</t>
  </si>
  <si>
    <t>Whittemore</t>
  </si>
  <si>
    <t>Deelstra</t>
  </si>
  <si>
    <t>Havlik</t>
  </si>
  <si>
    <t>Stauderman</t>
  </si>
  <si>
    <t>Van Fleet</t>
  </si>
  <si>
    <t>Desrouleaux</t>
  </si>
  <si>
    <t>DeKam</t>
  </si>
  <si>
    <t>Del Biaggio</t>
  </si>
  <si>
    <t>Kemp</t>
  </si>
  <si>
    <t>Demick</t>
  </si>
  <si>
    <t>Chevalier</t>
  </si>
  <si>
    <t>Fronning</t>
  </si>
  <si>
    <t>Bourget</t>
  </si>
  <si>
    <t>Hatfield</t>
  </si>
  <si>
    <t>Schmitz</t>
  </si>
  <si>
    <t>Dermott</t>
  </si>
  <si>
    <t>Stuedemann</t>
  </si>
  <si>
    <t>Horning</t>
  </si>
  <si>
    <t>Deutsch</t>
  </si>
  <si>
    <t>Mishler</t>
  </si>
  <si>
    <t>Maldonado</t>
  </si>
  <si>
    <t>Van Amburgh</t>
  </si>
  <si>
    <t>Renner</t>
  </si>
  <si>
    <t>Steria</t>
  </si>
  <si>
    <t>Simmons</t>
  </si>
  <si>
    <t>Brace</t>
  </si>
  <si>
    <t>Pronschinske</t>
  </si>
  <si>
    <t>Dolan</t>
  </si>
  <si>
    <t>Race</t>
  </si>
  <si>
    <t>Anibas</t>
  </si>
  <si>
    <t>Pedrotti</t>
  </si>
  <si>
    <t>Schmidt</t>
  </si>
  <si>
    <t>Baran</t>
  </si>
  <si>
    <t>Smalbergher</t>
  </si>
  <si>
    <t>Dotti</t>
  </si>
  <si>
    <t>Fitzpatrick</t>
  </si>
  <si>
    <t>Wolfisberg</t>
  </si>
  <si>
    <t>Mendoza</t>
  </si>
  <si>
    <t>Sauder</t>
  </si>
  <si>
    <t>Stoller</t>
  </si>
  <si>
    <t>Dowd</t>
  </si>
  <si>
    <t>Nunes</t>
  </si>
  <si>
    <t>Murphy</t>
  </si>
  <si>
    <t>Hogh-Christensen</t>
  </si>
  <si>
    <t>Eash</t>
  </si>
  <si>
    <t>Duff</t>
  </si>
  <si>
    <t>Veldhuis</t>
  </si>
  <si>
    <t>Novitski</t>
  </si>
  <si>
    <t>Byler Jr.</t>
  </si>
  <si>
    <t>Miedema</t>
  </si>
  <si>
    <t>Orton</t>
  </si>
  <si>
    <t>Brann</t>
  </si>
  <si>
    <t>Fox</t>
  </si>
  <si>
    <t>Lust</t>
  </si>
  <si>
    <t>Boncelet</t>
  </si>
  <si>
    <t>Bhojwani</t>
  </si>
  <si>
    <t>Keener</t>
  </si>
  <si>
    <t>Kuratomi</t>
  </si>
  <si>
    <t>Eckardt, c/o Maxwell Eckardt</t>
  </si>
  <si>
    <t>Josie</t>
  </si>
  <si>
    <t>Imhoff</t>
  </si>
  <si>
    <t>Templeton</t>
  </si>
  <si>
    <t>O'Gorman</t>
  </si>
  <si>
    <t>Steiner</t>
  </si>
  <si>
    <t>Schreiber</t>
  </si>
  <si>
    <t>Timm</t>
  </si>
  <si>
    <t>William Eklund</t>
  </si>
  <si>
    <t>Hoffman</t>
  </si>
  <si>
    <t>Shively</t>
  </si>
  <si>
    <t>Barkman</t>
  </si>
  <si>
    <t>Byler III</t>
  </si>
  <si>
    <t>Summy</t>
  </si>
  <si>
    <t>Kuhns</t>
  </si>
  <si>
    <t>Peachey</t>
  </si>
  <si>
    <t>Zuck</t>
  </si>
  <si>
    <t>Brenneman</t>
  </si>
  <si>
    <t>Yoder Jr.</t>
  </si>
  <si>
    <t>Eberly</t>
  </si>
  <si>
    <t>Hescock</t>
  </si>
  <si>
    <t>Parr</t>
  </si>
  <si>
    <t>Girod</t>
  </si>
  <si>
    <t>Hatch</t>
  </si>
  <si>
    <t>Penfold</t>
  </si>
  <si>
    <t>Carter</t>
  </si>
  <si>
    <t>Engelbert (org)</t>
  </si>
  <si>
    <t>Ehst</t>
  </si>
  <si>
    <t>Belier</t>
  </si>
  <si>
    <t>Kilmer Jr</t>
  </si>
  <si>
    <t>Caspersen</t>
  </si>
  <si>
    <t>Nickol</t>
  </si>
  <si>
    <t>Peck</t>
  </si>
  <si>
    <t>Showalter</t>
  </si>
  <si>
    <t>Evans</t>
  </si>
  <si>
    <t>Churchill</t>
  </si>
  <si>
    <t>Hill</t>
  </si>
  <si>
    <t>Groen</t>
  </si>
  <si>
    <t>Rahman</t>
  </si>
  <si>
    <t>Azevedo</t>
  </si>
  <si>
    <t>Fry</t>
  </si>
  <si>
    <t>Mehuren, II</t>
  </si>
  <si>
    <t>Duerkop</t>
  </si>
  <si>
    <t>Fisher, Jr</t>
  </si>
  <si>
    <t>McGrath</t>
  </si>
  <si>
    <t>Makris</t>
  </si>
  <si>
    <t>Avina</t>
  </si>
  <si>
    <t>Gheorghiu</t>
  </si>
  <si>
    <t>Bates</t>
  </si>
  <si>
    <t>Meulenberg</t>
  </si>
  <si>
    <t>Farnham</t>
  </si>
  <si>
    <t>Herdy Pires de As</t>
  </si>
  <si>
    <t>Fehringer</t>
  </si>
  <si>
    <t>Parra</t>
  </si>
  <si>
    <t>Lehman</t>
  </si>
  <si>
    <t>Ferreira</t>
  </si>
  <si>
    <t>Finch</t>
  </si>
  <si>
    <t>Corinne Agins</t>
  </si>
  <si>
    <t>Flaig</t>
  </si>
  <si>
    <t>Fleming</t>
  </si>
  <si>
    <t>Beale</t>
  </si>
  <si>
    <t>von Schnase</t>
  </si>
  <si>
    <t>Fonder</t>
  </si>
  <si>
    <t>Lacy</t>
  </si>
  <si>
    <t>Ramer</t>
  </si>
  <si>
    <t>Ford</t>
  </si>
  <si>
    <t>Kircher</t>
  </si>
  <si>
    <t>Rebisz</t>
  </si>
  <si>
    <t>Marino</t>
  </si>
  <si>
    <t>Requierme</t>
  </si>
  <si>
    <t>Wadel</t>
  </si>
  <si>
    <t>Frasier</t>
  </si>
  <si>
    <t>Hartzler</t>
  </si>
  <si>
    <t>Langley</t>
  </si>
  <si>
    <t>Martinez</t>
  </si>
  <si>
    <t>Hays</t>
  </si>
  <si>
    <t>Sereno</t>
  </si>
  <si>
    <t>Tejeda</t>
  </si>
  <si>
    <t>Liu</t>
  </si>
  <si>
    <t>Regulatory</t>
  </si>
  <si>
    <t>Brait</t>
  </si>
  <si>
    <t>Gorski</t>
  </si>
  <si>
    <t>Goodwin</t>
  </si>
  <si>
    <t>Gambonini</t>
  </si>
  <si>
    <t>Gardner</t>
  </si>
  <si>
    <t>Thorpe</t>
  </si>
  <si>
    <t>Gearing</t>
  </si>
  <si>
    <t>Gebhart</t>
  </si>
  <si>
    <t>Macksood</t>
  </si>
  <si>
    <t>Bianchi</t>
  </si>
  <si>
    <t>Spaletta</t>
  </si>
  <si>
    <t>Cox</t>
  </si>
  <si>
    <t>Ghidinelli</t>
  </si>
  <si>
    <t>Van Tatenhove</t>
  </si>
  <si>
    <t>Gier</t>
  </si>
  <si>
    <t>Komoriya</t>
  </si>
  <si>
    <t>Salinas</t>
  </si>
  <si>
    <t>Chupp</t>
  </si>
  <si>
    <t>Worden</t>
  </si>
  <si>
    <t>Probst</t>
  </si>
  <si>
    <t>Morales</t>
  </si>
  <si>
    <t>Wurzel</t>
  </si>
  <si>
    <t>Stigen</t>
  </si>
  <si>
    <t>Nowak</t>
  </si>
  <si>
    <t>Obritsch</t>
  </si>
  <si>
    <t>Goodell</t>
  </si>
  <si>
    <t>Bjerring</t>
  </si>
  <si>
    <t>Stiner</t>
  </si>
  <si>
    <t>Gracey</t>
  </si>
  <si>
    <t>Graham</t>
  </si>
  <si>
    <t>Miranda</t>
  </si>
  <si>
    <t>LaFond</t>
  </si>
  <si>
    <t>Harney</t>
  </si>
  <si>
    <t>Tillotson</t>
  </si>
  <si>
    <t>Wedemeier</t>
  </si>
  <si>
    <t>Riordan</t>
  </si>
  <si>
    <t>Christianson</t>
  </si>
  <si>
    <t>Green</t>
  </si>
  <si>
    <t>Stoy</t>
  </si>
  <si>
    <t>Hillriegel</t>
  </si>
  <si>
    <t>Hooley</t>
  </si>
  <si>
    <t>Dutil</t>
  </si>
  <si>
    <t>Shirk</t>
  </si>
  <si>
    <t>Meerman</t>
  </si>
  <si>
    <t>MacCausland</t>
  </si>
  <si>
    <t>Gruenenfelder</t>
  </si>
  <si>
    <t>Glasgow</t>
  </si>
  <si>
    <t>Grim</t>
  </si>
  <si>
    <t>Kallemeyn</t>
  </si>
  <si>
    <t>Herrera</t>
  </si>
  <si>
    <t>Budhiraja</t>
  </si>
  <si>
    <t>Carr</t>
  </si>
  <si>
    <t>Hafelin</t>
  </si>
  <si>
    <t>Dyckman</t>
  </si>
  <si>
    <t>Hall</t>
  </si>
  <si>
    <t>Vogel</t>
  </si>
  <si>
    <t>Quall</t>
  </si>
  <si>
    <t>Hardy</t>
  </si>
  <si>
    <t>Gould</t>
  </si>
  <si>
    <t>Whetstone</t>
  </si>
  <si>
    <t>Rasmus</t>
  </si>
  <si>
    <t>Kreider</t>
  </si>
  <si>
    <t>Weber</t>
  </si>
  <si>
    <t>Hart</t>
  </si>
  <si>
    <t>Menn</t>
  </si>
  <si>
    <t>Frasier Jr.</t>
  </si>
  <si>
    <t>Haugen</t>
  </si>
  <si>
    <t>Koenigsknecht</t>
  </si>
  <si>
    <t>Fenniman</t>
  </si>
  <si>
    <t>Hayes</t>
  </si>
  <si>
    <t>Rebecca Baltz</t>
  </si>
  <si>
    <t>Weston</t>
  </si>
  <si>
    <t>Fremstad</t>
  </si>
  <si>
    <t>Divine</t>
  </si>
  <si>
    <t>DIVINE</t>
  </si>
  <si>
    <t>Gwen Helfter</t>
  </si>
  <si>
    <t>Slayton</t>
  </si>
  <si>
    <t>Henning</t>
  </si>
  <si>
    <t>Stoker</t>
  </si>
  <si>
    <t>Hertzler</t>
  </si>
  <si>
    <t>Mullet</t>
  </si>
  <si>
    <t>Meng</t>
  </si>
  <si>
    <t>丽娜 孟</t>
  </si>
  <si>
    <t>Shin</t>
  </si>
  <si>
    <t>Cummings</t>
  </si>
  <si>
    <t>Van Tassel</t>
  </si>
  <si>
    <t>Ziehm</t>
  </si>
  <si>
    <t>Pulsipher</t>
  </si>
  <si>
    <t>Canter</t>
  </si>
  <si>
    <t>Ludvigsen</t>
  </si>
  <si>
    <t>Golimbieski</t>
  </si>
  <si>
    <t>Pearl</t>
  </si>
  <si>
    <t>Dimmick</t>
  </si>
  <si>
    <t>Ceylor</t>
  </si>
  <si>
    <t>Van Erden</t>
  </si>
  <si>
    <t>Small</t>
  </si>
  <si>
    <t>Hoellerer</t>
  </si>
  <si>
    <t>Holgersen</t>
  </si>
  <si>
    <t>Holter</t>
  </si>
  <si>
    <t>Walldroff</t>
  </si>
  <si>
    <t>Hosking</t>
  </si>
  <si>
    <t>Houde</t>
  </si>
  <si>
    <t>Berscheit</t>
  </si>
  <si>
    <t>Hoyt</t>
  </si>
  <si>
    <t>Huftalen</t>
  </si>
  <si>
    <t>Hughes</t>
  </si>
  <si>
    <t>Hudyncia</t>
  </si>
  <si>
    <t>Ramirez</t>
  </si>
  <si>
    <t>Love</t>
  </si>
  <si>
    <t>Huntley</t>
  </si>
  <si>
    <t>Van De Mark</t>
  </si>
  <si>
    <t>Ideker</t>
  </si>
  <si>
    <t>Kevin Baugher</t>
  </si>
  <si>
    <t>Moody</t>
  </si>
  <si>
    <t>Farinha</t>
  </si>
  <si>
    <t>McKiniry</t>
  </si>
  <si>
    <t>Regli</t>
  </si>
  <si>
    <t>Ingardia-Esquivel</t>
  </si>
  <si>
    <t>Ingersoll</t>
  </si>
  <si>
    <t>Harrilal</t>
  </si>
  <si>
    <t>Reid</t>
  </si>
  <si>
    <t>Cunningham</t>
  </si>
  <si>
    <t>Bollinger</t>
  </si>
  <si>
    <t>Bencosme</t>
  </si>
  <si>
    <t>Waters</t>
  </si>
  <si>
    <t>Schwennesen</t>
  </si>
  <si>
    <t>Peake</t>
  </si>
  <si>
    <t>Halama</t>
  </si>
  <si>
    <t>Hemmersbach</t>
  </si>
  <si>
    <t>Braunsberg</t>
  </si>
  <si>
    <t>Schouweiler</t>
  </si>
  <si>
    <t>Baack</t>
  </si>
  <si>
    <t>Smucker</t>
  </si>
  <si>
    <t>Lapp Jr</t>
  </si>
  <si>
    <t>Moyer</t>
  </si>
  <si>
    <t>Jahnke</t>
  </si>
  <si>
    <t>Bloome</t>
  </si>
  <si>
    <t>Sargent</t>
  </si>
  <si>
    <t>Howe</t>
  </si>
  <si>
    <t>Slicer</t>
  </si>
  <si>
    <t>West</t>
  </si>
  <si>
    <t>Mundt</t>
  </si>
  <si>
    <t>de Jong</t>
  </si>
  <si>
    <t>Ashline</t>
  </si>
  <si>
    <t>Jock</t>
  </si>
  <si>
    <t>Sangsawangsarekun</t>
  </si>
  <si>
    <t>Sensenig</t>
  </si>
  <si>
    <t>Jason H. Schell</t>
  </si>
  <si>
    <t>Schilling</t>
  </si>
  <si>
    <t>Shaw</t>
  </si>
  <si>
    <t>Campbell</t>
  </si>
  <si>
    <t>Morgan</t>
  </si>
  <si>
    <t>Missaoui</t>
  </si>
  <si>
    <t>Ladd</t>
  </si>
  <si>
    <t>Koester</t>
  </si>
  <si>
    <t>Enslin</t>
  </si>
  <si>
    <t>Peeters</t>
  </si>
  <si>
    <t>Zehr</t>
  </si>
  <si>
    <t>Bub</t>
  </si>
  <si>
    <t>Bailey</t>
  </si>
  <si>
    <t>Nennig</t>
  </si>
  <si>
    <t>Clapper</t>
  </si>
  <si>
    <t>Sherman</t>
  </si>
  <si>
    <t>Dermody</t>
  </si>
  <si>
    <t>Schaub</t>
  </si>
  <si>
    <t>Gasser</t>
  </si>
  <si>
    <t>Jim Zook</t>
  </si>
  <si>
    <t>Blum</t>
  </si>
  <si>
    <t>Riebli</t>
  </si>
  <si>
    <t>Fahey</t>
  </si>
  <si>
    <t>Hojer</t>
  </si>
  <si>
    <t>Boissonneault</t>
  </si>
  <si>
    <t>Tomandl</t>
  </si>
  <si>
    <t>Ficher</t>
  </si>
  <si>
    <t>Hammon</t>
  </si>
  <si>
    <t>Trybula</t>
  </si>
  <si>
    <t>Winnes</t>
  </si>
  <si>
    <t>Lovchev</t>
  </si>
  <si>
    <t>Pogue</t>
  </si>
  <si>
    <t>Ebersol</t>
  </si>
  <si>
    <t>Cardner</t>
  </si>
  <si>
    <t>Stoltzfus Jr.</t>
  </si>
  <si>
    <t>Kellett Jr.</t>
  </si>
  <si>
    <t>Schwartzentruber</t>
  </si>
  <si>
    <t>Hartranft</t>
  </si>
  <si>
    <t>Donnay</t>
  </si>
  <si>
    <t>Vevoda</t>
  </si>
  <si>
    <t>Swartzentruber</t>
  </si>
  <si>
    <t>Zeiset</t>
  </si>
  <si>
    <t>Waltz</t>
  </si>
  <si>
    <t>Stoll</t>
  </si>
  <si>
    <t>Jordan Stauffer</t>
  </si>
  <si>
    <t>Camozzi</t>
  </si>
  <si>
    <t>Hribal</t>
  </si>
  <si>
    <t>Zaiger</t>
  </si>
  <si>
    <t>Seal</t>
  </si>
  <si>
    <t>Wolfe</t>
  </si>
  <si>
    <t>Julian</t>
  </si>
  <si>
    <t>Koenig</t>
  </si>
  <si>
    <t>Drahozal</t>
  </si>
  <si>
    <t>Rochelle Mullet</t>
  </si>
  <si>
    <t>Ganske</t>
  </si>
  <si>
    <t>Inoue</t>
  </si>
  <si>
    <t>Outsen</t>
  </si>
  <si>
    <t>Kehoe</t>
  </si>
  <si>
    <t>Marshall</t>
  </si>
  <si>
    <t>Gerhardt</t>
  </si>
  <si>
    <t>Kammes</t>
  </si>
  <si>
    <t>Turnage</t>
  </si>
  <si>
    <t>Keller</t>
  </si>
  <si>
    <t>Temples</t>
  </si>
  <si>
    <t>Bolton</t>
  </si>
  <si>
    <t>Caldwell</t>
  </si>
  <si>
    <t>Oberholtzer</t>
  </si>
  <si>
    <t>Knutson</t>
  </si>
  <si>
    <t>Kiefer</t>
  </si>
  <si>
    <t>Fritz</t>
  </si>
  <si>
    <t>Coulter</t>
  </si>
  <si>
    <t>Robar</t>
  </si>
  <si>
    <t>Kling</t>
  </si>
  <si>
    <t>Klock</t>
  </si>
  <si>
    <t>Kaur</t>
  </si>
  <si>
    <t>Stay</t>
  </si>
  <si>
    <t>Korkowski</t>
  </si>
  <si>
    <t>Arbogast</t>
  </si>
  <si>
    <t>Krebs</t>
  </si>
  <si>
    <t>Rivington</t>
  </si>
  <si>
    <t>Matis</t>
  </si>
  <si>
    <t>Ren</t>
  </si>
  <si>
    <t>Burudliam</t>
  </si>
  <si>
    <t>Kuhn</t>
  </si>
  <si>
    <t>Sutliff</t>
  </si>
  <si>
    <t>Navarro Jiménez</t>
  </si>
  <si>
    <t>Flanders</t>
  </si>
  <si>
    <t>Lafranchi</t>
  </si>
  <si>
    <t>Gilbertson</t>
  </si>
  <si>
    <t>Gosda</t>
  </si>
  <si>
    <t>Kreilick</t>
  </si>
  <si>
    <t>Niese</t>
  </si>
  <si>
    <t>Cochran</t>
  </si>
  <si>
    <t>Casey</t>
  </si>
  <si>
    <t>Langmeier</t>
  </si>
  <si>
    <t>Lappin</t>
  </si>
  <si>
    <t>Finnerty</t>
  </si>
  <si>
    <t>Lengacher</t>
  </si>
  <si>
    <t>Leum</t>
  </si>
  <si>
    <t>Ropp</t>
  </si>
  <si>
    <t>Hemstead</t>
  </si>
  <si>
    <t>Debyah</t>
  </si>
  <si>
    <t>Henden</t>
  </si>
  <si>
    <t>Leid</t>
  </si>
  <si>
    <t>Leis</t>
  </si>
  <si>
    <t>Leonardi</t>
  </si>
  <si>
    <t>Estoeta</t>
  </si>
  <si>
    <t>Raber, Jr.</t>
  </si>
  <si>
    <t>Foy</t>
  </si>
  <si>
    <t>Vick</t>
  </si>
  <si>
    <t>Kinstetter</t>
  </si>
  <si>
    <t>Moore</t>
  </si>
  <si>
    <t>Liddick</t>
  </si>
  <si>
    <t>Mastro</t>
  </si>
  <si>
    <t>Thurber</t>
  </si>
  <si>
    <t>Marks</t>
  </si>
  <si>
    <t>Woodworth</t>
  </si>
  <si>
    <t>Linnemeier</t>
  </si>
  <si>
    <t>Stefani</t>
  </si>
  <si>
    <t>Lubner</t>
  </si>
  <si>
    <t>Meglich</t>
  </si>
  <si>
    <t>Dalquist</t>
  </si>
  <si>
    <t>Messmer</t>
  </si>
  <si>
    <t>McHugh</t>
  </si>
  <si>
    <t>Keetch</t>
  </si>
  <si>
    <t>Larsen</t>
  </si>
  <si>
    <t>Forseth</t>
  </si>
  <si>
    <t>McCleary</t>
  </si>
  <si>
    <t>Teixeira</t>
  </si>
  <si>
    <t>Martin Snyder</t>
  </si>
  <si>
    <t>Losa</t>
  </si>
  <si>
    <t>Cu Van Thanh</t>
  </si>
  <si>
    <t>Wilkinson</t>
  </si>
  <si>
    <t>Folk</t>
  </si>
  <si>
    <t>Lyman</t>
  </si>
  <si>
    <t>Brubacker</t>
  </si>
  <si>
    <t>Poole</t>
  </si>
  <si>
    <t>Macholl</t>
  </si>
  <si>
    <t>Hobgood</t>
  </si>
  <si>
    <t>Ekeberg</t>
  </si>
  <si>
    <t>Mahalko</t>
  </si>
  <si>
    <t>Giroux</t>
  </si>
  <si>
    <t>Malecki</t>
  </si>
  <si>
    <t>Kuehn</t>
  </si>
  <si>
    <t>Shah</t>
  </si>
  <si>
    <t>Runde</t>
  </si>
  <si>
    <t>Irani</t>
  </si>
  <si>
    <t>McDonald</t>
  </si>
  <si>
    <t>Brothen</t>
  </si>
  <si>
    <t>Heater</t>
  </si>
  <si>
    <t>Seller</t>
  </si>
  <si>
    <t>Wickenhauser</t>
  </si>
  <si>
    <t>Marlin Horst</t>
  </si>
  <si>
    <t>Spicher</t>
  </si>
  <si>
    <t>Walsh</t>
  </si>
  <si>
    <t>Ellis</t>
  </si>
  <si>
    <t>Mason</t>
  </si>
  <si>
    <t>Bomgardner</t>
  </si>
  <si>
    <t>Boynton</t>
  </si>
  <si>
    <t>Snyder</t>
  </si>
  <si>
    <t>Drallette</t>
  </si>
  <si>
    <t>Baldwin</t>
  </si>
  <si>
    <t>Bast</t>
  </si>
  <si>
    <t>Borbonus</t>
  </si>
  <si>
    <t>Turner</t>
  </si>
  <si>
    <t>Mazzetta</t>
  </si>
  <si>
    <t>McCanless</t>
  </si>
  <si>
    <t>McCarthy</t>
  </si>
  <si>
    <t>McCracken Jr.</t>
  </si>
  <si>
    <t>Mc Isaac</t>
  </si>
  <si>
    <t>Stephanie Preston</t>
  </si>
  <si>
    <t>Rodriguez</t>
  </si>
  <si>
    <t>Knight</t>
  </si>
  <si>
    <t>Tafel</t>
  </si>
  <si>
    <t>Meeks</t>
  </si>
  <si>
    <t>Weyland</t>
  </si>
  <si>
    <t>Mello</t>
  </si>
  <si>
    <t>Huyard</t>
  </si>
  <si>
    <t>McClanathan</t>
  </si>
  <si>
    <t>Chathuranga</t>
  </si>
  <si>
    <t>Mezydlo</t>
  </si>
  <si>
    <t>Hendrickx</t>
  </si>
  <si>
    <t>McCall</t>
  </si>
  <si>
    <t>Sebion</t>
  </si>
  <si>
    <t>Loomis</t>
  </si>
  <si>
    <t>Matt Mills</t>
  </si>
  <si>
    <t>Howrigan</t>
  </si>
  <si>
    <t>Zylstra</t>
  </si>
  <si>
    <t>Peters</t>
  </si>
  <si>
    <t>Moechnig</t>
  </si>
  <si>
    <t>Molitor</t>
  </si>
  <si>
    <t>Moos</t>
  </si>
  <si>
    <t>Butler</t>
  </si>
  <si>
    <t>Moretti</t>
  </si>
  <si>
    <t>Frei</t>
  </si>
  <si>
    <t>Swope</t>
  </si>
  <si>
    <t>Thresher</t>
  </si>
  <si>
    <t>Swartz</t>
  </si>
  <si>
    <t>Willigar Jr.</t>
  </si>
  <si>
    <t>Mycue</t>
  </si>
  <si>
    <t>Thi Nhung</t>
  </si>
  <si>
    <t>Wissell</t>
  </si>
  <si>
    <t>Jaenke</t>
  </si>
  <si>
    <t>Nathan Zimmerman</t>
  </si>
  <si>
    <t>Cobb-Lee</t>
  </si>
  <si>
    <t>McVaugh</t>
  </si>
  <si>
    <t>Visser</t>
  </si>
  <si>
    <t>De Jong</t>
  </si>
  <si>
    <t>McClellan</t>
  </si>
  <si>
    <t>Short</t>
  </si>
  <si>
    <t>Chrim</t>
  </si>
  <si>
    <t>McIsaac</t>
  </si>
  <si>
    <t>EDUARDO CRUZ</t>
  </si>
  <si>
    <t>Taylor Weiler</t>
  </si>
  <si>
    <t>Branon</t>
  </si>
  <si>
    <t>Kolb</t>
  </si>
  <si>
    <t>Weed</t>
  </si>
  <si>
    <t>Stacey Newell</t>
  </si>
  <si>
    <t>Nicholson-Stratton</t>
  </si>
  <si>
    <t>Worobey</t>
  </si>
  <si>
    <t>Frye</t>
  </si>
  <si>
    <t>Forien</t>
  </si>
  <si>
    <t>Reidy</t>
  </si>
  <si>
    <t>Livingston</t>
  </si>
  <si>
    <t>Reuterskiold</t>
  </si>
  <si>
    <t>Nosecchi</t>
  </si>
  <si>
    <t>Bock</t>
  </si>
  <si>
    <t>Lopez</t>
  </si>
  <si>
    <t>Kistler</t>
  </si>
  <si>
    <t>Libanan</t>
  </si>
  <si>
    <t>Olson</t>
  </si>
  <si>
    <t>O'Meara</t>
  </si>
  <si>
    <t>Pinney</t>
  </si>
  <si>
    <t>Santos</t>
  </si>
  <si>
    <t>Vidal Júnior</t>
  </si>
  <si>
    <t>Everly</t>
  </si>
  <si>
    <t>Protter</t>
  </si>
  <si>
    <t>Weidman</t>
  </si>
  <si>
    <t>Wise</t>
  </si>
  <si>
    <t>Paris Reidhead</t>
  </si>
  <si>
    <t>Daluz</t>
  </si>
  <si>
    <t>Schnick</t>
  </si>
  <si>
    <t>Wang</t>
  </si>
  <si>
    <t>Roberge</t>
  </si>
  <si>
    <t>Fowora</t>
  </si>
  <si>
    <t>Wong</t>
  </si>
  <si>
    <t>Westbrook</t>
  </si>
  <si>
    <t>Butters</t>
  </si>
  <si>
    <t>Paris</t>
  </si>
  <si>
    <t>D'Huyvetter</t>
  </si>
  <si>
    <t>Adank</t>
  </si>
  <si>
    <t>Mapstone</t>
  </si>
  <si>
    <t>Pattison</t>
  </si>
  <si>
    <t>Patzer</t>
  </si>
  <si>
    <t>Schmieder</t>
  </si>
  <si>
    <t>Peasley</t>
  </si>
  <si>
    <t>Shaffer</t>
  </si>
  <si>
    <t>Penner</t>
  </si>
  <si>
    <t>Brannen</t>
  </si>
  <si>
    <t>Perrin</t>
  </si>
  <si>
    <t>Perucchi</t>
  </si>
  <si>
    <t>Lepori</t>
  </si>
  <si>
    <t>Mursu</t>
  </si>
  <si>
    <t>Helzer</t>
  </si>
  <si>
    <t>Laura Peterson</t>
  </si>
  <si>
    <t>Pittroff</t>
  </si>
  <si>
    <t>Yang</t>
  </si>
  <si>
    <t>Johnstad</t>
  </si>
  <si>
    <t>Schmidtknecht</t>
  </si>
  <si>
    <t>Russell</t>
  </si>
  <si>
    <t>Carver</t>
  </si>
  <si>
    <t>Correia</t>
  </si>
  <si>
    <t>Conboy</t>
  </si>
  <si>
    <t>Crampton</t>
  </si>
  <si>
    <t>Placke</t>
  </si>
  <si>
    <t>Plaetz</t>
  </si>
  <si>
    <t>Polich</t>
  </si>
  <si>
    <t>Pope</t>
  </si>
  <si>
    <t>de Moses</t>
  </si>
  <si>
    <t>Hess</t>
  </si>
  <si>
    <t>Pangrac</t>
  </si>
  <si>
    <t>Prindle</t>
  </si>
  <si>
    <t>Slothour</t>
  </si>
  <si>
    <t>Sukkaya</t>
  </si>
  <si>
    <t>Johnston</t>
  </si>
  <si>
    <t>Covey</t>
  </si>
  <si>
    <t>Fortin</t>
  </si>
  <si>
    <t>Bathalon</t>
  </si>
  <si>
    <t>Cutting</t>
  </si>
  <si>
    <t>Swift</t>
  </si>
  <si>
    <t>Williams</t>
  </si>
  <si>
    <t>Moulton</t>
  </si>
  <si>
    <t>Sprague</t>
  </si>
  <si>
    <t>Schreindorfer</t>
  </si>
  <si>
    <t>Cesario</t>
  </si>
  <si>
    <t>Abbot</t>
  </si>
  <si>
    <t>Boomhower</t>
  </si>
  <si>
    <t>Paquin</t>
  </si>
  <si>
    <t>Callan</t>
  </si>
  <si>
    <t>Rooney</t>
  </si>
  <si>
    <t>Conant</t>
  </si>
  <si>
    <t>Pothier</t>
  </si>
  <si>
    <t>Godin</t>
  </si>
  <si>
    <t>Lawson</t>
  </si>
  <si>
    <t>Bedard</t>
  </si>
  <si>
    <t>baker</t>
  </si>
  <si>
    <t>Foster</t>
  </si>
  <si>
    <t>Mullen</t>
  </si>
  <si>
    <t>Manning</t>
  </si>
  <si>
    <t>Sweeney</t>
  </si>
  <si>
    <t>Lynd</t>
  </si>
  <si>
    <t>Osgood</t>
  </si>
  <si>
    <t>Woodard</t>
  </si>
  <si>
    <t>Beaudoin</t>
  </si>
  <si>
    <t>Tanner</t>
  </si>
  <si>
    <t>Doyle</t>
  </si>
  <si>
    <t>Blodgett</t>
  </si>
  <si>
    <t>Gratton</t>
  </si>
  <si>
    <t>Donegan</t>
  </si>
  <si>
    <t>Brigham</t>
  </si>
  <si>
    <t>Cleary</t>
  </si>
  <si>
    <t>Tiffany</t>
  </si>
  <si>
    <t>Gates</t>
  </si>
  <si>
    <t>LeBlanc</t>
  </si>
  <si>
    <t>Leibold</t>
  </si>
  <si>
    <t>Hammond</t>
  </si>
  <si>
    <t>McCrory</t>
  </si>
  <si>
    <t>Sumner</t>
  </si>
  <si>
    <t>Patenaude</t>
  </si>
  <si>
    <t>Guillette</t>
  </si>
  <si>
    <t>Stone</t>
  </si>
  <si>
    <t>Lindstrom</t>
  </si>
  <si>
    <t>Boudreau</t>
  </si>
  <si>
    <t>Menard</t>
  </si>
  <si>
    <t>Eastman</t>
  </si>
  <si>
    <t>Harrison</t>
  </si>
  <si>
    <t>de la Bruere</t>
  </si>
  <si>
    <t>Stecker</t>
  </si>
  <si>
    <t>Mead</t>
  </si>
  <si>
    <t>Tardif</t>
  </si>
  <si>
    <t>Larson</t>
  </si>
  <si>
    <t>Adams</t>
  </si>
  <si>
    <t>LePage</t>
  </si>
  <si>
    <t>Scholten</t>
  </si>
  <si>
    <t>Ayer</t>
  </si>
  <si>
    <t>Boutin</t>
  </si>
  <si>
    <t>Bidwell</t>
  </si>
  <si>
    <t>Latraverse</t>
  </si>
  <si>
    <t>Carboni</t>
  </si>
  <si>
    <t>Judd</t>
  </si>
  <si>
    <t>Collins</t>
  </si>
  <si>
    <t>Webb</t>
  </si>
  <si>
    <t>Pease</t>
  </si>
  <si>
    <t>Burkewitz</t>
  </si>
  <si>
    <t>Huntoon</t>
  </si>
  <si>
    <t>Bennett</t>
  </si>
  <si>
    <t>Sauer</t>
  </si>
  <si>
    <t>Coe</t>
  </si>
  <si>
    <t>Heru Cahyono</t>
  </si>
  <si>
    <t>Sudjono</t>
  </si>
  <si>
    <t>Then</t>
  </si>
  <si>
    <t>Dinigrat</t>
  </si>
  <si>
    <t>Tanya</t>
  </si>
  <si>
    <t>Fugiel</t>
  </si>
  <si>
    <t>Puchalla</t>
  </si>
  <si>
    <t>Hurst</t>
  </si>
  <si>
    <t>Reyna</t>
  </si>
  <si>
    <t>Yuen</t>
  </si>
  <si>
    <t>Wu</t>
  </si>
  <si>
    <t>Pominville</t>
  </si>
  <si>
    <t>Sonmez</t>
  </si>
  <si>
    <t>Radelfinger</t>
  </si>
  <si>
    <t>Wiericks</t>
  </si>
  <si>
    <t>Schaefers</t>
  </si>
  <si>
    <t>Bragg</t>
  </si>
  <si>
    <t>Castillo</t>
  </si>
  <si>
    <t>Minnig</t>
  </si>
  <si>
    <t>Kuhr</t>
  </si>
  <si>
    <t>Hasse</t>
  </si>
  <si>
    <t>Cannistra</t>
  </si>
  <si>
    <t>Tillman</t>
  </si>
  <si>
    <t>Draganski</t>
  </si>
  <si>
    <t>Teague</t>
  </si>
  <si>
    <t>Regan</t>
  </si>
  <si>
    <t>Thompson</t>
  </si>
  <si>
    <t>Perkins</t>
  </si>
  <si>
    <t>Black</t>
  </si>
  <si>
    <t>Elmhorst</t>
  </si>
  <si>
    <t>Reuben Martin</t>
  </si>
  <si>
    <t>Rivas</t>
  </si>
  <si>
    <t>Sinthaberg</t>
  </si>
  <si>
    <t>Seamon</t>
  </si>
  <si>
    <t>Rach</t>
  </si>
  <si>
    <t>Rials</t>
  </si>
  <si>
    <t>Stahl</t>
  </si>
  <si>
    <t>Flock</t>
  </si>
  <si>
    <t>Sorenson</t>
  </si>
  <si>
    <t>Riehlman</t>
  </si>
  <si>
    <t>Ripley</t>
  </si>
  <si>
    <t>Geigley</t>
  </si>
  <si>
    <t>Wormuth</t>
  </si>
  <si>
    <t>Clark</t>
  </si>
  <si>
    <t>Frantzen</t>
  </si>
  <si>
    <t>Wiedmeyer</t>
  </si>
  <si>
    <t>Fiedler</t>
  </si>
  <si>
    <t>Hinsch</t>
  </si>
  <si>
    <t>Bondi</t>
  </si>
  <si>
    <t>Jennings</t>
  </si>
  <si>
    <t>Zufall</t>
  </si>
  <si>
    <t>Geissler</t>
  </si>
  <si>
    <t>Ransom</t>
  </si>
  <si>
    <t>Ryals</t>
  </si>
  <si>
    <t>Rastley</t>
  </si>
  <si>
    <t>Monterossa</t>
  </si>
  <si>
    <t>Beal</t>
  </si>
  <si>
    <t>Blood</t>
  </si>
  <si>
    <t>Garland</t>
  </si>
  <si>
    <t>Benrud</t>
  </si>
  <si>
    <t>Rogers</t>
  </si>
  <si>
    <t>Klaphake</t>
  </si>
  <si>
    <t>Rundhaug</t>
  </si>
  <si>
    <t>Pohl</t>
  </si>
  <si>
    <t>Renati</t>
  </si>
  <si>
    <t>St. Clair</t>
  </si>
  <si>
    <t>Swarey, Nathan Schmucker</t>
  </si>
  <si>
    <t>Gina Rowen</t>
  </si>
  <si>
    <t>Rowley</t>
  </si>
  <si>
    <t>Capistrano</t>
  </si>
  <si>
    <t>Rumiano</t>
  </si>
  <si>
    <t>Dunhem</t>
  </si>
  <si>
    <t>Rutkowski</t>
  </si>
  <si>
    <t>Bolen</t>
  </si>
  <si>
    <t>Poirier</t>
  </si>
  <si>
    <t>Dill</t>
  </si>
  <si>
    <t>Salber</t>
  </si>
  <si>
    <t>O'Hara</t>
  </si>
  <si>
    <t>Scott Makela</t>
  </si>
  <si>
    <t>Leach</t>
  </si>
  <si>
    <t>Nissley</t>
  </si>
  <si>
    <t>Thibault</t>
  </si>
  <si>
    <t>Santy</t>
  </si>
  <si>
    <t>Gaioni</t>
  </si>
  <si>
    <t>Sarvinski</t>
  </si>
  <si>
    <t>Savage</t>
  </si>
  <si>
    <t>King Jr</t>
  </si>
  <si>
    <t>Darling</t>
  </si>
  <si>
    <t>Schneider</t>
  </si>
  <si>
    <t>Schwarz</t>
  </si>
  <si>
    <t>Scilacci</t>
  </si>
  <si>
    <t>Seelow</t>
  </si>
  <si>
    <t>Seidl</t>
  </si>
  <si>
    <t>Dietschweiler-Hartley</t>
  </si>
  <si>
    <t>Schwartzel</t>
  </si>
  <si>
    <t>Dunphy</t>
  </si>
  <si>
    <t>Severy</t>
  </si>
  <si>
    <t>Wall</t>
  </si>
  <si>
    <t>Szymanski</t>
  </si>
  <si>
    <t>Sheffer</t>
  </si>
  <si>
    <t>Voegeli</t>
  </si>
  <si>
    <t>Sherwood</t>
  </si>
  <si>
    <t>McLean</t>
  </si>
  <si>
    <t>Chammaa</t>
  </si>
  <si>
    <t>Vergin</t>
  </si>
  <si>
    <t>Silloway</t>
  </si>
  <si>
    <t>Silva</t>
  </si>
  <si>
    <t>Silveira</t>
  </si>
  <si>
    <t>Petre</t>
  </si>
  <si>
    <t>Slate</t>
  </si>
  <si>
    <t>Khiani</t>
  </si>
  <si>
    <t>Cerar</t>
  </si>
  <si>
    <t>Sosalla</t>
  </si>
  <si>
    <t>Richmond - Southern Tier Organics</t>
  </si>
  <si>
    <t>Sparks</t>
  </si>
  <si>
    <t>Husfeldt</t>
  </si>
  <si>
    <t>Stricker</t>
  </si>
  <si>
    <t>Revolinski</t>
  </si>
  <si>
    <t>Gunning</t>
  </si>
  <si>
    <t>Perumal</t>
  </si>
  <si>
    <t>Gontu</t>
  </si>
  <si>
    <t>Joey St. Mary</t>
  </si>
  <si>
    <t>Stamschror</t>
  </si>
  <si>
    <t>Walker</t>
  </si>
  <si>
    <t>Steinbach</t>
  </si>
  <si>
    <t>Schueller</t>
  </si>
  <si>
    <t>Malinda E. Kinsinger</t>
  </si>
  <si>
    <t>Stoltz</t>
  </si>
  <si>
    <t>Stratton</t>
  </si>
  <si>
    <t>Franklin Jr.</t>
  </si>
  <si>
    <t>Stornetta</t>
  </si>
  <si>
    <t>Straits</t>
  </si>
  <si>
    <t>Family</t>
  </si>
  <si>
    <t>Yuk</t>
  </si>
  <si>
    <t>Landolt</t>
  </si>
  <si>
    <t>Bricker</t>
  </si>
  <si>
    <t>Fendry</t>
  </si>
  <si>
    <t>Brunner</t>
  </si>
  <si>
    <t>Harris</t>
  </si>
  <si>
    <t>Cohen</t>
  </si>
  <si>
    <t>Hass</t>
  </si>
  <si>
    <t>Licup</t>
  </si>
  <si>
    <t>Brahney</t>
  </si>
  <si>
    <t>Mickelson</t>
  </si>
  <si>
    <t>Suring</t>
  </si>
  <si>
    <t>DeVuyst</t>
  </si>
  <si>
    <t>Berg</t>
  </si>
  <si>
    <t>Sylvestre</t>
  </si>
  <si>
    <t>Siurek</t>
  </si>
  <si>
    <t>Matsuoka</t>
  </si>
  <si>
    <t>Claghorn</t>
  </si>
  <si>
    <t>Ellinghuysen</t>
  </si>
  <si>
    <t>Aursby</t>
  </si>
  <si>
    <t>Kinney</t>
  </si>
  <si>
    <t>Mannion</t>
  </si>
  <si>
    <t>Hesters</t>
  </si>
  <si>
    <t>Hartley</t>
  </si>
  <si>
    <t>Botts</t>
  </si>
  <si>
    <t>Poncia</t>
  </si>
  <si>
    <t>Chompoopan</t>
  </si>
  <si>
    <t>Minnich</t>
  </si>
  <si>
    <t>Stube</t>
  </si>
  <si>
    <t>Corse</t>
  </si>
  <si>
    <t>Patel</t>
  </si>
  <si>
    <t>Steinmetz</t>
  </si>
  <si>
    <t>Murcray</t>
  </si>
  <si>
    <t>Vanderbosch</t>
  </si>
  <si>
    <t>Schram-Duggan</t>
  </si>
  <si>
    <t>Busselberg</t>
  </si>
  <si>
    <t>Ortensi</t>
  </si>
  <si>
    <t>Tuller</t>
  </si>
  <si>
    <t>Brianna Palumbo</t>
  </si>
  <si>
    <t>Thomas Utegg</t>
  </si>
  <si>
    <t>Nadler</t>
  </si>
  <si>
    <t>Thanh Phuc</t>
  </si>
  <si>
    <t>Furgison</t>
  </si>
  <si>
    <t>Kline</t>
  </si>
  <si>
    <t>Maibach</t>
  </si>
  <si>
    <t>Neu</t>
  </si>
  <si>
    <t>Eisenbeis</t>
  </si>
  <si>
    <t>Elliott</t>
  </si>
  <si>
    <t>Pauli</t>
  </si>
  <si>
    <t>Stoltman</t>
  </si>
  <si>
    <t>Derstine</t>
  </si>
  <si>
    <t>Bond</t>
  </si>
  <si>
    <t>Rayl</t>
  </si>
  <si>
    <t>Covelli</t>
  </si>
  <si>
    <t>Torgerson</t>
  </si>
  <si>
    <t>Mudge</t>
  </si>
  <si>
    <t>Strowman</t>
  </si>
  <si>
    <t>Brooke Carpenter</t>
  </si>
  <si>
    <t>Tranel</t>
  </si>
  <si>
    <t>Scherping</t>
  </si>
  <si>
    <t>Moreda</t>
  </si>
  <si>
    <t>Villnave</t>
  </si>
  <si>
    <t>Tresch</t>
  </si>
  <si>
    <t>Phillips</t>
  </si>
  <si>
    <t>Estevo</t>
  </si>
  <si>
    <t>Donald, Jr.</t>
  </si>
  <si>
    <t>Trogstad</t>
  </si>
  <si>
    <t>Nojoumi</t>
  </si>
  <si>
    <t>Norton</t>
  </si>
  <si>
    <t>Barr</t>
  </si>
  <si>
    <t>Tuning</t>
  </si>
  <si>
    <t>Chaffee</t>
  </si>
  <si>
    <t>Arnold</t>
  </si>
  <si>
    <t>Aitel</t>
  </si>
  <si>
    <t>Perrigo</t>
  </si>
  <si>
    <t>Uebersetzig</t>
  </si>
  <si>
    <t>Innocenti</t>
  </si>
  <si>
    <t>Mossanen</t>
  </si>
  <si>
    <t>Sorisho</t>
  </si>
  <si>
    <t>Elsenpeter</t>
  </si>
  <si>
    <t>Bieber</t>
  </si>
  <si>
    <t>Vangsness</t>
  </si>
  <si>
    <t>Varney</t>
  </si>
  <si>
    <t>Kearns</t>
  </si>
  <si>
    <t>Coehoorn</t>
  </si>
  <si>
    <t>Lam Vien</t>
  </si>
  <si>
    <t>Virtues</t>
  </si>
  <si>
    <t>Bonoffski</t>
  </si>
  <si>
    <t>Volleman</t>
  </si>
  <si>
    <t>von Trapp</t>
  </si>
  <si>
    <t>Wagner</t>
  </si>
  <si>
    <t>Burroughs</t>
  </si>
  <si>
    <t>Stetson</t>
  </si>
  <si>
    <t>Rico</t>
  </si>
  <si>
    <t>Webber</t>
  </si>
  <si>
    <t>Heins</t>
  </si>
  <si>
    <t>Levendoski</t>
  </si>
  <si>
    <t>Westenberg</t>
  </si>
  <si>
    <t>Honeycutt</t>
  </si>
  <si>
    <t>Saxton</t>
  </si>
  <si>
    <t>Anhalt</t>
  </si>
  <si>
    <t>York</t>
  </si>
  <si>
    <t>Bialobrzeski</t>
  </si>
  <si>
    <t>Linscott, Jr.</t>
  </si>
  <si>
    <t>Aalvik</t>
  </si>
  <si>
    <t>Wilke</t>
  </si>
  <si>
    <t>Osborne</t>
  </si>
  <si>
    <t>Willenbring</t>
  </si>
  <si>
    <t>Larchar</t>
  </si>
  <si>
    <t>Deichmann</t>
  </si>
  <si>
    <t>Beidler</t>
  </si>
  <si>
    <t>Park</t>
  </si>
  <si>
    <t>Schrandt</t>
  </si>
  <si>
    <t>Ruegemer</t>
  </si>
  <si>
    <t>Rusk</t>
  </si>
  <si>
    <t>Winkel</t>
  </si>
  <si>
    <t>Wojciehowski</t>
  </si>
  <si>
    <t>Wolbeck</t>
  </si>
  <si>
    <t>Prohl</t>
  </si>
  <si>
    <t>Downing</t>
  </si>
  <si>
    <t>Sanborn</t>
  </si>
  <si>
    <t>Woodward</t>
  </si>
  <si>
    <t>Yost</t>
  </si>
  <si>
    <t>Zimba</t>
  </si>
  <si>
    <t>Geiser</t>
  </si>
  <si>
    <t>Garcia</t>
  </si>
  <si>
    <t>Zumberger</t>
  </si>
  <si>
    <t>Zweber</t>
  </si>
  <si>
    <t>Operation Certification Status</t>
  </si>
  <si>
    <t>Certified/ Surrendered/ Suspended/ Revoked</t>
  </si>
  <si>
    <t>Certified</t>
  </si>
  <si>
    <t>Effective Date of Operation Status</t>
  </si>
  <si>
    <t>Date the selected Operation Certification Status became effective. MM/DD/YYYY</t>
  </si>
  <si>
    <t>NOP Anniversary Date</t>
  </si>
  <si>
    <t>Date of annual update for certificate, at operation level. May include renewal, inspection, or verification.        MM/DD/YYYY</t>
  </si>
  <si>
    <t>CROPS Scope Certification Status</t>
  </si>
  <si>
    <t>Certified/ Surrendered/ Suspended</t>
  </si>
  <si>
    <t>Surrendered</t>
  </si>
  <si>
    <t>Effective Date of CROPS Status</t>
  </si>
  <si>
    <t>MM/DD/YYYY</t>
  </si>
  <si>
    <t>Certified Products Under CROPS Scope</t>
  </si>
  <si>
    <t>Category: Item Name/Other Item (Item Variety)</t>
  </si>
  <si>
    <t>Seed/Pod Vegetables: Peas; Field/Forageable: Clover, Hay, Oats, Pasture</t>
  </si>
  <si>
    <t>Other: Barley, Corn, Hay, Pasture, Milo, Soybeans, Oats, Pasture, Peas, Rye, Sorghum Sudangrass, Triticale, Peas, Alfalfa</t>
  </si>
  <si>
    <t>Other: Corn, Hay, Oats, Pasture</t>
  </si>
  <si>
    <t>Field/Forageable: Hay, Pasture, Oats/Peas Forage</t>
  </si>
  <si>
    <t>Field/Forageable: Corn, Hay, Pasture, Barley, Peas, Spelt</t>
  </si>
  <si>
    <t>Other: Corn,* Hay,* and Oats*, Pasture</t>
  </si>
  <si>
    <t>Stem Vegetables: Rhubarb; Leaf Vegetables: Kale, Lettuce; Fruit Vegetables: Eggplants, Peppers, Zucchini; Fruit - Melons: Melons; Field/Forageable: Mustard, Pasture</t>
  </si>
  <si>
    <t>Field/Forageable: Corn, Hay/Pasture, Sudan</t>
  </si>
  <si>
    <t>Field/Forageable: Corn, Hay, Pasture, Silage (Corn Silage)</t>
  </si>
  <si>
    <t>Other: Corn, Hay, Pasture</t>
  </si>
  <si>
    <t>Field/Forageable: Alfalfa, Clover, Corn, Hay, Oats, Pasture, Straw, Triticale</t>
  </si>
  <si>
    <t>Field/Forageable: Alfalfa, Corn, Oats, Pasture, Sorghum Sudan Grass</t>
  </si>
  <si>
    <t>Field/Forageable: Hay, Pasture</t>
  </si>
  <si>
    <t>Field/Forageable: Pasture, Hay, Sudan</t>
  </si>
  <si>
    <t>Other: Corn, Hay, Oats, Pasture, Rye, Spelt</t>
  </si>
  <si>
    <t>Other: Corn, Hay, Oats, Pasture, Rye</t>
  </si>
  <si>
    <t>Field/Forageable: Balage, Pasture, Sudan Grass</t>
  </si>
  <si>
    <t>Other: Alfalfa, Garlic, Hay, Oats, Pasture, Rye, Corn</t>
  </si>
  <si>
    <t>Field/Forageable: Clover, Corn, Hay, Pasture, Ryegrass</t>
  </si>
  <si>
    <t>Other: Cherries, Hay, Oats, Pasture, Rye, Sorghum Sudan</t>
  </si>
  <si>
    <t>Other: Corn, Hay, Oats, Pasture, Wheat</t>
  </si>
  <si>
    <t>Other: Alfalfa, Hay, Alfalfa, Sorghum Sudangrass, Sudangrass, Pasture, Corn, Barley, Triticale, Pasture</t>
  </si>
  <si>
    <t>Other: Alfalfa, Hay, Corn, Oats, Oats, Hay, Pasture, Hay, Rye, Soybeans, Wheat</t>
  </si>
  <si>
    <t>Other: Alfalfa, Barley, Corn, Hay, Oats, Pasture, hay, Peas, Rye, Hay, Sorghum Sudangrass, Soybeans, Spelt, Triticale, Wheat, Hay</t>
  </si>
  <si>
    <t>Other: Hay, Pasture</t>
  </si>
  <si>
    <t>Other: Hay, Pasture, Sorghum Sudan</t>
  </si>
  <si>
    <t>Other: Corn, Hay, Oats, Pasture, Soybeans, Straw, Triticale</t>
  </si>
  <si>
    <t>Field/Forageable: Corn, Hay, Pasture</t>
  </si>
  <si>
    <t>Other: Corn, Hay, Pasture, Sudan Grass</t>
  </si>
  <si>
    <t>Field/Forageable: Corn (Corn), Hay (Hay), Pasture (Pasture), Soybeans (Soybeans)</t>
  </si>
  <si>
    <t>Other: Corn*, Cover Crops*, Hay*, Pasture*, Pasture/Woods*</t>
  </si>
  <si>
    <t>Other: Hay, Hay, Pasture, Pasture</t>
  </si>
  <si>
    <t>Field/Forageable: Corn, Hay, Oats, Pasture, Sorghum Sudan Grass</t>
  </si>
  <si>
    <t>Tuber/Root Vegetables: Garlic, Onions, Potatoes; Herbs/Spices: Ginger; Field/Forageable: Corn, Hay, Pasture, Rye, Sudan Grass, Triticale</t>
  </si>
  <si>
    <t>Field/Forageable: Alfalfa, Clover, Corn, Field Crop (Peas), Grass, Grass (Orchardgrass), Hay, Oats, Pasture, Rye, Ryegrass, Soybeans, Sudan Grass, Timothy Grass, Triticale, Wheat</t>
  </si>
  <si>
    <t>Other: Balage (wrapped bales), Hay (dry round bales), Haylage, Pasture</t>
  </si>
  <si>
    <t>Field/Forageable: Corn, Hay, Oats, Pasture, Spelt</t>
  </si>
  <si>
    <t>Field/Forageable: Hay (Hay), Pasture (Pasture)</t>
  </si>
  <si>
    <t>Field/Forageable: Corn, Triticale, Hay, Pasture</t>
  </si>
  <si>
    <t>Field/Forageable: Corn (*), Fallow (cover crop *), Hay (*), Oats (peas (*)), Pasture (*)</t>
  </si>
  <si>
    <t>Other: Hay and Pasture</t>
  </si>
  <si>
    <t>Other: Corn, Hay, Oats, Pasture, Soybeans</t>
  </si>
  <si>
    <t>Field/Forageable: Corn, Hay, Oats, Pasture, Soybeans, Spelt</t>
  </si>
  <si>
    <t>Other: Garlic, Hay, Pasture</t>
  </si>
  <si>
    <t>Nuts: Coconuts, Coconuts (Coconut*)</t>
  </si>
  <si>
    <t>Nuts: Coconuts (Coconuts*
Certified in accordance with the terms of the U.S. - Canada Organic
Equivalency Arrangement)</t>
  </si>
  <si>
    <t>Field/Forageable: Corn, Hay, Oats, Pasture</t>
  </si>
  <si>
    <t>Other: Alfalfa, Hay, Barley, Corn, Oats, Pasture, Peas, Rye, Sorghum Sudan Grass, Soybeans (food grade), Succotash, Triticale, Wheat</t>
  </si>
  <si>
    <t>Other: Pasture</t>
  </si>
  <si>
    <t>Field/Forageable: Haylage, Pasture</t>
  </si>
  <si>
    <t>Field/Forageable: Alfalfa, Corn, Pasture (Pasture)</t>
  </si>
  <si>
    <t>Field/Forageable: Alfalfa, Fallow, Grass, Hay, Pasture, Pasture, Silage</t>
  </si>
  <si>
    <t>Field/Forageable: Pasture, Spelt (grain/straw), Hay, Corn</t>
  </si>
  <si>
    <t>Field/Forageable: Corn (Corn), Hay (Hay), Other, Pasture (Pasture), Soybeans (Soybeans)</t>
  </si>
  <si>
    <t>Field/Forageable: Alfalfa, Corn, Hay, Oats, Pasture, Sorghum Sudan Grass, Wheat, Wheat (Winter)</t>
  </si>
  <si>
    <t>Other: Alfalfa, Barley, Corn, Hay, Land, Oats, Pasture, Peas, Rye, Sorghum Sudangrass, Soybeans, Triticale</t>
  </si>
  <si>
    <t>Other: Alfalfa/Barley, Alfalfa/Grass, Corn, Grass/Hay/Pasture, Millet Pasture, Pasture, Pasture Grass, Rye Pasture, and Winter Rye, Carryover Crops of 2018 Barley–670 bushels, 2022 Rye–1000 bushels, 2022 Straw–200 bales, and 2019 Hay–100 bales</t>
  </si>
  <si>
    <t>Other: Carryover Crops: 2021 Spelt- 500 bushels, 2022 Spelt- 150 bushels, and 2022 Hay- 15 Tons, Corn, Hay/Oats, Pasture, and Woods, Sugarbush</t>
  </si>
  <si>
    <t>Field/Forageable: Pasture, Corn, Hay</t>
  </si>
  <si>
    <t>Other: Alfalfa;Corn; Hay; Oats; Pasture; Peas; Wheat;</t>
  </si>
  <si>
    <t>Other: *Corn, *Hay, *Alfalfa, *Oats, *Pasture, *Rye, *Sorghum-sudangrass, *Wheat, Wooded pasture</t>
  </si>
  <si>
    <t>Other: Alfalfa, Corn, Hay, pasture, Sorghum-sudangrass, Oats, Pasture, Pasture, hay, Peas, Rye</t>
  </si>
  <si>
    <t>Field/Forageable: Hay, Oats, Pasture, Sorghum Sudan Grass, Spelt, Wheat, Wheat (Einkorn)</t>
  </si>
  <si>
    <t>Field/Forageable: Hay, Pasture, Sudan</t>
  </si>
  <si>
    <t>Field/Forageable: Alfalfa, Corn, Hay, Pasture, Triticale</t>
  </si>
  <si>
    <t>Other: Carryover Crops of 2023 Corn-1,600 bushels, 2023 Corn Silage-40 tons, 2023 Hay-1,800 small square bales, Corn, Hay, Pasture, Peas/Barley</t>
  </si>
  <si>
    <t>Field/Forageable: Alfalfa, Clover, Corn, Hay, Oats, Pasture, Spelt, Sudan Grass</t>
  </si>
  <si>
    <t>Other: Corn, Hay, Goat Pasture, Triticale/Peas/Alfalfa</t>
  </si>
  <si>
    <t>Field/Forageable: Hay, Corn, Pasture, Woods</t>
  </si>
  <si>
    <t>Field/Forageable: Corn, Hay, Pasture, Oats, Straw</t>
  </si>
  <si>
    <t>Field/Forageable: Corn, Hay, Pasture, Sorghum Sudan Grass, Soybeans, Triticale</t>
  </si>
  <si>
    <t>Field/Forageable: Hay, Pasure, Sorgum, Sudan</t>
  </si>
  <si>
    <t>Field/Forageable: Clover, Hay, Pasture, Ryegrass, Sudan Grass</t>
  </si>
  <si>
    <t>Nursery/Starts/Flowers/Trees: Flowers, Strawberries; Herbs/Spices: Basil, Chives, Cilantro, Oregano, Parsley, Rosemary, Sage, Thyme; Other: Alfalfa/Grass Hay &amp; Pasture/Cover Crop, Arugula, Asian Greens, Beans-fava, Beets, Brocolini, Bok Choy, Carrots, Chard, Cucumber, Eggplant, Garlic, Kale, Lettuce, Microgreens, Onions, Melons, Parsnips, Peppers-Bell -Hot, Radish, Rhubarb, Shallots, Spinach, Squash-Summer-Winter, Spring Mix, Tomatoes, Turnips</t>
  </si>
  <si>
    <t>Tuber/Root Vegetables: Tubers (Camote = 5,000.00 kg); Fruit - Tropical Fruits: Bananas (Banana= 55,000.00 Kg.), Passionfruits (Maracuyá = 5,000.00 Kg.)</t>
  </si>
  <si>
    <t>Field/Forageable: Pasture, Spelt</t>
  </si>
  <si>
    <t>Other: Corn, Hay, Pasture, Rye, Sudan Grass</t>
  </si>
  <si>
    <t>Field/Forageable: Alfalfa Hay, Clover Hay, Wheat Forage, Sorghum, Pasture</t>
  </si>
  <si>
    <t>Field/Forageable: Corn, Hay, Pasture, Triticale, Wheat</t>
  </si>
  <si>
    <t>Field/Forageable: Hay, Oats, Pasture</t>
  </si>
  <si>
    <t>Other: Carryover Crop of 2020/2021 Corn-600 bushels, Corn*, Hay, Oats, Pasture, Pasture/Hay</t>
  </si>
  <si>
    <t>Field/Forageable: Corn (Yellow, Snaplage, Fodder), Hay, Millet, Pasture, Silage (Corn)</t>
  </si>
  <si>
    <t>Field/Forageable: Hay, Pasture, Silage (Corn), Triticale</t>
  </si>
  <si>
    <t>Other: Carryover Crop of 2022 Hay-60 small square bales, Corn, Hay, Hay/Pasture, and Triticale/Peas/Alfalfa, Goat Pasture, Horse Pasture</t>
  </si>
  <si>
    <t>Other: Corn, Hay, and Pasture</t>
  </si>
  <si>
    <t>Field/Forageable: Clover, Corn, Hay, Oats, Pasture, Rye, Spelt</t>
  </si>
  <si>
    <t>Other: Corn, Garlic, Hay, Pasture, Sorghum Sudangrass</t>
  </si>
  <si>
    <t>Field/Forageable: Alfalfa, Clover, Corn, Grass, Hay, Pasture</t>
  </si>
  <si>
    <t>Field/Forageable: Corn (Corn), Hay (Hay), Pasture (Pasture)</t>
  </si>
  <si>
    <t>Other: Clover, Corn, Hay, Pasture, Rye, Sorghum, Triticale Straw, Triticale/ Ryegrass, Soybeans, Spelt, Spelt Straw, Triticale</t>
  </si>
  <si>
    <t>Other: Alfalfa, Corn, Hay, Hay, pasture, Oats, Pasture, Rye, Sorghum, Sorghum-sudangrass, Wheat</t>
  </si>
  <si>
    <t>Field/Forageable: Alfalfa, Corn, Hay, Pasture, Tobacco</t>
  </si>
  <si>
    <t>Field/Forageable: Alfalfa, Corn, Field Crop (Turnips), Hay, Oats, Pasture, Rye, Sudan Grass</t>
  </si>
  <si>
    <t>Seed/Pod Vegetables: Peas; Field/Forageable: Corn, Hay, Oats, Pasture, Soybeans</t>
  </si>
  <si>
    <t>Other: Corn, Hay, Oats, Pasture, Sorghum Sudan</t>
  </si>
  <si>
    <t>Field/Forageable: Clover, Hay, Pasture</t>
  </si>
  <si>
    <t>Other: Pasture, Alfalfa, Corn, Sorghum Sudan grass, Triticale/ Ryegrass</t>
  </si>
  <si>
    <t>Field/Forageable: Crops: Pasture, Hay, Corn, Oats, Sudan grass, Alfalfa, Teff, Wheat, Oats, Speltz, Straw, Sudangrass Livestock: Dairy Cows, Milk, Beef Cattle</t>
  </si>
  <si>
    <t>Other: Barley, Corn, Corn (food grade), Hay, Alfalfa, Oats, Pasture, Peas, Rye, Sorghum-sudangrass, Soybeans, Sunflowers, Wheat</t>
  </si>
  <si>
    <t>Field/Forageable: Fallow, Hay, Pasture</t>
  </si>
  <si>
    <t>Tuber/Root Vegetables: Turnips (Forage Turnip); Field/Forageable: Hay, Oats (Forage Oats), Pasture, Sorghum Sudan Grass</t>
  </si>
  <si>
    <t>Other: Corn, Einkorn, Hay, Oats, Pasture, Soybeans, Spelt</t>
  </si>
  <si>
    <t>Other: Asparagus, Corn, Hay, Pasture, Sorghum Sudan</t>
  </si>
  <si>
    <t>Other: Corn, Hay, Pasture, Sorghum Sudan</t>
  </si>
  <si>
    <t>Seed/Pod Vegetables: Soybeans; Field/Forageable: Corn (Yellow), Hay, Oats, Pasture, Silage (Corn), Straw</t>
  </si>
  <si>
    <t>Other: Alfalfa, Barley, Corn, Hay, Oats, Pasture</t>
  </si>
  <si>
    <t>Other: Corn, Hay, Maple Syrup, Pasture, Spelt, Sugar Bush</t>
  </si>
  <si>
    <t>Field/Forageable: Corn, Hay, Pasture, Oats</t>
  </si>
  <si>
    <t>Field/Forageable: Corn, Hay, Pasture, Soybeans</t>
  </si>
  <si>
    <t>Other: 2021 Carryover Crops of Corn - 600 bushels, Corn Silage - 14' x 27', Hay - 10 tons, Haylage - 10 'x 20', Oats - 250 bushels, and Soybeans - 40 bushels, Corn, Corn Silage, Hay, Hay/Pasture, Oats, Pasture, and Spelt, Produce including Beets, Cilantro, Cucumbers, Kale, Onions, Shallots, Spelt, and Squash (winter)</t>
  </si>
  <si>
    <t>Field/Forageable: Corn, Hay, Oats, Pasture, Soybeans, Spelt, Straw, Wheat</t>
  </si>
  <si>
    <t>Field/Forageable: Hay, Pasture, Spelt</t>
  </si>
  <si>
    <t>Tuber/Root Vegetables: Cassava, Cassava (Cassava*); Nuts: Coconut sap, Coconuts, Coconuts (Coconut*); Fruit - Tropical Fruits: Bananas (Banana*); Fruit - Berries: Bananas</t>
  </si>
  <si>
    <t>Other: Asparagus, Beets, Celeriac, Corn, Custom production of seedlings, transplants, and planting stock, Fennel, Greenhouse production of transplants for on-farm use, Hay, Kale, Leeks, Lettuce, Oats, Onions, Pasture, Radish, Rhubarb, Shallots, Squash, Triticale</t>
  </si>
  <si>
    <t>Seed/Pod Vegetables: Peas; Field/Forageable: Corn, Hay, Oats, Pasture, Soybeans, Spelt</t>
  </si>
  <si>
    <t>Seed/Pod Vegetables: Peas, Peas (Field); Field/Forageable: Corn, Hay, Pasture, Triticale</t>
  </si>
  <si>
    <t>Other: Corn, Hay, Pasture, Soybeans, Wheat</t>
  </si>
  <si>
    <t>Field/Forageable: Corn, Hay, Pasture, Spelt</t>
  </si>
  <si>
    <t>Field/Forageable: Corn, Hay, Oats, Pasture, Soybeans</t>
  </si>
  <si>
    <t>Seed/Pod Vegetables: Peas; Field/Forageable: Corn, Hay, Oats, Pasture</t>
  </si>
  <si>
    <t>Other: Corn, Hay, Pasture, Sorghum, Triticale</t>
  </si>
  <si>
    <t>Other: Alfalfa, Barley, Corn, Oats, Pasture, Hay, Rye, Sorghum-sudangrass, Soybeans (food grade), Triticale</t>
  </si>
  <si>
    <t>Leaf Vegetables: Leaf Vegetables; Field/Forageable: Corn, Hay, Pasture</t>
  </si>
  <si>
    <t>Field/Forageable: Oats, Corn, Hay, Pasture</t>
  </si>
  <si>
    <t>Other: Bud's Field #14, Detering Farm #8, Grass Hay, Grass Silage, Joe Sidorski's Farm #4, John Sidorski's Farm #5, Lasley Field #9, Margaret Little - # 22, Pasture, Sun Ton Farms #16, Yackley Field #18</t>
  </si>
  <si>
    <t>Other: Corn, Hay, Oats, Pasture, Rye, Ryegrass, Sorghum-sudangrass, Soybeans, Spelt, Turnips</t>
  </si>
  <si>
    <t>Other: Corn; Hay; Land; Oats; Pasture; Peas; Ryegrass; Sudangrass;Vegetables: asparagus, beets, collards, garlic, green beans, kale, onions, radish, shallots, summer squash, tomatoes, turnips, winter squash, zucchini;Fruit: rhubarb;</t>
  </si>
  <si>
    <t>Field/Forageable: Hay, Pasture, Silage (Corn), Tobacco</t>
  </si>
  <si>
    <t>Field/Forageable: Baleage, Dry Hay - Grass, Haylage, Pasture</t>
  </si>
  <si>
    <t>Field/Forageable: Corn, Hay, Pasture, Woods, Corrals</t>
  </si>
  <si>
    <t>Other: Corn, Hay, Oat Straw, Oats, Pasture, Soybeans, Spelt</t>
  </si>
  <si>
    <t>Other: 1300, 1400, 1500, 1600, 364-Corners, 364E, 364W, 383, 384 - 900E, 384 - 900W, 384-Dryland, 385, 385-Corners, 386 W, 386E, 386-S4 Corners, 387 East, 387 West, 387-Corners, 399 E Pivot Half, 399 W Pivot Half, 399-Corners, 400-100, 400-200, 400-700, 400-800, 401-300, 401-400, 401-500, 401-600, 402-E, 402-E Corners, 402-W, 402-W Corners, 403, 404, 404-77, 405, 420-1000, 420-1000 Corners, 420-1100, 420-1100 Corners, 420-1200, 420-1200 Corners, Pasture, Pasture Hay (Not for Sale)</t>
  </si>
  <si>
    <t>Other: 201a, 201b, 202a, 202b, 203a, 203b, 203c, 204, 205, 209, 215, 216, 217, 218, 221a, 221b, 221c, 222a, 222b, 223, 224, 225, 226, 227a, 227b, 228, 229a, 229b, 230, 231, 232, 233a, 233b, 234, 235, 236, 237, 238, 239, 240, 241, 242, 243, 244, 245, 246a, 246b, 246c, 247, Pasture, Pasture Hay/Baleage (Not for Sale)</t>
  </si>
  <si>
    <t>Field/Forageable: Pasture</t>
  </si>
  <si>
    <t>Field/Forageable: Corn (Silage Corn), Hay (Alfalfa Hay, Mixed Hay), Hay (Haylage), Pasture</t>
  </si>
  <si>
    <t>Field/Forageable: Balage, Hay (Grass Hay), Pasture</t>
  </si>
  <si>
    <t>Field/Forageable: Pasture (Pasture - Perennial &amp; Annual)</t>
  </si>
  <si>
    <t>Field/Forageable: Hay, Pasture, Ryegrass</t>
  </si>
  <si>
    <t>Field/Forageable: Hay, Pasture, Corn</t>
  </si>
  <si>
    <t>Other: Alfalfa, Hay, Corn, Oats, Pasture, Rye, Sudangrass, Transplants, Triticale, Vegetables: cabbage, cucumbers, garlic, kale, lettuce, tomatoes, winter squash;</t>
  </si>
  <si>
    <t>Other: Alfalfa, Corn, Hay, Marsh grass, Oats, Pasture, Rye, Soybeans, Sudangrass, Triticale, Wheat</t>
  </si>
  <si>
    <t>Field/Forageable: Corn, Grass, Hay, Oats, Pasture, Soybeans, Spelt</t>
  </si>
  <si>
    <t>Other: Alfalfa; Hay, Barley, Corn, Oats, Pasture, Peas, Rye, Sorghum-sudangrass, Soybeans, Sudangrass, Triticale</t>
  </si>
  <si>
    <t>Seed/Pod Vegetables: Soybeans; Field/Forageable: Corn (Yellow), Hay, Pasture, Straw, Sudan Grass, Triticale, Wheat (Soft red winter)</t>
  </si>
  <si>
    <t>Other: *Alfalfa; *Barley; *Clover; *Corn; *Cow Peas; *Hay; *Land; *Millet; *Mung Beans; *Pasture;* Peas; *Oats; *Rye; *Sorghum-sudangrass; *Soybeans; *Sunflower; *Sunn Hemp; *Triticale; Wheat;</t>
  </si>
  <si>
    <t>Other: Corn, Hay, Pasture, Oats, Peas, Alfalfa, Pasture, Triticale</t>
  </si>
  <si>
    <t>Field/Forageable: Corn, Hay, Pasture (Pasture)</t>
  </si>
  <si>
    <t>Other: *Alfalfa, *hay, *Corn, *Fruit: Aronia Berries, *Oats, *Pasture, *Rye, *Sorghum Sudan, *Wheat</t>
  </si>
  <si>
    <t>Field/Forageable: Clover, Corn, Hay, Oats, Pasture</t>
  </si>
  <si>
    <t>Other: Corn, Hay, Pasture, Rye, Succotash, Wooded pasture</t>
  </si>
  <si>
    <t>Field/Forageable: Alfalfa, Hay, Pasture</t>
  </si>
  <si>
    <t>Other: Corn, Hay, Alfalfa, Millet, Oats, Pasture, Sorghum-sudangrass, Sudangrass, Woodland pasture</t>
  </si>
  <si>
    <t>Other: Alfalfa, Brome, Clover, Corn, Festolium, Hay, Kentucky Bluegrass, Orchardgrass, Pasture, Pasture, triticale, oats, Ryegrass, Ryegrass, Sorghum-sudangrass, Timothy, Triticale</t>
  </si>
  <si>
    <t>Other: Baleage , Hay, Pasture</t>
  </si>
  <si>
    <t>Other: Corn, Hay, Pasture, Soybeans</t>
  </si>
  <si>
    <t>Other: Carryover Crops: 2020- Oats- 200 bushels, and 2022 Straw- 100 small bales, Corn Silage, Hay, Oats, Pasture, and Pasture/Woods</t>
  </si>
  <si>
    <t>Field/Forageable: Balage, Corn, Hay, Pasture, Silage, Soybeans, Spelt, Wheat</t>
  </si>
  <si>
    <t>Seed/Pod Vegetables: Peas; Field/Forageable: Hay, Oats, Pasture, Sudan Grass</t>
  </si>
  <si>
    <t>Other: Carryover Crops of 2023 Corn (ear)*-2 tons, Hay*- 12 tons (loose), Haylage*- 14 tons, Oats*- 100 bushels, and Straw*- 1 ton (loose), Corn*, Hay*, Oats*, Pasture*</t>
  </si>
  <si>
    <t>Seed/Pod Vegetables: Peas; Field/Forageable: Clover, Corn, Hay, Oats, Pasture</t>
  </si>
  <si>
    <t>Other: Alfalfa, hay, Corn, Oats, Pasture, Peas, Rye, Sorghum, Sorghum Sudan, Soybeans</t>
  </si>
  <si>
    <t>Other: Alfalfa, Hay, Barley, Buckwheat, Corn, Land, Millet, Oats, Pasture, Peas, Rye, Sorghum, Sorghum Sudangrass, Soybeans, Spelt, Sweet Corn, Tobacco, Triticale</t>
  </si>
  <si>
    <t>Other: Corn, Hay, Oat Straw, Oats, Pasture</t>
  </si>
  <si>
    <t>Field/Forageable: Alfalfa, Corn, Pasture</t>
  </si>
  <si>
    <t>Nursery/Starts/Flowers/Trees: Transplants (Tobacco Seedlings); Field/Forageable: Balage, Corn (Ear, Fodder), Hay, Pasture, Silage (Corn), Straw, Tobacco, Wheat (Einkorn)</t>
  </si>
  <si>
    <t>Field/Forageable: Hay, Pasture, Silage (Corn), Sorghum</t>
  </si>
  <si>
    <t>Fruit - Tropical Fruits: Coconuts (Coconut)</t>
  </si>
  <si>
    <t>Field/Forageable: Hay, Pasture, Sudan Grass, Tobacco, Triticale</t>
  </si>
  <si>
    <t>Field/Forageable: Alfalfa, Corn, Grass, Hay, Pasture</t>
  </si>
  <si>
    <t>Field/Forageable: Pasture, Pasture, Ryegrass, Silage</t>
  </si>
  <si>
    <t>Other: Flowers, Fruit, Hay, Pasture, Seedlings, and Vegetables: apples, asparagus, beans - dried, beans -  green, beans - wax, beets, blackberries, blueberries, bok choy, broccoli, brussels sprouts, cabbage, carrots, cauliflower, celery, chard, cherries, collards, corn, corn - popcorn, corn - sweet, cucumbers, eggplant, garlic, grapes, greens - mix, kale, kohlrabi, leeks, lettuce – heads, lettuce – mix, melons, mesclun mix, mustard greens, onions, parsnips, pac choi, pears, peas, peppers, peppers - hot, plums, potatoes, pumpkins, radishes, raspberries, rhubarb, rutabagas, scallions, spinach, squash - summer, squash - winter, strawberries, sweet potatoes, tomatillos, tomatoes, tomatoes - cherry, tomatoes - grape, tomatoes - heirloom, turnips Herbs: basil, chives, cilantro, dill, fennel, lemon balm, mints, oregano, parsley, rosemary, rye, sage, thyme, triticale, wheat</t>
  </si>
  <si>
    <t>Other: Carryover Crops of 2022 Straw- 50 square bales, 2023 Baleage- 10 round bales, 2023 Corn Silage- 12 tons, 2023 Straw- 15 round bales, and 2023 Hay- 4 square bales, Corn,* Hay,* Pasture,* and Pasture/Hay,*</t>
  </si>
  <si>
    <t>Field/Forageable: Clover, Grass (Fescue), Hay, Millet, Pasture, Rye, Soybeans</t>
  </si>
  <si>
    <t>Field/Forageable: Balage, Hay, Pasture, Silage; Other: Lemna (FYTO/Lemna)</t>
  </si>
  <si>
    <t>Seed/Pod Vegetables: Soybeans (Forage); Field/Forageable: Corn (Yellow), Hay, Oats (Forage), Pasture, Silage (Corn), Straw, Triticale</t>
  </si>
  <si>
    <t>Other: Balage (wrapped bales), Haylage, Pasture</t>
  </si>
  <si>
    <t>Seed/Pod Vegetables: Soybeans; Field/Forageable: Corn (Yellow), Hay, Oats, Pasture, Silage (Corn), Straw (&amp; Soybean straw)</t>
  </si>
  <si>
    <t>Other: *Alfalfa, *Barley, *Corn, *Hay, *Kernza, *Oats, *Pasture, *Peas, *Rye, *Soybeans, *Triticale, *Wheat</t>
  </si>
  <si>
    <t>Field/Forageable: Pasture, Silage</t>
  </si>
  <si>
    <t>Other: Alfalfa, Corn, Hay, Land, Millet, Milo, Oats; Peas; Barley, Pasture, Rye, Ryegrass, Sorghum-sudangrass, Soybeans, Tillage radish, Triticale, Wheat</t>
  </si>
  <si>
    <t>Other: *Hay, *Pasture, *Pasture, *Vegetables: cabbage, *zucchini, *Wheat, Alfalfa, Hay, Corn</t>
  </si>
  <si>
    <t>Field/Forageable: Corn, Hay, Pasture, Peas, Triticale</t>
  </si>
  <si>
    <t>Other: Barley, Corn, Hay, Hay, Pasture, Pasture, Peas, Sorghum, Soybeans, Triticale, Wheat</t>
  </si>
  <si>
    <t>Other: Alfalfa, hay, Fallow, Oats, Pasture, Triticale, Vegetables: arugula, Asian greens, beans, beets, broccoli, carrots, celery, corn, cucumbers, cress, fennel, green beans, kale, leeks, lettuce, mustard greens, peppers, pumpkins, radishes, spinach, summer squash, sweet corn, tomatoes, winter squash; Flowers; Herbs: basil, borage, chives, cilantro, dill, lavender, lemon balm, lemongrass, oregano, parsley, sage</t>
  </si>
  <si>
    <t>Field/Forageable: Alfalfa Silage, Corn Silage, Grass/Clover Hay/Haylage/Silage, Pasture</t>
  </si>
  <si>
    <t>Other: *Corn, *Hay, *Oats, *Pasture, *Rye, *Triticale, Land, Soybeans</t>
  </si>
  <si>
    <t>Other: Alfalfa, Hay, Corn, Oats, Pasture, Rye, Sudangrass, Triticale, Turnips</t>
  </si>
  <si>
    <t>Other: Balage (wrapped bales), Hay (dry round bales), Hay (dry square bales), Pasture</t>
  </si>
  <si>
    <t>Other: Alfalfa, Hay, Corn, Oats, Pasture, Peas, Soybeans, Triticale</t>
  </si>
  <si>
    <t>Field/Forageable: Hay, Pasture, Wheat</t>
  </si>
  <si>
    <t>Field/Forageable: Alfalfa, Clover, Corn, Hay, Oats, Pasture, Rye, Soybeans, Spelt, Triticale</t>
  </si>
  <si>
    <t>Other: Alfalfa, Grass, other</t>
  </si>
  <si>
    <t>Field/Forageable: Hay, Haylage, Silage, Pasture (Grass/Clover), Corn Silage</t>
  </si>
  <si>
    <t>Other: Alfalfa, hay, Barley, Corn, Oats, Pasture, Peas, Sorghum, Sorghum-sudangrass</t>
  </si>
  <si>
    <t>Field/Forageable: Corn, Hay, Oats, Pasture, Sorghum, Spelt</t>
  </si>
  <si>
    <t>Other: #Buckwheat, #Canola, #Drying, cleaning, shelling, bagging and storage of seed: "Organic" - barley, corn, rye, spelt., #Hay, spelt, #Oats, #Peas, #Sorghum, #Sorghum Sudangrass, #Triticale, Alfalfa, Barley, Corn, Hay, Pasture, Soybeans, rye, Spelt</t>
  </si>
  <si>
    <t>Other: Alfalfa, Hay, Millet, Pasture, Sorghum-sudangrass, Teff</t>
  </si>
  <si>
    <t>Field/Forageable: Corn, Hay, Hay (Haylage), Pasture</t>
  </si>
  <si>
    <t>Other: Apples, Barley, Hay, Pasture, Ryegrass, Triticale</t>
  </si>
  <si>
    <t>Field/Forageable: Barley, Corn, Fallow, Hay, Pasture</t>
  </si>
  <si>
    <t>Other: Barley, Corn, Hay, Oats, Pasture</t>
  </si>
  <si>
    <t>Other: *Alfalfa, *Barley, *Corn, *Hay, *Oats, *Pasture, *Peas, *Sorghum, *Sorghum-sudangrass, *Soybeans, *Triticale</t>
  </si>
  <si>
    <t>Other: Hay (dry round bales), Hay (dry square bales), Haylage, Pasture</t>
  </si>
  <si>
    <t>Field/Forageable: grass hay, Pasture</t>
  </si>
  <si>
    <t>Field/Forageable: Hay, Millet, Pasture</t>
  </si>
  <si>
    <t>Field/Forageable: Corn, Fallow, Hay, Pasture, Sorghum, Triticale</t>
  </si>
  <si>
    <t>Seed/Pod Vegetables: Peas; Field/Forageable: Alfalfa, Corn, Hay, Oats, Pasture, Soybeans, Triticale</t>
  </si>
  <si>
    <t>Other: Alfalfa; Clover; Barley; Corn; Meadow Fescue; Festulolium; Oats; Pasture; Peas; Rye; Triticale; Sorghum-sudangrass;Cover crops: clover, oats, radish, ryegrass, tall fescue, vetch;</t>
  </si>
  <si>
    <t>Other: Barley, Corn, Hay, Pasture, Rye, alfalfa, Sorghum-sudangrass, Sunflowers</t>
  </si>
  <si>
    <t>Other: Barley, Corn, Hay, Oats, alfalfa, Pasture, Peas, Rye, Sorghum-sudangrass, Soybeans, Spelt, Triticale, Wheat</t>
  </si>
  <si>
    <t>Field/Forageable: Balage, Hay, Pasture</t>
  </si>
  <si>
    <t>Seed/Pod Vegetables: Soybeans; Field/Forageable: Corn (Yellow), Hay, Oats, Pasture, Rye (Cereal), Seeds (Clover), Silage (Corn), Wheat (Winter)</t>
  </si>
  <si>
    <t>Tuber/Root Vegetables: Garlic; Seed/Pod Vegetables: Peas; Nursery/Starts/Flowers/Trees: Flowers, Flowers (Marigold); Fruit Vegetables: Squash, Squash (Winter); Fruit - Stone: Apricots, Cherries, Plums; Fruit - Pome: Apples, Pears; Fruit - Berries: Blueberries, Currants, Raspberries, Strawberries; Field/Forageable: Hay, Pasture, Tobacco</t>
  </si>
  <si>
    <t>Other: Balage (wrapped bales), Balage (wrapped bales), Balage (wrapped bales), Balage (wrapped bales), Balage (wrapped bales), Balage (wrapped bales), Balage (wrapped bales), Balage (wrapped bales), Balage (wrapped bales), Hay (dry round bales), Hay (dry square bales), Pasture</t>
  </si>
  <si>
    <t>Field/Forageable: Hay, Pasture, Rye, Rye (Winter), Sorghum Sudan Grass, Straw</t>
  </si>
  <si>
    <t>Field/Forageable: Corn, Fallow, Hay, Oats, Pasture, Rye, Sorghum, Sorghum Sudan Grass, Soybeans, Sudan Grass, Wheat</t>
  </si>
  <si>
    <t>Field/Forageable: Buckwheat (Buckwheat), Corn (Corn), Hay (Hay), Pasture (Pasture), Spelt (Spelt)</t>
  </si>
  <si>
    <t>Other: *Alfalfa, *Hay, *Barley, *Fallow, *Pasture, *Peas, *Oats, *Rye, *Sorghum-sudangrass, *Triticale, *Wheat, Corn</t>
  </si>
  <si>
    <t>Other: *Alfalfa, *hay, *Barley, Corn</t>
  </si>
  <si>
    <t>Field/Forageable: Hay (Hay)</t>
  </si>
  <si>
    <t>Field/Forageable: Hay (Hay), Pasture (Pasture), Sorghum (Sorghum), Sudan Grass (Sudan Grass)</t>
  </si>
  <si>
    <t>Field/Forageable: Hay, Pasture, Silage (Corn silage), Silage (Sorghum Silage), Silage (Wheat Silage)</t>
  </si>
  <si>
    <t>Field/Forageable: Alfalfa, Hay/Haylage/Baleage (Grass/Clover), Pasture, Silage (Corn, Grass/Clover)</t>
  </si>
  <si>
    <t>Field/Forageable: Corn, grass hay, Pasture</t>
  </si>
  <si>
    <t>Tuber/Root Vegetables: Turnips; Field/Forageable: Balage, Corn, Hay, Oats, Pasture, Sorghum Sudan Grass, Triticale, Wheat, Wheat (Wheat Straw)</t>
  </si>
  <si>
    <t>Other: Corn, Oats, Pasture, Vegetable transplants, Vegetables: beets, collard greens, kale, onions, radishes, summer squash, tomatoes, turnip;</t>
  </si>
  <si>
    <t>Other: Corn, Hay, Oats, Pasture, Rye, Soybeans, Sudan Grass, Triticale</t>
  </si>
  <si>
    <t>Leaf Vegetables: Arugula, Chard, Kale, Lettuce, Mizuna; Fruit Vegetables: Eggplants, Tomatoes; Fruit - Stone: Apricots, Cherries, Pears, Plums; Fruit - Pome: Apples; Fruit - Berries: Blackberries, Grapes; Field/Forageable: Pasture</t>
  </si>
  <si>
    <t>Other: *Alfalfa, *Barley, *Black Beans (food grade), *Corn, *Forage Barley, *Hay, *Hay, *Land, *Millet, *Oats, *Pasture, *Peas (food grade), *Rye, *Sorghum Sudangrass, *Soybeans, *Succotash, *Sweet Corn, *Triticale, *Wheat</t>
  </si>
  <si>
    <t>Other: Carryover crops: 2022 Haylage- 10 tons, Corn*, Corn Silage*, Cover Crops*, Hay*, Oats*, Pasture*, Pasture/Hay*, and Sorghum Sudangrass*</t>
  </si>
  <si>
    <t>Field/Forageable: Hay, Pasture, Silage</t>
  </si>
  <si>
    <t>Other: Alfalfa, Clover, Grass, other</t>
  </si>
  <si>
    <t>Other: Balage (wrapped bales), Hay (dry square bales), Pasture</t>
  </si>
  <si>
    <t>Other: Alfalfa, Barley, Corn, Fallow, Hay, Millet, Oats, Pasture, Peas, Sorghum, Triticale, rye</t>
  </si>
  <si>
    <t>Seed/Pod Vegetables: Soybeans; Field/Forageable: Corn (Yellow), Hay, Oats, Pasture</t>
  </si>
  <si>
    <t>Other: Hay, Pasture, Pasture, Hay</t>
  </si>
  <si>
    <t>Other: Alfalfa, hay, Barley, Corn, Oats, Pasture, Peas, Rye, Sorghum-sudangrass, Soybeans, Wheat</t>
  </si>
  <si>
    <t>Field/Forageable: Corn, Hay (Alfalfa/Clover/Grass), Oats, Pasture, Peas, Wheat</t>
  </si>
  <si>
    <t>Field/Forageable: Alfalfa, Clover, Corn, Hay, Oats, Pasture</t>
  </si>
  <si>
    <t>Field/Forageable: Clover (Clover), Corn (Corn), Grass (Grass), Hay (Hay), Oats (Oats), Pasture (Pasture), Ryegrass (Ryegrass), Sudan Grass (Sudan Grass)</t>
  </si>
  <si>
    <t>Leaf Vegetables: Cabbage; Fruit Vegetables: Cucumbers; Field/Forageable: Corn, Hay, Oats, Pasture, Soybeans</t>
  </si>
  <si>
    <t>Tuber/Root Vegetables: Radishes; Field/Forageable: Alfalfa, Barley, Clover, Corn, Grass, Hay, Oats, Pasture, Rye, Soybeans, Spelt, Triticale, Wheat</t>
  </si>
  <si>
    <t>Field/Forageable: mixed hay, Pasture</t>
  </si>
  <si>
    <t>Field/Forageable: grass/legume baleage, mixed hay, Pasture</t>
  </si>
  <si>
    <t>Field/Forageable: Corn, Pasture</t>
  </si>
  <si>
    <t>Other: Corn, Hay, Oats, Pasture, Peas</t>
  </si>
  <si>
    <t>Stem Vegetables: Asparagus, Rhubarb; Seed/Pod Vegetables: Peas, Peas (Field); Fruit - Berries: Blackberries, Blueberries, Currants, Currants (Black), Currants (Red), Elderberries, Raspberries, Raspberries (Black), Raspberries (Red); Field/Forageable: Alfalfa, Clover, Hay, Pasture, Sorghum Sudan Grass, Spelt, Triticale</t>
  </si>
  <si>
    <t>Field/Forageable: Field Crop, Pasture, Ryegrass, Silage, Sudan Grass</t>
  </si>
  <si>
    <t>Field/Forageable: Hay, Oats, Pasture, Spelt</t>
  </si>
  <si>
    <t>Other: Corn, Land, Pasture; Hay, Sorghum-sudangrass; Pasture, Spelt</t>
  </si>
  <si>
    <t>Field/Forageable: Alfalfa, Corn, Fallow, Pasture, Wheat</t>
  </si>
  <si>
    <t>Field/Forageable: Hay/Pasture</t>
  </si>
  <si>
    <t>Other: Barley, Corn, Hay, Oats, Pasture, Rye, Soybeans, Wheat</t>
  </si>
  <si>
    <t>Field/Forageable: Alfalfa, Barley, Corn, Hay, Oats, Pasture, Soybeans, Sudan Grass, Triticale</t>
  </si>
  <si>
    <t>Other: Corn, Corn Silage, Hay, Pasture, and Pasture/Woods, and Carryover 2022 Crops of Corn (HM Ear)-70 tons, Corn Silage-300 tons, Hay-100 small square bales, and Haylage-30 tons</t>
  </si>
  <si>
    <t>Other: Alfalfa, Corn, Hay, Pasture, Rye, Sqaush, Sweet Corn</t>
  </si>
  <si>
    <t>Other: Hay, Pasture, Sorghum/ Sudangrass</t>
  </si>
  <si>
    <t>Other: Corn, Forage, Hay</t>
  </si>
  <si>
    <t>Other: Barley, Hay, Pasture</t>
  </si>
  <si>
    <t>Field/Forageable: Alfalfa, Barley, Clover, Corn, Hay, Pasture, Sorghum Sudan Grass, Soybeans, Wheat</t>
  </si>
  <si>
    <t>Other: *Buckwheat, *Peas, *Barley, *Wheat, *Oats, *Corn, *Cowpeas, *Forage Brassica, *Hay, *Millet, *Pasture, *Pasture, *Hay, *peas, *Rye, *Sorghum-Sudangrass, *Spelt, *Sudangrass, *Triticale, *Woodland Pasture</t>
  </si>
  <si>
    <t>Other: Forage, Other non-perennial crops</t>
  </si>
  <si>
    <t>Field/Forageable: Hay, Oats, Pasture, Spelt, Straw</t>
  </si>
  <si>
    <t>Field/Forageable: All other hay, Pasture</t>
  </si>
  <si>
    <t>Field/Forageable: Alfalfa, Corn, Hay, Pasture, Rye, Sorghum Sudan Grass, Soybeans, Spelt, Triticale</t>
  </si>
  <si>
    <t>Field/Forageable: Alfalfa, Barley, Clover, Corn, Hay, Oats, Pasture, Sorghum Sudan Grass</t>
  </si>
  <si>
    <t>Other: Barley, Canola, Corn, Fruit: apples; currants, gooseberries, grapes, raspberries, Hay, Millet, Oats, alfalfa, Pasture, Rye, Sorghum Sudangrass, Triticale, Vegetables: artichokes, Asian greens, beans, beets, broccoli, Brussels sprouts, cabbage, carrots, cauliflower, celery, celeriac, chard, collards, cucumbers, eggplant, fennel, garlic, kale, kohlrabi, leeks, lettuce, melons, onions, parsnips, peas, peppers, potatoes, pumpkins, radicchio, radishes, rhubarb, rutabaga, salad greens, scallions, shallots, spinach, summer squash, sweet corn, Swiss chard, tomatoes, turnips, watermelons, winter squash, zucchini; Herbs: basil, chives, cilantro, dill, parsley, rosemary; sage, thyme; Fruit: strawberries; Cover crops: buckwheat, clover, hairy vetch, millet, peas, radish, rye, sorghum, triticale;</t>
  </si>
  <si>
    <t>Other: Barley, Corn, Hay, Oats, Pasture, Peas, Rye, Sorghum-sudangrass, Soybeans, Triticale</t>
  </si>
  <si>
    <t>Field/Forageable: Hay, Haylage, Pasture, (Grass/Clover), Silage (Grass/Clover, Corn)</t>
  </si>
  <si>
    <t>Field/Forageable: Pasture, Hay, Corn, Wheat</t>
  </si>
  <si>
    <t>Field/Forageable: Pasture, Hay, Haylage (Grass)</t>
  </si>
  <si>
    <t>Herbs/Spices: Herbs; Field/Forageable: Grass, Pasture; Other: Mixed Vegetables</t>
  </si>
  <si>
    <t>Other: Corn, Fallow, Grass, other, Hay, Winter Triticale</t>
  </si>
  <si>
    <t>Other: *Corn, *Hay, *Oats, *Pasture, *Rye, *Sorghum-sudangrass, *Sudangrass, *Triticale, *Vegetables: Beets, *cauliflower, *Wheat, Tobacco</t>
  </si>
  <si>
    <t>Fruit - Stone: Peaches; Fruit - Pome: Apples; Fruit - Berries: Blueberries</t>
  </si>
  <si>
    <t>Field/Forageable: Grass/Hay/Pasture, Sorghum, Corn, Soybeans, Triticale</t>
  </si>
  <si>
    <t>Field/Forageable: Corn, Hay, Millet, Pasture, Rye, Sorghum Sudan Grass</t>
  </si>
  <si>
    <t>Other: Balage (wrapped bales), Pasture</t>
  </si>
  <si>
    <t>Other: Alfalfa; Barley; Clover; Corn; CRP; Hay; Italian ryegrass; Land; Native Prairie; Oats; Pasture; Rye; Wheat;</t>
  </si>
  <si>
    <t>Other: *Corn, *Hay, *alfalfa, *Pasture, *Soybeans, *Sudangrass, *Triticale, *Wheat, Peas, clover, oats</t>
  </si>
  <si>
    <t>Field/Forageable: Barley (grain and straw), Hay (dry hay and baleage (grass, grass-legume mix, sudangrass)), Pasture</t>
  </si>
  <si>
    <t>Other: *Alfalfa, *Corn, *Corn, *Oats, *and Triticale, *Corn, *Pasture, *Forage Millet, *Hay, *Hay, *Pasture, *Pasture, *Sudangrass</t>
  </si>
  <si>
    <t>Field/Forageable: Alfalfa, Clover, Corn, Hay, Millet, Pasture, Soybeans</t>
  </si>
  <si>
    <t>Other: Apples, Corn, Hay, Oats, Pasture</t>
  </si>
  <si>
    <t>Other: Native Habitat, Native Prairie</t>
  </si>
  <si>
    <t>Fungi: Mushrooms, Mushrooms (Oyster), Mushrooms (Shiitake), Mushrooms (Stropharia (Winecap)); Tuber/Root Vegetables: Beets, Carrots, Garlic, Horseradish, Leeks, Onions, Other - Chinese Yam, Other - Hog Peanut, Other - Jerusalem Artichokes, Parsnips, Potatoes, Radishes (Radishes), Radishes, Turnips; Stem Vegetables: Asparagus, Rhubarb; Seed/Pod Vegetables: Beans, Corn (Corn), Okra, Peas (Peas), Peas; Nuts: Almonds, Chestnuts, Chestnuts (Chinese), Other - Chinquapin, Other - Groundnuts, Other - Hazelberts, Pecans, Pine Nuts, Walnuts; Nursery/Starts/Flowers/Trees: Christmas Trees, Flowers, Transplants, Trees; Leaf Vegetables: Arugula, Brussels Sprouts, Cabbage, Chard, Collards, Endive, Endive (Escarole), Kale, Kale (Sea), Leafy Greens, Leafy Greens (Good-King-Henry), Leafy Greens (Mesclun), Leafy Greens (Shoots), Lettuce, Pak Choi, Spinach; Herbs/Spices: Fennel, Herbs, Herbs (Saffron); Fruit Vegetables: Cucumbers, Eggplants, Gourds, Peppers, Pumpkins, Squash, Tomatoes; Fruit - Tropical Fruits: Figs, Kiwis, Kiwis (Hardy); Fruit - Stone: Apricots, Cherries, Cherries (Cornelian), Peaches, Plumcots, Plums; Fruit - Pome: Apples, Apples (Somerset Red Streak), Other - Shipova, Pears, Quinces; Fruit - Melons: Melons; Fruit - Berries: Aronia Berries, Berries, Berries (Autumn Olive), Berries (Gooseberries), Berries (Goumi Berries), Berries (Honeyberries), Berries (Juneberries), Berries (Paw Paw), Berries (Persimmons), Berries (Pineberries), Blackberries, Cranberries, Currants, Elderberries, Goji Berries, Grapes, Mulberries, Raspberries, Strawberries; Flower Vegetables: Broccoli, Cauliflower, Hops; Field/Forageable: Corn, Pasture</t>
  </si>
  <si>
    <t>Seed/Pod Vegetables: Peas; Field/Forageable: Alfalfa, Corn, Hay, Pasture, Sorghum, Soybeans, Triticale</t>
  </si>
  <si>
    <t>Field/Forageable: Alfalfa, Corn, Pasture, Wheat</t>
  </si>
  <si>
    <t>Field/Forageable: Corn, Hay, Oats, Pasture, Sudan Grass</t>
  </si>
  <si>
    <t>Other: Alfalfa; Barley; Corn; Hay; Pasture;</t>
  </si>
  <si>
    <t>Other: Alfalfa, Corn, Hay, Oats, Pasture, Peas, Sorghum-sudangrass, Triticale, Wheat</t>
  </si>
  <si>
    <t>Other: Corn, Hay, alfalfa, Oats, peas, Pasture</t>
  </si>
  <si>
    <t>Other: Forage Sorghum, Hay, Pasture, Sorghum Sudangrass</t>
  </si>
  <si>
    <t>Field/Forageable: Alfalfa, Clover, Corn, Hay, Millet, Oats, Pasture, Rye, Soybeans, Triticale, Wheat</t>
  </si>
  <si>
    <t>Other: Corn, Hay, Pasture, and Peas/Oats/Alfalfa/Clover Mix</t>
  </si>
  <si>
    <t>Other: Balage (wrapped bales), Corn silage, Hay (dry round bales), Haylage, Pasture</t>
  </si>
  <si>
    <t>Fruit - Tropical Fruits: Coconuts (Coconut Fruit), Mangosteen (Mangosteen)</t>
  </si>
  <si>
    <t>Field/Forageable: Balage (Peas/Oats), Corn (Yellow), Hay, Oats, Pasture</t>
  </si>
  <si>
    <t>Field/Forageable: Corn, Hay, Sudan, Woods, Pasture</t>
  </si>
  <si>
    <t>Other: Alfalfa, hay, Corn, Pasture, hay, Peas, Rape, Rye, Sorghum Sudangrass, Soybeans, Sudangrass, Turnip, Vetch, Wheat, Oat, Clover</t>
  </si>
  <si>
    <t>Other: Barley, Corn, Hay, Oats, Pasture, Peas, Soybeans</t>
  </si>
  <si>
    <t>Other: Corn, Fruit Trees: apples, cherries, peaches, pears, plums, Herbs: dandelion, mullein, nettles, plantain, sumac; Fruit: juniper berries, elderberry, mulberry, wild grape, rosehips, Oats, Pasture, Hay, Rye, Sorghum-Sudangrass, Soybeans</t>
  </si>
  <si>
    <t>Field/Forageable: Alfalfa, Barley, Corn, Grass, Hay, Pasture, Soybeans, Wheat</t>
  </si>
  <si>
    <t>Other: Hay, Pasture, Sorghum Sudan, Triticale</t>
  </si>
  <si>
    <t>Field/Forageable: Corn, Hay, Pasture, Spelt Baleage</t>
  </si>
  <si>
    <t>Stem Vegetables: Asparagus; Fruit - Berries: Blueberries; Field/Forageable: Hay, Pasture</t>
  </si>
  <si>
    <t>Other: Alfalfa, Barley, Corn, Hay, Oats, Pasture, Peas, Rye, Sorghum sudangrass, Soybeans</t>
  </si>
  <si>
    <t>Other: Hay, Pasture, Pasture</t>
  </si>
  <si>
    <t>Other: Corn*, Hay*, Oats*, Pasture,* and Soybeans*</t>
  </si>
  <si>
    <t>Other: Corn*, Hay*, Oats/Peas*, Pasture, and Carryover Crop of 2022 Hay*-150 bales</t>
  </si>
  <si>
    <t>Field/Forageable: Alfalfa, Corn, Hay, Pasture, Spelt</t>
  </si>
  <si>
    <t>Field/Forageable: Sudan, Hay, Pasture</t>
  </si>
  <si>
    <t>Other: Corn, Hay, Pasture, Tobacco</t>
  </si>
  <si>
    <t>Field/Forageable: Corn, Hay, Pasture, Sorghum Sudan Grass</t>
  </si>
  <si>
    <t>Other: Corn, Hay, Oats, Pasture, Rye, Triticale</t>
  </si>
  <si>
    <t>Other: Corn, Hay, Oats, Pasture, Soybeans, Spelt, Spelt Straw</t>
  </si>
  <si>
    <t>Field/Forageable: Corn, Hay, Oats, Pasture, Rye, Spelt</t>
  </si>
  <si>
    <t>Other: Corn, Hay, Pasture, Winter Squash</t>
  </si>
  <si>
    <t>Field/Forageable: Corn (Corn), Hay (Hay), Pasture (Pasture), Sorghum Sudan Grass (Sorghum Sudan Grass)</t>
  </si>
  <si>
    <t>Stem Vegetables: Rhubarb (Rhubarb); Field/Forageable: Hay (Hay), Oats (Oats), Pasture (Pasture), Rye (Rye), Triticale (Triticale)</t>
  </si>
  <si>
    <t>Field/Forageable: Alfalfa, Corn, Hay, Oats, Pasture, Sorghum Sudan Grass, Soybeans, Straw</t>
  </si>
  <si>
    <t>Seed/Pod Vegetables: Peas; Field/Forageable: Hay, Oats, Pasture, Sorghum Sudan Grass</t>
  </si>
  <si>
    <t>Field/Forageable: Corn (Yellow, Fodder), Hay, Pasture, Silage (Corn)</t>
  </si>
  <si>
    <t>Other: Alfalfa; Barley; Corn; Hay; Oats; Pasture; Peas; Soybeans; Triticale;Wheat;Cover Crops: buckwheat, clover,oats, tillage radish;</t>
  </si>
  <si>
    <t>Other: Corn, Fallow, Hay, Pasture, Sorghum Sudan</t>
  </si>
  <si>
    <t>Field/Forageable: Corn (Yellow), Hay, Oats, Pasture, Silage (Corn), Straw</t>
  </si>
  <si>
    <t>Field/Forageable: Corn (Yellow), Hay, Pasture, Silage (Corn)</t>
  </si>
  <si>
    <t>Field/Forageable: Barley, Corn, Hay, Pasture, Spelt</t>
  </si>
  <si>
    <t>Other: Corn, Hay, Pasture, Potatoes, Wheat</t>
  </si>
  <si>
    <t>Other: Corn, Hay, Oat straw, Oats, Pasture</t>
  </si>
  <si>
    <t>Field/Forageable: Barley, Corn, Hay, Oats, Pasture, Soybeans, Wheat</t>
  </si>
  <si>
    <t>Other: Hay, Pasture, Sorghum/Sudangrass</t>
  </si>
  <si>
    <t>Other: Alfalfa, Hay, Barley, Corn, Pasture, Peas, Oats, Sorghum Sudan, Triticale, Woodland pasture</t>
  </si>
  <si>
    <t>Field/Forageable: Corn (Corn), Grass (Grass), Hay (Hay), Pasture (Pasture), Sorghum Sudan Grass (Sorghum Sudan Grass), Soybeans (Soybeans), Straw (Straw), Triticale (Triticale)</t>
  </si>
  <si>
    <t>Field/Forageable: Corn, Hay, Hay &amp; Pasture, Pasture</t>
  </si>
  <si>
    <t>Other: Barley, Corn, Hay, Pasture, Rye, Soybeans</t>
  </si>
  <si>
    <t>Field/Forageable: Corn, Hay, Pasure, Einkorn</t>
  </si>
  <si>
    <t>Field/Forageable: Ear Corn, Hay, Pasture, Silage Corn</t>
  </si>
  <si>
    <t>Field/Forageable: Corn, Hay, Pasture, Sorghum</t>
  </si>
  <si>
    <t>Field/Forageable: Clover, Corn, Hay, Oats, Pasture, Sorghum Sudan Grass, Triticale</t>
  </si>
  <si>
    <t>Field/Forageable: Hay, Millet, Pasture, Sudan Grass</t>
  </si>
  <si>
    <t>Other: Hay, Oats, Pasture</t>
  </si>
  <si>
    <t>Field/Forageable: Alfalfa, Corn, Hay, Oats, Pasture</t>
  </si>
  <si>
    <t>Other: Alfalfa, Hay, Corn, Oats, Pasture, Peas, Sorghum, Sorghum-sudangrass, Sunflowers, Triticale, Vegetables: beets, cabbage, leeks, Napa cabbage, parsnips, turnips, winter squash;, Wheat</t>
  </si>
  <si>
    <t>Field/Forageable: Sudan, Triticale, Hay, Pasture</t>
  </si>
  <si>
    <t>Other: Carryover Crop: 2023 Corn Silage- 38 tons (5 doors), Corn, Corn Silage, Hay, Hay/Pasture, Pasture, Pasture/Woods, and Spelt</t>
  </si>
  <si>
    <t>Other: Corn, Hay, Oats, Pasture, Soybean</t>
  </si>
  <si>
    <t>Field/Forageable: Hay (Hay), Pasture (Pasture), Rye (Rye), Sorghum Sudan Grass (Sorghum Sudan Grass)</t>
  </si>
  <si>
    <t>Other: Corn, Hay, Pasture, Oats, Oat Straw</t>
  </si>
  <si>
    <t>Field/Forageable: Alfalfa, Clover, Grass, Hay, Pasture, Sorghum</t>
  </si>
  <si>
    <t>Tuber/Root Vegetables: Turnips; Seed/Pod Vegetables: Peas; Field/Forageable: Alfalfa, Barley, Clover, Corn, Hay, Oats, Pasture, Rye (Oat Straw), Silage (Corn Silage), Sorghum Sudan Grass, Spelt, Straw (Barley Straw), Straw (Spelt Straw), Triticale</t>
  </si>
  <si>
    <t>Other: Alfalfa, Barley, Corn, Oats, Pasture, Hay, Peas, Rye</t>
  </si>
  <si>
    <t>Field/Forageable: Hay, Pasture, Sudan Grass</t>
  </si>
  <si>
    <t>Seed/Pod Vegetables: Peas; Field/Forageable: Corn, Hay, Oats, Pasture, Spelt</t>
  </si>
  <si>
    <t>Field/Forageable: Hay, Pasture, Sorghum Sudan Grass</t>
  </si>
  <si>
    <t>Other: Corn, Hay, Oats, Pasture, Spelt</t>
  </si>
  <si>
    <t>Field/Forageable: Corn (Yellow), Hay, Oatlage, Pasture, Silage (Corn)</t>
  </si>
  <si>
    <t>Field/Forageable: Alfalfa, Corn, Hay, Pasture, Rye, Silage (Corn Silage)</t>
  </si>
  <si>
    <t>Field/Forageable: Corn (Corn), Hay (Hay), Pasture (Pasture), Soybeans (Soybeans), Spelt (Spelt)</t>
  </si>
  <si>
    <t>Field/Forageable: Corn, Hay, Pasture, Sorghum Sudan, Fall Barley</t>
  </si>
  <si>
    <t>Field/Forageable: Corn, Hay, Pasture, Sudan</t>
  </si>
  <si>
    <t>Field/Forageable: Alfalfa, Barley, Clover, Corn, Hay, Pasture, Soybeans, Wheat</t>
  </si>
  <si>
    <t>Field/Forageable: Clover, Corn, Grass, Hay, Oats, Pasture, Soybeans</t>
  </si>
  <si>
    <t>Seed/Pod Vegetables: Peas, Peas (Forage); Field/Forageable: Alfalfa, Clover, Corn, Hay, Oats, Pasture, Triticale</t>
  </si>
  <si>
    <t>Field/Forageable: Alfalfa, Corn, Pasture, Sudan Grass</t>
  </si>
  <si>
    <t>Other: Carryover Crops of 2022 Corn - 950 bushels, Corn, Hay, Oats/Alfalfa, and Soybeans, Pasture</t>
  </si>
  <si>
    <t>Seed/Pod Vegetables: Peas; Field/Forageable: Clover, Corn, Hay, Oats, Pasture, Spelt, Triticale</t>
  </si>
  <si>
    <t>Other: Corn, Hay, Hay, pasture, Pasture</t>
  </si>
  <si>
    <t>Field/Forageable: Corn, Hay, Pasture, Mixed Vegetables, Cabbage Seedlings, Winter Squash</t>
  </si>
  <si>
    <t>Other: Corn, Hay, Maple Syrup, Oat Straw, Pasture, Rye, Spelt, Sugar Bush</t>
  </si>
  <si>
    <t>Tuber/Root Vegetables: Turnips (Forage Turnip); Field/Forageable: Corn, Hay, Pasture, Sorghum Sudan Grass, Spelt, Sudan Grass, Triticale</t>
  </si>
  <si>
    <t>Field/Forageable: Alfalfa, Clover, Corn, Grass (Orchardgrass), Hay, Oats, Pasture, Timothy Grass</t>
  </si>
  <si>
    <t>Field/Forageable: Barley, Corn, Hay, Pasture, Soybeans, Spelt, Sudan Grass</t>
  </si>
  <si>
    <t>Other: Balage (wrapped bales), Balage (wrapped bales), Haylage, Maple Sap (Unconcentrated), Pasture</t>
  </si>
  <si>
    <t>Other: *Alfalfa, *hay, *Barley, *Corn, *Land, *Millet, *Oats, *Pasture, *Rye, *Spelt, *Sudangrass, *Tobacco, *Vegetable transplants, *Vegetables: asparagus, *beets, *Brussels sprouts, *cabbage, *carrots, *celeriac, *cucumbers, *eggplant, *garlic, *green beans, *kale, *leeks, *onions, *peas, *peppers, *potatoes, *pumpkins, *rutabaga, *shallots, *summer squash, *sweet corn, *sweet potatoes, *tomatoes, *turnips, *winter squash, *zucchini, *Wheat</t>
  </si>
  <si>
    <t>Other: Alfalfa, hay, Barley, Corn, Oats, Pasture, Peas, Rye, Rye, Sorghum-sudangrass</t>
  </si>
  <si>
    <t>Field/Forageable: Alfalfa, Clover, Corn, Hay, Pasture, Sorghum, Triticale</t>
  </si>
  <si>
    <t>Other: Alfalfa, Clover, Grass and Pasture</t>
  </si>
  <si>
    <t>Other: Alfalfa, Hay, Barley, Corn, Land, Pasture, Peas, Triticale, Rye, Sorghum-Sudangrass, Sudangrass</t>
  </si>
  <si>
    <t>Seed/Pod Vegetables: Soybeans; Field/Forageable: Corn (Yellow), Hay, Pasture, Silage (Corn), Straw, Sudangrass/Clover Hay, Triticale</t>
  </si>
  <si>
    <t>Fruit - Pome: Apples; Field/Forageable: Hay &amp; Pasture, Pasture</t>
  </si>
  <si>
    <t>Other: Alflafa, Barley, Corn, Hay, Oats, Pasture, Peas, Rye, Sorghum sudangrass, Soybeans, Spelt, Triticale, Wheat</t>
  </si>
  <si>
    <t>Field/Forageable: Grass, Hay, Hay &amp; Pasture, Pasture</t>
  </si>
  <si>
    <t>Other: Barley, Corn, Hay, Pasture, Triticale</t>
  </si>
  <si>
    <t>Field/Forageable: Corn, Hay, Pasture, Oats, Sudan, Turnips</t>
  </si>
  <si>
    <t>Seed/Pod Vegetables: Beans; Field/Forageable: Corn, Hay, Pasture, Sorghum, Spelt, Straw, Wheat</t>
  </si>
  <si>
    <t>Field/Forageable: Alfalfa, Clover, Corn, Hay, Pasture, Soybeans, Sudan Grass, Wheat</t>
  </si>
  <si>
    <t>Other: Corn, Hay, Pasture, Triticale</t>
  </si>
  <si>
    <t>Seed/Pod Vegetables: Corn; Field/Forageable: Hay, Oats, Pasture, Rye, Soybeans, Straw, Wheat</t>
  </si>
  <si>
    <t>Other: Corn, and Hay, Pasture</t>
  </si>
  <si>
    <t>Other: Alfalfa, Corn, Hay, Oats, Pasture</t>
  </si>
  <si>
    <t>Field/Forageable: Hay, Corn, Pasture, Speltz, Triticale</t>
  </si>
  <si>
    <t>Other: Hay/Pasture</t>
  </si>
  <si>
    <t>Other: Barley, Corn, Garlic, Hay, Oats, Pasture, Peas, Popcorn, Rye, Sorghum-Sudangrass, Soybeans, Teff, Triticale, Wheat</t>
  </si>
  <si>
    <t>Field/Forageable: Alfalfa, Corn, Oats, Pasture, Sorghum, Soybeans, Sudan Grass, Wheat</t>
  </si>
  <si>
    <t>Other: Alfalfa, Barley, Pea, Sorghum, Corn, Cowpeas, Hay, Millet, Pasture, Rye, Rye, Hay, Sudangrass, Tillage Radish, Wheat, Winter Squash</t>
  </si>
  <si>
    <t>Field/Forageable: Corn, Pasture, Hay</t>
  </si>
  <si>
    <t>Field/Forageable: Corn, Hay, Pasture, Spelt, Oats, Peas</t>
  </si>
  <si>
    <t>Field/Forageable: Fallow, Pasture, Triticale</t>
  </si>
  <si>
    <t>Other: Hay, Buckwheat, Clover, Cowpeas, Oats, Peas, Ryegrass, Rye, Sorghum-sudangrass, Soybeans, Vetch, Kale, Land, Pasture, Rape, Triticale, Turnip, Wheat</t>
  </si>
  <si>
    <t>Field/Forageable: Hay, Pasture, Pasture (hay, haylage, silage), Silage</t>
  </si>
  <si>
    <t>Field/Forageable: Corn Silage, Grass Hay, Grass Silage, Pasture</t>
  </si>
  <si>
    <t>Field/Forageable: Alfalfa, Clover, Hay, Pasture, Sorghum Sudan Grass</t>
  </si>
  <si>
    <t>Fruit Vegetables: Tomatoes (Tomatoes); Fruit - Stone: Cherries (Cherries - Rainier), Cherries (Cherries - Skeena), Cherries (Cherries - Sweetheart); Fruit - Pome: Apples (Apples - Cider), Apples (Apples - Golden Delicious), Apples (Apples - Honeycrisp), Apples (Apples - InfoRed), Apples (Apples - Minneiska Sweetango), Apples (Apples - Nicoter Kanzi), Apples (Apples - Pinova Pinata), Apples (Apples - Royal Red Honeycrisp), Apples (Apples - SweeTango), Apples (Apples - Winter Banana); Fruit - Berries: Blueberries (Blueberries), Blueberries (Blueberries - Draper), Blueberries (Blueberries - Last Call), Blueberries (Blueberries - Top Shelf)</t>
  </si>
  <si>
    <t>Other: Hay (dry square bales), Haylage, Pasture</t>
  </si>
  <si>
    <t>Other: Alfalfa, Hay, Barley, Corn, Millet, Pasture, Peas, Oats, Sorghum Sudangrass, Rye, Sorghum Sudangrass, Ryegrass, Triticale, Wheat</t>
  </si>
  <si>
    <t>Other: Alfalfa, Hay, Corn, Oats, Pasture, Rye, Wheat</t>
  </si>
  <si>
    <t>Other: Barley, alfalfa, Corn, Hay, Oats, Pasture, Rye, Wheat</t>
  </si>
  <si>
    <t>Other: Dairy Cattle - Last Third Gestation Born (Eligible for Organic Slaughter),Haylage,Pasture,Raw Milk,Hay,Dairy Cattle - Converted (Not Eligible for Organic Slaughter)</t>
  </si>
  <si>
    <t>Other: Alfalfa, Barley, Black Turtle Beans, Corn, Hay, Millet, Oats, Pasture, Rye, Soybeans, Sorghum Sudan Grass, Soybeans, Sudan Grass, Wheat</t>
  </si>
  <si>
    <t>Other: Alfalfa, Corn, Hay, Oats, Pasture, Rye, Sorghum Sudan Grass, Soybeans, Succotash, Triticale</t>
  </si>
  <si>
    <t>Tuber/Root Vegetables: Turnips; Field/Forageable: Corn, Hay, Pasture, Rye, Silage (Corn Silage), Sorghum Sudan Grass, Triticale</t>
  </si>
  <si>
    <t>Field/Forageable: Hay, Hay &amp; Pasture, Pasture, Ryegrass, Silage</t>
  </si>
  <si>
    <t>Field/Forageable: Alfalfa (Alfalfa (Hay &amp; Haylage)), Barley, Buckwheat, Corn (Corn (Grain &amp; Silage)), Pasture</t>
  </si>
  <si>
    <t>Other: Alfalfa, Barley, Corn, Hay, Oats, Pasture, Peas, Potatoes, Rye, Sorghum, Sorghum-sudangrass, Triticale</t>
  </si>
  <si>
    <t>Field/Forageable: Fallow, Pasture</t>
  </si>
  <si>
    <t>Other: Corn, Hay, pasture, Land, Millet, Oats, Pasture, Rye, Tritcale</t>
  </si>
  <si>
    <t>Seed/Pod Vegetables: Peas; Field/Forageable: Alfalfa, Clover, Corn, Hay, Oats, Pasture, Rye (Cereal Rye), Sorghum Sudan Grass, Soybeans, Triticale, Wheat</t>
  </si>
  <si>
    <t>Field/Forageable: Hay, Pasture; Other: Other - Maple Sap</t>
  </si>
  <si>
    <t>Other: *Alfalfa, *Oats, *Alfalfa, *Pasture</t>
  </si>
  <si>
    <t>Field/Forageable: Corn, Hay, Pasture, Sudan, Soybeans, Oats/Straw</t>
  </si>
  <si>
    <t>Field/Forageable: Corn, grass/legume baleage, mixed hay, Oats, Pasture, Wheat</t>
  </si>
  <si>
    <t>Other: Corn, Hay, Oats, Pasture, Peas, Triticale</t>
  </si>
  <si>
    <t>Other: Alfalfa; Chicory; Clover; Fescue; Hay; Orchardgrass; Pasture; Plantain; Ryegrass; Sorghum-sudangrass; Woodland pasture;</t>
  </si>
  <si>
    <t>Field/Forageable: Balage, Pasture</t>
  </si>
  <si>
    <t>Field/Forageable: Corn, Field Crop (Peas), Hay, Oats, Pasture, Triticale</t>
  </si>
  <si>
    <t>Other: Alfalfa, Clover, Hay, Barley, Corn, Milo, Oats, Peas, Sorghum-sudangrass, Pasture, Rye, Soybeans</t>
  </si>
  <si>
    <t>Other: Barley, Corn, Hay, Oats, Pasture, Sorghum-sudangrass, Triticale, Vegetables: cabbage, carrots, cauliflower, cucumbers, eggplant, green beans, ground cherries, leeks, onions, peppers, sweet potatoes, tomatoes, winter squash, zucchini; Fruit: cantaloupe, watermelon;, Woodland pasture</t>
  </si>
  <si>
    <t>Other: Alfalfa; Barley; Corn; Hay; Oats; Pasture; Woodland Pasture;</t>
  </si>
  <si>
    <t>Other: Alfalfa, Corn, Hay, Oats, Peas, Pasture, Sorghum, Soybeans</t>
  </si>
  <si>
    <t>Other: Barley, Peas, Alfalfa, Corn, Hay, Oats, Pasture, Rye, Sorghum Sudangrass, Soybeans, Sweet Corn, Woods</t>
  </si>
  <si>
    <t>Other: Grass Silage, Josie Dairy, Osealo Fields (Zoo), Pasture</t>
  </si>
  <si>
    <t>Field/Forageable: Hay, Pasture, Corn, Woods</t>
  </si>
  <si>
    <t>Other: Corn, Pasture, Spelt</t>
  </si>
  <si>
    <t>Field/Forageable: Corn (Corn), Hay (Hay), Pasture (Pasture), Wheat (Wheat)</t>
  </si>
  <si>
    <t>Tuber/Root Vegetables: Turnips; Field/Forageable: Alfalfa, Barley, Corn, Hay, Oats, Pasture, Rye (Oat Straw), Soybeans, Wheat</t>
  </si>
  <si>
    <t>Tuber/Root Vegetables: Beets, Carrots, Daikon, Garlic, Leeks, Onions, Parsnips, Potatoes, Radicchio, Radishes, Radishes (Radishes), Rutabaga, Scallions, Turnips; Stem Vegetables: Celery, Rhubarb; Seed/Pod Vegetables: Beans, Peas (Peas), Peas; Nuts: Chestnuts, Hazelnut; Nursery/Starts/Flowers/Trees: Dandelion, Flowers, Transplants; Leaf Vegetables: Arugula, Bok Choy, Brussels Sprouts, Cabbage, Chard, Collards, Endive, Kale, Kohlrabi, Leafy Greens, Leafy Greens (Asian), Leafy Greens (Mesclun), Leafy Greens (Microgreens), Lettuce, Pak Choi, Rapini, Spinach; Herbs/Spices: Herbs, Sorrel; Fruit Vegetables: Cucumbers, Eggplants, Peppers, Pumpkins, Squash, Tomatillos, Tomatoes, Zucchini; Fruit - Stone: Plums; Fruit - Pome: Apples, Apples (Spy (Nova)); Fruit - Melons: Cantaloupes, Melons, Watermelons; Fruit - Berries: Aronia Berries, Blueberries, Currants, Currants (Black), Currants (Red); Flower Vegetables: Broccoli, Cauliflower; Field/Forageable: Hay, Mustard, Pasture</t>
  </si>
  <si>
    <t>Other: Alfalfa; Barley;Corn;Hay;Oats; Pasture; Peas;</t>
  </si>
  <si>
    <t>Other: Forage sorghum, Grass, other, Hay, Spring triticale, Winter Triticale</t>
  </si>
  <si>
    <t>Other: Hay, Maple Syrup, Pasture, Production of seedlings, transplants, and planting stock, Shallots, Sugar Bush, Wild Leeks (Ramps) (WC), Woods</t>
  </si>
  <si>
    <t>Field/Forageable: Alfalfa, Hay, Pasture, Sorghum Sudan Grass</t>
  </si>
  <si>
    <t>Field/Forageable: Corn (Yellow, Fodder), Hay, Pasture, Rye, Silage (Corn)</t>
  </si>
  <si>
    <t>Field/Forageable: Corn, Fallow, Hay, Pasture, Straw, Triticale; Other: Trees</t>
  </si>
  <si>
    <t>Field/Forageable: Alfalfa (Alfalfa), Barley (Barley), Corn (Corn), Pasture (Pasture), Sorghum Sudan Grass (Sorghum Sudan Grass), Soybeans (Soybeans), Straw (Straw), Wheat (Wheat)</t>
  </si>
  <si>
    <t>Other: Corn, Fallow, Hay, Oats, Pasture</t>
  </si>
  <si>
    <t>Field/Forageable: Alfalfa, Clover, Corn, Field Crop (Forage Peas), Grass, Hay, Oats, Pasture, Rye, Ryegrass, Sudan Grass, Wheat</t>
  </si>
  <si>
    <t>Other: Alfalfa, Alfalfa, Hay, Corn, Forage turnip, Hay, Pasture, Sorghum-sudangrass, Wheat, Woods</t>
  </si>
  <si>
    <t>Other: Corn, Hay, Oats, Pasture, Sweet Corn, Winter Squash</t>
  </si>
  <si>
    <t>Seed/Pod Vegetables: Peas; Field/Forageable: Corn, Hay, Oats, Pasture, Straw</t>
  </si>
  <si>
    <t>Other: Carryover Crops of 2023 Corn Silage-37 Tons, 2023 Haylage-18 Tons, Corn, Hay, Oats, Pasture, Triticale/Oats</t>
  </si>
  <si>
    <t>Field/Forageable: Hay, Millet, Pasture, Spelt</t>
  </si>
  <si>
    <t>Other: Corn, Fallow, Hay, Oats, Pasture, Pasture/Hay, Soybeans</t>
  </si>
  <si>
    <t>Other: Clover, Corn, Hay, Oat Straw, Oats, Pasture</t>
  </si>
  <si>
    <t>Other: Corn, Hay, Alfalfa, Pasture, Sorghum-sudangrass</t>
  </si>
  <si>
    <t>Other: Corn, Hay, Pasture, Spelt, Woods, and Wooded Pasture</t>
  </si>
  <si>
    <t>Field/Forageable: Alfalfa, Clover, Corn, Hay, Oats, Pasture, Spelt</t>
  </si>
  <si>
    <t>Tuber/Root Vegetables: Beets, Onions, Potatoes, Radishes, Turnips; Seed/Pod Vegetables: Corn; Fruit Vegetables: Squash; Field/Forageable: Grass (Orchardgrass), Hay, Oats, Pasture, Popcorn, Spelt, Straw</t>
  </si>
  <si>
    <t>Other: *Alfalfa, *Hay, *Corn, *Oats, *Pasture, *Soybeans, *Spelt, Sorghum-sudangrass</t>
  </si>
  <si>
    <t>Seed/Pod Vegetables: Soybeans; Field/Forageable: Corn (Yellow), Hay (&amp; Haylage), Pasture, Silage (Corn), Spelt, Straw</t>
  </si>
  <si>
    <t>Seed/Pod Vegetables: Soybeans; Field/Forageable: Corn (Yellow), Hay, Pasture, Silage (Corn), Spelt, Straw, Triticale</t>
  </si>
  <si>
    <t>Field/Forageable: Alfalfa, Corn, Oats, Pasture, Rye, Soybeans, Wheat</t>
  </si>
  <si>
    <t>Field/Forageable: Hay &amp; Pasture</t>
  </si>
  <si>
    <t>Other: Hay, Pasture, Sudan Grass</t>
  </si>
  <si>
    <t>Field/Forageable: Alfalfa, Clover, Corn, Hay, Oats, Pasture, Ryegrass, Spelt, Straw, Sudan Grass</t>
  </si>
  <si>
    <t>Nursery/Starts/Flowers/Trees: Transplants, Tomato; Field/Forageable: Pasture, Hay, Corn</t>
  </si>
  <si>
    <t>Tuber/Root Vegetables: Turnips (Forage Turnip); Field/Forageable: Barley, Corn, Hay, Pasture, Sorghum Sudan Grass, Spelt</t>
  </si>
  <si>
    <t>Field/Forageable: Clover, Corn, Hay, Millet, Pasture, Spelt</t>
  </si>
  <si>
    <t>Other: Corn, Hay, Oats, Onions, Pasture, Soybeans</t>
  </si>
  <si>
    <t>Tuber/Root Vegetables: Turnips; Field/Forageable: Alfalfa, Corn, Hay, Oats, Pasture, Silage (Corn Silage), Sorghum, Spelt, Straw, Wheat</t>
  </si>
  <si>
    <t>Field/Forageable: Corn, Hay, Pasture, Spelt, Oats, Sudan</t>
  </si>
  <si>
    <t>Field/Forageable: Clover, Hay, Millet, Pasture</t>
  </si>
  <si>
    <t>Other: Alfalfa, Hay, Corn, Millet, Oats, Pasture, Peas, Sorghum Sudangrass, Soybeans, Triticale</t>
  </si>
  <si>
    <t>Other: Balage (wrapped bales), Barley, Clover, Corn, Corn silage, Ear corn, Hay (dry round bales), Haylage, Millet, Oat hay, Oats, Other: cleaned wheat berries, Pasture, Peas, Sorghum, Straw, Sudan grass, Wheat</t>
  </si>
  <si>
    <t>Other: #Processing, handling, packaging, and distribution of maple syrup, *Alfalfa, *Hay, *Barley, *Alfalfa, *Corn, *Land, *Maple sap, *Oats, *Pasture, *Peas, *Rye, *Sorghum Sudangrass, *Soybeans, *Triticale, *Wheat, *Woodland pasture</t>
  </si>
  <si>
    <t>Other: *Alfalfa, *Barley, *Corn, *Millet, *Pasture, *hay, *Peas, *Peas, *Oats, *Rye, *Triticale</t>
  </si>
  <si>
    <t>Field/Forageable: Alfalfa (Alfalfa), Corn (Corn), Grass (Grass), Pasture (Pasture), Rye (Rye)</t>
  </si>
  <si>
    <t>Field/Forageable: Clover, Corn, Hay, Oats, Pasture, Spelt</t>
  </si>
  <si>
    <t>Other: Hay, Oats, Pasture, Peas, Wheat</t>
  </si>
  <si>
    <t>Other: Alfalfa, Corn, Hay, Oats, Pasture, Rye, Ryegrass, Sorghum-sudangrass, Sweet corn, Wheat</t>
  </si>
  <si>
    <t>Other: Corn, Einkorn, Hay, alfalfa, Land, Oats, Pasture, Spelt</t>
  </si>
  <si>
    <t>Field/Forageable: Pasture (Pasture (Giant Bermuda)), Pasture (Pasture (Haygrazer)), Pasture (Pasture (Native Grasses)), Pasture (Pasture (Triticale))</t>
  </si>
  <si>
    <t>Other: Balage (wrapped bales), Corn silage, Corn, shell, Ear corn, Hay (dry round bales), Hay (dry square bales), Haylage, Oat hay, Oats, Pasture, Sorghum, Soybeans, Straw, Wheat</t>
  </si>
  <si>
    <t>Field/Forageable: Alfalfa, Clover, Hay, Pasture</t>
  </si>
  <si>
    <t>Field/Forageable: Alfalfa, Clover, Corn, Hay, Oats, Pasture, Timothy Grass</t>
  </si>
  <si>
    <t>Other: Hay, Pasture, Spelt, Spelt Straw</t>
  </si>
  <si>
    <t>Field/Forageable: Balage, Corn, Corn (Corn Fodder), Hay, Pasture, Silage (Corn Silage)</t>
  </si>
  <si>
    <t>Other: Alfalfa, Corn, Sudangrass, Triticale, peas, alfalfa</t>
  </si>
  <si>
    <t>Field/Forageable: Alfalfa, Barley, Clover, Fallow, Grass, Hay, Oats, Pasture</t>
  </si>
  <si>
    <t>Tuber/Root Vegetables: Garlic, Onions; Leaf Vegetables: Cabbage; Fruit Vegetables: Tomatoes; Field/Forageable: Corn, Hay, Oats, Pasture</t>
  </si>
  <si>
    <t>Field/Forageable: Hay, Pasture, Spelt/Peas Hay</t>
  </si>
  <si>
    <t>Other: Alfalfa, Hay, Corn, Land, Oats, Pasture, Peas, Rye, Sorghum Sudan Grass, Triticale</t>
  </si>
  <si>
    <t>Field/Forageable: Alfalfa, Clover, Corn, Field Crop (Peas), Hay, Oats, Pasture, Soybeans, Triticale</t>
  </si>
  <si>
    <t>Field/Forageable: Corn (Corn), Hay (Hay), Pasture (Pasture), Sorghum Sudan Grass (Sorghum Sudan Grass), Soybeans (Soybeans), Spelt (Spelt), Triticale (Triticale)</t>
  </si>
  <si>
    <t>Tuber/Root Vegetables: Turnips; Seed/Pod Vegetables: Peas; Field/Forageable: Alfalfa, Corn, Grass, Hay, Oats, Pasture, Silage (Corn Silage), Spelt</t>
  </si>
  <si>
    <t>Tuber/Root Vegetables: Turnips (Forage Turnip); Field/Forageable: Corn, Hay, Oats, Pasture, Sorghum Sudan Grass, Spelt, Straw, Triticale</t>
  </si>
  <si>
    <t>Field/Forageable: Hay, Pasture, Barley, Silage</t>
  </si>
  <si>
    <t>Other: Corn, Hay, Oats, Pasture, Soybeans, Spelt</t>
  </si>
  <si>
    <t>Other: Hay, Alfalfa, Oats, Pasture, Rye, Sudangrass, Tobacco, Wheat</t>
  </si>
  <si>
    <t>Seed/Pod Vegetables: Corn; Leaf Vegetables: Cabbage, Collards; Flower Vegetables: Broccoli, Cauliflower, Cauliflower (Romanesco); Field/Forageable: Clover, Field Crop (Cowpeas), Hay, Pasture, Ryegrass, Sudan Grass, Triticale, Wheat</t>
  </si>
  <si>
    <t>Other: Hay, Oats, peas, ryegrass, Oats, peas, sorghum, Pasture, Sorghum-sudangrass</t>
  </si>
  <si>
    <t>Field/Forageable: Corn, Hay, Pasture, Sudan Grass</t>
  </si>
  <si>
    <t>Other: Corn, Hay, Mixed Produce, Pasture</t>
  </si>
  <si>
    <t>Field/Forageable: Hay, Corn, Pasture</t>
  </si>
  <si>
    <t>Field/Forageable: Corn, Hay, Pasture, Millet</t>
  </si>
  <si>
    <t>Field/Forageable: Alfalfa, Canola, Corn, Fallow, Field Crop, Pasture, Pasture, Pasture, Sudan Grass; Other: Dairy</t>
  </si>
  <si>
    <t>Field/Forageable: Alfalfa, Corn, Hay, Pasture, Sorghum, Sorghum (Milo), Sorghum Sudan Grass, Soybeans, Triticale, Wheat</t>
  </si>
  <si>
    <t>Tuber/Root Vegetables: Beets, Carrots, Onions, Potatoes; Seed/Pod Vegetables: Beans, Peas; Nursery/Starts/Flowers/Trees: Flowers, Flowers; Leaf Vegetables: Brussels Sprouts, Kale, Lettuce, Spinach; Herbs/Spices: Basil, Chives, Dill, Oregano, Parsley, Rosemary, Sage, Thyme; Fruit Vegetables: Cucumbers, Peppers, Squash, Squash, Tomatoes; Fruit - Stone: Cherries, other tree fruits/nuts, Peaches, Peaches, Plums; Fruit - Pome: Apples, Pears; Fruit - Berries: Blueberries, Elderberries, Raspberries, Raspberries; Flower Vegetables: Broccoli, Cauliflower; Field/Forageable: grass hay, Pasture; Other: vegetable seedlings</t>
  </si>
  <si>
    <t>Other: Alfalfa, Barley, Clover, Corn, Hay, pasture, Oats, Pasture, Peas, Rye, Sorghum-sudangrass, Triticale</t>
  </si>
  <si>
    <t>Other: Alfalfa, hay, Corn, Pasture, Tobacco, Triticale</t>
  </si>
  <si>
    <t>Field/Forageable: Corn (Yellow), Hay, Pasture, Sorghum Sudan Grass</t>
  </si>
  <si>
    <t>Other: Alfalfa, hay, Pasture, Vegetable transplants, Vegetables: arugula, asparagus, beets, broccoli, broccoli raab, Brussels sprouts, cabbage, carrots, cauliflower, celeriac, celery, collards, dandelion greens, fava beans, ginger, kale, leeks, lettuce mix, pak choi, peppers, radishes, salsify, scallions, spinach, summer squash, sweet corn, sweet potatoes, Swiss chard, tomatoes, winter squash.</t>
  </si>
  <si>
    <t>Other: *Corn, *Hay, *Oats, *Alfalfa, *Pasture, *Vegetable transplants, *Vegetables: beets, *cabbage, *onions, *radish, *summer squash, *tomatoes, *winter squash, *zucchini, * Fruit: rhubarb., Rye</t>
  </si>
  <si>
    <t>Field/Forageable: Corn, Hay, Pasture, Soybeans, Sudan Grass</t>
  </si>
  <si>
    <t>Other: Corn,Dairy Cattle - Last Third Gestation Born (For Organic Slaughter),Pasture,Hay,Raw Milk,Alfalfa Hay,Corn Silage</t>
  </si>
  <si>
    <t>Field/Forageable: Hay, Hay &amp; Pasture, Pasture, Silage</t>
  </si>
  <si>
    <t>Field/Forageable: Hay, Pasture, Oats</t>
  </si>
  <si>
    <t>Other: *Alfalfa, *Hay, *Millet, *Pasture, *Sorghum, *Soybeans, *Sudangrass, *Triticale, *Vegetables: carrots, *tomatoes, *winter squash, Corn</t>
  </si>
  <si>
    <t>Field/Forageable: Corn (Yellow), Hay, Oat/Pea, Pasture, Silage</t>
  </si>
  <si>
    <t>Other: Alfalfa, Corn, Hay, Oats, Hay, Pasture</t>
  </si>
  <si>
    <t>Tuber/Root Vegetables: Radishes (Red, Daikon), Turnips; Nursery/Starts/Flowers/Trees: Vegetable Transplants; Leaf Vegetables: Collards, Kale; Herbs/Spices: Cilantro; Fruit Vegetables: Cucumbers, Peppers, Squash (Butternut, Summer), Zucchini; Fruit - Melons: Cantaloupes, Watermelons; Field/Forageable: Corn (Yellow), Hay, Oats, Pasture, Silage (Corn), Wheat</t>
  </si>
  <si>
    <t>Field/Forageable: Alfalfa, Clover, Hay, Pasture, Spelt, Triticale</t>
  </si>
  <si>
    <t>Field/Forageable: Corn, Hay, Speltz, Straw, Pasture</t>
  </si>
  <si>
    <t>Field/Forageable: Hay, Pasture, Woods</t>
  </si>
  <si>
    <t>Field/Forageable: Corn, Pasture, Hay, Mixed Vegetables</t>
  </si>
  <si>
    <t>Field/Forageable: Alfalfa, Barley, Clover, Corn, Hay, Oats, Pasture, Spelt, Straw</t>
  </si>
  <si>
    <t>Other: Alfalfa, Hay, Barley, Corn, Oats, Pasture, Soybeans, Wheat</t>
  </si>
  <si>
    <t>Field/Forageable: Corn, Hay/Pasture</t>
  </si>
  <si>
    <t>Field/Forageable: Clover, Hay, Pasture, Sorghum Sudan Grass</t>
  </si>
  <si>
    <t>Fruit Vegetables: Squash; Field/Forageable: Alfalfa, Barley, Corn, Grass, Grass Hay, Orchard Grass, Pasture, Rye, Ryegrass, Triticale</t>
  </si>
  <si>
    <t>Other: Durum wheat, Fodder plants, Permanent meadow, Soybean, Sunflowers</t>
  </si>
  <si>
    <t>Nuts: Coconuts</t>
  </si>
  <si>
    <t>Other: Corn, Hay, Oats, peas, Pasture, Soybeans</t>
  </si>
  <si>
    <t>Field/Forageable: Corn, Hay, Pasture, Oats/Straw, Spelt/Straw</t>
  </si>
  <si>
    <t>Other: Alfalfa; Chicory, Clover; Corn; Hay; Millet; Oats; Peas; Pasture; Radishes; Rye; Ryegrass; Sorghum-sudangrass; Soybeans; Triticale; Wheat.</t>
  </si>
  <si>
    <t>Field/Forageable: Corn, Hay, Pasture, Silage</t>
  </si>
  <si>
    <t>Other: Alfalfa, Clover, Grass, and Pasture</t>
  </si>
  <si>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</si>
  <si>
    <t>Other: Corn silage, Hay (dry round bales), Haylage, Oats, Pasture, Peas, Straw</t>
  </si>
  <si>
    <t>Other: Corn, Hay/Pasture, Oats, and Pasture</t>
  </si>
  <si>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</si>
  <si>
    <t>Other: Corn, Hay, Land, Oats, Pasture, Peas, Rye, Triticale, Wheat</t>
  </si>
  <si>
    <t>Other: Alfalfa, grass, Barley, peas, Buckwheat, Corn, Faba beans, Grass hay, Millet, Oats, Pasture, Rye, Soybeans, Triticale, Vegetables (canning peas, snap beans)</t>
  </si>
  <si>
    <t>Field/Forageable: Corn, Pasture, Silage</t>
  </si>
  <si>
    <t>Other: *Alfalfa, *hay, *Corn, *Pasture, *Vegetables: summer squash, *winter squash, Millet, Sorghum, Sorghum-sudangrass</t>
  </si>
  <si>
    <t>Other: Alfalfa, Hay, Corn, Fallow, Oats, Pasture</t>
  </si>
  <si>
    <t>Field/Forageable: Alfalfa, Clover, Corn, Hay, Oats, Pasture, Soybeans</t>
  </si>
  <si>
    <t>Other: Corn, Hay, Oats, Pasture, Soybeans, Speltz</t>
  </si>
  <si>
    <t>Field/Forageable: Alfalfa, Corn, Hay, Pasture, Spelt, Straw</t>
  </si>
  <si>
    <t>Tuber/Root Vegetables: Sweet Potatoes; Field/Forageable: Alfalfa, Corn, Hay, Pasture, Sudan Grass, Wheat</t>
  </si>
  <si>
    <t>Field/Forageable: Alfalfa, Clover, Grass, Hay, Pasture</t>
  </si>
  <si>
    <t>Other: Alfalfa; Clover; Corn; Einkorn; Hay; Oats; Pasture; Sorghum-sudangrass; Sudangrass; Turnips; Wheat;Cover crops; clover, oats, peas, radishes, rye, ryegrass, soybeans, sudangrass, sunn hemp, wheat;</t>
  </si>
  <si>
    <t>Field/Forageable: Alfalfa, Barley, Corn, Pasture, Rye, Sorghum Sudan Grass, Soybeans, Straw (Barley Straw)</t>
  </si>
  <si>
    <t>Other: Corn, Hay, Oats, Oats, peas, Pasture</t>
  </si>
  <si>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</si>
  <si>
    <t>Seed/Pod Vegetables: Peas; Field/Forageable: Alfalfa, Corn, Hay, Oats, Pasture, Pearl Millet, Rye (Oat Straw), Sorghum Sudan Grass, Soybeans</t>
  </si>
  <si>
    <t>Field/Forageable: Corn, Hay, Pasture, Spelt, Sudan</t>
  </si>
  <si>
    <t>Other: Alfalfa; Barley; Clover; Corn; Fescue; Hay; Oats; Pasture; Peas; Sorghum-sudangrass; Timothy; Triticale;</t>
  </si>
  <si>
    <t>Other: Alfalfa, Hay, Corn, Oats, Pasture, Peas, Spelt, Triticale, Wheat</t>
  </si>
  <si>
    <t>Tuber/Root Vegetables: Beets (Red); Seed/Pod Vegetables: Soybeans; Herbs/Spices: Cilantro; Fruit Vegetables: Peppers (Mini-Sweet), Tomatoes (Grape); Field/Forageable: Corn (Yellow), Hay, Pasture, Silage (Corn)</t>
  </si>
  <si>
    <t>Field/Forageable: Hay, Pasture, Spelt, Straw</t>
  </si>
  <si>
    <t>Field/Forageable: Corn (Yellow), Hay, Pasture, Silage (Corn), Triticale</t>
  </si>
  <si>
    <t>Other: Alfalfa, Hay, Corn, Pasture, Sorghum-Sudangrass, Triticale</t>
  </si>
  <si>
    <t>Field/Forageable: Hay (Hay), Pasture (Pasture); Other: Trees</t>
  </si>
  <si>
    <t>Other: Alfalfa, Corn, Hay, Hay, pasture, Oats, Pasture, Rye, Sudangrass, Sunflower</t>
  </si>
  <si>
    <t>Seed/Pod Vegetables: Beans (Black Beans); Field/Forageable: Alfalfa (Alfalfa), Corn (Corn), Hay (Hay), Oats (Oats), Pasture (Pasture), Soybeans (Soybeans), Straw (Straw)</t>
  </si>
  <si>
    <t>Field/Forageable: Barley, Corn, Hay, Pasture, Sorghum, Sorghum Silage</t>
  </si>
  <si>
    <t>Other: Alfalfa, Barley, Corn, Hay, Pasture, Rye, Ryegrass, Sorghum-sudangrass, Soybeans, Soybeans, oats, peas, triticale, Sudangrass</t>
  </si>
  <si>
    <t>Other: Alfalfa, Hay, Corn, Mixed forages, Oats (Food Grade), Oats, clover, Pasture, Peas, Barley, Triticale, Rye, Sorghum-sudangrass, Soybeans, Wheat</t>
  </si>
  <si>
    <t>Other: *Alfalfa, *Barley, *Hay, *Millet, *Oats, *Pasture, *Peas, *Rye, *Sorghum Sudangrass, *Teffgrass, *Triticale, *Vetch</t>
  </si>
  <si>
    <t>Field/Forageable: Pasure, Hay</t>
  </si>
  <si>
    <t>Other: Alfalfa, Barley, Buckwheat, Corn, Hay, Oats, Hay, Pasture, Pasture, Hay, Peas, Sorghum, Sorghum-sudangrass, Soybeans, Triticale, Wheat</t>
  </si>
  <si>
    <t>Other: Barley, Corn, Hay, Hay, Pasture, Millet, Milo, Oats, Peas, Pasture, Pasture, Corn, Rye, Corn, Rye, Oats, Peas, Rye, Sorghum Sudan Grass, Rye, Soybeans, Sorghum, Triticale, Vetch, Wheat</t>
  </si>
  <si>
    <t>Field/Forageable: Hay, Pasture, Triticale</t>
  </si>
  <si>
    <t>Field/Forageable: Pasture, Corn, Hay, Baleage, Clover</t>
  </si>
  <si>
    <t>Other: Alfalfa, Barley, Corn, Hay, Millet, Oats, Pasture, Peas, Rye, Sorghum-sudangrass, Soybeans, Triticale, Turnips</t>
  </si>
  <si>
    <t>Other: Alfalfa, hay, Corn, Corn, Oats, Pasture, Sudangrass, Triticale</t>
  </si>
  <si>
    <t>Other: Hay (dry round bales), Maple Sap (Unconcentrated), Pasture</t>
  </si>
  <si>
    <t>Other: *Hay, *Oats, *Alfalfa, *Hay, *Pasture, *Hay, Sorghum Sudangrass</t>
  </si>
  <si>
    <t>Other: Buckwheat, Corn, Hay, Oats, Pasture, Peas, Triticale, Alfalfa, Rye, Sorghum Sudan, Soybeans</t>
  </si>
  <si>
    <t>Other: *Alfalfa, *hay, *Pasture, *Wheat, Corn</t>
  </si>
  <si>
    <t>Other: Hay, Sorghum, Pasture, Vegetables, Herbs</t>
  </si>
  <si>
    <t>Other: *Corn, *Hay, *Oats, *Pasture, *hay, *Peas, *Rye, *Sorghum Sudangrass, *Soybeans, *Spelt, *Triticale</t>
  </si>
  <si>
    <t>Other: Barley, Corn, Hay, Millet, Oats, Pasture, Soybeans</t>
  </si>
  <si>
    <t>Field/Forageable: Fodder grasses - pasture and mowed fodder</t>
  </si>
  <si>
    <t>Other: Alfalfa, hay, Barley, Corn (food grade), Greenhouse production of transplants for on-farm use and for sale, In-ground greenhouse production of produce, Mushrooms: shiitake, wine caps, Pasture, hay, Rye (food grade), Vegetables: arugula, asparagus, beans, beets, bok choi, broccoli, Brussels sprouts, cabbage, carrots, cauliflower, collards, cucumbers, dandelion, dry beans, eggplant, fennel, garlic, gourds, kale, kohlrabi, leeks, lettuce, mustard greens, onions, peas, peppers, popcorn, potatoes, pumpkins, radishes, rutabaga, scallions, shallots, spinach, soybeans, summer squash, sweet corn, tat soi, tomatillos, tomatoes, turnips, winter squash; Herbs: basil, chives, cilantro, dill, lavender, lemon balm, mint, oregano, parsley, rosemary, sage, tarragon, thyme; Fruit: apples, Asian pears, cherries, currants,elderberries, gosseberries, grapes, melons, peaches, plums , rhubarb, strawberries, watermelons; Flowers; Cover crops, Wheat (food grade), Woods</t>
  </si>
  <si>
    <t>Field/Forageable: Alfalfa, Clover, Corn, Hay, Oats, Pasture, Sorghum Sudan Grass, Triticale</t>
  </si>
  <si>
    <t>Field/Forageable: Pasture (Pasture (Giant Bermuda)), Pasture (Pasture (Rye Mix)), Pasture (Pasture (Triticale))</t>
  </si>
  <si>
    <t>Field/Forageable: Clover, Hay, Oats, Pasture, Sudan Grass</t>
  </si>
  <si>
    <t>Other: Barley, Corn, Hay, Oats, Pasture, Fruit: apples., Rye, Sorghum-Sudangrass, Soybeans, Vegetables: beets, cherry tomatoes, cilantro, carrots, eggplants, garlic, green beens, kale, leeks, onions, parsley, peas, peppers, pie pumpkins, radishes, summer squash, sweet corn, tomatoes, winter squash, zucchini;, Wheat</t>
  </si>
  <si>
    <t>Other: *Corn, *Fruit: rhubarb, *Hay, *Sorghum-sudangrass, *Oats, *Pasture, *Rye, *Corn, *Sweet potatoes, *Vegetable and tobacco transplants, *Wheat, Tobacco</t>
  </si>
  <si>
    <t>Field/Forageable: All other hay, Corn, Oats, Pasture</t>
  </si>
  <si>
    <t>Other: Alfalfa, Corn, Hay, Millet, Oats, Pasture, Ryegrass, sorghum, vetch, Sorghum-Sudangrass, Soybeans, Triticale</t>
  </si>
  <si>
    <t>Other: Alfalfa, Hay, Oats, Corn, Pasture</t>
  </si>
  <si>
    <t>Other: *Barley, *Corn, *Hay, *Alfalfa, *Pasture, *Peas, *Sorghum-Sudangrass, *Triticale</t>
  </si>
  <si>
    <t>Tuber/Root Vegetables: Garlic, Radishes, Turnips (Forage), Turnips; Seed/Pod Vegetables: Peas; Field/Forageable: Alfalfa, Clover, Hay, Oats, Pasture, Sorghum Sudan Grass, Triticale</t>
  </si>
  <si>
    <t>Field/Forageable: Alfalfa, Corn, Hay, Pasture, Soybeans, Triticale</t>
  </si>
  <si>
    <t>Field/Forageable: Barley, Corn, Hay, Pasture, Soybeans, Spelt, Sudan Grass, Wheat</t>
  </si>
  <si>
    <t>Tuber/Root Vegetables: Turnips (Forage Turnip); Field/Forageable: Balage, Corn, Hay, Oats, Pasture, Silage, Sorghum, Spelt, Straw (Spelt Straw), Sudan Grass</t>
  </si>
  <si>
    <t>Field/Forageable: Corn, Hay, Pasture, Soybeans, Spelt/Straw</t>
  </si>
  <si>
    <t>Field/Forageable: Corn (Corn), Hay (Hay), Pasture (Pasture), Rye (Rye), Sudan Grass (Sudan Grass)</t>
  </si>
  <si>
    <t>Field/Forageable: Hay, Pasture, Silage (Corn Silage), Sorghum, Soybeans</t>
  </si>
  <si>
    <t>Other: COCONUT*</t>
  </si>
  <si>
    <t>Field/Forageable: Alfalfa, Clover, Corn, Field Crop (Peas), Grass, Hay, Oats, Pasture, Sorghum, Sudan Grass, Wheat</t>
  </si>
  <si>
    <t>Field/Forageable: Alfalfa, Corn, Hay, Oats, Pasture, Silage (Corn)</t>
  </si>
  <si>
    <t>Other: Corn, Hay, Pasture, Peas, Oats</t>
  </si>
  <si>
    <t>Other: Alfalfa, Barley, Corn, Hay, Oats, Pasture, Rye, Sorghum, Sorghum Sudan Grass, Sudan Grass, Triticale, Wheat</t>
  </si>
  <si>
    <t>Other: Barley, Buckwheat, Corn, Fruit: apples, blueberries, Hay, Alfalfa, Millet, Oats, Pasture, Pasture; Hay, Rye, Ryegrass, Sorghum, Sorghum-sudangrass, Sunflowers, Triticale, Hay, Turnips</t>
  </si>
  <si>
    <t>Other: Hay, Oats, Oat Straw, Pasture</t>
  </si>
  <si>
    <t>Seed/Pod Vegetables: Beans, Beans (Navy); Field/Forageable: Alfalfa, Buckwheat, Clover, Hay, Pasture, Rye, Sorghum, Soybeans</t>
  </si>
  <si>
    <t>Field/Forageable: Alfalfa, Corn, Hay, Pasture, Ryegrass, Soybeans, Triticale</t>
  </si>
  <si>
    <t>Tuber/Root Vegetables: Turnips (Forage Turnip); Field/Forageable: Alfalfa, Alfalfa (Alfalfa Mix), Clover, Grass (Orchard Grass), Hay, Pasture, Ryegrass, Silage (Corn Silage), Spelt, Sudan Grass, Wheat (Forage Wheat)</t>
  </si>
  <si>
    <t>Other: Anderson Dairy Field, Corn Silage (Not for Sale), Grass Hay (Not for Sale), Grass Haylage (Not for Sale), Grass Silage (Not for Sale), Green Chop (Not for Sale), Haugen Home Farm Field, Hlede 1 &amp; 2 Field, Kuki Field, Pasture, Soler 1 Field, Soler South Prairie Field, Turvey Field</t>
  </si>
  <si>
    <t>Field/Forageable: Corn, Hay (Haylage), Pasture, Spelt</t>
  </si>
  <si>
    <t>Other: Clover, Corn, Hay, Oats, Pasture, Rye, Sorghum Sudan</t>
  </si>
  <si>
    <t>Tuber/Root Vegetables: Beets, Carrots, Celeriac, Garlic, Leeks, Onions, Parsnips, Potatoes, Radicchio, Radishes, Radishes (Radishes), Rutabaga, Scallions, Shallots, Sweet Potatoes, Turnips; Stem Vegetables: Asparagus, Celery, Rhubarb; Seed/Pod Vegetables: Beans, Corn (Corn), Peas (Peas), Peas; Nursery/Starts/Flowers/Trees: Flowers, Seeds, Transplants; Leaf Vegetables: Arugula, Bok Choy, Cabbage, Chard, Collards, Endive, Endive (Escarole), Kale, Kohlrabi, Leafy Greens, Leafy Greens (Microgreens), Leafy Greens (Shoots), Lettuce, Spinach; Herbs/Spices: Fennel, Ginger, Herbs; Fruit Vegetables: Cucumbers, Eggplants, Peppers, Squash, Tomatoes, Zucchini; Fruit - Melons: Melons; Fruit - Berries: Strawberries; Flower Vegetables: Broccoli, Cauliflower; Field/Forageable: Alfalfa, Barley, Clover, Corn, Hay, Millet, Oats, Pasture, Rye, Sorghum Sudan Grass, Spelt, Triticale</t>
  </si>
  <si>
    <t>Other: Barley, Corn, Fallow, Hay, alfalfa, Pasture, Peas, oats, Rye, Ryegrass, Sorghum-sudangrass, Soybeans, Triticale, Wheat</t>
  </si>
  <si>
    <t>Other: 2022 Carryover Crops of Corn*-5,000 bushels, Hay*-200 tons, and Oats*-500 bushels, Corn*, Hay*, Oats/Alfalfa*, Pasture*, Soybeans*, Triticale/Peas*</t>
  </si>
  <si>
    <t>Field/Forageable: Hay, Pasture, Rye, Sorghum Sudan Grass</t>
  </si>
  <si>
    <t>Nursery/Starts/Flowers/Trees: Seeds; Field/Forageable: Buckwheat, Clover, Hay, Oats, Pasture, Sorghum Sudan Grass, Spelt, Timothy Grass, Triticale</t>
  </si>
  <si>
    <t>Seed/Pod Vegetables: Corn (Corn), Corn (Sweet); Fruit - Berries: Blackberries, Raspberries; Field/Forageable: Corn, Hay, Pasture</t>
  </si>
  <si>
    <t>Field/Forageable: Alfalfa, Barley, Clover, Corn, Hay, Pasture, Soybeans, Sunflowers (Sunflowers)</t>
  </si>
  <si>
    <t>Field/Forageable: Corn, Hay, Pasture, Sorghum Sudan Grass, Spelt</t>
  </si>
  <si>
    <t>Field/Forageable: Sorghum, Sudan, Corn, Hay, Pasture</t>
  </si>
  <si>
    <t>Other: Alfalfa, Barley, Corn, Hay, Oat, Pasture, Spelt</t>
  </si>
  <si>
    <t>Seed/Pod Vegetables: Peas; Fruit - Pome: Apples; Field/Forageable: Corn, Hay, Oats, Pasture, Spelt</t>
  </si>
  <si>
    <t>Other: Balage (wrapped bales), Corn silage, Hay (dry round bales), Hay (dry square bales), Haylage, Pasture, Soybeans</t>
  </si>
  <si>
    <t>Field/Forageable: Alfalfa, Clover, Corn, Hay, Pasture, Soybeans</t>
  </si>
  <si>
    <t>Field/Forageable: Alfalfa, Corn, Hay, Pasture, Rye, Sudan Grass, Wheat</t>
  </si>
  <si>
    <t>Field/Forageable: Alfalfa, Corn, Hay, Millet, Oats, Pasture, Spelt</t>
  </si>
  <si>
    <t>Field/Forageable: Corn, Hay, Millet, Oats, Pasture, Spelt</t>
  </si>
  <si>
    <t>Tuber/Root Vegetables: Beets, Carrots, Potatoes; Seed/Pod Vegetables: Sprouts; Field/Forageable: Corn, Hay, Pasture</t>
  </si>
  <si>
    <t>Field/Forageable: corn, hay, pasture, sorghum, triticale</t>
  </si>
  <si>
    <t>Other: Alfalfa; Corn; Fescue; Hay; Hemp; Oats; Pasture; Rye; Sorghum-sudangrass; Sudangrass; Timothy; Triticale;Cover crop: rye;Vegetables:asparagus, beets,Brussels sprouts,cabbage,leeks,rutabagas, zucchini;Fruit: watermelon;Greenhouse production of transplants for on-farm use and sale;In ground greenhouse production of vegetables;</t>
  </si>
  <si>
    <t>Other: Alfalfa; Clover; Corn; Fescue; Hay; Oats; Orchardgrass; Pasture; Ryegrass; Sorghum-sudangrass, Soybeans; Triticale; Wheat;Woodland Pasture;Cover crops: rye, wheat;Vegetables: cabbage, summer squash, winter squash, zucchini;*Greenhouseproduction of transplants for on-farm use;</t>
  </si>
  <si>
    <t>Field/Forageable: Alfalfa, Corn, Hay, Pasture, Rye</t>
  </si>
  <si>
    <t>Seed/Pod Vegetables: Soybeans; Field/Forageable: Corn (Yellow, Corn Stalks), Pasture, Silage (Corn), Straw</t>
  </si>
  <si>
    <t>Other: Beans* (green, yellow), Carryover Crops of 2023 Corn* (ear) - 600 bushels and 2023 Oats*-100 bushels, Corn,* Hay,* Oats,* Pasture,* and Soybeans*</t>
  </si>
  <si>
    <t>Other: *Hay, *Hay, *Pasture, *Land, *Pasture</t>
  </si>
  <si>
    <t>Other: Carryover Crops of 2022 Corn*-1,000 bushels and 2022 Soybeans*-100 bushels, Corn*, Hay*, Oats*, Pasture, Soybeans*</t>
  </si>
  <si>
    <t>Field/Forageable: Alfalfa, Barley, Corn, Hay (Grass Hay Mix), Pasture, Peas, Sorghum Sudan Grass, Straw, Triticale</t>
  </si>
  <si>
    <t>Other: *Alfalfa, *Hay, *Oats, *Pasture, *Peas, *Rye, *Sorghum Sudangrass, *Spelt, *Triticale</t>
  </si>
  <si>
    <t>Other: Hay, Oats, Pasture, Sorghum, Sundangrass</t>
  </si>
  <si>
    <t>Other: *Hay, *Pasture, *Hay</t>
  </si>
  <si>
    <t>Other: Alfalfa, Hay, Oats, Pasture, Peas, Rye, Sorghum Sudangrass</t>
  </si>
  <si>
    <t>Field/Forageable: Soybeans, Spelt, Corn, Hay, Pasture</t>
  </si>
  <si>
    <t>Field/Forageable: Corn (Corn), Hay (Hay), Oats (Oats), Pasture (Pasture), Sorghum (Sorghum)</t>
  </si>
  <si>
    <t>Other: Balage (wrapped bales), Hay (dry round bales), Hay (dry square bales), Haylage, Pasture</t>
  </si>
  <si>
    <t>Tuber/Root Vegetables: Sweet Potatoes; Field/Forageable: Hay, Pasture</t>
  </si>
  <si>
    <t>Other: Hay (dry round bales), Haylage, Pasture</t>
  </si>
  <si>
    <t>Other: *Alfalfa, *Corn, *Hay, *Millet, *Oats, *Pasture, *Peas, *Rye, *Sorghum-sudangrass, *Wooded pasture, *Woods, Kale</t>
  </si>
  <si>
    <t>Other: *Hay, *Alfalfa, *Oats, *Pasture, *Soybeans</t>
  </si>
  <si>
    <t>Other: Carryover Crops of 2022-2020 Hay - 8 tons, Corn, Hay, Oats, and Soybeans, Pasture, Pasture/Woods, and Woods</t>
  </si>
  <si>
    <t>Other: Corn, Hay, Pasture, Spelt</t>
  </si>
  <si>
    <t>Other: Corn, Hay, Alfalfa, Pasture, Sorghum, Sorghum-sudan, Sudangrass</t>
  </si>
  <si>
    <t>Other: Annual Seedlings*, Corn*, Hay*, Oats*, Pasture*, Soybeans*, and Produce* including Collards*, Kale*, Zucchini*, Carryover Crops of 2022 Corn-10 bushels and 2022 Corn Silage-60 tons</t>
  </si>
  <si>
    <t>Field/Forageable: Corn (Yellow), Hay, Pasture, Rye</t>
  </si>
  <si>
    <t>Other: *Alfalfa, *Hay, *Millet, *Oats, *Hay, *Pasture, *Peas, *Rye, *Sorghum Sudangrass, *Sudangrass, *Woodland Pasture, Corn, Triticale, Corn</t>
  </si>
  <si>
    <t>Other: Carryover Crops of 2024 Corn Silage- 4.5 Tons, Corn, Hay, and Pasture</t>
  </si>
  <si>
    <t>Other: Hay &amp; Pasture</t>
  </si>
  <si>
    <t>Other: Grass Haylage,Dairy Cattle - Last Third Gestation Born (Eligible for Organic Slaughter),Pasture,Raw Milk,Grass Hay,Dairy Cattle - Last Third Gestation Born (Not Eligible for Organic Slaughter)*,Dairy Cattle - Transitioned</t>
  </si>
  <si>
    <t>Field/Forageable: Alfalfa, Corn, Corn (Corn Fodder), Hay, Oats, Pasture, Rye, Silage (Corn Silage), Sorghum, Soybeans, Straw, Wheat</t>
  </si>
  <si>
    <t>Other: Alfalfa, Hay, Corn, Oats, Pasture, Hay</t>
  </si>
  <si>
    <t>Seed/Pod Vegetables: Peas; Field/Forageable: Corn, Hay, Oats, Pasture, Triticale, Wheat</t>
  </si>
  <si>
    <t>Stem Vegetables: Asparagus; Field/Forageable: Hay/Pasture</t>
  </si>
  <si>
    <t>Other: Alfalfa, Clover, Corn,  Grass, Hay/Pasture, Sorghum Sudan/Sudex, Soybeans, Triticale, Vetch and Ryegrass, Asparagus, Radishes and Turnips</t>
  </si>
  <si>
    <t>Field/Forageable: Hay</t>
  </si>
  <si>
    <t>Other: Balage (wrapped bales), Hay (dry round bales), Pasture</t>
  </si>
  <si>
    <t>Other: Carryover Crops: 2022 Meadow Hay- 50 bales, and 2022 Sorghum Sudan- 130 bales, Corn, Meadow Hay, and Pasture</t>
  </si>
  <si>
    <t>Field/Forageable: Corn (Certified in accordance with the terms of the U.S.-Canada Organic Equivalency Arrangement), Hay (Certified in accordance with the terms of the U.S.-Canada Organic Equivalency Arrangement), Oats (alfalfa -- Certified in accordance with the terms of the U.S.-Canada Organic Equivalency Arrangement), Pasture (Certified in accordance with the terms of the U.S.-Canada Organic Equivalency Arrangement)</t>
  </si>
  <si>
    <t>Other: Balage (wrapped bales), Hay (dry square bales), Haylage, Pasture</t>
  </si>
  <si>
    <t>Field/Forageable: Corn, Hay, Millet, Pasture, Sorghum</t>
  </si>
  <si>
    <t>Other: *Alfalfa, *Hay, *Corn, *Oats, *peas, *Pasture, *Rye, Barley, Sorghum-sudangrass, Soybeans, Wheat</t>
  </si>
  <si>
    <t>Field/Forageable: Oat Hay, Oat Silage, Pasture</t>
  </si>
  <si>
    <t>Field/Forageable: Balage, Corn, Hay, Oats, Pasture, Silage (Corn Silage), Soybeans, Spelt</t>
  </si>
  <si>
    <t>Field/Forageable: Corn, Hay, Pasture, Woods/Wetlands</t>
  </si>
  <si>
    <t>Tuber/Root Vegetables: Beets; Field/Forageable: Hay, Pasture, Silage</t>
  </si>
  <si>
    <t>Other: Alfalfa, hay, Barley, Corn, Oats, Pasture, Sudangrass, Triticale</t>
  </si>
  <si>
    <t>Tuber/Root Vegetables: Cassava, Leeks, Onions, Radishes; Stem Vegetables: Celery; Seed/Pod Vegetables: Beans; Leaf Vegetables: Arugula, Cabbage, Cabbage (Chinese Cabbage), Chard, Kale, Lettuce; Herbs/Spices: Basil, Chives, Cilantro, Fennel, Mint, Parsley, Pepper, Rosemary, Thyme; Fruit Vegetables: Cucumbers, Eggplants, Pepper (Aji Cubanela), Peppers, Tomatoes, Zucchini; Fruit - Tropical Fruits: Bananas, Coconuts, Neems, Papayas, Pineapples, Plantains; Fruit - Melons: Cantaloupes, Melons, Watermelons; Fruit - Citrus Fruits: Grapefruits, Limes, Oranges; Field/Forageable: Cacao, Coffee, Corn, Corn (Corn Fodder), Mustard, Pasture, Sugercane (Sugarcane), Vetch (Hairy Vetch); Other: Pueraria Phaseoloides</t>
  </si>
  <si>
    <t>Other: *Hay, *Milo, *Oats, *Pasture, *Soybeans, *Triticale, *Peas</t>
  </si>
  <si>
    <t>Field/Forageable: Corn, Hay, Pasture, Soybeans, Triticale</t>
  </si>
  <si>
    <t>Field/Forageable: Alfalfa, Corn, Hay, Pasture, Sorghum Sudan Grass</t>
  </si>
  <si>
    <t>Field/Forageable: Alfalfa, Clover, Hay, Pasture, Rye</t>
  </si>
  <si>
    <t>Other: Corn, Hay, Alfalfa, Oats, Pasture, Peas, Rye, Soybeans, Sudangrass, Triticale, Vegetable transplants, Vegetables: beets, broccoli, cabbage, cauliflower, garlic, green beans, lettuce, onions, peppers, popcorn, potatoes, pumpkins, sweet potatoes, tomatoes, winter squash</t>
  </si>
  <si>
    <t>Other: 2023 Carryover Crops of Corn Silage- 10 tons, and Haylage- 800 bales, Corn, Corn Silage, Hay, and Pasture</t>
  </si>
  <si>
    <t>Field/Forageable: Alfalfa, Corn, Hay, Oats, Pasture, Rye</t>
  </si>
  <si>
    <t>Seed/Pod Vegetables: Peas; Field/Forageable: Clover, Hay, Oats, Pasture, Sorghum Sudan Grass, Soybeans, Spelt</t>
  </si>
  <si>
    <t>Tuber/Root Vegetables: Turnips; Field/Forageable: Hay, Pasture, Sorghum Sudan Grass</t>
  </si>
  <si>
    <t>Tuber/Root Vegetables: Beets, Garlic; Field/Forageable: Corn, Hay, Pasture, Sorghum Sudan Grass, Triticale</t>
  </si>
  <si>
    <t>Other: #Processing, handling, packaging and distribution of Apple Cider Vinegar, Apples, Corn, Hay, Hay, Pasture, Oats, Peas, Vegetables: garlic, sweet corn, turnips</t>
  </si>
  <si>
    <t>Field/Forageable: Alfalfa, Barley, Corn, Hay, Pasture, Rye, Soybeans, Straw, Triticale</t>
  </si>
  <si>
    <t>Other: Pasture, hay</t>
  </si>
  <si>
    <t>Field/Forageable: Corn (Corn), Hay (Hay), Oats (Oats), Pasture (Pasture), Triticale (Triticale)</t>
  </si>
  <si>
    <t>Other: Alfalfa; Hay; Corn; Pasture; Oats; Peas; Wheat; Rye; Sorghum-sudangrass; Triticale;Cover crop: rye;</t>
  </si>
  <si>
    <t>Field/Forageable: Corn, Hay, Pasture, Spelt, Oats</t>
  </si>
  <si>
    <t>Field/Forageable: Alfalfa, Clover, Corn, Grass (Orchardgrass), Hay, Oats, Pasture</t>
  </si>
  <si>
    <t>Other: Alfalfa, Barley, Corn, Hay, Pasture, Oats, Pasture, Peas, Sorghum, Sorghum Sudangrass, Spelt, Sudangrass</t>
  </si>
  <si>
    <t>Other: Alfalfa, Hay, Asparagus, Hay, Pasture, Oats, Pasture, Rye, Sorghum Sudan Grass, Sudan Grass, Triticale, Vetch</t>
  </si>
  <si>
    <t>Other: Corn, Hay, Alfalfa, Oats, Pasture, Soybeans, Triticale, Peas, Wheat, Wooded Pasture</t>
  </si>
  <si>
    <t>Other: Barley, Corn, Hay, alfalfa, Oats, Peas, Pasture, Triticale</t>
  </si>
  <si>
    <t>Other: Alfalfa, Corn, Hay, Pasture, Oats, Peas, Triticale</t>
  </si>
  <si>
    <t>Other: Corn, Hay, Alfalfa, Oats, Rye, Pasture, sorghum-sudangrass, Triticale, Peas</t>
  </si>
  <si>
    <t>Other: Alfalfa, Corn, Hay, Pasture, Wheat</t>
  </si>
  <si>
    <t>Field/Forageable: Hay, Oats, Pasture, Sorghum Sudan Grass, Triticale</t>
  </si>
  <si>
    <t>Other: Alfalfa, Barley, Corn, Hay, Oats, Peas, Pasture, Sorghum Sudangrass, Wheat</t>
  </si>
  <si>
    <t>Field/Forageable: Hay, Pasture, Corn, Sorghum</t>
  </si>
  <si>
    <t>Seed/Pod Vegetables: Peas, Peas (Field); Field/Forageable: Hay, Oats, Pasture, Sorghum Sudan Grass, Spelt, Triticale</t>
  </si>
  <si>
    <t>Field/Forageable: Corn, Hay, Oats, Pasture, Spelt, Triticale</t>
  </si>
  <si>
    <t>Field/Forageable: Hay, Pasture, Ryegrass, Sorghum Sudan Grass</t>
  </si>
  <si>
    <t>Other: Corn, Hay, Pasture, Sorghum Sudan, Soybeans</t>
  </si>
  <si>
    <t>Leaf Vegetables: Cabbage, Kale; Field/Forageable: Hay, Pasture</t>
  </si>
  <si>
    <t>Other: Corn*, Hay*, Oats*, Pasture*, Produce including Pumpkins*, Squash*, Tomatoes*</t>
  </si>
  <si>
    <t>Other: Corn, Hay, Pasture, Sudan Grass, Triticale, Wheat</t>
  </si>
  <si>
    <t>Field/Forageable: Alfalfa, Barley, Clover, Corn, Field Crop (Peas), Grass, Oats, Pasture, Ryegrass, Sudan Grass</t>
  </si>
  <si>
    <t>Fruit - Berries: Strawberries; Field/Forageable: Alfalfa, Corn, Hay, Oats, Pasture, Soybeans, Wheat</t>
  </si>
  <si>
    <t>Field/Forageable: Hay, Pasture, Silage (Yellow corn), Tobacco</t>
  </si>
  <si>
    <t>Tuber/Root Vegetables: Garlic (Garlic), Onions (Onions), Potatoes (Potatoes); Field/Forageable: Hay (Hay), Pasture (Pasture), Sorghum Sudan Grass (Sorghum Sudan Grass)</t>
  </si>
  <si>
    <t>Other: Alfalfa; Clover; Corn; Fescue; Hay; Oats; Orchardgrass; Pasture; Soybeans; Triticale;</t>
  </si>
  <si>
    <t>Other: Corn, Corn Fodder, Hay, Oats, Oats Straw, Pasture</t>
  </si>
  <si>
    <t>Seed/Pod Vegetables: Corn (Corn), Corn (Sweet); Fruit Vegetables: Pumpkins; Field/Forageable: Corn, Hay, Pasture</t>
  </si>
  <si>
    <t>Other: Alfalfa, Barley, Corn, Hay, Hay, Rye, Land, Oats, Pasture, Ryegrass, Sorghum-sudangrass, Soybeans, Wheat</t>
  </si>
  <si>
    <t>Other: Alfalfa, Barley, Corn, Hay, Oats, Pasture, Peas, Sorghum-sudangrass, Soybeans, Triticale, Wheat</t>
  </si>
  <si>
    <t>Field/Forageable: Alfalfa, Hay, Oats, Pasture, Sorghum</t>
  </si>
  <si>
    <t>Tuber/Root Vegetables: Potatoes; Field/Forageable: Alfalfa, Clover, Corn, Hay, Pasture, Triticale</t>
  </si>
  <si>
    <t>Field/Forageable: Alfalfa, Barley, Clover, Corn, Hay, Oats, Pasture, Soybeans, Triticale, Wheat</t>
  </si>
  <si>
    <t>Other: Corn, Hay, Alfalfa, Oats, Oats, Pasture, Spelt, Sudangrass</t>
  </si>
  <si>
    <t>Other: Broccoli, Corn, Hay, Oats, Pasture, Peas, Zucchini</t>
  </si>
  <si>
    <t>Field/Forageable: Hay (Hay), Pasture (Pasture), Soybeans (Soybeans), Spelt (Spelt)</t>
  </si>
  <si>
    <t>Tuber/Root Vegetables: Beets, Garlic, Leeks, Potatoes, Radishes; Stem Vegetables: Asparagus; Seed/Pod Vegetables: Green Beans, Peas; Nursery/Starts/Flowers/Trees: Transplants; Leaf Vegetables: Lettuce, Spinach; Fruit Vegetables: Melons, Pumpkins, Squash, Tomatoes; Fruit - Berries: Strawberries; Field/Forageable: Corn, Hay, Pasture</t>
  </si>
  <si>
    <t>Other: Hay, pasture, Pasture, Sorghum-sudangrass, Soybeans, Woods</t>
  </si>
  <si>
    <t>Other: Alfalfa, Hay, Barley, Oats, Wheat, Barley, Peas, Corn, Pasture, Rye, Soybeans, Triticale</t>
  </si>
  <si>
    <t>Nuts: Pecans; Fruit - Berries: Berries; Field/Forageable: Fallow, Hay, Hay &amp; Pasture, Pasture</t>
  </si>
  <si>
    <t>Field/Forageable: Alfalfa, Corn, Hay, Pasture</t>
  </si>
  <si>
    <t>Fruit - Tropical Fruits: Bananas (Fresh Bananas), Coconuts (Fresh coconut), Dragonfruits (Fresh Red Dragon), Pineapples (Fresh Pineapple)</t>
  </si>
  <si>
    <t>Other: Barley, Sorghum-sudangrass, Barley, Soybeans, Corn, Hay, Alfalfa, Oats, Sorghum-sudangrass, Pasture, Woodland pasture, Peas, Triticale, Wheat</t>
  </si>
  <si>
    <t>Nursery/Starts/Flowers/Trees: Trees; Field/Forageable: Alfalfa, Corn, Hay, Pasture, Sudan Grass, Triticale</t>
  </si>
  <si>
    <t>Other: *Alfalfa, *Corn, *Hay, *Oats, *Pasture, *Wooded Pasture, *Sorghum-sudangrass, *Soybeans, *Wheat</t>
  </si>
  <si>
    <t>Other: Alfalfa;Buckwheat;Clover;Corn;Cowpeas;Flax; Kale; Land; Peas; Hay; Oats; Pasture;Radishes; Rape; Rye; Ryegrass;Sorghum-sudangrass; Sudangrass;Sunflowers;Triticale;Turnips; Vetch;Wheat;</t>
  </si>
  <si>
    <t>Field/Forageable: Pasture, Hay</t>
  </si>
  <si>
    <t>Field/Forageable: Pasture, Hay, Corn</t>
  </si>
  <si>
    <t>Other: Barley, Corn, Hay, Oats, Pasture, Soybeans</t>
  </si>
  <si>
    <t>Field/Forageable: Hay, Pasture, Sudan, Grazable Lanes</t>
  </si>
  <si>
    <t>Other: Crops: Corn, Hay, Oats, Pasture, Triticale</t>
  </si>
  <si>
    <t>Field/Forageable: Alfalfa, Corn, Pasture, Soybeans</t>
  </si>
  <si>
    <t>Other: Alfalfa, Hay, Pasture, Sorghum-Sudangrass</t>
  </si>
  <si>
    <t>Other: Corn, Hay, Maple Syrup, Pasture, Peas, Sugar Bush, Triticale</t>
  </si>
  <si>
    <t>Other: Corn, Hay, Pasture, Winter Wheat</t>
  </si>
  <si>
    <t>Other: Barley, Corn, Hay, Oats, Alfalfa, Pasture, Peas, Sorghum Sudan Grass, Vegetables: beets, bok choi, cabbage, pumpkins, rutabagas, summer squash, tomatoes, winter squash, zucchini</t>
  </si>
  <si>
    <t>Field/Forageable: Corn, Hay, Pasture, Wheat, Soybeans, Woods</t>
  </si>
  <si>
    <t>Other: Alfalfa, Corn, Forage</t>
  </si>
  <si>
    <t>Field/Forageable: Hay, Pasture, Rye; Other: Alfalfa; Clover; Corn; Cowpea; Millet; Oats; Peas; Ryegrass; Sorghum-sudangrass; Triticale., Hay, pasture</t>
  </si>
  <si>
    <t>Other: Barley, Corn, Fallow, Hay, Alfalfa, Oats, Pasture, Peas, Rye, Sorghum, Sorghum-sudangrass, Triticale</t>
  </si>
  <si>
    <t>Field/Forageable: Alfalfa, Clover, Corn, Hay, Oats, Pasture, Soybeans, Triticale</t>
  </si>
  <si>
    <t>Field/Forageable: Grass Hay, Pasture</t>
  </si>
  <si>
    <t>Field/Forageable: Pasture, Hay, Silage (Grass)</t>
  </si>
  <si>
    <t>Field/Forageable: Corn, Alfalfa, Pasture, Sudan, Rye, Rape</t>
  </si>
  <si>
    <t>Seed/Pod Vegetables: Soybeans; Field/Forageable: Corn (Yellow), Hay, Oats, Pasture, Spelt, Straw, Wheat (Red Fife)</t>
  </si>
  <si>
    <t>Other: Barley, Peas, Alfalfa, Corn, Hay, Pasture</t>
  </si>
  <si>
    <t>Other: Beets, Clover, Corn, Hay, Pasture, Potatoes, Ryegrass, Sunflowers, Turnips</t>
  </si>
  <si>
    <t>Field/Forageable: Hay, Millet, Pasture, Spelt, Sudan Grass</t>
  </si>
  <si>
    <t>Field/Forageable: Corn, Oats, Hay</t>
  </si>
  <si>
    <t>Other: Carryover Crops of 2022 Corn - 150 bushels, 2023 Corn Silage - 10 tons, 2023 Hay (loose) - 2 tons, and 2023 Straw (loose) - 2 tons, Corn,*  Hay,*  Oats,*  Pasture,*  Peas/Triticale,*  Peppers (sweet),*  and Spelt*</t>
  </si>
  <si>
    <t>Other: Alfalfa, Hay, Corn, Oats, Pasture, Peas, Spelt</t>
  </si>
  <si>
    <t>Other: Alfalfa, Barley, Corn, Fallow, Hay, Oats, Pasture, Peas</t>
  </si>
  <si>
    <t>Other: Carryover Crops of: 2023 Corn stalks-25 square bales, 2023 corn silage-210' bag, 2023 Hay-48 round bales, 2023 Mixed Baleage-520 bales, 2023 Oat Bedding-10 round bales, 2022 Hay-6 square bales, and 2019 Straw-15 bales, Corn, and Pasture/Hay</t>
  </si>
  <si>
    <t>Tuber/Root Vegetables: Turnips (Forage Turnip); Field/Forageable: Alfalfa, Barley (Forage Barley), Hay, Millet (Forage Millet), Pasture, Rye (Forage Rye), Sorghum Sudan Grass, Straw, Triticale (Forage Triticale), Wheat (Forage Wheat)</t>
  </si>
  <si>
    <t>Field/Forageable: Corn, Hay, Pasture, Woods/Marsh</t>
  </si>
  <si>
    <t>Field/Forageable: Hay, Oats, Pasture, Rye, Sorghum, Spelt</t>
  </si>
  <si>
    <t>Field/Forageable: Hay (Hay), Oats (Oats), Pasture (Pasture), Sorghum Sudan Grass (Sorghum Sudan Grass)</t>
  </si>
  <si>
    <t>Tuber/Root Vegetables: Garlic; Field/Forageable: Corn, Hay, Pasture, Straw, Wheat</t>
  </si>
  <si>
    <t>Tuber/Root Vegetables: Radishes, Turnips; Field/Forageable: Alfalfa, Corn, Hay, Pasture, Silage (Corn Silage), Sudan Grass</t>
  </si>
  <si>
    <t>Field/Forageable: Alfalfa, Clover, Corn, Hay, Oats, Pasture, Rye, Straw</t>
  </si>
  <si>
    <t>Fruit Vegetables: Squash (Butternut Squash); Field/Forageable: Alfalfa, Corn, Hay, Pasture, Rye, Soybeans, Sudan Grass</t>
  </si>
  <si>
    <t>Seed/Pod Vegetables: Corn (Corn), Corn (Sweet); Field/Forageable: Alfalfa, Clover, Corn, Hay, Oats, Pasture, Sudan Grass, Triticale</t>
  </si>
  <si>
    <t>Other: Alfalfa, Corn, Hay, Pasture</t>
  </si>
  <si>
    <t>Field/Forageable: Clover, Corn, Hay, Pasture, Soybeans, Sudan Grass, Triticale</t>
  </si>
  <si>
    <t>Tuber/Root Vegetables: Potatoes; Field/Forageable: Barley, Corn, Hay, Oats, Pasture, Rye, Soybeans, Straw, Sudan Grass, Timothy Grass, Wheat</t>
  </si>
  <si>
    <t>Seed/Pod Vegetables: Corn; Field/Forageable: Hay, Pasture, Silage (Corn Silage)</t>
  </si>
  <si>
    <t>Field/Forageable: Corn (Yellow), Hay (&amp; Haylage), Oats, Pasture, Spelt, Straw, Sudan Grass</t>
  </si>
  <si>
    <t>Field/Forageable: Alfalfa, Balage, Corn, Hay, Oats, Pasture, Rye, Silage</t>
  </si>
  <si>
    <t>Other: Corn, Hay, Oats, Pasture, Wheat - Einkorn</t>
  </si>
  <si>
    <t>Field/Forageable: Corn, Hay, Oats, Pasture, Soybeans, Straw</t>
  </si>
  <si>
    <t>Other: Corn, Hay, Oats, Pasture, Sorghum</t>
  </si>
  <si>
    <t>Field/Forageable: Corn (Yellow), Hay, Oats, Pasture, Sorghum Sudan Grass, Straw</t>
  </si>
  <si>
    <t>Tuber/Root Vegetables: Potatoes; Field/Forageable: Alfalfa, Corn, Grass, Pasture, Sorghum Sudan Grass, Triticale, Wheat</t>
  </si>
  <si>
    <t>Other: Clover, Corn, Hay, Millet, Pasture, Spelt, Triticale</t>
  </si>
  <si>
    <t>Tuber/Root Vegetables: Garlic, Onions, Potatoes; Fruit - Berries: Strawberries; Field/Forageable: Corn, Hay, Oats, Pasture</t>
  </si>
  <si>
    <t>Field/Forageable: Hay, Pasture, Corn, Silage, Hay Bailage</t>
  </si>
  <si>
    <t>Seed/Pod Vegetables: Peas; Field/Forageable: Alfalfa, Hay, Pasture, Sorghum Sudan Grass, Triticale</t>
  </si>
  <si>
    <t>Other: Corn, Hay, Oat Straw, Oats, Pasture, Soybeans, Spelt, Spelt Straw</t>
  </si>
  <si>
    <t>Field/Forageable: Buckwheat, Clover, Fallow, Grass, Hay, Pasture, Rye, Ryegrass, Sudan Grass</t>
  </si>
  <si>
    <t>Tuber/Root Vegetables: Onions (*); Field/Forageable: Corn (*), Hay (*), Pasture (*), Ryegrass (pasture (*)), Soybeans (*)</t>
  </si>
  <si>
    <t>Field/Forageable: Alfalfa, Corn, Hay, Oats, Pasture, Sorghum, Sorghum Sudan Grass, Spelt, Triticale</t>
  </si>
  <si>
    <t>Other: Alfalfa; Clover; Corn; Hairy Vetch; Hay; Oats; Pasture; Peas; Rye; Ryegrass; Sorghum-sudangrass; Sudangrass; Triticale; Turnips; Woodland pasture;</t>
  </si>
  <si>
    <t>Other: Corn, Hay, Oats, Peas, Alfalfa, Pasture, Pasture, Pasture, Hay, Woodland Pasture</t>
  </si>
  <si>
    <t>Other: Corn, Hay, Hay/Pasture, Oats/New Seeding Hay, Pasture</t>
  </si>
  <si>
    <t>Field/Forageable: Alfalfa, Pasture, Silage</t>
  </si>
  <si>
    <t>Other: Corn, Hay, Oats, Oat Straw, Pasture</t>
  </si>
  <si>
    <t>Field/Forageable: Hay, Pasture, Sudan Grass, Triticale</t>
  </si>
  <si>
    <t>Field/Forageable: Hay, Hay &amp; Pasture, Pasture</t>
  </si>
  <si>
    <t>Other: Alfalfa, Barley, Hay, Pasture, Hay, Sorghum Sudangrass</t>
  </si>
  <si>
    <t>Field/Forageable: Corn (Corn), Hay (Hay), Oats (Oats), Pasture (Pasture), Soybeans (Soybeans)</t>
  </si>
  <si>
    <t>Seed/Pod Vegetables: Soybeans; Field/Forageable: Corn (Yellow), Hay, Oat/Pea Forage, Pasture</t>
  </si>
  <si>
    <t>Seed/Pod Vegetables: Peas, Peas (Austrian Winter); Nursery/Starts/Flowers/Trees: Transplants (Vegetable Seedlings); Fruit Vegetables: Squash, Squash (Butternut Squash); Field/Forageable: Alfalfa, Clover, Corn, Grass, Hay, Oats, Pasture, Sorghum Sudan Grass, Triticale</t>
  </si>
  <si>
    <t>Field/Forageable: Alfalfa, Corn, Hay, Pasture, Triticale, Wheat</t>
  </si>
  <si>
    <t>Other: Alfalfa, Corn, Garlic, Hay, Pasture, Pasture, Rye, Sorghum-sudangrass</t>
  </si>
  <si>
    <t>Other: Corn, Hay, Oats, Pasture, Peas, Rye</t>
  </si>
  <si>
    <t>Other: Alfalfa; Corn; Hay; Oats; Pasture; Peas; Spelt; Triticale;Vegetables: cabbage, cucumbers, leeks, onions, peppers, pumpkins, winter squash;Cover crops: buckwheat, radish, rye;Greenhouse production of transplants for on-farm use and sale;</t>
  </si>
  <si>
    <t>Field/Forageable: Alfalfa (Alfalfa), Corn (Corn), Hay (Hay), Oats (Oats), Pasture (Pasture), Sudan Grass (Sudan Grass)</t>
  </si>
  <si>
    <t>Field/Forageable: Alfalfa, Clover, Corn, Hay, Pasture, Soybeans, Sudan Grass, Triticale</t>
  </si>
  <si>
    <t>Other: Barley, Corn, Hay, Oats, Pasture, Rye, Spelt, Wheat</t>
  </si>
  <si>
    <t>Fruit Vegetables: Gourds, Squash, Squash (Winter); Field/Forageable: Alfalfa, Corn, Hay, Pasture</t>
  </si>
  <si>
    <t>Field/Forageable: Corn, Hay, Oats, Pasture, Sorghum Sudan Grass, Wheat</t>
  </si>
  <si>
    <t>Field/Forageable: Clover, Fallow, Hay, Pasture, Timothy Grass</t>
  </si>
  <si>
    <t>Tuber/Root Vegetables: Garlic; Field/Forageable: Alfalfa, Corn, Hay, Pasture, Soybeans, Spelt</t>
  </si>
  <si>
    <t>Other: Corn, Hay, Oats, Pasture, Vegetables: kale, Swiss chard, tomatoes, winter squash, pumpkins</t>
  </si>
  <si>
    <t>Fruit Vegetables: Squash; Field/Forageable: grass/legume baleage, Pasture</t>
  </si>
  <si>
    <t>Field/Forageable: Barley, Hay, Pasture, Ryegrass, Sorghum Sudan Grass, Triticale</t>
  </si>
  <si>
    <t>Other: *Corn, *Hairy vetch, *clover, *Hay, *Pasture, *rye, *millet, *Soybeans, *Triticale, Alfalfa, Sorghum, Spelt, Sunflowers, Vegetable transplants, Vegetables: green beans, sweet corn, tomatoes;, Wheat</t>
  </si>
  <si>
    <t>Field/Forageable: Straw, Corn, Pasture, Spelt, Hay</t>
  </si>
  <si>
    <t>Other: Carryover Crop of 2023 Hay-150 small square bales, Corn, Hay, Pasture</t>
  </si>
  <si>
    <t>Other: Fallow, Forage, Grass, other, Hay</t>
  </si>
  <si>
    <t>Other: *Corn, *Hay, *Alfalfa, *Pasture, *Rye, Oats, Peas, Sorghum- Sudangrass, Soybeans, Triticale, Wheat</t>
  </si>
  <si>
    <t>Field/Forageable: Corn (Yellow, Fodder), Hay/Pasture</t>
  </si>
  <si>
    <t>Tuber/Root Vegetables: Rutabaga; Field/Forageable: Alfalfa, Corn, Hay, Pasture, Ryegrass, Wheat, Wheat</t>
  </si>
  <si>
    <t>Field/Forageable: Hay, Pasture, Pasture, Silage</t>
  </si>
  <si>
    <t>Tuber/Root Vegetables: Carrots; Field/Forageable: Corn, Hay, Pasture, Triticale</t>
  </si>
  <si>
    <t>Field/Forageable: Alfalfa (Alfalfa), Grass (Grass), Triticale (Triticale), Wheat (Wheat)</t>
  </si>
  <si>
    <t>Other: Hay*, Oats/Alfalfa*, Pasture*, Pasture/Woods*</t>
  </si>
  <si>
    <t>Other: Hay, Oats, Pasture, Rye, Sorghum Sudan</t>
  </si>
  <si>
    <t>Field/Forageable: Alfalfa, Balage, Corn, Fallow, Hay, Oats, Pasture, Silage, Soybeans, Spelt, Straw, Triticale</t>
  </si>
  <si>
    <t>Other: Alfalfa, Hay, Barley, Corn, Oats, Pasture, hay, Peas, Rye, Sorghum-sudangrass, Sorghum-sudangrass, Triticale</t>
  </si>
  <si>
    <t>Field/Forageable: Barley, Clover, Corn, Hay, Pasture, Silage (Corn Silage), Sorghum Sudan Grass</t>
  </si>
  <si>
    <t>Field/Forageable: Pasture, Corn, Hay, Sudan</t>
  </si>
  <si>
    <t>Field/Forageable: Alfalfa, Clover, Corn, Hay, Pasture, Soybeans, Triticale</t>
  </si>
  <si>
    <t>Field/Forageable: Barley, Hay, Pasture, Rye, Sorghum Sudan Grass, Spelt</t>
  </si>
  <si>
    <t>Other: Hay, Pasture, Soybeans</t>
  </si>
  <si>
    <t>Other: *Alfalfa, *Buckwheat, *Corn, *Sorghum, *Peas, *Hay, *Millet, *Pasture, *Rye, *Sorghum sudangrass, *Soybeans</t>
  </si>
  <si>
    <t>Other: Hay, Oats, Pasture, Peas, Sorghum Sudan</t>
  </si>
  <si>
    <t>Field/Forageable: Corn, Hay, Oats, Pasture, Rye, Triticale, Wheat</t>
  </si>
  <si>
    <t>Field/Forageable: Corn, Grass, Hay, Oats, Pasture, Soybeans, Straw, Sudan Grass, Triticale, Wheat</t>
  </si>
  <si>
    <t>Other: Carryover Crops of 2020, 2022 Hay - 250 small square bales, 2022 Hay - 13 round bales, 2023 Baleage - 23 round bales, 2023 Corn Silage - 290 tons, 2023 Haylage - 35 tons, and 2023 Straw - 25 small square bales, Hay, Land, Pasture, and Pasture/Hay</t>
  </si>
  <si>
    <t>Other: Alfalfa; Barley; Corn; Hay; Meadow fescue; Oats; Pasture; Peas; Rye; Sorghum-sudangrass; Soybeans; Triticale; Wheat;Cover crops: radishes;</t>
  </si>
  <si>
    <t>Other: Alfalfa, Corn, Pasture, Wheat</t>
  </si>
  <si>
    <t>Field/Forageable: Balage, Pasture, Spelt, Wheat</t>
  </si>
  <si>
    <t>Other: Carryover Crops: 2022 Corn* (cob)- 200 bushels, 2022 Oats*- 80 bushels, and 2022 Soybeans- 60 bushels, Corn*, Hay*, Oats*, Pasture*, and Spelt*</t>
  </si>
  <si>
    <t>Field/Forageable: Corn, Field Crop, Grain, Pasture, Silage, Sudan Grass</t>
  </si>
  <si>
    <t>Other: Alfalfa, Hay, Barley, Corn, Oats, Pasture, Peas, Rye, Sorghum Sudangrass, Soybeans, Triticale</t>
  </si>
  <si>
    <t>Other: #Processing, handling, packaging, repackaging and distribution of Maple Syrup., *Barley, *Corn, *Hay, *Land, *Maple sap, *Oats, *Pasture, *Peas, *triticale, *alfalfa, *Sorghum-sudangrass, *Soybeans, *Triticale, *Triticale, *Oats</t>
  </si>
  <si>
    <t>Other: Alfalfa; Barley; Corn; Hay; Oats; Orchardgrass; Pasture; Peas; Rye; Soybeans; Triticale;</t>
  </si>
  <si>
    <t>Field/Forageable: Corn, Hay, Pasture, Rye, Straw, Soybeans</t>
  </si>
  <si>
    <t>Other: Hay, Pasture, Sorghum Sudan grass, Spelt</t>
  </si>
  <si>
    <t>Other: Alfalfa, Hay, Pasture, Barley, Corn, Pasture, Peas, Rape, Rye, Ryegrass, Sorghum Sudangrass, Triticale</t>
  </si>
  <si>
    <t>Field/Forageable: Corn (Yellow), Hay, Pasture, Straw, Wheat (Hard red winter)</t>
  </si>
  <si>
    <t>Field/Forageable: Alfalfa, Grass, Grass (Orchardgrass), Hay, Pasture</t>
  </si>
  <si>
    <t>Field/Forageable: Corn (Corn), Hay (Hay), Oats (Oats), Pasture (Pasture), Spelt (Spelt), Sudan Grass (Sudan Grass)</t>
  </si>
  <si>
    <t>Field/Forageable: Corn, Hay, Pasture, Rye, Sorghum, Soybeans, Sudan Grass, Triticale, Wheat</t>
  </si>
  <si>
    <t>Other: Grass/Hay/Pasture and Oats/Clover</t>
  </si>
  <si>
    <t>Other: Hay; Oats; Pasture; Sorghum-sudangrass;</t>
  </si>
  <si>
    <t>Other: Alfalfa, Barley, Corn, Fallow, Hay, Oats, Pasture, Peas, Rye, Sorghum Sudan Grass, Soybeans, Triticale, Wheat</t>
  </si>
  <si>
    <t>Other: Arugula, Balage (wrapped bales), Basil, Beans, green, Beets, Bok choy, Broccoli, Cabbage, green, Cabbage, Napa, Cabbage, red, Carrots, Cauliflower, Coriander, Cucumber, Dill, Eggplant, Fennel, Flowers, cut, Greens, Asian and mustard, Greens, braising, Greens, micro, Greens, salad mixes, Hay (dry round bales), Kale, Lettuce (head), Onions, Other: Amaranthus, Pasture, Peppers (sweet), Radishes, Rosemary, Sage, Salad mix, Scallions, Shallots, Spinach, Squash (summer), Squash (winter), Thyme, Tomatoes (greenhouse), Tomatoes, cherry</t>
  </si>
  <si>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</si>
  <si>
    <t>Other: Alfalfa;Chicory;Clover;Corn;Fescue; Festulolium;Hay;Orchardgrass;Pasture; Peas; Rye; Sorghum; Soybeans;Trefoil;Triticale;</t>
  </si>
  <si>
    <t>Other: Barley, Corn, Corn, Rye, Hay, Oats, Alfalfa, Pasture, Soybeans, Wheat</t>
  </si>
  <si>
    <t>Other: Alfalfa, Barley, Corn, Fescue, Hay, Oats, Pasture, Peas, Sorghum sudangrass, Triticale</t>
  </si>
  <si>
    <t>Other: *Alfalfa, *Corn, *Fruit: apples, *pears, *Hay, *Land, *Maple trees for sap, *Oat, *Pasture, *Peas, *Rye, *Sorghum, *Soybeans, Vegetables: cabbage, collard greens, cucumbers, kale, onions, pie pumpkins, summer squash, winter squash; Herbs: basil</t>
  </si>
  <si>
    <t>Field/Forageable: Alfalfa, Corn, Hay, Oats, Pasture, Soybeans</t>
  </si>
  <si>
    <t>Tuber/Root Vegetables: Garlic; Stem Vegetables: Asparagus; Seed/Pod Vegetables: Beans, Beans (String); Fruit Vegetables: Tomatoes; Fruit - Stone: Cherries, Peaches; Field/Forageable: Corn, Hay, Pasture</t>
  </si>
  <si>
    <t>Field/Forageable: Corn, Fallow, Hay, Pasture, Soybeans</t>
  </si>
  <si>
    <t>Other: Alfalfa, Hay, Pasture, Triticale</t>
  </si>
  <si>
    <t>Other: Carryover Crop of 2022 Soybeans-120 bushels, Corn, Hay, Pasture, Pasture/Hay, Soybeans, Triticale/Peas/Alfalfa</t>
  </si>
  <si>
    <t>Other: Alfalfa, Clover, Hay, Oats, Pasture, Peas</t>
  </si>
  <si>
    <t>Other: Corn, Hay, Hay/Pasture, Rye</t>
  </si>
  <si>
    <t>Tuber/Root Vegetables: Turnips (Forage Turnip); Field/Forageable: Corn, Hay, Oats, Pasture, Triticale</t>
  </si>
  <si>
    <t>Field/Forageable: Pasture, Silage; Other: Outdoor Access Area for Organic Animals</t>
  </si>
  <si>
    <t>Other: Hay, Pasture, Pasture, hay</t>
  </si>
  <si>
    <t>Field/Forageable: Alfalfa, Barley, Clover, Corn, Hay, Oats, Pasture, Spelt</t>
  </si>
  <si>
    <t>Field/Forageable: Soybeans, Oats, Spelt, Corn, Hay, Pasture</t>
  </si>
  <si>
    <t>Field/Forageable: Corn, Hay, Pasture, Rye, Soybeans</t>
  </si>
  <si>
    <t>Field/Forageable: Alfalfa, Corn, Hay, Pasture, Sorghum Sudan Grass, Soybeans, Triticale</t>
  </si>
  <si>
    <t>Other: Barley, Corn, Hay, Oats, Alfalfa, Pasture, Peas, Sorghum-sudangrass, Soybeans, Triticale</t>
  </si>
  <si>
    <t>Other: Alfalfa, hay, Buckwheat, CRP, Oats, Pasture, Peas, Soybeans, Sudangrass, Triticale, Woods</t>
  </si>
  <si>
    <t>Other: Barley, Corn, Hay, Alfalfa, Land, Oats, Pasture, Peas, Triticale</t>
  </si>
  <si>
    <t>Field/Forageable: Hay, Corn, Pasture, Alfalfa, Oats, Sudan</t>
  </si>
  <si>
    <t>Other: Hay, Pasture, Sudan Grass, Turnips</t>
  </si>
  <si>
    <t>Field/Forageable: Corn, Sudan, Hay, Pasture</t>
  </si>
  <si>
    <t>Other: Corn, Hay, Sorhum Sudan Grass, Soybeans, Triticale</t>
  </si>
  <si>
    <t>Other: Hay, Pasture, Sudan Grass, Triticale</t>
  </si>
  <si>
    <t>Other: Alfalfa, Corn, Hay, Land, Oats, Pasture, Sudangrass, Triticale, Peas, Alfalfa</t>
  </si>
  <si>
    <t>Other: Barley, peas, alfalfa, Corn, Hay, Oats, Pasture, Rye, Sorghum-Sudangrass, Soybeans, Triticale</t>
  </si>
  <si>
    <t>Other: Corn, Oats, Pasture, Pasture, hay, Sudangrass</t>
  </si>
  <si>
    <t>Other: Alfalfa, Hay, Pasture, Barley, Corn, Millet, Oats, Peas, Rye, Sorghum-sudangrass, Soybeans, Triticale, Wheat</t>
  </si>
  <si>
    <t>Other: Corn, Hay, alfalfa, Oats, Pasture, Rye</t>
  </si>
  <si>
    <t>Other: Corn, Hay, Oats, Pasture, Sorghum Sudan Grass, Triticale, Peas</t>
  </si>
  <si>
    <t>Other: Alfalfa, Barley, Corn, Hay, Oats, Hay, Pasture, Peas, Soybeans, Triticale</t>
  </si>
  <si>
    <t>Field/Forageable: Sudan, Rye, Hay, Pasture, Horse Paddock</t>
  </si>
  <si>
    <t>Field/Forageable: Corn (Corn), Hay (Hay), Pasture (Pasture), Sudan Grass (Sudan Grass)</t>
  </si>
  <si>
    <t>Field/Forageable: Alfalfa, Corn, Hay, Oats, Pasture, Rye, Triticale</t>
  </si>
  <si>
    <t>Seed/Pod Vegetables: Peas; Field/Forageable: Corn, Hay, Millet, Oats, Pasture, Rye, Sorghum Sudan Grass, Soybeans</t>
  </si>
  <si>
    <t>Field/Forageable: Fallow, Hay, Oats, Pasture</t>
  </si>
  <si>
    <t>Nuts: Walnuts (Black); Field/Forageable: Corn (Yellow), Hay, Pasture, Triticale, Wheat (Hard red winter)</t>
  </si>
  <si>
    <t>Other: Corn, Hay, Pasture, Sudangrass</t>
  </si>
  <si>
    <t>Tuber/Root Vegetables: Sweet Potatoes, Turmeric, Yams (Purple Yam); Stem Vegetables: Celery (Celery); Nuts: Cashew Nuts (Cashew), Coconuts; Nursery/Starts/Flowers/Trees: Akapulko (Cassia alata), Averrhoa bilimbi (Kamias), Banaba (Lagerstroemia speciosa), Butterfly Pea, Eucalyptus, Trees (Fragrant premna (Premna odorata)), Trees (Tsaang gubat (Wild tea)), Ylang-ylang (Cananga odorata); Leaf Vegetables: Amaranth (Amaranth), Arugula, Leaf Vegetables (Nalta Jute (Saluyot)), Sweet Potatoes (Sweet Potato Leaves); Herbs/Spices: Andrographis paniculata (Kalmegh), Cat's whiskers, Chili, Clove, Fennel, Garlic, Grass (Lemongrass), Herbs (Sambong), Herbs (Lagundi (Vitex negundo)), Herbs (Gotu Kola), Herbs (Insulin plant (Costus igneus)), Herbs (Euphorbia hirta), Onions, Oregano, Pepper (Black Pepper), Spearmint, Wormwood (Artemisia annua); Fruit Vegetables: Cucumbers, Gourds (Bitter Gourd), Okra (lady fingers), Squash; Fruit - Tropical Fruits: Cacao (Cacao), Dragonfruits, Guavas, Jackfruits, Mangos, Mangosteen, Papayas, Purslane, Soursop (Guyabano), Star apple; Fruit - Stone: Cherries (Bignay (Antidesma bunius)); Fruit - Citrus Fruits: Calamondins (Calamansi), Lemons (Lemon); Fruit - Berries: Avocados, Mulberries, Tomatoes; Other: Aloe vera, Grass (Citronella), Moringa, Pandan, Pansit-pansitan (Peperomia pellucida Linn), Paragis (Eleusine indica)</t>
  </si>
  <si>
    <t>Tuber/Root Vegetables: Beets, Potatoes, Sweet Potatoes, Turnips; Seed/Pod Vegetables: Corn (Corn), Peas (Peas), Peas; Fruit Vegetables: Peppers, Pumpkins, Squash, Tomatoes; Fruit - Melons: Cantaloupes, Watermelons; Flower Vegetables: Cauliflower; Field/Forageable: Alfalfa, Barley, Clover, Corn, Hay, Pasture, Soybeans, Spelt, Triticale</t>
  </si>
  <si>
    <t>Field/Forageable: Corn, Hay, Pasture, Cereal Rye</t>
  </si>
  <si>
    <t>Field/Forageable: Corn, Soybean, Hay, Pasture</t>
  </si>
  <si>
    <t>Nursery/Starts/Flowers/Trees: Transplants (Chard Tranplants), Transplants (Wheat Transplants); Leaf Vegetables: Chard, Kale; Fruit Vegetables: Cucumbers, Peppers, Squash (Winter Squash); Field/Forageable: Corn, Hay, Oats, Pasture, Silage (Corn Silage), Soybeans, Straw, Wheat</t>
  </si>
  <si>
    <t>Field/Forageable: Corn, Pasture, Hay, Sudan</t>
  </si>
  <si>
    <t>Other: Buckwheat, Cabbage, Corn, Hay, Millet, Oats, Pasture, Peas, Radishes, Rape, Rye, Rye, Triticale, Ryegrass, Sorghum, Sorghum-sudangrass, Soybeans, Sunn hemp, Teff, Turnips, Wheat</t>
  </si>
  <si>
    <t>Tuber/Root Vegetables: Carrots; Seed/Pod Vegetables: Peas; Field/Forageable: Corn, Hay, Oats, Pasture, Rye</t>
  </si>
  <si>
    <t>Field/Forageable: Corn, Hay, Oats, Pasture, Rye (Oat Straw), Silage (Corn Silage)</t>
  </si>
  <si>
    <t>Field/Forageable: Corn (Corn), Hay (Hay), Oats (Oats), Pasture (Pasture)</t>
  </si>
  <si>
    <t>Field/Forageable: Alfalfa (Alfalfa), Corn (Corn), Hay (Hay), Pasture (Pasture), Sorghum (Sorghum)</t>
  </si>
  <si>
    <t>Field/Forageable: Oats, Pasture, Spelt</t>
  </si>
  <si>
    <t>Field/Forageable: Fallow, Hay, Pasture, Sorghum Sudan Grass, Tobacco</t>
  </si>
  <si>
    <t>Other: Alfalfa; Chicory; Clover; Corn; Fescue; Festulolium; Hay; Orchardgrass; Pasture; Ryegrass; Sorghum-sudangrass; Soybeans; Wheat;Vegetables: summer squash;Cover crops: buckwheat, oats, wheat;</t>
  </si>
  <si>
    <t>Field/Forageable: Corn (Yellow), Hay, Pasture</t>
  </si>
  <si>
    <t>Other: Corn, Hay, Pasture, Triticale, Sudan Grass</t>
  </si>
  <si>
    <t>Other: Alfalfa, Corn, Hay, Pasture, Wheat- Einkorn</t>
  </si>
  <si>
    <t>Other: Corn, Hay, Pasture, Oats</t>
  </si>
  <si>
    <t>Other: Alfalfa, Hay, Pasture</t>
  </si>
  <si>
    <t>Other: Corn, Hay, Pasture, Spelt, Oats, Alfalfa</t>
  </si>
  <si>
    <t>Other: Alfalfa, Hay, Corn, Pasture</t>
  </si>
  <si>
    <t>Other: Hay, Pasture, Woodland Pasture</t>
  </si>
  <si>
    <t>Tuber/Root Vegetables: Onions; Fruit Vegetables: Squash, Squash (Winter); Field/Forageable: Corn, Hay, Oats, Pasture, Sorghum Sudan Grass</t>
  </si>
  <si>
    <t>Seed/Pod Vegetables: Peas; Field/Forageable: Alfalfa, Corn, Oats, Pasture, Soybeans, Triticale</t>
  </si>
  <si>
    <t>Field/Forageable: Balage (Winter Rye), Hay, Pasture, Sorghum Sudan Grass, Straw, Wheat (Winter)</t>
  </si>
  <si>
    <t>Field/Forageable: Alfalfa, Barley, Clover, Corn, Hay, Pasture, Rye, Sorghum Sudan Grass, Soybeans, Straw, Straw (Rye), Triticale, Wheat</t>
  </si>
  <si>
    <t>Field/Forageable: Alfalfa/Grass Hay &amp; Pasture, Alfalfa/Grass/Cereal Mix Hay,  Mixed Grass Hay &amp; Pasture</t>
  </si>
  <si>
    <t>Other: Arugula, Arugula, Asparagus, Balage (wrapped bales), Basil, Beans, green, Beet greens, Beets, Blueberries, Broccoli, Brussels sprouts, Cabbage, green, Cabbage, red, Carrots, Cucumber, Edible flowers, Eggplant, Fennel, Flowers, cut, Garlic, Greens, salad mixes, Hay (dry square bales), Hemp, Kale, Leek, Maple Sap (Unconcentrated), Parsley, Pasture, Peaches, Pears, Peppers (sweet), Pumpkins, Sage, Scallions, Spinach, Squash (summer), Squash (winter), Strawberries, Swiss chard, Thyme, Tomatoes (field)</t>
  </si>
  <si>
    <t>Other: *Barley, *Hay, *Oats, *Peas, *Sorghum, *Soybeans, *Spelt, *Triticale, Alfalfa, Corn, Hay, pasture, Rye, Wheat</t>
  </si>
  <si>
    <t>Other: Alfalfa, Corn, Hay, Oats, Pasture, Soybeans, Wheat</t>
  </si>
  <si>
    <t>Field/Forageable: Corn, Hay, Pasture, Dry Lot</t>
  </si>
  <si>
    <t>Field/Forageable: Corn (Yellow), Hay, Pasture, Wheat</t>
  </si>
  <si>
    <t>Other: Alfalfa, Hay, Corn, Oats, Pasture, Peas, Rye, Sorghum Sudangrass, Sudangrass, Triticale</t>
  </si>
  <si>
    <t>Other: 3-Way Hay, Alfalfa, and Pasture</t>
  </si>
  <si>
    <t>Field/Forageable: Hay, Pasture, Rye</t>
  </si>
  <si>
    <t>Fruit Vegetables: Squash (Butternut Squash); Field/Forageable: Corn, Hay, Oats, Pasture, Spelt</t>
  </si>
  <si>
    <t>Other: Hay, Pasture, Spelt/Triricale/Peas, Corn, and Oats</t>
  </si>
  <si>
    <t>Other: *Corn, *Hay, *Alfalfa, *Oats, *Peas, *Pasture, *Soybeans, Barley, Camelina, Rye, Sorghum sudangrass, Triticale, Wheat</t>
  </si>
  <si>
    <t>Field/Forageable: Alfalfa, Bermuda Grass, Clover, Corn, Cow Peas, Pasture, Rye Grass, Sorghum Sudan Grass, Teff Grass, Vetch, Wheat, Wheat Straw</t>
  </si>
  <si>
    <t>Field/Forageable: Alfalfa, Corn, Grass, Hay, Pasture, Rye, Wheat</t>
  </si>
  <si>
    <t>Nursery/Starts/Flowers/Trees: Transplants; Fruit Vegetables: Tomatoes; Field/Forageable: Barley, Corn, Cover Crop, Pasture</t>
  </si>
  <si>
    <t>Other: *Alfalfa, *Hay, *Corn, *Pasture, *Peas, *Sorghum-sudangrass, *Soybeans, *Wheat</t>
  </si>
  <si>
    <t>Other: Alfalfa, hay, Corn, Oats, Pasture, Peas, Sorghum, Sorghum-sudangrass, Soybeans, Triticale, Wheat</t>
  </si>
  <si>
    <t>Tuber/Root Vegetables: Turnips (Forage Turnip); Seed/Pod Vegetables: Beans; Field/Forageable: Corn, Hay, Millet, Pasture, Rye, Silage (Corn Silage), Sorghum, Sorghum Sudan Grass, Spelt, Straw</t>
  </si>
  <si>
    <t>Other: Corn, Hay, Oats, Clover, Oats, Peas, Alfalfa, Pasture, Soybean, Triticale</t>
  </si>
  <si>
    <t>Tuber/Root Vegetables: Potatoes, Turnips; Field/Forageable: Alfalfa, Corn, Oats, Pasture, Spelt</t>
  </si>
  <si>
    <t>Other: Corn, Hay, Pasture, Rye, Soybeans</t>
  </si>
  <si>
    <t>Field/Forageable: Corn, Hay, Oats, Pasture, Triticale</t>
  </si>
  <si>
    <t>Other: Corn, Hay, Pasture, Soybeans, Triticale, Wheat</t>
  </si>
  <si>
    <t>Other: Barley, Corn, Hay, Oats, Pasture, Peas, Sorghum-sudangrass, Soybeans, Wheat</t>
  </si>
  <si>
    <t>Seed/Pod Vegetables: Peas (Cow pea); Leaf Vegetables: Chicory; Field/Forageable: Alfalfa, Clover, Corn, Grass (Bahia Grass), Grass (Bermuda Grass), Grass (Crab Grass), Hay, Hemp (Sunnhemp), Millet, Oats, Pasture, Rye, Ryegrass, Silage (Corn Silage), Sorghum, Soybeans, Sudan Grass</t>
  </si>
  <si>
    <t>Seed/Pod Vegetables: Corn (Ear Corn); Field/Forageable: Alfalfa, Barley, Clover, Corn, Hay, Oats, Pasture, Silage (Corn Silage), Sorghum Sudan Grass, Soybeans, Triticale, Vetch (Hairy Vetch), Wheat</t>
  </si>
  <si>
    <t>Other: Alfalfa; Barley; Chicory; Clover; Corn; Fescue; Hairy vetch; Hay; Kale; Millet; Oats; Pasture; Peas; Rye; Ryegrass; Sorghum-sudangrass; Sunflowers; Sweet Corn; Trefoil; Triticale; Wheat;</t>
  </si>
  <si>
    <t>Field/Forageable: Baled Grass Hay, Corn Silage, Corn Silage, Pasture</t>
  </si>
  <si>
    <t>Other: *Alfalfa, *Hay, *Oat, *Pasture, *Peas, *Rye, *Sorghum-sudangrass, *Sunflowers</t>
  </si>
  <si>
    <t>Field/Forageable: Hay (Hay/Haylage)</t>
  </si>
  <si>
    <t>Other: Corn, Hay, Alfalfa, Oats, Pasture, Woodland pasture</t>
  </si>
  <si>
    <t>Other: *Hay, *Alfalfa, *Oats, *Pasture, *Rye, *Sorghum, *Triticale</t>
  </si>
  <si>
    <t>Field/Forageable: grass baleage, Pasture</t>
  </si>
  <si>
    <t>Other: Alfalfa, Hay, Barley, Corn, Oats, Pasture, Sorghum Sudangrass, Triticale</t>
  </si>
  <si>
    <t>Other: Corn, Fallow, Fallow/Pasture, Hay, Pasture, Pasture/Hay, and Pasture/Woods, Produce including Apples, Asparagus, Blackberries, Blueberries, Corn, Elderberries, Garlic, Grapes, Potatoes, Raspberries, Rhubarb, and Strawberries, Woods, zCarryover Crops of 2022 Soybeans (roasted) - 2.5 tons</t>
  </si>
  <si>
    <t>Field/Forageable: Corn (Yellow), Hay, Oats, Pasture, Silage (Corn), Spelt, Straw</t>
  </si>
  <si>
    <t>Field/Forageable: Crops: Pasture, Hay</t>
  </si>
  <si>
    <t>Other: Carryover Crops of Hay - 2.5 tons, Corn, Cover Crops, Hay, Oats, Pasture, and Pasture/Hay</t>
  </si>
  <si>
    <t>Field/Forageable: Soybeans, Corn, Hay, Pasture</t>
  </si>
  <si>
    <t>Other: Corn (ear), Corn Silage, Hay, Pasture, Spelt, Woods/Sugar Bush, and Carryover Crop of 2022 Corn Silage-20 tons, Produce including Onions</t>
  </si>
  <si>
    <t>Other: Alfalfa, Barley, Corn, Oats, Peas, Pasture, Soybeans, Wheat</t>
  </si>
  <si>
    <t>Field/Forageable: Corn (Yellow &amp; Fodder), Hay, Pasture, Silage (Corn)</t>
  </si>
  <si>
    <t>Other: Alfalfa, Barley, Clover, Corn, Hay, Land, Oats, Pasture, Sorghum-sudangrass, Spelt, Turnips, Wheat, Woodland pasture</t>
  </si>
  <si>
    <t>Other: Hay, Pasture, Sorghum Sudangrass, Triticale</t>
  </si>
  <si>
    <t>Other: Apples, Hay, Pasture</t>
  </si>
  <si>
    <t>Field/Forageable: Corn, Hay, Pasture, Sorghum Sudan, Oats, Alfalfa</t>
  </si>
  <si>
    <t>Seed/Pod Vegetables: Corn; Field/Forageable: Corn, Hay, Pasture, Soybeans</t>
  </si>
  <si>
    <t>Tuber/Root Vegetables: Turnips; Field/Forageable: Corn, Hay, Oats, Pasture, Rye, Rye (Oat Straw), Sorghum Sudan Grass, Wheat</t>
  </si>
  <si>
    <t>Field/Forageable: Corn, Oats, Hay/Pasture</t>
  </si>
  <si>
    <t>Other: Hay, Pasture, Spelt</t>
  </si>
  <si>
    <t>Other: Corn, Hay, Oats, Pasture, Sorghum Sudan, Turnips</t>
  </si>
  <si>
    <t>Other: Alfalfa, hay, Corn, Oats, new seeding alfalfa, Pasture, Soybeans</t>
  </si>
  <si>
    <t>Other: Corn, Hay, Oats, Pasture, Rye, Soybeans, Triticale</t>
  </si>
  <si>
    <t>Field/Forageable: Pasture, Peas, Oats, Sorghum</t>
  </si>
  <si>
    <t>Field/Forageable: Hay (Grass Hay Mix), Pasture</t>
  </si>
  <si>
    <t>Other: Corn, Hay, Oats, Pasture, Peas, Rye, Soybeans</t>
  </si>
  <si>
    <t>Other: Carryover Crops of 2022 Corn*-800 bushels and 2022 Hay*-300 small bales, Corn*, Hay*, Oats*, and Pasture*</t>
  </si>
  <si>
    <t>Field/Forageable: Corn, Speltz, Pasture, Hay, Straw</t>
  </si>
  <si>
    <t>Other: Clover, Corn, Hay, Oats, Sorghum Sudan, Squash, Triticale, Winter Squash, Zucchini</t>
  </si>
  <si>
    <t>Field/Forageable: Hay, Pasture, Sudan, Corn</t>
  </si>
  <si>
    <t>Other: Corn, Forage Sorghum, Hay, Pasture, Ryegrass, Sorghum Sudan, Spelt</t>
  </si>
  <si>
    <t>Field/Forageable: Corn, Alfalfa, Pasture</t>
  </si>
  <si>
    <t>Tuber/Root Vegetables: Turnips; Seed/Pod Vegetables: Peas; Field/Forageable: Alfalfa, Corn, Hay, Oats, Pasture, Rye, Spelt, Straw, Sudan Grass, Triticale, Wheat</t>
  </si>
  <si>
    <t>Seed/Pod Vegetables: Beans, Beans (Pinto); Field/Forageable: Alfalfa, Corn, Hay, Oats, Pasture, Soybeans, Wheat</t>
  </si>
  <si>
    <t>Field/Forageable: Corn (Corn), Fallow (Fallow), Hay (Hay), Oats (Oats), Pasture (Pasture); Other: Mixed Vegetables</t>
  </si>
  <si>
    <t>Field/Forageable: Corn, Pasture/Hay</t>
  </si>
  <si>
    <t>Field/Forageable: Alfalfa, Hay, Pasture, Triticale</t>
  </si>
  <si>
    <t>Other: Barley, Corn, Hay, alfalfa, Millet, Oats, Pasture, Peas, Rape, Rye, Sorghum-sudangrass, Soybeans, Sudangrass, ryegrass, clover, Triticale</t>
  </si>
  <si>
    <t>Field/Forageable: Hay, Pasture, Corn, Silabe</t>
  </si>
  <si>
    <t>Other: Corn, Hay, Pasture, Soybeans, Triticale</t>
  </si>
  <si>
    <t>Other: Clover; Corn; Hay; Millet; Oats; Pasture; Ryegrass; Sorghum-sudangrass; Spelt;Cover crops: oats, turnips;</t>
  </si>
  <si>
    <t>Other: 2022 Carryover Crops: Corn*- 200 bushels, Hay*- 300 bales, Oats*- 200 bushels, and Straw*- 300 bales, Corn*, Hay*, Oats*, Pasture, and Wheat*</t>
  </si>
  <si>
    <t>Other: Hay, Pasture, Hay</t>
  </si>
  <si>
    <t>Field/Forageable: Alfalfa, Buckwheat, Corn, Hay, Pasture, Wheat, Wheat (Einkorn)</t>
  </si>
  <si>
    <t>Other: Corn, Hay, Oats; Sorghum-sudangrass; Soybeans; Spelt; Wheat, Pasture, Triticale, Triticale, peas</t>
  </si>
  <si>
    <t>Other: Alfalfa, Barley, Corn, Hay, Hay, pasture, Oats, Pasture, Peas, Rye, Sorghum-sudangrass, Soybeans, Spelt, Triticale, Wheat</t>
  </si>
  <si>
    <t>Seed/Pod Vegetables: Peas; Field/Forageable: Clover, Corn, Hay, Oats, Pasture, Spelt</t>
  </si>
  <si>
    <t>Field/Forageable: Corn Silage, Dry Grass Hay, Pasture, Wrapped Grass Bales</t>
  </si>
  <si>
    <t>Field/Forageable: Barley, Corn, Hay, Pasture</t>
  </si>
  <si>
    <t>Other: Carryover Crop of 2022 Corn Fodder-71 bales, Corn, Hay, Pasture, Rye/Alfalfa, Soybeans, Succotash (Oats, Wheat, Barley), Sudan Grass</t>
  </si>
  <si>
    <t>Field/Forageable: Corn, Hay, Pasture, Sorghum Sudan Grass, Spelt, Straw (Spelt Straw)</t>
  </si>
  <si>
    <t>Field/Forageable: Alfalfa, Corn, Hay, Pasture, Soybeans, Sudan Grass, Triticale, Wheat</t>
  </si>
  <si>
    <t>Other: Hay, Oats, Pasture, Sorghum Sudan</t>
  </si>
  <si>
    <t>Field/Forageable: Hay, Corn, Oats, Pasture</t>
  </si>
  <si>
    <t>Field/Forageable: Corn SIlage, Haylage, Pasture</t>
  </si>
  <si>
    <t>Other: Haylage, Pasture</t>
  </si>
  <si>
    <t>Field/Forageable: Pasture, Silage (Oat, Vetch &amp; Rye)</t>
  </si>
  <si>
    <t>Other: Balage (wrapped bales), Hay (dry square bales), Haylage, Other: Sorghum Sudan Grass, Pasture</t>
  </si>
  <si>
    <t>Other: Alfalfa, Corn, Hay, Oats, Sorghum, Pasture, Sorghum-sudangrass, Soybeans, Spelt, Oats, Hay, Triticale, Wheat</t>
  </si>
  <si>
    <t>Other: *Alfalfa, *oats, *clover, *Corn, *Hay, *Pasture, Fescue, Peas, Rye, Timothy, Triticale</t>
  </si>
  <si>
    <t>Other: *Millet, *Peas, *Soybeans (food grade), *Triticale, *Wheat, Corn, Hay, Oats, Alfalfa, Pasture, Sorghum Sudangrass, Soybeans</t>
  </si>
  <si>
    <t>Fruit - Pome: Apples; Fruit - Berries: Blueberries; Field/Forageable: Hay, Pasture, Rye, Rye (Winter), Sorghum, Sudan Grass</t>
  </si>
  <si>
    <t>Field/Forageable: Balage, Fallow, Hay, Pasture</t>
  </si>
  <si>
    <t>Other: Pasture, Hay</t>
  </si>
  <si>
    <t>Field/Forageable: Hay, Pasture, Rye, Ryegrass, Silage</t>
  </si>
  <si>
    <t>Field/Forageable: Alfalfa, Corn, Hay, Pasture, Sudan Grass</t>
  </si>
  <si>
    <t>Field/Forageable: Hay, Pasture, Corn, Oats, Peas</t>
  </si>
  <si>
    <t>Other: Corn, Hay, Oats, Pasture, Peas, Ryegrass, Soybeans</t>
  </si>
  <si>
    <t>Field/Forageable: Balage, Corn, Hay, Pasture, Silage (Corn Silage), Sorghum Sudan Grass, Spelt, Teff, Triticale</t>
  </si>
  <si>
    <t>Field/Forageable: Alfalfa, Clover, Hay, Oats, Pasture</t>
  </si>
  <si>
    <t>Field/Forageable: Alfalfa, Clover, Corn, Grass, Hay, Oats, Pasture, Pearl Millet, Spelt, Straw</t>
  </si>
  <si>
    <t>Field/Forageable: Corn, Hay, Pasture, Rye</t>
  </si>
  <si>
    <t>Seed/Pod Vegetables: Green Beans; Fruit Vegetables: Squash (Summer); Field/Forageable: Corn (Yellow), Hay, Oats, Pasture, Silage (Corn), Straw</t>
  </si>
  <si>
    <t>Other: #Processing, handling, packaging, and distribution of Maple Syrup, *Corn, *Hay, *Alfalfa, *Land, *Oats, *Pasture</t>
  </si>
  <si>
    <t>Field/Forageable: Barley, Corn, Hay, Millet, Oats, Pasture, Spelt, Triticale</t>
  </si>
  <si>
    <t>Tuber/Root Vegetables: Turnips; Seed/Pod Vegetables: Peas; Field/Forageable: Corn, Hay, Oats, Pasture, Rye (Cereal Rye), Ryegrass, Soybeans, Sudan Grass, Triticale</t>
  </si>
  <si>
    <t>Field/Forageable: Corn, Hay, Pasture, Oats, Sudan</t>
  </si>
  <si>
    <t>Other: Carryover Crops of 2022-2023 Corn* (ear)-400 bushels, 2023 Corn* Stover-4 tons, 2023 Hay*-20 tons, 2022 Haylage*-4 tons, 2023 Oats*-300 bushels, 2023 Soybeans*-30 bushels, and 2023 Straw*-5 tons, Corn*, Garlic*, Hay*, Oats*, Pasture*, Pasture/Hay*, Pasture/Sorghum*, Rhubarb*, Soybeans*, Sweet Corn*, Woods*</t>
  </si>
  <si>
    <t>Other: Alfalfa; Clover; Corn; Hay; Oats; Pasture; Rye; Cover crops: radishes, rapeseed; turnips;</t>
  </si>
  <si>
    <t>Field/Forageable: Hay, Pasture, Corn, Sorghum, Sudan Grass</t>
  </si>
  <si>
    <t>Field/Forageable: Clover, Corn, Hay, Pasture</t>
  </si>
  <si>
    <t>Field/Forageable: Balage, Corn, Fallow, Hay, Oats, Pasture, Sorghum Sudan Grass, Soybeans, Spelt, Wheat (Winter Wheat)</t>
  </si>
  <si>
    <t>Other: Barley, Corn, Hay, Hay, Millet, Pasture, Peas, Rye, Sorghum, Soybeans, Wheat</t>
  </si>
  <si>
    <t>Other: Alfalfa, Barley, Corn, Hay, Oats, Pasture, Rye, Sorghum Sudangrass, Soybeans, Spelt, Triticale, Wooded Pasture</t>
  </si>
  <si>
    <t>Other: *Corn, *Fallow, *Hay, *Oats, *Pasture, *Woodland pasture, Peas, Sudangrass, Triticale</t>
  </si>
  <si>
    <t>Other: Barley, Corn , Hay, Pasture, Rye, and Sweet Corn, Carryover Crops of 2021 Corn Silage-200 tons, 2021 Hay-200 large square bales, 2021 Sorghum-80 round bales, 2021 Soybean Silage-40 round bales, 2021 Straw-10 large square bales, and 2021 Straw/Hay-50 round bales</t>
  </si>
  <si>
    <t>Other: Barley, Corn, Hay, Hay, Pasture, Millet, Oats, Pasture, Peas, Rye, Rye, Sorghum Sudangrass, Hay, Soybeans, Succotash, Triticale, Vetch, Wheat</t>
  </si>
  <si>
    <t>Other: Corn, Hay, Oats, peas, new seeding, Pasture, Soybeans, Triticale</t>
  </si>
  <si>
    <t>Field/Forageable: Corn, Fallow, Hay, Pasture; Other: Millet; Orchardgrass; Peas; Radish; Rye; Timothy, Oats, alfalfa</t>
  </si>
  <si>
    <t>Other: Corn, Fallow, Hay, Oats, Pasture, Peas, Rye, Sorghum Sudan, Soybeans</t>
  </si>
  <si>
    <t>Other: Barley, Hay, Pasture, Sudan Grass</t>
  </si>
  <si>
    <t>Seed/Pod Vegetables: Soybeans; Field/Forageable: Corn (Yellow), Hay, Oats, Pasture, Straw</t>
  </si>
  <si>
    <t>Seed/Pod Vegetables: Peas, Peas (Field); Field/Forageable: Alfalfa, Corn, Hay, Pasture, Triticale</t>
  </si>
  <si>
    <t>Other: Balage (wrapped bales), Corn silage, Hay (dry round bales), Hay (dry square bales), Haylage, Pasture</t>
  </si>
  <si>
    <t>Other: Annual Seedlings, Corn, Hay, Oats, Pasture, Produce including Kale and Tomatoes</t>
  </si>
  <si>
    <t>Other: Alfalfa, Hay, Corn, Oats, Pasture, Triticale, Peas, Wheat</t>
  </si>
  <si>
    <t>Field/Forageable: Corn, Hay, Millet, Pasture, Rye, Sorghum Sudan Grass, Spelt</t>
  </si>
  <si>
    <t>Other: Corn,*  Hay, and Oats, Pasture, Woods/Sugar Bush/Pasture</t>
  </si>
  <si>
    <t>Field/Forageable: Sudan Grass, Corn, Hay, Pasture</t>
  </si>
  <si>
    <t>Field/Forageable: Alfalfa Hay, Alfalfa Silage, Corn Silage, Grass Silage, Hay, Round Bales, Pasture, Triticale</t>
  </si>
  <si>
    <t>Tuber/Root Vegetables: Potatoes, Sweet Potatoes; Seed/Pod Vegetables: Beans, Corn, Corn; Fruit Vegetables: Squash; Field/Forageable: All other grains, Barley, Corn, mixed hay, Oats, Pasture, Wheat</t>
  </si>
  <si>
    <t>Field/Forageable: Corn (Yellow), Hay, Oats, Pasture, Silage (Corn), Sudan Grass</t>
  </si>
  <si>
    <t>Field/Forageable: Pasture, Silage, Triticale</t>
  </si>
  <si>
    <t>Field/Forageable: Hay, Pasture, Sorghum Sudan Grass, Triticale</t>
  </si>
  <si>
    <t>Other: Alfalfa; Barley; Corn; CRP; Hay; Land; Oats; Pasture; Rye; Sorghum; Soybeans; Sudangrass;</t>
  </si>
  <si>
    <t>Other: Alfalfa, Hay, Alfalfa, oats, Barley, Corn, Hay, Oats, Pasture, Peas, Soybeans, Sudangrass, Sweet corn, Triticale</t>
  </si>
  <si>
    <t>Other: *Hay, *Pasture, *Vegetables: asparagus, *carrots, *cucumbers, *garlic, *horseradish, *onions, *peas, *peppers, *potatoes, *sweet corn, *tomatoes, * Fruits: apples, *blackberries, *blueberries, *cranberries, *cherries, *currants, *elderberries, *grapes, *raspberries, *strawberries, *Herbs: basil, *chives, *rosemary, *wormwood.</t>
  </si>
  <si>
    <t>Field/Forageable: Hay, Oatlage, Pasture</t>
  </si>
  <si>
    <t>Other: Balage (wrapped bales), Balage (wrapped bales), Maple Sap (Unconcentrated), Pasture</t>
  </si>
  <si>
    <t>Other: Alfalfa, Barley, Corn, Fallow, Hay, Oats, Pasture, Rye, Sorghum Sudangrass, Soybeans, Sunflowers, Triticale, Wheat</t>
  </si>
  <si>
    <t>Field/Forageable: Hay, Oats, Pasture, Rye, Ryegrass, Silage; Other: Custom Grazing of Animals</t>
  </si>
  <si>
    <t>Other: *Corn, Fallow, Hay, Pasture, and *Soybeans, Carryover Crops: 2022 Corn-50 bushels</t>
  </si>
  <si>
    <t>Field/Forageable: Alfalfa, Corn, Corn (Sweet Corn), Pasture, Sudan Grass</t>
  </si>
  <si>
    <t>Other: Alfalfa, Hay, Corn, Land, Oats, Pasture, Peas, Oats</t>
  </si>
  <si>
    <t>Field/Forageable: Hay, Pasture, Silage (Yellow corn)</t>
  </si>
  <si>
    <t>Field/Forageable: grass/legume baleage, Pasture</t>
  </si>
  <si>
    <t>Field/Forageable: Hay, Haylage, Pasture, Silage</t>
  </si>
  <si>
    <t>Seed/Pod Vegetables: Beans (String); Field/Forageable: Hay, Pasture</t>
  </si>
  <si>
    <t>Field/Forageable: All other hay, grass hay, Pasture</t>
  </si>
  <si>
    <t>Other: Pasture;Vegetables: asparagus, broccoli, cabbage, cucumbers, garlic, onions, peas, potatoes, radishes, sweet corn, sweet potatoes, turnips, winter squash;Fruits: cantaloupe, strawberries, watermelon;Cover crops: buckwheat, oats, rye, sudangrass, wheat;Greenhouse production of transplants for on-farm use;</t>
  </si>
  <si>
    <t>Other: Alfalfa; Barley; Clover; Corn; Hay; Oats; Pasture; Reed canary grass;</t>
  </si>
  <si>
    <t>Other: Corn, Hay, Oats, Pasture, Peas, Soybeans, Sudangrass, Triticale, Wheat</t>
  </si>
  <si>
    <t>Field/Forageable: Corn, Hay, Pasture, Spelt, Straw</t>
  </si>
  <si>
    <t>Other: Alfalfa, Barley, Buckwheat, Corn, Forage Kale, Hay, Hay, Pasture, Land, Millet, Oats, Pasture, Rye, Sorghum-sudangrass, Soybeans, Sweet Corn, Sunflowers, Triticale</t>
  </si>
  <si>
    <t>Other: Corn, Hay, Alfafa, Land, Oats, Pasture, Peas, Rye, Sorghum-sudangrass, Soybeans, Triticale, Wheat</t>
  </si>
  <si>
    <t>Seed/Pod Vegetables: Peas (Forage Peas); Field/Forageable: Alfalfa (Alfalfa), Corn (Corn), Oats (Oats), Pasture (Pasture), Soybeans (Soybeans)</t>
  </si>
  <si>
    <t>Field/Forageable: Clover, Corn, Field Crop (Forage Peas), Hay, Pasture, Triticale</t>
  </si>
  <si>
    <t>Field/Forageable: Alfalfa, Barley, Corn, Grass, Hay, Pasture, Soybeans, Triticale</t>
  </si>
  <si>
    <t>Field/Forageable: Buckwheat, Hay, Pasture, Sorghum Sudan Grass, Soybeans</t>
  </si>
  <si>
    <t>Other: *Pasture, *Hay, *Woodland Pasture</t>
  </si>
  <si>
    <t>Other: Alfalfa;Clover;Corn; Hay; Oats; Pasture; Peas; Sorghum-sudangrass;Soybeans;Timothy; Triticale; Woods;</t>
  </si>
  <si>
    <t>Field/Forageable: Corn, Hay, Pasture, Triticale</t>
  </si>
  <si>
    <t>Other: Forage, Hay</t>
  </si>
  <si>
    <t>Other: Barley, Cereal Rye, Corn, Hay, Pasture</t>
  </si>
  <si>
    <t>Other: Barley, Corn, Hay, Oats, Alfalfa, Pasture, Spelt, Sudangrass, Vegetables: beets, cabbage, cucumbers, kale, peppers, winter squash</t>
  </si>
  <si>
    <t>Other: Agave, Blackberry, Blueberry, Chia, Fig, Lemon, Mango, Pitaya, Strawberry, WHITE CORN, Xoconostle, YELLOW CORN</t>
  </si>
  <si>
    <t>Field/Forageable: Pasture, Hay, Corn, Oats, Spelt, Straw</t>
  </si>
  <si>
    <t>Fruit Vegetables: Tomatoes; Field/Forageable: Corn, Hay, Pasture, Soybeans, Straw, Wheat</t>
  </si>
  <si>
    <t>Other: Alfalfa, Corn, Hay, Oats, peas, Pasture, Triticale, Wheat, Sorghum Sudan</t>
  </si>
  <si>
    <t>Other: Hay (dry square bales), Haylage, Maple Sap (Unconcentrated), Pasture</t>
  </si>
  <si>
    <t>Other: Corn, Forage, Forage sorghum, Grass, other, Hay, Rye grass</t>
  </si>
  <si>
    <t>Field/Forageable: Dry Hay and Haylage (Alfalfa, Grass/Legume), Pasture (Grass/Legume)</t>
  </si>
  <si>
    <t>Other: Barley, Corn, Forage Turnips, Hay, alfalfa, Oats, Pasture, hay, Peas, Ryegrass, fescue, chicory, clover, Sorghum-sudangrass, Sudangrass, Tritcale, Wheat, rye, radishes</t>
  </si>
  <si>
    <t>Field/Forageable: Corn, Hay, Pasture, Barley, Straw</t>
  </si>
  <si>
    <t>Field/Forageable: Corn, Hay, Pasture, Rye/Hay</t>
  </si>
  <si>
    <t>Field/Forageable: Barley, Corn, Hay, Pasture, Silage (Corn Silage), Sorghum, Soybeans, Spelt, Straw (Barley Straw), Straw (Spelt Straw), Sudan Grass, Wheat</t>
  </si>
  <si>
    <t>Field/Forageable: Hay (Hay), Oats (Oats), Pasture (Pasture), Rye (Rye), Sudan Grass (Sudan Grass)</t>
  </si>
  <si>
    <t>Other: Corn, Hay, Onions, Pasture, Soybeans</t>
  </si>
  <si>
    <t>Stem Vegetables: Asparagus; Seed/Pod Vegetables: Peas, Peas (Peas); Field/Forageable: Alfalfa, Clover, Corn, Hay, Oats, Pasture, Soybeans, Spelt, Triticale</t>
  </si>
  <si>
    <t>Other: Alfalfa, Barley, Barley/Alfalfa, Corn, Hay, Pasture, Rye, Rye/Soybeans, Rye/Triticale, and Woods</t>
  </si>
  <si>
    <t>Other: 2022 Carryover Crops of Corn - 650 bushels, Corn Silage - 5 tons, Hay - 200 small square bales, and Hay Baleage - 18 bales, Corn, Hay/Pasture, and Pasture, Pasture/Woods</t>
  </si>
  <si>
    <t>Other: Barley, Pasture, Corn, Hay, Pasture, Alfalfa, Rye, Soybeans</t>
  </si>
  <si>
    <t>Field/Forageable: Baleage, Hay, Pasture</t>
  </si>
  <si>
    <t>Other: Baleage, Fruits, Hay, Maple Sugarbush, Pasture, and Vegetables: apples, asparagus, beans - green, beans - wax, beets, blackberries, broccoli, brussels sprouts, cabbage, carrots, cauliflower, celery, cherries, cranberries, cucumbers, currants, garlic, grapes, greens mix, horseradish, lettuce - heads, lettuce – mix, melons, onions, peaches, peas, pears, peppers, plums, potatoes, radishes, raspberries, spinach, squash - summer, squash – winter, strawberries, tomatoes Herbs: chives, dill, mints</t>
  </si>
  <si>
    <t>Other: Corn, Hay, Oats, Alfalfa(new seeding), Pasture, Soybeans</t>
  </si>
  <si>
    <t>Other: *Alfalfa, *Barley, *Forage Brassica, *Oats, *Oats, *Hay, *Peas, *Soybeans, *Triticale, *Wheat, Clover, Ryegrass, Sorghum Sudangrass, Hairy Vetch, Corn, Hay, Pasture, Soybeans</t>
  </si>
  <si>
    <t>Field/Forageable: Hay, Pasture, Spelt (Forage), Sudan Grass</t>
  </si>
  <si>
    <t>Tuber/Root Vegetables: Potatoes; Nursery/Starts/Flowers/Trees: fruit trees; Field/Forageable: All other grains, mixed hay, Pasture; Other: Other</t>
  </si>
  <si>
    <t>Tuber/Root Vegetables: Turnips (Forage Turnip); Seed/Pod Vegetables: Corn (Ear Corn), Peas (Cow pea); Field/Forageable: Alfalfa, Clover, Festulolium, Grass (Fescue), Grass (Orchard Grass), Hay, Millet, Oats, Pasture, Rye, Silage (Corn Silage), Sorghum Sudan Grass, Teff</t>
  </si>
  <si>
    <t>Fruit Vegetables: Squash; Field/Forageable: Corn, Hay, Pasture</t>
  </si>
  <si>
    <t>Field/Forageable: Butternut Squash, Sorghum Sudan, Corn, Hay, Pasture</t>
  </si>
  <si>
    <t>Other: Alfalfa, Corn, Oats, Pasture, Pasture, Hay, Peas, Rye, teft grass, Sorghum Sudangrass, Spelt, Millet, Triticale</t>
  </si>
  <si>
    <t>Field/Forageable: Corn, Hay, Oats, Pasture, Soybeans, Spelt, Straw</t>
  </si>
  <si>
    <t>Other: Hay, Permanent meadow</t>
  </si>
  <si>
    <t>Other: Hay, Alfalfa, Pasture</t>
  </si>
  <si>
    <t>Other: Pasture, Wooded pasture</t>
  </si>
  <si>
    <t>Field/Forageable: Clover, Hay, Pasture, Triticale</t>
  </si>
  <si>
    <t>Field/Forageable: Alfalfa Hay, Corn Silage, Hay, Haylage, Oats, Pasture</t>
  </si>
  <si>
    <t>Other: Barley, Hay, Pasture, and Straw</t>
  </si>
  <si>
    <t>Other: Alfalfa, Hay, Corn, Oats, Pasture, Peas, Wheat</t>
  </si>
  <si>
    <t>Other: *Barley, *Corn, *Hay, *Pasture, *Peas, *Oats, *Alfalfa, *Peas, *Oats, *Soybean, *Milo, *Peas, *Oats, *Soybean, *Milo, *Alfalfa, *Sorghum-sudangrass, *Triticale, *Wheat, Sweet Corn</t>
  </si>
  <si>
    <t>Other: Alfalfa, Hay, Barley, Black Beans, Corn, Garlic, Kidney Beans, Oats, Pasture, Peas, Pinto Beans, Popcorn, Rye, Sorghum Sudan Grass, Soybeans, Sunflowers, Triticale, Wheat</t>
  </si>
  <si>
    <t>Other: Hay and Pasture, Alfalfa, Corn, Peas, Rye, Soybeans, Spelt, Wheat</t>
  </si>
  <si>
    <t>Other: *Hay, *Hay, *pasture, *Pasture, *Woodland pasture</t>
  </si>
  <si>
    <t>Field/Forageable: Hay, Pasture, Silage (Corn), Straw, Sudan Grass, Triticale</t>
  </si>
  <si>
    <t>Other: Barley, Corn, Hay, Alfalfa, Pasture, Oats, Pasture, Wheat</t>
  </si>
  <si>
    <t>Field/Forageable: Hay, Pasture, Silage (Corn Silage)</t>
  </si>
  <si>
    <t>Field/Forageable: Pasture, Hay, Sorghum, Triticale</t>
  </si>
  <si>
    <t>Other: *Alfalfa, *Hay, *Hay, *Pasture, *Oat, *Pasture, *Peas, *Sorghum Sudangrass, *Spelt, *Spelt, *Triticale, *Turnips</t>
  </si>
  <si>
    <t>Field/Forageable: Alfalfa, Clover, Corn, Hay, Oats, Pasture, Rye, Soybeans, Spelt, Triticale, Wheat</t>
  </si>
  <si>
    <t>Other: Alfalfa, Hay, Corn, Land, Oats, Pasture, Peas, Sudangrass</t>
  </si>
  <si>
    <t>Other: Alfalfa, Corn, Hay, Oats, Pasture, Peas, Soybeans, Spelt</t>
  </si>
  <si>
    <t>Other: *Alfalfa, *hay, *Oats, *Pasture, *Sorghum, *Sorghum-sudangrass, *Soybeans, *Soybeans, *rye, *Sudangrass, Corn</t>
  </si>
  <si>
    <t>Field/Forageable: Corn (Corn), Fallow (Fallow), Hay (Hay), Pasture (Pasture); Other: Other</t>
  </si>
  <si>
    <t>Field/Forageable: Clover, Corn, Field Crop, Hay, Pasture, Silage</t>
  </si>
  <si>
    <t>Other: Corn*, Hay*, Oats*, Pasture*, Soybeans*</t>
  </si>
  <si>
    <t>Other: Blueberries, Corn, Grapes, Hay, Oats, Pasture, Pears, Rhubarb, Rye, Walnuts</t>
  </si>
  <si>
    <t>Other: Alfalfa; Barley;Black Beans (food grade);Blue Corn; Clover; Corn; Flax; Hay; Kidney Beans; Pasture; Peas; Oats; Rye, Sorghum; Soybeans; Triticale; Wheat;Cover crops: rye, triticale;</t>
  </si>
  <si>
    <t>Field/Forageable: Grass, Pasture</t>
  </si>
  <si>
    <t>Other: Corn, Hay, Oats/Peas, and Pasture</t>
  </si>
  <si>
    <t>Field/Forageable: Clover, Grass, Hay, Pasture</t>
  </si>
  <si>
    <t>Seed/Pod Vegetables: Peas; Field/Forageable: Corn, Hay, Oats, Pasture, Sorghum Sudan Grass, Soybeans, Triticale</t>
  </si>
  <si>
    <t>Other: Alfalfa, Barley, Corn, Hay, Oats, Pasture, Soybeans, Wheat</t>
  </si>
  <si>
    <t>Other: Barley, Black beans, Corn, Green beans (food grade), Hay, Alfafla, Pasture, Peas, Rye, Sorghum Sudangrass, Soybeans, Triticale</t>
  </si>
  <si>
    <t>Other: Alfalfa;Cabbage; Chicory;Clover; Corn; Fescue; Festolium; Hay; Kale; Oats; Pasture; Peas; Plantain;Radishes;Rape; Rye; Ryegrass;Sorghum-sudangrass;Soybeans; Timothy; Triticale; Turnip; Wheat;</t>
  </si>
  <si>
    <t>Other: Barley, Corn, Hay, Milo, Oats, Pasture, Peas, Rye, Sorghum Sudangrass, Soybeans, Triticale, Wheat</t>
  </si>
  <si>
    <t>Other: Corn, Hay, Oats/Hay, and Soybeans, Pasture, and Pasture/Woods, z Carryover Crops of 2022 and 2023 Corn (ear) - 2,600 bushels, and 2022 Soybeans - 1,200 bushels</t>
  </si>
  <si>
    <t>Field/Forageable: Clover (Clover), Corn (Sweet corn), Hay (Hay), Oats (Oats), Pasture (Pasture)</t>
  </si>
  <si>
    <t>Field/Forageable: grass hay, mixed hay, Pasture</t>
  </si>
  <si>
    <t>Field/Forageable: Balage, Corn (Yellow), Hay, Pasture</t>
  </si>
  <si>
    <t>Other: Alfalfa, hay, Corn, Millet, Oats, Pasture, Rye, Sudangrass, Wheat, new seeding</t>
  </si>
  <si>
    <t>Other: #Packaging, freezing, and distribution of fruit - 'Organic': elderberries, #Processing, grinding, and distribution of on-farm grain- 'Organic': Corn, *Corn, *Elderberries, *Garlic, *Hay, *Pasture, *Wheat</t>
  </si>
  <si>
    <t>Other: Alfalfa, Corn, Oats/Alfalfa, Pasture, Soybeans, Carryover Crops of 2023 Corn-600 bushels, 2023 Hay-80 large square bales, 2022/2023 Oats-1,000 bushels, 2023 Soybeans-1,000 bushels</t>
  </si>
  <si>
    <t>Other: Alfalfa; Corn; Hay; Oats; Pasture; Sorghum-Sudangrass;Vegetables: Brussels sprouts; cabbage;Greenhouse production of transplants for on-farm use and sale;</t>
  </si>
  <si>
    <t>Tuber/Root Vegetables: Beets, Carrots, Cassava, Corama, Garlic, Lotus Root (Lotus), Onions; Stem Vegetables: Bamboo; Seed/Pod Vegetables: Chia, Flaxseed, Golden flaxseed, Okra; Sea Vegetables: Sea Vegetables (Gracilaria), Sea Vegetables (Kappaphycus); Nuts: Almonds, Cashew Nuts (Cashew), Chestnuts (Brazil chestnut), Jojoba, Lucuma, Nuts (Sacha Inchi), Shea Butter Nut (Shea butter); Nursery/Starts/Flowers/Trees: Aechmea, Flowers (Arnica), Flowers (Caliopsis), Flowers (Capuchinha), Flowers (Bati), Flowers (Daisy), Flowers (Desert flower), Flowers (Egypt geranium), Flowers (Boa noite), Flowers (Jasmine), Flowers (Lippia de Guine catch), Flowers (Orchid), Flowers (Amor Peifeito), Flowers (Petunia), Flowers (Primrose), Flowers (Senegal orchid), Flowers (Violet), Roses, Roses (Cumaru), Trees (Cypress), Trees (Brazil wood), Trees (Cacay), Trees (Eucalyptus Citriodora), Trees (Globulus eucalyptus), Trees (Carnauba), Trees (Cedar), Trees (Copaiba), Trees (Aroeira), Trees (Baobab), Trees (Argan), Trees (Sandalwood), Trees (Sapucaia), Trees (Purple Ipe), Trees (Quixabeira), Trees (Yellow Ipe), Trees (Sequoia), Trees (Ucuuba), Trees (Pine), Trees (Mufumbo); Leaf Vegetables: Lettuce, Spinach, Watercress; Herbs/Spices: Anador, Anise, Astragalus, Basil, Boldo, Burdock, Calendula, Camomile, Camphor, Cardamom, Catuaba, Centella asiatica, Cinnamon, Cinnamon (Cinnamon from the hinterland), Citronella, Clove, Comfrey, Coriander, Curry, Dandelion, Dill, Fennel, Ginger, Ginseng (Brazilian ginseng (pfaffia glamerata/paniculata)), Herbs (Dipyrone), Herbs (Damiana), Herbs (Guaco), Herbs (Hammamelis), Herbs (Hena), Herbs (Hibiscus), Herbs (Holy Grass), Herbs (Honeysuckle), Herbs (Horsetail), Herbs (Inaja), Herbs (Jaborandi), Herbs (Jambu), Herbs (Jua), Herbs (Juca), Herbs (Jurema), Herbs (Jurubeba), Herbs (Malice), Herbs (Mallow), Herbs (Mandacaru), Herbs (Mari mari), Lavender, Lavender (Lavender Mont Blanc), Lemon Balm, Lemon Grass, Lemon Grass (Lemongrass from India), Licorice, Loya, Melaleuca, Melissa, Mint, Monk's crown, Moringa, Mulateiro, Mulungu, Murumuru, Myrrh, Olibanum, Parsley, Peppermint, Peppermint (Peppermint spicata), Puxuri, Rosehip, Rosemary, Rosemary (Spicy rosemary), Sage, Senna, Sertão geranium, Sesame (White sesame), Shealoe, Smooth parsley, Star of Namibia, Sugercane, Sunflowers, Swallow herb, Sweet birch, Thousand leaves, Thyme (White thyme), Turmeric, Vanilla, Velame, Verbena, White nettle; Fruit Vegetables: Amla, Bell pepper, Cucumbers, Peppers (Chili pepper), Peppers (Black pepper), Tomatoes (Cherry tomato); Fruit - Tropical Fruits: Avocados, Bananas, Coconuts, Jackfruits, Kiwis, Mangos, Neems, Passionfruits, Pineapples, Pomegranates, Tropical Fruits (Sapodilla), Tropical Fruits (Soursop), Tropical Fruits (Tamarind), Tropical Fruits (Tucum), Tropical Fruits (Tucuma), Tropical Fruits (Umbu), Tropical Fruits (Pataua), Tropical Fruits (Pequi), Tropical Fruits (Pitanga), Tropical Fruits (Pitaya), Tropical Fruits (Marula), Tropical Fruits (Murici), Tropical Fruits (Litchi), Tropical Fruits (Mangaba), Tropical Fruits (Jamelao), Tropical Fruits (Jenipapo), Tropical Fruits (Buriti), Tropical Fruits (Camapu), Tropical Fruits (Cupuacu), Tropical Fruits (Custard apple), Tropical Fruits (Guarana), Tropical Fruits (Jabuticaba), Tropical Fruits (Babassu), Tropical Fruits (Bacaba), Tropical Fruits (Bacuri); Fruit - Stone: Acerolas, African Pygeum, Cherries (Cherry), Olives, Peaches, Plums (Red plum), Wild Apricot; Fruit - Pome: Apples, Prickly Pears (Opuntia), Quinces; Fruit - Melons: Melons (St. Kitts Melon), Watermelons; Fruit - Citrus Fruits: Grapefruits, Guavas, Lemons, Lucuma, Mandarins, Mangosteen, Oranges, Tangerines, Tangerines (Bergamota); Fruit - Berries: Acai Berries, Blackberries, Blueberries, Goji Berries, Grapes (Purple grape), Grapes (Bordeaux grape), Grapes (Austrian red grape), Grapes (Beaujoulais grape), Raspberries, Strawberries; Field/Forageable: Agave, Aloe Vera, Amaranth, Cacao, Castor bean, Clover (Red clover), Coffee, Corn, Cotton, Oats, Palm, Palm (Palm oil), Papyrus, Quinoa, Rosewood, Safflower, Sesame (Black Sesame), Sisal, Soybeans, Star grass, Tea (Green tea), Vetiver, Wheatgerm, White angico, Yerba Mate; Other: Carnivorous plant, Clitoria, Congo anubias, Gingham, Pracaxi, Spirulina, Tamanu, White resin, Xanana</t>
  </si>
  <si>
    <t>Other: Carryover Crops of 2022 Corn-500 bushels and 2022 Straw-700 small square bales, Corn, Hay, Pasture, and Soybeans</t>
  </si>
  <si>
    <t>Field/Forageable: Corn (Yellow), Pasture</t>
  </si>
  <si>
    <t>Other: *Alfalfa, *Barley, *Clover, *Oats, *Peas, *Ryegrass, *Vetch, *Hay, *Land, *Pasture, *Peas, *Oats, *Soybeans, *Triticale, *Wheat, Corn</t>
  </si>
  <si>
    <t>Other: Alfalfa, Hay, Barley, Corn, Garlic, Pasture, Rye, Sorghum sudan</t>
  </si>
  <si>
    <t>Field/Forageable: Corn, Hay, Pasture, Silage, Soybeans</t>
  </si>
  <si>
    <t>Field/Forageable: Hay, Pasture, Sudan Grass (Hay)</t>
  </si>
  <si>
    <t>Other: Alfalfa, Barley, Peas, Alfalfa, Corn, Hay, Hay, Pasture, Pasture, Sorghum-sudangrass, Soybean</t>
  </si>
  <si>
    <t>Other: Alfalfa; Barley; Clover; Corn; Garlic; Hay; Land; Oats; Pasture; Peas; Rye; Sorghum-sudangrass; Soybeans; Triticale; Wheat; Yellow Field Peas (food grade);*Nuts: black walnuts;</t>
  </si>
  <si>
    <t>Other: Hay (dry square bales), Pasture</t>
  </si>
  <si>
    <t>Other: Balage (wrapped bales), Hay (dry round bales), Hay (dry square bales), Other: Winter Rye, Pasture, Soybeans</t>
  </si>
  <si>
    <t>Other: Balage (wrapped bales), Hay (dry round bales), Haylage</t>
  </si>
  <si>
    <t>Other: Balage (wrapped bales), Hay (dry square bales), Pasture, Potatoes</t>
  </si>
  <si>
    <t>Other: Anise Hyssop, Apples, Aroniaberries, Basil, Basil, Sweet Genovese, Basil, Thai, Beans, green, Beet greens, Beets, Blueberries, Broccoli, Cabbage, green, Cabbage, red, Calendula Flower, Carrots, Chives, Chives, garlic, Comfrey Root, Cucumber, Currants, Dandelion Root, Dill, Echinacea Root, Echinacea Tops, Flowers, cut, Garlic, Garlic Bulbs, Greens, salad mixes, Hay (dry square bales), Hyssop, Jerusalem artichoke, Kale, Lavender, Mint, Onions, Oregano, Other: Honey Berries, Pasture, Pears, Peas, shell, Peas, snap, Peppermint Leaf, Peppers (hot), Peppers (sweet), Popcorn, Potatoes, Red Clover Blossom, Rhubarb, Romanesco, Rosemary, Sage, Spinach, Squash (summer), Squash (winter), Sweet corn, Sweet potato, Swiss chard, Thyme, Tomatoes (field), Tomatoes (greenhouse)</t>
  </si>
  <si>
    <t>Other: Balage (wrapped bales), Hay (dry round bales), Hay (dry square bales), Millet, Pasture</t>
  </si>
  <si>
    <t>Other: Balage (wrapped bales), Hay (dry round bales), Hay (dry square bales)</t>
  </si>
  <si>
    <t>Other: Balage (wrapped bales), Hay (dry square bales), Other: Hay Large Squares, Pasture</t>
  </si>
  <si>
    <t>Other: Hay (dry round bales), Hay (dry square bales), Pasture</t>
  </si>
  <si>
    <t>Other: : mixed cover crop forage, Balage (wrapped bales), Hay (dry round bales), Hay (dry square bales), Haylage, Pasture</t>
  </si>
  <si>
    <t>Other: Balage (wrapped bales), Basil, Dill, Hay (dry round bales), Hay (dry square bales), Pasture, Raspberries, Salad mix, Strawberries, Tomatoes (greenhouse)</t>
  </si>
  <si>
    <t>Other: : Triticale, Balage (wrapped bales), Corn, Hay (dry round bales), Haylage, Oats, Pasture, Soybeans, Straw, Triticale</t>
  </si>
  <si>
    <t>Other: Hay (dry round bales), Pasture</t>
  </si>
  <si>
    <t>Other: Corn silage, Hay (dry round bales), Pasture</t>
  </si>
  <si>
    <t>Field/Forageable: Corn, Fallow, Hay &amp; Pasture, Millet, Pasture, Pasture, Sorghum, Sudan Grass, Triticale, Wheat</t>
  </si>
  <si>
    <t>Fruit - Tropical Fruits: Coconuts (Coconut fruit)</t>
  </si>
  <si>
    <t>Fruit Vegetables: Leaf Vegetables (Slatri Leaf); Fruit - Tropical Fruits: Coconuts (Coconut Fruit), Jackfruits (Jackfruit); Fruit - Citrus Fruits: Mangosteen (Mangosteen); Other: Coconut Sap</t>
  </si>
  <si>
    <t>Fruit Vegetables: Leaf Vegetables (Slatri Bark); Fruit - Tropical Fruits: Coconuts (Coconut), Jackfruits (Jackfruit Bark); Fruit - Citrus Fruits: Mangosteen (Mangosteen Bark); Other: Coconut Sap</t>
  </si>
  <si>
    <t>Fruit - Tropical Fruits: Coconuts (Coconuts), Mangosteen (Mangosteen); Other: Coconut nectar</t>
  </si>
  <si>
    <t>Field/Forageable: Coconuts (Coconut Fruit)</t>
  </si>
  <si>
    <t>Other: Barley, Corn, Corn, Triticale, Hay, Oats, Pasture, Peas, Rye, Triticale, Wheat</t>
  </si>
  <si>
    <t>Seed/Pod Vegetables: Soybeans; Field/Forageable: Balage (Barley), Barley, Hay, Pasture, Sudan Grass</t>
  </si>
  <si>
    <t>Other: Corn silage, Haylage, Pasture</t>
  </si>
  <si>
    <t>Seed/Pod Vegetables: Soybeans; Field/Forageable: Corn (Yellow &amp; Corn fodder), Hay, Pasture, Silage (Corn), Straw, Triticale</t>
  </si>
  <si>
    <t>Other: Alfalfa, Barley, Corn, Hay, Mixed forage, Oats, Pasture, Peas, Rye, Soybeans, Triticale, Wheat</t>
  </si>
  <si>
    <t>Seed/Pod Vegetables: Soybeans; Field/Forageable: Corn Snaplage, Hay, Pasture, Silage (Corn), Sorghum Sudan Grass, Triticale</t>
  </si>
  <si>
    <t>Other: Corn, Corn Silage, Hay, Pasture, and Woods/Sugar Bush, and Carryover 2022 Crops of Corn-150 bushes, Corn Silage-34 tons, and Haylage-7 tons, Peas/Oats*, Produce including Onions* and Turnips*</t>
  </si>
  <si>
    <t>Other: Corn, Hay, Oats, Pasture, Peas, Soybeans</t>
  </si>
  <si>
    <t>Other: *Hay, *Pasture, *Vegetables: beets, *cabbage, *celeriac, *celery, *cucumbers, *kale, *leeks, *lettuce, *peas, *peppers, *potatoes, *radicchio, *scallions, *spinach, *summer squash, *winter squash, *zucchini., Vegetable transplants</t>
  </si>
  <si>
    <t>Other: Alfalfa; Clover; Corn; Fescue; Hay; Millet; Oats; Pasture; Peas; Ryegrass; Sorghum-sudangrass; Spelt; Triticale; Wheat;</t>
  </si>
  <si>
    <t>Other: Alfalfa, Hay, Oats, Pasture, Sudangrass</t>
  </si>
  <si>
    <t>Field/Forageable: all other silage, grass hay, Pasture</t>
  </si>
  <si>
    <t>Field/Forageable: Corn, Hay, Oats, Pasture, Soybeans, Spelt, Triticale, Wheat, Wheat (Einkorn)</t>
  </si>
  <si>
    <t>Other: Barley, Corn, Hay, Oats/ Peas, Pasture, Spelt, Triticale</t>
  </si>
  <si>
    <t>Other: Corn, Garlic, Hay, Oats, Pasture, Wheat</t>
  </si>
  <si>
    <t>Other: 2022 Carryover Crops of Baleage - 270 bales, Corn 1,750 bushels, Corn Silage - 310 tons, Hay - 2,500 small bales, Straw - 1,300 small bales, and Straw - 120 round bales, Corn, Hay, Pasture, Rye, Sorghum Sudan, Succotash/Peas, and Sweet Corn, Potatoes</t>
  </si>
  <si>
    <t>Nursery/Starts/Flowers/Trees: Sprouts (Barley); Field/Forageable: Corn (Yellow, Fodder, Hi Moisture), Hay, Pasture, Silage (Corn)</t>
  </si>
  <si>
    <t>Other: Barley, Corn, Hay, Pasture, Soybeans</t>
  </si>
  <si>
    <t>Other: *Alfalfa, *Hay, *Oats, *Pasture, *Peas, *Oats, *Sudangrass, Corn</t>
  </si>
  <si>
    <t>Other: Corn, Fallow, Hay, Pasture, Peas/Oats, and Peas/Oats/Pasture, and 2023 Carryover Crop of Corn - 900 bushels</t>
  </si>
  <si>
    <t>Other: Corn, Hay, Oats, Pasture, Peas, Spelt</t>
  </si>
  <si>
    <t>Other: Corn, Hay, Millet, Oats, Pasture</t>
  </si>
  <si>
    <t>Other: Clover, Corn, Hay, Oat straw, Oats, Pasture</t>
  </si>
  <si>
    <t>Other: Alfalfa, hay, Corn, Oats, Pasture, Sorghum-sudangrass, Spelt, new seeding</t>
  </si>
  <si>
    <t>Other: *Alfalfa, *Barley, *Corn, *Hay, *Oats, *Pasture, *Peas, *Rye, *Sorghum Sudangrass, *Soybeans</t>
  </si>
  <si>
    <t>Seed/Pod Vegetables: Soybeans; Field/Forageable: Barley, Corn, Hay, Pasture; Other: Forage</t>
  </si>
  <si>
    <t>Other: Barley, Corn, Hay, Pasture, Peas, Rye, Sorghum, Soybeans, Triticale, Wheat</t>
  </si>
  <si>
    <t>Tuber/Root Vegetables: Beets; Field/Forageable: Corn, Hay &amp; Pasture, Pasture</t>
  </si>
  <si>
    <t>Tuber/Root Vegetables: Beets, Carrots, Celeriac, Leeks, Onions, Parsnips, Potatoes, Radishes (Radishes), Rutabaga, Shallots, Turnips; Stem Vegetables: Celery; Seed/Pod Vegetables: Beans, Corn (Corn), Corn (Sweet), Peas (Peas); Nursery/Starts/Flowers/Trees: Flowers, Seeds; Leaf Vegetables: Arugula, Brussels Sprouts, Cabbage, Chard, Kale, Leafy Greens, Lettuce, Spinach; Herbs/Spices: Fennel, Herbs; Fruit Vegetables: Cucumbers, Eggplants, Peppers, Squash, Tomatoes; Fruit - Melons: Melons; Fruit - Berries: Grapes, Strawberries; Flower Vegetables: Broccoli; Field/Forageable: Hay, Mustard, Pasture, Sunflowers</t>
  </si>
  <si>
    <t>Field/Forageable: Alfalfa (Alfalfa), Barley (Barley), Clover (Clover), Corn (Corn), Grass (Grass), Hay (Hay), Oats (Oats), Other, Pasture (Pasture), Sorghum (Sorghum)</t>
  </si>
  <si>
    <t>Field/Forageable: Alfalfa, Barley, Corn, Grass Hay, Pasture, Triticale, Soybeans</t>
  </si>
  <si>
    <t>Field/Forageable: Corn Silage, Grass Hay, Grass Silage, Haylage, Pasture</t>
  </si>
  <si>
    <t>Other: Barley, Peas, Corn, Hay, Oats, alfalfa, Pasture, Soybeans</t>
  </si>
  <si>
    <t>Other: Alfalfa; Corn; Hay; Oats; Pasture; Sorghum-sudangrass;Cover crops: oats; rye, triticale,turnips;</t>
  </si>
  <si>
    <t>Field/Forageable: Pasture, Triticale, Rye, Clover, Millet, Peas, Corn</t>
  </si>
  <si>
    <t>Tuber/Root Vegetables: Beets, Potatoes; Fruit Vegetables: Eggplants, Squash, Squash (Butternut Squash), Squash (Delicata Squash), Squash (Spaghetti Squash); Fruit - Pome: Apples, Pears; Field/Forageable: Alfalfa, Corn, Grass (Orchardgrass), Hay, Oats, Pasture, Sudan Grass</t>
  </si>
  <si>
    <t>Other: Corn, Fallow, Forage, Hay</t>
  </si>
  <si>
    <t>Tuber/Root Vegetables: Potatoes; Seed/Pod Vegetables: Corn (Sweet Corn); Leaf Vegetables: Cabbage; Fruit Vegetables: Cucumbers, Eggplants, Peppers, Tomatoes, Zucchini; Flower Vegetables: Broccoli, Cauliflower; Field/Forageable: Balage, Corn, Hay, Pasture, Silage, Sorghum Sudan Grass</t>
  </si>
  <si>
    <t>Field/Forageable: Corn (Corn), Hay, Hay (Haylage), Pasture (Pasture)</t>
  </si>
  <si>
    <t>Other: Barley, Corn, Hay, Oats, Pasture, Peas</t>
  </si>
  <si>
    <t>Other: Alfalfa, Corn, Hay, Oats, Pasture, Sorghum-Sudangrass, Sudangrass</t>
  </si>
  <si>
    <t>Field/Forageable: Barley, Corn, Fallow, Hay, Oats, Pasture, Soybeans, Spelt, Timothy Grass, Wheat</t>
  </si>
  <si>
    <t>Other: Corn, Hay, Oats, Pasture, Rye, Soybeans, Wheat</t>
  </si>
  <si>
    <t>Other: Barley, Corn, Hay, Pasture, Sudan Grass, Triticale, Wheat Straw</t>
  </si>
  <si>
    <t>Field/Forageable: Alfalfa, Corn, Hay, Oats, Pasture, Rye, Silage (Corn Silage), Sorghum Sudan Grass, Spelt, Straw</t>
  </si>
  <si>
    <t>Other: Corn, Hay, alfalfa, Land, Oats, Pasture, Peas, Peas, Triticale, Rye, Sorghum, Sorghum-sudangrass</t>
  </si>
  <si>
    <t>Other: #*Distribution of packaged seed, *Corn, *Hay, *Pasture, *Peas, *Oats, *Alfalfa, *Rye, *Sorghum-sudangrass, Land</t>
  </si>
  <si>
    <t>Other: Alfalfa, hay, oats, peas, barley, Corn, Fallow, Pasture, Rye, Sorghum, Sudangrass, Sunflowers, Triticale</t>
  </si>
  <si>
    <t>Tuber/Root Vegetables: Beets, Carrots, Celeriac, Daikon, Fennel, Garlic, Leeks, Onions, Parsnips, Potatoes, Radicchio, Radishes, Rutabaga, Scallions, Shallots, Turnips; Stem Vegetables: Rhubarb; Seed/Pod Vegetables: Beans, Peas; Nursery/Starts/Flowers/Trees: Flowers, Flowers, other flowers; Leaf Vegetables: Arugula, Cabbage, Cabbage, Chard, Kale, Kohlrabi, Lettuce, mesclun mix, Mizuna, mustard greens, Pak Choi, Spinach; Herbs/Spices: Astragalus, Basil, Chamomile, Chives, Cilantro, Dill, Echinacea, Lavender, Lemon Balm, Mint, Oregano, other medicinal herbs, Parsley, Rosemary, Sage, Thyme; Fruit Vegetables: Cucumbers, Peppers, Peppers, Pumpkins, Squash, Squash, Tomatoes; Fruit - Stone: Plums; Fruit - Berries: Blueberries; Flower Vegetables: Broccoli, Cauliflower; Field/Forageable: Pasture; Other: cover crop, perennial flower seedlings, vegetable seedlings</t>
  </si>
  <si>
    <t>Other: Alfalfa, Hay, Barley, Corn, Oats, Pasture, Rye, Sorghum Sudangrass, Soybeans</t>
  </si>
  <si>
    <t>Field/Forageable: Alfalfa, Corn, Hay, Pasture, Rye, Soybeans, Sudan Grass, Triticale</t>
  </si>
  <si>
    <t>Other: *Corn, *Hay, *alfalfa, *Oats, *Pasture, Land, Rye, Soybeans, Sunflowers, Wheat</t>
  </si>
  <si>
    <t>Other: Alfalfa, Hay, Corn, Millet, Oats, Pasture, Rye, Sorghum Sudangrass</t>
  </si>
  <si>
    <t>Field/Forageable: Corn, Hay, Pasture, Rye, Wheat</t>
  </si>
  <si>
    <t>Other: Corn, Corn, Hay, Pasture, Soybeans, Spelt</t>
  </si>
  <si>
    <t>Other: Barley, Corn, Hay, Pasture</t>
  </si>
  <si>
    <t>Other: Balage (wrapped bales), Corn silage, Hay (dry round bales), Hay (dry square bales), Pasture</t>
  </si>
  <si>
    <t>Field/Forageable: Corn, Hay (Haylage), Pasture, Soybeans</t>
  </si>
  <si>
    <t>Other: Corn, Hay, Pasture, and Pasture/Hay</t>
  </si>
  <si>
    <t>Field/Forageable: Alfalfa, Corn, Hay, Oats, Pasture, Wheat (Wheat Straw)</t>
  </si>
  <si>
    <t>Other: *Hay, *Alfalfa, *Millet, *Oats, *Pasture, *Rye, *Sorghum-sudangrass</t>
  </si>
  <si>
    <t>Other: Corn, Hay, Millet Hay, Pasture, and Sorghum Sudan</t>
  </si>
  <si>
    <t>Other: Corn, Millet, Oats, Sorghum-sudangrass, Pasture, Alfalfa</t>
  </si>
  <si>
    <t>Seed/Pod Vegetables: Peas, Peas (Field); Field/Forageable: Corn, Hay, Oats, Pasture, Spelt</t>
  </si>
  <si>
    <t>Field/Forageable: Hay (Hay), Pasture (Pasture); Other: Other</t>
  </si>
  <si>
    <t>Other: 2022 Carryover Crops of Corn - 300 bushels, Corn Silage - 180 tons, Hay - 250 small bales, Straw - 20 large round bales, and Rye - 200 bushels, Clover/Grass, Corn, Hay, Oats/Barley/Hay, Pasture, Pasture/Hay, and Sorghum Sudan</t>
  </si>
  <si>
    <t>Other: Alfalfa, Corn, Hay, Oats, Pasture, Peas, Sorghum Sudan Grass, Soybeans, Sunflowers</t>
  </si>
  <si>
    <t>Field/Forageable: Alfalfa (Alfalfa), Corn (Corn), Grass (Grass), Hay (Hay), Oats (Oats), Pasture (Pasture), Spelt (Spelt), Triticale (Triticale)</t>
  </si>
  <si>
    <t>Field/Forageable: Corn, Fallow, Hay, Oats, Pasture, Soybeans, Wheat</t>
  </si>
  <si>
    <t>Seed/Pod Vegetables: Soybeans; Field/Forageable: Barley (Spring), Corn (Yellow), Hay, Pasture, Silage (Corn), Sorghum Sudan Grass, Triticale</t>
  </si>
  <si>
    <t>Field/Forageable: Corn (Yellow, Fodder), Hay, Pasture, Silage (Corn), Triticale</t>
  </si>
  <si>
    <t>Field/Forageable: Pasture, Hay, Sorghum</t>
  </si>
  <si>
    <t>Other: Forage, Forage sorghum, Hay, Soybean</t>
  </si>
  <si>
    <t>Field/Forageable: Balage, Hay (Haylage), Oats, Pasture, Silage (Corn Silage), Sorghum</t>
  </si>
  <si>
    <t>Field/Forageable: Corn, Hay, Pasture, Spelt, Sorghum</t>
  </si>
  <si>
    <t>Other: Alfalfa, Hay, Barley, Corn, Fallow, Oats, Pasture, Peas, Sorghum-Sudangrass, Soybeans, Triticale, Wheat</t>
  </si>
  <si>
    <t>Other: Corn, Hay, Pasture, Soybeans, Spelt, Spelt Straw</t>
  </si>
  <si>
    <t>Field/Forageable: Alfalfa, Clover, Corn, Hay, Oats, Pasture, Wheat</t>
  </si>
  <si>
    <t>Field/Forageable: Corn, Hay, Oats, Pasture, Ryegrass, Spelt</t>
  </si>
  <si>
    <t>Field/Forageable: Corn (Corn), Hay (Hay), Oats (Oats), Pasture (Pasture), Sorghum Sudan Grass (Sorghum Sudan Grass), Spelt (Spelt)</t>
  </si>
  <si>
    <t>Field/Forageable: Alfalfa, Clover, Hay, Oats, Pasture, Rye, Triticale</t>
  </si>
  <si>
    <t>Other: Pasture, Hay, Soybeans, Corn , Triticale</t>
  </si>
  <si>
    <t>Fungi: Mushrooms (Mushrooms); Field/Forageable: Corn (Corn), Hay (Hay), Pasture (Pasture); Other: Other</t>
  </si>
  <si>
    <t>Field/Forageable: Pasture (Pasture)</t>
  </si>
  <si>
    <t>Other: Alfalfa, Barley, Clover, grass, Corn, Hay, Millet, Oats, Pasture, Peas, Rye, Ryegrass, Sorghum, Sorghum Sudangrass, Sudangrass, Teff, Triticale, peas, Turnips, Wheat</t>
  </si>
  <si>
    <t>Field/Forageable: Hay (grass/legume mix, sudangrass), Pasture</t>
  </si>
  <si>
    <t>Other: 2022 Carryover Crops of: Barley-150 bushels, Black Beans-550 bushels, Corn Silage-138 tons, Hay Silage-860 bales, Oats-150 bushels, Straw-37 bales, Barley, Corn, Hay, Native Habitat, Oats, Pasture, Rye, Sunflower (seed), Sweet Corn, Triticale, and Wheat Hay</t>
  </si>
  <si>
    <t>Other: Hay, Pasture, Sugar Bush</t>
  </si>
  <si>
    <t>Field/Forageable: Corn, Hay, Pasture, Soybeans, Spelt</t>
  </si>
  <si>
    <t>Field/Forageable: Hay, Corn, Oats, Straw, Pasture, Potato, Tomato, Cucumber, Sweet Potato</t>
  </si>
  <si>
    <t>Other: Corn, Hay, alfalfa, Pasture</t>
  </si>
  <si>
    <t>Field/Forageable: Alfalfa, Clover, Corn, Field Crop (Forage Peas), Field Crop (Forage Radish), Hay, Oats, Pasture, Ryegrass, Silage, Soybeans, Wheat</t>
  </si>
  <si>
    <t>Field/Forageable: Corn, Soybeans, Spelt, Hay, Pasture</t>
  </si>
  <si>
    <t>Field/Forageable: Alfalfa, Corn, Hay, Oats, Pasture, Wheat</t>
  </si>
  <si>
    <t>Other: Barley, Corn, Hay, Millet, Oats, Pasture, Rye</t>
  </si>
  <si>
    <t>Field/Forageable: Alfalfa, Corn, Oats, Pasture, Ryegrass</t>
  </si>
  <si>
    <t>Field/Forageable: Barley (Barley), Corn (Corn), Hay (Hay), Oats (Oats), Pasture (Pasture), Soybeans (Soybeans), Sudan Grass (Sudan Grass), Wheat (Wheat)</t>
  </si>
  <si>
    <t>Seed/Pod Vegetables: Peas, Peas (Forage); Field/Forageable: Alfalfa, Hay, Oats, Pasture, Ryegrass, Triticale, Wheat</t>
  </si>
  <si>
    <t>Seed/Pod Vegetables: Peas; Field/Forageable: Corn, Hay, Oats, Pasture, Rye, Sudan Grass</t>
  </si>
  <si>
    <t>Field/Forageable: Corn (Yellow), Hay, Pasture, Silage (Corn), Spelt, Sudan Grass, Wheat (Winter)</t>
  </si>
  <si>
    <t>Other: Alfalfa; Corn; Hay; Oats; Pasture;Vegetables: cantaloupe, sweet corn, tomatoes;Greenhouse production of transplants for on-farm use and for sale;In-ground greenhouse production of vegetables;</t>
  </si>
  <si>
    <t>Other: *Alfalfa, *clover, *Corn, *Hairy vetch, *clover, *Pasture, *Soybeans, *Wheat, *rye, *Winter pea, *alfalfa, *Woods, Daikon, Oats, Radish, Sorghum-sudangrass, Sudangrass, Triticale</t>
  </si>
  <si>
    <t>Field/Forageable: Corn (Yellow, Snaplage), Hay, Pasture</t>
  </si>
  <si>
    <t>Field/Forageable: Corn, Fallow, Hay, Pasture, Triticale; Other: Trees</t>
  </si>
  <si>
    <t>Other: Asparagus, Corn, Hay, Pasture</t>
  </si>
  <si>
    <t>Tuber/Root Vegetables: Potatoes; Field/Forageable: Hay, Pasture</t>
  </si>
  <si>
    <t>Other: Barley, Corn, Hay, Alfalfa, Pasture, Rye, Soybeans, Sudangrass, Triticale</t>
  </si>
  <si>
    <t>Tuber/Root Vegetables: Turnips (Forage Turnip); Stem Vegetables: Rhubarb; Field/Forageable: Balage, Corn, Hay, Oats, Pasture, Silage (Corn Silage), Sorghum Sudan Grass</t>
  </si>
  <si>
    <t>Field/Forageable: Hay, Millet, Oats, Pasture</t>
  </si>
  <si>
    <t>Other: Beets, Corn, Garlic, Hay, Onions, Pasture, Potatoes, Triticale</t>
  </si>
  <si>
    <t>Other: Corn, Hay, Mixed Produce, Oats, Pasture, Production of seedlings, transplants, and planting stock</t>
  </si>
  <si>
    <t>Field/Forageable: Hay, Oats, Pasture, Straw</t>
  </si>
  <si>
    <t>Other: Hay, Maple Syrup, Pasture, Sugar Bush</t>
  </si>
  <si>
    <t>Other: Alfalfa; Clover; Corn; Fescue; Hay;Oats; Orchardgrass; Pasture; Peas; Rye; Sorghum-sudangrass; Vetch;Cover crops: rye;</t>
  </si>
  <si>
    <t>Tuber/Root Vegetables: Turnips; Seed/Pod Vegetables: Peas; Field/Forageable: Barley, Corn, Hay, Millet, Oats, Pasture, Sorghum, Sorghum Sudan Grass, Triticale</t>
  </si>
  <si>
    <t>Fruit - Stone: Plums; Fruit - Pome: Apples; Field/Forageable: Alfalfa, Hay &amp; Pasture, Pasture; Other: Mixed Vegetables (corn, melon, zucchini, summer squash, tomatoes)</t>
  </si>
  <si>
    <t>Field/Forageable: grass baleage, grass silage, Pasture</t>
  </si>
  <si>
    <t>Tuber/Root Vegetables: Onions; Field/Forageable: Corn (Yellow), Hay, Pasture, Silage (Corn)</t>
  </si>
  <si>
    <t>Other: 2022 Haylage-2 tons, Corn, Hay, Oats, Pasture, Woods/Sugar Bush</t>
  </si>
  <si>
    <t>Field/Forageable: Clover (Clover), Grass (Grass), Hay (Hay), Pasture (Pasture), Sorghum Sudan Grass (Sorghum Sudan Grass), Wheat (Wheat)</t>
  </si>
  <si>
    <t>Seed/Pod Vegetables: Peas, Peas (Field); Field/Forageable: Corn, Hay, Pasture, Rye, Straw, Sudan Grass, Triticale</t>
  </si>
  <si>
    <t>Seed/Pod Vegetables: Corn (Corn), Corn (Sweet); Field/Forageable: Alfalfa, Clover, Corn, Hay, Oats, Pasture</t>
  </si>
  <si>
    <t>Tuber/Root Vegetables: Onions; Fruit Vegetables: Pumpkins, Squash, Squash (Winter), Tomatoes; Field/Forageable: Corn, Hay, Pasture</t>
  </si>
  <si>
    <t>Other: Alfalfa, Barley, Corn, Hay, Pasture, Rye, Sorghum-sudangrass</t>
  </si>
  <si>
    <t>Other: 2022 Carryover: Corn-9,000bushels, Soybeans-1,000bushels, Barley, Corn, Cover Crops, CRP, Hay, Oats, Pasture, Spring Wheat, Soybeans</t>
  </si>
  <si>
    <t>Other: Corn,* Hay,* Pasture,* and Spelt*</t>
  </si>
  <si>
    <t>Other: Corn, Hay, Land, Oats, Alfalfa, Pasture, Sorghum Sunda, Soybeans</t>
  </si>
  <si>
    <t>Field/Forageable: Hay/Haylage (Grass/Clover/Alfalfa), Pasture, Silage (Grass/Clover, Alfalfa, Corn)</t>
  </si>
  <si>
    <t>Other: *Barley, *Alfalfa, *Corn, *Hay, *Pasture, *Sorghum-Sudangrass, *Soybeans, *Sudangrass, *Wheat, Oats, Sorghum</t>
  </si>
  <si>
    <t>Seed/Pod Vegetables: Corn; Field/Forageable: Hay, Hay and Pasture, Pasture, Sorghum, Soybeans, Spelt, Wheat</t>
  </si>
  <si>
    <t>Other: Barley, Corn, Hay, Oats, alfalfa, Pasture, Peas, Radish, Rape, Rye, Sorghum-sudangrass, Soybeans (food grade), Succotash, Sweet Corn, Triticale, Turnip, Wheat</t>
  </si>
  <si>
    <t>Other: Balage (wrapped bales), Barley, Hay (dry round bales), Hay (dry square bales), Millet, Pasture, Sorghum, Strawberries</t>
  </si>
  <si>
    <t>Fruit Vegetables: Squash; Field/Forageable: Corn, Hay, Pasture, Soybeans, Sorghum Sudan, Baleage</t>
  </si>
  <si>
    <t>Other: Clover, Corn, Hay, Oats, alfalfa, Pasture, Rye, Sorghum sudan, Wheat</t>
  </si>
  <si>
    <t>Other: Alfalfa, Hay, Barley, Corn, Millet, Oats, Pasture, Rye, Sudangrass</t>
  </si>
  <si>
    <t>Field/Forageable: mixed hay, Oats</t>
  </si>
  <si>
    <t>Field/Forageable: Fallow, Hay, Pasture, Rye, Sorghum, Sorghum Sudan Grass</t>
  </si>
  <si>
    <t>Other: Corn, Hay/CRP, Pasture, Rye, Sorghum, Soybeans, Triticale, peas, alfalfa</t>
  </si>
  <si>
    <t>Other: Alfalfa; Barley; Clover; Hay; Oats; Pasture; Peas; Rye; Ryegrass; Sorghum-sudangrass; Soybeans; Sudangrass; Woodland pasture; Wheat; Vetch.</t>
  </si>
  <si>
    <t>Field/Forageable: Hay &amp; Pasture, Pasture</t>
  </si>
  <si>
    <t>Other: Alfalfa; Clover; Corn; Hay; Oats; Pasture; Peas; Ryegrass;Sorghum-sudan; Soybeans; Triticale;Cover crops: oats, rye;</t>
  </si>
  <si>
    <t>Field/Forageable: Barley, Corn, grass/legume baleage, mixed hay, Pasture</t>
  </si>
  <si>
    <t>Field/Forageable: Balage (Balage), Corn (Corn), Corn (Corn Stover), Hay (Hay), Oats (Oats), Pasture (Pasture), Silage (Silage), Sudan Grass (Sudan Grass)</t>
  </si>
  <si>
    <t>Other: Corn, Hay, Pasture, Wheat</t>
  </si>
  <si>
    <t>Other: Carryover Crops of: 2021 Corn- 500 bushels, 2021 Hay- 4,000 small bales, and 2022 Soybeans- 118 bushels, Pasture, Pasture/Woods</t>
  </si>
  <si>
    <t>Seed/Pod Vegetables: Peas; Field/Forageable: Corn, Hay, Oats, Pasture, Soybeans; Other: Outdoor Access</t>
  </si>
  <si>
    <t>Tuber/Root Vegetables: Garlic, Potatoes, Sweet Potatoes; Field/Forageable: Corn (Yellow, Sweet), Hay, Pasture, Tobacco</t>
  </si>
  <si>
    <t>Seed/Pod Vegetables: Peas; Field/Forageable: Clover, Corn, Hay, Oats, Pasture, Soybeans, Timothy Grass, Triticale, Wheat</t>
  </si>
  <si>
    <t>Other: Corn, Hay, Oats, and Sudan Grass, Pasture</t>
  </si>
  <si>
    <t>Field/Forageable: Alfalfa, Clover, Corn, Grass, Hay, Pasture, Triticale</t>
  </si>
  <si>
    <t>Other: Alfalfa, Corn, Oats, Pasture, Pasture, Hay</t>
  </si>
  <si>
    <t>Field/Forageable: Oat Silage, Pasture</t>
  </si>
  <si>
    <t>Other: Alfalfa, Corn, Pasture, Soybeans, Wheat, Woodland Pasture, Pasture</t>
  </si>
  <si>
    <t>Other: Corn, Hay, Oats, Hay, Pasture</t>
  </si>
  <si>
    <t>Field/Forageable: Barley, Corn (Yellow), Hay, Pasture, Sorghum Sudan Grass, Straw</t>
  </si>
  <si>
    <t>Field/Forageable: Corn, Hay, Pasture, Soybeans, Triticale, Wheat</t>
  </si>
  <si>
    <t>Other: Alfalfa, Beets, Corn, Hay, Pasture, Potatoes, Watermelon, Winter Squash</t>
  </si>
  <si>
    <t>Other: Alfalfa, Barley, Corn, Hay, Marsh Grass, Oats, Sorghum Sudangrass, Pasture, Peas, Sorghum Sudangrass, Soybeans, Triticale, Wheat</t>
  </si>
  <si>
    <t>Other: Corn, Hay</t>
  </si>
  <si>
    <t>Other: *Barley, *Corn, *Hay, *Alfalfa, *Oats, *Pasture, *Rye, *Sorghum, *Sorghum-sudangrass, *Triticale, *Vegetables: peas, *sweet corn</t>
  </si>
  <si>
    <t>Field/Forageable: Alfalfa, Grain, Grass, Grass, Hay &amp; Pasture, Pasture, Pasture, Triticale, Wheat; Other: Hay (Small Pet Hay )</t>
  </si>
  <si>
    <t>Field/Forageable: Corn (Yellow), Hay, Oats, Pasture, Rye, Silage (Corn), Straw</t>
  </si>
  <si>
    <t>Other: Corn, Hay, pasture, Alfalfa, Wheat</t>
  </si>
  <si>
    <t>Other: Corn, Hay, Pasture, Production of seedlings, transplants, and planting stock, Soybeans</t>
  </si>
  <si>
    <t>Tuber/Root Vegetables: Turnips (Forage Turnip); Seed/Pod Vegetables: Corn (Ear Corn); Field/Forageable: Barley, Corn, Corn (Corn Fodder), Hay, Oats, Pasture, Silage (Corn Silage), Spelt</t>
  </si>
  <si>
    <t>Other: Pasture and Pasture/Hay</t>
  </si>
  <si>
    <t>Field/Forageable: Balage, Barley, Hay, Pasture, Spelt, Triticale</t>
  </si>
  <si>
    <t>Fruit - Berries: Strawberries (Strawberries); Field/Forageable: Alfalfa (Alfalfa), Clover (Clover), Hay (Hay), Pasture (Pasture), Sorghum Sudan Grass (Sorghum Sudan Grass); Other: Other</t>
  </si>
  <si>
    <t>Other: *Alfalfa; *Clover; Corn; *Hay; *Pasture; *Rye; *Sudangrass;*Cover crops: rye, wheat;</t>
  </si>
  <si>
    <t>Other: Alfalfa, Hay, Oat, Pasture, Hay, Sudangrass, Triticale, Vegetable transplants, Vegetables: cabbage, cauliflower, Chinese cabbage, green beans, radishes, turnips, winter squash, zucchini; Fruit: watermelon.</t>
  </si>
  <si>
    <t>Other: Barley, Corn, Hay, Pasture, Rye, Triticale</t>
  </si>
  <si>
    <t>Other: Corn, Hay, Pasture, Pasture/Hay, Rye/Hay, Sudangrass</t>
  </si>
  <si>
    <t>Seed/Pod Vegetables: Soybeans (&amp; Soybean Stubble); Field/Forageable: Corn (Yellow &amp; Corn Fodder), Hay, Pasture</t>
  </si>
  <si>
    <t>Other: Barley, Corn, Triticale, Einkorn Wheat, Hay, Pasture, Sudan Grass</t>
  </si>
  <si>
    <t>Field/Forageable: Corn (Corn), Hay (Hay), Pasture (Pasture), Soybeans (Soybeans), Wheat (Wheat)</t>
  </si>
  <si>
    <t>Other: Alfalfa; Corn; Hay;Oats; Pasture; Rye; Woods;</t>
  </si>
  <si>
    <t>Other: Alfalfa, Hay, Corn, Oats, Peas, Sorghum-sudangrass, Pasture, Vegetables: leeks, onions, potatoes</t>
  </si>
  <si>
    <t>Seed/Pod Vegetables: Peas, Peas (Field); Field/Forageable: Alfalfa, Corn, Pasture, Sorghum Sudan Grass, Triticale, Wheat, Wheat (Winter)</t>
  </si>
  <si>
    <t>Other: *Corn, *Hay, *Alfalfa, *Oats, *Pasture, *Spelt, *Triticale, *Vegetable, *fruit, *herb transplants, *Vegetables: broccoli, *Brussels sprouts, *cabbage, *cauliflower, *cucumbers, *kale, *leeks, *lettuce, *peas, *squash, *tomatoes Herbs: lavender, *mint, *oregano, *rosemary, *sage, *thyme, Sorghum, Sorghum-sudangrass</t>
  </si>
  <si>
    <t>Field/Forageable: Grass, Hay, Pasture, Pasture, Silage</t>
  </si>
  <si>
    <t>Field/Forageable: Corn (Corn), Hay (Hay), Other, Pasture (Pasture), Spelt (Spelt)</t>
  </si>
  <si>
    <t>Tuber/Root Vegetables: Beets, Carrots, Garlic (&amp; Garlic Scapes), Radishes; Seed/Pod Vegetables: Peas; Leaf Vegetables: Cabbage; Fruit Vegetables: Peppers; Field/Forageable: Pasture</t>
  </si>
  <si>
    <t>Seed/Pod Vegetables: Peas, Peas (Field); Field/Forageable: Clover, Corn, Hay, Oats, Pasture, Spelt</t>
  </si>
  <si>
    <t>Other: Alfalfa; Corn; Hay; Oats; Pasture; Spelt;</t>
  </si>
  <si>
    <t>Other: Clover, Corn, Hay, Alfalfa, Land, Oats, Pasture, Sorghum-sudangrass, Triticale</t>
  </si>
  <si>
    <t>Other: Corn*, Hay*, Oats/Peas*, Pasture*, and Yield Max*, and Carryover 2022 Crops of Corn(high moisture)-150 tons, Corn Stalks-150 bales, Corn Silage-53'x100' and 60'x120', Hay-50'x150' and 45'x150', and Hay-60 bales, and Carryover 2021 Crops of Oats/Peas-50'x130', and Carryover 2020 Crops of Wheat-20 tons</t>
  </si>
  <si>
    <t>Field/Forageable: Pasture, Hay, Woods</t>
  </si>
  <si>
    <t>Seed/Pod Vegetables: Peas; Field/Forageable: Clover, Corn, Hay, Oats, Pasture, Sorghum Sudan Grass</t>
  </si>
  <si>
    <t>Field/Forageable: Alfalfa, Clover, Corn, Hay, Pasture, Sorghum Sudan Grass, Soybeans, Triticale, Wheat</t>
  </si>
  <si>
    <t>Other: *Alfalfa, *Hay, *Oats, *Pasture, *Peas, *Sorghum-sudangrass, Corn</t>
  </si>
  <si>
    <t>Other: Alfalfa, Hay, Corn, Millet, Milo, Oats, Alfalfa, Pasture, Peas, Rye, Sorghum, Sorghum-sudan, Soybeans, Sudangrass, Triticale</t>
  </si>
  <si>
    <t>Other: *Alfalfa, *hay, *Pasture, *Sorghum-sudangrass, *Sweet corn</t>
  </si>
  <si>
    <t>Other: Alfalfa, Barley, Grass, Oats, Pasture, Triticale, and Straw</t>
  </si>
  <si>
    <t>Field/Forageable: Corn (Yellow), Grass (Marsh), Hay, Oats, Pasture, Silage (Corn), Straw</t>
  </si>
  <si>
    <t>Other: Corn*, Hay*, Oats*, Pasture*, Spelt*, Triticale*, and Woods*</t>
  </si>
  <si>
    <t>Other: Alfalfa, Corn, Oats, Oats, Hay, Pasture, Sorghum Sudangrass, Triticale</t>
  </si>
  <si>
    <t>Other: Corn; Hay; *Pasture; *Land; *Oats; *Peas; *Sorghum-sudangrass; *Spelt;*Cover crop: buckwheat;</t>
  </si>
  <si>
    <t>Other: *Barley, *Hay, *Pasture, *Sorghum-sudangrass, Alfalfa, Corn, Oats, Sorghum, Wheat</t>
  </si>
  <si>
    <t>Other: Alfalfa, Fruit: apples, blueberries, grapes, Hay, Oats, Pasture, Popcorn, Sorghum Sudangrass, Spelt, Triticale</t>
  </si>
  <si>
    <t>Field/Forageable: Alfalfa (Alfalfa), Corn (Corn), Oats (Oats), Pasture (Pasture), Rye (Rye)</t>
  </si>
  <si>
    <t>Field/Forageable: Alfalfa, Corn, Grass (Orchardgrass), Hay, Pasture, Soybeans, Wheat</t>
  </si>
  <si>
    <t>Field/Forageable: Corn, Hay, Oats, Pasture, Soybeans; Other: Alfalfa; Barley; Chicory; Clover; Fescue; Millet; Orchardgrass; Peas; Rye; Ryegrass; Sorghum-sudangrass; Timothy; Wheat</t>
  </si>
  <si>
    <t>Other: Alfalfa, Clover, Corn, Hay, Oats, Pasture, Rye, Sorghum-sudangrass, Soybean, Clover</t>
  </si>
  <si>
    <t>Field/Forageable: Pasture/Hay</t>
  </si>
  <si>
    <t>Field/Forageable: Hay, Pasture, Rye, Sorghum Sudan Grass, Sudan Grass</t>
  </si>
  <si>
    <t>Other: : Sunflowers, Balage (wrapped bales), Cabbage, green, Cucumber, Dill, Garlic, Hay (dry round bales), Hay (dry square bales), Lavender, Lettuce (head), Marjoram, Oregano, Pasture, Peppers (sweet), Potatoes, Pumpkins, Radishes, Sage, Squash (summer), Squash (winter), Thyme</t>
  </si>
  <si>
    <t>Field/Forageable: Pasture (Pasture (Giant/Common Bermuda)), Pasture (Pasture (Haygrazer)), Pasture (Pasture (Triticale))</t>
  </si>
  <si>
    <t>Other: Silage,Dairy Cattle - Last Third Gestation (Organic Slaughter Eligible),Pasture,Raw Milk,Hay,Dairy Cattle - Transitioned (Not Organic Slaughter Eligible)</t>
  </si>
  <si>
    <t>Nursery/Starts/Flowers/Trees: Flowers, Transplants; Herbs/Spices: Ginger, Herbs, Herbs (Medicinal); Field/Forageable: Alfalfa, Clover, Hay, Oats, Pasture</t>
  </si>
  <si>
    <t>Stem Vegetables: Asparagus, Rhubarb; Seed/Pod Vegetables: Corn (Corn), Corn (Sweet); Leaf Vegetables: Cabbage; Fruit Vegetables: Cucumbers, Peppers, Squash, Tomatoes; Fruit - Stone: Cherries, Plums; Fruit - Pome: Apples, Pears; Fruit - Melons: Melons; Fruit - Berries: Grapes, Raspberries, Strawberries; Field/Forageable: Clover, Corn, Hay, Oats, Pasture, Sorghum Sudan Grass, Triticale</t>
  </si>
  <si>
    <t>Stem Vegetables: Asparagus; Field/Forageable: all other baleage, grass/legume baleage, mixed hay, Pasture</t>
  </si>
  <si>
    <t>Other: *Alfalfa, *hay, *Land, *Land, *Oats, *Pasture, *Rye, *Sorghum-sudangrass, *Wheat, Corn</t>
  </si>
  <si>
    <t>Fruit - Tropical Fruits: Coconuts (Coconut Fruit)</t>
  </si>
  <si>
    <t>Seed/Pod Vegetables: Corn (Corn), Corn (Sweet); Field/Forageable: Alfalfa, Clover, Corn, Hay, Pasture, Soybeans, Spelt, Teff, Wheat</t>
  </si>
  <si>
    <t>Field/Forageable: Alfalfa, Clover, Corn, Hay, Pasture, Rye, Sorghum Sudan Grass</t>
  </si>
  <si>
    <t>Field/Forageable: Corn, Hay, Pasture, Soybeans, Sudan</t>
  </si>
  <si>
    <t>Tuber/Root Vegetables: Radishes, Radishes (Tillage Radish); Leaf Vegetables: Chicory; Field/Forageable: Alfalfa, Barley, Clover, Corn, Festulolium, Hay, Oats, Pasture, Rape, Ryegrass, Sorghum Sudan Grass, Soybeans, Triticale, Wheat, Wheat (Forage Wheat)</t>
  </si>
  <si>
    <t>Field/Forageable: Barley, Corn (Yellow), Hay, Oats, Pasture, Sorghum Sudan Grass</t>
  </si>
  <si>
    <t>Field/Forageable: Hay, Pasure, Sudan</t>
  </si>
  <si>
    <t>Field/Forageable: Corn (Certified in accordance with the terms of the U.S.-Canada Organic Equivalency Arrangement), Hay (Certified in accordance with the terms of the U.S.-Canada Organic Equivalency Arrangement), Pasture (Certified in accordance with the terms of the U.S.-Canada Organic Equivalency Arrangement), Soybeans (Certified in accordance with the terms of the U.S.-Canada Organic Equivalency Arrangement)</t>
  </si>
  <si>
    <t>Field/Forageable: Soybeans, Oats, Corn, Hay, Pasture</t>
  </si>
  <si>
    <t>Tuber/Root Vegetables: Beets, Garlic, Onions, Radishes; Stem Vegetables: Asparagus; Seed/Pod Vegetables: Beans, Peas; Nursery/Starts/Flowers/Trees: Transplants; Leaf Vegetables: Arugula, Brussels Sprouts, Cabbage, Chard, Kale, Lettuce, Spinach; Herbs/Spices: Chives; Fruit Vegetables: Cucumbers, Melons, Peppers, Squash, Squash (Butternut Squash), Squash (Spaghetti Squash), Tomatoes; Fruit - Berries: Strawberries; Flower Vegetables: Broccoli, Cauliflower; Field/Forageable: Clover, Hay, Mustard, Pasture</t>
  </si>
  <si>
    <t>Other: Barley, Corn, Hay, Hay, pasture, Oats, Pasture</t>
  </si>
  <si>
    <t>Other: Black Beans, Corn, Hay, Oats, Pasture, Soybeans, Wheat</t>
  </si>
  <si>
    <t>Other: Alfalfa, Barley, Buckwheat, Corn, Hay, Oats, Pasture, Peas, Rye, Sorghum-sudangrass, Soybeans, Triticale</t>
  </si>
  <si>
    <t>Stem Vegetables: Corn (Corn Stalk); Field/Forageable: Corn, Hay, Oats, Pasture, Soybeans, Straw</t>
  </si>
  <si>
    <t>Tuber/Root Vegetables: Garlic, Onions; Fruit - Melons: Watermelons; Fruit - Berries: Strawberries; Flower Vegetables: Cauliflower; Field/Forageable: Corn, Hay, Pasture</t>
  </si>
  <si>
    <t>Seed/Pod Vegetables: Peas, Peas (Forage); Field/Forageable: Buckwheat, Corn, Hay, Oats, Pasture, Soybeans</t>
  </si>
  <si>
    <t>Field/Forageable: Corn, Corn (Corn Fodder), Hay, Oats, Pasture, Soybeans, Straw</t>
  </si>
  <si>
    <t>Field/Forageable: Corn (*), Hay (* = Certified in accordance with the terms of the U.S.-Canada Organic Equivalency Arrangement), Pasture (*), Soybeans (*)</t>
  </si>
  <si>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</si>
  <si>
    <t>Other: Corn, Fallow, Hay, Alfalfa, Oats, Land, Pasture, Sorghum-Sudangrass</t>
  </si>
  <si>
    <t>Field/Forageable: Alfalfa, Clover, Corn, Hay, Pasture, Timothy Grass; Other: Other - Maple Sap</t>
  </si>
  <si>
    <t>Field/Forageable: Corn (Yellow), Hay, Pasture, Silage (Corn), Wheat</t>
  </si>
  <si>
    <t>Other: Alfalfa, Forage, Grass, other</t>
  </si>
  <si>
    <t>Field/Forageable: Corn (Yellow), Hay, Pasture, Triticale, Wheat (Winter)</t>
  </si>
  <si>
    <t>Other: Alfalfa; Clover; Corn; Hairy vetch; Hay; Oats; Pasture; Peas; Rye; Sorghum-sudan; Triticale;</t>
  </si>
  <si>
    <t>Other: Alfalfa, pasture, Barley, oats, alfalfa, Corn, Hay, Pasture, Peas, Rye, Soybeans, Sunflowers</t>
  </si>
  <si>
    <t>Other: Dairy Site (Spring Hill Dairy), Daniels Site, Dolcini Site, Foehr Site, Grass Silage, Mahoney Site, Matteri/Lakeville Site, Nadale Ranch Parcel, Pasture, Slessinger Site</t>
  </si>
  <si>
    <t>Field/Forageable: Alfalfa, Corn, Hay, Oats, Pasture, Sorghum Sudan Grass, Straw, Timothy Grass, Triticale</t>
  </si>
  <si>
    <t>Field/Forageable: Corn (Yellow), Hay, Pasture, Silage (Corn), Sorghum, Triticale</t>
  </si>
  <si>
    <t>Tuber/Root Vegetables: Beets, Carrots, Celeriac, Garlic, Leeks, Onions, Parsnips, Potatoes, Radishes (Radishes); Stem Vegetables: Asparagus, Rhubarb; Seed/Pod Vegetables: Beans, Corn (Corn), Peas (Peas); Nursery/Starts/Flowers/Trees: Flowers, Flowers (Claytonia), Flowers (Phacelia), Seeds; Leaf Vegetables: Cabbage, Chard, Kale, Lettuce, Spinach; Herbs/Spices: Basil, Cilantro, Dill, Ginger, Herbs, Herbs (Lemon Verbena), Parsley, Rosemary, Turmeric; Fruit Vegetables: Cucumbers, Other - Ground Cherries, Peppers, Tomatoes, Zucchini; Fruit - Stone: Cherries, Plums; Fruit - Pome: Apples, Pears; Fruit - Melons: Melons, Watermelons; Fruit - Berries: Blackberries, Raspberries, Raspberries (Black), Raspberries (Red), Raspberries (Yellow); Flower Vegetables: Broccoli, Cauliflower; Field/Forageable: Hay, Pasture, Spelt</t>
  </si>
  <si>
    <t>Other: Broccoli, Corn, Cucumbers, Garlic, Green Beans, Hay, Kale, Oats, Pasture, Production of seedlings, transplants, and planting stock, Rye, Shallots, Sorghum Sudan, Soybeans, Tomatoes</t>
  </si>
  <si>
    <t>Other: *Hay, *Oats, *Pasture, *Peas, *Rye, *Sorghum-sudangrass, *Triticale</t>
  </si>
  <si>
    <t>Other: Corn, Grassland, Pastures, Peas/Oats/Alfalfa</t>
  </si>
  <si>
    <t>Field/Forageable: Corn, Hay, Pasture, Sorghum Sudan Grass, Triticale</t>
  </si>
  <si>
    <t>Other: Alfalfa, Barley, Corn, Hay, Oats, Pasture, Radishes, Sudangrass, Turnips, Wheat</t>
  </si>
  <si>
    <t>Field/Forageable: All other grains, Corn, grass hay, Oats, Pasture, Wheat; Other: Straw</t>
  </si>
  <si>
    <t>Other: Alfalfa, hay, Corn, Oats, Pasture, Peas, Rye, Soybeans, Sudangrass, Triticale</t>
  </si>
  <si>
    <t>Tuber/Root Vegetables: Carrots, Onions, Potatoes, Radishes (Radishes), Radishes, Scallions, Sweet Potatoes, Turnips; Stem Vegetables: Asparagus, Celery; Seed/Pod Vegetables: Corn (Corn), Peas (Peas), Peas; Leaf Vegetables: Brussels Sprouts, Cabbage, Kale, Kohlrabi, Lettuce, Spinach; Herbs/Spices: Herbs; Fruit Vegetables: Cucumbers, Eggplants, Peppers, Squash, Tomatoes; Fruit - Melons: Melons; Flower Vegetables: Broccoli, Cauliflower; Field/Forageable: Clover, Corn, Hay, Pasture, Sunflowers, Wheat</t>
  </si>
  <si>
    <t>Other: Alfalfa, Hay, Corn, Garlic, Oats, Pasture, Rye, Sudangrass, Sudangrass, Tobacco, Tobacco transplants, Triticale</t>
  </si>
  <si>
    <t>Field/Forageable: Corn, Hay, Oats, Pasture, Rye, Wheat</t>
  </si>
  <si>
    <t>Other: *Alfalfa, *hay, *Oats, *Hay, *Pasture, *Pasture, *Hay, *Sorghum Sudangrass, Corn</t>
  </si>
  <si>
    <t>Field/Forageable: Hay, Pasture, Oats, Rye, Sudan</t>
  </si>
  <si>
    <t>Other: Barley, Corn, Greenhouse production of transplants for on-farm use, Hay, Hay, Pasture, Millet, Pasture, Peas, Oats, Alfalfa, Sorghum-sudangrass, Turnips, Vegetables: cucumbers, green beans, onions, sunflowers, tomatoes, Woodland pasture</t>
  </si>
  <si>
    <t>Field/Forageable: Field Crop, Grain, Hay, Hay &amp; Pasture, Oats, Pasture, Silage</t>
  </si>
  <si>
    <t>Other: Canary grass, Hay, Corn, Oats, Pasture, Peas, Rye, Soybeans, Sweet corn, Teff, Triticale, Triticale, Alfalfa, Triticale, Sorghum</t>
  </si>
  <si>
    <t>Other: Alfalfa, Hay, Barley, Corn, Oats, Pasture, Pasture, Corn, Peas, Peas, Barley, Alfalfa, Hay, Sorghum sudangrass, Triticale</t>
  </si>
  <si>
    <t>Other: Barley, Corn, Hay, Oats, Pasture, Sorghum-sudangrass, Triticale, Wheat</t>
  </si>
  <si>
    <t>Other: Hay, Hay Silage, Pasture</t>
  </si>
  <si>
    <t>Other: *Hay, *Pasture, *hay</t>
  </si>
  <si>
    <t>Field/Forageable: Balage, Corn (Yellow, Fodder), Hay, Pasture, Silage (Corn)</t>
  </si>
  <si>
    <t>Other: Alfalfa; Corn; Hay; Pasture; Ryegrass; Sorghum-sudangrass; Triticale;</t>
  </si>
  <si>
    <t>Field/Forageable: Corn, Hay, Oats, Pasture, Teff</t>
  </si>
  <si>
    <t>Field/Forageable: Pasture, Hay, Corn, Ear Corn, Wheat, Rye</t>
  </si>
  <si>
    <t>Other: Corn, Hay, Land, Oats, hay, Pasture, Peas, Sorghum Sudangrass, Spelt, hay, Vegetables: beets, Brussels sprouts, cabbage, carrots, kale, onions, peppers, summer squash, Swiss chard, winter squash, zucchini;</t>
  </si>
  <si>
    <t>Other: Carryover crops: 2022 Corn* (cob)-300 bushels, Corn*, Hay*, Forage Yield Max*, Hay*, Oats*, and Pasture*</t>
  </si>
  <si>
    <t>Field/Forageable: Alfalfa, Clover, Corn, Hay, Pasture, Sorghum Sudan Grass, Spelt</t>
  </si>
  <si>
    <t>Other: Corn, Hay, Oats, Pasture, Peas, Sorghum-sudangrass, Triticale</t>
  </si>
  <si>
    <t>Other: Barley, Corn, Green Beans, Hay, Alfalfa, Oats, Pasture, Peas, Rye, Sorghum-sudangrass, Soybeans, Sunflowers, Sweet Corn, Triticale, Wheat</t>
  </si>
  <si>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</si>
  <si>
    <t>Other: Barley, Corn, Hay, Millet, Oats, alfalfa, Pasture, Peas, triticale, Rye, Sorghum, Soybeans</t>
  </si>
  <si>
    <t>Other: *Alfalfa, *hay, *Pasture, *woodland pasture, *Sorghum sudan, Peas, Triticale</t>
  </si>
  <si>
    <t>Other: *Alfalfa, *Hay, *Pasture, *Pasture, *hay, *Peas, *Oats, *Rye, *Hay, *Sudangrass, *Triticale, *Hay</t>
  </si>
  <si>
    <t>Other: Alfalfa; Barley;Clover; Corn;Fescue;Hay; Oats;Orchardgrass;Pasture; Peas; Rye; Sorghum; Sorghum-sudangrass; Triticale;Vegetables: green beans;</t>
  </si>
  <si>
    <t>Other: Alfalfa/Rye, Corn, Hay, Oats/New Seeding, and Soybeans, Pasture (doelings), Pasture (goats), and Pasture (horses)</t>
  </si>
  <si>
    <t>Other: Mixed Species Forage (pasture &amp; hay), Pasture</t>
  </si>
  <si>
    <t>Other: Alfalfa; Barley; Clover; Corn; Hay; Land; Millet; Milo; Oats; Pasture; Peas; Radish; Rye; Soybeans; Sudangrass; Triticale; Wheat;</t>
  </si>
  <si>
    <t>Field/Forageable: Alfalfa, Barley, Clover, Corn, Hay, Pasture, Sorghum Sudan Grass, Soybeans, Triticale, Wheat</t>
  </si>
  <si>
    <t>Field/Forageable: Triticale, Sudan, Millet, Hay, Pasture</t>
  </si>
  <si>
    <t>Field/Forageable: Corn, mixed hay, Pasture</t>
  </si>
  <si>
    <t>Other: Corn, Fallow, Hay, Oats, Pasture, Wheat</t>
  </si>
  <si>
    <t>Other: Alfalfa, Barley, Corn, Hay, Oats, Pasture, Peas, Rye, Soybeans, Triticale, Wheat</t>
  </si>
  <si>
    <t>Seed/Pod Vegetables: Soybeans; Field/Forageable: Corn (Yellow), Hay, Oats, Pasture, Seeds (Red clover), Silage (Corn), Spelt, Straw, Triticale</t>
  </si>
  <si>
    <t>Field/Forageable: Barley, Clover, Corn, Field Crop (Cowpeas), Grass, Hay, Millet, Pasture, Soybeans, Spelt, Sudan Grass, Triticale, Wheat</t>
  </si>
  <si>
    <t>Other: *Camelina, *Corn, *Crested Wheatgrass, *Hay, *alfalfa, *Oats, *Pasture, *Rye, *Sorghum-sudangrass, *Soybean, *Wheat</t>
  </si>
  <si>
    <t>Other: Alfalfa, Hay, Barley, Peas, Triticale, Corn, Fallow, Oats, Pasture, Rye, Sorghum Sudangrass</t>
  </si>
  <si>
    <t>Other: Alfalfa, Barley, Corn, Hay, Millet, Oats, Pasture, Rye, Sorghum-Sudangrass</t>
  </si>
  <si>
    <t>Seed/Pod Vegetables: Corn (Corn); Field/Forageable: Corn, Hay, Pasture, Soybeans</t>
  </si>
  <si>
    <t>Seed/Pod Vegetables: Peas, Peas (Forage); Field/Forageable: Clover, Hay, Pasture</t>
  </si>
  <si>
    <t>Field/Forageable: Hay, Pasture, Rye forage, Sorghum Sudan Grass (Mix)</t>
  </si>
  <si>
    <t>Other: Corn*, Forage Alfalfa, Hay, Oats, Pasture, Pasture, and Pasture/Apple Trees,</t>
  </si>
  <si>
    <t>Other: 2023 Carryover Crops of Corn - 150 bushels, Corn Sileage - 12 tons, Hay - 60 tons, Oats - 150 bushels, Corn,*  Hay,*  Oats,*  Pasture,*  Spring Wheat,*  Winter Wheat,*  and Woods/Pasture*</t>
  </si>
  <si>
    <t>Field/Forageable: Hay, Pasture, Sorghum, Sorghum (Forage)</t>
  </si>
  <si>
    <t>Field/Forageable: All other hay, grass baleage, Pasture</t>
  </si>
  <si>
    <t>Field/Forageable: Corn, Woods, Pasture, Hay, Corn Silage</t>
  </si>
  <si>
    <t>Other: Barley, Corn, Hay, Pasture, Rye, Spelt</t>
  </si>
  <si>
    <t>Other: Pasture, Corn, Hay, Triticale, Soybeans</t>
  </si>
  <si>
    <t>Other: Alfalfa; Clover; Corn; Cowpeas; Fescue; Hay; Land; Pasture; Peas; Oats; Millet; Rye; Ryegrass; Radishes; Sorghum-sudangrass; Soybeans; Sudangrass; Sunflowers; Timothy; Triticale;Cover crops: rape, radishes, vetch;</t>
  </si>
  <si>
    <t>Other: Alfalfa, Barley, Corn, Pasture, Rye, Sorghum Sudan/Oats</t>
  </si>
  <si>
    <t>Tuber/Root Vegetables: Garlic; Seed/Pod Vegetables: Peas (Austrian Winter); Field/Forageable: Corn, Hay, Oats, Pasture, Rye, Sorghum; Other: CRP, Outdoor Access, Trees</t>
  </si>
  <si>
    <t>Other: Corn*, Hay*, Oats*, Pasture*</t>
  </si>
  <si>
    <t>Seed/Pod Vegetables: Peas; Field/Forageable: Hay, Pasture, Rye, Sorghum Sudan Grass, Triticale</t>
  </si>
  <si>
    <t>Field/Forageable: Clover, Hay, Oats, Pasture</t>
  </si>
  <si>
    <t>Other: Alfalfa, Corn, Hay, Pasture, Rye, Sorghum-sudangrass, Spelt, Sudangrass</t>
  </si>
  <si>
    <t>Tuber/Root Vegetables: Radishes (Tillage Radish), Turnips, Turnips (Forage Turnip); Field/Forageable: Alfalfa, Barley, Corn, Hay, Oats, Pasture, Sorghum (Forage Sorghum), Soybeans, Triticale</t>
  </si>
  <si>
    <t>Field/Forageable: Corn, Hay, Pasture, Sudan Grass, Triticale</t>
  </si>
  <si>
    <t>Other: Corn, Hay, Pasture, Rye</t>
  </si>
  <si>
    <t>Field/Forageable: Barley, Corn, Hay, Oats, Oats/Peas mix, Pasture, Silage (Corn Silage), Sorghum Sudan Grass</t>
  </si>
  <si>
    <t>Seed/Pod Vegetables: Peas; Field/Forageable: Alfalfa, Clover, Hay, Oats, Pasture</t>
  </si>
  <si>
    <t>Field/Forageable: Barley, Corn, Hay, Pasture, Rye, Soybeans, Spelt, Sudan Grass, Triticale, Wheat</t>
  </si>
  <si>
    <t>Field/Forageable: Alfalfa (Alfalfa), Corn (Corn), Grass (Grass), Hay (Hay), Soybeans (Soybeans), Sudan Grass (Sudan Grass), Triticale (Triticale)</t>
  </si>
  <si>
    <t>Tuber/Root Vegetables: Radishes, Radishes (Forage); Seed/Pod Vegetables: Peas, Peas (Black-Eyed); Field/Forageable: Alfalfa, Clover, Corn, Hay, Pasture, Sorghum Sudan Grass, Sudan Grass, Sunflowers, Triticale</t>
  </si>
  <si>
    <t>Other: Alfalfa, Barley, Soybeans, Corn, Oats, Pasture, Peas, Rye, Rye, Sorghum-sudangrass, Soybeans, Sunflowers, Triticale, Alfalfa, Vegetables: sweet corn, Wheat, Yellow peas (food grade)</t>
  </si>
  <si>
    <t>Field/Forageable: Alfalfa, Clover, Corn, Hay, Pasture, Straw, Triticale</t>
  </si>
  <si>
    <t>Other: *Corn, *Hay, *Oats, *Alfalfa, *Pasture, *Sorghum, *Vegetable transplants, *Vegetables: beets, *broccoli, *Brussels sprouts, *cucumbers, *fennel, *kale, *onions, *potatoes, *radishes, *shallots, *Swiss chard, *tomatoes, *winter squash, *, *Wheat</t>
  </si>
  <si>
    <t>Other: Corn, Hay, Pasture, Oats, Pasture, Spelt</t>
  </si>
  <si>
    <t>Other: Alfalfa, Barley, Buckwheat, Corn, Oats, Hay, Pasture, Hay, Peas, Rye, Hay, Sorghum Sudangrass, Soybeans, Triticale, Wheat</t>
  </si>
  <si>
    <t>Other: Pasture: Alfalfa Hay, Austrian Peas, Corn, Oats, Rye, Sorghum Hay Soybeans, Spelt, Triticale.</t>
  </si>
  <si>
    <t>Other: Barley, Corn, Hay, Alfalfa, Oats, Pasture, Peas, Rye, Sorghum-sudangrass, Soybeans, rye, Wheat</t>
  </si>
  <si>
    <t>Other: Alfalfa; Barley; Buckwheat; Canary grass; Corn; Fallow; Flax; Hay; Millet; Oats; Pasture; Peas; Rye; Sorghum; Sorghum-sudangrass; Soybeans; Succotash; Sudangrass; Sunflowers; Triticale; Wheat;</t>
  </si>
  <si>
    <t>Other: Corn, Oats, Pasture, Peas, Soybeans, Triticale, Vetch</t>
  </si>
  <si>
    <t>Other: Alfalfa; Barley; Corn; Hay; Oats; Pasture; Peas;Reed Canary Grass; Rye; Sorghum-sudangrass; Soybeans; Triticale; Wheat;Cover crops: oats, rye;</t>
  </si>
  <si>
    <t>Tuber/Root Vegetables: Beets, Carrots, Celeriac, Daikon, Fennel, Garlic, Leeks, Onions, Parsnips, Potatoes, Radicchio, Radishes, Scallions, Shallots, Sweet Potatoes, Turnips; Stem Vegetables: Celery, Rhubarb; Seed/Pod Vegetables: Beans, Corn, Corn, Peas; Nursery/Starts/Flowers/Trees: Flowers, Flowers, Flowers; Leaf Vegetables: Arugula, Brussels Sprouts, Cabbage, Cabbage, Chard, Collards, Kale, Kohlrabi, Lettuce, mesclun mix, mustard greens, Pak Choi, Spinach; Herbs/Spices: Basil, Calendula, Chamomile, Chives, Cilantro, Dill, Echinacea, Fennel, Lemon Balm, Mint, Oregano, Parsley, Rosemary, Sage, Tarragon, Thyme; Fruit Vegetables: Cucumbers, Eggplants, Gourds, Peppers, Peppers, Pumpkins, Squash, Squash, Tomatillos, Tomatoes; Fruit - Stone: Peaches; Fruit - Melons: Melons; Fruit - Berries: Blueberries, Raspberries; Flower Vegetables: Broccoli, Cauliflower; Field/Forageable: Corn, mixed hay, Oats, Pasture, Soybeans, Spelt, Wheat; Other: annual flower seedlings, herb seedlings, vegetable seedlings</t>
  </si>
  <si>
    <t>Other: *Hay, *Oats, *Hay, *Oats, *Peas, *Alfalfa, *Pasture, *Rye, *Sorghum-sudangrass, Hay, Pasture</t>
  </si>
  <si>
    <t>Other: Corn, Hay, Oats, peas, Pasture, hay, Triticale</t>
  </si>
  <si>
    <t>Other: Alfalfa; Bromegrass; Chicory; Clover; Cowpeas; Fescue; Hay; Land; Millet; Oats; Orchardgrass; Pasture; Rapeseed; Ryegrass; Sorghum; Sorghum Sudangrass; Trefoil;</t>
  </si>
  <si>
    <t>Field/Forageable: Hay, Pasture, Sorghum, Sudan Grass, Triticale</t>
  </si>
  <si>
    <t>Field/Forageable: Alfalfa, Corn, Oats (Hay), Pasture, Pinto Beans</t>
  </si>
  <si>
    <t>Other: Hay, Pasture, Pasture/Hay</t>
  </si>
  <si>
    <t>Seed/Pod Vegetables: Peas; Field/Forageable: All other grains, Barley, grass baleage, grass/legume, Oats, Soybeans, Wheat; Other: Straw</t>
  </si>
  <si>
    <t>Field/Forageable: Alfalfa Hay, Male Sterile Corn, Oats, Pasture, Fallow</t>
  </si>
  <si>
    <t>Other: Hay, Pasture, Corn, Sorghum/Sudan/Sudex</t>
  </si>
  <si>
    <t>Field/Forageable: Barley (Barley), Clover (Clover), Corn (Corn), Hay (Hay), Pasture (Pasture), Rye (Rye), Soybeans (Soybeans), Wheat (Wheat)</t>
  </si>
  <si>
    <t>Other: Alfalfa, Hay, Barley, Corn, Oats, Pasture, Peas, Radishes, Rye, Sorghum Sudangrass, Soybeans, Sudangrass, Triticale, Turnips, Woodland Pasture</t>
  </si>
  <si>
    <t xml:space="preserve">Additional Certified Products Under CROPS Scope </t>
  </si>
  <si>
    <t>Certificate Numbers for Certified Products under CROPS Scope</t>
  </si>
  <si>
    <t>Certificate numbers issued by Certifier.</t>
  </si>
  <si>
    <t>WI0228-GL-13-0500</t>
  </si>
  <si>
    <t>7170220445.24.1</t>
  </si>
  <si>
    <t>7170019015.24.1</t>
  </si>
  <si>
    <t>7170240757.24.1</t>
  </si>
  <si>
    <t>NOP-008286-2023</t>
  </si>
  <si>
    <t>OH1439-GL-20-1921</t>
  </si>
  <si>
    <t>7170240756.24.1</t>
  </si>
  <si>
    <t>OH1425-G-17-1296</t>
  </si>
  <si>
    <t>WI0556-GL-18-1459</t>
  </si>
  <si>
    <t>MN0036-G-12-0381</t>
  </si>
  <si>
    <t>PA0015-G-19-1584</t>
  </si>
  <si>
    <t>OH0022-GL-14-0872</t>
  </si>
  <si>
    <t>OH1442-GL-22-2017</t>
  </si>
  <si>
    <t>WI0098-G-10-0207</t>
  </si>
  <si>
    <t>WI0029-GL-08-1090</t>
  </si>
  <si>
    <t>7170220489.24.1</t>
  </si>
  <si>
    <t>IA0114-GL-19-1764</t>
  </si>
  <si>
    <t>IA0024-GL-13-0481</t>
  </si>
  <si>
    <t>Aeschlimann Farms, LLC</t>
  </si>
  <si>
    <t>MN1827-GL-24-2244</t>
  </si>
  <si>
    <t>24-0854</t>
  </si>
  <si>
    <t>7170240769.24.1</t>
  </si>
  <si>
    <t>7170210338.24.1</t>
  </si>
  <si>
    <t>7170020129.24.1</t>
  </si>
  <si>
    <t>WI0195-G-13-0424</t>
  </si>
  <si>
    <t>OH1422-GL-17-1262</t>
  </si>
  <si>
    <t>7170210369.24.1</t>
  </si>
  <si>
    <t>7170210322.24.1</t>
  </si>
  <si>
    <t>7170220458.24.1</t>
  </si>
  <si>
    <t>7170019038.24.1</t>
  </si>
  <si>
    <t>WI0334-GL-14-0854</t>
  </si>
  <si>
    <t>WI0346-GL-14-0776</t>
  </si>
  <si>
    <t>7170210284.24.1</t>
  </si>
  <si>
    <t>IN0078-GL-15-1106</t>
  </si>
  <si>
    <t>7170220446.24.1</t>
  </si>
  <si>
    <t>7170210286.24.1</t>
  </si>
  <si>
    <t>25950</t>
  </si>
  <si>
    <t>25354</t>
  </si>
  <si>
    <t>WI0400-GL-15-0969</t>
  </si>
  <si>
    <t>04-1178,</t>
  </si>
  <si>
    <t>OH1428-GL-17-1351</t>
  </si>
  <si>
    <t>7170230693.24.1</t>
  </si>
  <si>
    <t>NOP-009376-2024</t>
  </si>
  <si>
    <t>WI0069-GL-09-0170</t>
  </si>
  <si>
    <t>WI0675-GL-19-1759</t>
  </si>
  <si>
    <t>25250</t>
  </si>
  <si>
    <t>IN0076-GL-15-1101</t>
  </si>
  <si>
    <t>WI0380-G-14-0920</t>
  </si>
  <si>
    <t>7170230703.24.1</t>
  </si>
  <si>
    <t>WI0089-G-10-0198</t>
  </si>
  <si>
    <t>IA0023-GL-13-0480</t>
  </si>
  <si>
    <t>OH1423-GL-17-1282</t>
  </si>
  <si>
    <t>WI0615-GL-19-1627</t>
  </si>
  <si>
    <t>7170220490.24.1</t>
  </si>
  <si>
    <t>C0691113-NOPCPR-5</t>
  </si>
  <si>
    <t>24822</t>
  </si>
  <si>
    <t>24-1094</t>
  </si>
  <si>
    <t>7170220516.24.1</t>
  </si>
  <si>
    <t>MN0033-GL-12-0343</t>
  </si>
  <si>
    <t>,07-1294</t>
  </si>
  <si>
    <t>7170220487.24.1</t>
  </si>
  <si>
    <t>C0054291-NOPCPR-3</t>
  </si>
  <si>
    <t>C0054290-NOPCPR-4</t>
  </si>
  <si>
    <t>2433301</t>
  </si>
  <si>
    <t>7170220530.24.1</t>
  </si>
  <si>
    <t>24690</t>
  </si>
  <si>
    <t>WI0362-GL-14-0854</t>
  </si>
  <si>
    <t>NOP-008731-2023</t>
  </si>
  <si>
    <t>PA0027-GL-22-2099</t>
  </si>
  <si>
    <t>WI0092-G-10-0201</t>
  </si>
  <si>
    <t>24889</t>
  </si>
  <si>
    <t>7170020074.24.1</t>
  </si>
  <si>
    <t>12-554,</t>
  </si>
  <si>
    <t>24952</t>
  </si>
  <si>
    <t>24826</t>
  </si>
  <si>
    <t>,17-1151</t>
  </si>
  <si>
    <t>7170020212.24.1</t>
  </si>
  <si>
    <t>MN0022-GL-08-0104</t>
  </si>
  <si>
    <t>24581</t>
  </si>
  <si>
    <t>25775</t>
  </si>
  <si>
    <t>24-0235</t>
  </si>
  <si>
    <t>25-0171</t>
  </si>
  <si>
    <t>7170240775.24.1</t>
  </si>
  <si>
    <t>WI0061-GL-09-0149</t>
  </si>
  <si>
    <t>0703</t>
  </si>
  <si>
    <t>24540</t>
  </si>
  <si>
    <t>25581</t>
  </si>
  <si>
    <t>OG04534</t>
  </si>
  <si>
    <t>24-0175</t>
  </si>
  <si>
    <t>9815</t>
  </si>
  <si>
    <t>NOP-008255-2023</t>
  </si>
  <si>
    <t>7170020160.24.1</t>
  </si>
  <si>
    <t>MO0091-G-21-2007</t>
  </si>
  <si>
    <t>7170220441.24.1</t>
  </si>
  <si>
    <t>2024-201</t>
  </si>
  <si>
    <t>0207</t>
  </si>
  <si>
    <t>25183</t>
  </si>
  <si>
    <t>2024-261</t>
  </si>
  <si>
    <t>NOP-008171-2023</t>
  </si>
  <si>
    <t>0631</t>
  </si>
  <si>
    <t>0513</t>
  </si>
  <si>
    <t>WI0426-G-15-1050</t>
  </si>
  <si>
    <t>NOP-008158-2023</t>
  </si>
  <si>
    <t>24815</t>
  </si>
  <si>
    <t>WI0771-GL-22-2063</t>
  </si>
  <si>
    <t>NOP-008180-2023</t>
  </si>
  <si>
    <t>15-922,</t>
  </si>
  <si>
    <t>IN0073-GL-15-1085</t>
  </si>
  <si>
    <t>MN0038-GL-12-0399</t>
  </si>
  <si>
    <t>7170220556.24.1</t>
  </si>
  <si>
    <t>IN0116-GL-19-1592</t>
  </si>
  <si>
    <t>7170210301.24.1</t>
  </si>
  <si>
    <t>9730</t>
  </si>
  <si>
    <t>7170220512.24.1</t>
  </si>
  <si>
    <t>24-0259</t>
  </si>
  <si>
    <t>7170020128.24.1</t>
  </si>
  <si>
    <t>24-0359</t>
  </si>
  <si>
    <t>25565</t>
  </si>
  <si>
    <t>25-0177</t>
  </si>
  <si>
    <t>2024-231</t>
  </si>
  <si>
    <t>WI0473-GL-17-1197</t>
  </si>
  <si>
    <t>WI0696-GL-20-1846</t>
  </si>
  <si>
    <t>24468</t>
  </si>
  <si>
    <t>7170020080.24.1</t>
  </si>
  <si>
    <t>IA0026-G-13-0529</t>
  </si>
  <si>
    <t>WI0252-GL-13-0561</t>
  </si>
  <si>
    <t>OH0009-GL-13-0460</t>
  </si>
  <si>
    <t>IN0004-G-12-0385</t>
  </si>
  <si>
    <t>7170210409.24.1</t>
  </si>
  <si>
    <t>WI0239-GL-13-0526</t>
  </si>
  <si>
    <t>7170019043.24.1</t>
  </si>
  <si>
    <t>,21-1789</t>
  </si>
  <si>
    <t>7170230640.24.1</t>
  </si>
  <si>
    <t>PA0031-GL-23-2173</t>
  </si>
  <si>
    <t>IN0046-GL-14-0911</t>
  </si>
  <si>
    <t>OH1441-GL-21-2006</t>
  </si>
  <si>
    <t>,15-816</t>
  </si>
  <si>
    <t>PA0011-GL-17-1194</t>
  </si>
  <si>
    <t>OH1411-GL-15-1136</t>
  </si>
  <si>
    <t>25582</t>
  </si>
  <si>
    <t>WI1014-GL-07-0050</t>
  </si>
  <si>
    <t>26098</t>
  </si>
  <si>
    <t>25584</t>
  </si>
  <si>
    <t>NOP-008282-2023</t>
  </si>
  <si>
    <t>PA0021-GL-21-1938</t>
  </si>
  <si>
    <t>WI0441-G-15-1104</t>
  </si>
  <si>
    <t>12-503,</t>
  </si>
  <si>
    <t>WI0416-GL-15-1026</t>
  </si>
  <si>
    <t>WI0270-GL-13-0618</t>
  </si>
  <si>
    <t>7170230648.24.1</t>
  </si>
  <si>
    <t>IN0080-G-15-1111</t>
  </si>
  <si>
    <t>OH0021-G-14-0837</t>
  </si>
  <si>
    <t>7170020082.24.1</t>
  </si>
  <si>
    <t>7170240830.24.1</t>
  </si>
  <si>
    <t>IN0048-GL-15-0924</t>
  </si>
  <si>
    <t>WI0454-GL-15-1140</t>
  </si>
  <si>
    <t>IA0053-GL-14-0891</t>
  </si>
  <si>
    <t>7170220525.24.1</t>
  </si>
  <si>
    <t>NOP-008261-2023</t>
  </si>
  <si>
    <t>25340</t>
  </si>
  <si>
    <t>WI0392-GL-15-0947</t>
  </si>
  <si>
    <t>25401</t>
  </si>
  <si>
    <t>NOP-008290-2023</t>
  </si>
  <si>
    <t>7170210342.24.1</t>
  </si>
  <si>
    <t>7170020156.24.1</t>
  </si>
  <si>
    <t>PA0026-GL-21-2028</t>
  </si>
  <si>
    <t>7170210416.24.1,</t>
  </si>
  <si>
    <t>WI0437-G-15-1090</t>
  </si>
  <si>
    <t>NOP-008361-2023</t>
  </si>
  <si>
    <t>OH0016-GL-13-0562</t>
  </si>
  <si>
    <t>PA0016-G-19-1719</t>
  </si>
  <si>
    <t>7170210327.24.1</t>
  </si>
  <si>
    <t>IN0110-G-18-1526</t>
  </si>
  <si>
    <t>25570</t>
  </si>
  <si>
    <t>IN0038-GL-14-0879</t>
  </si>
  <si>
    <t>7170020094.24.1</t>
  </si>
  <si>
    <t>NOP-008258-2023</t>
  </si>
  <si>
    <t>NOP-008183-2023</t>
  </si>
  <si>
    <t>7170020268.24.1</t>
  </si>
  <si>
    <t>7170230678.24.1</t>
  </si>
  <si>
    <t>7170019001.24.1</t>
  </si>
  <si>
    <t>7170230688.24.1</t>
  </si>
  <si>
    <t>7170220608.24.1</t>
  </si>
  <si>
    <t>IN0022-G-13-0615</t>
  </si>
  <si>
    <t>24-0262</t>
  </si>
  <si>
    <t>24-0162</t>
  </si>
  <si>
    <t>NOP-008153-2023</t>
  </si>
  <si>
    <t>,2117201</t>
  </si>
  <si>
    <t>NOP-008256-2023</t>
  </si>
  <si>
    <t>24-0260</t>
  </si>
  <si>
    <t>7170220503.24.1</t>
  </si>
  <si>
    <t>7170220611.24.1</t>
  </si>
  <si>
    <t>1666</t>
  </si>
  <si>
    <t>WI0212-GL-13-0458</t>
  </si>
  <si>
    <t>C0721268-NOPCPR-2</t>
  </si>
  <si>
    <t>7170210354.24.1</t>
  </si>
  <si>
    <t>WI0341-G-14-0764</t>
  </si>
  <si>
    <t>NOP-008175-2023</t>
  </si>
  <si>
    <t>7170220453.24.1</t>
  </si>
  <si>
    <t>WI0402-GL-15-0973</t>
  </si>
  <si>
    <t>26010</t>
  </si>
  <si>
    <t>MN0052-GL-15-0951</t>
  </si>
  <si>
    <t>OH1417-GL-17-1387</t>
  </si>
  <si>
    <t>WI0196-GL-13-0427</t>
  </si>
  <si>
    <t>13-611,</t>
  </si>
  <si>
    <t>WI0368-G-14-0871</t>
  </si>
  <si>
    <t>25817</t>
  </si>
  <si>
    <t>OH0028-GL-14-0915</t>
  </si>
  <si>
    <t>24797</t>
  </si>
  <si>
    <t>IN0130-G-24-2119</t>
  </si>
  <si>
    <t>7170210275.24.1</t>
  </si>
  <si>
    <t>NOP-008388-2023</t>
  </si>
  <si>
    <t>MN1787-GL-20-1782</t>
  </si>
  <si>
    <t>NOP-008156-2023</t>
  </si>
  <si>
    <t>7170019017.24.1</t>
  </si>
  <si>
    <t>WI0524-G-17-1378</t>
  </si>
  <si>
    <t>IA0129-G-22-2011</t>
  </si>
  <si>
    <t>07-1390,</t>
  </si>
  <si>
    <t>NOP-009432-2024</t>
  </si>
  <si>
    <t>7170230686.24.1</t>
  </si>
  <si>
    <t>WI0259-GL-13-2013</t>
  </si>
  <si>
    <t>7170240851.24.1</t>
  </si>
  <si>
    <t>25898</t>
  </si>
  <si>
    <t>06-1291,</t>
  </si>
  <si>
    <t>7170210394.24.1</t>
  </si>
  <si>
    <t>NOP-008253-2023</t>
  </si>
  <si>
    <t>7170020174.24.1</t>
  </si>
  <si>
    <t>NOP-008186-2023</t>
  </si>
  <si>
    <t>7170020182.24.1</t>
  </si>
  <si>
    <t>7170210335.24.1,</t>
  </si>
  <si>
    <t>7170210274.24.1</t>
  </si>
  <si>
    <t>WI0596-G-18-1560</t>
  </si>
  <si>
    <t>WI0803-GL-23-2179</t>
  </si>
  <si>
    <t>7170240824.24.1</t>
  </si>
  <si>
    <t>PA0030-GL-23-2135</t>
  </si>
  <si>
    <t>7170210292.24.1</t>
  </si>
  <si>
    <t>7170220472.24.1</t>
  </si>
  <si>
    <t>0423</t>
  </si>
  <si>
    <t>25094</t>
  </si>
  <si>
    <t>25702</t>
  </si>
  <si>
    <t>7170220515.24.1</t>
  </si>
  <si>
    <t>7170020181.24.1</t>
  </si>
  <si>
    <t>24-0145</t>
  </si>
  <si>
    <t>7170220450.24.1</t>
  </si>
  <si>
    <t>25164</t>
  </si>
  <si>
    <t>25543</t>
  </si>
  <si>
    <t>7170220454.24.1</t>
  </si>
  <si>
    <t>7170019013.24.1</t>
  </si>
  <si>
    <t>7170220540.24.1</t>
  </si>
  <si>
    <t>7170220478.24.1</t>
  </si>
  <si>
    <t>IN0015-G-13-0510</t>
  </si>
  <si>
    <t>OH1410-G-15-1132</t>
  </si>
  <si>
    <t>7170240743.24.1</t>
  </si>
  <si>
    <t>NOP-008192-2023</t>
  </si>
  <si>
    <t>WI0339-G-14-0762</t>
  </si>
  <si>
    <t>IA0132-GL-22-2088</t>
  </si>
  <si>
    <t>7170019011.24.1</t>
  </si>
  <si>
    <t>IA0017-GL-12-0400</t>
  </si>
  <si>
    <t>WI0180-G-12-0401</t>
  </si>
  <si>
    <t>WI0031-GL-14-0745</t>
  </si>
  <si>
    <t>OH0020-GL-14-0759</t>
  </si>
  <si>
    <t>24-0802</t>
  </si>
  <si>
    <t>24-1108</t>
  </si>
  <si>
    <t>7170210347.24.1</t>
  </si>
  <si>
    <t>24-0036</t>
  </si>
  <si>
    <t>NOP-008176-2023</t>
  </si>
  <si>
    <t>NOP-009058-2024</t>
  </si>
  <si>
    <t>NOP-008977-2023</t>
  </si>
  <si>
    <t>7170220474.24.1</t>
  </si>
  <si>
    <t>7170220492.24.1</t>
  </si>
  <si>
    <t>25085</t>
  </si>
  <si>
    <t>24844</t>
  </si>
  <si>
    <t>26131</t>
  </si>
  <si>
    <t>1527</t>
  </si>
  <si>
    <t>23-1142</t>
  </si>
  <si>
    <t>7170230637.24.1</t>
  </si>
  <si>
    <t>7170020083.24.1</t>
  </si>
  <si>
    <t>7170020150.24.1</t>
  </si>
  <si>
    <t>CO-309780</t>
  </si>
  <si>
    <t>0233</t>
  </si>
  <si>
    <t>0349</t>
  </si>
  <si>
    <t>IA0010-GL-12-0333</t>
  </si>
  <si>
    <t>NOP-008154-2023</t>
  </si>
  <si>
    <t>7170210329.24.1</t>
  </si>
  <si>
    <t>NOP-009558-2025</t>
  </si>
  <si>
    <t>7170220529.24.1</t>
  </si>
  <si>
    <t>NOP-008355-2023</t>
  </si>
  <si>
    <t>NPI91XCC</t>
  </si>
  <si>
    <t>07-1396,</t>
  </si>
  <si>
    <t>NOP-008269-2023</t>
  </si>
  <si>
    <t>C0692148-NOPCPR-2</t>
  </si>
  <si>
    <t>MN0045-GL-13-0641</t>
  </si>
  <si>
    <t>WI0560-GL-18-1464</t>
  </si>
  <si>
    <t>7170220532.24.1</t>
  </si>
  <si>
    <t>MN1762-GL-18-1398</t>
  </si>
  <si>
    <t>7170210304.24.1</t>
  </si>
  <si>
    <t>7170220500.24.1</t>
  </si>
  <si>
    <t>26135</t>
  </si>
  <si>
    <t>IN0086-GL-17-1162</t>
  </si>
  <si>
    <t>7170230636.24.1</t>
  </si>
  <si>
    <t>OG06439</t>
  </si>
  <si>
    <t>26087</t>
  </si>
  <si>
    <t>24976</t>
  </si>
  <si>
    <t>IN0059-GL-15-1027</t>
  </si>
  <si>
    <t>26054</t>
  </si>
  <si>
    <t>23-0523</t>
  </si>
  <si>
    <t>2024-200</t>
  </si>
  <si>
    <t>NOP-008251-2023</t>
  </si>
  <si>
    <t>7170220570.24.1</t>
  </si>
  <si>
    <t>23809</t>
  </si>
  <si>
    <t>24-0866</t>
  </si>
  <si>
    <t>NOP-008260-2023</t>
  </si>
  <si>
    <t>7170020229.24.1</t>
  </si>
  <si>
    <t>NOP-008962-2023</t>
  </si>
  <si>
    <t>7170019026.24.1</t>
  </si>
  <si>
    <t>WI0662-G-19-1733</t>
  </si>
  <si>
    <t>NOP-008385-2023</t>
  </si>
  <si>
    <t>7170220439.24.1</t>
  </si>
  <si>
    <t>WI0483-GL-17-1263</t>
  </si>
  <si>
    <t>WI0731-GL-21-1935</t>
  </si>
  <si>
    <t>WI0825-GL-24-2251</t>
  </si>
  <si>
    <t>WI0729-GL-21-1924</t>
  </si>
  <si>
    <t>25339,25539</t>
  </si>
  <si>
    <t>NOP-008190-2023</t>
  </si>
  <si>
    <t>IN0045-GL-14-0909</t>
  </si>
  <si>
    <t>25650</t>
  </si>
  <si>
    <t>WI0756-GL-22-2018</t>
  </si>
  <si>
    <t>7170020135.24.1</t>
  </si>
  <si>
    <t>7170230679.24.1</t>
  </si>
  <si>
    <t>1503</t>
  </si>
  <si>
    <t>7170210297.24.1</t>
  </si>
  <si>
    <t>WI0256-GL-14-0912</t>
  </si>
  <si>
    <t>7170230656.24.1</t>
  </si>
  <si>
    <t>7170020068.24.1</t>
  </si>
  <si>
    <t>7170210357.24.1</t>
  </si>
  <si>
    <t>7170240752.24.1</t>
  </si>
  <si>
    <t>WI0678-CL-20-1773</t>
  </si>
  <si>
    <t>25271</t>
  </si>
  <si>
    <t>WI0213-GL-13-0461</t>
  </si>
  <si>
    <t>WI0150-GL-12-0321</t>
  </si>
  <si>
    <t>7170210294.24.1</t>
  </si>
  <si>
    <t>25-0062</t>
  </si>
  <si>
    <t>WI0452-GL-15-1138</t>
  </si>
  <si>
    <t>24-0681</t>
  </si>
  <si>
    <t>7170230676.24.1</t>
  </si>
  <si>
    <t>24780</t>
  </si>
  <si>
    <t>PA0017-CL-20-1774</t>
  </si>
  <si>
    <t>7170240774.24.1</t>
  </si>
  <si>
    <t>WI0481-GL-17-1235</t>
  </si>
  <si>
    <t>MN0037-GL-12-0393</t>
  </si>
  <si>
    <t>NOP-009580-2025</t>
  </si>
  <si>
    <t>7170210374.24.1</t>
  </si>
  <si>
    <t>24895</t>
  </si>
  <si>
    <t>IN0047-GL-14-0914</t>
  </si>
  <si>
    <t>NOP-008980-2023</t>
  </si>
  <si>
    <t>NOP-008357-2023</t>
  </si>
  <si>
    <t>25695</t>
  </si>
  <si>
    <t>12-519,</t>
  </si>
  <si>
    <t>WI0738-GL-21-1977</t>
  </si>
  <si>
    <t>24909</t>
  </si>
  <si>
    <t>03-1139,</t>
  </si>
  <si>
    <t>7170240754.24.1</t>
  </si>
  <si>
    <t>WI0562-GL-18-1468</t>
  </si>
  <si>
    <t>7170230668.24.1</t>
  </si>
  <si>
    <t>25081</t>
  </si>
  <si>
    <t>25143</t>
  </si>
  <si>
    <t>WI0191-GL-13-0414</t>
  </si>
  <si>
    <t>NOP-008291-2023</t>
  </si>
  <si>
    <t>OH0015-GL-13-0556</t>
  </si>
  <si>
    <t>7170020164.24.1</t>
  </si>
  <si>
    <t>7170020158.24.1</t>
  </si>
  <si>
    <t>1665</t>
  </si>
  <si>
    <t>7170020272.24.1</t>
  </si>
  <si>
    <t>7170210314.24.1</t>
  </si>
  <si>
    <t>24467</t>
  </si>
  <si>
    <t>WI0139-G-12-0307</t>
  </si>
  <si>
    <t>WI0420-GL-15-1034</t>
  </si>
  <si>
    <t>OH1424-G-18-1543</t>
  </si>
  <si>
    <t>25439</t>
  </si>
  <si>
    <t>7170020178.24.1</t>
  </si>
  <si>
    <t>NOP-008189-2023</t>
  </si>
  <si>
    <t>IN0053-G-15-0981</t>
  </si>
  <si>
    <t>NOP-008164-2023</t>
  </si>
  <si>
    <t>7170240777.24.1</t>
  </si>
  <si>
    <t>7170210285.24.1</t>
  </si>
  <si>
    <t>WI0712-G-20-1876</t>
  </si>
  <si>
    <t>NOP-009212-2024</t>
  </si>
  <si>
    <t>WI0226-GL-13-0496</t>
  </si>
  <si>
    <t>WI0004-GL-07-0011</t>
  </si>
  <si>
    <t>7170240853.24.1</t>
  </si>
  <si>
    <t>7170220605.24.1</t>
  </si>
  <si>
    <t>24299</t>
  </si>
  <si>
    <t>NOP-008732-2023</t>
  </si>
  <si>
    <t>0617</t>
  </si>
  <si>
    <t>25149</t>
  </si>
  <si>
    <t>NOP-008268-2023</t>
  </si>
  <si>
    <t>WI0790-GL-23-2115</t>
  </si>
  <si>
    <t>7170019030.24.1</t>
  </si>
  <si>
    <t>IN0036-GL-14-0870</t>
  </si>
  <si>
    <t>7170220497.24.1</t>
  </si>
  <si>
    <t>IA0090-G-18-1443</t>
  </si>
  <si>
    <t>7170020165.24.1</t>
  </si>
  <si>
    <t>IN0011-GL-13-0477</t>
  </si>
  <si>
    <t>IN0098-GL-17-1369</t>
  </si>
  <si>
    <t>25755</t>
  </si>
  <si>
    <t>MI0043-G-15-1137</t>
  </si>
  <si>
    <t>7170220577.24.1</t>
  </si>
  <si>
    <t>7170210291.24.1</t>
  </si>
  <si>
    <t>13-617,</t>
  </si>
  <si>
    <t>WI0464-GL-17-1167</t>
  </si>
  <si>
    <t>7170230642.24.1</t>
  </si>
  <si>
    <t>7170020076.24.1</t>
  </si>
  <si>
    <t>25980</t>
  </si>
  <si>
    <t>7170240744.24.1</t>
  </si>
  <si>
    <t>OH1424-GL-17-1286</t>
  </si>
  <si>
    <t>7170210287.24.1</t>
  </si>
  <si>
    <t>7170220485.24.1</t>
  </si>
  <si>
    <t>NOP-008279-2023</t>
  </si>
  <si>
    <t>7170220455.24.1</t>
  </si>
  <si>
    <t>7170240779.24.1</t>
  </si>
  <si>
    <t>25573</t>
  </si>
  <si>
    <t>OH1421-GL-17-1243</t>
  </si>
  <si>
    <t>NOP-008387-2023</t>
  </si>
  <si>
    <t>24904</t>
  </si>
  <si>
    <t>,21-1746</t>
  </si>
  <si>
    <t>7170220471.24.1</t>
  </si>
  <si>
    <t>7170020062.24.1</t>
  </si>
  <si>
    <t>24277</t>
  </si>
  <si>
    <t>25958</t>
  </si>
  <si>
    <t>WI0167-GL-12-0376</t>
  </si>
  <si>
    <t>7170210367.24.1</t>
  </si>
  <si>
    <t>24997</t>
  </si>
  <si>
    <t>NOP-009484-2025</t>
  </si>
  <si>
    <t>24-0611</t>
  </si>
  <si>
    <t>NOP-008179-2023</t>
  </si>
  <si>
    <t>11-449,</t>
  </si>
  <si>
    <t>11-424,</t>
  </si>
  <si>
    <t>7170210341.24.1</t>
  </si>
  <si>
    <t>NOP-008182-2023</t>
  </si>
  <si>
    <t>25845</t>
  </si>
  <si>
    <t>NOP-008174-2023</t>
  </si>
  <si>
    <t>24-0104</t>
  </si>
  <si>
    <t>24-1071</t>
  </si>
  <si>
    <t>25937</t>
  </si>
  <si>
    <t>OH1426-GL-17-1320</t>
  </si>
  <si>
    <t>1254</t>
  </si>
  <si>
    <t>25238</t>
  </si>
  <si>
    <t>7170240797.24.1</t>
  </si>
  <si>
    <t>24906</t>
  </si>
  <si>
    <t>NY0012-GL-21-1991</t>
  </si>
  <si>
    <t>NY0013-GL-21-1997</t>
  </si>
  <si>
    <t>7170220506.24.1</t>
  </si>
  <si>
    <t>7170210376.24.1</t>
  </si>
  <si>
    <t>NOP-009344-2024</t>
  </si>
  <si>
    <t>NOP-008161-2023</t>
  </si>
  <si>
    <t>7170240778.24.1</t>
  </si>
  <si>
    <t>12-549,</t>
  </si>
  <si>
    <t>IN0075-GL-15-1099</t>
  </si>
  <si>
    <t>MI0027-GL-14-0826</t>
  </si>
  <si>
    <t>7170240857.24.1</t>
  </si>
  <si>
    <t>WI0117-GL-11-0242</t>
  </si>
  <si>
    <t>WI0591-G-18-1552</t>
  </si>
  <si>
    <t>7170020079.24.1</t>
  </si>
  <si>
    <t>MN1767-GL-19-1590</t>
  </si>
  <si>
    <t>MI0050-G-17-1310</t>
  </si>
  <si>
    <t>7170020163.24.1</t>
  </si>
  <si>
    <t>OH1408-GL-15-1126</t>
  </si>
  <si>
    <t>7170220476.24.1</t>
  </si>
  <si>
    <t>NOP-008166-2023</t>
  </si>
  <si>
    <t>7170020066.24.1</t>
  </si>
  <si>
    <t>7170210337.24.1</t>
  </si>
  <si>
    <t>7170210343.24.1</t>
  </si>
  <si>
    <t>7170230673.24.1</t>
  </si>
  <si>
    <t>24-0524</t>
  </si>
  <si>
    <t>7170220479.24.1</t>
  </si>
  <si>
    <t>NOP-008280-2023</t>
  </si>
  <si>
    <t>WI0494-GL-17-1321</t>
  </si>
  <si>
    <t>7170240787.24.1</t>
  </si>
  <si>
    <t>OH0002-GL-12-0345</t>
  </si>
  <si>
    <t>NOP-008181-2023</t>
  </si>
  <si>
    <t>7170240780.24.1</t>
  </si>
  <si>
    <t>23-1141</t>
  </si>
  <si>
    <t>24-0941</t>
  </si>
  <si>
    <t>24555</t>
  </si>
  <si>
    <t>7170220436.24.1</t>
  </si>
  <si>
    <t>WI0487-GL-17-1279</t>
  </si>
  <si>
    <t>NOP-008365-2023</t>
  </si>
  <si>
    <t>25634</t>
  </si>
  <si>
    <t>WI0176-G-12-0389</t>
  </si>
  <si>
    <t>7170020091.24.1</t>
  </si>
  <si>
    <t>7170220583.24.1</t>
  </si>
  <si>
    <t>25261</t>
  </si>
  <si>
    <t>WI0415-GL-15-1023</t>
  </si>
  <si>
    <t>NOP-008157-2023</t>
  </si>
  <si>
    <t>7170240770.24.1</t>
  </si>
  <si>
    <t>7170240758.24.1</t>
  </si>
  <si>
    <t>WI0806-GL-24-2190</t>
  </si>
  <si>
    <t>7170240819.24.1</t>
  </si>
  <si>
    <t>7170230624.24.1</t>
  </si>
  <si>
    <t>7170020075.24.1</t>
  </si>
  <si>
    <t>7170230658.24.1</t>
  </si>
  <si>
    <t>OH0001-GL-12-0339</t>
  </si>
  <si>
    <t>NOP-008653-2023</t>
  </si>
  <si>
    <t>2202105</t>
  </si>
  <si>
    <t>23-1123</t>
  </si>
  <si>
    <t>WI0230-GL-13-0505</t>
  </si>
  <si>
    <t>IA0042-GL-14-0660</t>
  </si>
  <si>
    <t>24773</t>
  </si>
  <si>
    <t>7170240811.24.1</t>
  </si>
  <si>
    <t>23-1165</t>
  </si>
  <si>
    <t>1415</t>
  </si>
  <si>
    <t>25865</t>
  </si>
  <si>
    <t>WI0458-GL-15-1153</t>
  </si>
  <si>
    <t>25757</t>
  </si>
  <si>
    <t>OH1419-G-17-1240</t>
  </si>
  <si>
    <t>OH1436-GL-20-1850</t>
  </si>
  <si>
    <t>24789</t>
  </si>
  <si>
    <t>WI0749-GL-21-2004</t>
  </si>
  <si>
    <t>25850</t>
  </si>
  <si>
    <t>1616</t>
  </si>
  <si>
    <t>24-0227</t>
  </si>
  <si>
    <t>24953</t>
  </si>
  <si>
    <t>0705</t>
  </si>
  <si>
    <t>7170020199.24.1</t>
  </si>
  <si>
    <t>7170240796.24.1</t>
  </si>
  <si>
    <t>WI0754-GL-22-2014</t>
  </si>
  <si>
    <t>7170020185.24.1</t>
  </si>
  <si>
    <t>MI0062-G-18-1453</t>
  </si>
  <si>
    <t>25782</t>
  </si>
  <si>
    <t>NPA04BCC</t>
  </si>
  <si>
    <t>7170220470.24.1</t>
  </si>
  <si>
    <t>7170230663.24.1</t>
  </si>
  <si>
    <t>WI0690-GL-20-1826</t>
  </si>
  <si>
    <t>24-0034</t>
  </si>
  <si>
    <t>MN0020-GL-08-0085</t>
  </si>
  <si>
    <t>25112</t>
  </si>
  <si>
    <t>7170020202.24.1</t>
  </si>
  <si>
    <t>25529</t>
  </si>
  <si>
    <t>NY0014-G-22-2083</t>
  </si>
  <si>
    <t>7170220452.24.1</t>
  </si>
  <si>
    <t>7170220544.24.1</t>
  </si>
  <si>
    <t>NOP-008284-2023</t>
  </si>
  <si>
    <t>MN0061-GL-15-0923</t>
  </si>
  <si>
    <t>MN1807-GL-22-2015</t>
  </si>
  <si>
    <t>24-0504</t>
  </si>
  <si>
    <t>25110</t>
  </si>
  <si>
    <t>0717</t>
  </si>
  <si>
    <t>7170020064.24.1</t>
  </si>
  <si>
    <t>7170240794.24.1</t>
  </si>
  <si>
    <t>NOP-008169-2023</t>
  </si>
  <si>
    <t>,7170020098.24.1</t>
  </si>
  <si>
    <t>7170220561.24.1</t>
  </si>
  <si>
    <t>7170240820.24.1</t>
  </si>
  <si>
    <t>24-1119</t>
  </si>
  <si>
    <t>24836</t>
  </si>
  <si>
    <t>IN0042-GL-14-0896</t>
  </si>
  <si>
    <t>7170220614.24.1</t>
  </si>
  <si>
    <t>12-548,</t>
  </si>
  <si>
    <t>7170210300.24.1</t>
  </si>
  <si>
    <t>7170020184.24.1</t>
  </si>
  <si>
    <t>2024-150</t>
  </si>
  <si>
    <t>7170020134.24.1</t>
  </si>
  <si>
    <t>IA0111-GL-19-1680</t>
  </si>
  <si>
    <t>WI0727-GL-20-1918</t>
  </si>
  <si>
    <t>7170220447.24.1</t>
  </si>
  <si>
    <t>NOP-009572-2025</t>
  </si>
  <si>
    <t>OG04527</t>
  </si>
  <si>
    <t>9105</t>
  </si>
  <si>
    <t>25307</t>
  </si>
  <si>
    <t>US8533/24</t>
  </si>
  <si>
    <t>25433</t>
  </si>
  <si>
    <t>25759</t>
  </si>
  <si>
    <t>WI0444-G-15-1112</t>
  </si>
  <si>
    <t>25892</t>
  </si>
  <si>
    <t>25410</t>
  </si>
  <si>
    <t>24394</t>
  </si>
  <si>
    <t>25422</t>
  </si>
  <si>
    <t>24959</t>
  </si>
  <si>
    <t>WI0757-GL-22-2019</t>
  </si>
  <si>
    <t>IA0012-GLH-12-0350</t>
  </si>
  <si>
    <t>25235</t>
  </si>
  <si>
    <t>0444</t>
  </si>
  <si>
    <t>WI0008-GL-07-0031</t>
  </si>
  <si>
    <t>24779</t>
  </si>
  <si>
    <t>WI0133-GL-11-0277</t>
  </si>
  <si>
    <t>7170210334.24.1</t>
  </si>
  <si>
    <t>OH1416-GL-17-1386</t>
  </si>
  <si>
    <t>IN0094-GL-17-1329</t>
  </si>
  <si>
    <t>13-650,</t>
  </si>
  <si>
    <t>OH1421-GL-18-1466</t>
  </si>
  <si>
    <t>2130701</t>
  </si>
  <si>
    <t>25234</t>
  </si>
  <si>
    <t>24-1140</t>
  </si>
  <si>
    <t>24-1074</t>
  </si>
  <si>
    <t>WI0301-G-14-0685</t>
  </si>
  <si>
    <t>7170240793.24.1</t>
  </si>
  <si>
    <t>NOP-008262-2023</t>
  </si>
  <si>
    <t>WI0072-GL-09-0174</t>
  </si>
  <si>
    <t>,2204702</t>
  </si>
  <si>
    <t>SD0004-GL-12-0397</t>
  </si>
  <si>
    <t>WI0574-G-18-1487</t>
  </si>
  <si>
    <t>7170220460.24.1</t>
  </si>
  <si>
    <t>NOP-008254-2023</t>
  </si>
  <si>
    <t>0911</t>
  </si>
  <si>
    <t>24911</t>
  </si>
  <si>
    <t>IL0009-GL-14-0712</t>
  </si>
  <si>
    <t>WI0056-GL-09-0139</t>
  </si>
  <si>
    <t>9720</t>
  </si>
  <si>
    <t>NOP-009582-2025</t>
  </si>
  <si>
    <t>NOP-008170-2023</t>
  </si>
  <si>
    <t>23-0932</t>
  </si>
  <si>
    <t>25551</t>
  </si>
  <si>
    <t>26084</t>
  </si>
  <si>
    <t>7170220613.24.1</t>
  </si>
  <si>
    <t>7170230664.24.1</t>
  </si>
  <si>
    <t>MN1822-GL-23-2180</t>
  </si>
  <si>
    <t>NOP-009080-2024</t>
  </si>
  <si>
    <t>09-302,</t>
  </si>
  <si>
    <t>NOP-008359-2023</t>
  </si>
  <si>
    <t>25512</t>
  </si>
  <si>
    <t>2024-230</t>
  </si>
  <si>
    <t>7170210336.24.1</t>
  </si>
  <si>
    <t>WI0558-G-18-1462</t>
  </si>
  <si>
    <t>7170020078.24.1,</t>
  </si>
  <si>
    <t>7170210353.24.1</t>
  </si>
  <si>
    <t>NOP-009084-2024</t>
  </si>
  <si>
    <t>,15-845</t>
  </si>
  <si>
    <t>SD0006-GL-15-1143</t>
  </si>
  <si>
    <t>PA0010-GL-15-1083</t>
  </si>
  <si>
    <t>24059</t>
  </si>
  <si>
    <t>WI0544-G-18-1425</t>
  </si>
  <si>
    <t>24250</t>
  </si>
  <si>
    <t>25116</t>
  </si>
  <si>
    <t>25987</t>
  </si>
  <si>
    <t>NOP-008263-2023</t>
  </si>
  <si>
    <t>12-524,</t>
  </si>
  <si>
    <t>PA0022-GL-21-1972</t>
  </si>
  <si>
    <t>25862</t>
  </si>
  <si>
    <t>OH0018-GL-13-0633</t>
  </si>
  <si>
    <t>NOP-008193-2023</t>
  </si>
  <si>
    <t>0723</t>
  </si>
  <si>
    <t>202142</t>
  </si>
  <si>
    <t>25290</t>
  </si>
  <si>
    <t>24-0606</t>
  </si>
  <si>
    <t>7170019024.24.1,</t>
  </si>
  <si>
    <t>0704</t>
  </si>
  <si>
    <t>0721</t>
  </si>
  <si>
    <t>MI0079-GL-20-1185</t>
  </si>
  <si>
    <t>WI0674-GL-19-1758</t>
  </si>
  <si>
    <t>25430</t>
  </si>
  <si>
    <t>24-0052</t>
  </si>
  <si>
    <t>25575</t>
  </si>
  <si>
    <t>NOP-008389-2023</t>
  </si>
  <si>
    <t>PA0009-G-13-0507</t>
  </si>
  <si>
    <t>24912</t>
  </si>
  <si>
    <t>0503</t>
  </si>
  <si>
    <t>25176</t>
  </si>
  <si>
    <t>WI0618-G-19-1639</t>
  </si>
  <si>
    <t>NOP-008152-2023</t>
  </si>
  <si>
    <t>WI0592-GL-18-1555</t>
  </si>
  <si>
    <t>NOP-008283-2023</t>
  </si>
  <si>
    <t>25418</t>
  </si>
  <si>
    <t>NOP-008288-2023</t>
  </si>
  <si>
    <t>7170020197.24.1</t>
  </si>
  <si>
    <t>IN0066-GL-15-1058</t>
  </si>
  <si>
    <t>NOP-008285-2023</t>
  </si>
  <si>
    <t>25696</t>
  </si>
  <si>
    <t>,22-1831</t>
  </si>
  <si>
    <t>26034</t>
  </si>
  <si>
    <t>7170020086.24.1</t>
  </si>
  <si>
    <t>24120</t>
  </si>
  <si>
    <t>7170220582.24.1</t>
  </si>
  <si>
    <t>7170020240.24.1</t>
  </si>
  <si>
    <t>23-1070</t>
  </si>
  <si>
    <t>7170210348.24.1</t>
  </si>
  <si>
    <t>7170220473.24.1</t>
  </si>
  <si>
    <t>NOP-008979-2023</t>
  </si>
  <si>
    <t>24388</t>
  </si>
  <si>
    <t>7170240747.24.1</t>
  </si>
  <si>
    <t>WI0538-GL-18-1407</t>
  </si>
  <si>
    <t>7170230649.24.1</t>
  </si>
  <si>
    <t>IA0063-G-15-1091</t>
  </si>
  <si>
    <t>MI0052-G-17-1336</t>
  </si>
  <si>
    <t>NOP-009520-2025</t>
  </si>
  <si>
    <t>7170210355.24.1</t>
  </si>
  <si>
    <t>NOP-008281-2023</t>
  </si>
  <si>
    <t>24856</t>
  </si>
  <si>
    <t>25639</t>
  </si>
  <si>
    <t>C0626790-NOPCPR-2</t>
  </si>
  <si>
    <t>24823</t>
  </si>
  <si>
    <t>0208</t>
  </si>
  <si>
    <t>WI0601-GL-18-1572</t>
  </si>
  <si>
    <t>7170210302.24.1</t>
  </si>
  <si>
    <t>7170020204.24.1</t>
  </si>
  <si>
    <t>26018</t>
  </si>
  <si>
    <t>9742</t>
  </si>
  <si>
    <t>WI0153-GL-12-0324</t>
  </si>
  <si>
    <t>7170230659.24.1</t>
  </si>
  <si>
    <t>7170019002.24.1</t>
  </si>
  <si>
    <t>24109</t>
  </si>
  <si>
    <t>NOP-008177-2023</t>
  </si>
  <si>
    <t>7170019059.24.1</t>
  </si>
  <si>
    <t>7170220463.24.1</t>
  </si>
  <si>
    <t>IN0049-GL-15-0945</t>
  </si>
  <si>
    <t>WI1020-GL-08-0064</t>
  </si>
  <si>
    <t>OH1403-GL-15-0999</t>
  </si>
  <si>
    <t>7170220475.24.1</t>
  </si>
  <si>
    <t>7170020069.24.1</t>
  </si>
  <si>
    <t>IN0117-G-19-1665</t>
  </si>
  <si>
    <t>0346</t>
  </si>
  <si>
    <t>WI0621-GL-19-1646</t>
  </si>
  <si>
    <t>24802</t>
  </si>
  <si>
    <t>25402</t>
  </si>
  <si>
    <t>8911</t>
  </si>
  <si>
    <t>7170210332.24.1</t>
  </si>
  <si>
    <t>IN0126-GL-21-1989</t>
  </si>
  <si>
    <t>NOP-009194-2024</t>
  </si>
  <si>
    <t>NOP-008168-2023</t>
  </si>
  <si>
    <t>WI0258-G-13-0571</t>
  </si>
  <si>
    <t>WI0774-G-22-2075</t>
  </si>
  <si>
    <t>OH0006-GL-13-0435</t>
  </si>
  <si>
    <t>NOP-008265-2023</t>
  </si>
  <si>
    <t>7170020087.24.1</t>
  </si>
  <si>
    <t>26143</t>
  </si>
  <si>
    <t>MI0021-GL-14-0725</t>
  </si>
  <si>
    <t>WI1019-GL-08-0056</t>
  </si>
  <si>
    <t>1429</t>
  </si>
  <si>
    <t>2002</t>
  </si>
  <si>
    <t>OH0005-GL-12-377</t>
  </si>
  <si>
    <t>WI0737-GL-21-1976</t>
  </si>
  <si>
    <t>7170020214.24.1</t>
  </si>
  <si>
    <t>LIVESTOCK Scope Certification Status</t>
  </si>
  <si>
    <t>Effective Date of LIVESTOCK Status</t>
  </si>
  <si>
    <t>Certified Products Under LIVESTOCK Scope</t>
  </si>
  <si>
    <t>Cattle: Cattle - Dairy Other (Milk), Dairy Bulls, Dairy Replacement Heifer, Milking Cows, Slaughter Eligible</t>
  </si>
  <si>
    <t>Other: Dairy replacements - all eligible for organic slaughter</t>
  </si>
  <si>
    <t>Other: Dairy Cows for milk - all eligible for organic slaughter, Dairy Replacements - all eligible for organic slaughter, Milk</t>
  </si>
  <si>
    <t>Cattle: Dairy Cattle, Milk (See Livestock List for Organic Slaughter Eligible Livestock)</t>
  </si>
  <si>
    <t>Cattle: Dairy Replacement Heifer</t>
  </si>
  <si>
    <t>Other: Dairy Cows (some eligible for organic slaughter), Dairy Replacements (eligible for organic slaughter), and Milk</t>
  </si>
  <si>
    <t>Cattle: Calves, Dairy Replacement Heifer, Heifer Boarding, Milk, Milking Cows, Slaughter Eligible</t>
  </si>
  <si>
    <t>Cattle: Calves (Dairy Calves (all eligible for organic slaughter)), Dairy Replacement Heifer (Dairy Replacement Heifers (some eligible for organic slaughter)), Milk - Raw Bulk Milk, Milking Cows (Dairy Cows (some eligible for organic slaughter))</t>
  </si>
  <si>
    <t>Other: Dairy Cows for milk - some eligible for organic slaughter, Dairy Replacements - all eligible for organic slaughter, Milk</t>
  </si>
  <si>
    <t>Cattle: Cattle - Dairy Other (Milk), Dairy Replacement Heifer, Milking Cows, Slaughter Eligible</t>
  </si>
  <si>
    <t>Cattle: Dairy Replacement Heifer, Milk, Milking Cows, Slaughter Eligible</t>
  </si>
  <si>
    <t>Cattle: Dairy Replacement Heifer, Dry Cows, Heifer Boarding, Milk, Milking Cows, Slaughter Eligible</t>
  </si>
  <si>
    <t>Other: Dairy Cows for milk - none eligible for organic slaughter, Dairy Replacements - none eligible for organic slaughter, Milk</t>
  </si>
  <si>
    <t>Other: Dairy cows for milk - some eligible for organic slaughter, Dairy replacements - all eligible for organic slaughter, Milk</t>
  </si>
  <si>
    <t>Cattle: Calves, Dairy Bulls, Heifer Boarding, Heifers, Milk, Milking Cows, Slaughter Eligible</t>
  </si>
  <si>
    <t>Cattle: Cattle - Dairy Other (Milk), Dairy Replacement Heifer, Milking Cows</t>
  </si>
  <si>
    <t>Other: Dairy Cows for milk - some eligible for organic slaughter, Dairy Replacements - some eligible for organic slaughter, Milk</t>
  </si>
  <si>
    <t>Other: #Dairy cows for milk -none eligible for organic slaughter (Organic eligibility date 12/01/2024), #Dairy replacements - none eligible for organic slaughter (Organic eligibility date 12/01/2024), #Milk (Organic eligibility date 12/01/2024)</t>
  </si>
  <si>
    <t>Other: #Custom raising of cattle, Beef cows - some eligible for organic slaughter, Beef heifers and steers - all eligible for organic slaughter, Dairy cows for milk - some eligible or organic slaughter, Dairy replacements - all eligible for organic slaughter, Milk</t>
  </si>
  <si>
    <t>Other: Dairy cows for milk - all eligible for organic slaughter, Dairy replacements - all eligible for organic slaughter, Milk</t>
  </si>
  <si>
    <t>Cattle: Calves (Some eligible for organic slaughter), Dairy Bulls, Dairy Steers, Dry Cows (Some eligible for organic slaughter), Heifers (Some eligible for organic slaughter), Milking Cows (Milk) (Some eligible for organic slaughter)</t>
  </si>
  <si>
    <t>Other: Milk, Dairy Cows (some eligible for organic slaughter), and Dairy Replacements (eligible for organic slaughter)</t>
  </si>
  <si>
    <t>Other: Dairy cow: milk, Dairy cow: replacements</t>
  </si>
  <si>
    <t>Cattle: Calves, Dairy Replacement Heifer, Dry Cows, Heifer Boarding, Milk, Milking Cows, Slaughter Eligible</t>
  </si>
  <si>
    <t>Cattle: Bulls, Calves (Some eligible for organic slaughter), Dairy Steers, Dry Cows (Some eligible for organic slaughter), Heifers (Some eligible for organic slaughter), Milking Cows (Milk) (Some eligible for organic slaughter)</t>
  </si>
  <si>
    <t>Cattle: Calves (all born last third organic, eligible for organic slaughter), Dairy Replacement Heifer (all born last third organic, eligible for organic slaughter), Dairy Steers (calves to finish (all born last third organic, eligible for organic slaughter)), Milking Cows (milk (all born last third organic, eligible for organic slaughter))</t>
  </si>
  <si>
    <t>Other: Dairy Replacements, Heifers, Calves, Slaughter Stock Eligible</t>
  </si>
  <si>
    <t>Cattle: Calves, Dairy Replacement Heifer, Milk, Milking Cows, Slaughter Eligible</t>
  </si>
  <si>
    <t>Cattle: Cattle - Dairy Other (Milk), Milking Cows, Slaughter Eligible</t>
  </si>
  <si>
    <t>Cattle: Calves (Some Eligible For Organic Slaughter), Dairy Steers (Some Eligible for Organic Slaughter), Dry Cows (Some Eligible For Organic Slaughter), Heifers (Some Eligible For Organic Slaughter), Milking Cows (Milk) (Some Eligible For Organic Slaughter)</t>
  </si>
  <si>
    <t>Other: Bulls, Dairy Cattle (slaughter eligible), Milk</t>
  </si>
  <si>
    <t>Other: Beef brood cows - some eligible for organic slaughter, Beef steers and heifers - all eligible for organic slaughter, Dairy cows for milk - all eligible for organic slaughter, Dairy replacements - all eligible for organic slaughter, Milk</t>
  </si>
  <si>
    <t>Other: Dairy Goat Replacements - all eligible for organic slaughter, Dairy Goats for milk - all eligible for organic slaughter, Milk</t>
  </si>
  <si>
    <t>Cattle: Dairy Cattle - Last Third Gestation (Organic Slaughter Eligible), Dairy Cattle - Last Third Gestation (Not Organic Slaughter Eligible), Dairy Cattle - Transitioned (Not Organic Slaughter Eligible), Raw Bulk Milk</t>
  </si>
  <si>
    <t>Cattle: Dairy Replacement Heifer (Replacement Heifers (Slaughter Eligible)), Milking Cows (Dairy Cows (slaughter eligible))</t>
  </si>
  <si>
    <t>Cattle: Cattle (Dairy - Last Third - Eligible for Organic Slaughter) (Slaughter Eligible Animals Identified by Non-Red Ear Tag and Un-Notched Ear or Ear Tag.  ), Cattle (Dairy - Last Third - Ineligible for Organic Slaughter) (Not Eligible for Slaughter. Identified by Notched Ear or Ear Tag.), Cattle (Dairy-Transitioned-Not for Meat) (Not Eligible for Slaughter. Identified by Notched Ear or Ear Tag.); Other: Custom Management of Animals, Outdoor Access Area for Organic Animals</t>
  </si>
  <si>
    <t>Cattle: Calves (Some eligible for organic slaughter), Dairy Replacement Heifer (Some eligible for organic slaughter), Dry Cows (Some eligible for organic slaughter), Milking Cows (Milk) (Some eligible for organic slaughter)</t>
  </si>
  <si>
    <t>Other: Dairy cows - all eligible for organic slaughter, Dairy replacements - all eligible for organic slaughter, Milk</t>
  </si>
  <si>
    <t>Other: Milk, Dairy Cows (some eligible for organic slaughter), Dairy Replacements (eligible for organic slaughter)</t>
  </si>
  <si>
    <t>Other: Beef and Dairy Cattle (some eligible for organic slaughter)</t>
  </si>
  <si>
    <t>Other: Dairy cows for milk - all eligible for organic slaughter;Dairy replacements - all eligible for organic slaughter;Milk.Certified in accordance with the terms of the U.S.-Canada Organic Equivalency Arrangement.</t>
  </si>
  <si>
    <t>Other: *Dairy bulls - all eligible for organic slaughter, *Dairy cows for milk - some eligible for organic slaughter, *Dairy replacements - all eligible for organic slaughter, *Milk</t>
  </si>
  <si>
    <t>Other: Dairy bulls - all eligible for organic slaughter, Dairy cows for milk - some eligible for organic slaughter, Dairy replacements - all eligible for organic slaughter, Milk</t>
  </si>
  <si>
    <t>Other: Milk, Dairy Cows (some eligible for slaughter), Dairy Replacements (eligible for slaughter), and Dairy Bull (eligible for slaughter)</t>
  </si>
  <si>
    <t>Poultry: Broilers, Turkeys; Cattle: Dairy Replacement Heifer, Heifer Boarding, Milk, Milking Cows, Slaughter Eligible</t>
  </si>
  <si>
    <t>Other: Goat Milk, Dairy Goats (some eligible for organic slaughter), Dairy Goat Replacements (some eligible for organic slaughter)</t>
  </si>
  <si>
    <t>Cattle: Calves, Dairy Replacement Heifer, Heifers, Milk, Milking Cows, Slaughter Eligible</t>
  </si>
  <si>
    <t>Cattle: Dairy Replacement Heifer, Dry Cows, Heifer Boarding, Heifers, Milk, Milking Cows, Slaughter Eligible</t>
  </si>
  <si>
    <t>Goats: Breeding Eligible, Fluid Milk</t>
  </si>
  <si>
    <t>Cattle: Dairy Replacement Heifer, Heifer Boarding, Milk, Milking Cows, Slaughter Eligible</t>
  </si>
  <si>
    <t>Other: Bulls (eligible for organic slaughter), Dairy Cows (some eligible for organic slaughter), Dairy Replacements (eligible for slaughter), Milk, Steers (eligible for organic slaughter)</t>
  </si>
  <si>
    <t>Cattle: Calves (Dairy, Slaughter Eligible), Dairy Replacement Heifer (Transitioned), Dairy Replacement Heifer (Last Third Gestation), Dairy Replacement Heifer (Slaughter Eligible), Dairy Steers (Slaughter Eligible), Milk, Milking Cows (Transitioned)</t>
  </si>
  <si>
    <t>Cattle: Dairy Replacement Heifer (Slaughter Eligible), Milk, Milking Cows (Slaughter Eligible)</t>
  </si>
  <si>
    <t>Other: Goat Milk, Dairy Goats (none eligible for organic slaughter), Dairy Goat Replacements (none eligible for organic slaughter)</t>
  </si>
  <si>
    <t>Other: Milk, Dairy Cows (some eligible for slaughter), Dairy Replacements (eligible for slaughter)</t>
  </si>
  <si>
    <t>Cattle: Calves (some eligible for organic slaughter), Dairy Bulls, Dry Cows (some eligible for organic slaughter), Heifers (some eligible for organic slaughter), Milking Cows (Milk) (some eligible for organic slaughter)</t>
  </si>
  <si>
    <t>Other: Dairy Cattle for Milk Production and Beef, Milk</t>
  </si>
  <si>
    <t>Other: Dairy cows for milk- all eligible for organic slaughter, Dairy replacements - all eligible for organic slaughter, Milk</t>
  </si>
  <si>
    <t>Other: Dairy Cattle for Milk Production, Milk</t>
  </si>
  <si>
    <t>Cattle: Crops: Pasture, Hay, Corn, Oats, Sudan grass, Alfalfa, Teff, Wheat, Oats, Speltz, Straw, Sudangrass Livestock: Dairy Cows, Milk, Beef Cattle</t>
  </si>
  <si>
    <t>Cattle: Calves (Dairy Calves (all eligible for organic slaughter)), Dairy Bulls (Dairy Bulls (some eligible for organic slaughter)), Dairy Replacement Heifer (Dairy Replacement Heifers (all eligible for organic slaughter)), Milk - Raw Bulk Milk, Milking Cows (Dairy Cows (all eligible for organic slaughter))</t>
  </si>
  <si>
    <t>Other: *Dairy cows for milk - all eligible for organic slaughter, *Dairy replacements - all eligible for organic slaughter, *Milk</t>
  </si>
  <si>
    <t>Cattle: Calves (Dairy, Slaughter Eligible), Dairy Replacement Heifer (Slaughter Eligible), Milk, Milking Cows (Slaughter Eligible)</t>
  </si>
  <si>
    <t>Other: Dairy Cows for milk - some eligible for organic slaughter, Dairy Cows for milk - Transitioned, Dairy Replacements - all eligible for organic slaughter, Milk</t>
  </si>
  <si>
    <t>Other: Dairy Cows (some eligible for organic slaughter), Dairy Replacements (eligible for organic slaughter), Dairy Bull (eligible for organic slaughter), and Milk</t>
  </si>
  <si>
    <t>Cattle: Cattle - Dairy Other (Milk), Dairy Replacement Heifer, Dairy Steers, Milking Cows, Slaughter Eligible</t>
  </si>
  <si>
    <t>Other: Beef Cows- all eligible for organic slaughter, Dairy replacements - all eligible for organic slaughter, Dairy steers - all eligible for organic slaughter</t>
  </si>
  <si>
    <t>Other: Dairy Bulls - all eligible for organic slaughter, Dairy Cows for milk - all eligible for organic slaughter, Dairy Replacements - all eligible for organic slaughter, Milk</t>
  </si>
  <si>
    <t>Other: Dairy Cattle (Last 1/3 of Gestation), Raw Milk</t>
  </si>
  <si>
    <t>Other: Dairy cows for milk - some eligible for organic slaughter;Dairy replacements - all eligible for organic slaughter;Milk.Certified in accordance with the terms of the U.S.-Canada Organic Equivalency Arrangement.</t>
  </si>
  <si>
    <t>Cattle: Dairy Replacement Heifer (Slaughter Eligible), Milk, Milking Cows (Slaughter Eligible), Milking Cows (Last Third Gestation, Dairy Only)</t>
  </si>
  <si>
    <t>Other: Dairy Cattle for milk production and beef, Milk</t>
  </si>
  <si>
    <t>Cattle: Dairy Cattle - Last Third Gestation Born (Eligible for Organic Slaughter), Raw Milk</t>
  </si>
  <si>
    <t>Other: Dairy Bulls - some eligible for organic slaughter, Dairy Cows for milk - all eligible for organic slaughter, Dairy Replacements - all eligible for organic slaughter, Dairy Steers - all eligible for organic slaughter, Milk</t>
  </si>
  <si>
    <t>Cattle: Dairy Cattle, Milk (See Livestock List for Organic Slaughter Eligibile Livestock)</t>
  </si>
  <si>
    <t>Other: Dairy Cattle (Last 1/3 of Gestation), Dairy Cattle (Not Last 1/3 of Gestation), Raw Milk</t>
  </si>
  <si>
    <t>Cattle: Calves (Heifer Calves - Organic Slaughter Eligible), Dairy Replacement Heifer (Replacement Heifers - Organic Slaughter Eligible), Milking Cows (Dairy Cows - Organic Slaughter Eligible), Milking Cows (Dairy Cows - Transitioned)</t>
  </si>
  <si>
    <t>Cattle: Calves (Slaughter Eligible), Dairy Replacement Heifer (Slaughter Eligible), Milking Cows (Slaughter Eligible, Transitioned)</t>
  </si>
  <si>
    <t>Cattle: Calves ((Heifers) Organic Slaughter Eligible), Dairy Replacement Heifer (Organic Slaughter Eligible), Milking Cows (Organic Slaughter Eligible), Milking Cows (Transitioned Organic)</t>
  </si>
  <si>
    <t>Cattle: Calves (Calves (Organic Slaughter Eligible)), Milking Cows (Dairy Cows (Organic Slaughter Eligible))</t>
  </si>
  <si>
    <t>Cattle: Cattle (Dairy - Last Third - Ineligible for Organic Slaughter) (Do not have ear tag, cannot be represented as organic slaughter eligible), Cattle (Slaughter) (Slaughter Eligible Animals Identified by an "O" Above Ear Tag Number.); Other: Custom Management of Animals</t>
  </si>
  <si>
    <t>Cattle: Bulls, Calves, Dairy Replacement Heifer, Dry Cows, Heifer Boarding, Milk, Milking Cows, Slaughter Eligible</t>
  </si>
  <si>
    <t>Other: Dairy cows for milk - none eligible for organic slaughter, Dairy replacements - none eligible for organic slaughter, Milk</t>
  </si>
  <si>
    <t>Cattle: Calves (Dairy, Slaughter Eligible), Dairy Replacement Heifer (Slaughter Eligible), Dairy Steers (Slaughter Eligible), Milk, Milking Cows (Slaughter Eligible), Milking Cows (Transitioned)</t>
  </si>
  <si>
    <t>Other: *Broilers - all eligible for organic slaughter;*Dairy cows - some eligible for organic slaughter*Dairy replacements - some eligible for organic slaughter;Distribution of packaged meat: Organic -Michaels Pastured PoultryChicken (whole and assorted cuts).*Certified in accordance with the terms of the U.S.-Canada Organic Equivalency Arrangement.</t>
  </si>
  <si>
    <t>Cattle: Dairy Replacement Heifer (Replacement Heifers (Not Organic Slaughter Eligible and Organic Slaughter Eligible)), Milking Cows (Dairy Cows (Not Organic Slaughter Eligible and Organic Slaughter Eligible and Transitioned))</t>
  </si>
  <si>
    <t>Other: *Beef steers - all eligible for organic slaughter, *Broilers - all eligible for organic slaughter, *Brood sows - all eligible for organic slaughter, *Dairy cows for milk - all eligible for organic slaughter, *Dairy replacements - all eligible for organic slaughter, *Hogs - all eligible for organic slaughter, *Milk</t>
  </si>
  <si>
    <t>Other: *Dairy cows for milk - some eligible for organic slaughter, *Dairy replacements - all eligible for organic slaughter, *Milk, Eggs, Hens for eggs - all eligible for organic slaughter</t>
  </si>
  <si>
    <t>Other: Milk, Slaughter-Eligible Cattle, including Dairy Cows, Heifers, Dairy replacements, Calves, Beef Slaughter Stock</t>
  </si>
  <si>
    <t>Other: Milk, Dairy Cows (some eligible for organic slaughter), Dairy Replacements (all eligible for organic slaughter)</t>
  </si>
  <si>
    <t>Cattle: Calves (Dairy Calves (all eligible for organic slaughter)), Dairy Bulls (Dairy Bulls (some eligible for organic slaughter)), Dairy Replacement Heifer (Dairy Replacement Heifers (some eligible for organic slaughter)), Milk - Raw Bulk Milk, Milking Cows (Dairy Cow (None eligible for organic slaughter))</t>
  </si>
  <si>
    <t>Other: Dairy Cows (eligible for organic slaughter), Dairy Replacements (eligible for organic slaughter), Milk</t>
  </si>
  <si>
    <t>Cattle: Calves (Dairy, Slaughter Eligible), Dairy Bulls (Slaughter Eligible), Dairy Replacement Heifer (Slaughter Eligible), Milk, Milking Cows (Slaughter Eligible)</t>
  </si>
  <si>
    <t>Other: Milk, Dairy Cows (eligible for slaughter)</t>
  </si>
  <si>
    <t>Cattle: Calves (Dairy, Slaughter Eligible), Dairy Bulls, Dairy Replacement Heifer (Slaughter Eligible), Milk, Milking Cows (Slaughter Eligible), Milking Cows (Last Third Gestation, Dairy only)</t>
  </si>
  <si>
    <t>Other: Dairy Cattle for milk production &amp; beef, Milk</t>
  </si>
  <si>
    <t>Cattle: Cattle (Dairy - Last Third - Eligible for Organic Slaughter) (Slaughter Eligible Animals Identified by Yellow, Orange, and Purple Ear Tags)</t>
  </si>
  <si>
    <t>Other: Beef, Dairy Cattle, Milk</t>
  </si>
  <si>
    <t>Other: Dairy Cows (eligible for slaughter), Dairy Replacements (eligible for slaughter), Dairy Steers (eligible for slaughter), and Milk</t>
  </si>
  <si>
    <t>Cattle: Dairy Cattle, Milk (See Livestock List for Organic Slaughter Eligible Livestock), Beef Cattle</t>
  </si>
  <si>
    <t>Cattle: Slaughter Eligible (Milking cows and heifers.), Slaughter Eligible (Beef steers and breeding bull.); Other: Raw Milk</t>
  </si>
  <si>
    <t>Cattle: Calves (Dairy, Slaughter Eligible), Dairy Replacement Heifer (Slaughter Eligible), Dairy Steers (Slaughter Eligible), Milk, Milking Cows (Transitioned), Milking Cows (Slaughter Eligible)</t>
  </si>
  <si>
    <t>Cattle: Calves, Dairy Replacement Heifer, Dry Cows, Milk, Milking Cows, Slaughter Eligible</t>
  </si>
  <si>
    <t>Other: *Brood Dairy cows - all eligible for organic slaughter, *Dairy replacements - all eligible for organic slaughter, Eggs, Hens for eggs - all eligible for organic slaughter</t>
  </si>
  <si>
    <t>Cattle: Milking Cows (Dairy, non-eligible for organic slaughter), Slaughter Eligible (Milking cows); Other: Raw milk</t>
  </si>
  <si>
    <t>Other: *Dairy cows for milk - some eligible for organic slaughter, *Dairy replacements - all eligible for organic slaughter, *Milk</t>
  </si>
  <si>
    <t>Cattle: Dairy Replacement Heifer (Slaughter Eligible), Milking Cows</t>
  </si>
  <si>
    <t>Other: Beef heifers - all eligible for organic slaughter, Dairy cows for milk - all eligible for organic slaughter, Dairy replacements - all eligible for organic slaughter, Dairy steers - all eligible for organic slaughter, Milk</t>
  </si>
  <si>
    <t>Other: Brood ewes - all eligible for organic slaughter, Dairy bulls - all eligible for organic slaughter, Dairy cows for milk - all eligible for organic slaughter, Dairy replacements - all eligible for organic slaughter, Dairy steers - all eligible for organic slaughter, Eggs, Hens for eggs - all eligible for organic slaughter, Lambs - all eligible for organic slaughter, Milk</t>
  </si>
  <si>
    <t>Other: Dairy Cattle - Converted (Not Eligible for Organic Slaughter), Dairy Cattle - Last Third Gestation Born (Eligible for Organic Slaughter), Cattle - Last Third Gestation Born (Eligible for Organic Slaughter), Raw Milk</t>
  </si>
  <si>
    <t>Cattle: Slaughter Eligible, Transitioned; Other: Cow Milk</t>
  </si>
  <si>
    <t>Other: Dairy cows for milk - all eligible for organic slaughter, Dairy replacements - all eligible for organic slaughter, Dairy steers - all eligible for organic slaughter, Milk</t>
  </si>
  <si>
    <t>Other: Beef cattle: slaughter stock, Dairy cow: milk, Dairy cow: replacements, Dairy cow: slaughter stock</t>
  </si>
  <si>
    <t>Other: Beef heifers - all eligible for organic slaughter, Dairy cows for milk - some eligible for organic slaughter, Dairy replacements - all eligible for organic slaughter, Milk</t>
  </si>
  <si>
    <t>Cattle: Calves, Dairy Replacement Heifer, Heifer Boarding, Milk, Milking Cows</t>
  </si>
  <si>
    <t>Other: Dairy cattle, live</t>
  </si>
  <si>
    <t>Poultry: Poultry - Chickens (Eggs); Cattle: Cattle - Dairy Other (Milk), Dairy Bulls, Dairy Replacement Heifer, Milking Cows, Slaughter Eligible</t>
  </si>
  <si>
    <t>Cattle: Cattle - Dairy Other (Custom Boarding)</t>
  </si>
  <si>
    <t>Cattle: Dairy Replacement Heifer (Dairy Replacement Heifer (Slaughter Eligible)), Milking Cows (Dairy Cows (Not Slaughter Eligible)), Milking Cows (Dairy Cows (Slaughter Eligible))</t>
  </si>
  <si>
    <t>Cattle: Milking Cows (Dairy Cow, Youngstock), Fluid Milk</t>
  </si>
  <si>
    <t>Cattle: Calves, Dairy Replacement Heifer, Milking Cows, Slaughter Eligible</t>
  </si>
  <si>
    <t>Other: Dairy cow: milk, Dairy cow: replacements, Dairy cow: slaughter stock</t>
  </si>
  <si>
    <t>Cattle: Beef, Dairy Replacement Heifers, Milking Cows, Slaughter Eligible</t>
  </si>
  <si>
    <t>Cattle: Beef Heifers, Beef Steers, Calves, Dairy Replacement Heifer, Dry Cows, Milk, Milking Cows, Slaughter Eligible</t>
  </si>
  <si>
    <t>Cattle: Cattle - Dairy Other (Milk), Dairy Bulls, Dairy Replacement Heifer, Dairy Steers, Milking Cows, Slaughter Eligible</t>
  </si>
  <si>
    <t>Other: Dairy cows for milk - all eligible for organic slaughter; Dairy replacements - all eligible for organic slaughter; Milk.Certified in accordance with the terms of the U.S.-Canada Organic Equivalency Arrangement.</t>
  </si>
  <si>
    <t>Other: Dairy bulls - all eligible for organic slaughter, Dairy cows for milk - all eligible for organic slaughter, Dairy replacements - all eligible for organic slaughter, Milk</t>
  </si>
  <si>
    <t>Cattle: Dairy Replacement Heifer (Dairy Replacement Heifer (Slaughter Eligible)), Milking Cows (Dairy Cows (Not Slaughter Eligible)), Milking Cows (Dairy Cows (Slaughter Elgible))</t>
  </si>
  <si>
    <t>Cattle: Calves (Dairy, Slaughter Eligible), Dairy Replacement Heifer (Slaughter Eligible), Milk, Milking Cows (Transitioned), Milking Cows (Slaughter Eligible)</t>
  </si>
  <si>
    <t>Cattle: Calves (Dairy, Slaughter Eligible), Dairy Bulls (Slaughter Eligible, Breeding), Dairy Replacement Heifer (Slaughter Eligible), Dairy Steers (Slaughter Eligible), Milk, Milking Cows (Slaughter Eligible)</t>
  </si>
  <si>
    <t>Cattle: Dairy Replacement Heifer, Dry Cows, Milk, Milking Cows, Slaughter Eligible</t>
  </si>
  <si>
    <t>Cattle: Bulls, Calves (Some eligible for organic slaughter), Dry Cows (Some eligible for organic slaughter), Heifers (Some eligible for organic slaughter), Milking Cows (Milk) (Some eligible for organic slaughter)</t>
  </si>
  <si>
    <t>Other: Dairy Cattle, Replacements, Slaughter Eligible, Milk</t>
  </si>
  <si>
    <t>Other: *Dairy cows for milk - all eligible for organic slaughter, *Dairy replacements - all eligible for organic slaughter, *Dairy steers - all eligible for organic slaughter, *Milk</t>
  </si>
  <si>
    <t>Other: *Dairy cows for milk - all eligible for organic slaughter, *Dairy replacements - all eligible for organic slaughter</t>
  </si>
  <si>
    <t>Cattle: Calves (Some Eligible for Organic Slaughter), Dairy Bulls, Dry Cows (Some Eligible for Organic Slaughter), Heifers (Some Eligible for Organic Slaughter), Milking Cows (Milk) (Some Eligible for Organic Slaughter)</t>
  </si>
  <si>
    <t>Cattle: Dairy Replacement Heifer (Dairy Replacement Heifer), Milking Cows (Milking Cows, Milk), Slaughter Eligible (Beef cattle (dairy cattle for slaughter))</t>
  </si>
  <si>
    <t>Cattle: Dairy Replacement Heifer (Replacement Heifers (Not Slaughter Eligible)), Milking Cows (Dairy Cows (Not Slaughter Eligible))</t>
  </si>
  <si>
    <t>Cattle: Dairy Cattle - Last Third Gestation Born (Eligible for Organic Slaughter), Dairy Cattle - Converted (Not Eligible for Organic Slaughter), Raw Milk</t>
  </si>
  <si>
    <t>Other: Dairy Cattle, Cow's Milk</t>
  </si>
  <si>
    <t>Cattle: Beef, Dairy Replacement Heifers, Dairy Replacements, Dairy Replacements, Milking Cows, Slaughter Eligible</t>
  </si>
  <si>
    <t>Cattle: Dairy Replacement Heifer (Dairy Replacement Heifers (all eligible for organic slaughter)), Milk - Raw Bulk Milk, Milking Cows (Dairy Cows (some eligible for organic slaughter))</t>
  </si>
  <si>
    <t>Goats: Goats- (Dairy - Last Third - Ineligible for Organic Slaughter) (No Organic Slaughter Sales)</t>
  </si>
  <si>
    <t>Other: *Beef brood cows - some eligible for organic slaughter, *Beef bulls and steers - all eligible for organic slaughter., *Beef heifers - some eligible for organic slaughter., Dairy cows for milk - all eligible for organic slaughter, Dairy replacements - some eligible for organic slaughter, Milk</t>
  </si>
  <si>
    <t>Other: Bulk Milk, Dairy Cows (none eligible for organic slaughter), and Dairy Replacements (someeligible for organic slaughter)</t>
  </si>
  <si>
    <t>Cattle: Cattle (Dairy - Last Third - Eligible for Organic Slaughter) (Slaughter Eligible Animals Identified by Black, White or Green Ear Tag.), Cattle (Slaughter) (Bull Calves. Slaughter Eligible Animals Identified by Black, White or Green Ear Tag.)</t>
  </si>
  <si>
    <t>Cattle: Cattle (Dairy - Last Third - Eligible for Organic Slaughter) (Slaughter Eligible Animals Identified by Un-Notched Ear Tag.), Cattle (Slaughter) (Slaughter Eligible Animals Identified by Purple or Yellow Un-Notched Ear Tag.)</t>
  </si>
  <si>
    <t>Other: Dairy calves, live, Dairy cows, live, Dairy heifers [ 1 year, live</t>
  </si>
  <si>
    <t>Other: Dairy cow: replacements, Dairy cow: slaughter stock</t>
  </si>
  <si>
    <t>Cattle: Dairy Replacement Heifer, Slaughter Eligible</t>
  </si>
  <si>
    <t>Cattle: Bulls, Dairy Replacement Heifer, Dry Cows, Milk, Milking Cows, Slaughter Eligible</t>
  </si>
  <si>
    <t>Cattle: Dairy Replacement Heifer (Replacement heifers and calves), Milking Cows, Slaughter Eligible</t>
  </si>
  <si>
    <t>Cattle: Dairy Replacement Heifers, Dairy Replacement Heifers, Milking Cows, Slaughter Eligible</t>
  </si>
  <si>
    <t>Cattle: Calves (Dairy, Slaughter Eligible), Heifers (Dairy, Slaughter Eligible), Milk, Milking Cows (Transitioned)</t>
  </si>
  <si>
    <t>Other: Beef brood cows - all eligible for organic slaughter., Dairy replacements - all eligible for organic slaughter, Dairy steers - all eligible for organic slaughter, Eggs, Hens for eggs - all eligible for organic slaughter</t>
  </si>
  <si>
    <t>Cattle: Dairy Replacement Heifer (heifers and calves), Dairy Steers, Milking Cows, Slaughter Eligible</t>
  </si>
  <si>
    <t>Cattle: Calves (Some eligible for organic slaughter), Dairy Steers, Dry Cows (Some eligible for organic slaughter), Heifers (Some eligible for organic slaughter), Milking Cows (Milk) (Some eligible for organic slaughter)</t>
  </si>
  <si>
    <t>Swine: Hogs (Hogs (all eligible for organic slaughter)); Cattle: Calves (Dairy Bull Calves (all eligible for organic slaughter)), Dairy Replacement Heifer (Dairy Replacement Heifers (all eligible for organic slaughter)), Milk - Raw Bulk Milk, Milking Cows (Dairy Cows (all eligible for organic slaughter))</t>
  </si>
  <si>
    <t>Swine: Hogs, Slaughter Eligible; Cattle: Calves, Dairy Replacement Heifer, Dry Cows, Heifer Boarding, Milk, Milking Cows, Slaughter Eligible</t>
  </si>
  <si>
    <t>Cattle: Dairy Replacement Heifers, Slaughter Eligible</t>
  </si>
  <si>
    <t>Cattle: Dairy Replacement Heifers, Milking Cows, Slaughter Eligible</t>
  </si>
  <si>
    <t>Other: Dairy Cows, Beef Cattle (slaughter eligible),Raw Milk</t>
  </si>
  <si>
    <t>Cattle: Calves, Dairy Replacement Heifer, Dry Cows, Milk, Milking Cows, Yearling</t>
  </si>
  <si>
    <t>Cattle: Calves, Dairy Replacement Heifer, Milk, Milking Cows</t>
  </si>
  <si>
    <t>Cattle: Cattle (Dairy - Last Third - Eligible for Organic Slaughter) (Slaughter Eligible Animals Identified by Yellow or White Ear Tags and Absence of Red Leg Band)</t>
  </si>
  <si>
    <t>Cattle: Dairy Replacement Heifer (Dairy Replacement Heifers (some eligible for organic slaughter)), Milk - Raw Bulk Milk, Milking Cows (Dairy Cows (some eligible for organic slaughter))</t>
  </si>
  <si>
    <t>Poultry: Eggs, Duck Eggs, Laying Ducks (Slaughter Eligible), Laying Hens; Cattle: Calves (Dairy, Slaughter Eligible), Dairy Replacement Heifer (Slaughter Eligible), Milk, Milking Cows (Slaughter Eligible)</t>
  </si>
  <si>
    <t>Other: Bulk Milk, Dairy Cows (some eligible for organic slaughter), and Dairy Replacements (eligible for organic slaughter)</t>
  </si>
  <si>
    <t>Cattle: Cattle (Dairy - Last Third - Ineligible for Organic Slaughter), Cattle (Slaughter) (Slaughter Eligible Animals Identified by Purple or Green Ear Tag and No Red Ear Tag.)</t>
  </si>
  <si>
    <t>Cattle: Bulls, Calves, Dairy Replacement Heifer, Milk, Milking Cows, Slaughter Eligible</t>
  </si>
  <si>
    <t>Other: Dairy bulls, live, Dairy calves, live, Dairy cattle, live, Dairy cows, live, Dairy heifers ] 1 year, live</t>
  </si>
  <si>
    <t>Other: *Dairy bulls - all eligible for organic slaughter, *Dairy cows for milk - all eligible for organic slaughter, *Dairy replacements - all eligible for organic slaughter, *Dairy Steers- all eligible for organic slaughter, *Milk, *Turkeys - all eligible for organic slaughter, Broilers - all eligible for organic slaughter</t>
  </si>
  <si>
    <t>Other: Dairy cattle, live, Dairy heifers ] 1 year, live, Young dairy cattle, live</t>
  </si>
  <si>
    <t>Cattle: Dairy Replacement Heifers, Dairy Steers, Slaughter Eligible</t>
  </si>
  <si>
    <t>Poultry: Chickens, Turkeys; Cattle: Beef Replacement Heifer, Cattle - Beef Other (Retail Cuts), Cattle - Dairy Other (Milk), Dairy Replacement Heifer, Milking Cows, Slaughter Eligible, Slaughter Eligible</t>
  </si>
  <si>
    <t>Other: Dairy cows for milk - all eligible for organic slaughter, Dairy replacements - all eligible for organic slaughter, Dairy Steers</t>
  </si>
  <si>
    <t>Other: Dairy cows for milk - all eligible for organic slaughter, Dairy replacements - all eligible for organic slaughter, Dairy Steers- All eligible for organic slaughter, Milk</t>
  </si>
  <si>
    <t>Cattle: Beef Cattle - Last Third Gestation Born (Eligible for Organic Slaughter), Dairy Cattle - Converted (Not Eligible for Organic Slaughter), Dairy Cattle - Last Third Gestation Born (Eligible for Organic Slaughter), Dairy Cattle - Last Third Gestation Born (Not Eligible for Organic Slaughter), Raw Milk</t>
  </si>
  <si>
    <t>Cattle: Dairy Cattle - Last Third Gestation Born (Not Eligible for Organic Slaughter), Dairy Cattle - Last Third Gestation Born (Eligible for Organic Slaughter), Dairy Cattle - Converted (Not Eligible for Organic Slaughter), Raw Milk</t>
  </si>
  <si>
    <t>Swine: Swine; Poultry: Chickens-Broilers, Chickens-Layers; Cattle: Cattle (Dairy - Last Third - Eligible for Organic Slaughter), Cattle (Slaughter)</t>
  </si>
  <si>
    <t>Other: Culled cows, Dairy cows, live, Dairy heifers [ 1 year, live</t>
  </si>
  <si>
    <t>Cattle: Milking Cows (Dairy Cattle: Meat*, and Milk.
	*Only some stock eligible for organic slaughter.)</t>
  </si>
  <si>
    <t>Other: Dairy Cattle - Converted (Not Eligible for Organic Slaughter), Dairy Cattle - Last Third Gestation Born (Eligible for Organic Slaughter), Raw Milk</t>
  </si>
  <si>
    <t>Cattle: Dairy Cattle - Last Third Gestation Born (Eligible For Organic Slaughter), Raw Milk</t>
  </si>
  <si>
    <t>Other: Dairy Cattle for Milk Production, Dairy Replacements, Milk</t>
  </si>
  <si>
    <t>Other: Dairy cows for milk - all eligible for organic slaughter;Dairy replacements - all eligible for organic slaughter;Dairy steers - all eligible for organic slaughter.Certified in accordance with the terms of the U.S.-Canada Organic Equivalency Arrangement.</t>
  </si>
  <si>
    <t>Other: Dairy Cows for milk - some eligible for organic slaughter, Dairy Replacements - all eligible for organic slaughter, Milk, Pullets - all eligible for organic slaughter</t>
  </si>
  <si>
    <t>Poultry: Chickens, Ducks, Poultry - Chickens (Eggs), Poultry - Ducks (Eggs); Goats: Dairy Replacement Kids, Slaughter Eligible; Cattle: Beef Replacement Heifer, Slaughter Eligible</t>
  </si>
  <si>
    <t>Cattle: Dairy Replacement Heifer (Slaughter Eligible), Milking Cows (Slaughter Eligible)</t>
  </si>
  <si>
    <t>Other: Dairy Goats (eligible for slaughter), Dairy Goat Replacements (eligible for slaughter), and Goat Milk</t>
  </si>
  <si>
    <t>Other: Beef cattle: replacements, Beef cattle: slaughter stock, Dairy cow: milk, Dairy cow: replacements, Dairy cow: slaughter stock</t>
  </si>
  <si>
    <t>Cattle: Calves (Dairy, Slaughter Eligible), Dairy Replacement Heifer (Slaughter Eligible), Dairy Steers (Slaughter Eligible), Milk, Milking Cows (Slaughter Eligible)</t>
  </si>
  <si>
    <t>Other: Dairy brood cows- all eligible for organic slaughter, Dairy bulls - all eligible for organic slaughter, Dairy replacements - all eligible for organic slaughter</t>
  </si>
  <si>
    <t>Cattle: Bulls, Calves, Dairy Replacement Heifer, Dry Cows, Heifer Boarding, Heifers, Milk, Milking Cows, Slaughter Eligible, Steers</t>
  </si>
  <si>
    <t>Other: Dairy Bulls - all eligible for organic slaughter, Dairy Cows for milk - some eligible for organic slaughter, Dairy Replacements - all eligible for organic slaughter, Milk</t>
  </si>
  <si>
    <t>Cattle: Dairy Replacement Heifer, Milking Cows (Dairy- Milk), Slaughter Eligible</t>
  </si>
  <si>
    <t>Cattle: Calves, Dairy Bulls, Dairy Replacement Heifer, Dry Cows, Heifer Boarding, Milk, Milking Cows, Slaughter Eligible</t>
  </si>
  <si>
    <t>Other: Dairy cows for milk - some eligible for organic slaughter, Dairy replacements - all eligible for organic slaughter, Dairy steers - all eligible for organic slaughter, Milk</t>
  </si>
  <si>
    <t>Other: Milk, Dairy Cows (eligible for organic slaughter), Dairy Replacements (eligible for organic slaughter)</t>
  </si>
  <si>
    <t>Other: Dairy Cows (some eligible for organic slaughter), Dairy Replacements (some eligible for organic slaughter), Milk</t>
  </si>
  <si>
    <t>Cattle: Dairy Cattle (Milk), Young Stock</t>
  </si>
  <si>
    <t>Other: Custom Livestock Management, Dairy Replacements - all eligible for organic slaughter</t>
  </si>
  <si>
    <t>Other: Dairy Cows for milk - none eligible for organic slaughter, Dairy Replacements - all eligible for organic slaughter, Milk</t>
  </si>
  <si>
    <t>Other: Dairy Cows for milk - some eligible for organic slaughter, Dairy Replacements - all eligible for organic slaughter</t>
  </si>
  <si>
    <t>Cattle: Dairy Replacement Heifer (Slaughter Eligible), Milk, Milking Cows, Milking Cows (Slaughter Eligible)</t>
  </si>
  <si>
    <t>Other: Dairy cows for milk - some eligible for organic slaughter;Dairy replacements - some eligible for organic slaughter;Milk.Certified in accordance with the terms of the U.S.-Canada Organic Equivalency Arrangement.</t>
  </si>
  <si>
    <t>Cattle: Dairy Replacement Heifer (Slaughter Eligible), Milk, Milking Cows (Transitioned), Milking Cows (Slaughter Eligible)</t>
  </si>
  <si>
    <t>Cattle: Dairy Bulls (Slaughter Eligible), Dairy Replacement Heifer (Slaughter Eligible), Milk, Milking Cows (Tranistioned), Milking Cows (Slaughter Eligible)</t>
  </si>
  <si>
    <t>Cattle: Calves (Dairy Calves (some eligible for organic slaughter)), Dairy Replacement Heifer (Dairy Replacement Heifers (some eligible for organic slaughter)), Milk - Raw Bulk Milk, Milking Cows (Dairy Cows (some eligible for organic slaughter))</t>
  </si>
  <si>
    <t>Other: Dairy Replacement Heifers, Calves, Milking Cows, and Slaughter Eligible Cattle, Organic Milk</t>
  </si>
  <si>
    <t>Other: Dairy Cattle for Milk Production &amp; beef, Milk</t>
  </si>
  <si>
    <t>Cattle: Bulls, Calves, Dry Cows, Heifers, Milk, Milking Cows, Slaughter Eligible</t>
  </si>
  <si>
    <t>Cattle: Cattle (Dairy - Last Third - Eligible for Organic Slaughter) (Slaughter Eligible Animals are Identified by Un-Notched Orange Ear Tag.)</t>
  </si>
  <si>
    <t>Other: Beef cows - all eligible for organic slaughter, Dairy cows for milk - all eligible for organic slaughter, Dairy replacements - all eligible for organic slaughter, Milk</t>
  </si>
  <si>
    <t>Cattle: Cattle (Dairy - Last Third - Eligible for Organic Slaughter) (Slaughter Eligible Animals Identified by Non-Red Ear Tag.)</t>
  </si>
  <si>
    <t>Cattle: Milking Cows (Dairy Cows (Not Slaughter Eligible)), Milking Cows (Dairy Cows (Slaughter Eligible))</t>
  </si>
  <si>
    <t>Cattle: Cattle (Dairy - Last Third - Eligible for Organic Slaughter) (Slaughter eligible animals are identified with an ear tag up to 5 digit numbers, not having a red, purple, or orange ear tag), Cattle (Dairy - Last Third - Ineligible for Organic Slaughter) (Identified by purple ear tag), Cattle (Dairy-Transitioned-Not for Meat) (Transitioned cows have an ear tag with a 5 digit ear tag number and both an orange and a green ear tags), Cattle (Slaughter) (Steers and home grown bulls not having a red, purple, or orange ear tag
)</t>
  </si>
  <si>
    <t>Cattle: Milking Cows (Dairy Cows, Milk); Dairy Replacement Heifers</t>
  </si>
  <si>
    <t>Cattle: Dairy Replacement Heifer (Replacement Heifers (Eligible for slaughter stock)), Dairy Replacement Heifer (Replacement Heifers (Not eligible for slaughter stock)), Milking Cows (Dairy Cows (Not Slaughter Eligible)), Milking Cows (Dairy Cows (Slaughter Eligible))</t>
  </si>
  <si>
    <t>Other: Milk, Dairy Cows (some eligible for slaughter), Dairy Replacements (eligible for slaughter), Dairy Bull (eligible for slaughter)</t>
  </si>
  <si>
    <t>Cattle: Calves (some eligible for organic slaughter), Dairy Replacement Heifer (some eligible for organic slaughter), Dry Cows (some eligible for organic slaughter), Milking Cows (Milk) (some eligible for organic slaughter)</t>
  </si>
  <si>
    <t>Cattle: Calves (Dairy Calves (all eligible for organic slaughter)), Dairy Replacement Heifer (Dairy Replacement Heifers (all eligible for organic slaughter)), Milk - Raw Bulk Milk, Milking Cows (Dairy Cows (some eligible for organic slaughter))</t>
  </si>
  <si>
    <t>Cattle: Dairy Replacement Heifer (Slaughter Eligible), Milk, Milking Cows (Slaughter Eligible), Milking Cows (Transitioned)</t>
  </si>
  <si>
    <t>Other: Dairy Cows for milk - some eligible for organic slaughter, Dairy Replacements - all eligible for organic slaughter, Dairy Steers - some eligible for organic slaughter, Milk</t>
  </si>
  <si>
    <t>Cattle: Calves (Dairy, Slaughter Eligible), Dairy Replacement Heifer (Slaughter Eligible), Milk, Milking Cows (Slaughter Eligible), Milking Cows (Transitioned)</t>
  </si>
  <si>
    <t>Cattle: Cattle - Dairy Other (Milk), Dairy Replacement Heifer, Dairy Replacement Heifer (Cattle - Dairy Replacement Heifer), Milking Cows, Slaughter Eligible</t>
  </si>
  <si>
    <t>Cattle: Beef Brood Cows (Dairy Cows for Breeder Status), Dairy Replacement Heifer (Dairy Replacement Heifers (some eligible for organic slaughter)), Milk - Raw Bulk Milk, Milking Cows (Dairy Cows (none eligible for organic slaughter))</t>
  </si>
  <si>
    <t>Poultry: Laying Hens (Eggs); Cattle: Calves (Some eligible for organic slaughter), Dairy Bulls, Dry Cows (Some eligible for organic slaughter), Heifers (Some eligible for organic slaughter), Milking Cows (Milk) (Some eligible for organic slaughter), Steers</t>
  </si>
  <si>
    <t>Other: Dairy Goats (some eligible for organic slaughter), Dairy Goat Replacements (some eligible for organic slaughter), and Goat Milk</t>
  </si>
  <si>
    <t>Other: Dairy Cows for milk - none eligible for organic slaughter, Dairy Replacements - some eligible for organic slaughter, Milk</t>
  </si>
  <si>
    <t>Cattle: Calves (Dairy Calves (all eligible for organic slaughter)), Custom Dairy Cattle Management, Dairy Replacement Heifer (Dairy Replacement Heifers (all eligible for organic slaughter))</t>
  </si>
  <si>
    <t>Other: Custom boarding, Custom grazing, Dairy cow: replacements</t>
  </si>
  <si>
    <t>Other: Beef brood cows - all eligible for organic slaughter, Beef heifers and steers - all eligible for organic slaughter, Dairy cows for milk - all eligible for organic slaughter, Dairy replacements - all eligible for organic slaughter, Milk</t>
  </si>
  <si>
    <t>Cattle: Beef Brood Cows, Beef Replacement Heifer, Cattle - Dairy Other (Milk), Dairy Replacement Heifer, Milking Cows, Slaughter Eligible, Slaughter Eligible</t>
  </si>
  <si>
    <t>Other: Organic Dairy Cows (Slaughter Eligible), Transitioned Milk Cows (non-slaughter eligible), &amp; Fluid Milk</t>
  </si>
  <si>
    <t>Cattle: Calves (Slaughter Eligible), Dairy Replacement Heifer (Slaughter Eligible), Milk, Milking Cows (Slaughter Eligible), Milking Cows (Transitioned)</t>
  </si>
  <si>
    <t>Cattle: Cattle (Dairy-Transitioned-Not for Meat), Cattle (Slaughter) (Slaughter Eligible Animals Identified by No Red Ear Tag.)</t>
  </si>
  <si>
    <t>Cattle: Cattle (Dairy - Last Third - Ineligible for Organic Slaughter) (No Organic Slaughter Sales. Identified by additional aqua blue ear tag.); Other: Custom Grazing of Animals</t>
  </si>
  <si>
    <t>Cattle: Dairy Replacement Heifer, Milk - Raw Bulk Milk, Milking Cows (Dairy Cattle (all eligible for organic slaughter))</t>
  </si>
  <si>
    <t>Cattle: Dairy Replacement Heifer, Dry Cows, Heifer Boarding, Milk, Milking Cows</t>
  </si>
  <si>
    <t>Other: Dairy Cattle for Milk Production &amp; Beef, Milk</t>
  </si>
  <si>
    <t>Cattle: Cattle (Dairy - Last Third - Eligible for Organic Slaughter) (Slaughter Eligible have a green, white, or yellow tag and NO red tag), Cattle (Dairy-Transitioned-Not for Meat) (Identified with Purple Tag), Cattle (Slaughter) (Bulls); Other: Custom Management of Animals</t>
  </si>
  <si>
    <t>Cattle: Calves (Dairy Calves (all eligible for organic slaughter)), Dairy Replacement Heifer (Dairy Replacement Heifers (all eligible for organic slaughter)), Milk - Raw Bulk Milk, Milking Cows (Dairy Cows (all eligible for organic slaughter))</t>
  </si>
  <si>
    <t>Other: Dairy Cows (some eligible for slaughter), Dairy Replacements (some eligible for slaughter, Jello's slaughter status to be determined), and Milk</t>
  </si>
  <si>
    <t>Other: Milk, Dairy Cows (none eligible for slaughter), Dairy Replacements (none eligible for slaughter)</t>
  </si>
  <si>
    <t>Cattle: Bulls, Calves, Dairy Replacement Heifer, Heifer Boarding, Milk, Milking Cows, Slaughter Eligible</t>
  </si>
  <si>
    <t>Other: Beef brood cows - all eligible for organic slaughter, Beef bulls, heifers, and steers - all eligible for organic slaughter., Dairy bulls, steers, heifers - all eligible for organic slaughter, Dairy cows - all eligible for organic slaughter</t>
  </si>
  <si>
    <t>Cattle: Cattle (Dairy - Last Third - Eligible for Organic Slaughter) (Slaughter Eligible Animals Identified by Un-Notched Lime Green Ear Tag.)</t>
  </si>
  <si>
    <t>Other: Bulls - All eligible for organic slaughter, Dairy cows for milk - some eligible for organic slaughter, Dairy replacements - all eligible for organic slaughter, Milk</t>
  </si>
  <si>
    <t>Cattle: Cattle (Dairy - Last Third - Ineligible for Organic Slaughter) (Jerseys; No Organic Slaughter Sales)</t>
  </si>
  <si>
    <t>Cattle: Breeding Eligible (Beef, not eligible for slaughter), Slaughter Eligible (Dairy Heifers)</t>
  </si>
  <si>
    <t>Other: #Custom raising of cattle, Dairy replacements - some eligible for organic slaughter</t>
  </si>
  <si>
    <t>Cattle: Cattle (Dairy - Last Third - Eligible for Organic Slaughter) (Slaughter eligible have orange ear tag and no red ear tag)</t>
  </si>
  <si>
    <t>Cattle: Slaughter Eligible (Dairy); Other: Raw Milk</t>
  </si>
  <si>
    <t>Other: Dairy and beef brood cows - all eligible for organic slaughter, Dairy and beef heifers - all eligible for organic slaughter, Dairy and beef steers - all eligible for organic slaughter</t>
  </si>
  <si>
    <t>Cattle: Dairy Bulls, Dairy Replacement Heifer, Milk, Milking Cows, Slaughter Eligible, Steers</t>
  </si>
  <si>
    <t>Cattle: Dairy Replacement Heifer (Dairy Replacement Heifers (all eligible for organic slaughter)), Milk - Raw Bulk Milk, Milking Cows (Dairy Cattle (some eligible for organic slaughter))</t>
  </si>
  <si>
    <t>Cattle: Cattle (Dairy - Last Third - Eligible for Organic Slaughter) (Slaughter eligible animals are identified by no red button tag. Slaughter eligible cows have a large white tag and slaughter eligible heifers have a small yellow tag or a small green tag.), Cattle (Dairy-Transitioned-Not for Meat)</t>
  </si>
  <si>
    <t>Cattle: Dairy Replacement Heifer, Milking Cows (Dairy Cows)</t>
  </si>
  <si>
    <t>Other: Dairy Bulls - all eligible for organic slaughter, Dairy cows for milk - all eligible for organic slaughter, Dairy replacements - all eligible for organic slaughter, Milk</t>
  </si>
  <si>
    <t>Other: Dairy cows for milk - all eligible for organic slaughter, Milk</t>
  </si>
  <si>
    <t>Cattle: Cattle (Dairy - Last Third - Eligible for Organic Slaughter) (Slaughter eligible animals identified by no red ear button.), Cattle (Dairy - Last Third - Ineligible for Organic Slaughter) (Identified with red ear button.)</t>
  </si>
  <si>
    <t>Other: Bulls, Dairy cows for milk - some eligible for organic slaughter, Dairy replacements - all eligible for organic slaughter, Milk, Steers</t>
  </si>
  <si>
    <t>Cattle: Calves (Dairy Calves (all eligible for organic slaughter)), Dairy Bulls, Dairy Replacement Heifer (Dairy Replacement Heifers (all eligible for organic slaughter)), Milk - Raw Bulk Milk, Milking Cows (Dairy Cows (some eligible for organic slaughter))</t>
  </si>
  <si>
    <t>Cattle: Dairy Cattle - Converted (Not Eligible for Organic Slaughter), Dairy Cattle - Last Third Gestation Born (Eligible for Organic Slaughter), Raw Milk</t>
  </si>
  <si>
    <t>Other: *Bucks - all eligible for organic slaughter, *Cow milk, *Dairy cows for milk - eligible for organic slaughter, *Dairy goat replacements - all eligible for organic slaughter, *Dairy goats for milk - some eligible for organic slaughter., *Dairy replacements - all eligible for organic slaughter, *Duck eggs, *Ducks for eggs - all eligible for organic slaughter, *Eggs, *Goat milk, *Hens for eggs - all eligible for organic slaughter</t>
  </si>
  <si>
    <t>Other: Dairy cows for milk - all eligible for organic slaughter; Dairy replacements - all eligible for organic slaughter; Dairy bulls - all eligible for organic slaughter;Milk.Certified in accordance with the terms of the U.S.-Canada Organic Equivalency Arrangement.</t>
  </si>
  <si>
    <t>Cattle: Dairy Bulls (Bulls (eligible for slaughter stock)), Dairy Replacement Heifer (Replacement Heifers (eligible for slaughter stock)), Dairy Replacement Heifer (Replacement Heifers (eligible for slaughter)), Dairy Steers (Steers (eligible for slaughter stock)), Milking Cows (Dairy Cows (eligible for slaughter stock)), Milking Cows (Dairy Cows (eligible for slaughter))</t>
  </si>
  <si>
    <t>Other: Dairy brood cows- some eligible for organic slaughter, Dairy replacements - all eligible for organic slaughter, Dairy steers - all eligible for organic slaughter</t>
  </si>
  <si>
    <t>Cattle: Milking Cows (Dairy Cows)</t>
  </si>
  <si>
    <t>Other: Milk, Dairy Cattle, (slaughter eligible)</t>
  </si>
  <si>
    <t>Other: Dairy cows for milk - all eligible for organic slaughter; Dairy replacements - all eligible for organic slaughter; Dairy bull calves - all eligible for organic slaughter;Milk.Certified in accordance with the terms of the U.S.-Canada Organic Equivalency Arrangement.</t>
  </si>
  <si>
    <t>Other: Dairy Cattle (Last 1/3 of Gestation)</t>
  </si>
  <si>
    <t>Cattle: Milking Cows (Dairy Cows, Milk), Dairy Young Stock (See Livestock List for Organic Slaughter Eligible Livestock)</t>
  </si>
  <si>
    <t>Cattle: Dairy Replacement Heifer, Milk, Milking Cows</t>
  </si>
  <si>
    <t>Other: Dairy Cows for milk - all eligible for organic slaughter, Dairy Replacements - all eligible for organic slaughter, Eggs, Hens for eggs - all eligible for organic slaughter, Milk</t>
  </si>
  <si>
    <t>Cattle: Calves (some eligible for organic slaughter), Dairy Bulls (some eligible for organic slaughter), Dry Cows (some eligible for organic slaughter), Heifers (some eligible for organic slaughter), Milking Cows (Milk) (some eligible for organic slaughter)</t>
  </si>
  <si>
    <t>Swine: Swine - Other (Retail Cuts), Swine - Other (Sausage); Poultry: Chickens, Poultry - Chickens (Eggs), Turkeys; Cattle: Beef Brood Cows, Beef Replacement Heifer, Cattle - Beef Other (Retail Cuts), Cattle - Dairy Other (Milk), Dairy Replacement Heifer, Milking Cows, Slaughter Eligible, Slaughter Eligible</t>
  </si>
  <si>
    <t>Other: Dairy replacements - all eligible for organic slaughter;Custom raising of cattle.Certified in accordance with the terms of the U.S.-Canada Organic Equivalency Arrangement.</t>
  </si>
  <si>
    <t>Other: Dairy cows, live, Dairy heifers [ 1 year, live, Dairy heifers ] 1 year, live</t>
  </si>
  <si>
    <t>Cattle: Bulls, Dairy Replacement Heifer, Dry Cows, Heifer Boarding, Milk, Milking Cows, Slaughter Eligible</t>
  </si>
  <si>
    <t>Other: Dairy Cows, Dairy Replacements, Heifers, Milk, Slaughter Eligible Cattle</t>
  </si>
  <si>
    <t>Other: Milk, Dairy Cows (eligible for slaughter), Dairy Replacements (eligible for slaughter)</t>
  </si>
  <si>
    <t>Other: Goat Milk, Dairy Goats (none eligible for organic slaughter), Dairy Replacements (none eligible for organic slaughter)</t>
  </si>
  <si>
    <t>Cattle: Calves (some eligible for organic slaughter), Dairy Steers, Dry Cows (some eligible for organic slaughter), Heifers (some eligible for organic slaughter), Milking Cows (Milk) (some eligible for organic slaughter)</t>
  </si>
  <si>
    <t>Other: Dairy Cows (eligible for organic slaughter), Milk</t>
  </si>
  <si>
    <t>Cattle: Dairy Replacement Heifer (Slaughter Eligible), Milk, Milking Cows (Last Third Gestation), Milking Cows (Slaughter Eligible)</t>
  </si>
  <si>
    <t>Cattle: Dairy Bulls, Dairy Replacement Heifer (Slaughter Eligible), Milk, Milking Cows (Slaughter Eligible), Milking Cows (Last Third Gestation, Dairy only)</t>
  </si>
  <si>
    <t>Cattle: Bulls, Calves, Dairy Replacement Heifer, Dry Cows, Milk, Milking Cows, Slaughter Eligible</t>
  </si>
  <si>
    <t>Cattle: Cattle (Dairy - Last Third - Eligible for Organic Slaughter) (Identified by "OS" on ear tag and no red leg band.), Cattle (Dairy-Transitioned-Not for Meat) (Identified by numbered ear tag.)</t>
  </si>
  <si>
    <t>Other: Dairy Cows for milk - all eligible for organic slaughter, Milk</t>
  </si>
  <si>
    <t>Other: Dairy Goat Replacements - none eligible for organic slaughter, Dairy Goats for milk - none eligible for organic slaughter, Milk</t>
  </si>
  <si>
    <t>Other: #Custom management of livestock, *Dairy cows for milk - all eligible for organic slaughter, *Dairy replacements - all eligible for organic slaughter, *Milk</t>
  </si>
  <si>
    <t>Other: Dairy Cattle For Milk Production &amp; Beef, Milk</t>
  </si>
  <si>
    <t>Other: Dairy bull - eligible for organic slaughter, Dairy cows for milk - some eligible for organic slaughter, Dairy replacements - all eligible for organic slaughter, Milk</t>
  </si>
  <si>
    <t>Cattle: Beef Replacement Heifer, Beef Steers, Cattle - Dairy Other (Milk), Dairy Bulls, Dairy Replacement Heifer, Milking Cows, Slaughter Eligible, Slaughter Eligible</t>
  </si>
  <si>
    <t>Cattle: Dairy Replacement Heifer (Replacement Heifers (Organic Slaughter Eligible)), Milking Cows (Dairy Cows (Not Organic Slaughter Eligible)), Milking Cows (Dairy Cows (Organic Slaughter Eligible)), Milking Cows (Dairy Cows (Transitioned))</t>
  </si>
  <si>
    <t>Other: Beef cattle: replacements, Beef cattle: slaughter stock, Dairy cow: milk, Dairy cow: replacements, Dairy cow: slaughter stock, Swine: slaughter stock</t>
  </si>
  <si>
    <t>Cattle: Calves (Dairy Calves (some eligible for organic slaughter)), Dairy Replacement Heifer (Dairy Replacement Heifers (none eligible for slaughter)), Milk - Raw Bulk Milk, Milking Cows (Dairy Cows (none eligible for organic slaughter))</t>
  </si>
  <si>
    <t>Cattle: Calves, Dairy Replacement Heifer, Dry Cows, Heifer Boarding, Heifers, Milk, Milking Cows, Slaughter Eligible</t>
  </si>
  <si>
    <t>Cattle: Calves (Some eligible for organic slaughter), Dairy Bulls, Dry Cows (Some eligible for organic slaughter), Heifers (Some eligible for organic slaughter), Milking Cows (Milk) (Some eligible for organic slaughter)</t>
  </si>
  <si>
    <t>Cattle: Calves (Some eligible for organic slaughter), Dairy Replacement Heifer (Some eligible for organic slaughter), Heifers (Some eligible for organic slaughter), Milking Cows (Milk) (Some eligible for organic slaughter)</t>
  </si>
  <si>
    <t>Cattle: Dairy Replacement Heifer (Dairy Replacement Heifers (all eligible for organic slaughter)), Milk - Raw Bulk Milk, Milking Cows (Dairy Cattle (all eligible for organic slaughter))</t>
  </si>
  <si>
    <t>Cattle: Calves (Dairy Calves (all eligible for organic slaughter)), Dairy Replacement Heifer (Dairy Replacement Heifers (all eligible for organic slaughter)), Milk - Raw Bulk Milk, Slaughter Eligible (Dairy Cow (all eligible for organic slaughter))</t>
  </si>
  <si>
    <t>Poultry: Eggs, Laying Hens; Cattle: Dairy Replacement Heifer, Heifer Boarding, Milk, Milking Cows, Slaughter Eligible</t>
  </si>
  <si>
    <t>Cattle: Dairy Replacement Heifer (Some eligible for organic slaughter), Dry Cows (Some eligible for organic slaughter), Heifers (Some eligible for organic slaughter), Milking Cows (Milk) (Some eligible for organic slaughter)</t>
  </si>
  <si>
    <t>Cattle: Calves, Dairy Replacement Heifer, Dry Cows, Heifer Boarding, Milk, Milking Cows, Slaughter Eligible, Yearling</t>
  </si>
  <si>
    <t>Cattle: Cattle (Dairy - Last Third - Eligible for Organic Slaughter) (Slaughter eligible animals are identified by NO rectangular ear tag.), Cattle (Dairy-Transitioned-Not for Meat) (No Organic Slaughter Sales.)</t>
  </si>
  <si>
    <t>Cattle: Beef, Calves, Dairy Replacement Heifers, Milking Cows, Slaughter Eligible, Steers</t>
  </si>
  <si>
    <t>Other: *Dairy cows for milk - none eligible for organic slaughter, *Dairy replacements - none eligible for organic slaughter, *Milk</t>
  </si>
  <si>
    <t>Other: Dairy cows for milk - none eligible for organic slaughter, Dairy replacements - some eligible for organic slaughter, Milk</t>
  </si>
  <si>
    <t>Cattle: Dairy Replacement Heifer (Last Third Gestation), Milk, Milking Cows (Transitioned)</t>
  </si>
  <si>
    <t>Other: *Dairy bulls - all eligible for organic slaughter, *Dairy cows for milk - some eligible for organic slaughter, *Dairy replacements - all eligible for organic slaughter, *Dairy steers - all eligible for organic slaughter, *Milk</t>
  </si>
  <si>
    <t>Other: Beef cattle: slaughter stock, Dairy bull: slaughter stock, Dairy cow: replacements, Dairy cow: slaughter stock, Dairy steer: slaughter stock</t>
  </si>
  <si>
    <t>Cattle: Cattle (Dairy - Last Third - Eligible for Organic Slaughter) (Slaughter Eligible Animals Identified by Yellow Ear Tag.)</t>
  </si>
  <si>
    <t>Cattle: Beef Steers, Cattle - Dairy Other (Milk), Dairy Replacement Heifer, Milking Cows, Slaughter Eligible, Slaughter Eligible</t>
  </si>
  <si>
    <t>Cattle: Beef Heifers, Calves (Dairy, Slaughter Eligible), Dairy Replacement Heifer (Slaughter Eligible), Dairy Steers (Slaughter Eligible), Milking Cows (Slaughter Eligible)</t>
  </si>
  <si>
    <t>Poultry: Eggs, Laying Hens (Slaughter Eligible), Pullets (Slaughter Eligible); Cattle: Dairy Replacement Heifer (Slaughter Eligible), Milk, Milking Cows (Slaughter Eligible), Milking Cows (Transitioned)</t>
  </si>
  <si>
    <t>Poultry: Laying Hens, Eggs; Cattle: Dairy Cattle, Milk (See Livestock List for Organic Slaughter Eligible Livestock)</t>
  </si>
  <si>
    <t>Other: Custom Livestock Management, Dairy Replacements</t>
  </si>
  <si>
    <t>Cattle: Cattle - Dairy Other (Milk), Dairy Replacement Heifer, Milking Cows, Slaughter Eligible, Slaughter Eligible</t>
  </si>
  <si>
    <t>Cattle: Slaughter Eligible; Other: Cow Milk</t>
  </si>
  <si>
    <t>Other: Culled cows, Dairy calves, live, Dairy cows, live, Live cattle, other, Slaughter bulls, live, Slaughter calves, live, Suckler cows, live, Young slaughter cattle, live</t>
  </si>
  <si>
    <t>Cattle: Beef Bulls, Beef Replacement Heifer, Beef Steers, Cattle - Dairy Other (Milk), Dairy Replacement Heifer, Milking Cows, Slaughter Eligible, Slaughter Eligible</t>
  </si>
  <si>
    <t>Other: Dairy cows- all eligible for organic slaughter, Dairy replacements - all eligible for organic slaughter, Milk</t>
  </si>
  <si>
    <t>Other: Dairy Bulls - all eligible for organic slaughter, Dairy Cows for milk - some eligible for organic slaughter, Dairy Replacements - all eligible for organic slaughter, Dairy Steers - all eligible for organic slaughter, Milk</t>
  </si>
  <si>
    <t>Other: Dairy goats for milk - none eligible for organic slaughterDairy goat replacements - none eligible for organic slaughterGoat milk.Certified in accordance with the terms of the U.S.-Canada Organic Equivalency Arrangement.</t>
  </si>
  <si>
    <t>Other: Dairy Cows for milk - all eligible for organic slaughter, Dairy Replacements - all eligible for organic slaughter, Dairy Steers - some eligible for organic slaughter, Milk</t>
  </si>
  <si>
    <t>Cattle: Beef Cattle (Last 1/3rd Gestation, Organic Slaughter Eligible), Dairy Cattle (Last 1/3rd Gestation, Organic Slaughter Eligible), Dairy Cattle (Transitioned, Not Eligible for Organic Slaughter), Raw Bulk Milk</t>
  </si>
  <si>
    <t>Other: Organic Dairy Cows (Slaughter Eligible) and Fluid Milk.</t>
  </si>
  <si>
    <t>Sheep: Sheep (Dairy - Last Third - Eligible for Organic Slaughter) (Slaughter Eligible Animals Identified by No Red Ear Tag); Poultry: Chickens-Layers</t>
  </si>
  <si>
    <t>Cattle: Cattle - Breederstock (Not Eligible for Organic Slaughter), Dairy Cattle - Last Third Gestation Born (Eligible for Organic Slaughter), Dairy Cattle – Last Third Gestation Born (Not Eligible for Organic Slaughter), Dairy Cattle - Transitioned (Not Eligible for Organic Slaughter), Beef Cattle - Last Third Gestation Born (Eligible for Organic Slaughter)</t>
  </si>
  <si>
    <t>Other: Milk, Bulls, Dairy Cows (eligible for slaughter), Dairy Replacements (eligible for slaughter)</t>
  </si>
  <si>
    <t>Cattle: Cattle (Dairy - Last Third - Eligible for Organic Slaughter) (Slaughter Eligible Animals Identified by a Green, White, or Yellow ear tag and NO Blue button tag.)</t>
  </si>
  <si>
    <t>Cattle: Dairy Cattle - Last Third Gestation Born (Eligible For Organic Slaughter), Dairy Cattle - Transitioned (Not Eligible for Organic Slaughter), Raw Milk</t>
  </si>
  <si>
    <t>Cattle: Dairy Replacement Heifer (Replacement Heifers (Slaughter Eligible))</t>
  </si>
  <si>
    <t>Cattle: Cattle (Dairy - Last Third - Eligible for Organic Slaughter) (Slaughter Eligible Animals Identified by No Blue Ear Tag.)</t>
  </si>
  <si>
    <t>Other: Dairy Cattle, Milk</t>
  </si>
  <si>
    <t>Other: *Dairy cows for milk - some eligible for organic slaughter;*Dairy replacements - all eligible for organic slaughter;*Milk.*Certified in accordance with the terms of the U.S.-Canada Organic Equivalency Arrangement.</t>
  </si>
  <si>
    <t>Cattle: Dairy Replacement Heifer (Dairy Replacement Heifers (some eligible for organic slaughter)), Dairy Steers (Dairy Steers (none eligible for organic slaughter)), Milk - Raw Bulk Milk, Milking Cows (Dairy Cows (some eligible for organic slaughter))</t>
  </si>
  <si>
    <t>Other: Beef bulls and steers - all eligible for organic slaughter;Dairy cows for milk - some eligible for organic slaughter; Dairy replacements - all eligible for organic slaughter;Dairy steers - all eligible for organic slaughter;Milk.Certified in accordance with the terms of the U.S.-Canada Organic Equivalency Arrangement.</t>
  </si>
  <si>
    <t>Other: Dairy cows - some eligible for organic slaughter, Dairy replacements - all eligible for organic slaughter, Milk</t>
  </si>
  <si>
    <t>Cattle: Dairy Bulls (Slaughter Eligible), Dairy Replacement Heifer (Slaughter Eligible), Milk, Milking Cows, Milking Cows (Slaughter Eligible)</t>
  </si>
  <si>
    <t>Cattle: Calves (some eligible for organic slaughter), Dairy Replacement Heifer (some eligible for organic slaughter), Dry Cows (some eligible for organic slaughter), Milking Cows (Milk) (some eligible for organic slaughter), Steers</t>
  </si>
  <si>
    <t>Cattle: Dairy Replacement Heifers, Milking Cows</t>
  </si>
  <si>
    <t>Cattle: Dairy Cattle - Last Third Gestation Born (For Organic Slaughter), Dairy Cattle - Converted (Not for Organic Slaughter), Raw Milk</t>
  </si>
  <si>
    <t>Other: Dairy bull: slaughter stock, Dairy cow: milk, Dairy cow: replacements, Dairy cow: slaughter stock, Dairy steer: slaughter stock</t>
  </si>
  <si>
    <t>Other: #Custom raising of cattle, Dairy cows for milk - All eligible for organic slaughter, Dairy replacements - all eligible for organic slaughter, Milk</t>
  </si>
  <si>
    <t>Other: Dairy cows for milk - some eligible for organic slaughter, Dairy replacements - some eligible for organic slaughter, Milk</t>
  </si>
  <si>
    <t>Other: Beef cattle: replacements, Beef cattle: replacements, Beef cattle: slaughter stock, Dairy cow: milk</t>
  </si>
  <si>
    <t>Other: Brood ewes - none eligible for organic slaughter, Dairy cows for milk - all eligible for organic slaughter, Dairy replacements - all eligible for organic slaughter, Dairy steers - all eligible for organic slaughter, Lambs - all eligible for organic slaughter, Milk</t>
  </si>
  <si>
    <t>Other: Dairy Cows, Heifers, Calves, Beef, Beef on the Hoof, Veal, Veal on the Hoof, Piglets, Lamb, Pork, Raw Milk, Laying Hens, Eggs</t>
  </si>
  <si>
    <t>Other: *Dairy steers - all eligible for organic slaughter, Dairy cows for milk - some eligible for organic slaughter, Dairy replacements - all eligible for organic slaughter, Milk</t>
  </si>
  <si>
    <t>Buffalo: Milking Cows (Milk (Buffalo))</t>
  </si>
  <si>
    <t>Other: Dairy cows for milk - some eligible for organic slaughter, Dairy replacements - all eligible for organic slaughter, Eggs, Hens for eggs - all eligible for organic slaughter, Milk</t>
  </si>
  <si>
    <t>Cattle: Calves (Calves (Organic Slaughter Eligible)), Milking Cows (Dairy Cows (Not Organic Slaughter Eligible)), Milking Cows (Dairy Cows (Organic Slaughter Eligible)), Milking Cows (Dairy Cows (Transitioned))</t>
  </si>
  <si>
    <t>Other: Bulls - all eligible for organic slaughter, Dairy cows - some eligible for slaughter, Dairy replacements - all eligible for organic slaughter, Milk</t>
  </si>
  <si>
    <t>Other: Dairy Goat Replacements - all eligible for organic slaughter, Dairy Goats for milk - all eligible for organic slaughter, Eggs, Hens for eggs - all eligible for organic slaughter, Milk</t>
  </si>
  <si>
    <t>Cattle: Dairy Replacement Heifer (Dairy Replacement Heifers (all eligible for organic slaughter)), Milk - Raw Bulk Milk, Milking Cows (Dairy Cows (all eligible for organic slaughter))</t>
  </si>
  <si>
    <t>Cattle: Breeding Eligible (Beef Cattle for Breeder Status), Calves (Beef Calves (some eligible for organic slaughter)), Milk - Raw Bulk Milk, Milking Cows (Dairy Cattle (some eligible for organic slaughter))</t>
  </si>
  <si>
    <t>Cattle: Dairy Replacement Heifer (Slaughter Eligible), Milking Cows (Dairy Cows (Slaughter Eligible))</t>
  </si>
  <si>
    <t>Other: Dairy Cattle for Milk production and Beef, Milk</t>
  </si>
  <si>
    <t>Cattle: Dairy Replacement Heifer (Replacement Heifers (Slaughter Eligible)), Milking Cows (Milking Cows (Slaughter Eligible))</t>
  </si>
  <si>
    <t>Other: Dairy Bulls - some eligible for organic slaughter, Dairy Cows for milk - some eligible for organic slaughter, Dairy Replacements - all eligible for organic slaughter, Dairy Steers - some eligible for organic slaughter, Milk</t>
  </si>
  <si>
    <t>Poultry: Chickens; Cattle: Beef Replacement Heifer, Cattle - Beef Other (Retail Cuts), Cattle - Dairy Other (Milk), Cattle - Dairy Other (Retail Cuts), Dairy Replacement Heifer, Milking Cows, Slaughter Eligible, Slaughter Eligible</t>
  </si>
  <si>
    <t>Other: Dairy Cows, Replacements, Milk</t>
  </si>
  <si>
    <t>Other: Milk, Bull, Dairy Cows (eligible for slaughter), Dairy Replacements (eligible for slaughter), Steers</t>
  </si>
  <si>
    <t>Poultry: Chickens, Poultry - Chickens (Eggs); Cattle: Cattle - Dairy Other (Milk), Cattle - Dairy Other (Retail Cuts), Dairy Replacement Heifer, Milking Cows, Slaughter Eligible</t>
  </si>
  <si>
    <t>Other: *Dairy cows for milk -alleligible for organic slaughter;*Dairy replacements - all eligible for organic slaughter;*Milk.*Certified in accordance with the terms of the U.S.-Canada Organic Equivalency Arrangement.</t>
  </si>
  <si>
    <t>Other: Goat Milk, Dairy Goats (some eligible for organic slaughter), and Dairy Goat Replacements (all eligible for organic slaughter)</t>
  </si>
  <si>
    <t>Cattle: Beef Steers, Cattle - Dairy Other (Milk), Dairy Replacement Heifer, Milking Cows, Slaughter Eligible</t>
  </si>
  <si>
    <t>Other: *Beef cows, *heifers, *bulls, *and steers - all eligible for organic slaughter, *Dairy bulls - all eligible for organic slaughter, Dairy cows for milk - all eligible for organic slaughter, Dairy replacements - all eligible for organic slaughter, Milk</t>
  </si>
  <si>
    <t>Other: Dairy Goats (eligible for organic slaughter), Dairy Replacements (eligible for organic slaughter), Goat Milk</t>
  </si>
  <si>
    <t>Cattle: Dairy Replacement Heifer, Milking Cows (Dairy Cattle)</t>
  </si>
  <si>
    <t>Other: Dairy Cows, Beef (including cows eligible as organic slaughter stock), Milk</t>
  </si>
  <si>
    <t>Other: Transitioned Dairy Cattle (Non-Slaughter Eligible) and Fluid Milk</t>
  </si>
  <si>
    <t>Other: Dairy bulls - all eligible for organic slaughter, Dairy cows for milk - all eligible for organic slaughter, Dairy replacements - all eligible for organic slaughter, Dairy steers - all eligible for organic slaughter, Milk</t>
  </si>
  <si>
    <t>Cattle: Milking Cows (Dairy Cows, Milk)</t>
  </si>
  <si>
    <t>Other: Beef cattle: slaughter stock, Custom boarding, Custom grazing, Dairy cow: replacements</t>
  </si>
  <si>
    <t>Cattle: Calves (Dairy, All Slaughter Eligible), Dairy Bulls (All Slaughter Eligible), Dairy Replacement Heifer (All Slaughter Eligible), Milk, Milking Cows (All Slaughter Eligible)</t>
  </si>
  <si>
    <t>Other: Dairy Cows (eligible for organic slaughter), Dairy Replacements (eligible for organic slaughter), and Milk</t>
  </si>
  <si>
    <t>Other: Dairy Cattle - Last Third Gestation Born (Eligible for Organic Slaughter), Raw Milk</t>
  </si>
  <si>
    <t>Other: *Dairy cows for milk - all eligible for organic slaughter., *Dairy replacements - all eligible for organic slaughter, *Milk</t>
  </si>
  <si>
    <t>Other: Cattle: Dairy Replacement Heifer, Dry Cows, Milk,
Milking Cows, Slaughter Eligible</t>
  </si>
  <si>
    <t>Cattle: Dairy Bulls, Dairy Replacement Heifer (heifers and calves), Milking Cows, Slaughter Eligible</t>
  </si>
  <si>
    <t>Other: Dairy goat replacements - all eligible for organic slaughter, Dairy goats for milk - some eligible for organic slaughter, Goat milk</t>
  </si>
  <si>
    <t>Cattle: Beef Replacement Heifer, Dairy Replacement Heifer, Slaughter Eligible, Slaughter Eligible</t>
  </si>
  <si>
    <t>Cattle: Dairy Cattle, Milk (See Livestock List for Organic Slaughter Eligible Livestock), Replacement Heifers</t>
  </si>
  <si>
    <t>Cattle: Milking Cows (Slaughter Eligible)</t>
  </si>
  <si>
    <t>Other: Dairy Cattle: Milk, Meat, Breeding</t>
  </si>
  <si>
    <t>Cattle: Dairy Replacement Heifer ((all born last third organic, eligible for organic slaughter)), Milking Cows (milk (all born last third organic, eligible for organic slaughter))</t>
  </si>
  <si>
    <t>Other: Dairy bull: slaughter stock, Dairy cow: milk, Dairy cow: replacements, Dairy cow: slaughter stock</t>
  </si>
  <si>
    <t>Cattle: Beef Replacement Heifer, Cattle - Dairy Other (Milk), Dairy Replacement Heifer, Milking Cows, Slaughter Eligible, Slaughter Eligible</t>
  </si>
  <si>
    <t>Cattle: Cattle (Dairy - Last Third - Eligible for Organic Slaughter) (Slaughter Eligible Animals Identified by Ear Tag That Has Not Been Cut in Half.)</t>
  </si>
  <si>
    <t>Cattle: Dairy Cattle - Converted (Not for Organic Slaughter), Dairy Cattle - Last Third Gestation Born (Eligible for Organic Slaughter), Dairy Cattle - Last Third Gestation (Not Eligible for Organic Slaughter), Raw Milk</t>
  </si>
  <si>
    <t>Cattle: Cattle (Dairy - Last Third - Eligible for Organic Slaughter) (Slaughter eligible cattle have yellow ear tag and do not have an extra red ear tag.); Other: Custom Management of Animals</t>
  </si>
  <si>
    <t>Other: Dairy cows for milk- some eligible for organic slaughter, Dairy replacements- all eligible for organic slaughter, Milk</t>
  </si>
  <si>
    <t>Poultry: Eggs - Game Hen Eggs (for on-farm consumption only), Eggs - Nest Run Eggs, Laying Hens, Laying Hens (Game Hens); Cattle: Milk - Raw Bulk Milk, Milking Cows (Dairy Cattle (some eligible for organic slaughter)), Slaughter Eligible (Beef Cattle (some eligible for organic slaughter)); Other: Honey, Other - Bees Wax, Other - Pollen</t>
  </si>
  <si>
    <t>Cattle: Dairy Replacement Heifer (Replacement Heifers (Slaughter Eligible)), Milking Cows (Dairy Cows (Slaughter Eligible))</t>
  </si>
  <si>
    <t>Cattle: Calves, Dairy Replacement Heifer, Dry Cows, Heifer Boarding, Milk, Milking Cows</t>
  </si>
  <si>
    <t>Other: Dairy Cows (eligible for slaughter), Dairy Replacements (eligible for slaughter), Eggs, Layers for eggs (all eligible for slaughter), Milk</t>
  </si>
  <si>
    <t>Cattle: Calves (Some eligible for organic slaugther), Dairy Bulls (Some eligible for organic slaugther), Dry Cows (Some eligible for organic slaugther), Heifers (Some eligible for organic slaugther), Milking Cows (Milk) (Some eligible for organic slaugther)</t>
  </si>
  <si>
    <t>Other: Dairy cows for milk -alleligible for organic slaughter;Dairy replacements - all eligible for organic slaughter;Milk.Certified in accordance with the terms of the U.S.-Canada Organic Equivalency Arrangement.</t>
  </si>
  <si>
    <t>Cattle: Calves, Dairy Replacement Heifer, Heifer Boarding, Heifers, Milk, Milking Cows, Slaughter Eligible</t>
  </si>
  <si>
    <t>Other: Dairy cattle for milk production and beef, Milk</t>
  </si>
  <si>
    <t>Cattle: Calves (Dairy Calves (all eligible for organic slaughter)), Dairy Replacement Heifer (Dairy Replacement Heifers (all eligible for organic slaughter)), Milk - Raw Bulk Milk, Milking Cows (Dairy Cattle for Slaughter status), Milking Cows (Dairy Cows (all eligible for organic slaughter))</t>
  </si>
  <si>
    <t>Other: Dairy Cows for milk - some eligible for organic slaughter, Dairy Cows for milk - Transitioned, Dairy Replacements - all eligible for organic slaughter, Dairy Steers - all eligible for organic slaughter, Milk</t>
  </si>
  <si>
    <t>Other: Dairy Cows (eligible for slaughter), Dairy Replacements (eligible for slaughter), Milk</t>
  </si>
  <si>
    <t>Other: Dairy Cattle For Milk Production, Milk</t>
  </si>
  <si>
    <t>Cattle: Calves (All Eligible for Organic Slaughter), Dairy Replacement Heifer (All Eligible for Organic Slaughter), Dry Cows (All Eligible for Organic Slaughter), Milking Cows (Milk) (All Eligible for Organic Slaughter)</t>
  </si>
  <si>
    <t>Cattle: Calves (Dairy Calves (all eligible for organic slaughter)), Dairy Replacement Heifer (Dairy Replacement Heifers (some eligible for organic slaughter)), Milk - Raw Bulk Milk, Milking Cows (Dairy Cattle (some eligible for organic slaughter)), Milking Cows (Dairy Cows (some eligible for organic slaughter))</t>
  </si>
  <si>
    <t>Other: Dairy Cattle For Milk Production and Beef, Milk</t>
  </si>
  <si>
    <t>Cattle: Dairy Replacement Heifer, Milking Cows, Slaughter Eligible</t>
  </si>
  <si>
    <t>Cattle: Beef Replacement Heifer, Beef Steers, Cattle - Beef Other (Retail Cuts), Cattle - Dairy Other (Milk), Dairy Replacement Heifer, Milking Cows, Slaughter Eligible, Slaughter Eligible</t>
  </si>
  <si>
    <t>Cattle: Cattle (Dairy - Last Third - Eligible for Organic Slaughter) (No Organic Slaughter Sales.)</t>
  </si>
  <si>
    <t>Cattle: Bulls, Calves, Dairy Replacement Heifer, Heifers, Milk, Milking Cows, Slaughter Eligible</t>
  </si>
  <si>
    <t>Other: Bullocks, live, Dairy calves, live, Dairy cows, live, Dairy heifers [ 1 year, live, Dairy heifers ] 1 year, live, Live cattle, other</t>
  </si>
  <si>
    <t>Other: "Dairy Cows (Not Eligible For Slaughter), Replacement Heifers (Slaughter Eligible)"</t>
  </si>
  <si>
    <t>Other: *Beef cow - eligible for organic slaughter, *Brood sows - all eligible for organic slaughter, *Dairy and beef steers - all eligible for organic slaughter, *Dairy cows for milk - all eligible for organic slaughter, *Dairy replacements - all eligible for organic slaughte, *Hogs - all eligible for organic slaughter, Milk</t>
  </si>
  <si>
    <t>Cattle: Dairy Cows, Milk (See Livestock List for Organic Slaughter Eligible Livestock)</t>
  </si>
  <si>
    <t>Poultry: No Products; Cattle: Dairy Cattle, Milk (See Livestock List for Organic Slaughter Eligible Livestock)</t>
  </si>
  <si>
    <t>Other: Dairy Cattle (slaughter eligible), Milk</t>
  </si>
  <si>
    <t>Other: Dairy cows, live</t>
  </si>
  <si>
    <t>Cattle: Cattle (Dairy - Last Third - Eligible for Organic Slaughter) (Slaughter Eligible Animals Identified by No Blue or Green Ear Tag.)</t>
  </si>
  <si>
    <t>Cattle: Dairy Replacement Heifer (Slaughter Eligible), Dairy Steers, Milk, Milking Cows (Slaughter Eligible)</t>
  </si>
  <si>
    <t>Other: Dairy Cows (some eligible for organic slaughter), Dairy Replacements (some eligible for organic slaughter), and Milk</t>
  </si>
  <si>
    <t>Other: Dairy cows for milk - all eligible for organic slaughter, Dairy replacements - some eligible for organic slaughter, Milk, Steers-all eligible for organic slaughter</t>
  </si>
  <si>
    <t>Other: Dairy cows (all eligible for slaughter), Dairy replacements (all eligible for slaughter), Milk</t>
  </si>
  <si>
    <t>Cattle: Calves (Dairy Calves (all eligible for organic slaughter)), Dairy Bulls, Dairy Replacement Heifer (Dairy Replacement Heifers (all eligible for organic slaughter)), Milk - Raw Bulk Milk, Milking Cows (Dairy Cows (all eligible for organic slaughter))</t>
  </si>
  <si>
    <t>Cattle: Calves (some eligible for organic slaughter), Dairy Bulls, Dairy Steers, Dry Cows (some eligible for organic slaughter), Heifers (some eligible for organic slaughter), Milking Cows (Milk) (some eligible for organic slaughter)</t>
  </si>
  <si>
    <t>Cattle: Calves (Beef, Slaughter Eligible), Dairy Replacement Heifer (Slaughter Eligible), Milk, Milking Cows (Transitioned), Milking Cows (Slaughter Eligible)</t>
  </si>
  <si>
    <t>Cattle: Calves (All eligible for organic slaughter), Dairy Bulls, Dry Cows (All eligible for organic slaughter), Heifers (All eligible for organic slaughter), Milking Cows (Milk) (All eligible for organic slaughter)</t>
  </si>
  <si>
    <t>Cattle: Milk - Raw Bulk Milk, Milking Cows (Dairy Cows (all eligible for organic slaughter))</t>
  </si>
  <si>
    <t>Cattle: Custom Heifer Boarding, Dairy Replacement Heifer (Slaughter Eligible), Milking Cows (Slaughter Eligible), Milking Cows (Last Third Gestation, Dairy Only)</t>
  </si>
  <si>
    <t>Cattle: Dairy Replacement Heifer (all born last third organic, eligible for organic slaughter), Milking Cows (milk (5 transitioned, 24 born organic))</t>
  </si>
  <si>
    <t>Swine: Hogs; Cattle: Calves, Dairy Bulls, Dairy Steers, Dry Cows, Heifer Boarding, Heifers, Milk, Milking Cows, Slaughter Eligible</t>
  </si>
  <si>
    <t>Other: Dairy cows for milk -someeligible for organic slaughter;Dairy replacements -alleligible for organic slaughter;Milk.Certified in accordance with the terms of the U.S.-Canada Organic Equivalency Arrangement.</t>
  </si>
  <si>
    <t>Other: Dairy bulls - all eligible for organic slaughter, Dairy cows for milk - some eligible for organic slaughter., Dairy replacements - all eligible for organic slaughter., Dairy steers - all eligible for organic slaughter, Milk</t>
  </si>
  <si>
    <t>Cattle: Cattle (Dairy - Last Third - Eligible for Organic Slaughter) (Slaughter Eligible Animals Identified by having no purple ear tag. )</t>
  </si>
  <si>
    <t>Cattle: Cattle (Dairy - Last Third - Eligible for Organic Slaughter) (Slaughter eligible cattle are identified by not having two green ear tag or no orange ear tag.)</t>
  </si>
  <si>
    <t>Other: Dairy bulls - all eligible for organic slaughter, Dairy cows for milk - all eligible for organic slaughter, Dairy replacements - all eligible for organic slaughter, Milk, Processing and distribution of Kefir; Kefir grains</t>
  </si>
  <si>
    <t>Cattle: Dairy Replacement Heifer, Dairy Replacement Heifer (Slaughter Eligible), Milk, Milking Cows, Milking Cows (Slaughter Eligible)</t>
  </si>
  <si>
    <t>Goats: Doelings, Goat Milk, Milking Goats; Cattle: Dairy Replacement Heifer (Slaughter Eligible), Milking Cows (Slaughter Eligible)</t>
  </si>
  <si>
    <t>Other: Dairy Cows for Milk - all eligible for organic slaughter; Dairy Replacements - all eligible for organic slaughter; Milk;Hens for Eggs - all eligible for organic slaughter; Eggs;Maple Trees for sap; Handling, packaging, and distribution of Maple Syrup and Maple Cream.Certified in accordance with the terms of the U.S.-Canada Organic Equivalency Arrangement.</t>
  </si>
  <si>
    <t>Other: Cattle: Calves, Dairy Replacement Heifer, Dry Cows, Milk, Milking Cows, Slaughter Eligible</t>
  </si>
  <si>
    <t>Cattle: Cattle (Dairy - Last Third - Eligible for Organic Slaughter) (Slaughter eligible cattle have an ear tag that is not notched.)</t>
  </si>
  <si>
    <t>Other: Dairy cows, live, Dairy heifers [ 1 year, live</t>
  </si>
  <si>
    <t>Other: *Dairy cows for milk - some eligible for organic slaughter, *Milk, Dairy Replacements</t>
  </si>
  <si>
    <t>Cattle: Cattle (Dairy - Last Third - Eligible for Organic Slaughter) (Slaughter Eligible Animals Identified by Orange Ear Tags)</t>
  </si>
  <si>
    <t>Other: Dairy Cows for milk - all eligible for organic slaughter, Dairy Replacements - all eligible for organic slaughter, Dairy Steers - all eligible for organic slaughter, Milk</t>
  </si>
  <si>
    <t>Cattle: Dairy Bulls (Slaughter Eligible), Dairy Replacement Heifer (Slaughter Eligible), Milk, Milking Cows (Slaughter Eligible)</t>
  </si>
  <si>
    <t>Other: Milk, Dairy Cows (some eligible for organic slaughter) and Dairy Replacements (eligible for organic slaughter)</t>
  </si>
  <si>
    <t>Cattle: Beef Bulls, Calves, Dairy Replacement Heifer, Dry Cows, Heifers, Milk, Milking Cows, Slaughter Eligible</t>
  </si>
  <si>
    <t>Other: Dairy Goat Replacements - some eligible for organic slaughter, Dairy Goats for milk - some eligible for organic slaughter, Milk</t>
  </si>
  <si>
    <t>Other: Dairy cows for milk - none eligible for organic slaughter., Dairy replacements - some eligible for organic slaughter., Milk</t>
  </si>
  <si>
    <t>Cattle: Beef Replacement Heifer, Beef Steers, Dairy Replacement Heifer, Slaughter Eligible, Slaughter Eligible</t>
  </si>
  <si>
    <t>Other: Dairy Cows (some eligible for organic slaughter), Dairy Replacements (eligible for organic slaughter), Dairy Bulls (eligible for organic slaughter), Dairy Steers (eligible for organic slaughter), and Milk</t>
  </si>
  <si>
    <t>Other: Dairy cows for milk - some eligible for organic slaughter;Dairy replacements - all eligible for organic slaughter;Dairy steers - all eligible for organic slaughter;Milk.Certified in accordance with the terms of the U.S.-Canada Organic Equivalency Arrangement.</t>
  </si>
  <si>
    <t>Cattle: Dairy Bulls (Bulls (slaughter eligible)), Dairy Replacement Heifer (Dairy Replacement Heifer (slaughter eligible)), Dairy Steers (Steers (slaughter elegible)), Milking Cows (Dairy Cows (slaughter eligible))</t>
  </si>
  <si>
    <t>Other: Milk, bulk, Dairy Cows (some eligible for organic slaughter), and Dairy Replacements (eligible for organic slaughter), and Dairy bulls (all eligible for organic slaughter)</t>
  </si>
  <si>
    <t>Cattle: Cattle (Dairy - Last Third - Eligible for Organic Slaughter) (Slaughter eligible animals identified by un-notched numbered ear tag), Cattle (Dairy-Transitioned-Not for Meat) (Tag #'s 501, 504, 505, 509, 510, and 512. No Slaughter Sales.)</t>
  </si>
  <si>
    <t>Cattle: Dairy Replacement Heifer (Replacement Heifers (Slaughter Eligible)), Milking Cows (Dairy Cows (Not Slaughter Eligible and Slaughter Eligible))</t>
  </si>
  <si>
    <t>Other: Dairy cows for milk - all eligible for organic slaughter;Dairy replacements - all eligible for organic slaughter;Dairy steers - all eligible for organic slaughter; Milk.Certified in accordance with the terms of the U.S.-Canada Organic Equivalency Arrangement.</t>
  </si>
  <si>
    <t>Other: Dairy Bulls- all eligible for organic slaughter, Dairy cows for milk - all eligible for organic slaughter, Dairy replacements - all eligible for organic slaughter, Milk</t>
  </si>
  <si>
    <t>Cattle: Dairy Replacement Heifer, Heifer Boarding, Milk, Milking Cows</t>
  </si>
  <si>
    <t>Cattle: Dairy Replacement Heifer (Dairy Replacement Heifers (some eligible for organic slaughter)), Milk - Raw Bulk Milk, Milking Cows (Dairy Cows (none eligible for organic slaughter))</t>
  </si>
  <si>
    <t>Other: Milk, Dairy Bulls (some eligible for organic slaughter), Dairy Cows (eligible for organic slaughter), Dairy Replacements (eligible for organic slaughter)</t>
  </si>
  <si>
    <t>Other: *Dairy cows - all eligible for organic slaughter, *Dairy replacements - all eligible for organic slaughter, *Dairy Steers - all eligible for organic slaughter</t>
  </si>
  <si>
    <t>Other: Chicken: eggs, Chicken: meat whole bird, Dairy cow: milk, Dairy cow: replacements, Dairy cow: slaughter stock</t>
  </si>
  <si>
    <t>Other: Dairy cows for milk - some eligible for organic slaughter;Dairy replacements - alleligible for organic slaughter;Dairy steers - all eligible for organic slaughter;Milk.Certified in accordance with the terms of the U.S.-Canada Organic Equivalency Arrangement.</t>
  </si>
  <si>
    <t>Other: Bulls - all eligible for organic slaughter, Dairy cows for milk - all eligible for organic slaughter, Dairy replacements - all eligible for organic slaughter, Milk</t>
  </si>
  <si>
    <t>Other: *Dairy bulls and steers - all eligible for organic slaughter, *Dairy cows for milk - some eligible for organic slaughter, *Dairy replacements - all eligible for organic slaughter, *Milk</t>
  </si>
  <si>
    <t>Cattle: Calves, Dairy Replacement Heifer, Dry Cows, Milk, Milking Cows</t>
  </si>
  <si>
    <t>Cattle: Dairy Replacement Heifers, Milking Cows, Milking Cows, Slaughter Eligible</t>
  </si>
  <si>
    <t>Other: Milk, Dairy Cows (none eligible for organic slaughter), Dairy Replacements (none eligible for organic slaughter)</t>
  </si>
  <si>
    <t>Cattle: Calves (Dairy, Slaughter Eligible), Dairy Bulls, Dairy Replacement Heifer (Slaughter Eligible), Milk, Milking Cows (Transitioned), Milking Cows (Slaughter Eligible)</t>
  </si>
  <si>
    <t>Cattle: Cattle (Dairy - Last Third - Eligible for Organic Slaughter) (Slaughter Eligible Animals Identified by No Red Ear Tag.)</t>
  </si>
  <si>
    <t>Other: Dairy Replacements - some eligible for organic slaughter</t>
  </si>
  <si>
    <t>Other: Dairy Cows for Milk Production, Milk</t>
  </si>
  <si>
    <t>Other: Dairy cows for milk - some eligible for organic slaughter, Dairy replacements - all eligible for organic slaughter, Dairy steer - all eligible for organic slaughter, Milk</t>
  </si>
  <si>
    <t>Other: Dairy Cows for milk - some eligible for organic slaughter, Milk</t>
  </si>
  <si>
    <t>Other: Dairy cows for milk - all eligible for organic slaughter, Dairy replacements for milk - all eligible for organic slaughter, Milk</t>
  </si>
  <si>
    <t>Other: Dairy Bulls - all eligible for organic slaughter, Dairy Cows for milk - some eligible for organic slaughter, Dairy Replacements - some eligible for organic slaughter, Dairy Steers - all eligible for organic slaughter, Milk</t>
  </si>
  <si>
    <t>Cattle: Calves, Dry Cows, Heifers, Milk, Milking Cows, Slaughter Eligible</t>
  </si>
  <si>
    <t>Cattle: Cattle (Dairy - Last Third - Eligible for Organic Slaughter) (Slaughter Eligible Animals are Identified by a Button in the Left Ear with a # greater than 3500 and No Additional Red Ear Tag)</t>
  </si>
  <si>
    <t>Cattle: Calves (Dairy Bull Calves (all eligible for organic slaughter)), Dairy Replacement Heifer (Dairy Replacement Heifers (all eligible for organic slaughter)), Milk - Raw Bulk Milk, Milking Cows (Dairy Cows (all eligible for organic slaughter))</t>
  </si>
  <si>
    <t>Other: Dairy Cattle, Replacement Heifers,  (All organic slaughter-eligible)</t>
  </si>
  <si>
    <t>Cattle: Calves (Dairy Bull Calves (all eligible for organic slaughter)), Dairy Replacement Heifer (Dairy Replacement Heifers (all eligible for organic slaughter)), Milk - Raw Bulk Milk, Milking Cows (Dairy Cows (some eligible for organic slaughter))</t>
  </si>
  <si>
    <t>Other: Dairy cows for milk - some eligible for organic slaughter, Dairy replacements - all eligible for organic slaughter</t>
  </si>
  <si>
    <t>Other: Dairy cows for milk - all eligible for organic slaughter., Dairy replacements - all eligible for organic slaughter., Milk</t>
  </si>
  <si>
    <t>Cattle: Calves (Some eligible for organic slaughter), Dairy Replacement Heifer (Some eligible for organic slaughter), Dry Cows (Some eligible for organic slaughter), Heifers (Some eligible for organic slaughter), Milking Cows (Milk) (Some eligible for organic slaughter)</t>
  </si>
  <si>
    <t>Other: Beef cattle: replacements, Beef cattle: slaughter stock, Custom boarding, Dairy bull: slaughter stock, Dairy cow: replacements</t>
  </si>
  <si>
    <t>Cattle: Dairy Replacement Heifer (Dairy Replacement Heifer - Eligible for Slaughter Stock), Milking Cows (Dairy Cows - Eligible for Slaughter Stock)</t>
  </si>
  <si>
    <t>Cattle: Beef Heifers (Slaughter Eligible), Beef Steers (Slaughter Eligible), Breeding Eligible (Slaughter Eligible), Dairy Replacement Heifer (Slaughter Eligible), Milking Cows (Slaughter Eligible)</t>
  </si>
  <si>
    <t>Other: Dairy Cattle - Breeding Eligible, Calves, Cows, Heifers, Slaughter Eligible, Steers, Fluid Milk, Swine - Barrows, Gilts, Breeding Eligible, Slaughter Eligible</t>
  </si>
  <si>
    <t>Other: #*Custom raising of cattle, *Beef brood cows - all eligible for organic slaughter, *Beef steers and heifers - all eligible for organic slaughter, *Dairy bulls and steers - all eligible for organic slaughter, *Dairy cows for milk - all eligible for organic slaughter, *Dairy replacements - all eligible for organic slaughter, *Milk</t>
  </si>
  <si>
    <t>Cattle: Calves (Dairy, Slaughter Eligible), Dairy Replacement Heifer (Slaughter Eligible), Dairy Steers (Slaughter Eligible), Milking Cows (Slaughter Eligible)</t>
  </si>
  <si>
    <t>Other: Organic Dairy Cattle (Slaughter-Eligible) and Fluid Milk</t>
  </si>
  <si>
    <t>Other: Dairy Cows (some eligible for organic slaughter), Dairy Replacements (all eligible for organic slaughter), and Milk</t>
  </si>
  <si>
    <t>Cattle: Beef Heifers, Beef Steers, Bulls, Calves, Dairy Replacement Heifer, Dry Cows, Heifer Boarding, Milk, Milking Cows, Slaughter Eligible</t>
  </si>
  <si>
    <t>Cattle: Dairy Cattle - Last Third Gestation Born (Eligible For Organic Slaughter), Dairy Cattle - Last Third Gestation (Not Eligible for Organic Slaughter), Dairy Cattle - Transitioned (Not Eligible for Organic Slaughter), Raw Milk</t>
  </si>
  <si>
    <t>Poultry: Eggs, Laying Hens; Cattle: Calves, Dairy Replacement Heifer, Dry Cows, Heifer Boarding, Milk, Milking Cows, Slaughter Eligible</t>
  </si>
  <si>
    <t>Swine: Swine (No Organic Slaughter Sales); Poultry: Chickens-Layers (No Organic Slaughter Sales), Turkeys (No Organic Slaughter Sales); Goats: Goats (Dairy - Last Third - Eligible for Organic Slaughter) (No Organic Slaughter Sales); Cattle: Cattle (Dairy - Last Third - Eligible for Organic Slaughter) (No Organic Slaughter Sales)</t>
  </si>
  <si>
    <t>Other: Dairy cows for milk-some eligible for organic slaughter, Dairy replacements-all eligible for organic slaughter, Milk</t>
  </si>
  <si>
    <t>Cattle: Cattle (Dairy - Last Third - Eligible for Organic Slaughter) (Green Ear tag and No Yellow Ear Tag.)</t>
  </si>
  <si>
    <t>Other: Dairy cows for milk - some eligible for organic slaughter, Milk</t>
  </si>
  <si>
    <t>Cattle: Calves (Dairy, Slaughter Eligible), Dairy Replacement Heifer (Slaughter Eligible), Milk, Milking Cows (Last 3rd Gestation), Milking Cows (Slaughter Eligible)</t>
  </si>
  <si>
    <t>Other: Dairy cows for milk - some eligible for organic slaughter;Dairy replacements - some eligible for organic slaughter;Dairy bulls - all eligible for organic slaughter;Milk.Certified in accordance with the terms of the U.S.-Canada Organic Equivalency Arrangement.</t>
  </si>
  <si>
    <t>Cattle: Dairy Cattle - Last Third Gestation Born (Eligible For Organic Slaughter), Dairy Cattle - Last Third Gestation Born (Not Eligible for Organic Slaughter), Dairy Cattle - Converted (Not Eligible For Organic Slaughter), Raw Milk</t>
  </si>
  <si>
    <t>Other: Dairy cows- some eligible for organic slaughter, Dairy replacements- some eligible for organic slaughter, Milk</t>
  </si>
  <si>
    <t>Cattle: Calves (Dairy, Slaughter Eligible), Dairy Replacement Heifer (Slaughter Eligible)</t>
  </si>
  <si>
    <t>Other: Beef brood cows - all eligible for organic slaughter, Beef steers and heifers - all eligible for organic slaughter, Dairy cows for milk - all eligible for organic slaughter, Dairy replacements - all eligible for organic slaughter, Dairy steers - all eligible for organic slaughter, Milk</t>
  </si>
  <si>
    <t>Other: Beef Breeder Stock (some eligible for organic slaughter), Beef Replacements (some eligible for organic slaughter), Beef Steers (some eligible for organic slaughter), Beef Bulls (some eligible for organic slaughter), Chickens - Layers (eligible for organic slaughter), Chickens - Broilers (eligible for organic slaughter), Dairy Cows (some eligible for organic slaughter), Dairy Replacements (some eligible for organic slaughter), Dairy Steers (some eligible for organic slaughter), Dairy Bulls (some eligible for organic slaughter), Brood sows (eligible for organic slaughter), Hogs (eligible for organic slaughter), and Turkeys (eligible for organic slaughter),</t>
  </si>
  <si>
    <t>Cattle: Livestock: Dairy Cows, Milk</t>
  </si>
  <si>
    <t>Other: Bulls (some eligible for organic slaughter), Dairy Cows (some eligible for organic slaughter), Dairy Replacements (eligible for organic slaughter), and Milk</t>
  </si>
  <si>
    <t>Other: Milk, Dairy Cows (some eligible for organic slaughter), Dairy Replacements (some eligible for organic slaughter)</t>
  </si>
  <si>
    <t>Other: Dairy cows for milk - some eligible for organic slaughter., Dairy replacements - all eligible for organic slaughter, Dairy steers - all eligible for organic slaughter, Milk</t>
  </si>
  <si>
    <t>Cattle: Milking Cows (Dairy Cows, Milk); Dairy Replacement Heifers,</t>
  </si>
  <si>
    <t>Cattle: Calves (Dairy Calves (all eligible for organic slaughter)), Dairy Bulls (Dairy Bulls (some eligible for organic slaughter)), Dairy Replacement Heifer (Dairy Replacement Heifers (all eligible for organic slaughter)), Milk - Raw Bulk Milk, Slaughter Eligible (Dairy Cow (all eligible for organic slaughter))</t>
  </si>
  <si>
    <t>Other: Dairy Cattle for Milk and Beef Production, Milk</t>
  </si>
  <si>
    <t>Other: Dairy Cows for milk - some eligible for organic slaughter, Dairy Replacements - all eligible for organic slaughter, Dairy Steers - all eligible for organic slaughter, Milk</t>
  </si>
  <si>
    <t>Cattle: Dairy Replacement Heifer (Dairy Replacement Heifer (Slaughter Eligible)), Milking Cows (Dairy Cows (Not Slaughter Eligible)), Milking Cows (Dairy Cows (Slaughter Eligible)), Slaughter Eligible (Beef Cows (Slaughter Eligible)), Slaughter Eligible (Beef Young Stock (Slaughter Eligible))</t>
  </si>
  <si>
    <t>Other: Milk, Dairy Cows (eligible for organic slaughter), Dairy Replacements (eligible for organic slaughter), Dairy Steer (eligible for organic slaughter)</t>
  </si>
  <si>
    <t>Other: Dairy Cows for milk - all eligible for organic slaughter, Dairy Replacements - all eligible for organic slaughter</t>
  </si>
  <si>
    <t>Cattle: Bulls, Calves, Dairy Replacement Heifer, Dry Cows, Heifer Boarding, Milk, Milking Cows, Slaughter Eligible, Steers</t>
  </si>
  <si>
    <t>Other: Dairy Cattle for Milk Production and Beef, Dairy Replacements, Milk</t>
  </si>
  <si>
    <t>Cattle: Beef Bulls, Cattle - Dairy Other (Milk), Dairy Replacement Heifer, Milking Cows, Slaughter Eligible</t>
  </si>
  <si>
    <t>Other: Milk, Dairy Cows (eligible for organic slaughter), Dairy Replacements (eligible for organic slaughter), Bull (eligible for organic slaughter), Steer (eligible for organic slaughter)</t>
  </si>
  <si>
    <t>Cattle: Cattle (Dairy - Last Third - Eligible for Organic Slaughter) (Slaughter Eligible Animals Identified by Green Ear Tags.)</t>
  </si>
  <si>
    <t>Cattle: Dairy Cattle - Last Third Gestation (Eligible for Organic Slaughter), Raw Milk</t>
  </si>
  <si>
    <t>Other: Beef cattle: replacements, Beef cattle: slaughter stock, Dairy bull: slaughter stock, Dairy cow: replacements, Dairy cow: slaughter stock</t>
  </si>
  <si>
    <t>Other: Beef cattle: slaughter stock, Dairy cow: milk, Dairy cow: replacements, Dairy cow: slaughter stock, Swine: slaughter stock</t>
  </si>
  <si>
    <t>Other: Dairy cows - some eligible for organic slaughter, Dairy Replacements - all eligible for organic slaughter</t>
  </si>
  <si>
    <t>Sheep: Ewes, Lambs, Rams/Bucks, Slaughter Eligible; Poultry: Chickens, Poultry - Chickens (Eggs); Cattle: Beef Brood Cows, Beef Replacement Heifer, Beef Steers, Cattle - Dairy Other (Milk), Dairy Replacement Heifer, Milking Cows, Slaughter Eligible, Slaughter Eligible</t>
  </si>
  <si>
    <t>Cattle: Cattle (Dairy - Last Third - Eligible for Organic Slaughter) (Slaughter Eligible Animals Identified by Non-Red Ear Tags)</t>
  </si>
  <si>
    <t>Cattle: Dairy Cattle, Milk - See Livestock List Addendum for slaughter eligibility</t>
  </si>
  <si>
    <t>Other: Dairy Cattle, Dairy Replacements, Milk</t>
  </si>
  <si>
    <t>Other: *Dairy cows for milk - some eligible for organic slaughter, *Dairy replacements - all eligible for organic slaughter, *Dairy steers - all eligible for organic slaughter, *Milk</t>
  </si>
  <si>
    <t>Poultry: Laying Hens (Eggs), Pullets; Cattle: Calves (Some eligible for organic slaughter), Dairy Bulls, Dry Cows (Some eligible for organic slaughter), Heifers (Some eligible for organic slaughter), Milking Cows (Milk) (Some eligible for organic slaughter)</t>
  </si>
  <si>
    <t>Cattle: Calves (Dairy Calves (all eligible for organic slaughter)), Dairy Replacement Heifer (Dairy Replacement Heifers (all eligible for organic slaughter)), Milk - Raw Bulk Milk, Milking Cows (Dairy Cattle (all eligible for organic slaughter))</t>
  </si>
  <si>
    <t>Other: Dairy Cattle for Milk Production, Laying Hens, Dairy Replacements, Eggs, Milk</t>
  </si>
  <si>
    <t>Cattle: Dairy Replacement Heifer (Dairy Replacement Heifer (Slaughter Eligible)), Milking Cows (Dairy Cows (Slaughter Eligible))</t>
  </si>
  <si>
    <t>Other: Dairy Bulls (some eligible for organic slaughter), Dairy Steers (eligible for organic slaughter), Dairy Cows (some eligible for organic slaughter), Dairy Replacements (eligible for organic slaughter), Milk</t>
  </si>
  <si>
    <t>Other: Dairy cows for milk - some eligible for organic slaughter;Dairy replacements - all eligible for organic slaughter; Milk. Certified in accordance with the terms of the U.S.-Canada Organic Equivalency Arrangement.</t>
  </si>
  <si>
    <t>Cattle: Milk - Raw Bulk Milk, Milking Cows (Dairy Cows (some eligible for organic slaughter))</t>
  </si>
  <si>
    <t>Other: Dairy cows for milk - some eligible for organic slaughter, Dairy replacements - all eligible for organic slaughter, Hogs - all eligible for organic slaughter, Milk</t>
  </si>
  <si>
    <t>Cattle: Dairy Replacement Heifer (Replacement Heifers (Slaughter Eligible)), Milking Cows (Dairy Cows (Not Slaughter Eligible))</t>
  </si>
  <si>
    <t>Other: Milk, Dairy Cows (some eligible for slaughter), Dairy Replacements (eligible for slaughter), and Dairy Steers (eligible for slaughter)</t>
  </si>
  <si>
    <t>Cattle: Dairy Cattle - Converted (Not Eligible for Organic Slaughter), Dairy Cattle - Last Third Gestation Born (Eligible for Organic Slaughter), Dairy Cattle - Last Third Gestation Born (Not Eligible for Organic Slaughter), Raw Milk</t>
  </si>
  <si>
    <t>Other: Dairy Cows for milk - all eligible for organic slaughter, Dairy Replacements - some eligible for organic slaughter, Milk</t>
  </si>
  <si>
    <t>Other: Dairy Bulls - some eligible for organic slaughter, Dairy Cows for milk - some eligible for organic slaughter, Dairy Cows for milk - Transitioned, Dairy Replacements - all eligible for organic slaughter, Milk</t>
  </si>
  <si>
    <t>Other: Dairy Goats (none eligible for organic slaughter), Dairy Goat Replacements (none eligible for organic slaughter), and Goat Milk</t>
  </si>
  <si>
    <t>Other: Milk, Dairy Bulls (some eligible for slaughter), Dairy Cows (eligible for slaughter), Dairy Replacements (some eligible for slaughter), Dairy Steers (eligible for slaughter),</t>
  </si>
  <si>
    <t>Other: Bulls- all eligible for organic slaughter, Dairy cows for milk - all eligible for organic slaughter, Dairy replacements - all eligible for organic slaughter, Milk</t>
  </si>
  <si>
    <t>Other: Dairy Cows, Dairy Replacements, Milk, Slaughter Eligible Cattle</t>
  </si>
  <si>
    <t>Cattle: Dairy Cattle - Converted (Not Eligible for Organic Slaughter), Dairy Cattle - Last Third Gestation Born (Eligible for Organic Slaughter), Heifers - Last Third Gestation Born (Eligible for Organic Slaughter), Steers - Last Third Gestation Born (Eligible for Organic Slaughter), Raw Milk</t>
  </si>
  <si>
    <t>Swine: Piglets, Pigs; Sheep: Lambs, Slaughter Eligible; Poultry: Laying Hens; Cattle: Beef, Calves, Dairy Replacement Heifers, Milking Cows, Slaughter Eligible</t>
  </si>
  <si>
    <t>Cattle: Cattle (Dairy - Last Third - Eligible for Organic Slaughter) (Ear tag does not include an "X")</t>
  </si>
  <si>
    <t>Other: Dairy Bulls - some eligible for organic slaughter, Dairy Cows for milk - some eligible for organic slaughter, Dairy Replacements - all eligible for organic slaughter, Dairy Steers - all eligible for organic slaughter, Milk</t>
  </si>
  <si>
    <t>Cattle: Calves (Dairy, Slaughter Eligible), Heifers (Slaughter Eligible), Milk, Milking Cows (Slaughter Eligible), Milking Cows (Transitioned)</t>
  </si>
  <si>
    <t>Other: Dairy cows for milk - all eligible for organic slaughter; Dairy replacements - all eligible for organic slaughter;Dairy bulls - all eligible for organic slaughter;Milk.Certified in accordance with the terms of the U.S.-Canada Organic Equivalency Arrangement.</t>
  </si>
  <si>
    <t>Other: *Dairy bulls - all eligible for organic slaughter, *Dairy steers - all eligible for organic slaughter, Dairy cows for milk - some eligible for organic slaughter, Dairy replacements - all eligible for organic slaughter, Milk</t>
  </si>
  <si>
    <t>Cattle: Dairy Bulls (Slaughter &amp; Breeding Eligible), Dairy Replacement Heifer (Slaughter Eligible), Dairy Steers, Milk, Milking Cows (Slaughter Eligible)</t>
  </si>
  <si>
    <t>Cattle: Milking Cows (Not eligible for organic slaughter, 81 wormed milking cows), Slaughter Eligible (Dairy); Other: Raw milk</t>
  </si>
  <si>
    <t>Other: Bulk Goat Milk, Dairy Goats (some eligible for organic slaughter), Dairy Goat Replacements (eligible for organic slaughter)</t>
  </si>
  <si>
    <t>Other: Dairy bulls and steers - all eligible for organic slaughter, Dairy cows for milk - some eligible for organic slaughter, Dairy replacements - all eligible for organic slaughter, Milk</t>
  </si>
  <si>
    <t>Cattle: Heifers (Dairy Slaughter Eligible)</t>
  </si>
  <si>
    <t>Cattle: Converted (Not Eligible for Organic Slaughter), Dairy Cattle -  Last Third Gestation Born (Eligible for Organic Slaughter), Raw Milk</t>
  </si>
  <si>
    <t>Other: Dairy cows for milk - some organic slaughter eligible;Dairy replacements -allorganic slaughter eligible;Milk;Broilers - all eligible for organic slaughter;Hens for eggs - all eligible for organicslaughter;Eggs;Private labelling of eggs.Certified in accordance with the terms of the U.S.-Canada Organic Equivalency Arrangement.</t>
  </si>
  <si>
    <t>Other: Dairy cows for milk - all eligible for organic slaughter;Dairy replacements - all eligible for organic slaughter;Dairy steers - all eligible for organic slaughter;Milk.Certified in accordance with the terms of the U.S.-Canada Organic Equivalency Arrangement.</t>
  </si>
  <si>
    <t>Other: Dairy cows for milk - all eligible for organic production, Dairy replacements - all eligible for organic slaughter, Milk</t>
  </si>
  <si>
    <t>Cattle: Cattle (Dairy - Last Third - Eligible for Organic Slaughter) (Slaughter eligible animals identified by a less than 5 digit ear tag and no red tag.), Cattle (Dairy - Last Third - Ineligible for Organic Slaughter) (Identified by red ear tag.), Cattle (Dairy-Transitioned-Not for Meat) (Identified by 5 digit ear tag number or red tag.)</t>
  </si>
  <si>
    <t>Cattle: DAIRY CATTLE- LAST THIRD GESTATION (ELIGIBLE FOR SLAUGHTER), MILK DAIRY COWS, DRY DAIRY COWS, REPLACEMENT DAIRY HEIFERS, CALVES, COW MILK</t>
  </si>
  <si>
    <t>Other: Beef, Fluid Milk, Organic Dairy Cattle (Slaughter Eligible), Replacement Heifers (Slaughter Eligible), and Transitioned Dairy Cattle</t>
  </si>
  <si>
    <t>Cattle: Dairy Replacement Heifer (Slaughter Eligible), Milk, Milking Cows (Slaughter Eligible), Milking Cows (Last third gestation)</t>
  </si>
  <si>
    <t>Poultry: Laying Hens; Cattle: Slaughter Eligible (Dairy); Other: Raw milk</t>
  </si>
  <si>
    <t>Other: Dairy cows for milk - some eligible for slaughter, Dairy replacements - all eligible for organic slaughter, Milk</t>
  </si>
  <si>
    <t>Other: Beef cattle: replacements, Beef cattle: replacements, Beef cattle: slaughter stock, Dairy bull: slaughter stock, Dairy cow: milk, Dairy cow: replacements, Dairy cow: slaughter stock</t>
  </si>
  <si>
    <t>Cattle: Dairy Cows, Youngstock, Milk (See Livestock List for Organic Slaughter Eligible Livestock)</t>
  </si>
  <si>
    <t>Cattle: Calves (Dairy, Slaughter Eligible), Dairy Bulls (Slaughter Eligible), Dairy Replacement Heifer (Slaughter Eligible), Milk, Milking Cows (Transitioned), Milking Cows (Slaughter Eligible)</t>
  </si>
  <si>
    <t>Poultry: Pullets; Cattle: Dairy Cattle, Milk (See Livestock List for Organic Slaughter Eligible Livestock)</t>
  </si>
  <si>
    <t>Cattle: Breeding Eligible (Dairy Cattle for Breeder status), Milk - Raw Bulk Milk, Milking Cows (Dairy Cattle (some eligible for organic slaughter))</t>
  </si>
  <si>
    <t>Cattle: Beef Replacement Heifer, Calves (Some Eligible for Organic Slaughter), Dairy Replacement Heifer (Some Eligible for Organic Slaughter), Dry Cows (Some Eligible for Organic Slaughter), Milking Cows (Milk) (Some Eligible for Organic Slaughter)</t>
  </si>
  <si>
    <t>Sheep: Ewes, Lambs, Rams/Bucks, Sheep - Other (Retail Cuts), Slaughter Eligible; Cattle: Beef Steers, Dairy Replacement Heifer, Slaughter Eligible, Slaughter Eligible</t>
  </si>
  <si>
    <t>Cattle: Cattle (Dairy - Last Third - Eligible for Organic Slaughter) (Slaughter Eligible Animals identified by Yellow Ear Tag numbered 250 or above AND NO Red Ear Tag.)</t>
  </si>
  <si>
    <t>Other: Raw Milk, Dairy Cattle-Converted (Not eligible for organic slaughter), Dairy Cattle-Last Third Gestation Born (Eligible for organic slaughter), Dairy Cattle-Last Third Gestation (Not eligible for organic slaughter)</t>
  </si>
  <si>
    <t>Other: Dairy Cattle, Beef Cattle (on the hoof), Milk*</t>
  </si>
  <si>
    <t>Cattle: Dairy Replacement Heifer (Slaughter Eligible), Milk, Milking Cows (Last Third Gestation, Dairy Only), Milking Cows (Slaughter Eligible)</t>
  </si>
  <si>
    <t>Cattle: Beef, Calves, Dairy Replacement Heifers, Milking Cows</t>
  </si>
  <si>
    <t>Cattle: Breeding Eligible (Dairy Cattle for Breeder status), Dairy Replacement Heifer (Dairy Replacement Heifers (all eligible for organic slaughter)), Milk - Raw Bulk Milk, Milking Cows (Dairy Cows (all eligible for organic slaughter))</t>
  </si>
  <si>
    <t>Other: Dairy cows for milk - all eligible for organic slaughter, Dairy replacements - all eligible for organic slaughter;, Milk</t>
  </si>
  <si>
    <t>Other: Dairy cows, live, Young dairy cattle, live</t>
  </si>
  <si>
    <t>Cattle: Bulls, Calves, Dairy Replacement Heifer, Dry Cows, Milk, Milking Cows, Slaughter Eligible, Yearling</t>
  </si>
  <si>
    <t>Cattle: Beef Steers, Cattle - Beef Other (Retail Cuts), Cattle - Dairy Other (Milk), Cattle - Dairy Other (Retail Cuts), Dairy Replacement Heifer, Milking Cows, Slaughter Eligible, Slaughter Eligible</t>
  </si>
  <si>
    <t>Cattle: Beef Cattle- Last Third Gestation Born (Eligible for Organic Slaughter), Dairy Cattle - Last Third Gestation Born (Eligible for Organic Slaughter, Dairy Cattle-Transitioned (Not Eligible for Organic Slaughter)</t>
  </si>
  <si>
    <t>Other: Organic Dairy Cattle (Slaughter Eligible) and Fluid Milk</t>
  </si>
  <si>
    <t>Other: *Dairy bulls - all eligible for organic slaughter, *Dairy cows for milk - all eligible for organic slaughter, *Dairy replacements - all eligible for organic slaughter, *Milk</t>
  </si>
  <si>
    <t>Other: Milk, Dairy Cows and Replacement Heifers (both qualify as slaughter stock)</t>
  </si>
  <si>
    <t>Other: *Dairy bulls and steers - all eligible for organic slaughter, Dairy cows for milk - all eligible for organic slaughter, Dairy replacements - all eligible for organic slaughter, Milk</t>
  </si>
  <si>
    <t>Other: Dairy Cows for milk - some eligible for organic slaughter, Dairy Replacements - all eligible for organic slaughter, Milk_x000D_</t>
  </si>
  <si>
    <t>Cattle: Dairy Replacement Heifer (Heifers - Replacement (Slaughter Eligible)), Milking Cows (Dairy Cows (Slaughter Eligible))</t>
  </si>
  <si>
    <t>Cattle: Dairy Bulls, Dairy Replacement Heifer, Dairy Steers, Milking Cows, Slaughter Eligible</t>
  </si>
  <si>
    <t>Cattle: Dairy Replacement Heifer (heifers and calves), Milking Cows</t>
  </si>
  <si>
    <t>Cattle: Cattle (Dairy - Last Third - Eligible for Organic Slaughter) (Slaughter Eligible Animals Identified by Ear Tag in Right Ear Only)</t>
  </si>
  <si>
    <t>Cattle: Cattle (Dairy - Last Third - Eligible for Organic Slaughter) (Slaughter Eligible Animals Identified by red, orange, and/or yellow ear tags), Cattle (Dairy-Transitioned-Not for Meat)</t>
  </si>
  <si>
    <t>Cattle: Slaughter Eligible, Slaughter Eligible</t>
  </si>
  <si>
    <t>Cattle: Cattle (Dairy - Last Third - Eligible for Organic Slaughter) (Slaughter Eligible Animals Identified by Un-Notched Ear Tag # Below 40, 152-234, 1248 or Greater)</t>
  </si>
  <si>
    <t>Cattle: Cattle (Dairy - Last Third - Eligible for Organic Slaughter) (Slaughter eligible animals identified by un-notched ear tag), Cattle (Dairy-Transitioned-Not for Meat) (2 Cows named: Jersey 1 (Daisy), Jersey 3 (Star))</t>
  </si>
  <si>
    <t>Other: Dairy Goats (some eligible for organic slaughter), Dairy Goat Replacements (eligible for organic slaughter), and Goat Milk</t>
  </si>
  <si>
    <t>Cattle: Dairy Bulls, Dairy Replacement Heifer, Heifer Boarding, Milk, Milking Cows, Slaughter Eligible</t>
  </si>
  <si>
    <t>Other: Dairy bull calves - all eligible for organic slaughter, Dairy cows for milk - some eligible for organic slaughter, Dairy replacements - all eligible for organic slaughter, Milk</t>
  </si>
  <si>
    <t>Other: Dairy replacements - all eligible for organic slaughter;Beef steers - all eligible for organic slaughter;Beef heifers - all eligible for organic slaughter;Custom raising of cattle.Certified in accordance with the terms of the US-Canada Organic Equivalency Arrangement.</t>
  </si>
  <si>
    <t>Other: Chickens- Layers (eligible for organic slaughter), and Eggs, Dairy Cows (eligible for organic slaughter), and Dairy Replacements (some eligible for organic slaughter)</t>
  </si>
  <si>
    <t>Cattle: Calves (Calves), Heifers (Heifers), Milking Cows (Dairy cows, Milk)</t>
  </si>
  <si>
    <t>Other: *Dairy cows for milk - none eligible for organic slaughter, *Dairy replacements - some eligible for organic slaughter, *Milk</t>
  </si>
  <si>
    <t>Cattle: Cattle (Dairy - Last Third - Eligible for Organic Slaughter) (Slaughter Eligible Animals Identified by no red ear tag.), Cattle (Dairy-Transitioned-Not for Meat) (Transitioned animals identified by red ear tag.); Other: Custom Grazing of Animals, Milk (Raw)</t>
  </si>
  <si>
    <t>Other: *Beef heifers and steers- all eligible for organic slaughter, *Dairy cows - all eligible for organic slaughter</t>
  </si>
  <si>
    <t>Other: Dairy cows for milk- some eligible for organic slaughter; Dairy replacements- all eligible for organic slaughter; Dairy steers- all eligible for organic slaughter;Milk.Certified in accordance with the terms of the U.S.-Canada Organic Equivalency Arrangement.</t>
  </si>
  <si>
    <t>Other: Milk, Dairy Cows (eligible for slaughter), Dairy Replacements (eligible for organic slaughter), Bull calves</t>
  </si>
  <si>
    <t>Other: *Milk, Dairy cows for milk - all eligible for organic slaughter, Dairy replacements - all eligible for organic slaughter</t>
  </si>
  <si>
    <t>Other: Dairy cows - some eligible for organic slaughter, Dairy heifers - all eligible for organic slaufhter, Milk</t>
  </si>
  <si>
    <t>Cattle: Dairy Replacement Heifer (Replacement Heifers (Not Slaughter Eligible)), Dairy Replacement Heifer (Replacement Heifers (Slaughter Eligible)), Milking Cows (Dairy Cows (Not Slaughter Eligible)), Milking Cows (Dairy Cows (Slaughter Eligible))</t>
  </si>
  <si>
    <t>Other: *Dairy cows for milk - some eligible for organic slaughter;*Dairy replacements - all eligible for organic slaughter;*Dairy steers - all eligible for organic slaughter.*Milk.*Certified in accordance with the terms of the U.S.-Canada Organic Equivalency Arrangement.</t>
  </si>
  <si>
    <t>Other: Custom grazing, Dairy bull: slaughter stock, Dairy cow: milk, Dairy cow: replacements, Dairy cow: slaughter stock</t>
  </si>
  <si>
    <t>Other: Beef cattle: replacements, Dairy cow: milk, Dairy cow: replacements</t>
  </si>
  <si>
    <t>Other: Custom grazing, Dairy cow: replacements</t>
  </si>
  <si>
    <t>Other: Beef bull: slaughter stock, Beef cattle: replacements, Beef cattle: retail meat cuts, Dairy cow: replacements</t>
  </si>
  <si>
    <t>Other: Beef cattle: replacements, Beef cattle: slaughter stock, Dairy bull: slaughter stock, Dairy cow: milk, Dairy cow: replacements, Dairy cow: slaughter stock</t>
  </si>
  <si>
    <t>Other: Beef cattle: replacements, Beef cattle: slaughter stock, Dairy cow: milk, Dairy cow: slaughter stock</t>
  </si>
  <si>
    <t>Other: Beef cattle: replacements, Beef cattle: slaughter stock, Dairy cow: replacements, Dairy cow: slaughter stock</t>
  </si>
  <si>
    <t>Other: Beef cattle: slaughter stock, Dairy cow: replacements, Dairy cow: slaughter stock, Dairy steer: slaughter stock</t>
  </si>
  <si>
    <t>Other: Custom Grazing, Custom grazing, Dairy cow: milk, Dairy cow: replacements, Dairy cow: slaughter stock</t>
  </si>
  <si>
    <t>Other: Beef cattle: slaughter stock, Chicken: meat whole bird, Dairy cow: milk, Dairy cow: replacements, Dairy cow: slaughter stock, Turkey: meat whole bird, Turkey: replacements</t>
  </si>
  <si>
    <t>Other: Beef cattle: slaughter stock, Dairy cow: replacements, Dairy cow: slaughter stock</t>
  </si>
  <si>
    <t>Other: Custom Grazing, Dairy cow: replacements, Dairy cow: slaughter stock</t>
  </si>
  <si>
    <t>Other: Dairy cow: replacements</t>
  </si>
  <si>
    <t>Other: Custom Boarding, Custom boarding, Custom Grazing, Custom grazing, Dairy cow: milk, Dairy cow: replacements, Dairy cow: slaughter stock</t>
  </si>
  <si>
    <t>Cattle: Cattle (Dairy-Transitioned-Not for Meat), Cattle (Slaughter) (Steers: Slaughter Eligible Animals Identified by Small Blank Calf Tag.)</t>
  </si>
  <si>
    <t>Cattle: Calves (Dairy, Slaughter Eligible), Calves (Transitioned), Dairy Replacement Heifer (Transitioned), Milk, Milking Cows (Transitioned)</t>
  </si>
  <si>
    <t>Cattle: Calves (Dairy, Slaughter Eligible), Dairy Replacement Heifer (Slaughter Eligible), Dairy Replacement Heifer (Last Third Gestation, Dairy Only), Milk, Milking Cows (Slaughter Eligible)</t>
  </si>
  <si>
    <t>Cattle: Cattle (Dairy - Last Third - Eligible for Organic Slaughter) (Slaughter Eligible Animals Identified by No Red Tag), Cattle (Slaughter) (Slaughter Eligible Animals Identified by No Red Tag)</t>
  </si>
  <si>
    <t>Other: Dairy Bulls - all eligible for organic slaughter, Dairy Cows for milk - all eligible for organic slaughter, Dairy Replacements - all eligible for organic slaughter, Organic 2% Milk, Quart, Half Gallon, Gallon, Organic Skim Milk, Quart, Half Gallon, Gallon, Organic Whole Milk, Quart, Half Gallon, Gallon</t>
  </si>
  <si>
    <t>Other: #*Custom raising of dairy replacements</t>
  </si>
  <si>
    <t>Other: Dairy cows for milk - all eligible for organic slaughter;Dairy replacements - all eligible for organic slaughter;Dairy bulls - all eligible for organic slaughter;Milk.Certified in accordance with the US-Canada Organic Equivalency Arrangement.</t>
  </si>
  <si>
    <t>Cattle: Cattle - Dairy Other (Milk), Dairy Replacement Heifer, Dairy Replacement Heifer (Cattle - Dairy Replacement Heifer), Milking Cows</t>
  </si>
  <si>
    <t>Other: Dairy Cows for milk - some eligible for organic slaughter, Dairy Replacements - some eligible for organic slaughter, Eggs, Hens for eggs - all eligible for organic slaughter, Milk</t>
  </si>
  <si>
    <t>Other: Dairy Cows (eligible for organic slaughter), Dairy Replacements (some eligible for organic slaughter), Bulls (some eligible for organic slaughter), Steers (eligible for organic slaughter), and Milk</t>
  </si>
  <si>
    <t>Other: *Dairy cows for milk - some eligible for organic slaughter, *Dairy replacements - some eligible for organic slaughter, *Milk</t>
  </si>
  <si>
    <t>Other: Dairy Replacements - all eligible for organic slaughter, Dairy Steers - all eligible for organic slaughter</t>
  </si>
  <si>
    <t>Cattle: Beef Replacement Heifer, Cattle - Beef Other (Retail Cuts), Cattle - Dairy Other (Milk), Cattle - Dairy Other (Retail Cuts), Dairy Replacement Heifer, Milking Cows, Slaughter Eligible, Slaughter Eligible</t>
  </si>
  <si>
    <t>Cattle: Milking Cows (Dairy Cows (Slaughter Eligible))</t>
  </si>
  <si>
    <t>Poultry: Pullets; Cattle: Slaughter Eligible, Slaughter Eligible</t>
  </si>
  <si>
    <t>Cattle: Cattle (Dairy - Last Third - Ineligible for Organic Slaughter) (No Organic Slaughter Sales.)</t>
  </si>
  <si>
    <t>Cattle: Calves (Dairy Slaughter Eligible), Dairy Replacement Heifer (Slaughter Eligible), Milk, Milking Cows (Slaughter Eligible)</t>
  </si>
  <si>
    <t>Cattle: Beef Brood Cows, Beef Heifers, Beef Steers, Calves (Some eligible for organic slaughter), Dairy Replacement Heifer (Some eligible for organic slaughter), Dry Cows (Some eligible for organic slaughter), Milking Cows (Milk) (Some eligible for organic slaughter); Other: Blondie Raw Milk Cheese, Blondie Raw Milk Cheese, Smoked, Jersey Raw Milk Cheese, Jersey Raw Milk Cheese, Smoked, Kingwood Cheese</t>
  </si>
  <si>
    <t>Cattle: Dairy Cattle-Last Third Gestation Born (Eligible for Organic Slaughter), Dairy Cattle-Transitioned (Not Eligible for Organic Slaughter), Raw Milk</t>
  </si>
  <si>
    <t>Other: Culled cows, Dairy cows, live, Dairy heifers [ 1 year, live, Dairy heifers ] 1 year, live, Slaughter bulls, live</t>
  </si>
  <si>
    <t>Cattle: Dairy Bulls, Dairy Replacement Heifer, Slaughter Eligible</t>
  </si>
  <si>
    <t>Cattle: Beef Steers (Beef Steers (all eligible for slaughter)), Dairy Replacement Heifer (Dairy Replacement Heifers (all eligible for organic slaughter)), Milk - Raw Bulk Milk, Milking Cows (Dairy Cows (all eligible for organic slaughter))</t>
  </si>
  <si>
    <t>Cattle: Beef Bulls, Beef Steers, Cattle - Beef Other (Retail Cuts), Cattle - Dairy Other (Retail Cuts), Dairy Replacement Heifer, Milking Cows, Slaughter Eligible, Slaughter Eligible</t>
  </si>
  <si>
    <t>Cattle: Dairy Replacement Heifer (Dairy Replacement Heifers (Slaughter Eligible)), Milking Cows (Dairy Cows (Slaughter Eligible)), Milking Cows (Dairy Cows (Not Slaughter Eligible))</t>
  </si>
  <si>
    <t>Other: Broilers - all eligible for organic slaughter, Dairy cows for milk - all eligible for organic slaughter, Dairy replacements - all eligible for organic slaughter, Dairy steers - all eligible for organic slaughter, Eggs, Hens for eggs - all eligible for organic slaughter, Milk</t>
  </si>
  <si>
    <t>Other: Dairy Cattle for Milk Production &amp; Beef, Dairy Replacements, Milk</t>
  </si>
  <si>
    <t>Other: Beef cows - all eligible for organic slaughter, Beef heifers and bulls - all eligible for organic slaughter, Dairy cows for milk - all eligible for organic slaughter, Dairy replacements - all eligible for organic slaughter, Milk</t>
  </si>
  <si>
    <t>Other: *Dairy bulls - all eligible for organic slaughter, *Dairy Cows - all eligible for organic slaughter, *Dairy replacements - all eligible for organic slaughter, *Dairy steers - all eligible for organic slaughter, *, *Milk</t>
  </si>
  <si>
    <t>Cattle: Cattle - Dairy Other (No Production)</t>
  </si>
  <si>
    <t>Swine: Pigs; Sheep: Ewes, Lambs; Goats: Goats (other); Cattle: Calves, Dairy Cow (other), Dairy Goats (other), Dairy Replacement Heifers, Dairy Steers</t>
  </si>
  <si>
    <t>Other: Dairy goat replacements - none eligible for organic slaughter, Dairy goats for milk - none eligible for organic slaughter, Milk</t>
  </si>
  <si>
    <t>Cattle: Calves (Dairy, Slaughter Eligible), Dairy Replacement Heifer (Slaughter Eligible), Dairy Steers (Slaughter Eligible), Milk, Milking Cows (Slaughter Eligible), Milking Cows (Last Third Gestation, Dairy only)</t>
  </si>
  <si>
    <t>Cattle: Dairy Replacement Heifer, Heifer Boarding, Milk, Slaughter Eligible</t>
  </si>
  <si>
    <t>Cattle: Cattle - Dairy Other (Custom Boarding), Dairy Replacement Heifer</t>
  </si>
  <si>
    <t>Other: Dairy Bulls - all eligible for organic slaughter, Dairy Cows for milk - all eligible for organic slaughter, Dairy Replacements - all eligible for organic slaughter, Dairy Steers - all eligible for organic slaughter, Milk</t>
  </si>
  <si>
    <t>Cattle: Dairy Replacement Heifer (Replacement Heifers (Slaughter Eligible)), Milking Cows (Dairy Cows (Not Slaughter Eligible)), Milking Cows (Dairy Cows (Slaughter Eligible))</t>
  </si>
  <si>
    <t>Other: Bulk Milk, Dairy Cows (eligible for organic slaughter), Dairy Replacements (eligible for organic slaughter)</t>
  </si>
  <si>
    <t>Cattle: Beef, Calves, Dairy Replacement Heifers, Milking Cows, Slaughter Eligible</t>
  </si>
  <si>
    <t>Other: Dairy goat replacements - none eligible for organic slaughter, Dairy goats for milk - none eligible for organic slaughter, Goat milk</t>
  </si>
  <si>
    <t>Cattle: Calves (Some eligible for organic slaughter), Dairy Bulls, Dry Cows (Some eligible for organic slaughter), Heifers (Some eligible for organic slaughter), Milking Cows (Milk) (Some eligible for organic slaughter), Steers</t>
  </si>
  <si>
    <t>Cattle: Calves (Dairy Calves (some eligible for organic slaughter)), Dairy Replacement Heifer (Dairy Replacement Heifers (some eligible for organic slaughter)), Milk - Raw Bulk Milk, Milking Cows (Dairy Cattle (some eligible for organic slaughter)), Milking Cows (Dairy Cows (some eligible for organic slaughter))</t>
  </si>
  <si>
    <t>Cattle: Calves, Dairy Replacement Heifer, Dairy Steers, Milk, Milking Cows, Slaughter Eligible</t>
  </si>
  <si>
    <t>Other: Dairy bulls, live, Dairy cows, live, Dairy heifers [ 1 year, live, Dairy heifers ] 1 year, live</t>
  </si>
  <si>
    <t>Other: Beef brood cows - none eligible for organic slaughter, Beef heifers and steers - some eligible for organic slaughter, Dairy cows for milk - all eligible for organic slaughter, Dairy replacements - all eligible for organic slaughter, Milk</t>
  </si>
  <si>
    <t>Cattle: Calves (Dairy, Slaughter Eligible), Dairy Replacement Heifer (Transitioned), Milk, Milking Cows (Transitioned)</t>
  </si>
  <si>
    <t>Other: Beef, Organic Dairy Cows (Slaughter Eligible), and Fluid Milk</t>
  </si>
  <si>
    <t>Cattle: Dairy Replacement Heifer (heifers and calves), Milking Cows, Slaughter Eligible</t>
  </si>
  <si>
    <t>Cattle: Beef Brood Cows (Dairy Cows for Breeder Status), Calves (Dairy Calves (some eligible for organic slaughter)), Dairy Replacement Heifer (Dairy Replacement Heifers (some eligible for organic slaughter)), Milk - Raw Bulk Milk, Milking Cows (Dairy Cows (some eligible for organic slaughter))</t>
  </si>
  <si>
    <t>Cattle: Dairy Replacement Heifer, Milk, Slaughter Eligible</t>
  </si>
  <si>
    <t>Other: Dairy cattle for milk production &amp; beef, Milk</t>
  </si>
  <si>
    <t>Cattle: Calves (Dairy, Slaughter Eligible), Heifers (Dairy, Slaughter Eligible), Milking Cows (Transitioned)</t>
  </si>
  <si>
    <t>Other: Dairy cows for milk - all eligible for organic slaughter;Dairy replacements - all eligible for organic slaughter;Dairy steers - all eligible for organic slaughter;Dairy bulls - all eligible for organic slaughter;Milk.Certified in accordance with the terms of the U.S.-Canada Organic Equivalency Arrangement.</t>
  </si>
  <si>
    <t>Other: *Dairy cows for milk - some eligible for organic slaughter, *Dairy replacements - some eligible for organic slaughter, *Dairy steers - all eligible for organic slaughter, *Milk</t>
  </si>
  <si>
    <t>Cattle: Calves (Dairy, Slaughter Eligible), Dairy Replacement Heifer, Dairy Replacement Heifer (Last Third Gestation), Milk, Milking Cows, Milking Cows (Transitioned), Milking Cows (Last Third Gestation)</t>
  </si>
  <si>
    <t>Cattle: Calves (Dairy, Slaughter Eligible), Dairy Replacement Heifer (Slaughter Eligigle), Milk, Milking Cows (Slaughter Eligible), Milking Cows (Transitioned)</t>
  </si>
  <si>
    <t>Cattle: Calves (Dairy, Transitioned), Milk, Milking Cows (Transitioned)</t>
  </si>
  <si>
    <t>Other: *Dairy cows for milk- some eligible for organic slaughter;*Dairy replacements-alleligible for organic slaughter;*Milk.*Certified in accordance with the terms of the U.S.-Canada Organic Equivalency Arrangement.</t>
  </si>
  <si>
    <t>Cattle: Cattle (Dairy - Last Third - Eligible for Organic Slaughter) (Slaughter eligible animals identified by ear tag listing birthdate after 08-01-18.)</t>
  </si>
  <si>
    <t>Other: Dairy replacements - all eligible for organic slaughter, Dairy steers - all eligible for organic slaughter</t>
  </si>
  <si>
    <t>Other: Dairy Cows (eligible for organic slaughter), Dairy Replacements (eligible for organic slaughter), and Bulk Milk</t>
  </si>
  <si>
    <t>Other: Dairy Cows, (all eligible for slaughter), Dairy Replacements (all eligible for slaughter), and Milk</t>
  </si>
  <si>
    <t>Cattle: Dairy Cattle</t>
  </si>
  <si>
    <t>Other: Custom grazing, Dairy cow: milk, Dairy cow: replacements, Dairy cow: slaughter stock</t>
  </si>
  <si>
    <t>Cattle: Dairy Replacement Heifers, Dairy Replacements, Milking Cows, Slaughter Eligible</t>
  </si>
  <si>
    <t>Cattle: Beef Bulls, Beef Replacement Heifer, Cattle - Dairy Other (Milk), Dairy Replacement Heifer, Milking Cows, Slaughter Eligible, Slaughter Eligible</t>
  </si>
  <si>
    <t>Cattle: Cattle (Dairy - Last Third - Eligible for Organic Slaughter) (Slaughter Eligible Animals Identified by Yellow Ear Tags and no red or green ear tag.), Cattle (Dairy-Transitioned-Not for Meat) (Non Slaughter Eligible Animals Identified by Green Ear Tags or Red Button Ear Tag)</t>
  </si>
  <si>
    <t>Cattle: Cattle (Dairy - Last Third - Eligible for Organic Slaughter) (Slaughter Eligible Animals are Identified by a Yellow Ear Tag), Cattle (Dairy-Transitioned-Not for Meat) (No Organic Slaughter Sales. Identified by Blue Ear Tag.)</t>
  </si>
  <si>
    <t>Cattle: Bulls, Calves (Some eligible for organic slaughter), Dairy Replacement Heifer (Some eligible for organic slaughter), Dairy Steers, Dry Cows (Some eligible for organic slaughter), Milking Cows (Milk) (Some eligible for organic slaughter)</t>
  </si>
  <si>
    <t>Other: Milk, Dairy Cows (all eligible for organic slaughter), and Dairy Replacements (all eligible for organic slaughter), Bull (eligible for organic slaughter)</t>
  </si>
  <si>
    <t>Other: Dairy Cows (eligible for organic slaughter), and Milk</t>
  </si>
  <si>
    <t>Cattle: Beef Bulls, Beef Replacement Heifer, Cattle - Dairy Other (Milk), Dairy Replacement Heifer, Milking Cows, Slaughter Eligible</t>
  </si>
  <si>
    <t>Other: Dairy Cows (some eligible for organic slaughter), Dairy Replacements (some eligible for organic slaughter), Dairy Steers (eligible for organic slaughter), and Milk</t>
  </si>
  <si>
    <t>Other: Beef bulls, heifers, steers - all eligible for organic slaughter, Dairy cows for milk - some eligible for organic slaughter, Dairy replacements - all eligible for organic slaughter, Dairy steers - all eligible for organic slaughter, Milk</t>
  </si>
  <si>
    <t>Cattle: Cattle (Dairy - Last Third - Eligible for Organic Slaughter) (Slaughter Eligible Animals Identified by Green or Yellow Ear Tag (and Lack of Red Round Button).)</t>
  </si>
  <si>
    <t>Cattle: Dairy Cattle - Last Third Gestation (Organic Slaughter Eligible), Dairy Cattle - Transitioned (Not Organic Slaughter Eligible), Raw Milk</t>
  </si>
  <si>
    <t>Cattle: Dairy Bulls (Slaughter &amp; Breeding Eligible), Dairy Replacement Heifer (Slaughter Eligible), Milk, Milking Cows (Slaughter Eligible), Milking Cows (Transitioned)</t>
  </si>
  <si>
    <t>Poultry: Broilers, Eggs, Laying Hens; Cattle: Bulls, Calves, Heifer Boarding, Heifers, Milk, Milking Cows, Slaughter Eligible</t>
  </si>
  <si>
    <t>Poultry: Turkeys; Cattle: Calves, Dairy Replacement Heifer, Heifer Boarding, Milk, Milking Cows, Slaughter Eligible</t>
  </si>
  <si>
    <t>Swine: Swine (Slaughter eligible animals identified by no ear notch or tags on both ears ); Cattle: Cattle (Dairy-Transitioned-Not for Meat), Cattle (Slaughter) (Slaughter eligible animals identified by only left ear tagged); Other: Beef, Beef (Organic Beef Back Ribs), Beef (Organic Beef Brisket Flat), Beef (Organic Beef Brisket Half), Beef (Organic Beef Brisket Point), Beef (Organic Beef Flank Steak), Beef (Organic Beef Flat Iron Steak), Beef (Organic Beef New York Strip Steak), Beef (Organic Beef Porterhouse Steak), Beef (Organic Beef Ribeye Steak), Beef (Organic Beef Round Roast), Beef (Organic Beef Short Ribs), Beef (Organic Beef Sirloin Tip Steak), Beef (Organic Beef Skirt Steak), Beef (Organic Beef Stew Meat), Beef (Organic Beef Tenderloin Filet Steak), Beef (Organic Beef Top Round Nude), Beef (Organic Beef Top Sirloin), Beef (Organic Beef Tri Tip), Beef (Organic Ground Beef), Chicken (Meat) (Chicken Bones), Chicken (Meat) (Chicken Breast), Chicken (Meat) (Chicken Drumsticks), Chicken (Meat) (Chicken Feet), Chicken (Meat) (Chicken Gizzards), Chicken (Meat) (Chicken Leg), Chicken (Meat) (Chicken Livers), Chicken (Meat) (Chicken Necks), Chicken (Meat) (Chicken Thighs), Chicken (Meat) (Chicken Wings), Chicken (Meat) (Whole Chicken), Custom Grazing of Animals, Custom Management of Animals, Meats (Beef jerky - Carne Asada ), Meats (Beef jerky - Cherrywood Smoked), Meats (Beef jerky - Salt and Pepper), Pork, Pork (Boston Butt Pork Roast), Pork (Brown Sugar Breakfast Sausage), Pork (No Sugar Bacon), Pork (Organic Pork Maple Breakfast Sausage), Pork (Organic Uncured Bacon), Pork (Organic Uncured Ham Containing Up To 10% Solution), Pork (Pork Cuts (Ground Pork, Pork Shoulder Roast, Pork Spare Ribs, Pork Baby Back Ribs, Pork Chops, Pork Belly, Pork Bones, Pork Tenderloin)), Pork (Savory Sage Sausage)</t>
  </si>
  <si>
    <t>Cattle: Calves, Dairy Replacement Heifer, Dry Cows, Milking Cows, Slaughter Eligible</t>
  </si>
  <si>
    <t>Cattle: Dairy Bulls, Dry Cows (some eligible for organic slaughter), Heifers (some eligible for organic slaughter), Milking Cows (Milk) (some eligible for organic slaughter)</t>
  </si>
  <si>
    <t>Cattle: Dairy Replacement Heifer, Milk - Raw Bulk Milk, Milking Cows (Dairy Cattle (some eligible for organic slaughter))</t>
  </si>
  <si>
    <t>Other: Milk, Dairy Cows (some eligible for organic slaughter), and Dairy Replacements (some eligible for organic slaughter)</t>
  </si>
  <si>
    <t>Other: Dairy Cows for milk - some eligible for organic slaughter, Dairy Replacements - some eligible for organic slaughter, Dairy Steers - some eligible for organic slaughter, Milk</t>
  </si>
  <si>
    <t>Poultry: Laying Hens (Eggs); Other: Custom Organic Livestock Boarding, Other (Custom Organic Livestock Boarding)</t>
  </si>
  <si>
    <t>Cattle: Dairy Replacement Heifer (Transitioned), Milk, Milking Cows (Transitioned)</t>
  </si>
  <si>
    <t>Other: Milk, Dairy Cows (some eligible for slaughter), Dairy replacements (some eligible for slaughter),</t>
  </si>
  <si>
    <t>Cattle: Dairy Replacement Heifer (Slaughter Eligible), Milking Cows (Slaughter Eligible); Other: Livestock Boarding</t>
  </si>
  <si>
    <t>Other: Dairy Cattle, Dairy Replacements, Milk, Slaughter Eligible Cattle</t>
  </si>
  <si>
    <t>Cattle: Cattle (Dairy - Last Third - Eligible for Organic Slaughter) (Slaughter eligible animals do not have a red, yellow, or white tag), Cattle (Slaughter) (Beef animals. Slaughter eligible animals do not have a red, yellow, or white tag)</t>
  </si>
  <si>
    <t>Cattle: Dairy Bulls (Slaughter Eligible), Dairy Replacement Heifer (Slaughter Eligible), Milk, Milking Cows (Transitioned), Milking Cows (Slaughter Eligible)</t>
  </si>
  <si>
    <t>Other: Milk Bulk, Dairy Cows(eligible for organic slaughter), and Dairy Replacements(eligible for organic slaughter)</t>
  </si>
  <si>
    <t>Other: #Custom management of cattle, *Milk, Dairy cows - all eligible for organic slaughter, Dairy replacements - all eligible for organic slaughter</t>
  </si>
  <si>
    <t>Other: Fluid Milk, Organic Cull Cattle (Slaughter Eligible), Organic Dairy Cattle (Slaughter Eligible), and Transitioned Dairy Cattle (Non-Slaughter Eligible)</t>
  </si>
  <si>
    <t>Other: Milk, Dairy Cows (some eligible for organic slaughter), and Dairy Replacements (all eligible for organic slaughter)</t>
  </si>
  <si>
    <t>Cattle: Calves (Dairy), Dairy Replacement Heifer, Dry Cows (Dairy), Milking Cows (Dairy), Transitioned (Dairy Cows)</t>
  </si>
  <si>
    <t>Poultry: Laying Hens (Eggs); Cattle: Calves (Some eligible for organic slaughter), Dairy Replacement Heifer (Some eligible for organic slaughter), Dry Cows (Some eligible for organic slaughter), Milking Cows (Milk) (Some eligible for organic slaughter)</t>
  </si>
  <si>
    <t>Goats: Dairy Goats, Milk (See Livestock List for Organic Slaughter Eligible Livestock)</t>
  </si>
  <si>
    <t>Cattle: Cattle - Dairy Other (Milk), Cattle - Dairy Other (Retail Cuts), Dairy Replacement Heifer, Milking Cows, Slaughter Eligible</t>
  </si>
  <si>
    <t>Other: Dairy cow: replacements, Dairy cow: slaughter stock, Dairy steer: slaughter stock</t>
  </si>
  <si>
    <t>Cattle: Dairy Cattle, Youngstock, Fluid Milk (See Livestock List for Organic Slaughter Eligibile Livestock)</t>
  </si>
  <si>
    <t>Cattle: Calves (Calves (Organic Slaughter Eligible)), Dairy Replacement Heifer (Replacement Heifers (Organic Slaughter Eligible)), Milking Cows (Dairy Cows (Not Organic Slaughter Eligible)), Milking Cows (Dairy Cows (Organic Slaughter Eligible)), Milking Cows (Dairy Cows (Transitioned))</t>
  </si>
  <si>
    <t>Cattle: Dairy Bulls, Dairy Replacement Heifer, Dairy Steers, Slaughter Eligible, Slaughter Eligible</t>
  </si>
  <si>
    <t>Cattle: Milking Cows, Slaughter Eligible</t>
  </si>
  <si>
    <t>Cattle: Beef Brood Cows, Beef Replacement Heifer, Beef Steers, Dairy Replacement Heifer, Slaughter Eligible, Slaughter Eligible</t>
  </si>
  <si>
    <t>Other: Dairy cattle, live, Dairy heifers [ 1 year, live, Dairy heifers ] 1 year, live</t>
  </si>
  <si>
    <t>Other: *Beef heifers and steers - all eligible for organic slaughter, *Dairy cows- all eligible for organic slaughter</t>
  </si>
  <si>
    <t>Cattle: Breeding Eligible (Dairy Cattle for Breeder status), Dairy Replacement Heifer (Dairy Replacement Heifers (all eligible for organic slaughter)), Milk - Raw Bulk Milk, Slaughter Eligible (Dairy Cow (all eligible for organic slaughter))</t>
  </si>
  <si>
    <t>Cattle: Dairy Replacement Heifer (all eligible for breeding, production, and slaughter), Dairy Steers (all eligible for breeding, production, and slaughter), Milking Cows (milk (all eligible for breeding, production, and slaughter))</t>
  </si>
  <si>
    <t>Cattle: Dairy Replacement Heifer (Replacement Heifers (slaughter eligible)), Milking Cows (Dairy Cows (Eligible for slaughter stock))</t>
  </si>
  <si>
    <t>Poultry: Eggs, Laying Hens; Cattle: Calves, Dairy Replacement Heifer, Slaughter Eligible</t>
  </si>
  <si>
    <t>Other: #Custom management of dairy replacements, Dairy brood cows- none eligible for organic slaughter, Dairy replacements - all eligible for organic slaughter</t>
  </si>
  <si>
    <t>Other: Dairy Replacements - all eligible for organic slaughter</t>
  </si>
  <si>
    <t>Cattle: Custom Dairy Cattle Management, Milk - Raw Bulk Milk, Milking Cows (Dairy Cattle (some eligible for organic slaughter))</t>
  </si>
  <si>
    <t>Cattle: Dairy Replacement Heifer (all born last third organic, eligible for organic slaughter), Milking Cows (milk, all born last third organic, eligible for organic slaughter)</t>
  </si>
  <si>
    <t>Cattle: Cattle (Dairy - Last Third - Eligible for Organic Slaughter) (Slaughter eligible animals identified by no red ear tag.)</t>
  </si>
  <si>
    <t>Cattle: Dairy Bulls (Slaughter Eligible), Dairy Replacement Heifer (Slaughter Eligible), Milk, Milking Cows (Dairy Only), Milking Cows (Slaughter Eligible)</t>
  </si>
  <si>
    <t>Other: Dairy cows for milk - all eligible for organic slaughter, Dairy replacements - all eligible for organic slaughter, Dairy steers- all eligible for organic slaughter, Milk</t>
  </si>
  <si>
    <t>Swine: Boars, Slaughter Eligible, Sows, Swine - Other (Retail Cuts); Cattle: Beef Steers, Cattle - Beef Other (Retail Cuts), Cattle - Dairy Other (Milk), Dairy Replacement Heifer, Milking Cows, Slaughter Eligible, Slaughter Eligible</t>
  </si>
  <si>
    <t>Cattle: Slaughter Eligible (Dairy), Slaughter Eligible (Beef); Other: Raw milk</t>
  </si>
  <si>
    <t>Cattle: Cattle (Dairy - Last Third - Eligible for Organic Slaughter) (Slaughter Eligible Animals Identified by No Red Ear Tag.), Cattle (Dairy - Last Third - Ineligible for Organic Slaughter) (Tag numbers 24, 121, 139, 216, 261, 268, 297, 321, 1514)</t>
  </si>
  <si>
    <t>Other: *Dairy bulls and steers - all eligible for organic slaughter, *Hogs - all eligible for organic slaughter, Dairy cows for milk - all eligible for organic slaughter, Dairy replacements - all eligible for organic slaughter, Milk</t>
  </si>
  <si>
    <t>Cattle: Beef Bulls, Cattle - Dairy Other (Milk), Dairy Bulls, Dairy Replacement Heifer, Milking Cows, Slaughter Eligible, Slaughter Eligible</t>
  </si>
  <si>
    <t>Other: Beef steers and heifers - all eligible for organic slaughter, Dairy cows - all eligible for organic slaughter, Dairy replacements - all eligible for organic slaughter</t>
  </si>
  <si>
    <t>Other: *Beef heifers and steers - all eligible for organic slaughter, *Dairy cows for milk - all eligible for organic slaughter, *Dairy replacements - all eligible for organic slaughter, *Milk</t>
  </si>
  <si>
    <t>Other: Dairy bull - all eligible for organic slaughter, Dairy cows for milk - some eligible for organic slaughter, Dairy replacements - all eligible for organic slaughter, Dairy steers - all eligible for organic slaughter, Milk</t>
  </si>
  <si>
    <t>Cattle: Cattle (Dairy - Last Third - Eligible for Organic Slaughter) (Slaughter eligible animals are identified by numbered green ear tag AND NO white button tag), Cattle (Dairy - Last Third - Ineligible for Organic Slaughter) (Animals identified by numbered ear tag AND white or red button tag.)</t>
  </si>
  <si>
    <t>Other: Dairy cows for milk - all eligible for organic slaughter, Dairy replacements - all eligible for organic slaughter</t>
  </si>
  <si>
    <t>Other: Dairy brood cows - all eligible for organic slaughter, Dairy replacements - all eligible for organic slaughter</t>
  </si>
  <si>
    <t>Other: Milk, Dairy Cattle (slaughter eligible)</t>
  </si>
  <si>
    <t>Other: *Dairy bulls and steers - all eligible for organic slaughter, Dairy cows for milk - some eligible for organic slaughter, Dairy replacements - all eligible for organic slaughter, Milk</t>
  </si>
  <si>
    <t>Cattle: Calves (Dairy), Dairy Replacement Heifer (Slaughter Eligible), Milk, Milking Cows (Transitioned), Milking Cows (Slaughter Eligible)</t>
  </si>
  <si>
    <t>Other: Milk, Dairy Cows (all eligible for slaughter), and Dairy Replacements (all eligible for organic slaughter)</t>
  </si>
  <si>
    <t>Other: Dairy bulls and steers - all eligible for organic slaughter, Dairy cows for milk - all eligible for organic slaughter, Dairy replacements - all eligible for organic slaughter, Milk</t>
  </si>
  <si>
    <t>Cattle: Beef Steers, Dairy Replacement Heifer, Slaughter Eligible</t>
  </si>
  <si>
    <t>Other: *Bull, *Dairy cows for milk - all eligible for organic slaughter, *Dairy replacements - all eligible for organic slaughter, *Milk</t>
  </si>
  <si>
    <t>Other: Dairy cows for milk - some eligible for organic slaughter., Dairy replacements - all eligible for organic slaughter, Milk</t>
  </si>
  <si>
    <t>Other: Beef Brood Cows, Beef Replacement Heifers, Calves, Contract Grazing of Organic Dairy Heifer and Dry Cows</t>
  </si>
  <si>
    <t>Poultry: Chickens; Cattle: Beef Brood Cows, Beef Bulls, Beef Replacement Heifer, Beef Steers, Dairy Replacement Heifer, Slaughter Eligible</t>
  </si>
  <si>
    <t>Other: Dairy cows for milk - all eligible for organic slaughter; Dairy replacements - all eligible for organic slaughter;Dairy steers - all eligible for organic slaughter;Milk.Certified in accordance with the terms of the U.S.-Canada Organic Equivalency Arrangement.</t>
  </si>
  <si>
    <t>Other: Dairy Cattle for Milk production and beef, Milk</t>
  </si>
  <si>
    <t>Cattle: Calves, Dairy Replacement Heifers, Dairy Steers, Slaughter Eligible</t>
  </si>
  <si>
    <t>Cattle: Calves, Dairy Replacement Heifers, Milking Cows, Slaughter Eligible, Steers</t>
  </si>
  <si>
    <t>Cattle: Calves (Last Third Gestation, Dairy only), Dairy Replacement Heifer (Last Third Gestation, Dairy only), Milk, Milking Cows (Last Third Gestation, Dairy only)</t>
  </si>
  <si>
    <t>Other: *Dairy cows for milk - some eligible for organic slaughter, *Dairy replacements - all eligible for organic slaughter, *Milk, Hogs - all eligible for organic slaughter</t>
  </si>
  <si>
    <t>Other: Dairy cows for milk - all eligible for organic slaughter, Dairy replacements - all eligible for organic slaughter, Dairy steers and bulls - all eligible for organic slaughter, Milk</t>
  </si>
  <si>
    <t>Other: Milk, Dairy Cows (all eligible for organic slaughter), and Dairy Replacements (some eligible for organic slaughter), Dairy steers (all eligible for organic slaughter), Custom raising of cattle</t>
  </si>
  <si>
    <t>Other: Chickens - Layers (eligible for organic slaughter), and Eggs, Dairy Cows (some eligible for organic slaughter), Dairy Replacements (some eligible for organic slaughter), and Milk</t>
  </si>
  <si>
    <t>Cattle: Dairy Replacements, Milking Cows</t>
  </si>
  <si>
    <t>Other: Dairy cattle (slaughter eligible), Milk.</t>
  </si>
  <si>
    <t>Other: Beef cattle: slaughter stock, Dairy cow: milk, Dairy cow: slaughter stock, Sheep: fiber, Sheep: replacements, Sheep: slaughter stock</t>
  </si>
  <si>
    <t>Other: Dairy Cows (some eligible for slaughter), Dairy Replacements (eligible for slaughter), Dairy Steers (eligible for slaughter), Milk</t>
  </si>
  <si>
    <t>Cattle: Calves (Dairy Calves (none eligible for organic slaughter)), Milk - Raw Bulk Milk, Milking Cows (Dairy Cow (None eligible for organic slaughter))</t>
  </si>
  <si>
    <t>Other: #Custom management of dairy replacements, Dairy cows for milk - all eligible for organic slaughter, Dairy replacements - all eligible for organic slaughter, Milk</t>
  </si>
  <si>
    <t>Cattle: Dairy Replacement Heifer (Dairy Heifers (Slaughter Eligible)), Milking Cows (Dairy Cows (Not Slaughter Eligible)), Milking Cows (Dairy Cows (Slaughter Eligible))</t>
  </si>
  <si>
    <t>Other: Dairy Cattle (Slaughter Eligible), Milk</t>
  </si>
  <si>
    <t>Cattle: Slaughter Eligible (Dairy); Other: Raw milk</t>
  </si>
  <si>
    <t>Cattle: Calves (some eligible for organic slaughter), Dairy Replacement Heifer (some eligible for organic slaughter), Dry Cows (some eligible for organic slaughter), Heifers (some eligible for organic slaughter), Milking Cows (Milk) (some eligible for organic slaughter)</t>
  </si>
  <si>
    <t>Other: Beef steers and heifers - all eligible for organic slaughter, Dairy cows for milk - all eligible for organic slaughter, Dairy replacements - all eligible for organic slaughter, Milk</t>
  </si>
  <si>
    <t>Other: *Dairy cows - all eligible for organic slaughter, *Dairy replacements - all eligible for organic slaughter, Dairy bulls - all eligible for organic slaughter</t>
  </si>
  <si>
    <t>Cattle: Bulls, Calves, Dairy Replacement Heifer, Dry Cows, Milk, Milking Cows, Yearling</t>
  </si>
  <si>
    <t>Cattle: Calves, Dairy Replacement Heifers, Milking Cows</t>
  </si>
  <si>
    <t>Other: Dairy cows - none eligible for organic slaughter;Dairy replacements - all eligible for organic slaughter;Dairy steers - alleligible for organic slaughter.Certified in accordance with the terms of the U.S.-Canada Organic Equivalency Arrangement.</t>
  </si>
  <si>
    <t>Poultry: Laying Hens</t>
  </si>
  <si>
    <t>Poultry: Broilers</t>
  </si>
  <si>
    <t>Cattle: Beef Cattle, Dairy Cattle, Milk (See Livestock List for Organic Slaughter Eligible Livestock), Beef Cattle</t>
  </si>
  <si>
    <t>Other: Dairy Cattle: Milk, Meat, &amp; Breeding</t>
  </si>
  <si>
    <t>Cattle: Calves (Some Eligible for Organic Slaughter), Dairy Replacement Heifer (Some Eligible for Organic Slaughter), Dry Cows (Some Eligible for Organic Slaughter), Milking Cows (Milk) (Some Eligible for Organic Slaughter)</t>
  </si>
  <si>
    <t>Additional Certified Products Under LIVESTOCK Scope</t>
  </si>
  <si>
    <t>Certificate Numbers for Certified Products under LIVESTOCK Scope</t>
  </si>
  <si>
    <t>C0691113-NOPLDY-4</t>
  </si>
  <si>
    <t>,C0054291-NOPLDY-2</t>
  </si>
  <si>
    <t>C0054290-NOPLDY-2,</t>
  </si>
  <si>
    <t>24-0257</t>
  </si>
  <si>
    <t>24-0255</t>
  </si>
  <si>
    <t>02-965,</t>
  </si>
  <si>
    <t>WI0576-G-18-1494</t>
  </si>
  <si>
    <t>C0721268-NOPLDY-1,</t>
  </si>
  <si>
    <t>C0692148-NOPLDY-2</t>
  </si>
  <si>
    <t>24-0256</t>
  </si>
  <si>
    <t>25339</t>
  </si>
  <si>
    <t>24-0361</t>
  </si>
  <si>
    <t>,18-1424</t>
  </si>
  <si>
    <t>25-0101</t>
  </si>
  <si>
    <t>25234,23563</t>
  </si>
  <si>
    <t>12-539,</t>
  </si>
  <si>
    <t>,C0626790-NOPLDY-2</t>
  </si>
  <si>
    <t>WILD CROPS Scope Certification Status</t>
  </si>
  <si>
    <t>Effective Date of WILD CROPS Status</t>
  </si>
  <si>
    <t>Certified Products Under WILD CROPS Scope</t>
  </si>
  <si>
    <t>Other: Ramps*</t>
  </si>
  <si>
    <t>Other: *Wild Crops: apples, *blackberries, *chanterelle mushrooms, *cherries, *elderberries, *grapes, *hickory nuts, *raspberries, *strawberries, *</t>
  </si>
  <si>
    <t>Other: : burdock, : dandelion</t>
  </si>
  <si>
    <t>Other: Mint</t>
  </si>
  <si>
    <t>Additional Certified Products Under WILD CROPS Scope</t>
  </si>
  <si>
    <t>Certificate Numbers for Certified Products Under WILD CROPS Scope</t>
  </si>
  <si>
    <t>HANDLING Scope Certification Status</t>
  </si>
  <si>
    <t>Effective Date of HANDLING Status</t>
  </si>
  <si>
    <t>Certified Products Under HANDLING Scope</t>
  </si>
  <si>
    <t>Oils &amp; Oleoresins: Oils (Acai oil), Oils (Andiroba oil), Oils (Buriti oils), Oils (Copaiba Oil Resin), Oils (Passion fruit oil), Oils (Tucuma oil); Fruits/Vegetables: Berries (Fruto açaí frozen); Dairy: Butter (Cocoa butter), Butter (Cupuaçu butter), Butter (Murumuru butter), Butter (Ucuuba Butter); Beverage Related Products: Pulp (Açaí pulp 8% fresh (also called popular açaí, pasteurized popular açaí, unpasteurized popular açaí, unpasteurized popular açaí Frozen organic açaí juice 8%, pasteurized frozen organic açaí juice 8%, frozen organic açaí juice 8%, popular pasteurized organic açaí, or popular organic açaí, popular organic pasteurized açaí, organic açaí 8%, açaí 8%, açaí pure, pureed açaí, unsweetened açaí puree, organic açaí 8% )), Pulp (Acerola pulp), Pulp (Bacaba pulp), Pulp (Buriti pulp), Pulp (Cupuaçu pulp), Pulp (Fresh açaí pulp 12% (also called medium açaí, pasteurized medium açaí, unpasteurized medium açaí, 12% frozen organic açaí juice, 12% pasteurized frozen organic açaí juice, 12% frozen organic açaí juice, organic açaí medium pasteurized or medium organic açaí, medium organic pasteurized açaí, organic açaí 12%, açaí 12%, pure açaí, açaí puree, unsweetened açaí puree)), Pulp (Passion fruit pulp), Pulp (Taperebá pulp), Pulp (Acai pulp 8% Acid (Popular Açaí Pasteurized with Citric Acid, Popular Açaí Non-Pasteurized, Popular Açaí Non-Pasteurized with Citric Acid, Organic Frozen Açaí Juice 8%, Organic Frozen Açaí Juice 8% Pasteurized, Organic Frozen Açaí Juice 8% with Citric Acid, Popular Pasteurized Organic Açaí with Citric Acid, or Popular Organic Açaí, Popular Organic Pasteurized Açaí, Organic Açaí 8%, Açaí 8%, Pure Açaí, Açaí Puree, Unsweetened Açaí Puree, Organic Açaí 8% Acidified with Citric Acid.), Pulp (Acai pulp 12% Acid (Also called medium açaí, medium pasteurized açaí, medium pasteurized açaí with citric acid, non-pasteurized medium açaí, non-pasteurized medium açaí with citric acid, açaí pulp, pasteurized medium açaí pulp, Organic Frozen Medium Açaí Juice, Organic Frozen Açaí Juice 12% with citric acid, Organic Frozen Pasteurized Açaí Juice 12% with citric acid, Organic Frozen Pasteurized Açaí Juice 12%, regular organic açaí, pasteurized regular organic açaí, pasteurized regular organic açaí with citric acid, organic açaí 12%, Açaí 12%, unsweetened açaí pulp, organic açaí 12% acidified with citric acid.), Pulp (Acai pulp 14% Acid (Also called special açaí, special pasteurized açaí, special pasteurized açaí with citric acid, non-pasteurized special açaí, non-pasteurized special açaí with citric acid, açaí pulp, special pasteurized açaí pulp without acid, Organic Frozen Açaí, Organic Frozen Açaí Juice 14% with citric acid, Organic Frozen Açaí Juice 14% Pasteurized, thick or special pasteurized açaí with citric acid, thick or special pasteurized organic açaí with citric acid, organic açaí 14%, pure açaí, açaí puree, unsweetened açaí puree, organic açaí 14% acidified with citric acid.), Syrups (Acid hydrolysis Tapioca Syrup (Also called acidified tapioca syrup, cassava syrup, cassava starch syrup, tapioca molasses, cassava molasses, maltose syrup)), Syrups (Tapioca syrup enzymatic hydrolysis (Also called tapioca syrup in enzymatic hydrolysis, cassava syrup, cassava starch syrup, tapioca molasses, cassava molasses, maltose syrup)); Other: Pracaxi oil</t>
  </si>
  <si>
    <t>Other: Custom Roasting of Organic Grains</t>
  </si>
  <si>
    <t>Dairy: Cheese (Cheddar)</t>
  </si>
  <si>
    <t>Animal Feed: Livestock Feed (Broiler Grower 18%), Livestock Feed (Calf Grower 16%), Livestock Feed (Calf Starter 14.5%), Livestock Feed (Chick Starter 21%), Livestock Feed (Custom Dairy Livestock Feed), Livestock Feed (Layer Feed 16%), Livestock Feed (Mixed Grains), Livestock Feed (Roasted Ground Soybeans), Livestock Feed (Soy-Can), Livestock Feed (Swine Grower 14%), Livestock Feed (Swine Grower 16%), Livestock Feed (Turkey Finisher 16%), Livestock Feed (Turkey Grower #1, 24%), Livestock Feed (Turkey Grower #2, 21%), Livestock Feed (Turkey Starter 26%)</t>
  </si>
  <si>
    <t>Other: 34771AAA Fortress Organic Dry Cow Mineral PL, 34774AAA Fortress Organic Lactation Mineral PL, 34776AAA Fortress Organic Heifer Mineral, 35339AAA Midwest Lactation Grazing Mineral, 531780N Empirical NSP Organic Mixer, 550450N CitriStim Organic Supplement, 707490N Organic Levucell Mixer, E77070N Rogers ORG Dairy VTM PAK, G16060N Biotene Total PX Organic w/Pigmenter w/o CC, G38830N Biotene T PX Organic w/PIG w/o CC, G38840N Biotene T ORG w/PHY, NSP, ENZ, PIG w/o CC, G42600N AGLS Organic Poultry Premix, G64380N CFS LAYER 0.25% 2019 Organic, G82880N Lactating Mineral, G91410N Miller Poultry Org Broiler Vit V8 10, G91900N Handsome Brook Org 5# Layer VTM, G99510N Evolution Organic Plus, G99520N Evolution Organic, H02260N WFM Organic Turkey Starter 3845, H02270N WFM Organic Turkey Grower 3856, H02280N WFM Organic Layer 3807, H02290N WFM Organic Broiler 3809, H02340N SFS HYLBRN CS ORG 9 LB VTM, H04630N BIOTENE® TOTAL PX ORGANIC w/ NSP ENZYME, PIGMENTER, w/o CC</t>
  </si>
  <si>
    <t>Other: Almond Non-Dairy Beverage, Unsweetened Vanilla</t>
  </si>
  <si>
    <t>Other: Brokering (Dairy products listed on certificate or addendum), Buttermilk Powder, Cheddar Cheese Powder (White), Cream, Cream (Heavy), Cream (Pasteurized), Cream Cheese, Nonfat Milk Powder, Nonfat Milk Powder (- MH), Pea Starch (Pea Screenings), Protein Concentrate (85%), Raw Milk (Whole), Regular Sour Cream, Sweet Dairy Whey Powder, Unsalted butter, Whey Protein Concentrate (80%), Whole Milk Powder, Yogurt Powder</t>
  </si>
  <si>
    <t>Processed  Items: Brown Rice with Chana Masala, Chana Masala, Coconut Oil Paste *, Coconut water (aseptic)*, Coconut water concentrate (frozen), Coconut Water Concentrate*, Copra, Copra Cake*, Copra*, Cream (Coconut cream (aseptic)), Dal Makhani, Dal Makhani with Basmati Rice, Dal Tadka, Dal Tadka with Basmati Rice, Desiccated Coconut, Desiccated Coconut*, Flours and Meals (Coconut Flour), Flours and Meals (Coconut Flour*), Milk (Coconut milk (aseptically packed)), Non-Dairy Milk (Coconut milk (aseptically packed)*), Non-Dairy Milk (Coconut cream (aseptic)*), Rajma Masala, Rajma Masala with Basmatii Rice, Simmer Sauce Chicken Korma, Simmer Sauce Chicken Makhani, Simmer Sauce Chicken Tikka Masala, Simmer Sauce Goan Shrimp Curry, Simmer Sauce Madras Beef Curry, Simmer Sauce Vindaloo Meat Curry, Sweeteners (Coconut Sugar (single ingredient)*), Veg Biryani, Veg Pulao; Oils &amp; Oleoresins: Oils (Coconut oil (RBD)*), Oils (Crude coconut oil*), Oils (Coconut oil (RBD)), Oils (Coconut Oil Paste), Oils (Crude coconut oil), Oils (Virgin Coconut Oil), Oils (Virgin Coconut Oil*); Condiments and Sweeteners: Sugar (Coconut Sugar (single ingredient)); Animal Feed: Fodder (Copra Cake)</t>
  </si>
  <si>
    <t>Other: Butter Powder 113737, Cheddar Concentrate 12244D, Cheese Buds Cheddar 66872 Flavor, Cream Plus 66871 Flavor, Gouda Concentrate 117014D, High Concentrate Uncolored 66879 Flavor, LaraFeed, Monterey Jack Concentrate 117009D, Organic Sweet Dairy Whey Powder Item #112071, Parmesan Cheese Concentrate 11482D, Parmesan Cheese Concentrate 11485D, Parmesan Cheese Concentrate 11495D, ResistAid, Romano Cheese Concentrate 11501D, Sour Cream Concentrate 12045D</t>
  </si>
  <si>
    <t>Processed  Items: Cream (Coconut cream 20-22% fat (multi-ingredient)*
Certified in accordance with the terms of the U.S. - Canada Organic
Equivalency Arrangement), Desiccated coconut - fine* (*Certified in accordance with the terms of the U.S. - Canada Organic
Equivalency Arrangement), Desiccated coconut - medium* (*Certified in accordance with the terms of the U.S. - Canada Organic
Equivalency Arrangement), Desiccated Coconut* (*Certified in accordance with the terms of the U.S. - Canada Organic
Equivalency Arrangement), Non-Dairy Milk (Coconut Milk 12-14% fat (Multi ingredient)*
Certified in accordance with the terms of the U.S. - Canada Organic
Equivalency Arrangement), Non-Dairy Milk (Coconut Milk 14-16% fat*
Certified in accordance with the terms of the U.S. - Canada Organic
Equivalency Arrangement), Non-Dairy Milk (Coconut milk 17-19% Fat*
Certified in accordance with the terms of the U.S. - Canada Organic
Equivalency Arrangement), Non-Dairy Milk (Coconut Milk 5-7% Fat*
Certified in accordance with the terms of the U.S. - Canada Organic
Equivalency Arrangement); Oils &amp; Oleoresins: Oils (Virgin coconut oil*
Certified in accordance with the terms of the U.S. - Canada Organic
Equivalency Arrangement); Beverage Related Products: Coconut Water* (*Certified in accordance with the terms of the U.S. - Canada Organic
Equivalency Arrangement); Other: Coconut Paring* (*Certified in accordance with the terms of the U.S. - Canada Organic
Equivalency Arrangement), Copra* (*Certified in accordance with the terms of the U.S. - Canada Organic
Equivalency Arrangement), Flours and Meals (Virgin Coconut Oil cake*
Certified in accordance with the terms of the U.S. - Canada Organic
Equivalency Arrangement)</t>
  </si>
  <si>
    <t>Other: Non-Dairy Frozen Desserts (Deep Dark Chocolate), Non-Dairy Frozen Desserts (Frozen Açaí Sorbet, Original Acai Berry), Non-Dairy Frozen Desserts (Frozen Scoopable Açaí ), Non-Dairy Frozen Desserts (Frozen Scoopable Açaí with Coconut Sugar), Non-Dairy Frozen Desserts (Frozen Scoopable Dragon Fruit), Non-Dairy Frozen Desserts (Mint Chocolate Chip), Non-Dairy Frozen Desserts (Organic Acai Tub AE), Non-Dairy Frozen Desserts (Simply Lemon)</t>
  </si>
  <si>
    <t>Other: Coating, Inoculating, Treating, Packaging, and Labeling of Seed and Seed Mixes. Products listed above may be coated, treated, or inoculated with: Amplitude ST Broad-Spectrum, BIOST Insecticide 100 Biological Insecticide, BIOST Nematicide 100 Biological Nematicide, BIOST Organic VPH 9.0 5-0-0, Emereen 3916 Glycerine 99.7% USP, EVOIA AmpliFYR, Exceed Superior Legume Inoculant Exceed Peat for Alfalfa/True Clover Combination Peat, Exceed Superior Legume Inoculant Exceed Peat for Peanut/Cowpea /Lespedeza/Mung Bean Peat, Exceed Superior Legume Inoculant Exceed Peat for Soybean Peat, Exceed Superior Legume Inoculant for Pea, Vetch and Lentil Peat, Exceed Superior Legume Inoculant Traditional Liquid for Soybean Traditional Liquid, Exceed Superior Legume Inoculant Exceed Peat for Sainfoin Peat Exceed Superior Legume, Inoculant Exceed Traditional Liquid for Peas, Vetch &amp; Lentils Traditional Liquid, Heads Up Plant Protectant, ph Douglas Plant Health Myco Seed Treat, Nitro-Coat Organic for Legumes, Pre-Vail (Alfalfa and Sweet Clover, Alfalfa/True Clover Combination, True Clover), SabrEx Root Inoculant for Corn Corn LQ, SabrEx Root Inoculant for Corn or Wheat HC, PB, or LQ, Seed Start 200, SoilBiotics Organic 1r Seed Treatment, SoilBiotics Polymer for Seed, Summit Seed Coating Apex Green + Graph-Ex SA Inoculant Seed Lubricant, Summit Seed Coatings Apex Green Hydroloc, and Ultim-ST Agricultural Fungicide/Bactericide
Treated seed may not be sold or used as human food (including sprout production) or livestock feed, Conditioning, Mixing, Packaging, and Labeling of Seed Mixes including Alsike Clover/Yellow Blossom Clover, Barley/Pea Mix, Buffer Strip Mix, Cultivation Max CC8, Custom Mixes, Dairy Pro Mix, FinNMax CC11, Graze and Chop Mix, GrazeMax, Hay Mix, NitroMax CC1, Oat/Pea Mix, Pasture Mix, Plowdown Blend CC9, Renovator Mix, Triticale/Pea Mix, Succotash, SummerMax CC6, Turnip/Rapeseed Mix, ValueMax CC2, and WinterMax CC3, Conditioning, Packaging, and Labeling of Grain and Seed including Alfalfa,* Barley (spring, winter),* Beans (faba, pinto), Black eyed cow peas, Bromegrass (meadow, smooth), Buckwheat, Camelina (Winter), Clover (alsike, crimson, mammoth, red,* white, yellow blossom*), Corn (field, sweet), Einkorn, Emmer, Fescue (meadow, tall),* Festulolium,* Flax (golden), Lentils, Millet (Japanese, proso), Mustard (yellow), Oats,* Orchardgrass,* Peas (Austrian winter, field*), Radish, (Daikon, tillage), Rape (Polish),* Rye (winter, hybrid winter),* Ryegrass (annual, Italian, perennial),* Sainfoin,* Sorghum-Sudangrass, Soybeans, Spelt, Sudangrass, Sunflowers, Timothy, Triticale (spring, winter), Turnips (purple top), Vetch (common, hairy), Wheat (Einkorn, Hard Red Spring/Winter,* Soft Red Winter), and Screenings, Packaging and Labeling of Horticultural Seed and Planting Stock including Basil, Beans (bush, dried pole, wax), Beets, Broccoli, Cabbage, Carrots, Catnip, Cauliflower, Chard, Cilantro, Cucumbers, Dill, Garlic, Kale, Kohlrabi, Lettuce, Marigold, Melon (watermelon), Okra, Oregano, Pak Choi, Peas (shelling, snow, snap), Peppers (hot, sweet), Potatoes, Pumpkins, Radishes, Sage, Spinach, Squash (summer, winter), Swiss Chard, Thyme, Tomatoes, and Turnips</t>
  </si>
  <si>
    <t>Other: Apples, Ambrosia, Apples, Braeburn, Apples, Cameo, Apples, Fuji, Apples, Gala, Apples, Granny, Apples, Honey Crisp, Apples, Macintosh, Apples, Other, Apples, Pink Lady, Apples, Red Delicious, Apricots, Artichokes, Asparagus, Avocados, Bananas, Beans, Beef, Beef, Beets, Berries, Blackberries, Berries, Blueberries, Berries, Cranberries, Berries, Other, Berries, Raspberries, Berries, Strawberries, Beverages, Bread, Broccoli, Brussels Sprouts, Butter, Cabbage, Carrots, Carrots, Baby Peeled, Cauliflower, Celery, Cheese, Cherries, Chicken, Chicken, Chips, Cilantro, Citrus, Grapefruit, Citrus, Lemons, Citrus, Limes, Citrus, Oranges, Citrus, Other, Citrus, Tangerines, Coconuts, Corn, Cream, Croutons, Cucumbers, Dairy, Other, Dates, Deli, Meats, Deli, Other, Dips, Dressings, Dried Fruit, Vegetable, Non-Produce, Eggplant, Eggs, Exotics, Fruit, Exotics, Vegetable, Figs, Garlic, Grapes, Greens, Cooking, Greens, Salad, Herbs, Juice, Kiwifruit, Lettuce, Lettuce, Leaf, Lettuce, Other, Lettuce, Romaine, Mangos, Meat, Other, Melons, Melons, Watermelon, Milk, Mushrooms, Nectarines, Non-Dairy Beverages, Nuts &amp; Seeds, Oats, Rolled, Onions, Papaya, Parsley, Parsnips, Pasta, Peaches, Pears, Peas, Peppers, Bell, Peppers, Hot, Peppers, Other, Persimmons, Pineapples, Plums, Pluots, Pork, Ham, Potatoes, Pre-Cut, Fruit, Pre-Cut, Vegetables, Prepared Meals, Radish, Salads, Sauce, Sausage, Soup, Spinach, Sprouts, Squash, Summer, Squash, Winter, Tofu, Tomatoes, Tomatoes, Cherry, Tortilla, Turkey, Turnips, Vegetables, Yams, Yogurt</t>
  </si>
  <si>
    <t>Other: Apples, Ambrosia, Apples, Braeburn, Apples, Fuji, Apples, Gala, Apples, Gold, Apples, Granny, Apples, HoneyCrisp, Apples, Macintosh, Apples, Other, Apples, Pink Lady, Apples, Red Delicious, Apricots, Artichokes, Asparagus, Avocados, Bananas, Beans, Beef, Beets, Berries, Blackberries, Berries, Blueberries, Berries, Cranberries, Berries, Other, Berries, Raspberries, Berries, Strawberries, Beverages, Broccoli, Brussels Sprouts, Butter, Cabbage, Carrots, Carrots, Baby Peeled, Cauliflower, Celery, Cheese, Cherries, Chicken, Cilantro, Citrus, Grapefruit, Citrus, Lemons, Citrus, Limes, Citrus, Oranges, Citrus, Other, Citrus, Tangerines, Coconuts, Corn, Cream, Cucumbers, Dairy, Other, Dates, Deli, Meats, Deli, Other, Dips, Dressings, Eggplant, Eggs, Exotics, Fruit, Exotics, Vegetable, Figs, Garlic, Grapes, Greens, Cooking, Greens, Salad, Herbs, Juice, Kiwifruit, Lamb, Lettuce, Lettuce, Leaf, Lettuce, Other, Lettuce, Romaine, Mangos, Melons, Melons, Watermelon, Milk, Mushrooms, Nectarines, Non-Dairy Beverages, Nuts, Onions, Papaya, Parsley, Parsnips, Peaches, Pears, Peas, Peppers, Bell, Peppers, Hot, Peppers, Other, Persimmons, Pineapples, Plums, Pluots, Pork, Ham, Potatoes, Pre-Cut, Vegetables, Prepared Meals, Radish, Salads, Sausage, Soup, Spinach, Sprouts, Squash, Summer, Squash, Winter, Tofu, Tomatoes, Tomatoes, Cherry, Tortilla, Turkey, Turnips, Vegetables, Vegetables, Yams, Yogurt</t>
  </si>
  <si>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Beverages, Broccoli, Brussels Sprouts, Butter, Cabbage, Carrots, Carrots, Baby Peeled, Cauliflower, Celery, Cheese, Cherries, Chicken, Cilantro, Citrus, Grapefruit, Citrus, Lemons, Citrus, Limes, Citrus, Oranges, Citrus, Other, Citrus, Tangerines, Coconuts, Condiments, Corn, Cream, Cucumbers, Dairy, Other, Dates, Deli, Meats, Deli, Other, Dips, Dressings, Eggplant, Eggs, Exotics, Fruit, Exotics, Vegetable, Figs, Fruits, Garlic, Grapes, Greens, Cooking, Greens, Salad, Herbs, Hummus, Juice, Juice, Juice - Lemon Shot, Juice - Lime Shot, Kiwifruit, Lettuce, Lettuce, Leaf, Lettuce, Other, Lettuce, Romaine, Mangos, Melons, Melons, Watermelon, Milk, Mushrooms, Nectarines, Non-Dairy Beverages, Nuts, Oil, Vinegar, Onions, Papaya, Parsley, Parsnips, Pasta, Peaches, Pears, Peas, Peppers, Bell, Peppers, Hot, Peppers, Other, Persimmons, Pineapples, Plums, Pluots, Pork, Ham, Potatoes, Pre-Cut, Vegetables, Radish, Salads, Sauce, Sausage, Soup, Spinach, Sprouts, Squash, Summer, Squash, Winter, Tofu, Tomatoes, Tomatoes, Cherry, Tortilla, Turkey, Turnips, Vegetables, Vegetables, Yams, Yogurt</t>
  </si>
  <si>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Beverages, Beverages, Bread, Bread, Broccoli, Brussels Sprouts, Butter, Cabbage, Carrots, Carrots, Baby Peeled, Cauliflower, Celery, Cheese, Cherries, Chicken, Chips, Chips, Cilantro, Citrus, Grapefruit, Citrus, Lemons, Citrus, Limes, Citrus, Oranges, Citrus, Other, Citrus, Tangerines, Coconuts, Condiments, Corn, Cream, Croutons, Cucumbers, Dairy, Other, Dates, Deli, Meats, Deli, Other, Deli, Other, Dips, Dressings, Dried Fruit, Fruit, Dried Fruit, Vegetable, Dried Fruit, Vegetable, Non-Produce, Eggplant, Eggs, Exotics, Fruit, Exotics, Vegetable, Figs, Frozen Goods, Garlic, Grapes, Greens, Cooking, Greens, Salad, Herbs, Hummus, Juice, Juice, Kiwifruit, Lamb, Lettuce, Lettuce, Leaf, Lettuce, Other, Lettuce, Romaine, Mangos, Meat, Other, Melons, Melons, Watermelon, Milk, Miscellaneous, Miscellaneous, Miscellaneous-Fruit, Mushrooms, Nectarines, Non-Dairy Beverages, Non-Dairy Beverages, Nuts, Nuts &amp; Seeds, Oil, Vinegar, Onions, Papaya, Parsley, Parsnips, Pasta, Peaches, Pears, Peas, Peppers, Bell, Peppers, Hot, Peppers, Other, Persimmons, Pineapples, Plums, Pluots, Pork, Ham, Potatoes, Pre-Cut, Fruit, Pre-Cut, Vegetables, Prepared Meals, Pudding, Radish, Salads, Salads, Fruit, Sauce, Sausage, Snacks, Soup, Soup, Spices, Spinach, Spreads, Sprouts, Sprouts, Squash, Summer, Squash, Winter, Tofu, Tofu, Tomatoes, Tomatoes, Cherry, Tortilla, Tortilla, Turkey, Turnips, Vegetable Tray, Vegetables, Yams, Yogurt</t>
  </si>
  <si>
    <t>Other: Apples, Ambrosia, Apples, Braeburn, Apples, Cameo, Apples, Fuji, Apples, Gala, Apples, Gold, Apples, Granny, Apples, HoneyCrisp, Apples, Jonagold, Apples, Macintosh, Apples, Other, Apples, Pink Lady, Apples, Red Delicious, Apricots, Artichokes, Asparagus, Avocados, Avocados, Bananas, Beans, Beans, Green, Beef, Beets, Berries, Blackberries, Berries, Blueberries, Berries, Cranberries, Berries, Raspberries, Berries, Strawberries, Beverages, Beverages, Bread, Broccoli, Brussels Sprouts, Butter, Cabbage, Carrots, Carrots, Baby Peeled, Cauliflower, Celery, Cheese, Cherries, Chicken, Chips, Cilantro, Citrus, Grapefruit, Citrus, Lemons, Citrus, Limes, Citrus, Oranges, Citrus, Other, Citrus, Tangerines, Coconuts, Condiments, Corn, Cream, Croutons, Cucumbers, Dairy, Other, Dates, Deli, Meats, Deli, Other, Dips, Dressings, Dried Fruit, Fruit, Dried Fruit, Vegetable, Dried Fruit, Vegetable, Non-Produce, Eggplant, Eggs, Exotics, Fruit, Exotics, Vegetable, Figs, Garlic, Garlic Bulbs, Grapes, Greens, Cooking, Greens, Salad, Herbs, Hummus, Juice, Juice, Juice - Lemon Shot, Juice - Lime Shot, Kiwifruit, Lettuce, Lettuce, Leaf, Lettuce, Other, Lettuce, Romaine, Mangos, Meat, Other, Melons, Melons, Watermelon, Milk, Mushrooms, Nectarines, Non-Dairy Beverages, Nuts, Nuts &amp; Seeds, Oil, Vinegar, Onions, Oyster Mushrooms, Papaya, Parsley, Parsnips, Pasta, Peaches, Pears, Peas, Peppers, Bell, Peppers, Bell, Peppers, Hot, Peppers, Other, Persimmons, Pineapples, Plums, Pluots, Pork, Ham, Potatoes, Poultry, Other, Pre-Cut, Fruit, Pre-Cut, Vegetables, Radish, Roma Tomatoes, Salads, Sauce, Sausage, Shitake Mushrooms, Snacks, Soup, Spinach, Sprouts, Squash, Summer, Squash, Winter, Tofu, Tomatoes, Tomatoes, Cherry, Tortilla, Turkey, Turmeric, Turnips, Vegetables, Yams, Yogurt</t>
  </si>
  <si>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</si>
  <si>
    <t>Dairy: Milk (Milk - Bulk)</t>
  </si>
  <si>
    <t>Other: Butter (A2/A2 Regenerative Sea Salted Butter European Style), Butter (A2/A2 Regenerative Unsalted Butter European Style), Cheese (100% Grass-Fed Aged Sharp Cheddar), Milk (2% Reduced Fat Milk), Milk (A2/A2 100% Grass-Fed Milk), Milk (A2/A2 Regenerative 2% Reduced Fat Milk), Milk (A2/A2 Regenerative 4% Chocolate Whole Milk), Milk (A2/A2 Regenerative 4% Whole Milk), Milk (Cafe Style Half &amp; Half), Milk (Chocolate Milk), Milk (Cream), Milk (Heavy Whipping Cream), Milk (Whipping Cream), Milk (Whole Milk), Milk (Dry) (A2/A2 Nonfat Milk Powder - DFA), Milk (Dry) (A2/A2 Nonfat Milk Powder - HC), Milk (Dry) (A2/A2 Whole Milk Powder - DFA), Milk (Dry) (A2/A2 Whole Milk Powder - HC), Milk (Dry) (Nonfat Milk Powder - DFA), Milk (Dry) (Nonfat Milk Powder - HC), Milk (Dry) (Whole Milk Powder - DFA), Milk (Dry) (Whole Milk Powder - HC), Milk (Raw), Milk (Raw) (Raw Lowfat), Milk Products (A2/A2 100% Grass-Fed Probiotic Kefir), Milk Products (A2/A2 100% Grass-Fed Probiotic Lowfat Kefir), Milk Products (A2/A2 MPC85, Milk Protein Concentrate 85% (nonretail)), Milk Products (A2/A2 Probiotic Sour Cream), Milk Products (EggNog), Milk Products (Probiotic Kefir Plain), Milk Products (Probiotic Kefir Vanilla), Whey (A2/A2 Whey Protein Concentrate 80% (Non-retail)), Yogurt (A2/A2 100% Grass-Fed Lowfat Yogurt), Yogurt (A2/A2 100% Grass-Fed Plain Yogurt), Yogurt (A2/A2 100% Grass-Fed Vanilla Bean Yogurt), Yogurt (A2/A2 Plain Whole Milk Yogurt), Yogurt (A2/A2 Vanilla Whole Milk Yogurt), Yogurt (Low Fat Mild Yogurt), Yogurt (Plain Mild Yogurt)</t>
  </si>
  <si>
    <t>Other: Butter Flavor (Butter Buds Asia UC (66946)), Butter Flavor (Non-Dairy Butter Type Flavor (66986)), Buttermilk Flavor (Non Dairy Buds Buttermilk Type (49521)), Cheddar Flavor (Non Dairy Buds Cheddar Type (49522)), Cheese Flavor (Cheese Buds Bleu Type (38212)), Cheese Flavor (Cheese Buds Cheddar LDF (51209)), Cheese Flavor (Cheese Buds Parmesan EX Type (38210)), Cream Flavor (Non Dairy Buds Cream Type CL (49515)), Cream Flavor (Non Dairy Cream Plus Vanilla Type (49527)), Cream Flavor (Non Dairy Cream Type (49508)), Dextrose (MicroGARD 200 CO (Pareve)), Dextrose (MicroGARD 520 CO), Dextrose (MicroGARD 730 CO), Dextrose (MicroGARD CS1-50 CO (Pareve)), Misc. Flavor (Non-Dairy Buds Asia (49537)), Misc. Flavor (X blend Cheddar (66963)), Misc. Flavor (Yogurt Buds CL (66964)), Nonfat Milk Powder (MicroGARD 100 CO)</t>
  </si>
  <si>
    <t>Other: #Brokering of organic cheese and other dairy products, *Cheese: Asiago, *Cheddar, *Cheddar (Colored: Mild, *Medium, *Sharp), *Cheddar Curds, *Colby, *Colby-Jack (Marble), *Traditional Juusto, *Monterey Jack, *Mozzarella (Style), *Muenster, *Muenster (Colored), *Parmesan (Style), *Pepper Jack, *Provolone (Style), *Romano (Style), Part Skim Mozzarella, Provolone, Whole Milk Mozzarella, Low Sodium Mozzarella, Bulk Cream, Bulk Whey, Milk, Whey Cream</t>
  </si>
  <si>
    <t>Other: Dry Milk Powder (Chocolate Dairy Powder), Dry Milk Powder (Egg Nog Powder), Evaporated Cane Juice (Cane sugar)</t>
  </si>
  <si>
    <t>Other: Processing, Bottling and Labeling of Maple Sap, Maple Syrup, and Bourbon-barrel Aged Maple Syrup</t>
  </si>
  <si>
    <t>Dairy: Cheese (Colby), Cheese (Cranberry Cheddar), Cheese (Garlic Cheddar), Cheese (Hot Pepper Jack Cheese), Cheese (Medium Cheddar), Cheese (Mild Cheddar), Cheese (Paradise Cheddar), Cheese (Paradise Reserve Cheddar), Cheese (Unsalted Cheddar), Garlic Cheddar, Herbal Jack, PA Dutch Feta, Paradise Colby, Paradise Gouda, Paradise Reserve, Pepper Jack, Yogurt Cheese</t>
  </si>
  <si>
    <t>Fruits/Vegetables: Beans, Beans, Beans, Beans, Beans, Beans, Beans; Dry/Baking Goods: Flours and Meals, Flours and Meals, Flours and Meals, Flours and Meals, Flours and Meals, Flours and Meals, Flours and Meals, Flours and Meals</t>
  </si>
  <si>
    <t>Animal Feed: Livestock Feed (Poultry Feed: Broiler), Livestock Feed (Turkey Feed: Grower 1), Livestock Feed (Turkey Feed: Grower 2), Livestock Feed (Turkey Feed: Starter)</t>
  </si>
  <si>
    <t>Dairy: Cheese (Black Truffle Chevre, Bozemano Gouda, Cranberry Cinnamon Chevre, Garlic &amp; Chive Chevre, Goat Feta, Olive Medley Chevre, Plain Chevre, Smoked Chevre, Spiced Pepper Chevre, Sundried Tomato Chevre, Whole Mile Ricotta)</t>
  </si>
  <si>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</si>
  <si>
    <t>Other: Agave Syrup, Amaranth Flour (Flour Amaranth Gluten Free), Apple Cider Vinegar, Apple Juice Concentrate, Avocado Oil, Bread Flour, Brokering, Brown Rice Syrup (Brown Rice Syrup 28de), Brown Rice Syrup (Brown Rice Syrup 45de), Brown Sugar (Cane Sugar Light Brown), Brown Sugar (Golden Light), Brown Sugar (Light Brown Sugar), Cane Sugar, Cane Sugar (Golden Gran Raw), Cane Sugar (Golden Gran Raw Cane Sugar Powdered), Cane Sugar - Liquified (Sugar Liquid GG), Canola Oil, Chocolate (Chocolate Wafers Semi Sweet), Cinnamon (Cinnamon Ground 3.0 VO), Cocoa Butter, Cocoa Powder (Alkalized), Cocoa Powder (Cocoa Powder 10/12), Cocoa Powder (Cocoa Powder 20/22), Coconut Chips, Coconut Flour, Coconut Sugar, Concord Grape Juice Concentrate (Grape Juice Concentrate Concord 68 Brix), Corn Starch, Cream (Heavy Cream), Date Paste, Dehydrated Potatoes (Dehydrated Potato Flour), Dextrose, Dried Egg Powder (Egg White Dried), Dry Milk Powder (NFDM), Durum Flour (Flour Extra Fancy Durum Unenriched), Erythritol, Flaxseed Oil, Garbanzo Bean Flour, Garlic (Garlic Granulated), Ginger Puree, Glycerin (Glycerin 99.7% Organic USP/K), Guar Gum, Inulin (Inulin Jerusalem Artichoke), Invert Sugar (Medium Invert Syrup), Jalapeno (Jalapeno Pepper Powder), Lemon Juice, Lemon Juice Concentrate, Lime Juice Concentrate, Maltodextrin (Maltodextrin ), Maltodextrin (Maltodextrin 19de), Millet (Millet Hulled), Millet Flour (Flour Fine Millet Gluten Free), Millet Flour (Flour Millet Gluten Free), Molasses, Oat Bran (Oat Bran Course), Oat Fiber, Oat Flour, Oat Flour (Fine), Oat Flour (Fine Gluten Gree), Oat Flour (Gluten Free), Oat Flour (Gluten Free RTE), Oats (Baby), Oats (Baby Flakes), Oats (Gluten Free RTE), Oats (Quick Gluten Free), Oats (Rolled), Oats (Rolled Flakes Gluten Free), Oats (Rolled Gluten Free), Oats (Thick), Oats (Thick Cut Rolled), Palm (Shortening), Palm Oil (Shortening), Pea Fiber (Pea Hull Fiber), Peanut Butter (Smooth Unsalted), Pomegranate Juice Concentrate, Potato Powder (Flour), Quinoa Flour, Quinoa Flour (Flour Quinoa Treated), Rice Flour (Brown), Rice Protein (Brown Rice Protein Powder), Salted butter, Semolina Flour, Sorghum Flour (Flour Sorghum Gluten Free), Soy Lecithin, Soybean Oil, Sugar, Sugar (Granulated Sugar), Sunflower Oil (High Oleic), Sunflower Seed Kernel (Raw), Sweet Dairy Whey Powder (Dry Sweet Whey Powder), Sweet Potato Powder, Tapioca Maltodextrin (10de), Tapioca Starch, Tapioca Syrup, Tapioca Syrup (28de), Tapioca Syrup (42de), Tapioca Syrup (60de), Tomato Paste, Tomato Paste (HB 31%), Wheat Bran, Wheat Flour (Flour All Purpose), White Vinegar, Whole Wheat Flour, Whole Wheat Flour (Flour Whole Wheat Fine)</t>
  </si>
  <si>
    <t>Other: Blend (A2/A2 Whole Milk Shake - Strawberry Crème), Blend (A2/A2 Whole Milk Shake Banana Blueberry Blast), Blend (A2/A2 Whole Milk Shake Banana Crème), Blend (A2/A2 Whole Milk Shake Mango Pear-adise), Blend (A2/A2 Whole Milk Shake Triple Berry), Blend (A2/A2 Whole Milk Smoothie Orange Squeeze), Blend (Apple Cinnamon Applesauce), Blend (Apple Strawberry Applesauce), Blend (Baby Advanced Nutrition Fruit &amp; Veggie Blend - Ancient Grains &amp; Greens), Blend (Baby Advanced Nutrition Fruit &amp; Veggie Blend - Cauliflower Fields), Blend (Baby Advanced Nutrition Fruit &amp; Veggie Blend - Oats &amp; Roots), Blend (Baby Advanced Nutrition Fruit &amp; Veggie Blend - Power Bowl), Blend (Baby Fruit &amp; Veggie Blend - Apple &amp; Sweet Potato), Blend (Baby Fruit &amp; Veggie Blend - Apple, Banana &amp; Kale), Blend (Baby Fruit &amp; Veggie Blend - Apple, Banana &amp; Kale (with Flax Seed)), Blend (Baby Fruit &amp; Veggie Blend - Apple, Blueberry &amp; Sweet Potato), Blend (Baby Fruit &amp; Veggie Blend - Apple, Carrot, Beet &amp; Ginger), Blend (Baby Fruit &amp; Veggie Blend - Apple, Strawberry, Banana &amp; Beet), Blend (Baby Fruit &amp; Veggie Blend - Peach, Mango, Apple &amp; Squash with Basil), Blend (Baby Fruit &amp; Veggie Blend - Pear, Apple, Cranberry &amp; Beet), Blend (Baby Fruit &amp; Veggie Blend - Pear, Carrot &amp; Mango), Blend (Baby Fruit &amp; Veggie Blend - Pear, Squash &amp; Raspberry), Blend (Baby Fruit &amp; Veggie Blend - Pear, Strawberry &amp; Carrot),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 Baby Oatmeal Blend - Apple), Blend (Dairy-Free - Baby Oatmeal Blend - Banana), Blend (Dairy-Free - Baby Oatmeal Blend - Pear &amp; Blueberry), Blend (Dairy-Free - Coconut Milk Yogurt Alternative - Ba-Nilla), Blend (Dairy-Free - Coconut Milk Yogurt Alternative - Mixed Berry), Blend (Dairy-Free - Coconut Milk Yogurt Alternative - Strawberry Banana), Blend (Dairy-Free - Overnight Oats - Apple &amp; Cinnamon), Blend (Dairy-Free - Overnight Oats - Blueberry), Blend (Dairy-Free - Overnight Oats - Strawberry), Blend (Dairy-Free - Smoothie - Berry Berry (Melange de baies)), Blend (Dairy-Free - Smoothie - Coco for Mangoes), Blend (Dairy-Free - Smoothie - Go-Go Greens (Smoothie Vert)), Blend (Dairy-Free - Smoothie - Strawberry Banana Swirl (Fraise et banane)), Blend (Dairy-Free - Smoothie - Tropical Twirl), Blend (Dairy-Free - Smoothie Peach Sunrise), Blend (Farmer Jen &amp; The Giant Squash), Blend (Farmer Jen's Pumpkin Apple Pie), Blend (Farmer Jen's Pumpkin Oatmeal Cookie), Blend (Farmer Jen's Pumpkin, Apple &amp; Carrot), Blend (Farmer Jen's Sweet Potato Pie), Blend (Fruit &amp; Veggie Blend - Apple Blends ), Blend (Fruit &amp; Veggie Blend - Apple, Banana, Spinach &amp; Avocado), Blend (Fruit &amp; Veggie Blend - Banana Strawberry Beet), Blend (Fruit &amp; Veggie Blend - Blueberry Buckle), Blend (Fruit &amp; Veggie Blend - Cran-Berry Smash), Blend (Fruit &amp; Veggie Blend - Green Kale &amp; Apples with Hemp Seed (Apple, Banana &amp; Kale with Hemp Seed)), Blend (Fruit &amp; Veggie Blend - Mama Blueberry (Apple Sweet Potato Blueberry with Coconut Milk - Pomme patate douce bleuet et lait de coco)), Blend (Fruit &amp; Veggie Blend - Oh My Mega Veggie (Apple Carrot Beet with Ginger &amp; Flax - Pomme carotte betterave et gingembre et lin)), Blend (Fruit &amp; Veggie Blend - Strawberry Patch (Strawberry, Squash, Coconut)), Blend (Fruit &amp; Veggie Blend - Wild Rumpus Avocado (Pineapple Banana Avocado with Mint - Ananas banane avocat et menthe)), Blend (Fruit Blend - Mango), Blend (Fruit Blend - Pear with Ginger), Blend (Immunity Blend - Apple Cherry Elderberry), Blend (Immunity Blend - Blueberry, Banana, &amp; Ginger), Blend (Immunity Blend - Mango Banana Spirulina), Blend (Immunity Blend - Pineapple Banana Dragon Fruit), Blend (Meal Starters - Grains - Ancient Grain Bowl), Blend (Meal Starters - Grains - Sweet Spinach &amp; Barley), Blend (Meal Starters - Legumes - Cajun Beans), Blend (Meal Starters - Legumes - Curried Carrot &amp; Beans), Blend (Meal Starters - Legumes - Greens &amp; Beans), Blend (Meal Starters - Legumes - Mexican Black Beans), Blend (Meal Starters - Legumes - Mint to be Mediterranean), Blend (Meal Starters - Legumes - Reds, Greens &amp; Black Beans), Blend (Meal Starters - Legumes - Veggie Burrito Bowl), Blend (Meal Starters - Veggies - Golden Cauliflower &amp; Carrot), Blend (Meal Starters - Veggies - Mango &amp; Sweet Potato Medley), Blend (Meal Starters - Veggies - Papaya Sunrise), Blend (Meal Starters - Veggies - Peas Pass the Greens), Blend (Meal Starters - Veggies - Ratatouille), Blend (Meal Starters - Veggies - Sofrito &amp; Cauliflower), Blend (Meal Starters - Veggies - Veggie Pot Pie), Blend (Miscellaneous - Apple Sweet Potato Blueberry 7+ months), Blend (Miscellaneous - Pear, Carrot &amp; Mango 7+ months), Blend (Oatmeal &amp; Fruit - Banana Berry Acai), Blend (Oatmeal &amp; Fruit - Mixed Berry Crumble), Blend (Pasta Meals - Cauli-fredo &amp; Spinach), Blend (Pasta Meals- Pomodoro), Blend (Plant-Rich Meals - Blueberry, Carrot &amp; Navy Bean), Blend (Plant-Rich Meals - Butternut Squash, Kale &amp; Quinoa), Blend (Plant-Rich Meals - Quinoa, Pineapple, Cauliflower &amp; Coconut Milk), Blend (Plant-Rich Meals - Sweet Potato, Mango &amp; Coconut Milk), Blend (Plant-Rich Meals - Sweet Potato, Pineapple, Coconut Butter &amp; Date), Blend (Smart Blend - Bananas for Apples &amp; Greens), Blend (Smart Blend - Pear-y Blueberry &amp; Spinach), Blend (Smart Blend - Pine-Apple Berry Punch), Blend (Smart Blend - Ras-pear-y Kale), Blend (Various Multi-Packs of Client Profile Products), Blend (Veggie Blend - Butternut Squash with Cinnamon), Bread (Traditional Herb Stuffing (No Current Production) )</t>
  </si>
  <si>
    <t>Other: Alfalfa (Pellets, Meal), Almond Hulls, Animal Feed (By-O-Reg+), Animal Feed (High Energy Feed Dried Molasses), Animal Feed (PRO Series Organic Premix), Animal Feed (Timothy Pellets/Meal), Barley (Bulk), Beans (Chick Pea Flour), Beans (Garbanzo), Beef (Soup Bone Mix), Blueberries, Broker (Client Profile Products only) (Brokering ), Carrots (Meal), Carrots (Whole), Chia (Black Seeds), Chicken (Meat) (Meal), Coconut (Coconut Flour, Meal), Corn (Bulk, Screenings), Cotton, Cottonseed (Whole), Feed (Dairy Pellet 18%), Feed (Feed Milling Pellets), Feed (Feed Pellet), Feed (Feed Pellet 12%), Feed (Feed Pellet 14%), Feed (Feed Pellet 16%), Feed (Kelp Meal), Feed (Kem Glo Dry), Feed (Oro Glo Dry), Feed (Rice Cake), Feed (Rice Protein), Flax (Flax Seed, Meal, Screenings), Grains (Dried Distillers Grains (DDG)), Grains (Grain Screenings, Mixed Grain Screenings), Grains (Ground Grain, Ground Grain Screenings), Grains (Hominy), Grains (Millrun, Millrun Pellets), Grinding (Client Profile Products only), Handling (Client Profile Products only) (Transloading), Hay (Oat Hay), Lentils, Manufacturing (Client Profile Products Only) (Pelleting ), Meals (Guar), Millet, Milo (Bulk), Milo (White Milo/Sorghum), Mixing (Client Profile Products only) (Blending/Mixing), Molasses (Bulk), Oats (Bulk), Oats (Hulls), Oils (Canola Oil), Oils (Soybean Oil), Oils (Sunflower Oil), Packing (Client Profile Products only) (Packing into Totes), Paprika, Peas, Peas (Bulk), Peas (Pea Protein), Pet Food (Organic Ingredient Blend #1), Pet Food (Organic Ingredient Blend 1900A), Pet Food (Organic Ingredient Blend 1900B), Pet Food (Organic Ingredient Blend 2350 Feline), Pet Food (Organic Premix with Grain 1626), Pet Food (Trouw Nutrition Dog Vitamin Premix Dry, Wet), Potatoes, Potatoes (Pellets), Potatoes (Whole Potato Powder), Pumpkin Seed, Quinoa, Rice, Rice Bran, Rice Cakes, Rice Protein, Rye, Seed (Canola Meal), Seed (Canola Seed), Seed (Rapeseed Meal), Seed (Safflower Meal), Sesame (Seed Meal), Soybeans (Roasted), Soybeans (Soy Hulls, Soy Hull Pellets, Soybean Meal), Soybeans (Whole), Storage, Sugar (Cane), Sunflower Seed ((Meal) Pellets), Sunflower Seed (Black Oil Sunflower), Sunflower Seed (Meal), Sweet Potatoes (Meal), Sweet Potatoes (Pellets), Sweet Potatoes (Whole Sweet Potato Powder), Sweet Potatoes (Whole Sweet Potatoes), Tapioca (Starch), Triticale (Triticale), Wheat (Bulk, Wheat Screenings, Wheat Bran)</t>
  </si>
  <si>
    <t>Processed  Items: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Fruits/Vegetables: Beans; Beverage Related Products: Non-Dairy Milk, Non-Dairy Milk, Non-Dairy Milk, Tea, Tea, Tea, Tea, Tea, Tea; Other: Flavored Water</t>
  </si>
  <si>
    <t>Animal Feed: Livestock Feed (14% Beef Grower), Livestock Feed (16% Dairy Feed), Livestock Feed (17% Layer Feed No. 1), Livestock Feed (17% Layer Feed No. 2), Livestock Feed (17% Layer Feed No. 3), Livestock Feed (18% Hog Grower), Livestock Feed (19% Broiler Grower), Livestock Feed (22% Broiler Starter), Livestock Feed (Alfalfa Pellets), Livestock Feed (Corn), Livestock Feed (Custom Dairy Feed), Livestock Feed (Custom Hog Feed), Livestock Feed (Custom Layer Mash), Livestock Feed (Flax Meal), Livestock Feed (Oats), Livestock Feed (Roasted Soybeans), Livestock Feed (Soybean Meal)</t>
  </si>
  <si>
    <t>Other: Beans, Bread, Cheese, Chocolate, Dairy, Dates (Medjool), Dried Fruits, Eggs, Flour, Fresh Fruit, Frozen Fruits, Grains, Greens, Herbs, Lentils, Milk Products, Mushrooms, Nut Butter, Nuts, Oils, Pasta, Rice, Seeds, Snack Foods, Spices, Sweetener, Vegetables, Vegetables (Frozen)</t>
  </si>
  <si>
    <t>Other: Agave,Nectar,Organic, PL, Alphabet Soup, Amy's GF Pizza Crust Drive Thru, Amy's Gluten Free Single Serve Pizza Crust, Drive Thru, Amy's Gluten Free Tortilla, Drive Thru, Amy's Gluten Free Vegan Cheeze Pizza with Margherita Sauce DT, Amy's Organic Gluten Free, Vegan Single Serve Cheeze Pizza with Margherita Sauce, Amy's Rice Mac &amp; Cheese with Broccoli, Drive Thru, Amy's Rice Mac &amp; Cheese, Drive Thru, Amy's Single Serve Pizza Crust, Drive Thru, Amy's Tofu Fresh, Drive-Thru (WIP), Amy's Vegan Cheeze Pizza with Margherita Sauce, Drive Thru, Amy's Vegan Single Serve Cheese Pizza with Margherita Sauce, Drive Thru, Amy's Vegan Wheat Pizza Crust, DT, Asian Dumpling Bowl, Black Bean Chili, Black Bean Vegetable Soup, Black-Eyed Pea &amp; Kale Gumbo, Braised Greens &amp; 4 Cheese Pizza, Butternut Squash Soup, Butternut Squash Soup Light in Sodium, California Breakfast Scramble, Carrot Ginger Soup, Carrots, Pickled (WIP), Cheese Pizza, Chile Relleno Casserole Bowl, Chili Mac Bowl, Chunky Tomato Bisque Soup, Chunky Tomato Bisque Soup Light in Sodium, Chunky Vegetable Soup, Chunky Vegetable Soup, Reduced Sodium, Cream of Mushroom Soup, Cream of Tomato Soup, Cream of Tomato Soup Light in Sodium, Curried Lentil Soup, Family Size Pad Thai, Family Size Pesto Tortellini, Fire Roasted Southwestern Vegetable Soup, Fire Roasted Southwestern Vegetable Soup, Light in Sodium, Flour,Potato,Organic,KSA, Flour,Rice,White,Dusting,Org,KSA, Four Cheese Pizza, Gluten Free Bean &amp; Cheese Burrito, Gluten Free Bean &amp; Rice Burrito, Gluten Free Bean &amp; Rice Burrito 8pk Club, Gluten Free Cheese Veggie Crust Pizza, Gluten Free Dairy Free Rice Mac &amp; Cheeze, Gluten Free Dairy Free Vegetable Lasagna, Gluten Free Garden Vegetable Lasagna, Gluten Free Indian Aloo Mattar Wrap, Gluten Free Italiano Four Cheese Pizza, 8pk, Gluten Free Mac &amp; Cheeses with Cauliflower, Gluten Free Rice Mac &amp; Cheese, Gluten Free Spinach Veggie Crust Pizza, Gluten Free Tofu Scramble Breakfast Wrap, Gluten Free Vegan Chili Mac Bowl, Gluten Free Vegan Classic Breakfast Burrito, Gluten Free Vegan Meatless Pepperoni Pizza, Hash Browns WIP, Hearty French Country Vegetable Soup, Hearty French Country Vegetable Soup, Reduced Sodium, Hearty Minestrone with Vegetables Soup, Hearty Rustic Italian Vegetable Soup, Hearty Rustic Italian Vegetable Soup, Reduced Sodium, Hearty Spanish Rice and Red Bean Soup, Homestyle Breakfast Scramble with Veggie Sausage, Indian Golden Lentil Soup, Indian Mattar Paneer, Indian Palak Paneer, Lentil Soup, Lentil Soup Light in Sodium, Lentil Vegetable Soup, Lentil Vegetable Soup Light in Sodium, Margherita Pizza, Medium Chili, Medium Chili Light in Sodium, Mexican Breakfast Scramble, Minestrone Soup, Minestrone Soup Light in Sodium, Mushroom Bisque with Porcini, Mushroom Olive Pizza, Oil,Olive,ExtraVirgin,Organic,PL, Oil,Sunflower Hi Oleic,Organic,PL, Organic 3 Bean Chili with Vegetables, Organic Dal Makhani Soup, Organic Emma's Black Beans, Organic Indian Golden Lentil Soup, Organic Italian Pasta Fagioli Soup, Organic Vegetable Jambalaya, Pad Thai, Pasta, Rice Spaghetti, Fresh WIP, Penne with Mushrooms &amp; Spinach Bowl, Pesto Tortellini Bowl, Pesto WIP, Pink Bean &amp; Rice Soup, Potato Flakes,Organic,PL, Quinoa Black Bean Bowl, Light, Quinoa, Kale &amp; Red Lentil Soup, Ravioli Bowl, Refried Beans with Green Chilis, Refried Black Beans, Refried Black Beans Light in Sodium, Rice,Bran,Extract,Organic,KSA, Roasted Vegetable Pizza, Spicy Chili, Spicy Chili Light in Sodium, Spinach Pizza, Spinach Ravioli Bowl, Split Pea Soup, Split Pea Soup Light in Sodium, Starch,Tapioca,Organic,KSA, Sweet &amp; Sour Noodles Bowl, Light, Thai Coconut Soup, Thai Curry Sweet Potato Lentil Soup, Thai Green Curry, Thai Red Curry, Three Cheese Kale Bake Bowl, Tofu (For Internal Use), Tofu Scramble, Tomato Bisque Soup, Tomato Bisque Soup Light in Sodium, Tortilla Casserole Bowl, Traditional Refried Beans, Traditional Refried Beans Light in Sodium, Vegan Butternut Squash Soup, Vegan Chunky Tomato Bisque, Vegan Margherita Pizza, Vegan Mushroom Bisque, Vegan Spinach Ravioli Bowl, Vegan Wheat Supreme Pizza, Vegetable Barley Soup, Vegetable Lasagna, Vegetable Lasagna Club 6 Pack, Vegetarian Baked Beans, Vegetarian Chipotle Baked Beans, Vegetarian Western Baked Beans, Veggie Combo Pizza, Veggie Loaf Whole Meal, Vietnamese Banh Mi Wrap, WIP Breadcrumbs, WIP Pasta for Tortellini, Amy's Fresh, WIP Pasta, Lasagna, Amy's Fresh, WIP Pasta, Macaroni, Amy's Fresh, WIP Pasta, Rice Lasagna, Amy's Fresh, WIP Pasta, Rice Macaroni, Amy's Fresh</t>
  </si>
  <si>
    <t>Other: 3 Cheese Penne Bowl, Light, Amy’s Black Bean Vegetable Enchilada, Drive Thru, Amy’s Cheese Enchilada, Drive Thru, Amy's Breakfast Burrito Tofu Filling Drive Thru, Amy's Breakfast Vegetables Drive Thru, Amy's Brown Rice, Drive Thru, Amy's Burrito Sauce, Drive Thru, Amy's Cheese Sauce, Drive Thru, Amy's Chili and Beans, Drive Thru, Amy's Chipotle Salsa, Drive Thru, Amy's Chocolate Syrup, Amy's Chunky Tomato Bisque, Drive-Thru, Amy's Cinnamon Roll, Drive Thru, Amy's Everything Bagel Drive Thru, Amy's Fresh Tofu, Drive Thru, Amy's Fruit Compote, Drive Thru, Amy's Ginger Mint Concentrate, Amy's Gluten Free Breadcrumbs, Drive Thru, Amy's Gluten Free Oatmeal Drive Thru, Amy's Gluten Free Rounds, Drive Thru, Amy's Gluten Free Vegan Cinnamon Roll, Drive Thru, Amy's Gluten Free Veggie Burger, Drive Thru, Amy's Gluten Free Veggie Sausage Breakfast Patty Drive Thru, Amy's Hash Brown Patty Drive Thru, Amy's Lentil Vegetable Soup, Drive-Thru, Amy's Margherita Sauce, Drive Thru, Amy's Oregano, Coarse, Drive-Thru, Amy's Oregano, Ground, Drive-Thru, Amy's Pasilla Chili, Drive-Thru, Amy's Plain Bagel Drive Thru, Amy's Raisin Cinnamon Bagel Drive Thru, Amy's Red Bean Burrito Filling, Drive Thru, Amy's Roasted Breakfast Potatoes Drive Thru, Amy's Simple Syrup, Drive Thru, Amy's Strawberry Compote, Drive Thru, Amy's Tamari (Platinum), Drive-Thru, Amy's Tamari, Drive-Thru WIP, Amy's Tofu Breakfast Patty Drive Thru, Amy's Tofu, Drive-Thru WIP, Amy's Tortilla Soup Drive Thru, Amy's Vegan Cinnamon Roll, Drive Thru, Amy's Veggie Burger, Drive Thru, Amy's Veggie Sausage Breakfast Patty Drive Thru, Amy's Wheat Tortilla, Drive Thru, Amy's Wood Smoked Paprika, Drive-Thru, Asian Dumpling Bowl, Bean &amp; Cheese Burrito, Bean &amp; Cheese Burrito 4-Pack, Bean &amp; Rice Burrito 4-Pack, Bean &amp; Rice Burrito Non Dairy, Black Bean and Cheese Burrito, Black Bean Tamale Verde, Black Bean Vegetable Burrito, Black Bean Vegetable Enchilada, Black Bean Veggie Burger, Broccoli and Cheddar Bake Bowl, Broccoli Pot Pie, Burger, Cooked, Veggie Loaf (#53), California Breakfast Scramble, California Breakfast Wrap, California Veggie Burger, Cheese Enchilada, Cheese Pizza Snacks, Chile Relleno Casserole Bowl, Family Size Pad Thai, Family Size Roasted Poblano Enchilada, Garam Masala Spice Blend, Garlic, Pickled, In-House, Gluten Free Bean &amp; Cheese Burrito, 12 PK, Gluten Free Bean &amp; Rice Burrito, Gluten Free Rice Mac &amp; Cheese, Greek Red Rice &amp; Veggies, Greek Spanakopita Wrap, Hash Browns WIP, Homestyle Breakfast Scramble with Veggie Sausage, Indian Mattar Paneer, Indian Samosa Wrap, Indian Vegetable Korma, Mac &amp; Cheese Snacks, Mashed Potatoes WIP, Meatless Pepperoni, Steam, Bucket Transfer, Mexican Breakfast Scramble, Mexican Casserole Bowl, Moroccan Tagine Wrap, Moroccan Vegetable Tagine, Nacho Snacks, Noodles,PadThai,Rice,Dry,LowTapiocaStarch,Organic,KSA, Okara (soy fiber) (WIP), Pad Thai, Penne with Mushrooms &amp; Spinach Bowl, Pesto Cheese Snacks, Pesto Tortellini Bowl, Quinoa Black Bean Bowl, Light, Ranchero Breakfast Burrito, Refried Beans, WIP, Rice,Arborio,White,Risotto,Organic,KSA, Sauce, Sweet Chile, Puree, Bagged, Frozen, Scramble Breakfast Wrap, Sonoma Veggie Burger, Southwestern Burrito, Thai Green Curry, Thai Red Curry, Tofu (for Internal Use), Tofu Scramble, Tofu Whey, Tomatillo,Whl,Esmeralda,Can,Org,PL, Tortilla Casserole Black Bean Bowl, Vegan Bean &amp; Cheeze Burrito, Vegan Cheeze Pizza Snacks, Vegan Tortilla Casserole Bowl, Vegetable Pot Pie, Veggie Loaf Whole Meal, Veggie Sausage, Gluten Free, Baked, Frozen (Lbs)</t>
  </si>
  <si>
    <t>Other: #Processing, packaging, and labeling of feed products and custom feeds., Feed Blends: Andersen's Organic AK Poultry Premix Plus, 2-1 'O' Dairy Mineral, 14% 'O' Calf/Heifer Grower, 16% 'O' RSTD Calf Starter/Grower, 17% 'O' Poultry Layer/Grower, 20% 'O' Poultry Starter, 'O' Dry Cow Mineral, 'O' Goat Mineral, 'O' Heifer Mineral, 'O' Kelp/Salt Blend, 'O' Probiotic Plus Yeast/Kelp, Single-ingredient products: alfalfa pellets, barley, corn, flax meal, kelp, molasses, oats, peas, roasted corn, roasted oats, roasted soybeans, sesame meal, soybeans, soybean meal, soybean oil, sunflower meal, wheat, wheat midds</t>
  </si>
  <si>
    <t>Processed  Items: Banana Chips*, Butter (Coconut Butter), Cassava Chips*, Coconut amino sauce*, Coconut Aminos Recipe 1*, Coconut Aminos Recipe 2*, Coconut Aminos*, Coconut Butter*, Coconut catsup*, Coconut Chips (unsweetened)*, Coconut chips coated with coconut syrup, Coconut chips coated with coconut syrup*, coconut Chips Raw, Coconut Chips- Raw*, coconut chips toasted, coconut chips toasted (salted caramel), Coconut Chips Toasted (Salted Caramel)*, Coconut chips toasted *, Coconut chips unsweetened, Coconut cider vinegar*, Coconut Cookie*, Coconut Drink*, Coconut Flour*, Coconut Jam *, Coconut Jerky, Coconut Jerky *, Coconut Liquid Aminos*, Coconut milk multi ingredient*, Coconut Milk Powder*, Coconut milk/cream (multi-ingredient)*, Coconut nectar/syrup*, Coconut Pita Bread, Coconut Pita Bread*, Coconut salad dressing*, Coconut Sap Aminos Sauce*, Coconut sap vinegar*, Coconut Sap*, Coconut Snack Bar*, Coconut Sugar (single ingredient)*, Coconut Tortilla Chips (Salted Caramel)*, Coconut Tortilla Chips*, Coconut Vinegar (Multi-ingredient)*, Coconut Water Concentrate, Coconut water concentrate*, Coconut Water syrup, Coconut Water Syrup*, Coconut Water Vinegar*, Coconut Wrap, Coconut Wrap*, Cookies (coconut cookie), Culinary Oil (VCO)*, Desiccated coconut - chips, Desiccated coconut*, Dried banana, Dried banana*, Dried Cassava, Dried Cassava*, Dried Coconut Meat, Dried Coconut Meat*, Extra Virgin Coconut Oil*, Flours and Meals (Banana Flour), Flours and Meals (Cassava Flour), Flours and Meals (Banana Flour*), Flours and Meals (Cassava Flour*), Flours and Meals (coconut flour), Fresh Coconut meat*, Jam (Coconut Jam), Medium Chain Triglyceride (MCT) Oil (VCO)*, Mixed Drinks (coconut drink), Non-Dairy Milk (Coconut milk multi ingredient), Non-Dairy Milk (Coconut Milk Powder), Non-Dairy Milk (Coconut milk/cream (multi ingredient)), Packaged Snacks and Chips (Coconut Snack Bar), Packaged Snacks and Chips (Banana Chips), Packaged Snacks and Chips (Coconut Tortilla Chips), Packaged Snacks and Chips (Coconut Trtilla Chips (salted caramel)), Packaged Snacks and Chips (Cassava Chips), Raw Virgin Coconut Oil*, Refined coconut oil*, Salted Coconut Chips Toasted, Salted Coconut Chips Toasted*, Sweeteners (Coconut sap aminos sugar), Sweeteners (Coconut Sugar (single ingredient)), Vinegar (Coconut Vinegar (multi ingredient)), Vinegar (Coconut sap vinegar), Vinegar (coconut cider vinegar), Vinegar (Coconut water vinegar), Young coconut water*; Oils &amp; Oleoresins: Oils (Culinary Oil (VCO)), Oils (Medium Chain Triglyceride), Oils (Raw Virgin Coconut Oil), Oils (Refined coconut oil), Oils (Extra Virgin Coconut Oil); Nuts/Seeds: Fresh Coconut meat; Condiments and Sweeteners: Coconut amino sauce, Coconut Aminos, Coconut Aminos Recipe 1, Coconut AMinos Recipe 2, Coconut Liquid aminos, Dressing (Coconut salad dressing), Ketchup (Coconut Catsup), Sweeteners (Coconut nectar/syrup); Beverage Related Products: Young coconut water</t>
  </si>
  <si>
    <t>Other: AUTHENTIC TORTILLA CHIPS LITTLE DIPPERS, BLUE CHIPS NO SALT, BLUE CHIPS WITH SEA SALT, BLUE CORN RED HOT BLUES TORTILLA CHIPS, BLUE CORN SESAME BLUES TORTILLA CHIPS, BLUE CORN TACO DINNER KIT, BLUE CORN TACO SHELLS, BLUE CORN TACO SHELLS, BLUE CORN TACO SHELLS, BLUE CORN TACO SHELLS, BLUE CORN TACO SHELLS, BLUE CORN TORTILLA CHIP, BLUE CORN TORTILLA CHIP NO SALT ADDED, BLUE CORN TORTILLA CHIP SALTED, BLUE CORN TORTILLA CHIPS, BLUE CORN TORTILLA CHIPS, BLUE TORTILLA CHIPS SALTED, Chia &amp; Quinoa Thin And Crisy Tortilla Chips, CLASICO TORTILLA CHIPS JALAPEÑO LIME, HAWAIIAN HABANERO TORTILLA CHIP, JALPEÑO LIME TORILLA CHIPS, MAIZ BLUE CORN TOTOPOS CORN TORTILLA CHIPS, MAIZ CORN TACO SHELLS, MAIZ CORN TORTILLA CHIPS DAIRY FREE MEXICAN STREET CORN, MAIZ CORN TORTILLA CHIPS TACO SEASONING, MAIZ LIME TOTOPOS CORN TORTILLA CHIPS, MAIZ SEA SALT TOTOPOS CORN TORTILLA CHIPS, MEXICAN STREET CORN TORTILLA CHIPS, MINI YELLOW CHIPS CORN TORTILLA CHIPS, MULTIGRAIN SWEET POTATO, MULTIGRAIN TORTILLA CHIPS, MULTIGRAIN WITH SEA SALT, RED HOT BLUES CHIPS, RESTAURANT STYLE SALTED TORTILLA CHIPS, RESTAURANT STYLE UNSALTED TORTILLA CHIPS, SEA SALT &amp; LIME RESTAURANT STYLE TORTILLA CHIPS, SEA SALT MULTIGRAIN TORTILLA CHIPS, SEA SALT THIN AND CRISPY TORTILLA CHIPS, SESAME BLUES CHIPS, SNACK REPUBLIC CHICKPEA SEA SALT TORTILLA CHIPS, SNACK REPUBLIC CHICKPEA SPICY CHILI TORTILLA CHIPS, TACO SHELLS BLUE CORN, TACO SHELLS YELLOW CORN, TACO SHELLS YELLOW CORN, THIN &amp; CRISPY WHITE CORN TORTILLA CHIPS, TORTILLA CHIPS BLUE TOTOPOS SEA SALTED, Tortilla Chips Multigrain Sea Salt &amp; Lime, TORTILLA CHIPS WHITE TOTOPOS SEA SALTED, VEGGIE STRAWS, WHITE CHIPS, WHITE CHIPS CORN TORTILLA CHIPS WITH A TOUCH OF LIME, WHITE CORN TORTILLA CHIPS, WHITE CORN TORTILLA CHIPS, WHITE CORN TORTILLA CHIPS, WHITE CORN TORTILLA CHIPS, WHITE CORN TORTILLA CHIPS SALTED, WHITE TORTILLA CHIPS SALTED, WICKED HOT SPICY TORTIILLA CHIPS, YELLOW CHIPS CORN TORTILLA CHIPS, YELLOW CHIPS WITH SEA SALT, YELLOW CORN TACO DINNER KIT, YELLOW CORN TACO SHELLS, YELLOW CORN TACO SHELLS, YELLOW CORN TACO SHELLS, YELLOW CORN TACO SHELLS, YELLOW CORN TACO SHELLS, YELLOW CORN TORTILLA CHIPS, YELLOW CORN TORTILLA CHIPS, YELLOW CORN TORTILLA STRIPS, YELLOW TORTILLA CHIPS, YELLOW TORTILLA CHIPS SALTED</t>
  </si>
  <si>
    <t>Processed  Items: De-husked Coconut, Desiccated Coconut; Preservatives/Extracts/Flavors: Maltodextrin, Non-Dairy Milk (Vegan coconut milk powder (60 - 65% fat – O-A060-01), Vegan coconut milk powder (min 50% fat – O-A050-01), Vegan coconut milk powder (min 45% fat – O-A045-01), Vegan coconut milk Powder (62-68% fat – O-A062-01), Vegan coconut milk powder (min 50% fat – O-A050-02), Vegan coconut milk powder (min 40% fat – O-A040-01), Vegan coconut milk powder (min 40% fat – O-A040-02), Vegan coconut milk powder (min 30% fat – O-A030-01), Vegan coconut milk powder (min 30% fat – O-A030-02)), Powders (Coconut Water Powder (Multi-1)); Fruits/Vegetables: Coconut Meat; Beverage Related Products: Coconut Cream (Pasteurized - Single), Coconut Cream (UHT - Multi Ingredients 1), Coconut Cream (UHT - Multi Ingredients 2), Coconut Cream (UHT – Single 1), Coconut Cream (UHT - Single), Coconut Milk (UHT- Multi ingredients), Coconut Milk (UHT -Single), Coconut Milk (UHT-Single-2), Coconut Water (Pasteurized - Single), Coconut Water (UHT - Multi Ingredients), Coconut Water (UHT - Single), Juice (Fresh Coconut Flower Blossom/ Fresh Coconut Flower Juice (UHT-Single)), Organic Coconut Water mixed Organic Coconut Cream (UHT – Multi ingredients - 1); Other: Coconut fruit, Raw Coconut Water</t>
  </si>
  <si>
    <t>Beverage Related Products: 100% Organic Coconut Water, 100% Pasteurized Coconut Milk (COR53N), Coconut Cream (COM11N), Coconut Cream (COP02N), Coconut Cream (COP04N), Coconut Milk - Light (COC02N), Coconut Milk (COG01N) , Coconut Milk (COG02N), Coconut Milk (COI01N) , Coconut Milk (COM09N), Coconut Milk (COM11N), Light Coconut Cream (COI01N) , Light Coconut Milk (COG01N) , Organic Coconut Milk (COM03N), Organic Coconut Milk (COM15N), Organic Coconut Milk (COM16N), Organic Light Coconut Milk (COC02N), Organic Pasteurized Coconut Milk - Fat 17% - 19% (COM51N), Coconut Cream (COP03N), Coconut Milk (COM20N); Other: Non-Dairy Milk (Premium Coconut Milk Unsweetened (COM15N))</t>
  </si>
  <si>
    <t>Other: Almond Hulls (Almond Hulls), Barley (Barley), Corn (Corn), Cottonseed (Cottonseed), Feed (Dairy Feed), Feed (Grain Pellet), Feed (Mixed Commodity), Feed (Poultry Feed), Feed (Protein Pellet), Feed (Swine Feed), Feed (Zinpro Pellet), Flax Seed (Flax Seed Meal), Grains (Canola Meal), Grains (Dried Distillers Grains), Grains (Flaked Quinoa), Grains (Millrun Meal), Grains (Mixed Grain Screenings), Livestock Feed Processing (Client Profile Products only) (Custom organic blends), Millet (Millet), Molasses (Cane Molasses), Oats (Oats), Peas (Peas), Rye (Rye), Soybean Oil (Soybean Oil), Soybeans (Soy Hull Pellets), Soybeans (Soybean Meal), Sunflower Seed (Meal), Wheat (Wheat), Wheat (Wheat Straw)</t>
  </si>
  <si>
    <t>Dairy: Milk (Cultured Milk: Gerber - Yogurt Base - Banana Strawberry), Milk (Cultured Milk: Gerber - Yogurt Base - Red Berries)</t>
  </si>
  <si>
    <t>Dairy: Milk (Bulk Raw)</t>
  </si>
  <si>
    <t>Dairy: Milk</t>
  </si>
  <si>
    <t>Dairy: Milk (Raw Bulk)</t>
  </si>
  <si>
    <t>Dairy: Milk (Milk - Bulk Raw Milk)</t>
  </si>
  <si>
    <t>Animal Feed: Livestock Feed (All Purpose Ruminant, Beef Mineral Supplement, Dairy Calf Replacer, Dairy Cattle Protein, ENC ORG Beef Premix, ENC ORG Sheep Premix, Expell Soya Meal - Imported, Feed Pro, Horse/Pony, Min Pro Maximise Low Salt, MinPro 250, MinPro 500, MinPro Grow, MinPro Sustain, NOP - FeedPro, Ruminant, All Purpose, Dairy Goat, Lamb Fattener, Lamb Sheep, Ruminant - NOP, Sheep Mineral Supplement), Livestock Feed (Grain Gradings, Lamb Fattener - 100% Organic, Lamb Feed, MinPro Boost, Post Harvest Husks/Hulls, Soya Meal, Sunflower Meal)</t>
  </si>
  <si>
    <t>Processed  Items: Coconut cream (24% fat)*, Coconut desiccated chips, Coconut desiccated chips*, Coconut desiccated extra fine, Coconut desiccated extra fine*, Coconut desiccated fancy shred, Coconut desiccated fancy shred*, Coconut desiccated flakes, Coconut desiccated flakes*, Coconut desiccated macaroon, Coconut desiccated macaroon*, Coconut desiccated medium, Coconut desiccated medium*, Coconut desiccated natural blend, Coconut desiccated natural blend*, Coconut desiccated rice cut, Coconut desiccated rice cut*, Coconut desiccated toasted sweetened chips, Coconut desiccated toasted sweetened chips*, Coconut desiccated toasted sweetened extra fine, Coconut desiccated toasted sweetened extra fine*, Coconut desiccated toasted sweetened fancy shred, Coconut desiccated toasted sweetened fancy shred*, Coconut desiccated toasted sweetened flakes, Coconut desiccated toasted sweetened flakes*, Coconut desiccated toasted sweetened macaroon, Coconut desiccated toasted sweetened macaroon*, Coconut desiccated toasted sweetened medium, Coconut desiccated toasted sweetened medium*, Coconut desiccated toasted sweetened rice cut, Coconut desiccated toasted sweetened rice cut*, Coconut desiccated toasted unsweetened chips, Coconut desiccated toasted unsweetened chips*, Coconut desiccated toasted unsweetened extra fine, Coconut desiccated toasted unsweetened extra fine*, Coconut desiccated toasted unsweetened fancy shred, Coconut desiccated toasted unsweetened fancy shred*, Coconut desiccated toasted unsweetened flakes, Coconut desiccated toasted unsweetened flakes*, Coconut desiccated toasted unsweetened macaroon, Coconut desiccated toasted unsweetened macaroon*, Coconut desiccated toasted unsweetened medium, Coconut desiccated toasted unsweetened medium*, Coconut desiccated toasted unsweetened rice cut, Coconut desiccated toasted unsweetened rice cut*, Coconut milk (raw)*, Coconut Milk Powder (CMP-GDF) Recipe 02*, Coconut Milk Powder (CMP-GDF)*, Coconut Water (multi ingredients)*, Coconut water natural*, Non-Dairy Milk (Coconut cream (24% fat)), Non-Dairy Milk (Coconut milk (raw)), Non-Dairy Milk (Coconut milk 10%), Non-Dairy Milk (Coconut milk 17%), Non-Dairy Milk (Reduced fat coconut milk), Non-Dairy Milk (Coconut Milk Powder (CMP-GDF)), Non-Dairy Milk (Coconut Milk Powder (CMP-GDF) Recipe 02), Pressed Coconut Water*, Reduced fat coconut*; Nuts/Seeds: Coconuts (Coconuts*); Beverage Related Products: Coconut Water (multi ingredients), Coconut water natural, Pressed Coconut Water</t>
  </si>
  <si>
    <t>Other Grains, Pastas and Cereals: Dried Oat Protein, Whole Grain Brown Rice Concentrate; Nuts/Seeds: Hemp Protein; Beverage Related Products: Non-Dairy Milk; Other: Pumpkin Seed Protein, Rice Protein, Sacha Inchi Protein</t>
  </si>
  <si>
    <t>Other: Grain Drying, Cleaning &amp; Storage, Yellow corn, Soybeans, Soft red winter wheat, Triticale, Roasted Soybeans</t>
  </si>
  <si>
    <t>Beverage Related Products: Juice (Apple Juice), Juice (Arugula Hempseed), Juice (Banana Bok Choy), Juice (Basil Watermelon), Juice (Beet Cucumber), Juice (Carrot Coconut), Juice (Carrot Cucumber), Juice (Carrot Ginger), Juice (Cilantro Celery), Juice (Cinnamon Yam), Juice (Coconut Lemon Ginger), Juice (Creamy Cold Brew), Juice (Dandelion), Juice (Dark Greens), Juice (Gingered Green), Juice (Green Matcha Blend), Juice (Lemon &amp; Greens), Juice (Lemon Ginger), Juice (Lemon Water), Juice (Pure Celery), Juice (Pure Coconut Water), Juice (Pure Ginger), Juice (Pure Orange), Juice (Red Pepper Melon), Juice (Red Pepper Pine Nut), Juice (Seasonal Greens), Juice (Spinach Apple), Juice (Sweet Fennel), Juice (Turmeric &amp; Beets), Non-Dairy Milk (Apple Almond Milk), Non-Dairy Milk (Blueberry Milk), Non-Dairy Milk (Chai Almond Milk), Non-Dairy Milk (Chocolate Peanut Butter), Non-Dairy Milk (Chocolate Peppermint Almond Milk), Non-Dairy Milk (Cinnamon Superfood), Non-Dairy Milk (Coconut Almond Milk), Non-Dairy Milk (Coffee Almond), Non-Dairy Milk (Deep Chocolate), Non-Dairy Milk (Elderberry Milk), Non-Dairy Milk (Honey Turmeric), Non-Dairy Milk (Lavender Latte), Non-Dairy Milk (Maple Chocolate Milk), Non-Dairy Milk (Mocha), Non-Dairy Milk (Peach Milk), Non-Dairy Milk (Pear Milk), Non-Dairy Milk (Pumpkin Milk), Non-Dairy Milk (Pure Almond Milk), Non-Dairy Milk (Spiced Banana), Non-Dairy Milk (Strawberry Milk), Non-Dairy Milk (Sweet Celery), Non-Dairy Milk (Vanilla Honey Almond Milk), Non-Dairy Milk (Vanilla Mint), Other Beverage Related Products - Banana Bok Choy Popsicle, Other Beverage Related Products - Basil Watermelon Popsicle, Other Beverage Related Products - Blueberry Popsicle, Other Beverage Related Products - Chocolate Peanut Butter Popsicle, Other Beverage Related Products - Chocolate Peppermint Popsicle, Other Beverage Related Products - Cinnamon Apple Popsicle, Other Beverage Related Products - Coconut Lemon Ginger Popsicle, Other Beverage Related Products - Coffee Almond Popsicle, Other Beverage Related Products - Deep Chocolate Popsicle, Other Beverage Related Products - Elderberry Elixir, Other Beverage Related Products - Feel Better Elixir, Other Beverage Related Products - Immune Support, Other Beverage Related Products - Immunity Elixir, Other Beverage Related Products - Lemon Ginger Banana Popsicle, Other Beverage Related Products - Lemon Ginger Popsicle, Other Beverage Related Products - Pineapple Jalapeno Smoothie, Other Beverage Related Products - Pumpkin Cold Brew, Other Beverage Related Products - Pure Turmeric Elixir, Other Beverage Related Products - Sinus Support, Other Beverage Related Products - Skin Elixir, Other Beverage Related Products - Spiced Banana Popsicle, Other Beverage Related Products - Spinach Apple Popsicle, Other Beverage Related Products - Strawberry Banana Popsicle, Other Beverage Related Products - Strawberry Popsicle, Other Beverage Related Products - Wellness Elixir</t>
  </si>
  <si>
    <t>Other: Corn (Ground), Corn (Rolled), Feed (14% All Purpose Organic), Feed (16 % Layer Crumble 0209-20, 0209-40), Feed (16 % Layer Pellet 0208-20, 0208-40), Feed (16% Swine Grower), Feed (17% Hi-Energy Layer Crumble), Feed (17% Hi-Energy Layer Pellet), Feed (17% Hi-Energy Poultry Pellet), Feed (17% Layer Pak Pellet), Feed (17% Soy Free Layer), Feed (18% Poultry Mini-Pellet), Feed (18% Starter Grower 0210-20, 0210-40), Feed (20% Boiler/Grower), Feed (20% Boiler/Grower - No Soy), Feed (20% Chick Crumble), Feed (22% Protein Salt Pak ORDW), Feed (25% Gamebird Crumble), Feed (25.5% Protein Salt Pak), Feed (27% Gamebird Crumble), Feed (3 Way Scratch), Feed (Agolin Naturu), Feed (Alfalfa Pellets), Feed (Almond Hulls (Bulk)), Feed (Beef Finisher 12%), Feed (Beef Hi Pak OPHP), Feed (Beef Maker 14%), Feed (Beef Pak Hi Mag), Feed (Beef Pak Hoof and More), Feed (Beef Pak Supreme), Feed (Beef Super Pak), Feed (Black Oil Sunflower Seeds), Feed (Calf 18%), Feed (Calf Mix 16% OHM16), Feed (Canola Meal), Feed (Cattle Plus DE Pak), Feed (Custom Livestock Feed Blends), Feed (Dairy Buffer Mineral), Feed (Dairy Mix 12% O12), Feed (Dairy Mix 12% OD12), Feed (Dairy Mix 12% ODM12), Feed (Dairy Mix 13% ODM13), Feed (Dairy Mix 14% OD14), Feed (Dairy Mix 14% ODM14), Feed (Dairy Mix 15% ODM15), Feed (Dairy Mix ODJW), Feed (Dairy Mix w/MOS ODMC), Feed (Delight Treat Pak (with nonorganic insects)), Feed (Dry Cow Pak), Feed (Flax Seed), Feed (Heifer Mineral), Feed (Heifer Mix ORH), Feed (Heifer Pak Mineral), Feed (Hi Mag Super Pak), Feed (Lactating Buffer Pak w/SQM), Feed (Liquid Molasses), Feed (North Coast Dry Cow), Feed (North Coast Repro Pack), Feed (Otey Swine Grower TOMO), Feed (PCS Organic Mineral), Feed (Pete's Valley Organic Mineral), Feed (Power Pak), Feed (Power Super Pak OPP), Feed (Pullet PreLayer), Feed (Range Mineral), Feed (Sonoma Layer Pellet OP18S), Feed (Soybean Meal), Grain Processing (Client Profile Products only) (Grain rolling &amp; grinding), Wheat (Whole)</t>
  </si>
  <si>
    <t>Other: Callets 1000CT CHD-CA-5000101-A33, Cassava Fiber, Chocolate liquor, Unsweetened, Cocoa Beans, Cocoa Butter, Cocoa Cake Processed With Alkali - 100513-225, Cocoa Liquor, Cocoa Powder, Coconut Oil, RBD 7228, Coconut Sugar, Dairy free Semi-sweet chocolate CHD-CA-5000101-047, Dairy free Semi-sweet chocolate CHD-CE-5125461-050, Dairy free Semi-sweet chocolate CHD-CU-5069701-050, Dairy free Semi-sweet chocolate CHD-CU-5134201-045, Dairy free Semi-sweet chocolate CHD-DR-5000105-064, Dairy free semi-sweet chocolate CHD-DR-5000105-A33, Dairy free Semi-sweet chocolate CHD-DR-5000106-050, Dairy free Semi-sweet chocolate CHD-DR-5000110-064, Dairy free Semi-sweet chocolate CHD-DR-5069701-064, Dairy free Semi-sweet chocolate CHD-DR-5125461-050, Dairy free Semi-sweet chocolate CHD-DR-5125561-050, Dairy free Semi-sweet chocolate CHD-DR-5131001-050, Dairy free Semi-sweet chocolate CHD-DR-5131002-050, Dairy free semi-sweet chocolate CHD-DR-5194401-050, Dairy Free Semi-Sweet Chocolate CHD-EZ-5000102-050, Dairy free Semi-sweet chocolate CHD-EZ-5027701-050, Dairy free Semi-sweet chocolate CHD-EZ-5104901-050, Dairy free Semi-sweet chocolate CHD-EZ-5184701-050, Dairy free semi-sweet chocolate CHD-EZ-5193701-050, Dairy free Semi-sweet chocolate CHD-F19A581-02-050, Dextrose Monohydrate, Heavy Cream, Whole Milk 3625/3620, Organilla Vanilla Extract, Rice Syrup Powder Sipadry 32, Salted Butter 3052, Semi-sweet chocolate CHD-CU-5104902-A92, Semi-sweet chocolate CHD-DR-5069711-A92, Semi-sweet chocolate CHD-DR-5125501-A92, Semi-sweet Chocolate CHD-Q65MADN-2B-U73, Soya Lecithin, Soybean Oil 7988, Sugar, Tapioca Syrup 2477, Vegetable Fat (Palm Kernel) 33-83 RSPO, Vegetable Fat (Palm) 44-47 RSPO, Whole Milk Powder 28.5%</t>
  </si>
  <si>
    <t>Other: #Custom packaging, distribution, and private labeling of food products., *Baby Gourmet Mushies: Banana Berry with Greek Yogurt, *Beetberry with Coconut Cream, *Fruity Greens, * Baby Gourmet Melties Blueberry, *Sweet Potato, *&amp; Coconut Cream, *Baby Gourmet Melties Fruity Greens and Coconut Cream., Cosmic Carrot Chews: Sour Cherry Berry Blast, Apple Cinnamon Asteroid, Orange Mango Moonbeam, Good&amp;Gatherbaby: Organic freeze-dried mixed berry yogurt bites, Organic freeze-dried strawberry &amp; banana yogurt bites, Organic freeze-dried Variety Pack (Strawberry &amp; banana, and Mixed berry)., Happybaby Organic Creamies: Apple, spinach, pea &amp; kiwi, Apple, sweet potato, &amp; kiwi, Strawberry, butternut squash, &amp; banana, Strawberry, raspberry &amp; carrot., Happybaby Organic Freeze-Dried Greek Yogis: Blueberry &amp; purple carrot, Strawberry banana., Happybaby Organic Freeze-Dried Yogis: Banana &amp; mango, Mixed Berry, Strawberry, Yogis Variety Pack (4Pack)-Mixed Berry and Strawberry., HappyTot Multi-Grain Cookies: Strawberry, Vanilla;, Once Upon a Farm: Organic &amp; Dairy-Free Coconut Melts Mango Ba-nilla, Organic &amp; Dairy-Free Coconut Melts Mixed Berry, Organic &amp; Dairy-Free Coconut Melts Strawberry Banana; Organic Smoothie Melts Blueberry Burst, Organic Smoothie Melts Tropical Greens;, Parent's Choice Fruit &amp; Veggie Bites: Coconut, Blueberry, &amp; Banana;, Snack products: Organic Birthday Cake Heavenly Hunks Minis, Organic Oatmeal Dark Chocolate Heavenly Hunks Minis., Trader Joe's Red Quinoa, Trader Joe's Tricolor Quinoa, Trader Joe's White Quinoa., Tricolor Quinoa, Whole Grain Quinoa</t>
  </si>
  <si>
    <t>Other: #Processing, packaging, and labeling of cheese and meat; Distribution of beef pork and eggs., A2 Cheese Curds, Whey., Canned beef, Distribution of beef and pork - assorted cuts, ground meat, Distribution of eggs</t>
  </si>
  <si>
    <t>Other: 1.34278 Almond Type Extract, Natural, 1.42543 Almond Type Flavor OS, Natural, 100.38454 Onion Flavor OS, Natural, 100.39477 Chive Type Flavor OS, Natural, 101.38070 Citrus Flavor WONF OS, Natural, 101.48103 Orange Flavor OS, Natural, 101.51985 Orange, Blood Flavor WONF, Natural, 101.84225 Orange Flavor WONF, Natural, 101.84377 YUZU-CARDAMOM TYPE FLAVOR, NATURAL, 101.84378 Clementine Type Flavor, Natural, 102.36587 Papaya Type Flavor, Natural, 103.37615 Passionfruit Flavor WONF, Natural, 103.42183 Soursop Type Flavor, Natural, 103.56814 Passionfruit Flavor WONF SD, Natural, 103.57323 Passionfruit Flavor WONF, Natural, 103.84228 POMEGRANATE TYPE FLAVOR, NATURAL, 105.40849 Peach Type Flavor, Natural, 105.51225 Peach Flavor WONF, Natural, 105.52668 Peach Flavor WONF, Natural, 105.84226 PEACH TYPE FLAVOR, NATURAL, 107.84244 Pear Flavor WONF, Natural, 109.35136 Peanut Butter Type Flavor OS, Natural, 109.35136 Peanut Type Flavor OS, Natural, 109.40603 Peanut Butter Type Flavor Powder, Natural, 11.38928 Soy Masking Type Flavor, Natural, 11.40165 Beef, Roast Type Flavor Powder, Natural, 11.53385 Beef Stock Flavor WONF SD, Natural, 11.54689 Beef Broth, 11.54887 Beef Flavor, 11.55000 Beef Flavor, 112.41859 Aji Amarillo Flavor OS, Natural, 112.41859 Pepper, Aji Amarillo Type Flavor OS, Natural, 112.42277 Pepper, Green Hatch Type Flavor OS, Natural, 112.43870 Pepper, Red Chili Type Flavor OS, Natural, 112.49901 Pepper, Habanero Type Flavor, Natural, 112.51891 Pepper, Jalapeno Type Flavor, Natural, 112.56360 Pepper, Jalapeno Flavor WONF, Natural, 113.40551 Mint Flavor WONF, Natural, 113.40553 Mint Flavor WONF, Natural, 113.47671 Peppermint Flavor, Natural, 113.84223 Mint Type Flavor, Natural, 115.49592 Pineapple Type Flavor, Natural, 115.84000 Pineapple Type Flavor, Natural, 115.84227 Pineapple Type Flavor, Natural, 118.50303 Pizza Type Flavor OS, Natural, 120.40107 Pork, Roast Type Flavor OS, Natural, 120.40107 Rost Type Flavor OS, Natural, 123.38071 Fruit Punch Type Flavor OS, Natural, 123.41690 Citrus Flavor WONF, Natural, 123.48792 Punch, Hawaiian Type Flavor, Natural, 125.42659 Raspberry Flavor WONF Powder, Natural, 125.45266 Raspberry Flavor WONF, Natural, 125.48140 RASPBERRY FLAVOR WONF, NATURAL, 125.53155 Raspberry Flavor, WONF Natural, 125.84229 RASPBERRY TYPE FLAVOR, NATURAL, 125.84230 RASPBERRY TYPE FLAVOR, NATURAL, 125.84243 Raspberry Type Flavor, Natural FN-80035, 127.42695 Root Beer Type Flavor, Natural, 127.84440 ROOIBOS RED EXTRACT, NATURAL, 13.42181 Berry Type Flavor, Natural, 13.50119 Berry Pomegranate Flavor WONF SD, Natural, 13.52086 Berry Pomegranate Flavor WONF SD, Natural, 13.52446 Berry Flavor WONF, Natural, 13.52619 Berry, Mixed Flavor WONF, Natural, 13.55905 Beet Enhancer Type Flavor Natural, 13.55905 Hibiscus Flavor WONF Natural, 13.56643 Elderberry Type Flavor, Natural, 13.59895 Berry, Summer Type Flavor, Natural, 13.84237 Wildberry Type Flavor, Natural FN-80034, 131.44439 Spearmint Flavor WONF, Natural, 132.31602 Flavor Enhancer OS, Natural For Salt Replacement, 132.39479 Parsley Flavor OS, Natural, 132.39587 Cardamom Flavor, Natural, 132.39590 Elderflower Type Flavor, Natural, 132.39751 Miso Type Flavor, Natural, 132.41287 Sumac Type Flavor OS, Natural, 132.41441 Soy Sauce Type Flavor OS, Natural, 132.42694 Thyme Flavor, Natural, 132.43812 Coriander Flavor WONF, Natural, 132.48949 Natural Flavor Enhancer, 132.50182 DILLWEED FLAVOR WONF OS, NATURAL, 132.60169 Basil/Sundried Tomato Type Flavor OS, Natural, 133.52606 Strawberry Flavor WONF, Natural, 133.53947 Strawberry Type Flavor, Natural, 133.54513 Strawberry Type Flavor OS, Natural, 133.56320 Strawberry Flavor WONF SD Natural, 133.57933 Strawberry Lemongrass Flavor WONF, Natural, 133.84231 STRAWBERRY TYPE FLAVOR, NATURAL, 133.84232 STRAWBERRY TYPE FLAVOR, NATURAL, 134.40370 Sugar Type Flavor, Natural, 134.47467 Brown Sugar Flavor WONF SD, Natural, 134.58936 Brown Sugar Type Flavor OS, Natura, 137.38500 Tea, Thai Type Flavor, Natural, 137.52582 Green Tea Flavor WONF, Natural, 137.55030 Tea, Jasmin Type Flavor, Natural, 140.41839 Bitterness Type Flavor, Natural, 140.56773 Rose Flavor WONF, Natural, 140.57938 Lychee Type Flavor, Natural, 141.38565 Lavender Flavor WONF, Natural, 141.43277 Chamomile Flavor WONF, Natural, 141.44233 Cherimoya Type Flavor, Natural, 141.45170 Masking Flavor, Natural, 141.48551 Sweetness Enhancer Type Flavor SD, Natural, 141.48852 SWEETNESS ENHANCER TYPE FLAVOR, NATURAL, 141.50169 Booster Type Flavor SD, Natural, 141.50421 Sweetness Enhancer Type Flavor, Natural, 141.51673 Sweetness Enhancer Type Flavor Powder, Natural, 141.56805 Sweet Booster Flavor, Natural, 141.84220 MASKING AGENT TYPE FLAVOR, NATURAL, 141.84221 Masking Agent Type Flavor, Natural, 141.84222 MASKING AGENT TYPE FLAVOR, NATURAL, 142.36318 Tomato Flavor WONF (Juicy Type) OS, Natural, 142.36765 Tomato Flavor WONF (Fresh Vine Ripe Type), Natural, 142.37997 Ketchup Type Flavor OS, Natural, 142.39974 Tomato Flavor WONF (Juicy Type) OS, Natural, 143.32831 Vanilla Flavor WONF SD, Natural, 143.37453 Vanilla Flavor WONF, Natural, 143.40408 Vanilla Extract 2x, Pure, 143.51935 Natural French Vanilla Type Flavor, 143.52351 Vanilla Type Flavor OS, Natural, 143.52352 Vanilla Type Flavor OS, Natural, 143.56663 Vanilla Type Flavor, Natural, 143.56763 Vanilla Cream Type Flavor OS, Natural, 143.84236 Vanilla, Creamy Type Flavor, Natural, 149.44797 Watermelon Type Flavor, Natural, 149.48065 Watermelon Flavor WONF, Natural, 149.59630 Watermelon Type Flavor OS, Natural, 15.42542 Blackberry Type Flavor OS, Natural, 15.48125 Blackberry Flavor WONF, Natural, 15.52451 Blackberry Flavor WONF, Natural, 15.57717 Blackberry Flavor WONF, Natural, 15.84207 Blackberry type Flavor, Natural, 151.40439 Champagne Type Flavor, Natural, 151.40439 Wine, White Sauvignon Type Flavor, Natural, 151.50582 Vinegar, Balsamic Flavor WONF, Natural, 17.29272 Blueberry Flavor WONF, Natural, 17.39003 Blueberry Flavor WONF OS, Natural, 17.47867 BLUEBERRY FLAVOR WONF, NATURAL, 17.52628 Blueberry Maple Flavor WONF, Natural, 17.58843 Acai Berry Type Flavor, Natural, 17.84208 Blueberry Type Flavor, Natural, 17.84209 Blueberry, Wild Type Flavor, Natural, 18.41735 Bread Type Flavor OS, Natural, 21.41584 Tequila Type Flavor, Natural, 21.43851 Gin Type Flavor, Natural, 23.35943 Butter Type Flavor OS, Natural, 23.37168 Mouthfeel Type Flavor OS, Natural, 23.38905 Butter Type Flavor SD, Natural, 23.38906 Fat Mouthfeel Type Flavor Powder, Natural, 23.50632 Butter Type Flavor OS, Natural, 235.53588 Chicken Broth, 235.57762 Chicken Flavor, 235.58034 Chicken Broth, 235.58656 Chicken Broth, 25.44698 Butterscotch Biscotti Type Flavor, Natural, 29.59152 Toffee Caramel Type Flavor OS, Natural, 29.84210 Caramel Type Flavor, Natural, 2900550 Ethyl Lactate, Eu Natural 1% In Organic Ethanol, 2900888 ALOE VERA POWDER 200X, 2901063 Dragon Fruit Essence, 3.37521 Apple Type Flavor OS, Natural, 3.37521 Apple, Honey Crisp Type Flavor OS, Natural, 3.37521 Green Apple Type Aroma OS, Natural, 3.37665 Apple Flavor WONF, Natural, 3.37927 Apple Type Flavor OS, Natural, 3.37927 Apple, Fuji Type Flavor, OS, Natural, 3.40885 Apple Flavor WONF OS, Natural, 3.49139 Apple Flavor WONF, Natural, 3.52409 Apple Flavor WONF, Natural, 3.52411 Apple Flavor WONF, Natural, 3.53920 Apple Flavor WONF, Natural, 3.59148 Apple Flavor WONF, Natural, 31.37740 Cheese, Bleu Type Flavor OS, Natural, 31.37741 Cheese, Parmesan Type Flavor OS, Natural, 31.41024 Cheese, Bleu Type Flavor Powder, Natural, 31.41025 Cheese, Parmesan Type Flavor Powder, Natural, 31.41026 Cheese, Cheddar Sharp Type Flavor Powder, Natural, 31.41026 Cheese, Cheddar Type Flavor Powder, Natural, 31.41027 Cheese, Pepper Jack Type Flavor Powder, Natural, 33.51504 Cherry Type Flavor OS, Natural, 33.84175 Cherry Flavor WONF, Natural, 35.38722 Chicken Type Flavor, Natural, 35.38723 Chicken Type Flavor, Natural, 35.39918 CHICKEN , LIVER TYPE FLAVOR POWDER, NATURAL, 35.39918 Chicken, Roasted Type Flavor Powder, Natural, 35.40707 Turkey, Smoked Type Flavor Powder, Natural, 35.49553 Chicken Type Flavor OS, Natural, 35.54903 Turkey Broth, 35.54904 Turkey Flavor, 35.55096 Chicken Flavor, 35.55148 Turkey Flavor, 37.54385 Chocolate Flavor WONF SD, Natural, 37.84211 Chocolate Type Flavor, Natural, 39.44917 CINNAMON FLAVOR WONF OS, NATURAL, 39.54076 Cinnamon Toast Crunch Type Flavor, Natural, 40.42693 Clove Flavor WONF, Natural, 41.37550 Coconut Type Flavor, Natural, 41.84212 Coconut Type Flavor, Natural, 42.42880 Cloud SD, Natural, 43.43603 Coffee Flavor WONF Powder, Natural, 43.84213 COFFEE FLAVOR WONF, NATURAL, 45.53998 Cola, Pepper Type Flavor, Natural, 45.54001 Cola Type Flavor, Natural, 46.37067 Carrot Type Flavor OS, Natural, 46.37067 Pumpkin Type Flavor OS, Natural, 46.37152 Pumpkin Type Flavor OS, Natural, 46.38561 Spinach Type Flavor OS, Natural, 46.38650 AVOCADO FLAVOR WONF OS, NATURAL, 46.39588 Rhubarb Type Flavor, Natural, 46.39591 Pumpkin Pie Type Flavor, Natural, 46.39591 Pumpkin Spice Type Flavor, Natural, 46.43765 Kale Type Flavor OS, Natural, 46.43880 Celery Seed Flavor WONF, Natural, 47.38422 Ranch Type Flavor OS, Natural, 47.38423 Sour Cream Type Flavor OS, Natural, 47.47265 CREAM, CHANTILLY TYPE FLAVOR, NATURAL, 47.55315 Cream, Chantilly Type Flavor, Natural, 48.31506 Cranberry Type Flavor OS, Natural, 49.39611 Cucumber Flavor WONF OS, Natural, 49.56076 Cucumber Flavor WONF Natural, 56.39472 Seafood Type Flavor OS, Natural, 56.39472 Shrimp Type Flavor OS, Natural, 56.39487 Anchovy Type Flavor, Natural, 56.39604 Anchovy Type Flavor, Natural, 57.29700 Garlic Flavor OS, Natural, 57.38549 Garlic Flavor WONF (Aged Black Type) OS, Natural, 57.60361 GARLIC FLAVOR WONF OS, NATURAL, 59.55902 Ginger Extract, Natural, 59.56117 Ginger Flavor Extract, Natural, 61.43019 Grape Type Flavor, Natural, 61.84215 Grape Type Flavor, Natural, 63.49951 Grapefruit Flavor WONF, Natural, 64.37570 Guava Type Flavor, Natural, 64.50146 Kiwi Type Flavor, Natural, 64.50181 Kiwi Type Flavor, Natural, 64.56796 Guava, Pink Type Flavor SD, Natural, 65.41319 Prickly Pear Type Flavor, Natural, 65.49855 DRAGONFRUIT TYPE FLAVOR, NATURAL, 70.40130 Sage Flavor WONF Ws, Natural, 70.44983 Cilantro Flavor WONF OS (Fresh Type), Natural, 70.60179 Rosemary Flavor (Fresh Type) Natural, 70.60179 Rosemary Flavor WONF (Fresh Type), Natural, 71.37871 Honey Type Flavor, Natural, 71.47525 HONEY TYPE FLAVOR SD, NATURAL, 71.49619 Honey Flavor WONF, Natural, 71.58820 Honey Lemon Type Flavor OS, Natural, 71.58820 Lemon Flavor WONF OS, Natural, 71.58935 Honey Lemon Type Flavor OS, Natural, 75.49482 LEMON FLAVOR WONF OS, NATURAL, 75.52886 Lemon Flavor WONF, Natural, 75.54532 Lemon Flavor WONF OS, Natural, 75.84154 Lemon Flavor WONF, Naturall, 79.49985 Lime Flavor WONF, Natural, 79.55392 Lime Flavor SD, Natural, 79.84217 Lime Flavor WONF, Natural, 85.36568 Mango Type Flavor, Natural, 85.51531 Mango Flavor WONF, Natural, 85.52746 Mango Flavor WONF SD, Natural, 85.57692 Mango Flavor WONF, Natural, 85.84218 Mango Type Flavor, Natural FN-80015, 87.56820 Maple Flavor WONF OS, Natural, 87.56824 Maple Flavor WONF OS, Natural, 9.50905 Banana Flavor WONF, Natural, 9.50908 Banana Flavor WONF, Natural, 9.84206 BANANA TYPE FLAVOR, NATURAL, 91.37548 Dairy Flavor Milk Type, Natural, 95.40504 Truffle, Black Type Flavor OS, Natural, 97.40873 Mustard, Dijon Flavor WONF OS, Natural, 97.53150 Mustard Flavor WONF Powder, Natural</t>
  </si>
  <si>
    <t>Processed  Items: Non-Dairy Milk (Coconut milk original F10/ Coconut milk beverage/ Coconut drink); Oils &amp; Oleoresins: Oils (Extra Virgin Coconut Oil), Oils (Coconut oil/ Virgin coconut oil/ Unrefined virgin coconut oil); Fruits/Vegetables: Coconut; Beverage Related Products: Azul coconut water, Coconut juice, Coconut Water, Coconut water with pineapple juice F6, Natural coconut water, Non-Dairy Milk (Realcoco Coconut Milk Unsweetened), Non-Dairy Milk (Frozen coconut cream/ coconut milk), Non-Dairy Milk (Light coconut milk 5-7 % fat F4), Non-Dairy Milk (Light Coconut Milk 5-7% Fat F5), Non-Dairy Milk (Light coconut milk 8-10% Fat F3), Non-Dairy Milk (Coconut milk 10-12% fat F3), Non-Dairy Milk (Coconut milk 12-14% Fat F4), Non-Dairy Milk (Coconut milk 14-16% Fat F2), Non-Dairy Milk (Coconut milk 17-19% Fat F12), Non-Dairy Milk (Coconut milk 17-19% fat F15), Non-Dairy Milk (Coconut milk 17-19% fat F16), Non-Dairy Milk (Coconut milk 17-19% fat F17), Non-Dairy Milk (Coconut milk 17-19% Fat F18), Non-Dairy Milk (Coconut milk 18% fat F1), Non-Dairy Milk (Coconut milk/ Coconut cream 20-22% Fat F11), Non-Dairy Milk (Coconut milk/ coconut cream 20-22% fat F13), Non-Dairy Milk (Coconut milk/ coconut cream 20-22% fat F14), Non-Dairy Milk (Coconut milk/ Coconut cream 21-23% Fat F1), Non-Dairy Milk (Coconut milk/ coconut cream 22-24% fat F2), Non-Dairy Milk (Coconut milk/ coconut cream 22-24% fat F3), Non-Dairy Milk (Coconut milk/ coconut cream 22-24% fat F4), Non-Dairy Milk (Coconut milk/ Coconut cream 24-26% Fat F1), Non-Dairy Milk (Coconut milk/ Coconut cream 24-26% Fat F2), Non-Dairy Milk (Coconut milk/ coconut cream 24-26% fat F3), Non-Dairy Milk (Coconut extract/ Coconut Cream/ Coconut Milk), Non-Dairy Milk (Coconut milk 10-12% fat F2), Non-Dairy Milk (Coconut milk 10-12% fat F5), Non-Dairy Milk (Coconut milk 12-14% Fat F1), Non-Dairy Milk (Coconut milk 12-14% Fat F3), Non-Dairy Milk (Coconut milk 14-16% Fat F1), Non-Dairy Milk (Coconut milk 17-19% Fat F1), Non-Dairy Milk (Coconut milk 17-19% Fat F6/ Coconut liquid 17-19% Fat), Non-Dairy Milk (Coconut milk 17-19% Fat F7), Non-Dairy Milk (Coconut milk 8-10% fat F4), Non-Dairy Milk (Coconut milk F4), Non-Dairy Milk (Coconut milk original F9/ Coconut beverage/ Coconut drink), Non-Dairy Milk (Coconut Milk Original Premium F1), Non-Dairy Milk (Coconut Milk Original Premium F2), Non-Dairy Milk (Coconut milk/ Coconut cream 20-22% Fat F4), Non-Dairy Milk (Coconut milk/ Coconut cream 20-22% Fat F7), Non-Dairy Milk (Coconut milk/ Coconut cream 22-24% Fat F1), Non-Dairy Milk (Light coconut milk 5-7% Fat F1), Non-Dairy Milk (Light coconut milk 5-7% Fat F2), Non-Dairy Milk (Coconut milk 17-19% fat F4, Coconut milk original F3/ Coconut milk beverage/ Coconut drink, Coconut milk 17-19% fat F11, Coconut milk/ coconut cream 20-22% fat F15, Coconut milk 17-19% fat F19, Coconut milk 12-14% fat F5, Coconut milk 17-19% fat F20, Coconut milk/ coconut cream 20-22% fat F16), Pure coconut water F1, Pure coconut water F2, Pure coconut water F3, Pure coconut water F4, Raw coconut water, Realcoco Coconut Water Pressed F1, Realcoco pure coconut water, Vuco coconut water; Other: Desiccated coconut (fine grade), Desiccated coconut (medium grade), Raw coconut husk, Raw coconut meat, Raw coconut shell</t>
  </si>
  <si>
    <t>Other: Custom Grazing of Animals, Milk (Raw)</t>
  </si>
  <si>
    <t>Other: Organic: Berleberg Cheese, Bottled Milk, Cornmeal, Crowdie Cheese, Dried Apples, Dried Cherry Tomatoes, Dried Lemon Balm, Dried Oregano, Haymakers Cheese, Lovely Young Cheese, Popcorn, Short Round Cheese, Soft Ripened Cheese, Yogurt</t>
  </si>
  <si>
    <t>Processed  Items: Powders (Chocolate Peanut Butter Powder, Peanut Butter Powder, Vegan PBfit Plus Chocolate), Powders (Chocolate Peanut Butter Powder, Peanut Butter Powder, Vegan PBfit Plus Chocolate); Other Grains, Pastas and Cereals: Oats (Overnight, Overnight Peanut Butter, Protein, Quick, Rolled), Quinoa (Quinoa); Oils &amp; Oleoresins: Oils (Liquid Coconut Oil, Extra Virgin Coconut Oil, Virgin Coconut Oil), Oils (Avocado Oil, Coconut Aminos, Coconut MCT Oil, Coconut Oil Naturally Refined, Extra Virgin Coconut Oil, Refined Coconut Oil, Coconut Oil, Virgin Coconut Oil); Nuts/Seeds: Seeds (Super Seeds, Chia Seeds,); Health Products: Powders (Acai Powder, Cacao Powder, Chlorella Powder, Goldenberry Powder, Ground Flaxseed, Maca Powder, Moringa Powder, Mushroom Powder (Chaga, Cordyceps), Spirulina Powder, Turmeric Powder,), Powders (Antioxidant Fruit &amp; Fiber, Cacao Powder, Goji Powder, Plant Protein, Plant Protein Natural Unflavored, Greens Blend, Reds Blend, Superfood Powder, Superfood Blend with Protein International Blend, Superfood Blend with Protein, Superfruit Powder, Based Superfood Protein Meal Vanilla Kiss, Organic &amp; Raw Sprouted Ground Flax Seed, Organic &amp; Raw Triomega Superfood, Vegan Complete Protein); Dry/Baking Goods: Flours and Meals (Coconut Flour, Coconut Gluten-Free Flour), Flours and Meals (Coconut Flour, Oat Flour Blend, Peanut Flour), Sugar (Coconut Palm Sugar, Coconut Sugar,); Condiments and Sweeteners: Honey (Honey), Sweeteners (Monk Fruit Eyrthritol Blend), Syrups (Agave Nectar, Blue Agave), Vinegar (Coconut Sap Vinegar, Coconut Vinegar); Beverage Related Products: Non-Dairy Milk (Oatsome Oat Milk Original, Oatsome Oat Milk Chocolate), Powders (Plant Based Superfood (Vanilla, Chocolate)), Powders (Energy Green Coffee &amp; Maca, Keto Creamer)</t>
  </si>
  <si>
    <t>Other: Almond Milk (Almondmilk - Black Sesame), Almond Milk (Almondmilk - Unsweetened Original), Almond Milk (Almondmilk - Unsweetened Pistachio), Almond Milk (Barista Almond and Oatmilk), Almond Milk (Cacao Almond Latte), Almond Milk (Chocolate Almond), Almond Milk (Classic Cold Brew Almond Latte), Almond Milk (Golden Chai Tea Almond Latte), Almond Milk (Holiday Nog ), Almond Milk (Matcha Green Tea Almond Latte), Almond Milk (Mint Mocha Almond Milk Latte), Almond Milk (Mocha Cold Brew Almond Latte), Almond Milk (Pumpkin Spice Almond), Almond Milk (Pumpkin Spice Almond Milk Latte), Almond Milk (Strawberry Matcha Almond Milk Latte), Almond Milk (Thai Tea Almond Latte), Almond Milk (Unsweet Almond), Almond Milk (Unsweetened Vanilla Bean), Almond Milk (Vanilla Almond), Almond Milk (Vanilla Cold Brew Almond Latte), Cashew Milk (Blue Magic Cashew Milk), Cashew Milk (Cacao), Cashew Milk (Golden Turmeric Coconut Cashew Milk), Cashew Milk (Shroom Coffee With Cashew Milk, Lions Mane and Reishi), Cashew Milk (Unsweetened), Cashew Milk (White), Coconut Milk (Unsweetened), Coffee (Blonde Boosted Flash Brew Coffee), Coffee (Bold Boosted Flash Brew Coffee), Coffee (Breakfast Boosted Flash Brew Coffee), Coffee (Cold Brew Coffee Light Roast), Coffee (Cold Brew Coffee Medium Roast), Coffee (Cold Brew Coffee Vanilla), Dairy Alternative (Extra Creamy Buckwheat Milk ), Dairy Alternative (Hint of Vanilla Buckwheat Milk ), Dairy Alternative (Original Buckwheat Milk), Oat Milk (Chocolate), Oat Milk (Oatmilk with Seeds), Oat Milk (Original ), Oat Milk (Vanilla ), Other Beverages (Awake Protein Lion's Mane Cold Brew), Other Beverages (Awake Protein Lion's Mane Lavender Tea Latte), Other Beverages (Awake Protein Lion's Mane Matcha Latte), Other Beverages (Berry Immunity), Other Beverages (Berry Roots ), Other Beverages (Blue Essentials ), Other Beverages (Cacao Essentials), Other Beverages (Chocolate Banana Meal Shake), Other Beverages (Chocolate Fudge), Other Beverages (Chocolate Keto), Other Beverages (Chocolate Protein Collagen Meal Shake), Other Beverages (Coconut Macaroon Protein), Other Beverages (Cold Brew Keto), Other Beverages (Cold Brew Latte), Other Beverages (Costco Protein Dark Chocolate + Gut Health), Other Beverages (Digest Me ), Other Beverages (Energize Me ), Other Beverages (Golden Mind), Other Beverages (Heal Me ), Other Beverages (Java Shake Meal Shake), Other Beverages (Maca Cold Brew), Other Beverages (Maca Mocha), Other Beverages (Matcha Fuel), Other Beverages (Matcha Latte), Other Beverages (Protect Me ), Other Beverages (Protein - Chocolate), Other Beverages (Protein - Coffee Bean), Other Beverages (Protein - Vanilla Cinnamon), Other Beverages (Protein Chocolate Peanut Butter Banana), Other Beverages (Protein Chocolate Vanilla Twist), Other Beverages (Protein Cold-Brew), Other Beverages (Protein Cookies &amp; Creme), Other Beverages (Protein Dark Chocolate), Other Beverages (Protein Dark Cocoa), Other Beverages (Protein Hazelnut Chocolate), Other Beverages (Protein Lemon Cake), Other Beverages (Protein Oatmeal Cookie), Other Beverages (Protein Peanut Butter &amp; Jelly), Other Beverages (Protein Peanut Butter Banana), Other Beverages (Protein Peppermint Dark Chocolate ), Other Beverages (Protein Pina Colada), Other Beverages (Protein Salted Caramel), Other Beverages (Protein Strawberries &amp; Creme), Other Beverages (Protein Tropical Coconut), Other Beverages (Protein Vanilla), Other Beverages (Reishi Chocolate), Other Beverages (Spiced Pumpkin Pie Protein), Other Beverages (Strawberry Omega Force Meal Shake), Other Beverages (Super Chai Fuel), Other Beverages (Super Ube Glow), Other Beverages (Tropical Greens), Other Beverages (Vanilla Dream), Other Beverages (Vanilla Matcha Latte With E3 Live Spirulina and Greens), Other Beverages (Vanilla Power), Other Beverages (Vanilla Protein Collagen Meal Shake), Plant Based Creamer (Caramel Almond Creamer), Plant Based Creamer (Lightly Sweetened Oat Creamer), Plant Based Creamer (Vanilla Almond Creamer), Smoothie (Coconut Milk Smoothie Starter), Smoothie (Oat Milk Smoothie Starter), Smoothie (Revive Reishi Vanilla), Soy Milk (Unsweetened)</t>
  </si>
  <si>
    <t>Dairy: Cheese (Organic Mendonça)</t>
  </si>
  <si>
    <t>Dairy: Cheese (New Zealand Sliced White Cheddar Cheese); Other: Cutting Cheese, Labeling Cheese, Packaging Cheese</t>
  </si>
  <si>
    <t>Other: Grain Blend (Pea Blend 112221A), Seasoning Blend (010224A Maple Dijon Type Seasoning), Seasoning Blend (010824C Sweet Onion Seasoning), Seasoning Blend (010924E Fiery Hot Seasoning), Seasoning Blend (011525H Blazin’ Hot Cheddar Seasoning),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(061324K Sea Salt and Cracked Pepper Seasoning), Seasoning Blend (061724D Elote Seasoning), Seasoning Blend (062424B Vegan Cheesy Cauliflower Seasoning), Seasoning Blend (062724J Spanish Style Rice Seasoning),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Organic Sweet and Spicy Vegan Ranch Seasoning), Seasoning Blend (080624N Vegan Garden Ranch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(120516D Seasoning Wasabi Type ), Seasoning Blend (120823B Spicy Korean Barbecue Seasoning), Seasoning Blend (121323C Barbecue Seasoning), Seasoning Blend (121323E Sea Salt and Cracked Pepper Seasoning), Seasoning Blend (121523G Organic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012120B), Seasoning Blend (Barbecue Seasoning 091316B ), Seasoning Blend (Barbecue Seasoning 091819E),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(Everything Bagel Seasoning 093019E), Seasoning Blend (Garden Salsa Seasoning 081022C), Seasoning Blend (Green Chile Seasoning 022515-B), Seasoning Blend (Habanero Seasoning 110421B),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061522C), Seasoning Blend (Jalapeno Cornbread Seasoning 081022N), Seasoning Blend (Jalapeno Lime Seasoning 022823B), Seasoning Blend (Jalapeno Lime Seasoning 041316B), Seasoning Blend (Jalapeno Lime Seasoning 120915-A), Seasoning Blend (Korean BBQ Seasoning 050322E),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(Nacho Seasoning 112216C), Seasoning Blend (Non Dairy Cheddar Seasoning 101216B), Seasoning Blend (Peach Mango Seasoning 111721A),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(Roasted Onion &amp; Garlic Seasoning 042315-B), Seasoning Blend (Rosemary Seasoning 072115-C), Seasoning Blend (Salsa Seasoning 020723C),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(Smoke Flavor 062222G), Seasoning Blend (Sour Cream &amp; Onion Seasoning 091819D), Seasoning Blend (Sour Cream &amp; Onion Seasoning 123114-B), Seasoning Blend (Spicy Blend 011022C), Seasoning Blend (Spicy Blend 101316H), Seasoning Blend (Spicy Mac and Cheese Seasoning 051122B), Seasoning Blend (Sriracha Seasoning 100715A), Seasoning Blend (Strawberry Beet Seasoning 060523C), Seasoning Blend (Strawberry Beet Seasoning 081420B), Seasoning Blend (Sweet &amp; Salty Seasoning 062017F),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011822B), Seasoning Blend (Umami Blend 050322F), Seasoning Blend (Vegan Cheddar Seasoning 021523C), Seasoning Blend (Vegan Cheddar Seasoning 080921L), Seasoning Blend (Vegan Chorizo Seasoning 011416-A), Seasoning Blend (Vegan Chorizo Seasoning 100313-A), Seasoning Blend (Vegan Nacho Seasoning 082819G), Seasoning Blend (Vegan Nacho Seasoning 092019H), Seasoning Blend (Vegan Nacho Seasoning 100719B), Seasoning Blend (Vegan Nacho Seasoning 101520B), Seasoning Blend (Vegan Nacho Seasoning 120715-F), Seasoning Blend (Vegan Peppermint Chocolate Seasoning 030223D), Seasoning Blend (Vegan Ranch Seasoning 012120C), Seasoning Blend (Vegan Ranch Seasoning 022622A ), Seasoning Blend (Vegan Ranch Seasoning 110718C), Seasoning Blend (Vegan Ranch Seasoning 113021C),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(012419 Jalapeno Pineapple Seasoning), Seasoning Mixes (020824B Teriyaki Seasoning), Seasoning Mixes (021224H Cheesy Spinach and Cauliflower Seasoning), Seasoning Mixes (041323A Teriyaki Seasoning), Seasoning Mixes (080823A Tomato and Basil Seasoning), Seasoning Mixes (090523B Chile Lime Seasoning), Seasoning Mixes (091323G Pina Colada Type Seasoning), Seasoning Mixes (091423D Vegan White Cheddar Seasoning), Seasoning Mixes (092523F Vegan Buffalo Ranch Seasoning), Seasoning Mixes (101623B Strawberry Basil Seasoning), Seasoning Mixes (101723A Mixed Berry and Sweet Pea Seasoning), Seasoning Mixes (111720D Spicy Turmeric Seasoning), Seasoning Mixes (112519B Vegan Sour Cream and Onion Seasoning), Seasoning Mixes (121323F Garlic and Herb Seasoning), Seasoning Mixes (122723B Korean Barbecue Seasoning), Seasoning Mixes (122723C Teriyaki Seasoning), Seasoning Mixes (122723E Sriracha Seasoning), Seasoning Mixes (Aged White Cheddar Seasoning 010320A), Seasoning Mixes (Aged White Cheddar Seasoning 032219F), Seasoning Mixes (Aged White Cheddar Seasoning 041819C), Seasoning Mixes (Apple Broccoli Seasoning 052523G), Seasoning Mixes (Barbecue Seasoning 012821C), Seasoning Mixes (Barbecue Seasoning 040620B), Seasoning Mixes (Barbecue Seasoning 091820B), Seasoning Mixes (Barbecue Seasoning 111119E ), Seasoning Mixes (Barbecue Seasoning 112420G), Seasoning Mixes (Beach Barbecue Seasoning 021319A), Seasoning Mixes (Berbere Seasoning 111218D), Seasoning Mixes (Blueberry and Sweet Potato Seasoning 030321B), Seasoning Mixes (Blueberry and Sweet Potato Seasoning 122920E), Seasoning Mixes (Breakfast Sausage Seasoning (for Apple) 010820B), Seasoning Mixes (Breakfast Sausage Seasoning (for Apple) 012919B), Seasoning Mixes (Breakfast Sausage Seasoning 112718B), Seasoning Mixes (Broccoli Spinach Kale Seasoning 072720K),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Seasoning 052522B),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010322C), Seasoning Mixes (Dill Pickle Seasoning 061418J), Seasoning Mixes (Dill Pickle Seasoning 080718B), Seasoning Mixes (Flaming Hot Seasoning 010318B), Seasoning Mixes (Flaming Hot Seasoning 030420E), Seasoning Mixes (Flaming Hot Sriracha Seasoning 031121B), Seasoning Mixes (Fuego Seasoning 101619C), Seasoning Mixes (Garden Vegetable Seasoning 102120J), Seasoning Mixes (Garlic and Onion Seasoning 032423G), Seasoning Mixes (Gingerbread Cookie Seasoning 030420C), Seasoning Mixes (GM Spicy Seasoning 071221B), Seasoning Mixes (Grapefruit Seasoning 101119C), Seasoning Mixes (Himalayan Salt &amp; Apple Cider Vinegar Seasoning 113017B), Seasoning Mixes (Himalayan Salt and Apple Cider Vinegar Seasoning 043018C), Seasoning Mixes (Himalayan Salt and Apple Cider Vinegar Seasoning 072518A),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(Kool Ranch Seasoning 012821H), Seasoning Mixes (Korean Barbecue Seasoning 012419C), Seasoning Mixes (Korean Barbecue Seasoning 021720M), Seasoning Mixes (Korean Barbecue Seasoning 041519G), Seasoning Mixes (Korean Barbecue Seasoning 042520A), Seasoning Mixes (Korean Barbecue Seasoning 112918B),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(Montreal Style Steak Seasoning 121520G), Seasoning Mixes (Mushroom Seasoning 020221V), Seasoning Mixes (Nacho Seasoning 103018A), Seasoning Mixes (Non Dairy Cheddar Parmesan Type Seasoning 120419A), Seasoning Mixes (Non Dairy Cheddar Seasoning 102919F), Seasoning Mixes (Non Dairy Orange Cheddar Seasoning 101619F ), Seasoning Mixes (Non Dairy Sour Cream and Onion Seasoning 082719A), Seasoning Mixes (Non Dairy White Cheddar Seasoning 101619D), Seasoning Mixes (Non-Dairy Buffalo Ranch Seasoning 011619A), Seasoning Mixes (Non-Dairy Cheddar Seasoning 052616D), Seasoning Mixes (Non-Dairy Ranch Seasoning 100217A), Seasoning Mixes (Original Seasoning 012821F), Seasoning Mixes (Parmesan and Roasted Garlic Seasoning 040219C), Seasoning Mixes (Pepperoncini Seasoning 050416A), Seasoning Mixes (Pizza Seasoning 111020E),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(Roasted Red Bell Seasoning 062620E), Seasoning Mixes (Rotisserie Chicken Rub 032019C), Seasoning Mixes (Salsa Verde Seasoning 110922G), Seasoning Mixes (Savory Vegetable Seasoning 070822C), Seasoning Mixes (SB-OTWBK Seasoning 011422E), Seasoning Mixes (Sea Salt and Lime Seasoning 120621G), Seasoning Mixes (Sea Salt and Pea Fiber Blend 092019L), Seasoning Mixes (Sea Salt and Vinegar Seasoning 010720A), Seasoning Mixes (Sea Salt and Vinegar Seasoning 021021B), Seasoning Mixes (Sea Salt and Vinegar Seasoning 050123F), Seasoning Mixes (Sea Salt and Vinegar Seasoning 081319A), Seasoning Mixes (Sea Salt and Vinegar Seasoning 090919A), Seasoning Mixes (Sea Salt and Vinegar Seasoning 092821E), Seasoning Mixes (Sea Salt Blend 050323A), Seasoning Mixes (Sour Cream and Onion Seasoning 050123C), Seasoning Mixes (Sour Cream and Onion Seasoning 052819B), Seasoning Mixes (Sour Cream and Onion Seasoning 052819D), Seasoning Mixes (Southwest Type Marinade Seasoning 010722B), Seasoning Mixes (Spice Loaded Nacho Seasoning 041822H), Seasoning Mixes (Spicy Loaded Nacho Seasoning 070822G ), Seasoning Mixes (Spicy Sweet Pepper Seasoning 112618B), Seasoning Mixes (Sriracha Seasoning 040620C), Seasoning Mixes (Sriracha Seasoning 090320E), Seasoning Mixes (Sriracha Seasoning 122117A), Seasoning Mixes (Sweet and Spicy Chile Seasoning 061920D), Seasoning Mixes (Sweet and Spicy Chili Seasoning - Made with Organic 091824H), Seasoning Mixes (Sweet and Spicy Ranch Seasoning 022820A), Seasoning Mixes (Sweet Dijon Seasoning 020822C), Seasoning Mixes (Sweet Dijon Seasoning 101518D), Seasoning Mixes (Sweet Potato and Pumpkin Spice Seasoning 052821B),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Broccoli Cheddar Type Seasoning 122920F), Seasoning Mixes (Vegan Cheddar and Broccoli Seasoning 052121E), Seasoning Mixes (Vegan Cheddar and Broccoli Seasoning 071221E), Seasoning Mixes (Vegan Cheddar Seasoning 011020D), Seasoning Mixes (Vegan Cheddar Seasoning 080320B), Seasoning Mixes (Vegan Cheddar Seasoning 081821L), Seasoning Mixes (Vegan Cheddar Seasoning 091018B), Seasoning Mixes (Vegan Cheddar Seasoning 112117B), Seasoning Mixes (Vegan Elote Seasoning 072721B), Seasoning Mixes (Vegan Homestyle Ranch Seasoning 122920G), Seasoning Mixes (Vegan Nacho Seasoning 012320D), Seasoning Mixes (Vegan Nacho Seasoning 031620C ), Seasoning Mixes (Vegan Nacho Seasoning 050420C), Seasoning Mixes (Vegan Nacho Seasoning 061920C), Seasoning Mixes (Vegan Nacho Seasoning 080621D), Seasoning Mixes (Vegan Nacho Seasoning 091120B), Seasoning Mixes (Vegan Nacho Seasoning 110519H ), Seasoning Mixes (Vegan Pizza Seasoning 011623D), Seasoning Mixes (Vegan Ranch Seasoning 030420A), Seasoning Mixes (Vegan Ranch Seasoning 080621E), Seasoning Mixes (Vegan Ranch Seasoning 091216C), Seasoning Mixes (Vegan Ranch Seasoning 092019J), Seasoning Mixes (Vegan Salted Caramel Seasoning 081821D), Seasoning Mixes (Vegan Sour Cream and Onion Seasoning 040620D), Seasoning Mixes (Vegan Sour Cream and Onion Seasoning 042020F), Seasoning Mixes (Vegan Sour Cream and Onion Seasoning 091720C), Seasoning Mixes (Vegan Sriracha Ranch Seasoning 110822B), Seasoning Mixes (Vegan White Cheddar Jalapeno Seasoning 092019M), Seasoning Mixes (Vegan White Cheddar Seasoning 021622G), Seasoning Mixes (Vegan White Cheddar Seasoning 032919E), Seasoning Mixes (Vegan White Cheddar Seasoning 042020E), Seasoning Mixes (Vegan White Cheddar Seasoning 091918D), Seasoning Mixes (Vegan Zesty Ranch Seasoning 111021C), Seasoning Mixes (Wasabi and Pickled Ginger Seasoning 031518B), Seasoning Mixes (Wasabi Type Seasoning 081021H), Seasoning Mixes (Watermelon Hibiscus Seasoning 101019A), Seasoning Mixes (White Cheddar Seasoning 052621A), Seasoning Mixes (White Cheddar Seasoning 062017B), Seasoning Mixes (White Cheddar Seasoning 110217E), Seasoning Mixes (White Cheddar Seasoning 110518A), Seasoning Mixes (White Cheddar Seasoning 111219B), Seasoning Mixes (White Chocolate and Matcha Seasoning 030620B), Seasoning Mixes (White Chocolate Strawberry Seasoning 051221D), Seasoning Mixes (Zesty Nacho Seasoning 012821G)</t>
  </si>
  <si>
    <t>Other: Chocolate Hazelnut Decadence, Chocolate Peanut Butter, Chocolate Walnut Brownie, Dark Chocolate, Golden Banana Brownie Swirl, Hailey Bailey Strawberry Glaze, Infinte Coconut, Legendary Cookie Dough Madagascan Vanilla Bean, Mint Chip Galactica, Sea Salt Caramel Chocolate, Sweet Cherry Amaretto, Chocolate Peanut Butter Non Dairy, Coconut Almond Crunch Bar, Dark Chocolate Bar, Sea Salt Caramel Bar, All The Good Things, Banana Caramel Flambe, Chocolate Euphoria, Gooey Caramel Pecan Pie, Hazelnut Fudge Crunch, Peanute Butter Blitz, Strawberry Lemon Shortbreadm Twisted Cookie Dough, Vanilla Bean Nirvana, Chocolate Soft Serve Mix, Vanilla Soft Serve Mix, Dark Chocolate Sandwich, Madagascan Vanilla Ice Cream Sandwich, Lunar Latte, Celestial Cappuccino, Chocolate Mint Supernova</t>
  </si>
  <si>
    <t>Other: #Handling, packaging and distribution of livestock feed., Soybean Meal, Hay, Straw.</t>
  </si>
  <si>
    <t>Processed  Items: Grain cleaning, Oats (Seed Cleaning and Bagging); Animal Feed: Blended complete feeds (Poultry (chicken),
Chicken Starter 22%,
Chicken Grower 20%,
Broiler Finisher 18%,
Non-soy Grower,
Non-soy Layer,
Poultry Layer 16%,
Premium Poultry Layer,
Scratch Grains,
Poultry (Duck),
Duck Starter 24%,
Duck Grower 21%,
Duck Finisher 18%
Wild Game Bird Feed,
Non-soy Wild Game Bird Feed 26%,
Non-soy Wild Game Bird Feed 28%,
Poultry (turkey),
Turkey Starter 28%,
Turkey Grower 24%
Turkey Finisher 19%,
Dairy Goat Feed,
Lamb Feed 16%,
Dairy Cow Feed,
Gestating Sow,
Lactating Sow,
Pig Grower 18%,
Pig Finisher,
Non-Soy Pig Grower,
Pig Starter,
Custom Rabbit Feed,
Calf Starter), blended feed components (Alfalfa Hay,
Canola Oil,
Field Peas,
Grass Hay,
Sesame Meal,
Soybeans,
Barley,
Corn (shelled ground),
Flaxseed,
Molasses,
Soybeans roasted,
Wheat Mids,
Canola Meal,
Expelled Soybean Meal,
Flaxseed Oil,
Oats,
Soy Oil,
Wheat)</t>
  </si>
  <si>
    <t>Other: Beef cattle: retail meat cuts, Dairy cow: retail meat cuts</t>
  </si>
  <si>
    <t>Other: Cow's milk</t>
  </si>
  <si>
    <t>Other: Bottled (Not Pasteurized) Milk</t>
  </si>
  <si>
    <t>Other: Dairy, Fruits, Herbs, Non-Dairy Beverages, Ready-to-Eat Processed Foods, Vegetables; 
Certified to Store and Distribute Pre-Packaged Retail Organic Product; 
Certified to Perform the Processing Activity of Ripening Organic Bananas</t>
  </si>
  <si>
    <t>Other: Non-Dairy Frozen Desserts (Berry Pomegranate Bars), Non-Dairy Frozen Desserts (Coconut Bars), Non-Dairy Frozen Desserts (Orange Bars), Non-Dairy Frozen Desserts (Pink Lemonade Bars), Non-Dairy Frozen Desserts (Raspberry Bars), Non-Dairy Frozen Desserts (Strawberry Bars)</t>
  </si>
  <si>
    <t>Other: Bread (100% Stoneground Whole Wheat), Bread (All-Nations Whole Grain Sourdough ), Bread (Awesome Oatmeal), Bread (Banana), Bread (Beautiful Buns), Bread (Beautiful Hot Dog Buns), Bread (Blessed Bagel), Bread (Blueberry Bread), Bread (Blueberry Swirl Rolls), Bread (Caramel Swirl Rolls), Bread (Cherry Swirl Rolls), Bread (Chocolate Chip Cake ), Bread (Cinna-Bites), Bread (Cinnamon (Date Honey) Sprouted Sourdough), Bread (Cinnamon Bagels), Bread (Cinnamon Rolls), Bread (Cinnamon Sourdough), Bread (Cinnamon Swirl ), Bread (Cranberry Bread ), Bread (Cranberry Bread (Sourdough)), Bread (Crumbs), Bread (Crunchy Garlic Croutons ), Bread (Elegant English Muffins), Bread (French Bread), Bread (Healthy White Sandwich), Bread (Hoagie Rolls), Bread (Multi Whole Grain w/ Flax), Bread (Oat Sourdough), Bread (Pumpkin), Bread (Rustic Sourdough), Bread (Sourdough Bagels), Bread (Sourdough English Muffins), Bread (Sprouted Oatmeal Sourdough), Bread (Sprouted Sourdough), Bread (Sprouted Sourdough Bagels), Bread (Sprouted Sourdough English Muffins), Bread (Sprouted Spelt Sourdough), Bread (Traditional Challah), Bread (Turmeric Sourdough), Bread (Whole Grain Sourdough), Bread (Whole Wheat Bagels), Bread (Whole Wheat Challah), Bread (Whole Wheat Sprouted Sourdough), Bread (World's Best Rye), Bread (World's Best Rye Sourdough), Bread (Zucchini Bread), Cakes (Apple), Cakes (Date Honey Cake), Cereal (Grapenuts), Cookies (Chocolate Brownie Cookies – Sweetened With Maple Syrup), Cookies (Chocolate Chip), Cookies (Chocolate Chip Cookies – Sweetened With Maple Syrup), Cookies (Gingerbread Cookies), Cookies (Oatmeal Chocolate Chip Cookies – Sweetened With Maple Syrup), Cookies (Oatmeal Cranberry Cookies), Cookies (Oatmeal Cranberry Cookies – Sweetened With Maple Syrup), Cookies (Oatmeal Raisin Cookies – Sweetened With Maple Syrup), Cookies (Snickerdoodles), Cookies (Soft &amp; Chewy Oatmeal), Cookies (The Ultimate Coconut Cookies), Cookies (Vanilla Wafer Cookies - Sweetened with Maple Syrup), Croissants (Chocolate Croissants), Croissants (Croissant), Flatbread (Chili &amp; Herb Sourdough Tortillas), Flatbread (Chili &amp; Herb Sprouted Sourdough Tortillas), Flatbread (Chili &amp; Herb Tortillas), Flatbread (Sourdough Tortillas), Flatbread (Sprouted Sourdough Tortillas), Flatbread (Terrific Tortillas), Flatbread (Whole Wheat Sourdough Tortillas), Flatbread (Whole Wheat Tortillas), Food Bar (Real Food Protein Bar - Chocolate Lover's), Food Bar (Real Food Protein Bar - Cinnamon Raisin), Food Bar (Real Food Protein Bar - Simply Coconut), Granola (Heavenly Banana), Granola (Heavenly Chocolate), Granola (Heavenly Cookie Crunch), Granola (Heavenly Pumpkin), Granola (Heavenly Spice), Noodles (High Fiber Whole Wheat Sourdough Noodles), Noodles (Semolina Sourdough Noodles), Noodles (Spelt Sourdough Noodles), Noodles (Sprouted Sourdough Noodles), Pie (Beautiful Blueberry Pie), Pie (Blue Ribbon Apple Pie ), Pie (Cherry Pie), Pie (Perfect Pumpkin Pie), Pie (Perfect Pumpkin Pie (Maple Syrup)), Pie (Scrumptious Sweet Potato Pie), Pie (SF Blue Ribbon Apple Pie), Pie (Sweet Potato Pie (No Current Production)), Pizza (Cheese Pizza), Pizza (Mushroom Pizza), Pizza (Sourdough Cheese Pizza), Pizza (Sourdough Mushroom Pizza), Pizza (Spinach Pizza), Pizza Dough (Pizza Crust ), Pizza Dough (Whole Wheat Pizza Crust ), Pizza Sauce (Pizza Sauce), Spread (Heavenly Dairy Free Butter), Spread (Heavenly Dairy Free Mozzarella)</t>
  </si>
  <si>
    <t>Dairy: Cheese; Other: Brokering of Organic Products</t>
  </si>
  <si>
    <t>Other: Butter Flavor (Butter Buds 32x (66948)), Butter Flavor (Butter Buds Asia UC (66946)), Butter Flavor (Butter Concentrate (66977)), Butter Flavor (Butter Flavor 120 (66021)), Butter Flavor (Ghee Flavor (66985)), Butter Flavor (High Concentrate Uncolored (66879)), Butter Flavor (Non Dairy Butter Base 100 on Sunflower Oil (49550)), Butter Flavor (Non-Dairy Butter Type Flavor (66986)), Buttermilk (Buttermilk Blend (9MB17)), Buttermilk Flavor (Buttermilk Buds LDF (51962)), Buttermilk Flavor (Non Dairy Buds Buttermilk Type (49521)), Buttermilk Flavor (Non-Dairy Buttermilk Flavor Key (88019)), Cheddar Flavor (Cheddar Flavor Key (66027)), Cheddar Flavor (Cheese Buds Cheddar (38209)), Cheddar Flavor (Cheese Buds Cheddar (66872)), Cheddar Flavor (Cheese Buds Cheddar Paste (66951) ), Cheddar Flavor (Non Dairy Buds Cheddar Type (49522)), Cheddar Flavor (Non-Dairy Cheddar Flavor Key (88013)), Cheese Flavor (Cheddar Flavor Base (66022/66063)), Cheese Flavor (Cheese Buds Bleu Type (38212)), Cheese Flavor (Cheese Buds Cheddar GF SD Base (66092)), Cheese Flavor (Cheese Buds Cheddar LDF (51209)), Cheese Flavor (Cheese Buds Parmesan EX Type (38210)), Cream Flavor (Cream Chantilly (1BF18)), Cream Flavor (Cream Plus (66871)), Cream Flavor (Dried Cream Extract (66869)), Cream Flavor (Non Dairy Buds Cream Type CL (49515)), Cream Flavor (Non Dairy Cream Plus Vanilla Type (49527)), Cream Flavor (Non Dairy Cream Type (49508)), Dextrose (Dextrose Monohydrate (7HJ26)), Inulin Powder (Jerusalem Artichoke Inulin (7CC17)), Misc. Flavor (Buttermilk Buds (66962)), Misc. Flavor (Cream Plus Vanilla Type (66782)), Misc. Flavor (Liquid Cream Concentrate on Sunflower Oil (66850)), Misc. Flavor (Non-Dairy Buds Asia (49537)), Misc. Flavor (Sour Cream Buds Concentrate (66983)), Misc. Flavor (X blend Cheddar (66963)), Misc. Flavor (Yogurt Buds CL (66964)), Rice Bran Extract (Nu-Flow), Rice Starch (Rice Starch (7KI33) - Remy O), Rosemary Extract (Inolens 4 Organic (302094) ), Sunflower Oil (High Oleic Sunflower Oil #450/452), Sunflower Oil (High Oleic Sunflower Oil RBD (W)), Sunflower Oil (Sunflower Oil Powder Base (66955)), Sweet Dairy Whey Powder (Sweet Whey Powder (FWD Gerlac ORGSWP-001( (7MS22 - Far West Dist.)), Tapioca Maltodextrin (Tapioca Maltodextrin (7CC15)), Yogurt Misc (Dehydrated Yogurt), Yogurt Powder (Yogurt Powder (9SY25))</t>
  </si>
  <si>
    <t>Other: Cultured Buttermilk, Kingdom Kefir, Maple Kefir, Maple Yogurt, Nonfat Plain Yogurt, Nonfat Vanilla Yogurt, Orange Sunshine Kefir, Plain Whole Yogurt, Sweet Jersey Cream</t>
  </si>
  <si>
    <t>Other Grains, Pastas and Cereals: Barley (Barley), Corn, Corn Screenings, Rice (Rice), Soybean Meal, Soybeans, Spelt, Wheat (Wheat); Dairy: Milk (Raw Cow Milk); Animal Feed: Livestock Feed (Hay); Other: Brokering Organic Grains and Screenings, Brokering Organic Hay and Forages, Labeling Milk, Packaging Milk</t>
  </si>
  <si>
    <t>Processed  Items: Dehydrated Foods (Desiccated coconut - chips), Dehydrated Foods (Desiccated coconut - fine), Dehydrated Foods (Desiccated coconut - medium), Dehydrated Foods (Desiccated coconut toasted chips); Preservatives/Extracts/Flavors: Spices (Black Pepper TBC), Spices (Cardamom), Spices (Cinnamon powder), Spices (Cinnamon quills), Spices (Cloves), Spices (Ginger), Spices (Nutmeg); Oils &amp; Oleoresins: Oils (Virgin Coconut Oil); Dry/Baking Goods: Flours and Meals (Coconut Flour), Sugar (Coconut sugar (Coconut palm sugar / Coconut sap sugar)); Beverage Related Products: Non-Dairy Milk (Coconut milk single ingredient)</t>
  </si>
  <si>
    <t>Other: Almond Non-Dairy Beverage Vanilla Unsweetened, Beef Stock, Brown Rice Syrup 42DE, ORSHM, Brown Rice Syrup, Clarified ORSMC35CL, Brown Rice Syrup, ORSMC05, Brown Rice Syrup, ORSMC35, Caffeine Free Latte, Chicken Broth, Chicken Broth, Chicken Broth (Made from Free Range Chicken Bones), Chicken Broth (Made from Free Range Chicken Bones) - No Salt Added, Clarified Partly Polished Brown Rice Syrup 26DE, OPPRSRDCL, Classic Chai Latte, Creamy Broccoli Soup, Creamy Butternut Squash Soup, Creamy Potato Leek Soup, Creamy Sweet Pea Soup, Creamy Tomato Basil Soup, Creamy Tomato Soup, Free Range Chicken Broth, Golden Chai Latte, Green Tea Matcha Latte, Koji Rice Syrup, Light Chai Latte, Light in Sodium Creamy Butternut Squash Soup, Light in Sodium Creamy Garden Tomato Soup, Low Sodium Chicken Broth, Low Sodium Chicken Broth, Low Sodium Free Range Chicken Broth, Low Sodium No-Chicken Broth, Low Sodium Vegetable Broth, Moisturlok Liquid, No-Chicken Broth, Oat Base, Oat Milk Original, Oat Non-Dairy Beverage, Oat Non-Dairy Beverage, Original Tea Concentrate, Partially Polished Rice Syrup WIP OPPRSMC30CL, Rice Beverage Base, OHSPR18 25 BRIX, Rice Beverage Base, OHSPS9R18 25 Brix Slurry, Rice Beverage Base, ORBMM335, Rice Protein Concentrate Coarse Grind 50% Protein, ORCP50CG, Rice Protein Concentrate Extra Fine Grind 50% Protein, ORPC50XFG, Rice Proteins ORPC80XFG, Ricemilk Unsweetened Original Calcium &amp; Vitamin D, Soy Non-Dairy Beverage Original, Soy Non-Dairy Beverage Vanilla, Soy Unsweetened Non-Dairy Beverage - YGF, Soy Unsweetened Original Non-Dairy Beverage, Soy Vanilla Non-Dairy Beverage - YGF, Soymilk Base-Unflavored, Super Greens Creamy Soup, Vegetable Broth, Vegetable Broth (Made from 10+ Nourishing Vegetables), Vegetable Broth (Made from 10+ Nourishing Vegetables) - No Salt Added, White Rice Syrup 57DE, Clarified Non-Diastatic, OWRSMC30CLP4, Whole Milk</t>
  </si>
  <si>
    <t>Other: 5 Defenders (Mushroom Immune Complex), Beet (Burak) Powder, Beet Essence Juice Powder, Beta Beet, Beta Beet, Blueberry (Boruvka) Powder, Bold Beet, Carrot (Mrkev) Powder, Chaga, Chlorella Powder, Coconut Creamer, Cordyceps - M, Cranberry (Brusinka) Powder, Dairy Creamer, Garlic &amp; Sea Salt, Glow, Gold Chocolate, Gold Gently Dried Superfood Powder, Gold Pumpkin Spice Latte, Golden Ginger, Green Juice, Green Juice Crisp Apple, Green Magma Barley Grass Juice Powder, Harmony, Immune, Vegan D3, Jade Greenzymes, Kids Easy Greens, Lions Mane, Magic Matcha, Maitake, Matcha Green Tea Energy Blend, Naturalysa IN12M, Naturalysa IN12M 2X, Naturalysa IN4, Naturalysa IN7, Oatmeal, Organic Chlorella Powder, Organic Monk Fruit Extract Mogoside V 50%, Organic Overnight Oats - Cinnamon Chai, Organic Overnight Oats - Dark Chocolate, Organic Overnight Oats - Vanilla Caramel, Organic Skinny Cocoa Mix, Pea Protein Vanilla, Peak Powder, Plant Protein Oatmilk Blend Chocolate, Plant Protein Vanilla Caramel, Prana Tasty Tomato, Pure, Red Juice, Reishi 415, Sacred Soothing Chik'n, Savory Mystic Miso, Taco Seasoning, Taco Seasoning, Taco Seasoning, Tremella Mushroom Extract, Turkey Tail, Wheat Grass Shots</t>
  </si>
  <si>
    <t>Other: See Addendum</t>
  </si>
  <si>
    <t>Other: Beef</t>
  </si>
  <si>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</si>
  <si>
    <t>Other: Milk (Raw)</t>
  </si>
  <si>
    <t>Other: Acai (Acai Pure in Cubes (21552)), Acai Juice (12% with Citric Acid (12663)), Acerola Powder (Freeze Dried (23956)), Acerola Puree ((11675)), Adzuki Beans ((13677)), Agave Distillate (Tequila 100% Agave Azul Tequilana Weber (13350)), Agave Syrup ((26201, 26651)), Agave Syrup (100% Agave Azul Tequilana Weber (13350)), Agave Syrup (100% Agave Salminana (13350)), Agave Syrup (Jarabe of Organic Agave (26651)), Agave Syrup (Salmeana Light Premium (12779)), Allspice (Ground (12399)), Almond Butter (Natural (11255)), Almond Extract (Natural Liq. (12883)), Almonds ((17483)), Aloe Vera Powder (1:20 06-1210 (11345)), Amaranth (Puffed (31290)), Apple Cider Vinegar ((25263, 17842)), Apple Cider Vinegar (50 Grain (11476)), Apple Cider Vinegar (FVC ORG APL CIDER VNGR 60GR 55GL K (11476)), Apple Juice (NFC (11514)), Apple Juice Concentrate ((11578)), Apple Juice Concentrate ((12441, 12558)), Apple Juice Concentrate ((12558)), Apple Pulp (Puree Concentrate (12558)), Apple Puree (Pulp (12441)), Apple Puree (Single Strength (11514)), Apricot Puree ((12234)), Avocado (Pulp (12741)), Avocado Oil ((18520-C)), Avocado Oil ((27286)), Avocado Oil ((27578)), Avocado Oil (RBDW (18520-M)), Balsamic Vinegar ((11885)), Balsamic Vinegar (Balsamic Vinegar of Modena), Banana Puree ((12430, 21129)), Banana Puree (Natural Seedless Aseptic (12000)), Barley Flour ((12585)), Barley Grass Juice Powder (50143 (30919)), Barley Grass Powder ((20460)), Basil (IQF (12227)), Bay Leaf ((11975)), Bay Leaf ((12618)), Bean Puree (Garbanzo Bean Puree Frozen (12192)), Beet Juice (Beet Juice &amp; Concentrate (12562)), Beet Puree (Pomace &amp; Puree (12562)), Beets (Gold, Red (12586)), Bell Pepper (Green, Red, Yellow - IQF, Puree, Blanched, Roasted, Cut, Reduce Moisture, Freeze - Dried (32233)), Black Beans ((19384)), Black Pepper ((13634)), Black Pepper (Fine Cut Black Peppercorn (12399)), Black Pepper (Powder (20460)), Black Tea ((20373)), Blackberry Juice Concentrate (Cultivated (12835)), Blackberry Puree ((12234)), Blackberry Puree ((12669)), Blended Flour (Base Blend (non-retail) (12678)), Blended Syrup (Tapioca Malt Blend (11678)), Bloody Mary Mix (Customer Blend 6002012 (Bloody Mary Spicy Blend) (12618)), Blueberries ((12669)), Blueberry Juice Concentrate ((12663)), Blueberry Puree ((12234)), Blueberry Puree ((12669)), Blueberry Puree (Aseptic (11985)), Blueberry Puree (Frozen (11985)), Blueberry Puree (NFC (11858)), Blueberry Puree (Single Strength (11514)), Brazil Nuts ((11199, 11876)), Bread Flour (Essentials (26452)), Bread Flour (OE (12844)), Broccoli Puree (Frozen (12192)), Brown Rice Syrup ((19255)), Brown Rice Syrup ((28-64 DE) (Recipe 02) (26536)), Brown Rice Syrup ((28DE-60DE) (12233)), Brown Rice Syrup ((42DE) (30729)), Brown Rice Syrup ((60DE) (30729)), Brown Rice Syrup Solids ((19255)), Buckwheat Flour (Blend (non-retail) (12678)), Buckwheat Flour (Fancy (30795)), Buckwheat Flour (Supreme (30195)), Butter Powder ((27742)), Butterfly Pea Flowers (Powder (24834)), Buttermilk Powder (FWD Buttermilk Blend (27742)), Butternut Squash Puree (Aseptic (12409)), Butternut Squash Puree (Frozen (12234, 11158)), Cacao Nibs ((11091)), Cacao Nibs (Raw (11876)), Cacao Nibs (Raw (11876)), Cacao Powder (10-12% (11091)), Cacao Powder (10-12% Peru (13151)), Cacao Powder (20-22% Dominican Republic (13151)), Cacao Powder (20-22% Peru (13151)), Cacao Powder (Natural 10-12% Fat Content (11876)), Cane Sugar ((27619, 32117, 22242)), Cane Sugar ((27991, 26398, 12437, 27584, 12486, 28830)), Cane Sugar (Demerara (31905)), Cane Sugar (Fair Trade (12382)), Cane Sugar (Golden Granulated Raw (11410)), Canned Corn (Sweet (12625)), Cannellini Beans ((11675)), Cannellini Beans ((13677)), Canola Oil ((18520-C)), Canola Oil ((18520-M)), Canola Oil (Simply Senza, Expeller Pressed (13126)), Capers ((11885)), Cardamom (Decorticated Ground (12679, 12618)), Cardamom (Ground (12399)), Carrot Juice (Aseptic Single Strength (30364)), Carrot Juice Concentrate (Bulk Single Strength (12562)), Carrot Juice Concentrate (Purple (12558)), Carrot Puree ((12562, 11158, 12234)), Carrot Puree (Aseptic, Coarse (30364)), Carrot Puree (Aseptic, Purple (30364)), Carrot Puree (Bulk (30364)), Carrot Puree (Frozen (12562, 11158)), Carrot Puree (Purple (12562)), Carrot Puree (Yellow (12562)), Carrots (Diced (11158)), Cashew Butter ((12592)), Cashew Kernel ((12592)), Cashews (Fair Trade Org Cashew Large White Pieces (P03824) (12592)), Cashews (Fair Trade Organic Cashew Kernels Large Pieces (P007847) (12592)), Cashews (Fair Trade Organic Cashew Kernels Large Pieces (P187577) (12592)), Cashews (Pasteurized Organic Cashew Large Pieces (P086990) (12592)), Cashews (Raw Organic Large Pieces  (P187577) (12592)), Cayenne ((12618)), Cherry (Tart (12537)), Cherry Juice (68 Brix Dark Sweet (11858)), Cherry Juice (Dark Sweet NFC (11858)), Cherry Juice (Sour Cherry Juice NFC Cloudy (12558)), Cherry Juice (Sour Tart Cherry Juice NFC (12558)), Cherry Juice Concentrate (Sour (Tart) (11578)), Cherry Puree ((11985)), Cherry Puree (Frozen Aseptic Cherry Dark Sweet Puree Single Strength (11985)), Cherry Puree (Frozen Cherry Dark Sweet Puree Single Strength (11985)), Chia Seed Flour ((11234)), Chia Seeds ((27619)), Chia Seeds (Black (12399)), Chia Seeds (Black, White (12161)), Chia Seeds (salvia Hispanica L (19384)), Chickpea Flour (Garbanzo (26809)), Chickpeas ((11675, 11520)), Chickpeas (Pallet (11520)), Chickpeas (Pouch (11520)), Chives ((12618)), Cilantro ((12399)), Cilantro (IQF (12227)), Cilantro (IQF Fine Cut (12676)), Cinnamon ((12618)), Cinnamon (Ground (12399, 12679)), Cinnamon (Ground 94392 (11975)), Cloves (Ground (12399, 12618)), Cocoa Butter (Deodorized (12776)), Cocoa Powder (Alkalized (13216)), Cocoa Powder (Alkalized High Fat (12776)), Coconut ((22980)), Coconut (Coconut Chips (13515)), Coconut (Fine, Medium, Chips (12161)), Coconut Aminos ((12160, 13515)), Coconut Cream (24% 20 kg BIB (22980)), Coconut Cream (24% 200 kg drums (22980)), Coconut Flakes ((11437)), Coconut Flakes (Fine (13515)), Coconut Flakes (Medium (13515)), Coconut Flour ((11091)), Coconut Flour ((13515)), Coconut Milk (18% Bulk - 20 kg BIB (22980)), Coconut Milk Powder ((24922)), Coconut Nectar (Amber (12161)), Coconut Oil, Coconut Oil ((13331)), Coconut Oil ((24700)), Coconut Oil (Blend (17811)), Coconut Oil (Extra Virgin (12161)), Coconut Oil (Extra Virgin (18520-M)), Coconut Oil (MCT), Coconut Oil (MCT (27803, 12161)), Coconut Oil (MTC P157245), Coconut Oil (RBD), Coconut Oil (RBD - 5gl pail (22980)), Coconut Oil (RBD (12161)), Coconut Oil (RBD (17811)), Coconut Oil (Virgin - 190 kg Drum (22980)), Coconut Oil (Virgin - 5 gallon pail (22980)), Coconut Oil (Virgin (11973)), Coconut Oil (Virgin (17811)), Coconut Sugar ((11876, 13515, 12537)), Coconut Sugar ((12161)), Coconut Water ((22980)), Coffee (Kaffee (12529)), Concord Grape Juice (NFC (11858)), Concord Grape Juice Concentrate (68 Brix (26308)), Concord Grape Juice Concentrate (Kosher (11578)), Coriander (Ground (12399)), Coriander (Seeds (12679)), Corn ((20711)), Corn Puree (Supersweet Frozen (12192)), Corn Starch ((19255)), Corn Starch (MAISITA (21.050) (25367)), Cranberry Juice Concentrate ((11513)), Cucumber Juice ((26817)), Cucumber Puree ((13077)), Cumin (Black Cumin (Kalonji) (14377)), Cumin (Ground (12399)), Curry (Powder (12399)), Date Paste ((19130, 11397)), Date Paste (California Date Butter (19130)), Date Sugar (Powder (12399)), Date Syrup ((11888)), Dextrose (MicroGARD 200 CO (Pareve), Cultured Dextrose Powder (13216)), Dijon Mustard (#166 (11874)), Dijon Mustard (No Turmeric #11 (11874)), Dill (Air Dried Dill #1 Steam-Treated 211 - F01685 (25110)), Dill (Weed (12618)), Distilled Vinegar ((12716)), Dried Apples (Diced (Non Retail) (12308)), Dried Apples (Low Moisture Apple Dice 1/4 (12671)), Dried Apricots (Pitted (12272)), Dried Blueberries (Unsweetened (26384)), Dried Carrots (Carrot, Air Dried (11387)), Dried Cranberries (Apple Juice Infused (12161)), Dried Cranberries (Apple Juice Infused (Sliced, Whole), Bulk and Retail (11513)), Dried Cranberries (Sweetened (12161)), Dried Garlic ((Dehydrated) - Granulated, Minced, Powdered (23387)), Dried Mangos (Dehydrated Mango (27447)), Dried Mangos (Dried Mango (27447)), Dried Mangos (Sliced, Strips, Pieces or Diced (30271)), Dried Raisins ((19130)), Dried Raisins (Oiled &amp; Unoiled (Bulk) (11311)), Eggplant (Blanched, IQF, Puree, Blanched, Cut (32233)), Elderberry (Powder (11825)), Elderberry (Powder (20460)), Elderberry Juice (NFC (24121)), Elderberry Juice Concentrate (65 Brix (11578)), Emmer ((12585)), Flax Flour ((11234)), Flax Seeds, Flax Seeds ((11199, 19384)), Flax Seeds (Brown (12537)), Flax Seeds (Brown, Golden (11675)), Flax Seeds (Golden (11199)), Flax Seeds (Milled - Golden (12537)), Flax Seeds (Milled - Premium Gold (12565)), Flax Seeds (Traditional Brown (12560)), Freeze Dried Strawberry (Pieces (28287)), Frozen Apples (Diced and Sliced (11418)), Frozen Banana (IQF Sliced (18578)), Frozen Beans (IQF Black (12138)), Frozen Beans (IQF Garbanzo (12138)), Frozen Beans (IQF Green Lentils (12138)), Frozen Beans (IQF Pinto (12138)), Frozen Beans (IQF Red Kidney (12138)), Frozen Beans (IQF Red Lentils (12138)), Frozen Beans (IQF White Kidney (12138)), Frozen Beans (Navy (12138)), Frozen Beets (Red (Diced) (12166)), Frozen Blackberry ((15883)), Frozen Blackberry (IQF Whole (18578)), Frozen Blackberry (Whole (12166)), Frozen Blueberry ((12669)), Frozen Blueberry (Cultivated (18578)), Frozen Blueberry (IQF (11890, 15883)), Frozen Blueberry (IQF (12166)), Frozen Blueberry (Wild (18578)), Frozen Broccoli (Cuts, Florets, Stalk (12166)), Frozen Broccoli (IQF (11288)), Frozen Broccoli (IQF (12228, 12219, 28941)), Frozen Broccoli (IQF Florets (13227)), Frozen Brown Rice (IQF (12138)), Frozen Carrots (Diced (12579)), Frozen Carrots (Diced, Sliced, Sticks (12166)), Frozen Carrots (IQF (21384)), Frozen Carrots (IQF (28941)), Frozen Carrots (IQF Diced (28941)), Frozen Carrots (IQF Diced (31740)), Frozen Carrots (IQF Diced (32563)), Frozen Carrots (IQF Sliced (13227)), Frozen Cauliflower (Florets (12166)), Frozen Cauliflower (IQF Florets (12135)), Frozen Cauliflower (IQF Florets (13227, 12219)), Frozen Celery ((Diced) Bulk Supplier (12166)), Frozen Celery (Diced (12166)), Frozen Celery (IQF (12229, 21384)), Frozen Celery (IQF 3/8” Diced (12216)), Frozen Cherry (IQF Dark Sweet (12094)), Frozen Cherry (IQF Dark Tart Pitted (12094)), Frozen Cherry (IQF Red Tart Pitted (11303)), Frozen Corn ((12579)), Frozen Corn (IQF Sweet Cut (12166)), Frozen Corn (Super Sweet (12579)), Frozen Cranberry ((11358)), Frozen Cranberry ((15883)), Frozen Cranberry ((whole) Bulk Sno Pac, Bulk supplier (12166)), Frozen Cranberry (Bulk and Retail (11513)), Frozen Cranberry (Whole (11116)), Frozen Cucumbers (IQF Diced (32233)), Frozen Garlic (IQF, Diced, Sliced, Whole (26232)), Frozen Green Beans ((11158)), Frozen Green Beans (Cut (12579)), Frozen Green Beans (Cut, Whole (12166)), Frozen Green Beans (IQF Diced (31740)), Frozen Kale (Chopped (12166)), Frozen Kale (IQF (12228)), Frozen Kale (IQF Fines, Chopped (11532)), Frozen Mango ((12669)), Frozen Mango (IQF Chunks (18578)), Frozen Mango (IQF Chunks (32504)), Frozen Mango (IQF Diced (13227)), Frozen Onions ((30071)), Frozen Onions ((32490)), Frozen Onions ((Diced) Bulk Supplier (12166)), Frozen Onions (Diced (12166)), Frozen Onions (Diced (32563)), Frozen Onions (Grilled (30071)), Frozen Onions (IQF (12003)), Frozen Onions (IQF (12135)), Frozen Onions (IQF (28941)), Frozen Onions (IQF Diced &amp; Strips (11402)), Frozen Onions (IQF Diced (28941)), Frozen Onions (IQF Diced (31740)), Frozen Onions (IQF Green Onion Cross-Cut 104.1 (12676)), Frozen Onions (IQF Green Onions (12135)), Frozen Onions (IQF Yellow Roasted (11532)), Frozen Onions (Roasted (30071)), Frozen Onions (Spring (26475)), Frozen Peach ((12669)), Frozen Peach (IQF Freestone Peaches 3/8th Diced (13552)), Frozen Pear (IQF (Diced 1/2", Diced 3/8") (12369)), Frozen Peas ((11158)), Frozen Peas (Green (12166)), Frozen Peas (IQF (12579)), Frozen Peppers (IQF (28941)), Frozen Peppers (IQF Bell Pepper (12135)), Frozen Peppers (IQF Bell Peppers - Green or Red Peppers, Roasted (Diced, Strips, Sliced, Cups, &amp; Halves) (11434)), Frozen Peppers (IQF Bell Peppers Green, Yellow, &amp; Red - Strips, Sliced, Cups, &amp; Halves (11434)), Frozen Peppers (IQF Diced), Frozen Peppers (IQF Diced (31740)), Frozen Peppers (IQF Diced Green Chili FG31008 (11532)), Frozen Peppers (IQF Habanero (11532)), Frozen Peppers (IQF Jalapeno (11532)), Frozen Peppers (IQF Poblano Peppers (Diced, Strips, Sliced, Cups, &amp; Halves) (11434)), Frozen Peppers (IQF Red Jalapeno Diced - Hot (11532)), Frozen Peppers (IQF Roasted Red Bell Peppers Diced, Strips (11532)), Frozen Peppers (IQF Roasted Red Peppers Diced (31740)), Frozen Peppers (IQF Serrano Green Whole (11532)), Frozen Pineapple (IQF Chunks), Frozen Pineapple (IQF Chunks (18578, 13227)), Frozen Pineapple (IQF Tidbits (29441)), Frozen Potato (Diced White (32563)), Frozen Potato (Diced, Shredded Hashbrowns, Potato Fusion (12166)), Frozen Potato (IQF Peeled Organic Red Potato Dice (11402)), Frozen Potato (IQF Peeled Organic Russet Potato Dice (11402)), Frozen Potato (IQF Skin-On Red Potato Dice (11402)), Frozen Raspberry (IQF (15883)), Frozen Raspberry (IQF Crumble, Puree, Seeds (29443)), Frozen Raspberry (IQF Crumbles (12669)), Frozen Raspberry (IQF Whole (18578)), Frozen Spinach (Chopped (32563)), Frozen Spinach (IQF (11532, 12588)), Frozen Spinach (IQF (12135)), Frozen Spinach (IQF (12228)), Frozen Spinach (IQF (28941)), Frozen Spinach (IQF (28941)), Frozen Spinach (IQF Cut (12166)), Frozen Spinach (IQF Diced (28941)), Frozen Spinach (IQF Diced (31740)), Frozen Spinach (IQF Whole, Chopped (30244)), Frozen Squash (Butternut Squash (Diced) (12166)), Frozen Squash (IQF (12228)), Frozen Squash (IQF Butternut Squash (Diced) (11158)), Frozen Strawberry (IQF Sliced (18578)), Frozen Strawberry (IQF Whole (18578)), Frozen Strawberry (Sort Outs (12669)), Frozen Sweet Potato (Diced (11158)), Frozen Sweet Potato (Diced (11593)), Frozen Sweet Potato (Diced (12166)), Frozen Tomatoes (IQF (11288)), Garlic (Chopped (26232)), Garlic (Powder (12399)), Garlic Puree ((26232)), Garlic Puree (Frozen (11532)), Ginger ((12618)), Ginger (Powder (12399)), Ginger Juice (Aseptic (31291)), Ginger Juice (Frozen Pasteurized (12663)), Ginger Juice (Frozen Pasteurized (31291)), Ginger Juice (Frozen Unpasteurized (31291)), Ginger Juice (NFC (11578)), Ginger Juice (P1222062 (19491)), Ginger Juice (Peruvian, Unpasteurized, Frozen (28940)), Ginger Puree, Ginger Puree ((26232)), Ginger Puree (P200656 (19491)), Glucose Syrup ((31905)), Grape Juice Concentrate (Red/White (12441)), Grape Juice Concentrate (White (11578)), Grape Juice Concentrate (White (12558)), Grape Puree (NFC Concord (11858)), Grapefruit Juice (NFC (11675)), Grapefruit Juice Concentrate (Red (11578)), Green Bean Puree (Frozen (12192)), Green Coffee Beans (Extract 15% (26268)), Green Tea ((20373)), Guava Puree (50026A (11548)), Hazelnuts ((11199)), Hazelnuts (Paste &amp; Puree (32415)), Hazelnuts (Roasted Kernels (32415)), Hemp Protein Powder (23% (13597)), Hemp Protein Powder (23% (13597)), Hemp Seeds (Hulled (12537)), Hemp Seeds (Hulled (25426)), Hemp Seeds (Hulled, Protein Powder (11091)), Herbal Supplement (INAVEA Essential W (28883)), Honey ((21363)), Honey ((28830)), Honey (Light Amber Wildflower Non-retail (12417)), Honey (Non-retail (12417)), Honeydew Pulp (Puree (13241)), Instant Coffee (Coffee Arabica Freeze Dried (Instant) (12253)), Instant Coffee (Spray-dried, Freeze-dried, Agglomerated), Inulin (Inulin 90% (From Jerusalem Artichoke) (20460)), Inulin (Liquid 100% Agave Azul Tequilana Weber (13350)), Inulin (Liquid 100% Agave Salminana (13350)), Inulin Powder (100% Agave Azul Tequilana Weber (13350)), Inulin Powder (100% Agave Salminana (13350)), Kale (Air Dried Kale Steam-Treated Powder 1425-F01694 (25110)), Kale (Pomace &amp; Puree (12562)), Kale Juice ((26817)), Kelp (Ascophyllum Nodosum (Kelp Meal) (18702)), Kelp (Laminarie Digitata (18702)), Kidney Beans (Dark Red (11675)), Kidney Beans (Dark Red (13677)), Kiwi Puree ((11985, 12663)), Lavender (Lavandin (12679)), Lecithin (Sunflower Lecithin Liquid (29795)), Lecithin (Sunflower Lecithin Powder (19223)), Leek (IQF, Puree, Blanched, Cut (32233)), Lemon Juice (NFC (11578, 12344)), Lemon Juice (NFC (11675, 28671)), Lemon Juice (NFC (28671)), Lemon Juice (NFC/Concentrate (12024)), Lemon Juice Concentrate ((11675)), Lemon Juice Concentrate (Clear (12558)), Lemon Juice Concentrate (Cloudy (12558)), Lentils (Eston Lentil (12551, 11988)), Lentils (Green (11988)), Lentils (Green (13677)), Lentils (Laird (11988)), Lime Juice (Frozen Pasteurized Persian NFC (13238)), Lime Juice (NFC (11578)), Lime Juice (NFC (11675)), Lime Juice (NFC/Concentrate (12024)), Lime Juice Concentrate ((13238)), Macadamia Nuts ((11199)), Macadamia Nuts (Kernels (11274)), Malt Extract (Liquid (11678)), Malt Extract Powder (10001 (27310)), Maltodextrin ((19255)), Maltodextrin (P202685 Maltodextrin Rice (26536)), Maltose Syrup ((31905)), Mango Powder ((24834)), Mango Puree ((11675)), Mango Puree ((27447)), Mango Puree (Aseptic (12183)), Mango Puree (Aseptic (27447)), Mango Puree (Aseptic (Nonretail) (11394)), Maple Syrup ((11319)), Maple Syrup (Maple Syrup Grade A Very Dark Color Strong Taste (13078)), MCT Oil (Powder (50%-60%-70%) (12869)), Millet Flour (Gluten Free (12678)), Misc Powders (Psyllium (14377)), Misc. Colors ("Fruit &amp; Veg Red" 15337 (13342)), Misc. Grain Powder (CereSweet 50 (12560)), Molasses (Blackstrap), Molasses (International (11678)), Mung Beans ((13677)), Noni Powder ((20460)), Nutmeg (Ground (12399)), Oat Flour (Gluten Free (26406)), Oat Milk ((25506)), Oats (Whole Oat Groats (23224)), Olive Oil ((11836)), Olive Oil (Extra Virgin (18520-M)), Olive Oil (Extra Virgin (27578, 18520-C)), Olive Oil (Extra Virgin (Bulk and Retail) (27578)), Olive Oil (Extra Virgin (in Bulk) (11836)), Onion ((12618)), Onion (Green Onions (IQF, Puree, Roasted, Cut) (32233)), Onion (Red, White, Yellow - IQF, Puree, Blanched, Roasted, Cut, Reduce Moisture (32233)), Orange Juice (Blood Orange NFC (11578)), Orange Juice (NFC (11675)), Orange Juice (P008640 (19491)), Orange Juice Concentrate ((11578)), Orange Juice Concentrate ((11675, 12558, 12441)), Oregano ((13634)), Oregano (Mediterranean (12399)), Paprika ((12399)), Parmesan Cheese (Grated (12243)), Parmesan Cheese (Shredded (12243)), Parsley ((11617)), Parsley (Air Dried Curly Parsley Steam-Treated Flakes 754 - F01774 (25110)), Parsley (Flakes (12399, 11975)), Parsley (IQF (12227)), Passion Fruit Juice (NFC (11675)), Passion Fruit Juice (NFC (11675, 11578)), Pea Protein ((12420)), Pea Protein ((12869)), Pea Protein (80% (31366)), Pea Protein (Wet (17786)), Pea Puree ((11858)), Peach Juice Concentrate ((11578, 12234)), Peach Puree ((12234)), Peach Puree ((12558)), Peach Puree (Pulp (12441)), Peanut Butter (Natural, Crunchy (17502)), Peanuts (Roasted #GMSO (13060)), Pear Juice Concentrate ((12558)), Pear Juice Concentrate ((12558, 12441)), Pear Puree ((12234)), Pecans (Dry Roasted (Bulk) (31978)), Pecans (Fancy Blend (Bulk) (31978)), Pepper Puree ((Frozen Puree) Roasted Chili (11532)), Pepper Puree (Red Bell Pepper Frozen Puree (11532)), Pineapple Juice (P007812 (19491)), Pineapple Juice Concentrate ((11578)), Pineapple Puree (Aseptic (11985)), Pineapple Puree (Aseptic (12430)), Pistachios (Pistachio Kernels Dry Roasted No Salt (14614)), Pomegranate Juice Concentrate ((11578, 12663)), Pomegranate Powder ((11825)), Poppy Seeds ((12161)), Poppy Seeds ((12537)), Prickly Pear Puree ((11675)), Prune Juice (NFC (31746)), Psyllium husk (Powder 95% (11091)), Pumpkin Juice Concentrate ((13077)), Pumpkin Kernel ((12161)), Pumpkin Kernel (Shineskin, Dried (16291)), Pumpkin Puree ((12234)), Pumpkin Puree (Aseptic (12409)), Quinoa (Flakes (12161)), Quinoa (IQF Red (12138)), Quinoa (Red, White, Black, Tri (12161)), Quinoa (Tri-color (12537)), Quinoa (White (19384)), Quinoa (White (28398)), Quinoa Flour (Coarse (12678)), Raisin Juice Concentrate ((11888)), Raisin Puree ((19130)), Raspberry Juice Concentrate ((12835)), Raspberry Juice Concentrate (Red (11578)), Raspberry Powder ((20460)), Raspberry Powder (Freeze Dried Raspberry Sliced F01956 (12676)), Raspberry Puree ((12669)), Raspberry Puree (NFC Red (11858)), Raspberry Puree (Single Strength (11514)), Release Agent (Bio DIVISION 75 (27728)), Release Agent (Bio Release (28) (27728)), Release Agent (Bio Release 250 (27728)), Rice (White) (Long Grain Parboiled (12138)), Rice (Wild) ((12138)), Rice Bran (Stabilized Rice Bran (29218)), Rice Flour (Brown (12678)), Rice Flour (Long Grain Brown (12678)), Rice Flour (Long Grain White (12678)), Rice Flour (Medium Grain White (12678)), Rice Maltodextrin ((10 DE, 18DE) (12233)), Rice syrup (Solids (28DE, 42DE) (12233)), Rolled Oats ((12161)), Rolled Oats ((23224)), Rolled Oats (Gluten Free (26406)), Romano Cheese (Grated &amp; Shredded (12243)), Rosemary (Ground (12399)), Rye ((12585)), Safflower Oil (High Oleic (18520-M)), Sage (Rubbed (12399)), Seasoning Blend (Chili Powder Blend (11975)), Seed Protein Powder (Pumpkin Protein Powder 60% (11091)), Seed Protein Powder (Watermelon (29245)), Sesame Oil ((27578)), Sesame Seeds ((19384)), Sesame Seeds (Toasted Natural (12697)), Small Red Beans ((13677)), Sorghum (Flakes Gluten Free OGFSF 168 (11260)), Sorghum Flour ((12678)), Soy Lecithin (Soya Lecithin Liquid (29795)), Soybean Oil ((18520-C)), Soybean Oil ((18520-M)), Spelt ((12585)), Spinach ((12618)), Spinach ((13634)), Spirulina (Powder (11825)), Spirulina Extract ((30729)), Squash Puree (Winter Squash/Pumpkin (11158)), Stevia Extract (SteviaSweet 95-60 (12753)), Strawberry Flavor (Essence SID48513D), Strawberry Juice Concentrate ((11578, 11985)), Strawberry Juice Concentrate ((12558)), Strawberry Juice Concentrate ((12558, 12441)), Strawberry Puree ((11388, 12669)), Strawberry Puree ((12558)), Strawberry Puree (Aseptic (11985)), Strawberry Puree (Frozen), Strawberry Puree (Pasteurized Frozen (17119)), Sunflower Butter ((31013)), Sunflower Butter ((bulk, non-retail) (12070)), Sunflower Kernel ((12161)), Sunflower Oil ((18520-C)), Sunflower Oil ((18520-M)), Sunflower Oil (HO RBDW (27578)), Sunflower Seeds ((12537, 12225)), Sweet Dairy Whey Powder (DairyPro Sweet Whey Powder (11978)), Sweet Potato Puree ((12234, 12409)), Sweet Potato Puree ((12562)), Sweet Potato Puree (Frozen (11158)), Sweet Potato Puree (Frozen (12192)), Sweet Potato Puree (Purple Frozen (12192)), Sweetener Blend (Isomalto-oligosaccharide (IMO) Powder (7003P-B) (16516)), Sweetener Blend (Isomalto-oligosaccharide (IMO) - (4001T-B) (16516)), Tamari Soy Sauce (Gluten Free (12360)), Tamari Soy Sauce (Gluten Free (18369)), Tamari Soy Sauce (Gluten Free (from Taiwan) (12360)), Tamarind (Paste (12399)), Tangerine Juice Concentrate ((11578)), Tapioca Maltodextrin ((10DE, 18DE) (12233)), Tapioca Starch ((12161)), Tapioca Starch ((19255)), Tapioca Starch ((19339)), Tapioca Starch ((19339, 31905)), Tapioca Syrup ((11678, 19255)), Tapioca Syrup ((28DE, 42DE, 60DE) (12233)), Tapioca Syrup (28 to 64 DE (26536)), Tapioca Syrup (42 DE (31905)), Tapioca Syrup (42DE BriesSweet (27310)), Tapioca Syrup (Solids (28DE, 42DE) (12233)), Thyme ((12399)), Thyme (Leafs (12399)), Tomato Paste ((11895, 11875)), Tomato Puree (Ground Tomatoes in Puree (11875)), Tomatoes (Diced Tomatoes in Juice (11895)), Turmeric (Ground (12399)), Turmeric (P200657 Puree (19491)), Turmeric Juice (P133036 (19491)), Turmeric Powder ((11825)), Turmeric Powder ((14377)), Vanilla Extract (93.4020 Pure Vanilla Extract (12883)), Vanilla Extract (Pure (21341)), Vanilla Powder ((11091)), Walnuts (Halves and Pieces (Wholesale) (11467)), Watermelon Flavor (Essence SID48065D), Watermelon Juice ((13241)), Watermelon Juice Concentrate ((12341)), Watermelon Puree ((13241)), Wheat Flour (Khorasan Kamut® Brand (11872)), White Vinegar (Distilled (11476)), Whole Wheat Flour (Khorasan Kamut® Brand (11872)), Yeast Extract (BIOREAL Yeast Autolysate Flakes with Rice AF (25185)), Yellow Mustard (Powder (12399)), Zucchini (Diced (15883)), Zucchini (IQF, Blanched, Roasted, Cut, Reduce Moisture (32233))</t>
  </si>
  <si>
    <t>Other: #Processing, pelleting, and handling of organic whole grains for feed and seed, single-ingredient products, custom mixes, complete livestock feeds (large animals), and poultry rations; Grain Bank storage of organic commodities., *Layer Rations (each as 'Brown', *'Economy', *and 'Omega', *or 'No-Soy'): P140, *P160, *P180, *Poultry Rations: 18% Poultry Grower, *20% Poultry, *22% Poultry, Complete Livestock Feeds (Large Animals): Calf 14%, Calf 14% No Soy, Calf 16%, Calf 16% No Soy, Calf Pellet 16%, Calf 18%, Calf 18% Pellet, Calf 12%, Dairy 12% No Soy, Dairy 12%, Dairy 14%, Dairy 16% No Soy, Dairy 16%, Dairy 18% No Soy, Dairy 18%, Dairy Top Dress, Goat 14% No Soy, Goat 14%, Goat Sheep 14%, Goat/Sheep 16%, Goat 16%, Goat Pellet 16%, Goat 18%, Goat Pellet 18%, 14% Hog Finisher, 14% Hog Gestation, 14% Hog Lactation, 14% Hog Finisher No Soy, 16% Hog Grower Pellet, 16% Hog Grower, 16% Hog Gestation, 16% Hog Lactation, 16% Hog Grower No Soy, 18% Hog Starter No Soy, 18% Hog Starter, 18% Hog Pellets, 20% Hog Starter, 20% Hog No-Soy, Horse 14%, Mature Horse 12%, Layer Rations (each as 'Brown', 'Economy', and 'Omega', or 'No-Soy': P100, P105, P110, P115, P120, P125, P130, P135, P140, P145, P150, P155, P160, P165, P170 Peak, P175, P180, P185, P190, P195, P200, P220, P20 Limited Intake, P22 Limited Intake, P24 Limited Intake, Peak Layer Ration, Organic 16% Chicken Layer (Corn/Soy Meal Free), Organic 18% Chicken Layer (Soy Meal Free), Liquid Single-Ingredient Products: Molasses, Soy Oil, Organic 16% Chicken Layer (Corn/Soy Meal Free), Organic 18% Chicken Layer (Soy Meal Free), 18% Chick Grower (Corn/Soy Meal Free), 18% Chicken Layer (Corn/Soy Meal Free), 21% Chicken Starter (Corn/Soy Meal Free), Organic Flax Seed Ground, Organic Layer No-Soy Omega Ration with Essential Oil, Organic Chick Start No-Soy Ration with Essential Oil, Organic Layer Ration, Organic Livestock Supplements: Easy-Pro Blending Pellets, Poultry Rations: 16% Pullet Developer, 18% Chick Grower (Corn/Soy Meal Free), 18% Poultry Grower, 18% Poultry Grower Pellets, 18% Chicken Layer (Corn/Soy Meal Free), 18% Poultry Grower No Soy, 18% No Soy Poultry Pellets, 20% Poultry, 20% Poultry Pellet, 20% Poultry No-Soy, 20% No-Soy Poultry Pellets, 22% Poultry, 22% Poultry Pellets, 22% No-Soy Poultry, 22% No-Soy Poultry Pellets, 21% Chicken Starter (Corn/Soy Meal Free), Storage of Organic Commodities: Corn, Soy Meal, Flax, Wheat, Barley, Turkey and Duck Feeds: Duck 18% Grower, Duck 22% Starter, Duck Layer, 18% Turkey, 20% Turkey, 22% Turkey, 24% Turkey, 24% Turkey Pellet, 24% Turkey No Soy, 26% Turkey Pellet, 26% Turkey, Whole Grains or Single Ingredient Products: Alfalfa meal, Barley, Barley seed, Corn, Flax Meal, Flax Seed, Feed Oats, Seed Oats, Peas, Soybeans, Expelled Soybean Meal, Sunflower Meal, Wheat, Alfalfa Pellets, Scratch Grain, Rye Seed, Sugar</t>
  </si>
  <si>
    <t>Fruits/Vegetables: Coconut Meat; Beverage Related Products: Coconut Water, Non-Dairy Milk (Coconut smoothie), Purees (Coconut Puree), Raw coconut water; Other: Coconut Puree Formula 1, Coconut Smoothie Formula 1, Coconut Water Formula 1, Coconut Water Formula 2, Frozen Coconut Meat, Frozen Coconut Water, Frozen Coconut Water Formula 1</t>
  </si>
  <si>
    <t>Other: #Processing, handling, cutting, packaging, labeling and distribution of dairy products, *Cheddar, *Colby, *Monterey Jack, *Colby Cheeses: Marbled, *White, *Yellow, *Farmers Cheese, *Liquid Sweet Whey, *Monterey Jack Cheese, *Other Cheeses: Brick, *Butterkaese, *Feta, *Fontina, *Gouda, *Gruyere, *Havarti, *Mozzarella, *Muenster, *Part Skim Yogurt Cheese, *Raw Milk, *Sweet Whey Cream, *White Cheddar: Curds, *Extra Sharp, *Kosher, *Medium, *Mild, *Non-pasteurized, *Reduced Fat, *Sharp., *Yellow Cheddar Cheeses: Curds, *Extra Sharp, *Medium, *Mild, *Reduced Fat, *Sharp, Farmers Cheeses: Dill, Tomato &amp; Basil, Monterey Jack Cheeses: Dill, Jalapeno Peppers, Jalapeno and Habanero Peppers., Other cheese: Pizza, White Cheddar Cheeses: Curds with Dill &amp; Garlic, Dill, Dill &amp; Garlic, Garlic, Jalapeno Peppers, Jalapeno &amp; Habanero, Tomato Basil</t>
  </si>
  <si>
    <t>Other: Baking Mix (Mold Inhibitor WCE 14), Baking Mix (Softase 704), Beans (Garbanzo Beans), Coconut (Coconut Chips), Dairy (Buttermilk Blend), Distributing (Client Profile Products only) (Distribution of previously packed items by certified vendors), Dried Fruits (Cranberries), Dried Fruits (Raisins - Select), Flour (Artisan Bakers Craft), Flour (Artisan Bakers Craft Plus), Flour (Barley Flour), Flour (Beehive Unbleached AP Malted), Flour (Bred Mate 2500), Flour (Buckwheat Flour), Flour (California Whole Wheat Medium), Flour (Extra Fancy Durum), Flour (Garbanzo Bean), Flour (Gluten Free Hulled Millet Flour Fine), Flour (Gluten Free Long Grain Brown Rice Flour Fine), Flour (Gluten Free White Sorguhum Flour Fine), Flour (Hard White Whole Wheat), Flour (High Mountain ), Flour (Liberté Tradition T65), Flour (Long Grain White Rice Flour Fine), Flour (Malted Barley), Flour (Medium White Rye), Flour (Pumpernickel Rye), Flour (Rize Up Blend), Flour (S 500 Green), Flour (Semolina), Flour (Stone Ground California Whole Wheat), Flour (Stone Ground Rye), Flour (Stone Ground Spelt), Flour (Type 00 Normal), Flour (Type 00 Reinforced), Flour (Type 110 Wheat), Flour (Type 70 Malted), Flour (Type 70 Pastry), Flour (Type 80 Khorasan Flour), Flour (Type 80 Wheat), Flour (Type 85), Flour (Type 85 Malted ), Flour (Type 85 Spelt), Flour (Unbleached Pastry), Flour (Vital Wheat Gluten), Flour (White Spelt), Flour (Whole Dark Rye), Flour (Whole Khorasan), Flour (Whole Oat Flour), Flour (Whole Spelt), Flour (Whole Wheat Durum), Flour (Whole Wheat Hi Pro Fine), Flour (Whole Wheat Hi Pro Fine (ACME)), Flour (Whole Wheat Hi Pro Medium ), Flour (Whole Wheat Pastry), Flour (Whole Wheat Special), Flour (Yellow Corn Flour Fine), Grains (Buckwheat Groats), Grains (California Wheat Berries), Grains (Corn Grits (Polenta)), Grains (Crushed Wheat), Grains (Durum Berries), Grains (Golden / White Quinoa), Grains (Hard Red Spring Berries), Grains (Hard Red Sprouted Wheat), Grains (Hard Red Winter Berries), Grains (Hard White Wheat Berries), Grains (Hulled Barley), Grains (Hulled Millet), Grains (Khorasan), Grains (Regular Rolled Oats #5), Grains (Rye Berries), Grains (Rye Flakes), Grains (Soft White Wheat Berries), Grains (Spelt Berries), Grains (Steel Cut Cracked 6 Grain), Grains (Steel Cut Cracked 9 Grain), Grains (Steel Cut Cracked Rye), Grains (Steel Cut Cracked Wheat), Grains (Wheat Bran ), Grains (Whole Corn ), Grains (Whole Oat Groats), Milk (Dry) (Non Fat Powder Low Heat), Nuts (Walnuts), Oats (Baby), Oats (Gluten Free Regular Rolled Oats #5), Oats (Gluten Free Thick Cut Old Fashioned Rolled Oats #3), Oats (Quick), Oats (Steel Cut Oat Groats), Oats (Thick Cut Rolled Oats #3), Oils (Canola), Oils (Extra Virgin Olive Oil), Oils (Sunflower), Packaging (Client Profile Products only), Powder (Instant Yeast), Seed (Fennel), Seed (Flax Meal Brown), Seed (Flax Meal Golden), Seed (Flax Seed - Brown), Seed (Flax Seed Golden), Seed (Oasis Seed Mix), Seed (Poppy Seed ), Seed (Pumpkin Kernels), Seed (Sesame - Natural Brown ), Seed (Sesame Hulled White ), Seed (Sunflower Kernals - Import), Seed (Sunflower Seed - Domestic ), Seeds (Sesame Black), Seeds (Super Seed Mix), Spices (Cinnamon), Spices (Garlic Minced), Spices (Onion Minced), Sweetener (Bittersweet Wafer 66%), Sweetener (Blackstrap Molasses), Sweetener (Blue Agave), Sweetener (Cane Sugar), Sweetener (Coconut), Sweetener (Dark Brown Sugar), Sweetener (Honey), Sweetener (Light Brown Sugar), Sweetener (Maple Syrup), Sweetener (Powdered Sugar), Tomatoes (Whole Peeled), Tomatoes (Crushed) (Rustic Crush), Vinegar (120 Grain White Distilled)</t>
  </si>
  <si>
    <t>Other: Animal Feed (Dairy Cow Feed - Grains, Meals), Animal Feed (Soy Bean Meal), Transloading (Client Profile Products only)</t>
  </si>
  <si>
    <t>Other: Barley, Beans (Black), Beans (Pinto), Cheese (Parmesan), Cheese (Romano), Dairy (Buttermilk), Dairy (Buttermilk Powder), Dairy (Half &amp; Half), Dairy (Heavy Cream), Dairy (Milk), Eggs (Liquid Whites), Eggs (Liquid Whole), Fruit Puree (Banana), Fruit Puree (Mango), Powder (Carrot), Rice (Brown), Vegetable Puree (Butternut Squash), Wheat Flour (Whole Wheat)</t>
  </si>
  <si>
    <t>Oils &amp; Oleoresins: Oils (Unio Siurana Organic 12/0.5 LT); Fruits/Vegetables: Vegetables (Organic Whole Peeled Tomatoes 6/660gm); Dairy: Cheese (Parm Reggiano Organic 4/10#), Cheese (Parm Reggiano Organic Wedges 20/250gm), Cheese (Parra Family ORGANIC MANCHEGO CHEESE 2/7#); Beverage Related Products: Juice (Apple Juice), Juice (Clementine Juice Bio 12/200 ML), Juice (CLEMENTINE JUICE BIO 6/1L), Juice (Pear Juice), Juice (Pineapple Juice), Juice (Tomato Juice Bio 12/200 ML), Juice (Tomato Juice Bio 6/1L), Juice (White Grape Juice Bio 6/1L), Lemonade Bio 6/1L, LEMONADE ORG 12/200ML; Other: LC Piquillo Peppers Artesenal, Tomato Paste Organic 6/8.8oz, Tomato Puree Organic 6/14.1 oz</t>
  </si>
  <si>
    <t>Other: (03-1253) PowerBean Organic - Bean, (03-1253-G) PowerBean Organic - Ground, (101000) Stoneledge Farm - FTO Organic Farm Blend 1# Bean, (101001) Stoneledge Farm - FTO Organic Farm Blend 1# Ground, (101673) Stoneledge Farm - FTO Organic Honduran 1# Bean, (101674) Stoneledge Farm - FTO Organic Honduran 1# Ground, (101675) Stoneledge Farm - FTO Organic Decaf Peru 1# Ground, (101676) Stoneledge Farm - FTO Organic Decaf Peru 1# Bean, (104158) Stoneledge Farm - FTO Organic Espresso 1# Bean, (104159) Stoneledge Farm - FTO Organic Espresso 1# Ground, (104974) Stoneledge Farm - FTO Organic Guatemalan 1# Bean, (104975) Stoneledge Farm - FTO Organic Guatemalan 1# Ground, (1092) FTO Mexican - BULK#1, (109363) King Brothers Dairy - FTO Organic Sumatran 1# Bean, (109364) King Brothers Dairy - FTO Organic Sumatran 1# Ground, (121955) Taste Budd's - FTO Organic Decaf Cafe Blend 12 oz. Bean, (1667) FTO Guatemalan - BULK#1, (1668) FTO Nicaraguan - BULK#1, (1670) FTO Ethiopian - BULK#1, (1673) FTO Peru - BULK#1, (1675) FTO SWP Decaf Peru - BULK#1, (1R1092-BULK) Currency Coffee FTOO Mexican Oaxaca - 1#, (1R1668-BULK) Currency Coffee FTOO Nicaraguan - 1#, (1R4158) Espresso, (1R9363-BULK) Currency Coffee FTOO Sumatra Dark - 1#, (25G1167) Guatemalan, (25G1668) Nicaraguan, (25G1670) Ethiopian, (25G1673) French Roast, (25G1675) Decaf, (25G5665) Harvest, (25G9362) Sumatran, (5R1092) Mexican, (5R1092-G) Ground FTO Organic Mexican Oaxaca 5# (French Press Grind), (5R1167) Guatemalan, (5R1167-G) Ground FTO Organic Guatemalan 5# (Regular Drip), (5R1668) Nicaraguan, (5R1668-G) Ground FTO Organic Nicaraguan 5# (Regular Drip), (5R1670) Ethiopian, (5R1673) Peru French, (5R1673-G) Ground FTO Organic Peru French Roast 5# (Regular Drip), (5R1675) Decaf Peru, (5R1675-G) Ground FTO Organic SWP Decaf Peru 5# (French Press Grind), (5R1681) Decaf Espresso, (5R4158) Espresso, (5R4158-G) Ground FTO Organic Espresso Blend 5# (Regular), (5R5664) Taste Budd's - FTO Organic Cafe Blend 5#, (5R5664-G) Taste Budd's - Ground FTO Organic Cafe Blend 5# (Regular Drip), (5R5665) Harvest, (5R5665-GG) Ground FTO Organic Harvest Blend 5# (Regular Drip), (5R5665-NB) Ground FTO Organic Harvest Blend - Cold Brew 5# (French Press Grind), (5R6022) Honduras, (5R6789) House, (5R9363) Sumatran, (6022) Organic Peru - BULK#1, (6030) Organic Colombian - BULK#1, (6035) Organic Sumatra - BULK#1, (6040) Organic Mexican - BULK#1, (6050) Organic Nicaraguan - BULK#1, (6060) Organic Guatemalan - BULK#1, (9363) FTO Sumatran - BULK#1, (BIZ5R1092) Currency Coffee - FTO Organic Mexican Oaxaca 5#, (BIZ5R1668) Currency Coffee - FTO Organic Nicaraguan 5#, (BIZ5R1670) Currency Coffee - FTO Organic Ethiopian 5#, (BIZ5R9363) Currency Coffee - FTO Organic Sumatra Dark Roast 5#, (BL5ORG-CB-G) Blue Line, Cold Brew 5# Ground, (BL5ORG-LIGHT-B) Blue Line, Harvest Blend 5# Bean, (CK5R1655) Crafted Kup - FTO Organic House Blend 5#, (CURCFTM64250) Currency Coffee - FTO Organic Oaxaca 64/2.5 oz., (CURETH2450) Currency Coffee - FTO Ethiopian 64/2.5 oz., (CUROD64250) Currency Coffee - FTO Decaf 64/2.5 oz., (GE121167) Green Earth - FTO Organic House Blend 12 oz. Bean, (GE121668) Green Earth - FTO Organic Nicaraguan 12 oz. Bean, (GE121670) Green Earth - FTO Organic Ethiopian 12 oz. Bean, (GE125665) Green Earth - FTO Organic Harvest Blend 12 oz. Bean, (GE129363) Green Earth - FTO Organic Sumatran 12 oz. Bean, (LM121092-G) Mexican Oaxaca 12.oz Ground, (LM121167-B) House Blend 12.oz Bean, (LM121167-G) Harvest Blend 12.oz Ground, (LM121167-G) Little Market House Blend 12.oz Ground, (LM121670-G) Ethiopian 12.oz Ground, (LN-121668G) LN - Wolfjaw FTOO Peak Roast 12 oz. Ground, (LN-121673G) LN - Wolfjaw FTOO Bastille Roast 12 oz. Ground., (LN-125665G) LN - Wolfjaw FTOO Savage Roast 12 oz. Ground, (NCO121092) Niskayuna Co-Op - FTO Organic Mexican 12 oz. Bean, (NCO121167) Niskayuna Co-Op - FTO Organic Guatemalan 12 oz. Bean, (NCO121668) Niskayuna Co-Op - FTO Organic Nicaraguan 12 oz. Bean, (NCO121670) Niskayuna Co-Op - FTO Organic Ethiopian 12 oz. Bean, (NCO121675) Niskayuna Co-Op - FTO Organic SWP Decaf Peru 12 oz. Bean, (NCO121676) Niskayuna Co-Op - FTO Organic Peru French Roast 12 oz. Bean, (NCO129363) Niskayuna Co-Op - FTO Organic Sumatran 12 oz. Bean, (SC5R1660) Saratoga Coffee Traders - FTO Organic Clean Bean 5#, (SC5R1677) Saratoga Coffee Traders - FTO Organic Decaf Peru 5#, (SC5R5668) Saratoga Coffee Traders - FTO Organic SPAC Attack 5#, (SC5R5676) Saratoga Coffee Traders - FTO Organic Jockey Joe 5#, (SM125665) South Mountain Cycles - FTO Organic Harvest Blend 12 oz. Bean, (SM5R5665) South Mountain Cycles - FTO Organic Harvest Blend 5#, (TB124158) Taste Budd's - FTO Organic Espresso 12 oz. Bean, (TB125664) Taste Budd's - FTO Organic Cafe Blend 12 oz. Bean, (TB129363) Taste Budd's - FTO Organic Sumatran 12 oz. Bean, (US121092) Uncle Sam's - FTO Organic Mexican Oaxaca 12 oz. Bean, (US121167) Uncle Sam's - FTO Organic Guatemalan 12 oz. Bean, (US121668) Uncle Sam's - FTO Organic Nicaraguan 12 oz. Bean, (US121670) Uncle Sam's - FTO Organic Ethiopian Sidamo 12 oz. Bean, (US121675) Uncle Sam's - FTO Organic Decaf French Roast Peru 12 oz. Bean, (US121676) Uncle Sam's - FTO Organic Peru French Roast 12 oz. Bean, (US125665) Uncle Sam's - FTO Organic Harvest Blend 12 oz. Bean, (VCD208) Vermont Coffee Company - Dark Roast 20/8 oz., (VCD403) Vermont Coffee Company - Dark Roast 40/3 oz, (VCL208) Vermont Coffee Company - Light Roast 20/8 oz., (VCL403) Vermont Coffee Company - Light Roast 40/3 oz, (VCM208) Vermont Coffee Company - Medium Roast 20/8 oz., (VCM403) Vermont Coffee Company - Medium Roast 40/3 oz., (VCSWP208) Vermont Coffee Company - Decaf Roast 20/8 oz., (VCSWP403) Vermont Coffee Company - Decaf Roast 40/3 oz, [ BL12ORG-LIGHT-G] **Blue Line - Organic Light Roast 12/12 oz. Ground, [125663] Taste Budd's - FTO Budd's Buzz 12/12 oz. Bean, [1R1092] Chris' Coffee - FTO Mexican 1# Bean, [1R1167] Chris' Coffee - FTO Guatemalan 1# Bean, [1R1668] Chris' Coffee - FTO Nicaraguan 1# Bean, [1R1670] Chris' Coffee - FTO Ethiopian 1# Bean, [1R1673] Chris' Coffee - FTO Peru French Roast 1# Bea, [1R1675] Chris' Coffee - FTO Decaf Peru 1# Bean, [1R5665] Chris' Coffee - FTO Harvest 1# Bean, [1R6789] Chris' Coffee - FTO House 1# Bean, [1R9363] Chris' Coffee - FTO Sumatra 1# Bean, [5R5663] Taste Budd's - FTO Budd's Buzz 5#, [BC1016789-B] Broadway Coffee - FTO Morning Magic 10/1# Bean, [BL12ORG-CB-G] **Blue Line - Organic Cold Brew 12/12 oz. French Press Ground, [BL12ORG-LIGHT-B] **Blue Line - Organic Light Roast 12/12 oz. Bean, [FFCS22-B] For Five Coffee Roasters - Corsa Espresso 1kg, [FFGAR259] For Five Coffee Roasters - Grand Ave Roast 25/9oz, [FFHB259] For Five Coffee Roasters - House Blend 25/9oz, [FFSWPD22-B] For Five Coffee Roasters - Swiss Water Decaf 1kg, [FFSWPD256] For Five Coffee Roasters - Swiss Water Decaf 25/6oz, [GH1015665] Grasshopper Heating - FTO Harvest Blend 1# Ground, [HB101109B] Happie Bean - FTO Decaf Peru 10/1# Bean, [HB101192B] Happie Bean - FTO Mexican 10/1# Bean, [HB121167B] Happie Bean - FTO Guatemalan 10/1# Bean, [HB121167G] Happie Bean - FTO Guatemalan 12/12 oz. Ground, [HB1212109G] Happie Bean - FTO Decaf Peru 12/12 oz. Ground, [HB1212192G] Happie Bean - FTO Mexican 12/12 oz. Ground, [HB121668-B] Happie Bean - FTO Nicaraguan 10/1# Bean, [HB121668-G] Happie Bean - FTO Nicaraguan 10/1# Ground, [HB121670B] Happie Bean - FTO Ethiopian 10/1# Bean, [HB121670G] Happie Bean - FTO Ethiopian 12/12 oz. Ground, [HB121676B] Happie Bean - FTO Espresso 10/1# Bean, [HB125665G] *Happie Bean - FTO Harvest Blend/Cold Brew 12/12 oz. Ground, [HBDPEG] Happie Bean - FTO Decaf Peru 10/1# Ground, [HBETHG] Happie Bean - FTO Ethiopian 10/1# Ground, [HBGUAG] Happie Bean - FTO Guatemalan 10/1# Ground, [HBHONB] Happie Bean - FTO Honduras 10/1# Bean, [HBHONG] Happie Bean - FTO Honduras 10/1# Ground, [HBMEXG] Happie Bean - FTO Mexican 10/1# Ground, [HBSUMB] Happie Bean - FTO Sumatra 10/1# Bean, [HBSUMG] Happie Bean - FTO Sumatra 10/1# Ground, [HR1011670-B] Hudson Roastery - FTO Catskill Campfire 12/12 oz. Bean, [HR1011673-B] Hudson Roastery - FTO Opera House 12/12 oz. Bean, [HR1011675-B] Hudson Roastery - FTO Decaf Athens Light House 12/12 oz. Bean, [HR1014158-B] Hudson Roastery - FTO Rip Van Winkle 12/12 oz. Bean, [HR1015668-B] Hudson Roastery - FTO Diamond Street 12/12 oz. Bean, [HR1016075-B] Hudson Roastery - FTO Warren Street 12/12 oz. Bean, [HR5R1670] Hudson Roastery - Catskill Campfire 5# Bean, [HR5R1673] Hudson Roastery - Hudson Opera House 5# Bean, [HR5R1675] Hudson Roastery - Decaf Hudson-Athens Light House 5# Bean, [HR5R4158] Hudson Roastery - Rip Van Winkle Blend 5# Bean, [HR5R5668] Hudson Roastery - Diamond Street 5# Bean, [HR5R6756] Hudson Roastery - Taconic Traveler 5# Bean, [HR5R6756-B] Hudson Roastery - Taconic Traveler 12/12 oz. Bean, [HUMB101] Hummingbird Heating &amp; Cooling - Roast 10/1# Ground, [KRC125665-G] Keep Right Cafe - Can Jo 12/12 oz. Ground, [MO101167B] Motor Oil - FTO High Octane 10/1# Bean, [MO101167G] Motor Oil - FTO High Octane 10/1# Ground, [MO1014158B] Motor Oil - FTO Jet Fuel 10/1# Bean, [MO1014158G] Motor Oil - FTO Jet Fuel 10/1# Ground, [MO121675B] Motor Oil - FTO Decaf Zero Emission 10/1# Bean, [MO121675G] Motor Oil - FTO Decaf Zero Emission 10/1# Ground, [MO125665B] Motor Oil - FTO Cruise Control 10/1# Bean, [MO125665G] Motor Oil - FTO Cruise Control 10/1# Ground, [MX121673-B] Moxxi - FTO Wild Ambition 12/12 oz. Bean, [MX121673-G] Moxxi - FTO Wild Ambition 12/12 oz. Ground, [MX125688-B] Moxxi - FTO Blonde Ambition 12/12 oz. Whole Bean, [MX125688-G] Moxxi - FTO Blonde Ambition 12/12 oz. Ground, [MX2R1673-B] Moxxi - FTO Wild Ambition 2.5# Bean, [MX2R1673-G] Moxxi - FTO Wild Ambition 2.5# Ground, [MX2R5688-B] Moxxi - FTO Blonde Ambition 2.5# Bean, [MX2R5688-G] Moxxi - FTO Blonde Ambition 2.5# Ground, [MX5R1673-B] Moxxi - FTO Wild Ambition 5# Bean, [MX5R1673-G] Moxxi - FTO Wild Ambition 5# Ground, [MX5R5688-B] Moxxi - FTO Blonde Ambition 5# Whole Bean, [MX5R5688-G] Moxxi - FTO Blonde Ambition 5# Ground, [NB121668] Nolita's Cafe and Gallery - Organic Nicaraguan 12 oz. Bean, [NB121670] Nolita's Cafe and Gallery - Organic Ethiopian 12 oz. Bean, [NB129363] Nolita's Cafe and Gallery - Organic Sumatran 12 oz. Bean, [NC121092] Nana's Cafe - FTO Mexican 12/12 oz. Bean, [NC125665] Nana's Cafe - FTO Organic Harvest Blend 12 oz. Bean, [PDT1011167] PDT Market - FTO Guatemalan 10/1# Bean, [PDT1011673] PDT Market - FTO French Roast 10/1# Bean, [PDT1015665] PDT Market - FTO Harvest Blend 10/1# Bean, [SC1R1660] Saratoga Coffee Traders - FTOO Clean Bean 1# Bean, [SC1R1677] Saratoga Coffee Traders - FTOO Decaf Peru 1# Bean, [SC1R4158] Saratoga Coffee Traders - FTOO Espresso 1# Bean, [SC1R5668] Saratoga Coffee Traders - FTOO Spac Attack 1# Bean, [SC1R5676] Saratoga Coffee Traders - FTOO Jockey Joe 1# Bean, [SC1R6075] Saratoga Coffee Traders - FTOO Triple Crown 1# Bean, [SC5R4158] Saratoga Coffee Traders - FTO Organic Saratoga Espresso Blend 5#, [SC5R6075] Saratoga Coffee Traders - FTO Triple Crown 5#, [TB126689] Taste Budd's - FTO Organic Budd's Positive Light 12/12 oz. Bean, [TB5R6689] Taste Budd's - FTO Organic Budd's Positive Light 5#</t>
  </si>
  <si>
    <t>Other: Bi-Color Sweet Corn, Butternut Squash,  Spaghetti Squash</t>
  </si>
  <si>
    <t>Other: Canola Livestock Feed, Dried Distillers Grains, Kelp Livestock Feed, Kelp Livestock Feed (Meal), Livestock Feed (Goat Blend , Custom Blend), Livestock Feed (Horse Blend, Custom Blend), Livestock Feed (Kountry Buffet 14% Texture), Livestock Feed (Rabbit Blend, Custom Blend), Livestock Feed - Alfalfa (Pellets), Livestock Feed - Barley ((Whole, Rolled, Ground)), Livestock Feed - Beef Blend (Custom Feed), Livestock Feed - Calf Blend (Calf 18% Texture), Livestock Feed - Calf Blend (Custom Feed), Livestock Feed - Corn ((Whole, Rolled, Ground, Cracked)), Livestock Feed - Dairy Blend (16-8 Mineral for Lactating Dairy Cattle), Livestock Feed - Dairy Blend (Custom Feed), Livestock Feed - Dairy Blend (Dry Cow Vit/Mineral for Non-Lactating Dairy Cattle), Livestock Feed - Flax Meal, Livestock Feed - Oats, Livestock Feed - Peas, Livestock Feed - Poultry Blend (2-Grain Scratch for Poultry), Livestock Feed - Poultry Blend (Custom Feed), Livestock Feed - Poultry Blend (Egg Layer Ration Pellet), Livestock Feed - Poultry Blend (Fryer Ration), Livestock Feed - Poultry Blend (Hatch to Hen), Livestock Feed - Rabbit Blend (Rabbit 17), Livestock Feed - Sheep Blend (Custom Feed), Livestock Feed - Soybean Meal, Livestock Feed - Swine Blend (Custom Feed), Livestock Feed - Swine Blend (Hog 16 Pellet), Livestock Feed - Wheat ((Whole, Rolled, Ground)), Livestock Feed - Wheat Midds, Molasses Livestock Feed, Screenings Livestock Feed (Wheat), Soybean Oil Livestock Feed</t>
  </si>
  <si>
    <t>Oils &amp; Oleoresins: Oils (Açai Oil), Oils (Babassu Oil); Dairy: Butter (Murumuru Butter), Butter (Tucuma Butter)</t>
  </si>
  <si>
    <t>Nuts/Seeds: Almonds (Almonds dragee), Cacao nibs, Cashew Nuts (Cashew nut dragee); Dairy: Cream (Brazil nut, cocoa nut and almond nut cream (Three nuts spread)); Chocolate Goods: Apricot dragee, Baru nut dragee, Brazil nuts dragee, Cocoa beans covered with milk chocolate, Cocoa beans dragee, Cranberry covered with dark chocolate, Dark Chocolate (Dark chocolate 70% with cupuaçu), Dark Chocolate (Dark chocolate 75% with coconut sugar), Dark Chocolate (Dark chocolate 60%), Dark Chocolate (Dark chocolate 70%), Dark Chocolate (Dark chocolate 70% with cocoa nibs), Dark Chocolate (Dark chocolate 85%), Dark Chocolate (Dark chocolate 100% cacau), Dates dragee, Dried banana dragee, Goldenberry covered with dark chocolate, Hazelnut dragee, Milk Chocolate (Milk chocolate 55%), Milk Chocolate (Milk chocolate 55% with cocoa nibs), Raisins dragee</t>
  </si>
  <si>
    <t>Dairy: Cheese (A2-A2 Natural Cheese Kalona Supreme)</t>
  </si>
  <si>
    <t>Other: Brokering, Buttermilk, Buttermilk Powder, Buttermilk Powder (Blend), Buttermilk Powder (cultured) (Nonfat), Cheddar Cheese (Doux / Mild), Cream, Misc. Oil (Butter Oil), Nonfat Milk Powder, Nonfat Milk Powder, Powder (Spray Dried Full Fat Soymilk Powder), Powder (Spray Dried Full Fat Tofu Powder), Powder (Spray Dried Low Fat Soymilk Powder), Powder (Spray Dried Low Fat Tofu Powder), Salted butter, Salted butter, Salted butter (Pasture-Raised), Soy Flour (Low Fat), Soy Flour (Low Fat), Sweet Dairy Whey Powder, Unsalted butter, Unsalted butter, Unsalted butter (No lactic), Unsalted butter (Pasture-Raised), Unsalted butter (With lactic), Whey Protein Concentrate</t>
  </si>
  <si>
    <t>Dairy: Cheese (Brie), Cheese (Camembert), Cheese (Triple Creme Camembert)</t>
  </si>
  <si>
    <t>Other: 1# package ground beef, 1# package ground beef patties</t>
  </si>
  <si>
    <t>Eggs: Eggs (Cage Free Large Brown Eggs), Eggs (Extra Large Brown Eggs), Eggs (Free Range Large Brown Eggs), Eggs (Omega-3 Free Range Large Brown Eggs), Eggs (Pasture Raised Eggs-Extra Large Brown), Eggs (Pasture Raised Large Brown Eggs); Dairy: Butter (Butter (Salted)), Butter (Butter (Unsalted)), Cheese (Medium Cheddar Cheese Chunk), Cheese (Medium Cheddar Cheese Shreds), Cheese (Medium Cheddar Cheese Slices), Cheese (Mexican Cheese Blend), Cheese (Monterey Jack Cheese Chunk), Cheese (Monterey Jack Cheese Slices), Cheese (Mozzarella Cheese Shredded), Cheese (Parmesan Cheese Shredded), Cheese (Pepper Jack Cheese Chunk), Cheese (Pepper Jack Cheese Slices), Cheese (Sharp Cheddar Cheese Chunk), Cheese (Sharp Cheddar Cheese Slices), Cottage Cheese (Cottage Cheese 4% Milkfat), Cottage Cheese (Cottage Cheese Low Fat - 2% Milkfat), Cream (Cream (Bulk)), Cream (Heavy Whipping Cream), Cream Cheese (Cream Cheese), Cream Cheese (Cream Cheese Spread), Milk (1% Low Fat Milk), Milk (1% Low Fat Milk (Ultra-Pasteurized)), Milk (2% Reduced Fat Milk), Milk (2% Reduced Fat Milk (Bulk)), Milk (2% Reduced Fat Milk (Ultra-Pasteurized)), Milk (A2 Milk), Milk (Blue Moon Milk - Blueberry Lavender), Milk (DHA Omega 3 Organic Whole Milk), Milk (Fat Free Milk), Milk (Fat Free Milk (Ultra-Pasteurized)), Milk (Gold Moon Milk - Turmeric Ginger), Milk (Lactose Free - 2% Reduced Fat Milk), Milk (Lactose Free - 2% Reduced Fat Milk Chocolate), Milk (Lactose Free - 2% Reduced Fat Milk Strawberry), Milk (Lactose Free - 2% Reduced Fat Milk Vanilla), Milk (Lactose Free - Whole Milk Vitamin D), Milk (Milk), Milk (Milk (Bulk)), Milk (Organic 1% Lowfat Milk), Milk (Organic 2% Reduced Fat Milk), Milk (Organic Milk), Milk (Pink Moon Milk - Cherry Berry Hibiscus), Milk (Raw Milk (Bulk)), Milk (Raw Milk (Bulk)), Milk (Raw Milk Blend (Bulk)), Milk (Raw Skimmed Milk (Bulk)), Milk (Raw Skimmed Milk (Bulk)), Milk (Vevoda Dairy Milk (Raw)), Milk (Whole Milk), Milk (Whole Milk (Ultra-Pasteurized)), Other Dairy - Eggnog, Other Dairy - Eggnog Maple Bourbon, Other Dairy - Half and Half, Other Dairy - Lowfat Kefir - Blueberry, Other Dairy - Lowfat Kefir - Mango Passionfruit Pineapple, Other Dairy - Lowfat Kefir - Plain, Other Dairy - Lowfat Kefir - Pomegranate Strawberry Acai, Other Dairy - Lowfat Kefir - Strawberry, Other Dairy - Nonfat Dry Milk Powder, Other Dairy - Whole Milk Kefir - Plain, Sour Cream (Sour Cream), Yogurt (1% Milkfat Yogurt Smoothie - Blueberry Beet), Yogurt (1% Milkfat Yogurt Smoothie - Strawberry Banana Butternut), Yogurt (1% Milkfat Yogurt Smoothie - Strawberry Carrot), Yogurt (Cream on Top Yogurt - Blueberry), Yogurt (Cream on Top Yogurt - Forest Berry), Yogurt (Cream on Top Yogurt - Maple), Yogurt (Cream on Top Yogurt - Peach), Yogurt (Cream on Top Yogurt - Strawberry), Yogurt (Cream on Top Yogurt - Vanilla), Yogurt (Greek Yogurt Plain - Non Fat), Yogurt (Greek Yogurt Plain - Whole Milk), Yogurt (Greek Yogurt Strawberry - Non Fat), Yogurt (Greek Yogurt Vanilla - Whole Milk), Yogurt (Greek Yogurt Vanilla Bean - Non Fat), Yogurt (Low Fat Yogurt - Blueberry), Yogurt (Low Fat Yogurt - Forest Berry), Yogurt (Low Fat Yogurt - Lemon), Yogurt (Low Fat Yogurt - Peach), Yogurt (Low Fat Yogurt - Plain), Yogurt (Low Fat Yogurt - Strawberry), Yogurt (Low Fat Yogurt - Vanilla), Yogurt (Whole Milk Yogurt-Plain); Beverage Related Products: Coffee (Iced Latte), Coffee (New Orleans Style Iced Coffee), Other Beverage Related Products - Eggnog Caramel Sea Salt</t>
  </si>
  <si>
    <t>Other: Apples (Sliced), Asparagus (Spears), Baby Spinach, Bananas, Basil, Beets (Beet Noodle Cut (Bulk) ), Beets (Diced Beets (Bulk) ), Beets (Diced, Beet Noodles ), Blueberries, Broccoli (Broccoli Florets), Broccoli (Fine Cut 1/8- Rice Cut (Bulk)), Broccoli (Florets), Brokered Products (Beverages (fruit &amp; vegetable juices, tea) ), Brokered Products (Dairy, Cheese, Eggs), Brokered Products (Frozen Goods), Brokered Products (Fruits), Brokered Products (Meat (Assorted cuts, Beef, Chicken)), Brokered Products (Mushrooms), Brokered Products (Tofu Products (tofu, soymilk)), Brokered Products (Vegetables &amp; Herbs), Brussels Sprouts (Halved), Cabbage (Shredded Green), Cabbage (Shredded Red), Carrots (Carrot Noodles ), Carrots (Diced, Coin Cut), Carrots (Shredded, Coin Cut), Carrots (Mini Peeled), Cauliflower (Cauliflower Rice), Cauliflower (Fine Cut 1/8- Rice Cut (Bulk) ), Cauliflower (Florets), Celery (Diced, Sticks), Chard (Rainbow Swiss, Chopped (Bulk) ), Chili Pepper (Serrano 1/4" Diced), Cilantro (Loose), Collards (Green Mustard, Chopped (Bulk) ), Cucumbers (1/4" and 1/8" Sliced), Dill, Eggplant (Diced Skin On), Fennel (3/8" Diced), Fruits (Fruit Bowl), Fruits (Mango &amp; Kiwi), Fruits (Mango &amp; Kiwi Blend), Fruits (Mango &amp; Strawberry), Fruits (Mango &amp; Strawberry Blend), Fruits (Mango with Kiwi), Fruits (Mixed), Fruits (Mixed Berries), Fruits (Strawberries &amp; Kiwi), Fruits (Strawberry &amp; Blueberry Blend), Fruits (Tropical Mix), Ginger (Fresh (Diced Bulk), Dehydrated), Grapes (Red), Iceberg Lettuce (Wedge), Jalapenos (1/4" Diced), Kale, Kale (Destemmed and Shredded (Bulk)), Kale (Green Kale), Kale (Kale Greens), Kale (Rainbow Kale), Leeks (Sliced (Bulk)), Lemon Juice, Mangos, Mangos, Mangos (1" Chunk), Mangos (Mango Chunks), Mint, Mixed Vegetables (Broccoli &amp; Cauliflower), Mixed Vegetables (Broccoli Slaw), Mixed Vegetables (Broccoli, Cauliflower &amp; Carrots), Mixed Vegetables (Carrots &amp; Celery ), Mixed Vegetables (Celery &amp; Onions, Diced), Mixed Vegetables (Chowder Mix), Mixed Vegetables (Coleslaw), Mixed Vegetables (Fajita Blend), Mixed Vegetables (Fajita Peppers &amp; Onions), Mixed Vegetables (Fall Root Medley), Mixed Vegetables (Mirepoix), Mixed Vegetables (Portabella &amp; Onion), Mixed Vegetables (Pot Pie Blend with Herbs), Mixed Vegetables (Shredded Carrots &amp; Red Cabbage), Mixed Vegetables (Veggie Bites), Mushrooms (1/8" Sliced), Onions (Diced Red Onion), Onions (Diced Yellow Onion), Onions (Diced Yellow, Diced Red), Onions (Red - Sliced, Diced), Onions (Yellow - Sliced, Diced, Strips, Whole Peeled), Onions (Diced) (Red 1/8" Diced), Onions (Diced) (Yellow 1/4" Diced, 1/2" Diced), Orange Juice, Peppers (Diced Green), Peppers (Fajita (Green, Red, Mixed)), Peppers (Fajita Mix), Peppers (Green Fajita), Peppers (Julienne and 1/8" Sliced Green), Peppers (Julienne Red), Peppers (Red &amp; Green Medley), Peppers (Red Diced), Peppers (Red Fajita), Pineapple (Cored, Chunk, Spears, Rings), Pineapple (Pineapple Chunks), Pineapple (Rings), Pumpkins (1/4" Peeled and Diced), Radishes (1/8" Sliced Red), Romaine (Chopped), Rosemary, Rosemary (Bulk, Wholesale), Salsa (Pico de Gallo Style), Shallots (1/4" Peeled &amp; Diced), Squash (Butternut Spiral Noodle Cut (Bulk) ), Squash (Butternut Squash), Squash (Butternut Squash Chunks), Squash (Butternut Squash Noodles ), Squash (Butternut Squash Rice), Squash (Green Spiral Noodle Cut (Bulk)), Squash (Green Squash Noodles ), Squash (Squash Medley), Squash (Yellow Squash Noodles ), Strawberries, Strawberries, Strawberries (Whole), Sweet Potatoes (Chunks, Fries), Sweet Potatoes (Sweet Potato Noodles ), Thyme (Bulk, Wholesale), Tomatoes (Ripe Red Roma), Tomatoes (Sliced), Turmeric (Fresh, Dehydrated), Vegetable Party Tray (Vegetable Platter), Vegetables (Fajita Blend), Watermelon (1" Chunks), Zucchini (Zucchini Noodles)</t>
  </si>
  <si>
    <t>Meat Products: Custom Slaughter/Processing</t>
  </si>
  <si>
    <t>Oils &amp; Oleoresins: Oils (Coconut); Dry/Baking Goods: Flours and Meals (Shredded Coconut, Black peppercorn, Whole cloves, Ceylon Cinnamon Powder, Ceylon Cinnamon sticks, Nutmeg, Turmeric powder, Ginger Powder, Moringo powder, Ground Cloves); Dairy: Butter (Coconut)</t>
  </si>
  <si>
    <t>Processed  Items: Non-Dairy Milk (Coconut Milk Liquid*), Non-Dairy Milk (Coconut milk skimmed*), Non-Dairy Milk (Coconut Milk (spray dried) Powder); Oils &amp; Oleoresins: Oils (Virgin coconut oil*), Oils (Coconut oil (RBD)*); Nuts/Seeds: Coconut*; Condiments and Sweeteners: Sugar (Coconut sugar*)</t>
  </si>
  <si>
    <t>Other: Organic: Dried Dairy Powders, Addendum includes: Butter &amp; Chive Seasoning – 7670.3, Butter Powder – 0356KD, Butter Powder – 0246KD, Cheddar Powder – 1249KD, Colored Organic Cheddar Blend – 5961.4C, Colored Organic Cheddar Blend – 5961.6, Colored Organic Cheddar Seasoning – 1280.6KD, Cream Powder 72% – 0260 , Cream Powder – 0272KD, Creamy Parmesan Seasoning – 7717.9, Organic Colored Cheddar Cheese Blend – 1650.1KD, Organic Colored Cheddar Cheese Blend – 1733, Parmesan Cheese Powder – 4043, Parmesan Cheese Powder – 4086KD, Romano Cheese Powder – 3058KD, Sour Cream Powder – 0064KD, Sour Cream Powder – 0082KD, White Cheddar Blend – 5333, White Cheddar Powder – 1380KD, White Cheddar Blend – 5960, White Cheddar Blend – 5960.2, White Cheddar Blend – 1701.3, White Cheddar Seasoning – 1274.3KD, White Cheddar Seasoning – 1279.7KD, Nonfat Yogurt Powder – 0122, 0376KD – Organic Whey Powder, Organic Colored Cheddar Cheese Blend – 1548KD, Organic Cheddar Cheese Concentrate, Paste - 8332EMDIKD</t>
  </si>
  <si>
    <t>Seasonings: Other Seasonings - Peppermint leaf C/S, Other Seasonings - Spearmint leaf C/S; Processed  Items: Dehydrated Foods (Black beans), Dehydrated Foods (Dark Red Kidney beans), Dehydrated Foods (Dried Apricots), Dehydrated Foods (French Green lentils), Dehydrated Foods (Garbanzo beans), Dehydrated Foods (Green lentils), Dehydrated Foods (Navy beans), Dehydrated Foods (Pinto beans), Dehydrated Foods (Thompson Seedless Raisins), Processed Items-Other - Vegetable broth low sodium; Other Grains, Pastas and Cereals: Barley (Hulled Barley), Barley (Pearled barley), Oats (Quick oats), Oats (Regular rolled oats), Other Other Grains, Pastas and Cereals - Buckwheat groats, Other Other Grains, Pastas and Cereals - Corn grits, Other Other Grains, Pastas and Cereals - Course Bulgar Wheat, Other Other Grains, Pastas and Cereals - Hulled Millet, Other Other Grains, Pastas and Cereals - Polenta, Other Other Grains, Pastas and Cereals - Steel Cut Cracked Rye, Other Other Grains, Pastas and Cereals - Yellow Corn meal, Pasta (Spelt pasta), Pasta (Whole Wheat couscous), Quinoa (Quinoa white), Rice (Long Grain brown rice); Oils &amp; Oleoresins: Oils (Coconut oil), Oils (Olive oil), Oils (Sunflower oil); Nuts/Seeds: Other Nuts/Seeds - Brown Flax seed, Other Nuts/Seeds - Hulled Sesame seed, Other Nuts/Seeds - Natural Sesame seed, Other Nuts/Seeds - Pumpkin seeds, Other Nuts/Seeds - Shredded Coconut, Other Nuts/Seeds - Sunflower seeds hulled; Dry/Baking Goods: Flours and Meals (Dark Rye flour), Flours and Meals (White Spelt flour), Flours and Meals (Whole Spelt flour), Flours and Meals (Whole Wheat pastry flour), Other Dry/Baking Goods - Tapioca starch, Powders (Carob powder), Sugar (Cane sugar); Condiments and Sweeteners: Other Condiments and Sweeteners - Gluten-free Tamari sauce, Syrups (Agave syrup raw), Vinegar (Apple Cider vinegar), Vinegar (Balsamic vinegar); Bread/Bakery/Snacks: Popcorn (Yellow popcorn); Beverage Related Products: Juice (Apple Cider unfiltered), Juice (Mango nectar), Non-Dairy Milk (Coconut milk unsweetened), Non-Dairy Milk (Soymilk unsweetened), Other Beverage Related Products - Carob pieces - tea cut, Other Beverage Related Products - Yerba Mate, Tea (Black tea bags), Tea (Chai tea blend), Tea (Chamomile tea bags), Tea (Earl Grey tea bags), Tea (Green Sencha tea bags), Tea (Lemon tea bags), Tea (Peppermint tea), Tea (Rooibos tea bags)</t>
  </si>
  <si>
    <t>Animal Feed: Barley (Grain: Ground Barley), Barley (Grain: Whole Barley), Livestock Feed (Grain: Canola Meal (bulk)), Livestock Feed (Grain: Flax meal), Livestock Feed (Grain: Corn (bulk)), Livestock Feed (Grain: Ground Corn Flour (bulk)), Livestock Feed (Roughage: Alfalfa Pellet), Livestock Feed (Grain: Chick Starter), Livestock Feed (Grain: Pig Feed), Livestock Feed (Grain: Chick Grower), Livestock Feed (Grain: Layer Crumble), Livestock Feed (Grain: Chick Starter Pellet), Livestock Feed (Grain: Layer Pellet), Livestock Feed (Grain: Seed Screenings), Livestock Feed (Grain: Custom Dairy Mix), Livestock Feed (Grain: Sky Valley ORG Layer 6599 Crumble), Livestock Feed (Grain: Broiler), Livestock Feed (Grain: Scratch &amp; Peck Layer Pellet), Livestock Feed (Grain: Sky Valley ORG Layer 6599 Pellet), Livestock Feed (Grain: Calf Starter Pellet), Livestock Feed (Grain: Hominy (bulk)), Livestock Feed (Grain: Millrun), Livestock Feed (Grain: Sunflower Meal (bulk)), Livestock Feed (Grain: Peas), Oats (Grain: Ground Oats), Seeds (Grain: Okara (bulk)), Seeds (Grain: Soybean Meal (bulk)), Seeds (Grain: Soy Hulls (bulk)), Wheat (Grain: Wheat)</t>
  </si>
  <si>
    <t>Other: #Mixing, heating, blending, drying and bagging of dried dairy and lipid products., *Nutiva 60GA Organic Dry MCT Oil, 26 Organic Coconut Milk Powder, 30GA-TM Organic Dry MCT Oil, 40GA-RM Organic Dry High Oleic Sunflower Oil, 50GA Organic Dry MCT Oil, 50GA Organic Dry MCT Oil, 50P-GF Organic Dry Sunflower &amp; Safflower, 60GA- LHM Organic Dry MCT Oil, 60GA Organic Dry Avocado Oil, 60GA-95 Organic Dry MCT Oil, 60GA-A Organic Dry MCT Oil, 60GA-MT Organic Dry MCT Oil, 70GA-A Organic Dry HOSO, 70GA-MT Organic Dry MCT Oil, NutriCoreFX 60GA Organic Dry MCT Oil, NutriCoreFX 70GA Organic Dry MCT Oil, Organic Brown Rice Lubricant</t>
  </si>
  <si>
    <t>Other: Beef (Ground Beef Patties), Beef (New York Steak), Eggs, Greens (Arugula), Kale (Baby Kale), Milk (Raw), Personal Care (Whipped Tallow Balm), Pork (Boneless Loin), Pork (Breakfast Sausage), Pork (Grandpa Restuccia Sausage), Pork (Pork Fat), Pork (Shoulder Roast), Pork (Spare Ribs), Pork (Tenderloin), Salad Mix, Salad Mix (Spicy), Spinach, Transplants</t>
  </si>
  <si>
    <t>Other: Milk</t>
  </si>
  <si>
    <t>Fruits/Vegetables: Apple Fresh Pack, Applesauce no sugar; Dairy: Butter (Apple No sugar); Condiments and Sweeteners: Vinegar (Apple Cider); Beverage Related Products: Cider (Apple)</t>
  </si>
  <si>
    <t>Dairy: Cheese (Organic Red Hawk, Organic Devil's Gulch, Organic Mt Tam, Organic Pierce Pt, Organic Wagon Wheel, Organic Heart's Desire, Organic Hop Along, Organic Whey, Organic Cream)</t>
  </si>
  <si>
    <t>Eggs: Eggs; Animal Feed: Livestock Feed (BROILER GROWER, BROILER GROWER SOY FREE, CATTLE CREEP, CATTLE GROWER, CHICK STARTER, CHICK STARTER PELLET, CHICK STARTER SOY FREE, CRICKET FEED, DAIRY HEIFER FEED, DUCK DEVELOPER, DUCK LAYER, DUCK LAYER PELLETS, DUCK STARTER, GAME BIRD STARTER, GOAT AND DAIRY FEED, GOAT AND DAIRY FEED SOY FREE, GOAT AND DAIRY PELLETS, GOAT AND DAIRY PELLETS SOY FREE, HORSE FEED, LAYER, LAYER SOY FREE, LAYER PELLETS, LAYER PELLETS SOY FREE, PULLET DEVELOPER, QUAIL GROWER, QUAIL LAYER, QUAIL STARTER, RABBIT GROWER, RABBIT GROWER PELLETS, SHEEP GROWER, SWINE GROWER, SWINE GROWER SOY FREE, SWINE STARTER, TURKEY FINISHER, TURKEY GROWER I, TURKEY GROWER II TURKEY STARTER, WBE LAYER, WBE LAYER SOY FREE), Livestock Feed (ALFALFA PELLETS, CORN, HEN SCRATCH, MILO, MOLASSES, OATS, ORO-GLO, PEANUT OIL, PEAS, SAFFLOWER OIL, SESAME MEAL, SOYBEAN MEAL, SOYBEAN OIL, SUNFLOWER OIL, WHEAT)</t>
  </si>
  <si>
    <t>Preservatives/Extracts/Flavors: Herbs, Herbs (Parsley); Fruits/Vegetables: Apples, Bananas, Beans, Berries, Cherries, Citrus (Lemons), Citrus (Limes), Citrus (Oranges), Citrus (Tangerines), Grapefruit, Leafy Greens (Greens), Leafy Greens (Lettuce), Leafy Greens (Spinach), Leafy Greens (Sprouts), Melons, Mixed Salad Greens (Salads), Nectarines, Peaches, Pears, Persimmons, Pineapple, Plums, Pluots, Pomegranates, Pummelos, Vegetables (Artichokes), Vegetables (Arugula), Vegetables (Asparagus), Vegetables (Avocados), Vegetables (Beets), Vegetables (Broccoli), Vegetables (Broccolini), Vegetables (Brussels Sprouts), Vegetables (Cabbage), Vegetables (Carrots), Vegetables (Cauliflower), Vegetables (Celery), Vegetables (Celery Root), Vegetables (Chard), Vegetables (Corn), Vegetables (Cucumbers), Vegetables (Eggplants), Vegetables (Fennel), Vegetables (Garlic), Vegetables (Ginger), Vegetables (Horseradish Root), Vegetables (Leeks), Vegetables (Mushrooms), Vegetables (Onions), Vegetables (Peas), Vegetables (Peppers), Vegetables (Potatoes), Vegetables (Pumpkin), Vegetables (Radishes), Vegetables (Rhubarb), Vegetables (Shallots), Vegetables (Squash), Vegetables (Tomatoes), Vegetables (Turnips), Vegetables (Wheatgrass), Vegetables (Yams); Eggs: Eggs; Dairy: Milk</t>
  </si>
  <si>
    <t>Other: 26-2270-NAD Non-Dairy Frozen Dessert Base, 34-6327 UHT-A High Protein Beverage Stabilizer, 41-2446-KRO Yogurt Stabilizer, Baking Products - Classic Pancake &amp; Waffle Mix, Baking Products - Confetti Pancake &amp; Waffle Mix, Boxed Pasta &amp; Cheese - Deluxe Shells &amp; Vegan Cheddar Style, Boxed Pasta &amp; Cheese - Red Lentil Spirals White Cheddar, Boxed Pasta &amp; Cheese - Shells &amp; Real Aged Cheddar Macaroni &amp; Cheese, Boxed Pasta &amp; Cheese - Shells &amp; White Cheddar Macaroni &amp; Cheese, Boxed Pasta &amp; Cheese - Vegan Mac Macaroni &amp; Cheddar Flavor, Boxed Pasta &amp; Cheese - Vegan Mac Red Lentil Spirals &amp; Sweet Potato Pumpkin, Boxed Pasta &amp; Cheese - Vegan Mac Rice Pasta &amp; Cheddar Flavor, Boxed Pasta &amp; Cheese - Vegan Mac Shells &amp; Sweet Potato Pumpkin, Branded - Aged Cheddar &amp; Shells, Branded - Deluxe Mac &amp; Cheese, Branded - Deluxe Mac &amp; Cheese, Branded - Deluxe Shells &amp; Aged Cheddar, Branded - Deluxe Shells &amp; Cheese, Branded - Deluxe Shells &amp; Cheese, Branded - Deluxe Shells &amp; White Cheddar, Branded - GF Vegan Mac &amp; Cheese, Branded - Gluten Free Macaroni and Cheese, Branded - Gluten Free Macaroni and Plant-Based Cheese, Branded - Macaroni and Cheese, Branded - Macaroni and Cheese, Branded - Macaroni and Cheese, Branded - Macaroni and Cheese, Branded - Organic Macaroni and Cheese, Branded - Shells &amp; White Cheddar, Branded - Shells &amp; White Cheddar, Branded - Shells &amp; White Cheddar, Branded - Shells &amp; Yellow Cheddar, Branded - Shells and Plant-Based Cheese, Branded - Vegan Mac &amp; Cheese, Cereal - Cinnamon Crunch Cereal, Cereal - Cinnamon Crunch Cereal, Cereal - Graham Crunch Cereal, Cereal - Multi Grain Squares Cereal, Microwavable Cup - Deluxe Rich &amp; Creamy Shells &amp; Cheese, Microwavable Cup - Grass Fed Real Aged Cheddar Macaroni &amp; Cheese, Microwavable Cup - Real Aged Cheddar Macaroni &amp; Cheese, Microwavable Cup - Real Aged Cheddar Macaroni &amp; Cheese, Microwavable Cup - White Cheddar Macaroni &amp; Cheese, Microwavable Cup - White Cheddar Pasta &amp; Cheese, Microwavable Cups - Disney Moana Pasta &amp; Cheddar, Microwavable Cups - Disney Pasta &amp; Cheddar, Microwavable Cups - Marvel Spidey Pasta &amp; Cheddar, Microwavable Cups - Mickey and Friends Pasta &amp; Cheddar, Microwavable Cups - Super! Mac Pasta &amp; Classic Cheddar, Microwavable Cups - Super! Mac Pasta &amp; Real Aged Cheddar, Microwavable Cups - Yummy Bunnies &amp; Cheddar Pasta &amp; Cheese</t>
  </si>
  <si>
    <t>Other: American Cheese (Fiesta Premium Pasteurized Prepared Cheese (bulk)), American Cheese (Fiesta Premium Pasteurized Prepared Cheese (retail)), American Cheese (Pasteurized Processed Slices), American Cheese (Pasteurized Processed White Slices), American Cheese (Premium Pasteurized Prepared Cheese (bulk)), American Cheese (Premium Pasteurized Prepared Cheese (retail)), American Cheese (White Premium Pasteurized Prepared Cheese), Asparagus, Baby Swiss Cheese, Baby Swiss Cheese (Sliced), Baby Swiss Cheese (Trim), Beans, Bedding Straw, Beets, Blue Cheese, Broccoli, Brokering, Brokering (Beets), Brokering (Collard Greens), Brokering (Cucumbers), Brokering (Eggplant), Brokering (Kale), Brokering (Livestock Feed), Brokering (Produce - Apples), Brokering (Produce - Apricots), Brokering (Produce - Broccoli), Brokering (Produce - Brussel Sprouts), Brokering (Produce - Cabbage), Brokering (Produce - Cauliflower), Brokering (Produce - Cherries), Brokering (Produce - Melons), Brokering (Produce - Napa Cabbage), Brokering (Produce - Nectarines), Brokering (Produce - Peaches), Brokering (Produce - Peppers), Brokering (Produce - Pluots), Brokering (Produce - Red Potato), Brokering (Produce - Russet Potato), Brokering (Produce - Yellow Potato), Brokering (Produce - Zucchini), Brokering (Raw Farm Milk ), Brokering (Squash), Brussels Sprouts, Buttermilk, Buttermilk Cultured (Low Fat), Buttermilk Powder, Butterscotch Flavor, Cabbage, Canola Oil Livestock Feed, Chard, Cheddar - Medium (Sliced), Cheddar Cheese, Cheddar Cheese (Cheddar Mild), Cheddar Cheese (Cheddar Sharp), Cheddar Cheese (Cheese Sticks), Cheddar Cheese (Finely Shredded Mild), Cheddar Cheese (Finely Shredded Sharp), Cheddar Cheese (GrassFed Raw Cheddar), Cheddar Cheese (GrassMilk Raw Mild Cheddar), Cheddar Cheese (GrassMilk Raw Sharp Cheddar), Cheddar Cheese (Mild Shreds), Cheddar Cheese (Mild Slices), Cheddar Cheese (Raw), Cheddar Cheese (Raw Mild Cheddar), Cheddar Cheese (Raw Sharp Cheddar), Cheddar Cheese (Raw Sharp Cheddar Slices), Cheddar Cheese (Sharp Shreds Thick Cut), Cheddar Cheese (Smoky Cheddar), Cheddar Cheese (Smoky Cheddar Slices), Cheddar Cheese (Smoky Cheddar Trim), Cheddar Cheese (Spicy Cheddar), Cheddar Cheese (Spicy Cheddar Shreds), Cheddar Cheese (Spicy Cheddar Slices), Cheddar Cheese (Spicy Cheddar Trim), Cherry Flavor, Chicken Eggs (Brown), Chicken Eggs (Brown), Chocolate Low Fat (1%) Milk, Chocolate Low Fat (1%) Milk (Aseptic), Chocolate Reduced Fat (2%) Milk, Clarified butter (Anhydrous milk fat), Clarified butter (Ghee), Colby Cheese, Colby Cheese (Sliced), Colby Jack Cheese, Collard Greens, Condensed Cream (Standardized), Condensed Milk (Condensed Skim Milk), Condensed Milk (Condensed Whole Milk), Condensed Milk (Standardized), Corn (Sweet Corn), Corn Flour Livestock Feed (Whole Grain Yellow), Cottage Cheese Low Fat (2%), Cottage Cheese Regular (4%), Cow Milk (Bulk Raw Farm Grassfed), Cow Milk (Bulk Raw Farm Milk), Cow Milk (Raw Farm Milk (Brokering)), Cream (GrassFed), Cream (Heavy), Cream Cheese, Cream Cheese (Spread), Cucumber, Dried Distillers Grains (and Solids), Eggnog (Reduced Fat), Eggplant, Fat Free Milk, Fat Free Milk, Fat Free Milk (Grassmilk), Fat Free Milk (Powder), Feed Milling Pellets, Feed Milling Pellets (Clover), Fennel, Feta Cheese, Feta Cheese (Crumbles), Flavored Milk (French Vanilla Lactose Free Creamer), Flavored Milk (Sweet Cream Lactose Free Creamer), Frozen Eggs, Frozen Eggs (Frozen Whole Eggs), Half and Half, Half and Half, Half and Half, Half and Half (GrassMilk), Italian Blend Cheese, Italian Blend Cheese (3 Cheese Shreds), Italian Blend Cheese (Thick Cut Shreds), Kale, Lactose Free Chocolate Low Fat (1%) Milk, Lactose Free Half &amp; Half, Lactose Free Low Fat (1%) Milk, Lactose Free Milk (Fat Free), Lactose Free Milk (Standardized), Lactose Free Reduced Fat (2%) Milk, Lactose Free Whole Milk, Lactose Powder, Liquid Egg Whites, Liquid Egg Yolks (Frozen, Sugared), Liquid Whole Eggs (Fresh), Livestock Broker (Cattle (Dairy &amp; Beef)), Livestock Broker (Poultry (Turkey)), Livestock Broker (Swine), Livestock Feed (Agolin), Livestock Feed (Garbanzo beans), Livestock Feed - Alfalfa, Livestock Feed - Alfalfa (Pelleted), Livestock Feed - Barley, Livestock Feed - Barley (Flour), Livestock Feed - Canola Meal, Livestock Feed - Corn, Livestock Feed - Cornmeal, Livestock Feed - Cotton Seed, Livestock Feed - Flax, Livestock Feed - Flax (Oil), Livestock Feed - Flax Meal, Livestock Feed - Flax Seed, Livestock Feed - Hay Blend, Livestock Feed - Hominy, Livestock Feed - Lentils, Livestock Feed - Millet, Livestock Feed - Mix (Dry Edible Beans), Livestock Feed - Oats, Livestock Feed - Oats (Mill Byproduct), Livestock Feed - Oats (Pelleted Mill Byproduct), Livestock Feed - Peas, Livestock Feed - Rye, Livestock Feed - Sesame Meal, Livestock Feed - Sorghum, Livestock Feed - Soy Hulls, Livestock Feed - Soybean Meal, Livestock Feed - Soybeans, Livestock Feed - Soybeans (Roasted Whole), Livestock Feed - Soybeans (Roasted Whole), Livestock Feed - Sunflower Meal, Livestock Feed - Sunflower Seed, Livestock Feed - Triticale, Livestock Feed - Wheat, Livestock Feed - Wheat (Bran), Livestock Feed - Wheat (Flour), Livestock Feed - Wheat Midds, Livestock Holding (Cattle (Dairy &amp; Beef)), Livestock Holding (Poultry (Turkey)), Livestock Holding (Swine), Livestock Transportation (Cattle (Dairy &amp; Beef)), Livestock Transportation (Poultry (Turkey)), Livestock Transportation (Swine), Low Fat (1%) Milk, Low Fat (1%) Milk, Low Fat (1%) Milk (Aseptic), Low Fat (1%) Milk (Grassmilk), Mexican Blend Cheese (Shred), Mexican Blend Cheese (Thick Cut Shreds), Mixed Feed Grains, Molasses Livestock Feed, Molasses Livestock Feed (Dried), Monterey Jack Cheese (Finely Shredded), Monterey Jack Cheese (Monterey Jack), Monterey Jack Cheese (Raw ), Monterey Jack Cheese (Raw Jack Style Semisoft ), Mozzarella Cheese, Mozzarella Cheese (Finely Shredded), Mozzarella Cheese (Italian Herb), Mozzarella Cheese (Italian Herb Shreds), Mozzarella Cheese (Shreds), Muenster Cheese, Muenster Cheese (Sliced), Muenster Cheese (Trim), Neufchatel Cheese, Neufchatel Cheese (Spread), Nonfat Milk Powder, Nonfat Milk Powder (GrassFed), Nonfat Milk Powder (Pasteurized, Grade A, Low Heat), Oat Flour, Oats, Okara Livestock Feed, Omega 3 Reduced Fat Milk (Family First 2% DHA Milk - CA), Omega 3 Reduced Fat Milk (Family First 2% DHA Milk - NAT), Omega 3 Whole Milk (Family First Whole DHA Milk - CA), Omega 3 Whole Milk (Family First Whole DHA Milk - NAT), Onion, Other Beverages (40% Liquid Oat Base), Other Beverages (Oat Beverage - Simple), Parmesan Cheese, Parmesan Cheese (Grated), Parmesan Cheese (Shredded), Peas, Pepper Jack Cheese, Peppers, Plant Based Creamer (Oat Creamer - Caramel), Plant Based Creamer (Oat Creamer - Vanilla), Plant Based Creamer (Oat Creamer- Cinnamon Spice), Plant Based Creamer (Oat Creamer- Oatmeal Cookie), Potatoes, Protein Drink Mix (Bourbon Vanilla Whey Protein), Protein Drink Mix (Dark Chocolate Whey Protein), Protein Drink Mix (Lactose Free Bourbon Vanilla Whey Protein), Protein Drink Mix (Lactose Free Chocolate Whey Protein), Protein Drink Mix (Lactose Free Plain Unsweetened Whey Protein), Protein Drink Mix (Plain Unsweetened Whey Protein), Provolone Cheese, Provolone Cheese (Bulk Loaves), Provolone Cheese (Sliced), Provolone Cheese (Slices), Radish, Reduced Fat (2%) Milk, Reduced Fat (2%) Milk, Reduced Fat (2%) Milk (GrassFed), Reduced Fat (2%) Milk (Grassmilk), Regular Sour Cream, Ricotta Cheese, Rutabaga, Salted butter, Salted butter, Screenings Livestock Feed (Barley), Screenings Livestock Feed (Bean Screenings), Screenings Livestock Feed (Corn), Screenings Livestock Feed (Flax), Screenings Livestock Feed (Mixed Grain), Screenings Livestock Feed (Oats), Screenings Livestock Feed (Pea), Screenings Livestock Feed (Pelleted Mixed Grain), Screenings Livestock Feed (Wheat), Shallots, Sharp Cheddar Cheese (Thick Cut Shreds), Soybean Oil Livestock Feed, Squash, Standardized Cream, Standardized Milk, String Cheese (Mozzarella), String Cheese (Stringles), String Cheese (Stringles Organic Low Moisture Part-Skim Mozzarella Cheese), Sugar Beet Livestock Feed, Sugar Cane (Livestock Feed), Sweet Dairy Whey, Sweet Dairy Whey (Condensed), Sweet Potatoes, Trans-loading (Milk), Turnips, Unsalted butter, Unsalted butter, Unsalted butter (DNGD Butter), Whey (Condensed Whey), Whey (Whey Permeate), Whey (Whey Protein Concentrate 80% Agglomerated), Whey (Whey Protein Concentrate 80% Powder), Whey (Whey Protein Concentrate 80% Powder, Lactose Free), Whey (Whey Protein Concentrate 80% Powder, Lactose Free, Agglomerated), Whey (Whey Protein Hydrolysate), Whey (Whey Protein Isolate 90%), Whipping Cream, Whipping Cream, Whipping Cream (Grassmilk), Whipping Cream (Ultra Pasteurized), Whole Milk, Whole Milk, Whole Milk (GrassFed), Whole Milk Powder</t>
  </si>
  <si>
    <t>Other: Frozen Entrees (Acai Bowl with berries, bananas, granola and dried coconut), Frozen Entrees (Acai Bowls with Fruit &amp; Granola), Frozen Puree (Acai Puree Sauce Pellets (Nonretail)), Frozen Puree (Acerola Sauce (Nonretail)), Frozen Puree (Almond Date Sauce Made with Organic Spices (Nonretail)), Frozen Puree (Apple Cinnamon Sauce (Nonretail)), Frozen Puree (Apple Date Sauce Made with Organic Spices (Nonretail)), Frozen Puree (Apple Vanilla Sauce Pellets (Nonretail)), Frozen Puree (Avocado Lime Sauce Pellets (Nonretail)), Frozen Puree (Banana Chocolate Peanut Butter Pop), Frozen Puree (Basil Cashew Sauce Made with Organic Cauliflower and Spices (Nonretail)), Frozen Puree (Beet Puree Triangles), Frozen Puree (Cacao Apple Sauce Pellets (Nonretail)), Frozen Puree (Cacao Date Sauce (Nonretail)), Frozen Puree (Cacao Sauce Made with Organic Blueberry (Nonretail)), Frozen Puree (Carrot Puree Triangles), Frozen Puree (Cashew Curry Sauce Pellets (Nonretail)), Frozen Puree (Cashew Peppermint Sauce (Nonretail)), Frozen Puree (Cauliflower Basil Sauce Made with Organic Chickpea Puree (Nonretail)), Frozen Puree (Cauliflower Cashew Basil Sauce (Nonretail)), Frozen Puree (Cauliflower Puree Made with Organic Garlic (Nonretail)), Frozen Puree (Cheeze Sauce Made with Organic Vegetables and Fruits (Nonretail)), Frozen Puree (Cheezy Enchilada Sauce Made with Organic Tomato Paste (Nonretail)), Frozen Puree (Chocolate Peanut Butter Pop), Frozen Puree (Coconut Cashew (Nonretail)), Frozen Puree (Coconut Lime (Nonretail)), Frozen Puree (Coconut Passion Fruit Pellets (Nonretail)), Frozen Puree (Coconut Vanilla Sauce (Nonretail)), Frozen Puree (Corn Puree Triangles), Frozen Puree (Creamy Tomato Sauce Made With Organic Tomatoes, Basil and Sweet Potato Pellets (Nonretail)), Frozen Puree (Cumin Olive Oil Sauce (Nonretail)), Frozen Puree (Fig Puree Sauce (Nonretail)), Frozen Puree (Gado Gado Sauce Made with Organic Haznelnut Butter (Nonretail), Frozen Puree (Green Curry Sauce Made with Organic Coconut Cream (Nonretail)), Frozen Puree (Kabocha Rosemary Sauce (Nonretail)), Frozen Puree (Kabocha Sage Sauce Made with Organic Olive Oil (Nonretail)), Frozen Puree (Kabocha Sauce (Nonretail)), Frozen Puree (Kale Puree Triangles), Frozen Puree (Kitchari Cilantro Sauce (Nonretail)), Frozen Puree (Lemon Apple Cider Vinegar Sauce Pellets (Nonretail)), Frozen Puree (Lychee and Flax Sauce (Nonretail)), Frozen Puree (Miso Sesame Sauce Pellets (Nonretail)), Frozen Puree (Parsnip Potato Thyme Sauce Made with Organic Yellow Onion (Nonretail)), Frozen Puree (Peanut Butter and Jelly Pop), Frozen Puree (Pumpkin Puree Triangles), Frozen Puree (Pumpkin Spice Latte), Frozen Puree (Spinach Cilantro Sauce Pellets (Nonretail)), Frozen Puree (Spinach Pesto Sauce Made with Organic Basil (Nonretail)), Frozen Puree (Spinach Puree Triangles), Frozen Puree (Strawberry Cashew Sauce (Nonretail)), Frozen Puree (Strawberry Maple Sauce Made with Organic Maple Syrup (Nonretail)), Frozen Puree (Tagine Sauce Made with Organic Harissa Spice (Nonretail)), Frozen Puree (Tahini ACV Sauce Pellets (Nonretail)), Frozen Puree (Tamari Sesame Sauce Made with Organic Cauliflower Puree Pellets (Nonretail)), Frozen Puree (Tomato Basil Sauce (Nonretail)), Frozen Puree (Tomato Cheeze Sauce Made with Organic Vegetables, Fruits and Spices (Nonretail)), Frozen Puree (White Cheeze Sauce Made with Organic Olive Oil (Nonretail)), Fruit Puree (Mango &amp; Acai Smoothie Cubes (Frozen) - Nonretail and Retail (20oz, 40oz)), Fruit Puree (Mixed Berry &amp; Acai Smoothie Cubes (Frozen) - Nonretail and Retail (20oz)), Non-Dairy Frozen Dessert (Blueberry + Banana Fruit Pops), Non-Dairy Frozen Dessert (Mango + Passion Fruit Pops), Non-Dairy Frozen Dessert (Strawberry + Dragon Fruit Pops)</t>
  </si>
  <si>
    <t>Other: Dairy (Cottage Cheese), Dairy (Cottage Cheese, Low Fat), Dairy (Cottage Cheese, Small Curd), Dairy (Sour Cream), Dairy (Sour Cream, Light), Dairy Processing (Client Profile Products only), Ice Cream (Chocolate), Ice Cream (Coffee), Ice Cream (French Vanilla)</t>
  </si>
  <si>
    <t>Other: Cream (Bulk Fresh), Cream (Heavy Whipping Cream ), Dairy (Cottage Cheese, Low-Fat), Dairy (Cottage Cheese, Small Curd), Dairy (Sour Cream), Ice Cream (Bittersweet Chocolate), Ice Cream (Chocolate Chip Cookie Dough), Ice Cream (Cookies and Cream), Ice Cream (Mint Chip), Ice Cream (Premium Chocolate (non-retail)), Ice Cream (Premium Coffee (non retail)), Ice Cream (Premium Mint Chip (non-retail)), Ice Cream (Premium Strawberry (non-retail)), Ice Cream (Premium Vanilla (non-retail)), Ice Cream (Sea Salt Caramel), Ice Cream (Strawberry), Ice Cream (Vanilla), Milk (Bulk Condensed Skim Milk), Milk (Bulk Homogenized Pasteurized 2% Milk), Milk (Bulk Pasteurized 2% Milk), Milk (Bulk Pasteurized 3.5% Milk), Milk (Bulk Processed Skim Milk), Milk (Bulk Raw Milk), Milk (Grade A Pasteurized Homogenized Fat Free), Milk (Grade A Pasteurized Homogenized Reduced Fat), Milk (Grade A Pasteurized Homogenized Whole ), Milk (Half &amp; Half), Milk (Dry) (NonFat), Milk (Dry) (Whole), Processing (Client Profile Products only) (Milk Processing)</t>
  </si>
  <si>
    <t>Animal Feed: Livestock Feed (60/80 Grower &amp; Finisher Premix), Livestock Feed (Cattle Mineral), Livestock Feed (Cattle Mineral Spice), Livestock Feed (Custom Natural Poultry Nutri-Balancer (50#)), Livestock Feed (Custom Natural Sow 100 premix (50#)), Livestock Feed (Dairy Mineral (IB2050)), Livestock Feed (Dry Cow Mineral (IB 2150)), Livestock Feed (Equine Companion), Livestock Feed (Goat Mineral), Livestock Feed (H.I.T. Pork Plus (50#)), Livestock Feed (Hi Copper Beef Mineral (IB 1500)), Livestock Feed (Hi Copper Breeding Mineral Xtra (IB 10330)), Livestock Feed (Hi Mag Cattle Mineral), Livestock Feed (Hi Phos. Dairy Premix (IB 2000)), Livestock Feed (Low Copper Sheep Mineral (IB1750)), Livestock Feed (Pig Pak 80 Premix (40#)), Livestock Feed (Pork Performance Pak (50#)), Livestock Feed (Sheep Guardian Mineral), Livestock Feed (Stock Cow Premix)</t>
  </si>
  <si>
    <t>Other: Beef cattle: retail meat cuts</t>
  </si>
  <si>
    <t>Preservatives/Extracts/Flavors: Extracts (Coconut Sap), Sweeteners (Coconut Syrup (Nectar)); Fruits/Vegetables: Coconut Fruit, Mangosteen; Condiments and Sweeteners: Sweeteners (Coconut Sugar Chunk), Sweeteners (Coconut Sugar Granule); Beverage Related Products: Non-Dairy Milk (Coconut Milk)</t>
  </si>
  <si>
    <t>Dry/Baking Goods: Bread (Organic: Everything Bagel, Garlic Bagel, Onion Bagel, Plain Bagel, Poppyseed Bagel, Salt Bagel, Sesame Seed Bagel, Cinnamon Raisin Bagel, Whole Wheat Bagel.); Dairy: Butter (Cultured Butter (salted and unsalted)), Cheese (Cream Cheese)</t>
  </si>
  <si>
    <t>Other: 142239 1/50 ORG CHED BLEND KSH,142236 1/50 ORG CHSE BLEND KSH,142400 Alfredo Sauce Mix,142378 (207124) AMPLIFI HI FLAV ORG CHED CHSE,142789 (207732) AMPLIFI ORG BUTTER INGR BOLDER KSH,142788 (207730) AMPLIFI ORG BUTTER INGR BOLDER KSH,141011 (205826) AMPLIFI ORG CHD CHS ING BOLDEST KSH,141009 (205824) AMPLIFI ORG CHED CHSE INGR BOLDEST,142790 (207734) AMPLIFI ORG CHED CHSE INGR BOLDEST KSH,141922 (206622) AMPLIFI PARM CHS ING BOLDEST ORG CC,141191 ASCENTRA NF MADE W/ORG INGR,141194 ASCENTRA NF MADE W/ORG INGRED KSH,142420 Cheese Blend – Kosher,142408 COL MICRO CUP CHSE SEAS GLUTEN FRE,142232 COL ORG CHSE BLEND REDUCED COST,142399 Colored Cheese Blend,142511 Cream Powder,142402 Dried Grassmilk Cheese Blend,142403 Dried Grassmilk Cheese Blend Colored,142509 DRIED ORG BUTTER PWD KSH,142393 DRIED ORG CHSE BLEND KSH,142407 DRIED UNCOL MICRO CUP CHSE SEAS,141200 (206048) FERM BASE ORG DUAL BUTTER KSH,142376/142780 (207120) HI FLAV ORG CHED CHSE,142388 Kid Friendly Grassmilk Cheese Seasoning,142406 MWC STARCH PREBLEND GLUTEN FREE,142292 MWC STARCH PREBLEND W/ORG ING GLUT FREE,142526 Nonfat Yogurt Powder – Kosher,142234 ORG CHED BLEND,142393 ORG CHED BLEND KSH,143435 ORG CHED CHSE FRIES KSH,143436 ORG CHEDDAR CHSE SEASONING KSH,142398 ORG CHSE BLEND,142423 ORG COL MICRO CUP GRASSMILK CHSE BLND,142460 ORG CULT DAIRY SEASONING KSH,142254 ORG DAIRY BLEND,142384 (207139) ORG EM CHED PASTE KSH,142579 (207549) ORG FERM BASE SWT CRM,142573 (207537) ORG FERM BASE SWT CRM KSH,142577 (207545) ORG FERM BASE SWT CRM RECON,143434 ORG HOT N SPICY FRY SEASONING KSH,142563 (207517) ORG IRIS DAIRY BASE,143432 ORG MAC N CHEESE PUFF KSH,143203 ORG NAT CHSE TYPE FLV KSH,142253 ORG PARM CHSE PWD,142262 ORG UNCOL CHED SEASONING,142336 ORG WHT CHED FOR KIDS KSH,142404 PEACE PARM SAUCE MIX W ORG ING,142906 PIZZA FLAV SEAS CERT AS MADE W/ORG,207128 SAV BROTH MADE WITH ORG INGRED KSH,207127 SAV BROTH MADE WITH ORG INGREDIENTS,142643 WHITE CHED SAUCE MIX,142394 Colored Cheese Blend,142242 Colored Cheese Blend,142231 Cheese Blend,142387 Colored Cheese Blend,142233 ORG CHED BLEND KSH,142236 1/50 ORG CHED BLEND KSH,142235 ORG CHED BLEND,142263 ORG COL CHED SEASONING,142324 ORG COL CHED SEASONING,142235 ORG CHED BLEND,145155 ORG CHED BLEND KSH,145156 ORG TANGY CHED BLEND KSH</t>
  </si>
  <si>
    <t>Other: 142427 Colored Cheese Blend – Kosher,142511 Cream Powder,142377 (207122) HI FLAV ORG CHED CHSE KSH,142563 (207517) ORG IRIS DAIRY BASE,142376/142780 (207120) HI FLAVOR ORG CHED CHSE,142233 ORG CHED BLEND KSH,142430 1/35 ORG CHED BLEND CC,142239 1/50 ORG CHED BLEND KSH,142757 1/50 ORG CHSE BLEND COL KSH,142236 1/50 ORG CHSE BLEND KSH</t>
  </si>
  <si>
    <t>Other: 141009 (205824) AMPLIFI ORGANIC CHD CHS ING BOLDEST, 141011 (205826) AMPLIFI ORGANIC CHD CHS ING BOLDEST K, 141191 ASCENTRA NF MADE W/ORGANIC INGR, 141194 ASCENTRA NF MADE W/ORGANIC INGR KSH, 141200 (206048) FERM BASE ORGANIC DUAL BUTTER KSH, 141922 (206622) AMP PARM CHS ING BOLDEST ORGANIC CC, 142231 ORGANIC CHSE BLEND, 142232 COL ORGANIC CHSE BLEND REDUCED COST, 142233 ORG CHED BLEND KSH, 142234 ORG CHED BLEND, 142235 ORG CHED BLEND, 142236 ORGANIC CHSE BLEND KSH, 142242 ORGANIC CHSE SEASONING BLEND COL, 142253 ORG PARM CHSE PWD, 142254 ORG DAIRY BLEND KSH, 142262 ORG UNCOL CHED SEASONING, 142263 ORG COL CHED SEASONING, 142292 MWC STARCH PREBLEND MADE W/ORG GF, 142324 ORG COL CHED SEASONING, 142336 ORG WHT CHED FOR KIDS KSH, 142376/142780 (207120) HI FLAV ORGANIC CHED CHSE K-CC-NGMO, 142378 (207124) AMPLIFI HI FLAV ORGANIC CHED CHSE, 142384 (207139) ORG EM CHED PASTE KSH, 142387 ORGANIC COL CHSE BLEND, 142388 ORGANIC COL KID FRNDLY GRSMLK CHS SEAS, 142393 DRIED ORGANIC CHSE BLEND KSH, 142394 ORGANIC COL CHS BLEND, 142398 ORG CHSE BLEND, 142399 COL ORGANIC CHSE BLEND, 142402 ORGANIC GRASSMILK CHSE BLEND, 142403 COL ORGANIC GRASSMILK CHSE, 142404 ORGANIC PEACE PARM SAUCE MIX, 142406 MWC STARCH PREBLEND GLUTEN FREE, 142420 ORGANIC CHSE BLEND KSH, 142423 ORG COL MWC GRASS MLK CHSE BLND, 142460 ORG CULT DAIRY SEASONING KSH, 142509 DRIED ORGANIC BUTTER PWD KSH, 142511 ORGANIC CREAM POWDER, 142563 (207517) ORG IRIS DAIRY BASE, 142573 (207537) ORG FERM BASE SWT CRM KSH, 142577 (207545) ORG FERM BASE SWT CRM RECON, 142579 (207549) ORG FERM BASE SWT CRM, 142643 WHITE CHED SAUCE MIX, 142788 (207730) AMPLIFI ORGANIC BUTTER INGR BOLDER K, 142789 (207732) AMPLIFI ORGANIC BUTTER INGR BOLDER K, 142790 (207734) AMPLIFI ORGANIC CHED ING BOLDEST K, 142906 PIZZA FLAV SEAS, 143203 ORG NAT CHSE TYPE FLV KSH, 143344 COL CHEDDAR CHSE SEASONING, 143432 ORG MAC N CHEESE PUFF KSH, 143435 ORG CHED CHSE FRIES KSH, 143436 ORG CHEDDAR CHSE SEASONING KSH, 143454 DDRIED UNCOL CHED CHSE SEASONING, 144547 (209116) ASCENTRA MADE W/ ORGANIC ING GF, 145155 ORG CHED BLEND KSH, 145156 ORG TANGY CHED BLEND KSH, 145174 ORG PIZZA SEASONING KOSHER, 145175 ORG PEPPERJACK TYPE SEAS KSH, 207127 SAV BROTH MADE WITH ORG INGREDIENTS, 207128 SAV BROTH MADE WITH ORG INGRED KSH, 209119 SAVORY BASE 22% MADE WITH ORGANIC ING GF</t>
  </si>
  <si>
    <t>Other: 142233 ORG CHED BLEND KSH, 142236 1/50 ORG CHSE BLEND KSH, 142239 1/50 ORG CHED BLEND KSH, 142376/142780 (207120) HI FLAVOR ORG CHED CHSE, 142377 (207122) HI FLAV ORG CHED CHSE KSH, 142427 Colored Cheese Blend – Kosher, 142430 1/35 ORG CHED BLEND CC, 142511 Cream Powder, 142526 ORGANIC NONFAT YOGURT POWDER - KOSHER, 142563 (207517) ORG IRIS DAIRY BASE, 142757 1/50 ORG CHSE BLEND COL KSH</t>
  </si>
  <si>
    <t>Fruits/Vegetables: Fruits, Vegetables, Herbs; Dairy: Butter, Cheese, Ice Cream, Milk, Soymilk, Yogurt; Other: Bread, Chocolate, Crackers, Frozen Fruit, Grains, Humus, Bread, Pita, Wheat, Sprouts, Tofu, Wheat Grass</t>
  </si>
  <si>
    <t>Other: Animal Feed (Canola Meal), Animal Feed (Corn ), Animal Feed (Millrun), Animal Feed (Poultry Blend), Animal Feed (Rolled Grain Blend (Dairy)), Animal Feed (Soybean Meal)</t>
  </si>
  <si>
    <t>Meat Products: Beef (Breakfast Sausage), Beef (Cuts of Beef), Beef (Hot Italian Sausage), Beef (Hotdogs), Beef (Mild Italian Sausage), Beef (Smoked Sausage)</t>
  </si>
  <si>
    <t>Other Grains, Pastas and Cereals: Barley (Barley (bulk)), Oats (Oats (bulk)), Rye (bulk), Wheat (Soft Wheat (bulk)), Wheat (Hard Wheat (bulk)); Dairy: Milk (Milk); Animal Feed: Forage (Corn (bulk)), Forage (Hay (bulk)), Forage (Soybeans (bulk))</t>
  </si>
  <si>
    <t>Other: Coconut Milk Beverage Original, Coconut Milk Beverage Vanilla, Coconut Milk Beverage Unsweetened, Soy Milk Creamy Vanilla, Coconut Milk Non Dairy Frozen Dessert Vanilla, Coconut Milk Non Dairy Frozen Dessert Chocolate, Coconut Milk Non Dairy Frozen Dessert Mocha Almond Fudge, Coconut Milk Non Dairy Frozen Dessert Mint Chip, Coconut Milk Non Dairy Frozen Dessert Vanilla No Sugar, Coconut Milk Non Dairy Frozen Dessert Butter Pecan No Sugar, Coconut Milk Non Dairy Frozen Dessert Chocolate No Sugar, Coconut Milk Non Dairy Frozen Dessert Mint Chip No Sugar, Coconut Milk Non Dairy Frozen Dessert Fudge Bar No Sugar, Coconut Whip Topping</t>
  </si>
  <si>
    <t>Dairy: Milk (2% Chocolate Milk, 2% Reduced Fat Milk, Whole Milk)</t>
  </si>
  <si>
    <t>Dairy: Milk (Bulk Milk)</t>
  </si>
  <si>
    <t>Other: Maple Syrup</t>
  </si>
  <si>
    <t>Other: Dairy (Non-retail, bulk (milk, yogurt)), Fruits (Sliced, Diced (Bulk)), Fruits (Various), Herbs (Various), Salad Mix (Various), Tea (Various), Tofu (Non-retail, bulk), Vegetables (Coleslaw (Bulk)), Vegetables (Sliced, Diced (Bulk)), Vegetables (Various)</t>
  </si>
  <si>
    <t>Other: Asparagus, beets, bok choy, Brussels sprouts, broccoli, cabbage, carrots, cauliflower, celeriac, cilantro, cucumbers, eggplant, garlic, green beans, kale, leeks, lettuce, onions, peas, peppers, potatoes, pumpkins, rutabaga, shallots, summer squash, sweet corn, sweet potatoes, tomatoes, turnips, winter squash, zucchini, Distribution of organic vegetables</t>
  </si>
  <si>
    <t>Beverage Related Products: Non-Dairy Milk (Coconut Milk), Other Beverage Related Products - Coconut Water</t>
  </si>
  <si>
    <t>Other: Corn (Livestock Feed - Steam Flaked (No current Production)), Milk (Raw Bulk)</t>
  </si>
  <si>
    <t>Fruits/Vegetables: Apples: Cripps Pink, Apples: Fuji, Apples: Gala, Apples: Granny Smith, Apples: Honeycrisp, Apples: Pinova, Apples: SweeTango, Berries (Blueberries: Assorted Varieties), Berries (Strawberries: Assorted Varieties), Dehydrated Foods (Dried: Freeze-Dried Honeycrisp Apples), Dehydrated Foods (Dried: Freeze-Dried Blueberries), Dehydrated Foods (Dried: Freeze-Dried Cherries), Dehydrated Foods (Dried: Tomatoes), Mixed Fruit (Frozen: Blueberries), Stone Fruit (Cherries: Assorted Varieties), Vegetables (Tomatoes: Assorted Varieties); Dairy: Cheese (Cheese: Samish Bay Cheese); Condiments and Sweeteners: Confections (Caramel: Fran's - Caramel Sauce); Chocolate Goods: Chocolate (Cocoa or Chocolate: Fran's - Gray Salt Caramels in Dark Chocolate), Chocolate (Cocoa or Chocolate: Fran's - Dark Chocolate Caramel Heart), Chocolate (Cocoa or Chocolate: Fran's - Smoked Salt Caramels)</t>
  </si>
  <si>
    <t>Dairy: Milk (Raw Fluid Milk); Animal Feed: Livestock Feed (COW-ABUNGA ORGANIC CALF PELLET); Other: Blending and Distribution of Total Mix Ration</t>
  </si>
  <si>
    <t>Condiments and Sweeteners: Syrups</t>
  </si>
  <si>
    <t>Other: Dairy-Free Frozen Dessert - Deep Dark Chocolate, Dairy-Free Frozen Dessert - Mint Chocolate Chip, Dairy-Free Frozen Dessert - Simply Lemon</t>
  </si>
  <si>
    <t>Other: #Production and packaging of cheese., Arthur, Dream Sauce (cow milk), Dream Sauce (goat milk), Feta, Fresh Goat Cheese, Fresh Goat Cheese with Black Garlic, Fresh Goat Cheese with Cranberry Ginger, Fresh Goat Cheese with Garlic, Fresh Goat Cheese with Garlic and Dill, Fresh Goat Cheese with Herbes de Provence, Fresh Goat Cheese with Peppercorn, Fresh Goat Cheese with Italian Blend, Mozzarella, Queso Fresco, Rose bud, Rose Memories, Summer's Rest, Table Bluff, Winter's Rest, Fresh Goat Cheese with Apricot Honey Lavender.</t>
  </si>
  <si>
    <t>Processed  Items: Cocojune Cultured Coconut Yogurt - Blue Magic, Cocojune Kids Organic Dairy-free Yogurt - Banana Strawberry, Cocojune Kids Organic Dairy-free Yogurt - Mango Peach, Cocojune Kids Organic Dairy-free Yogurt - Mixed Berry, Cocojune Labneh Dairy-Free Yogurt Spread - Lemon Dill, Cocojune Labneh Dairy-Free Yogurt Spread - Original, Cocojune Labneh Dairy-Free Yogurt Spread - Red Pepper, Cocojune Organic Coconut Yogurt, Cocojune Organic Cultured Coconut Protein Yogurt - Pineapple Yuzu, Cocojune Organic Cultured Coconut Yogurt - Lemon Elderflower, Cocojune Organic Cultured Coconut Yogurt - Mixed Berry, Cocojune Organic Cultured Coconut Yogurt - Passion Fruit, Cocojune Organic Cultured Coconut Yogurt - Pure Coconut, Cocojune Organic Cultured Coconut Yogurt - Strawberry Rhubarb, Cocojune Organic Cultured Coconut Yogurt - Unsweetened Strawberry, Cocojune Organic Cultured Coconut Yogurt - Vanilla Chamomile, Ready to Eat Foods (Cocojune Organic Cultured Coconut Protein Yogurt (Blueberry Lemonade, Raspberry, Vanilla Cinnamon);  Cocojune Organic Cultured Coconut Yogurt - Sour Cream; Cocojune Organic Cultured Coconut Yogurt Dip (Chipotle, Lemon Dill, Tzatziki))</t>
  </si>
  <si>
    <t>Preservatives/Extracts/Flavors: Spices (Organic Ceylon Black Peppercorns of Sri Lanka), Spices (Organic Ceylon Cinnamon of Sri Lanka), Spices (Organic Ceylon Cloves of Sri Lanka), Spices (Organic Ceylon Coarse Ground Black Peppercorns of Sri Lanka), Spices (Organic Ceylon Ground Black Peppercorns of Sri Lanka); Oils &amp; Oleoresins: Oils (Pumpkin Seed Oil); Nuts/Seeds: Tiger Nut Butter; Dry/Baking Goods: Flours and Meals (Flour), Flours and Meals (Organic Italian "00" All-Purpose Flour), Flours and Meals (Organic Italian "00" Soft Wheat Flour), Flours and Meals (Organic Semolina), Powders (Organic Maqui Powder), Powders (Pumpkin Powder); Beverage Related Products: Non-Dairy Milk (Sweetened Condensed Coconut Milk); Other: Ginger Shot</t>
  </si>
  <si>
    <t>Other: Agave Inulin Powder (Premium Powdered Stevia Blend - SOA #80020), Blend (110821A Southwest Batter and Breader Blend), Blend (Kettlecorn Seasoning #15046202), Blend (Smoked Sausage Seasoning #12319101), Blend (Spicy Loaded Nacho Seasoning), Cheese Powder (Aged Cheddar Cheese Seasoning 153065), Cheese Powder (White Cheddar Chese Seasoning 153052), Cream Powder (2700240NA Cream Powder), Dough (Bagurextra P 0155 US (33523)), Dough (Y-Egg (2799)), Erythritol, Fruit Snack (PF507-20 Smoothie Melts Mixed Red Berry), Grain Blend (Pea Blend 112221A ), Misc Baking Mixes (Brownie Mix #2005), Misc Baking Mixes (Chocolate Cake Mix #2004), Misc Baking Mixes (Chocolate Chip Cookie Mix #2006), Misc Baking Mixes (Vanilla Cake Mix #2003), Misc Powders (PWD-009035A Gluten Free Anti Boil Over Powder #115058), Misc. Flavor (#160422K Non-GMO Gluten-Free Habanero Lime Seasoning), Misc. Flavor (Buttermilk Type Flavor #152930KP), Okara (RM-BLKOKAR00401 Organic Okara Flour), Okara (RM-OKAR00460 Upcycled Okara Flour), Processing, Seasoning Blend (#159983 WHITE CHEDDAR CHEESE SEASONING), Seasoning Blend (010224A Maple Dijon Type Seasoning), Seasoning Blend (010622A Salt and Pepper Seasoning), Seasoning Blend (010722B Southwest Type Marinade Seasoning), Seasoning Blend (010722H Cauliflower Blend), Seasoning Blend (010824C Sweet Onion Seasoning), Seasoning Blend (010924E Fiery Hot Seasoning), Seasoning Blend (011322E Beet Blend), Seasoning Blend (011525H Blazin’ Hot Cheddar Seasoning), Seasoning Blend (012317A RANCH), Seasoning Blend (012325A Kimchi Type Protein Seasoning), Seasoning Blend (012325B Pesto Protein Rice Seasoning), Seasoning Blend (012924M Carrot Beet Seasoning), Seasoning Blend (020222G Churro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(022823B Jalapeno Lime Seasoning), Seasoning Blend (030223D Vegan Peppermint Chocolate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(052523F Barbecue Seasoning), Seasoning Blend (052621A White Cheddar Seasoning), Seasoning Blend (060523A Sweet Potato Apple Seasoning), Seasoning Blend (060523C Stawberry Beet Seasoning), Seasoning Blend (061324K Sea Salt and Cracked Pepper Seasoning), Seasoning Blend (061724D Elote Seasoning), Seasoning Blend (062424B Vegan Cheesy Cauliflower Seasoning), Seasoning Blend (062724J Spanish Style Rice Seasoning), Seasoning Blend (062724M Green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(072822A Lime Seasoning), Seasoning Blend (080524Q Sweet and Spicy Vegan Ranch Seasoning), Seasoning Blend (080621DVegan Nacho Seasoning), Seasoning Blend (080621EVegan Ranch Seasoning), Seasoning Blend (080624N Vegan Garden Ranch Seasoning), Seasoning Blend (080921L Vegan Cheddar Seasoning), Seasoning Blend (081022L Chile Lime Seasoning ), Seasoning Blend (081121C Peas and Carrots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(092821E Sea Salt and Vinegar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(110521A Tomato Blend), Seasoning Blend (110624N Tamari Type Seasoning), Seasoning Blend (111020E Pizza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(155168KRosemary and Thyme Seasoning), Seasoning Blend (160310 Aged Cheddar Cheese Seasoning), Seasoning Blend (160311 White Cheddar Cheese Seasoning), Seasoning Blend (160344K Gluten-Free Vegan Chicken Type Flavored Seasoning), Seasoning Blend (160996K Vegan Mild Chili Seasoning), Seasoning Blend (Aged White Cheddar Seasoning #081516B), Seasoning Blend (Aged White Cheddar Seasoning 062816-C), Seasoning Blend (Bacon Type Seasoning 022516-A), Seasoning Blend (Bacon Type Seasoning 040915-B), Seasoning Blend (Barbecue Seasoning #091819E), Seasoning Blend (Barbecue Seasoning 091316B ), Seasoning Blend (Barbecue Seasoning 111314-A), Seasoning Blend (Buffalo Cheddar Seasoning 061915A), Seasoning Blend (Cheddar &amp; Broccoli Seasoning #032117A), Seasoning Blend (CHEDDAR CHEESE SEASONING #153055CR), Seasoning Blend (Cheddar Seasoning #010917G), Seasoning Blend (Cheddar Seasoning 060815A), Seasoning Blend (Cheesy Spinach and Cauliflower Seasoning 031023H), Seasoning Blend (Chipotle Barbecue Seasoning #111016B), Seasoning Blend (Chocolate Seasoning #022322D), Seasoning Blend (Garden Salsa Seasoning 081022C), Seasoning Blend (GF CURRY SEASONING #156947), Seasoning Blend (Gluten Free Vegan Creamy Seasoning #152690 ), Seasoning Blend (Gluten-Free Vegan Chicken Type Flavored Seasoning #155783K), Seasoning Blend (Green Chile Seasoning 022515-B), Seasoning Blend (Himalayan Salt &amp; Apple Cider Vinegar Seasoning #101016A), Seasoning Blend (Himalayan Salt and Pepper Seasoning 050316-C), Seasoning Blend (Himalayan Salty Caramel Seasoning #012517D), Seasoning Blend (Himalayan Sweet Seasoning 102114-C), Seasoning Blend (Honey Jalapeno #101116F), Seasoning Blend (Jalapeno Lime Seasoning 041316B), Seasoning Blend (Jalapeno Lime Seasoning 120915-A), Seasoning Blend (Moroccan Blend 101316G), Seasoning Blend (Nacho Chipotle Seasoning 081115A), Seasoning Blend (Nacho Seasoning #112216C), Seasoning Blend (Non Dairy Cheddar Seasoning #101216B), Seasoning Blend (NON-GMO GLUTEN-FREE CHILI LIME SEASONING #159546K), Seasoning Blend (Non-GMO Gluten-Free Hot Honey Seasoning #157735K), Seasoning Blend (Ponzu Seasoning 012216-D), Seasoning Blend (Ranch Seasoning 061715-A), Seasoning Blend (Ranch Seasoning 071615-A), Seasoning Blend (Roasted Garlic Seasoning #053119B), Seasoning Blend (Roasted Onion &amp; Garlic Seasoning 042315-B), Seasoning Blend (Rosemary Seasoning 072115-C), Seasoning Blend (Sea Salt &amp; Lime Seasoning #092019E), Seasoning Blend (Sea Salt and Black Pepper Seasoning 111513-C), Seasoning Blend (Sea Salt and Lime Seasoning 050721F), Seasoning Blend (Sea Salt and Vinegar Seasoning 091515-D), Seasoning Blend (Seasoning Wasabi Type  #120516D), Seasoning Blend (Sour Cream &amp; Onion Seasoning 123114-B), Seasoning Blend (Spicy Blend 101316H), Seasoning Blend (Sriracha Seasoning 100715A), Seasoning Blend (Sweet and Spicy Chili Seasoning - Made with Organic), Seasoning Blend (Sweet and Spicy Ranch 021916-E), Seasoning Blend (Sweet and Spicy Thai Seasoning #042919D), Seasoning Blend (Vegan Cheddar Type Seasoning #153060), Seasoning Blend (Vegan Chorizo Seasoning 011416-A), Seasoning Blend (Vegan Chorizo Seasoning 100313-A), Seasoning Blend (Vegan Nacho Seasoning #092019H), Seasoning Blend (Vegan Nacho Seasoning 120715-F), Seasoning Blend (Vegan Ranch Seasoning #091216C), Seasoning Blend (Vegan Ranch Seasoning #092019J), Seasoning Blend (Vegetable Pre Blend 010518E), Seasoning Blend (Wasabi Seasoning #090616B), Seasoning Blend (Wasabi Seasoning 101014-B), Seasoning Blend (White Cheddar Seasoning 082515-C), Seasoning Blend (White Cheddar Seasoning 092915-D), Seasoning Blend (White Cheddar Seasoning 110515-C), Seasoning Blend (White Truffle Sea Salt Seasoning 061015-D), Seasoning Mixes ( 051122B Spicy Mac and Cheese Seasoning), Seasoning Mixes ( 091323G Pina Colada Type Seasoning), Seasoning Mixes ( Vegan Ranch Seasoning 022622A), Seasoning Mixes ( White Cheddar Cheese Seasoning 153069CRK), Seasoning Mixes (#157733K Non-GMO Gluten-Free Rosemary Garlic Seasoning), Seasoning Mixes (#159448K NON-GMO GLUTEN-FREE GARLIC PARMESAN AND HERB SEASONING), Seasoning Mixes (#160420K Non-GMO Organic Gluten-Free Rosemary Garlic Seasoning), Seasoning Mixes (#21758921 Vegan Cheddar), Seasoning Mixes (010224B Miso Nori Seasoning Non Kosher), Seasoning Mixes (011022C Spicy Blend), Seasoning Mixes (011422E SB-OTWBK Seasoning), Seasoning Mixes (011623DVegan Pizza Seasoning), Seasoning Mixes (011822B Umami Blend), Seasoning Mixes (011822G Chile Lime Seasoning), Seasoning Mixes (011922A Protein White Truffle Sea Salt Seasoning), Seasoning Mixes (012419 Jalapeno Pineapple Seasoning), Seasoning Mixes (012821C Barbecue Seasoning), Seasoning Mixes (012821F Original Seasoning), Seasoning Mixes (012821G Zesty Nacho Seasoning), Seasoning Mixes (020221V Mushroom Seasoning), Seasoning Mixes (020723C Garden Salsa Seasoning), Seasoning Mixes (020822C Sweet Dijon Seasoning), Seasoning Mixes (020824B Teriyaki Seasoning), Seasoning Mixes (021021B Sea Salt and Vinegar Seasoning), Seasoning Mixes (021224H Cheesy Spinach and Cauliflower Seasoning), Seasoning Mixes (021622G Vegan White Cheddar Seasoning), Seasoning Mixes (022322E Mixed Berry Seasoning), Seasoning Mixes (030321B Blueberry and Sweet Potato Seasoning), Seasoning Mixes (031121B Flaming Sriracha Seasoning ), Seasoning Mixes (032423GGarlic and Onion Seasoning), Seasoning Mixes (032822H Chicken Type Flavor), Seasoning Mixes (041222C Chile Lime Seasoning), Seasoning Mixes (041323A Teriyaki Seasoning), Seasoning Mixes (041822H Spicy Loaded Nacho Seasoning), Seasoning Mixes (042922C Sea Salt and Olive Oil Seasoning), Seasoning Mixes (050322E Korean BBQ Seasoning), Seasoning Mixes (050322F Umami Blend), Seasoning Mixes (050323ASea Salt Blend), Seasoning Mixes (051221D White Chocolate Strawberry Seasoning), Seasoning Mixes (052121E Vegan Cheddar and Broccoli Seasoning), Seasoning Mixes (052522B Cheddar Seasoning), Seasoning Mixes (052523G Apple Broccoli Seasoning), Seasoning Mixes (052821B Sweet Potato and Pumpkin Spice Seasoning), Seasoning Mixes (060123A Mixed Berry and Sweet Pea Seasoning), Seasoning Mixes (061522C Jalapeno Cornbread Seasoning,), Seasoning Mixes (062023D Queso Fresco Type Seasoning), Seasoning Mixes (062222G Smoke Flavor), Seasoning Mixes (070822C Savory Vegetable Seasoning), Seasoning Mixes (070822F Cheddar Vegetable Seasoning), Seasoning Mixes (071221B GM Spicy Seasoning), Seasoning Mixes (071221E Vegan Cheddar and Broccoli Seasoning), Seasoning Mixes (071921YRed Pepper Tomato Basil Seasoning), Seasoning Mixes (072721B Vegan Elote Seasoning), Seasoning Mixes (080823A Tomato and Basil Seasoning), Seasoning Mixes (081022N Jalapeno Cornbread Seasoning), Seasoning Mixes (081420B Strawberry Beet Seasoning), Seasoning Mixes (081821D Vegan Salted Caramel Seasoning), Seasoning Mixes (081821L Vegan Cheddar Seasoning), Seasoning Mixes (082719A Non Dairy Sour Cream and Onion Seasoning), Seasoning Mixes (090320E Sriracha Seasoning), Seasoning Mixes (090523B Chile Lime Seasoning), Seasoning Mixes (090919A Sea Salt and Vinegar Seasoning), Seasoning Mixes (091423D Vegan White Cheddar Seasoning), Seasoning Mixes (091720C Vegan Sour Cream and Onion Seasoning), Seasoning Mixes (091820B Barbecue Seasoning), Seasoning Mixes (092523F Vegan Buffalo Ranch Seasoning), Seasoning Mixes (101121B Vegan Roasted Garlic and Parmesan Type Seasoning ), Seasoning Mixes (101520B Vegan Nacho Seasoning), Seasoning Mixes (101623B Strawberry Basil Seasoning), Seasoning Mixes (101723A Mixed Berry and Sweet Pea Seasoning), Seasoning Mixes (102120J Garden Vegetable Seasoning), Seasoning Mixes (102120M Tomato Carrot Seasoning), Seasoning Mixes (110421B Habanero Seasoning), Seasoning Mixes (111021C Vegan Zesty Ranch Seasoning), Seasoning Mixes (111720D Spicy Turmeric Seasoning), Seasoning Mixes (111721A Peach Mango Seasoning), Seasoning Mixes (112519B Vegan Sour Cream and Onion Seasoning), Seasoning Mixes (113021C Vegan Ranch Seasoning), Seasoning Mixes (120821D Buffalo Type Marinade), Seasoning Mixes (120921B Protein Sweet and Salty Type Seasoning), Seasoning Mixes (121021E Protein Caramel Seasoning), Seasoning Mixes (121021F Protein White Cheddar Seasoning), Seasoning Mixes (121323F Garlic and Herb Seasoning), Seasoning Mixes (122723B Korean Barbecue Seasoning), Seasoning Mixes (122723C Teriyaki Seasoning), Seasoning Mixes (122723E Sriracha Seasoning), Seasoning Mixes (122920E Blueberry and Sweet Potato Seasoning), Seasoning Mixes (122920F Vegan Broccoli Cheddar Style Flavored Seasoning), Seasoning Mixes (122920G Vegan Homestyle Ranch Seasoning), Seasoning Mixes (156118KGluten-Free Cheddar Cheese Seasoning), Seasoning Mixes (156576K NGMO Ranch Seasoning), Seasoning Mixes (156974K Gluten-Free Ginger Turmeric Seasoning), Seasoning Mixes (157379K Vegan White Cheddar Cheese Type Seasoning), Seasoning Mixes (158828K EVERYTHING BAGEL SEASONING ), Seasoning Mixes (158897KNon-GMO Gluten-FreeSour Cream and Onion Seasoning), Seasoning Mixes (159251KNon-GMO Gluten-Free Sharp Type White Cheddar Seasoning), Seasoning Mixes (159252KNon-GMO Gluten-Free Spinach and Parmesan Seasoning), Seasoning Mixes (159741K Organic Ginger Soy Seasoning), Seasoning Mixes (160313 Cheddar Cheese Seasoning), Seasoning Mixes (20691110 Kettle Corn), Seasoning Mixes (21758210 Spicy Maple), Seasoning Mixes (21758315 Salt &amp; Vinegar), Seasoning Mixes (21758821 Salty Lime), Seasoning Mixes (2700098NA White Cheddar Cheese Powder ), Seasoning Mixes (Aged Cheddar Cheese Seasoning 153066CRK), Seasoning Mixes (Aged Cheddar Seasoning #153066K), Seasoning Mixes (Aged White Cheddar Seasoning #010320A), Seasoning Mixes (Aged White Cheddar Seasoning #032219F), Seasoning Mixes (Aged White Cheddar Seasoning #041819C), Seasoning Mixes (Apple Cinnamon Seasoning #102417A), Seasoning Mixes (Baked Mac Seasoning 155507), Seasoning Mixes (Barbecue Seasoning #121517A), Seasoning Mixes (Barbecue Seasoning 012120B), Seasoning Mixes (Barbecue Seasoning 040620B), Seasoning Mixes (Barbecue Seasoning 111119E), Seasoning Mixes (Barbecue Seasoning 112420G), Seasoning Mixes (Beach Barbecue Seasoning #021319A), Seasoning Mixes (Berbere Seasoning #111218D), Seasoning Mixes (Breakfast Sausage Seasoning #112718B), Seasoning Mixes (Breakfast Sausage Seasoning (for Apple) #012919B), Seasoning Mixes (Breakfsat Sausage Seasoning (for Apple) 010820B), Seasoning Mixes (BROCCOLI AND CHEESE SEASONING #155786), Seasoning Mixes (Broccoli Spinach Kale Seasoning (072720K)), Seasoning Mixes (Buffalo Ranch Seasoning 071422E ), Seasoning Mixes (Buffalo Seasoning #157502K), Seasoning Mixes (Butter Type Flavor Powder #152657KP-IP), Seasoning Mixes (Candied Nut Seasoning (20658411)), Seasoning Mixes (Caramelized Onion  Seasoning 101619G), Seasoning Mixes (Caramelized Onion Seasoning #091018A), Seasoning Mixes (Carrot Beet Seasoning (090320K)), Seasoning Mixes (Carrot Spinach Dip Seasoning 050620C ), Seasoning Mixes (Carrot Spinach Dip Seasoning 061020A), Seasoning Mixes (Cheddar Cheese Seasoning #153051), Seasoning Mixes (Cheddar Cheese Seasoning #153055), Seasoning Mixes (Cheddar Cheese Seasoning #155668), Seasoning Mixes (Cheddar Cheese Seasoning #155928), Seasoning Mixes (Cheddar Cheese Seasoning #157933K ), Seasoning Mixes (Cheddar Cheese Seasoning 153142), Seasoning Mixes (Cheddar Seasoning #012120A), Seasoning Mixes (Cheddar Seasoning #020218B), Seasoning Mixes (Cheddar Seasoning #030817B), Seasoning Mixes (Cheese Pizza Seasoning #012120F), Seasoning Mixes (CHILI LIME SEASONING #157567K), Seasoning Mixes (Churro Seasoning 080921B), Seasoning Mixes (Cinnamon French Toast Seasoning #062118D), Seasoning Mixes (Cool Ranch Seasoning #062018A), Seasoning Mixes (Dark Chocolate and Himalayan Salt Seasoning 031020A), Seasoning Mixes (Dill Pickle Seasoning #061418J), Seasoning Mixes (Dill Pickle Seasoning #080718B), Seasoning Mixes (Dill Pickle Seasoning 010322C), Seasoning Mixes (Everything Bagel Seasoning #093019E ), Seasoning Mixes (Flaming Hot Seasoning #010318B), Seasoning Mixes (Flaming Hot Seasoning 030420E), Seasoning Mixes (Fuego Seasoning 101619C), Seasoning Mixes (Garden Vegetable Seasoning #155170K ), Seasoning Mixes (Gingerbread Cookie Seasoning 030420C), Seasoning Mixes (Gluten Free Vegan Cheddar Type Seasoning 153517K), Seasoning Mixes (Gluten-Free Apple &amp; Honey Flavored Seasoning #138019K), Seasoning Mixes (GLUTEN-FREE BUFFALO HOT WING SEASONING #156896K), Seasoning Mixes (Gluten-Free Salt and Pepper Seasoning #157682K), Seasoning Mixes (Gluten-Free Sriracha Seasoning #138020K), Seasoning Mixes (Gluten-Free Tequila Type Lime Seasoning #141078K), Seasoning Mixes (Gluten-Free Vegan Cheddar Type Seasoning #152695K), Seasoning Mixes (Grapefruit Seasoning #101119C), Seasoning Mixes (Habanero Seasoning 112619A), Seasoning Mixes (Himalayan Salt and Apple Cider Vinegar Seasoning #043018C), Seasoning Mixes (Himalayan Salt and Apple Cider Vinegar Seasoning #072518A), Seasoning Mixes (Himalayan Salt and Apple Cider Vinegar Seasoning #113017B), Seasoning Mixes (Himalayan Sweet Seasoning 100919H), Seasoning Mixes (Huevos Rancheros Type Seasoning #110918B), Seasoning Mixes (Italian Seasoning #150286), Seasoning Mixes (Italian Seasoning #152021K), Seasoning Mixes (Jalapeno Lime Seasoning 120420D), Seasoning Mixes (Jalapeno Seasoning #012418A), Seasoning Mixes (Jalapeno Seasoning 062017E), Seasoning Mixes (Ketchup Mustard and Pickle Seasoning #031418A), Seasoning Mixes (Kielbasa 17331103), Seasoning Mixes (Kool Ranch Seasoning #012821H), Seasoning Mixes (Korean Barbecue Seasoning #012419C), Seasoning Mixes (Korean Barbecue Seasoning #041519G), Seasoning Mixes (Korean Barbecue Seasoning #112918B), Seasoning Mixes (Korean Barbecue Seasoning (042520A)), Seasoning Mixes (Korean Barbecue Seasoning 021720M), Seasoning Mixes (Lemonade Seasoning #100319E), Seasoning Mixes (Lime Seasoning 041922A), Seasoning Mixes (LK Korean BBQ (18454102)), Seasoning Mixes (LK Original BB #18445702 (10000026701)), Seasoning Mixes (Maple Brown Sugar Seasoning #152291K), Seasoning Mixes (Maple Brown Sugar Type Seasoning #152290K), Seasoning Mixes (Maple Butter #17300202), Seasoning Mixes (Maple Sausage Seasoning (for Blueberry) #020819B ), Seasoning Mixes (Maple Sausage Seasoning (for Blueberry) 010820A ), Seasoning Mixes (Maple Spice and Brown Sugar Seasoning #022119C), Seasoning Mixes (Maui Onion Type Seasoning #012219A), Seasoning Mixes (Mesquite BBQ Seasoning #112118D), Seasoning Mixes (Mexican Elote Seasoning 042520B), Seasoning Mixes (Mexican Street Corn Type Seasoning 081022B ), Seasoning Mixes (Montreal Style Steak Seasoning 121520G), Seasoning Mixes (Nacho Seasoning #090216C), Seasoning Mixes (Nacho Seasoning #103018A), Seasoning Mixes (NGMOP MWO GF Habanero Lime Seasoning 157734K), Seasoning Mixes (Non Dairy Cheddar Parmesan Type Seasoning 120419A), Seasoning Mixes (Non Dairy Cheddar Seasoning 102919F ), Seasoning Mixes (Non Dairy Orange Cheddar Seasoning 101619F), Seasoning Mixes (Non Dairy White Cheddar Seasoning 101619D), Seasoning Mixes (Non-Dairy Buffalo Ranch Seasoning #011619A), Seasoning Mixes (Non-Dairy Ranch Seasoning #100217A), Seasoning Mixes (Non-GMO Gluten-Free Maple Butter Type Seasoning 157870K), Seasoning Mixes (Non-GMO Gluten-Free Pizza Seasoning 158856K), Seasoning Mixes (NS Sausage #18363110), Seasoning Mixes (ORGANIC CHEDDAR CHEESE SEASONING #160155K), Seasoning Mixes (Original Snack Mix Seasoning #150344K), Seasoning Mixes (Parmesan and Roasted Garlic Seasoning #040219C), Seasoning Mixes (Pepperoncini Seasoning 050416A), Seasoning Mixes (Pumpkin Spice Seasoning 030220B), Seasoning Mixes (Red Pepper Seasoning #042618C), Seasoning Mixes (Roasted Honey Seasoning #113018B), Seasoning Mixes (Roasted Red Bell Seasoning 062620E), Seasoning Mixes (Rotisserie Chicken Rub #032019C), Seasoning Mixes (Salsa Verde Seasoning 110922G), Seasoning Mixes (Salsa Verde Seasoning 112619C), Seasoning Mixes (Savory Jerky #17308503), Seasoning Mixes (Sea Salt &amp; Cracked Pepper Seasoning #122316A), Seasoning Mixes (Sea Salt and Lime Seasoning #120621G), Seasoning Mixes (Sea Salt and Pea Fiber Blend #092019L), Seasoning Mixes (Sea Salt and Vinegar Seasoning #010720A), Seasoning Mixes (Sea Salt and Vinegar Seasoning 050123F), Seasoning Mixes (Sea Salt and Vinegar Seasoning 081319A ), Seasoning Mixes (Sharp Cheddar Cheese Seasoning #155761 ), Seasoning Mixes (Sour Cream and Onion Seasoning #052819B), Seasoning Mixes (Sour Cream and Onion Seasoning #052819D), Seasoning Mixes (Sour Cream and Onion Seasoning #091819D), Seasoning Mixes (Sour Cream and Onion Seasoning 050123C), Seasoning Mixes (Southwest Seasoning #155736), Seasoning Mixes (Spicy Sweet Pepper Seasoning #112618B), Seasoning Mixes (Sriracha Seasoning #122117A), Seasoning Mixes (Sriracha Seasoning 040620C), Seasoning Mixes (Sweet and Salty Seasoning #062017F), Seasoning Mixes (Sweet and Spicy Chile Seasoning 061920D), Seasoning Mixes (Sweet and Spicy Ranch Seasoning 022820A), Seasoning Mixes (Sweet Dijon Seasoning #101518D), Seasoning Mixes (Sweet Potato Apple Seasoning (081420A)), Seasoning Mixes (Sweet Potato Pumpkin Thyme Seasoning #102120F), Seasoning Mixes (Teriyaki 18369505 (10000021316) ), Seasoning Mixes (Teriyaki Seasoning #122018B), Seasoning Mixes (Thai Curry and Kaffir Lime Seasoning 110922J), Seasoning Mixes (Tomato and Basil Seasoning 021420C ), Seasoning Mixes (Tomato and Mushroom Seasoning 020722C), Seasoning Mixes (Tomato and Mushroom Seasoning 050322A ), Seasoning Mixes (Vegan Baked Mac Seasoning 155638), Seasoning Mixes (Vegan Cheddar Seasoning #091018B), Seasoning Mixes (Vegan Cheddar Seasoning #112117B), Seasoning Mixes (Vegan Cheddar Seasoning (080320B)), Seasoning Mixes (Vegan Cheddar Seasoning 011020D), Seasoning Mixes (Vegan Cheddar Seasoning 021523C), Seasoning Mixes (Vegan Cheddar Type Seasoning #155040), Seasoning Mixes (Vegan Harvest Blend Seasoning #154427K), Seasoning Mixes (Vegan Mac and Cheese Seasoning #112817D), Seasoning Mixes (Vegan Nacho Seasoning #012320D), Seasoning Mixes (Vegan Nacho Seasoning #031218AR1), Seasoning Mixes (Vegan Nacho Seasoning (091120B)), Seasoning Mixes (Vegan Nacho Seasoning 031620C), Seasoning Mixes (Vegan Nacho Seasoning 050420C), Seasoning Mixes (Vegan Nacho Seasoning 061920C), Seasoning Mixes (Vegan Nacho Seasoning 082819G), Seasoning Mixes (Vegan Nacho Seasoning 100719B), Seasoning Mixes (Vegan Nacho Seasoning 110519H), Seasoning Mixes (Vegan Ranch Seasoning 012120C), Seasoning Mixes (Vegan Ranch Seasoning 030420A), Seasoning Mixes (Vegan Ranch Seasoning 110718C), Seasoning Mixes (Vegan Sour Cream and Onion Seasoning 040620D), Seasoning Mixes (Vegan Sour Cream and Onion Seasoning 042020F), Seasoning Mixes (Vegan Sriracha Ranch Seasoning 110822B), Seasoning Mixes (Vegan White Cheddar Jalapeno Seasoning #092019M), Seasoning Mixes (Vegan White Cheddar Jalapeno Seasoning 082819H), Seasoning Mixes (Vegan White Cheddar Seasoning #032919E), Seasoning Mixes (Vegan White Cheddar Seasoning #091918D), Seasoning Mixes (Vegan White Cheddar Seasoning #111219B), Seasoning Mixes (Vegan White Cheddar Seasoning 042020E), Seasoning Mixes (Vegan White Cheddar Seasoning 091021B), Seasoning Mixes (Wasabi and Pickled Ginger Seasoning #031518B), Seasoning Mixes (Wasabi Type Seasoning 081021H), Seasoning Mixes (Watermelon Hibiscus Seasoning #101019A ), Seasoning Mixes (White Cheddar Cheese Seasoning #153050), Seasoning Mixes (White Cheddar Cheese Seasoning #153056), Seasoning Mixes (White Cheddar Cheese Seasoning #153471), Seasoning Mixes (White Cheddar Cheese Seasoning #155921), Seasoning Mixes (White Cheddar Cheese Seasoning 153052CR ), Seasoning Mixes (White Cheddar Cheese Seasoning 153143), Seasoning Mixes (White Cheddar Seasoning #041717F), Seasoning Mixes (White Cheddar Seasoning #062017B), Seasoning Mixes (White Cheddar Seasoning #110217E), Seasoning Mixes (White Cheddar Seasoning #110518A), Seasoning Mixes (White Cheddar Seasoning #153069K), Seasoning Mixes (White Chocolate and Matcha Seasoning 030620B), Stevia Powder (10810019410526-1-T Pyure Powdered Sweetener Stevia Blend), Sweet Dairy Whey (OFP240SWP-ORG Dry Sweet Whey Powder), Sweetener Blend (Pyure Granular Sweetener Blend), Sweetener Blend (Swerve All Purpose), Sweetener Blend (Swerve Confectioners), Whey (OFP223IKSUN-ORG DairyPro 223I-ORG Organic WPC 80 Instant), Yeast Extract (052621C Autolyzed Yeast Extract ), Yogurt Powder (Yogurt Type Flavor Powder #152798K-IP)</t>
  </si>
  <si>
    <t>Dairy: Milk (Milk, On-Farm Bulk)</t>
  </si>
  <si>
    <t>Chocolate Goods: Cocoa Tea, Dairy Free White Chocolate Bar, Dark Chocolate, Ethereal Blend Nib &amp; Husk Mixture (BULK), Ethereal Cocoa Husks, Ethereal Cocoa Nibs, Original Cocoa Mix, Pumpkin Spice White Mocha Chocolate Bar, Yes Way Rose Chocolate Bar, Spiced Eggnog Almond Milk White Chocolate Bar, 40% Dark Chocolate (ingredient), Almond Milk Chocolate (ingredient), Oat Milk Chocolate (ingredient), and Peanut Butter Almond Milk White Chocolate (ingredient)</t>
  </si>
  <si>
    <t>Dairy: Milk (Raw Fluid Milk)</t>
  </si>
  <si>
    <t>Preservatives/Extracts/Flavors: Extracts (Acacia Extract in Glycerin), Extracts (Acacia Extract in Sunflower Oil), Extracts (Acacia Extract WS), Extracts (Acai Berry Extract in Glycerin), Extracts (Acai Berry Extract in Sunflower Oil), Extracts (Acai Berry Extract WS), Extracts (Acerola Extract in Glycerin), Extracts (Acerola Extract in Sunflower Oil), Extracts (Acerola Extract WS), Extracts (Agave Extract in Glycerin), Extracts (Agave Extract in Sunflower Oil), Extracts (Agave Extract WS), Extracts (Agrimony Extract in Glycerin), Extracts (Agrimony Extract in Sunflower Oil), Extracts (Agrimony Extract WS), Extracts (Alfalfa Extract in Glycerin), Extracts (Alfalfa Extract in Sunflower Oil), Extracts (Alfalfa Extract WS), Extracts (Algae Extract in Water), Extracts (Aloe Extract in Organic Jojoba Oil), Extracts (Aloe Extract in Sunflower Oil), Extracts (Aloe Vera Extract 1X in Glycerin), Extracts (Aloe Vera Extract 1X-WS), Extracts (Amla Extract in Sunflower Oil), Extracts (Amla Extract WS), Extracts (Amla Extracts in Glycerin), Extracts (Apple Extract in Safflower Oil), Extracts (Arnica Extract in Glycerin), Extracts (Arnica Extract in Sunflower Oil), Extracts (Arnica WS), Extracts (Arrowroot Extract in Glycerin), Extracts (Arrowroot Extract in Sunflower Oil), Extracts (Arrowroot Extract WS), Extracts (Artichoke Extract in Glycerin), Extracts (Artichoke Extract in Sunflower Oil), Extracts (Artichoke Extract WS), Extracts (Ashwagandha Extract in Argan Oil), Extracts (Ashwagandha Extract in Glycerin), Extracts (Ashwagandha Extract in Sunflower Oil), Extracts (Ashwagandha Extract WS), Extracts (Astragalus Extract in Glycerin), Extracts (Astragalus Extract in Sunflower Oil), Extracts (Astragalus Extract WS), Extracts (Banana Extract in Glycerin), Extracts (Banana Extract in Sunflower Oil), Extracts (Banana Extract WS), Extracts (Barley Extract in Glycerin), Extracts (Barley Extract in Sunflower Oil), Extracts (Barley Extract WS), Extracts (Basil Extract in Glycerin), Extracts (Basil Extract in Sunflower Oil), Extracts (Basil Extract WS), Extracts (Bearberry Extract), Extracts (Bearberry Extract in Glycerin), Extracts (Bearberry Extract in Safflower oil), Extracts (Bearberry Extract in Sunflower oil), Extracts (Bee Pollen Extract in Glycerin), Extracts (Bee Pollen Extract in Sunflower Oil), Extracts (Bee Pollen Extract WS), Extracts (Beet Extract in Glycerin), Extracts (Beet Extract in Sunflower Oil), Extracts (Beet Extract WS), Extracts (Bilberry Extract in Organic Glycerin), Extracts (Bilberry Extract in Sunflower Oil), Extracts (Bilberry Extract WS), Extracts (Black Cohash Extract in Glycerin), Extracts (Black Cohash Extract in Sunflower Oil), Extracts (Black Cohash Extract WS), Extracts (Black Pepper Extract in Glycerin), Extracts (Black Pepper Extract in Sunflower Oil), Extracts (Black Pepper Extract WS), Extracts (Black Tea Extract in Glycerin), Extracts (Black Tea Extract in Sunflower Oil), Extracts (Black Tea Extract WS), Extracts (Black, Green Rooibos &amp; White Tea Extract in Organic Sunflower Oil), Extracts (Blackberry Extract (in Sunflower Oil - Hi Oleic)), Extracts (Blackberry Extract in Glycerin), Extracts (Blackberry Extract in Sunflower Oil), Extracts (Blackberry Extract WS), Extracts (Bladderwrack Extract in Glycerin), Extracts (Bladderwrack Extract in Sunflower Oil), Extracts (Bladderwrack Extract WS), Extracts (Blue Agave Extract in Glycerin), Extracts (Blue Agave Extract in Sunflower Oil), Extracts (Blue Agave Extract WS), Extracts (Blue Chammomile Extract in Sunflower Oil), Extracts (Blue Chamomile Extract in Glycerin), Extracts (Blue Chamomile Extract WS), Extracts (Blue Chamomile Flower Extract), Extracts (Blueberry Extract in Glycerin), Extracts (Blueberry Extract in Sunflower Oil), Extracts (Blueberry Extract WS), Extracts (Borage Extract in Glycerin), Extracts (Borage Extract in Sunflower Oil), Extracts (Borage Extract WS), Extracts (Brahmi Extract in Glycerin), Extracts (Brahmi Extract in Sunflower Oil), Extracts (Brahmi Extract WS), Extracts (Broccoli Extract in Glycerin), Extracts (Broccoli Extract in Sunflower Oil), Extracts (Broccoli Extract WS), Extracts (Buckwheat Extract in Glycerin), Extracts (Buckwheat Extract in Sunflower Oil), Extracts (Buckwheat Extract WS), Extracts (Burdock Root Extract in Glycerin), Extracts (Burdock Root Extract in Sunflower Oil), Extracts (Burdock Root Extract WS), Extracts (Butcher's Broom Extract in Glycerin), Extracts (Butcher's Broom Extract in Sunflower Oil), Extracts (Butcher's Broom Extract WS), Extracts (Calendula Extract in Coconut Oil), Extracts (Calendula Extract in Glycerin), Extracts (Calendula Extract in Olive Oil), Extracts (Calendula Extract in Safflower Oil), Extracts (Calendula Extract in Sunflower Oil), Extracts (Calendula Extract WS), Extracts (Camu Camu Extract in Glycerin), Extracts (Camu Camu Extract in Sunflower Oil), Extracts (Camu Camu Extract WS), Extracts (Capsaicin Extract in Glycerin), Extracts (Capsaicin Extract in Sunflower), Extracts (Capsaicin Extract WS), Extracts (Cardamom Extract in Glycerin), Extracts (Cardamom Extract in Sunflower Oil), Extracts (Cardamom Extract WS), Extracts (Carrot Extract in Glycerin), Extracts (Carrot Extract in Sunflower Oil), Extracts (Carrot Extract WS), Extracts (Ceylon Extract in Glycerin), Extracts (Ceylon Extract in Sunflower Oil), Extracts (Ceylon Extract Ws), Extracts (CGRARBK Extract in Glycerin), Extracts (Chaga Mushroom Extract in Glycerin), Extracts (Chaga Mushroom Extract in Olive Oil), Extracts (Chai Extract in Glycerin), Extracts (Chai Extract in Sunflower Oil), Extracts (Chai Extract WS), Extracts (Chamomile Concentrate), Extracts (Chamomile Extract in Glycerin), Extracts (Chamomile Extract in Organic Glycerin), Extracts (Chamomile Extract in Safflower Oil), Extracts (Chamomile Extract in Sunflower Oil), Extracts (Chamomile Extract WS), Extracts (Cherry Bark Extract in Glycerin), Extracts (Cherry Bark Extract in Sunflower Oil), Extracts (Cherry Bark Extract WS), Extracts (Cherry Extract in Glycerin), Extracts (Cherry Extract in Sunflower Oil), Extracts (Cherry Extract WS), Extracts (Chia Extract in Glycerin), Extracts (Chia Extract WS), Extracts (Chili Extract in Glycerin), Extracts (Chili Extract in Sunflower Oil), Extracts (Chili Extract WS), Extracts (Chipotle Extract in Glycerin), Extracts (Chipotle Extract in Sunflower Oil), Extracts (Chipotle Extract WS), Extracts (Chlorella Extract in Glycerin), Extracts (Chlorella Extract in Sunflower Oil), Extracts (Chlorella Extract WS), Extracts (Cinnamon Extract in Glycerin), Extracts (Cinnamon Extract in Sunflower Oil), Extracts (Cinnamon Extract WS), Extracts (Cocoa Extract in Glycerin), Extracts (Cocoa Extract in Olive Oil), Extracts (Cocoa Extract in Sunflower Oil), Extracts (Cocoa Extract WS), Extracts (Coconut Extract in Glycerin), Extracts (Coconut Extract in Sunflower Oil), Extracts (Coconut Extract WS), Extracts (Coconut Fruit Extract in Glycerin), Extracts (Coconut Milk Extract in Glycerin), Extracts (Coconut Milk Extract in Sunflower Oil), Extracts (Coconut Milk Extract WS), Extracts (Coconut Oil Extract in Glycerin), Extracts (Coconut Water Powder), Extracts (Codonopsis Extract in Glycerin), Extracts (Codonopsis Extract in Sunflower Oil), Extracts (Codonopsis Extract WS), Extracts (Coffee Arabica Extract in Sunflower Oil), Extracts (Coffee Extract in Glycerin), Extracts (Coffee Extract in Sunflower Oil), Extracts (Coffee Extract WS), Extracts (Coltsfoot Extract in Glycerin), Extracts (Coltsfoot Extract in Sunflower Oil), Extracts (Coltsfoot Extract WS), Extracts (Comfrey Extract in Organic Glycerin), Extracts (Comfrey Extract in Sunflower Oil), Extracts (Comfrey Extract WS), Extracts (Cordyceps Mushroom Extract in Glycerin), Extracts (Cordyceps Mushroom Extract in Olive Oil), Extracts (Coriander Extract in Glycerin), Extracts (Coriander Extract in Sunflower Oil), Extracts (Coriander Extract WS), Extracts (Cornflower Extract in Glycerin), Extracts (Cornflower Extract in Sunflower Oil), Extracts (Cornflower Extract WS), Extracts (Cramp Bark Extract in Glycerin), Extracts (Cramp Bark Extract in Sunflower Oil), Extracts (Cramp Bark Extract WS), Extracts (Cranberry Extract in Glycerin), Extracts (Cranberry Extract in Sunflower Oil), Extracts (Cranberry Extract WS), Extracts (CSGKAA Extract Blend in Glycerin), Extracts (Cucumber Extract in Coconut Oil), Extracts (Cucumber Extract in Glycerin), Extracts (Cucumber Extract in Sunflower Oil), Extracts (Cucumber Extract WS), Extracts (Daikon Radish Extract in Coconut Oil), Extracts (Daikon Radish Extract in Glycerin), Extracts (Daikon Radish Extract in Sunflower Oil), Extracts (Daikon Radish Extract WS), Extracts (Dandelion Extract in Glycerin), Extracts (Dandelion Extract in Sunflower Oil), Extracts (Dandelion Extract WS), Extracts (Date Extract in Glycerin), Extracts (Date Extract in Sunflower Oil), Extracts (Date Extract WS), Extracts (Dill Extract in Organic Glycerin), Extracts (Dill Extract in Sunflower Oil), Extracts (Dill Extract WS), Extracts (Dulse Extract in Glycerin), Extracts (Dulse Extract in Sunflower Oil), Extracts (Dulse Extract WS), Extracts (Echinacea Extract in Glycerin), Extracts (Echinacea Extract in Sunflower Oil), Extracts (Echinacea Extract WS), Extracts (Echinacea Purpurea Extract in Glycerin), Extracts (Echinacea Purpurea Extract in Sunflower Oil), Extracts (Echinacea Purpurea Extract WS), Extracts (Elderberry extract in Glycerin), Extracts (Elderberry Extract in Safflower Oil), Extracts (Elderberry Extract in Sunflower Oil), Extracts (Elderberry Extract WS), Extracts (Elderflower Extract in Glycerin), Extracts (Elderflower Extract in Sunflower Oil), Extracts (Elderflower Extract WS), Extracts (Eleuthero Extract in Glycerin), Extracts (Eleuthero Extract in Sunflower Oil), Extracts (Eleuthero Extract WS), Extracts (Epimdium Extract in Glycerin), Extracts (Epimdium Extract in Sunflower Oil), Extracts (Epimdium Extract WS), Extracts (Eucalyptus Extract in Glycerin), Extracts (Eucalyptus Extract in Sunflower Oil), Extracts (Eucalyptus Extract WS), Extracts (Extract Blend 002), Extracts (Extract Blend 184), Extracts (Eyebright Extract in Glycerin), Extracts (Eyebright Extract in Sunflower Oil), Extracts (Eyebright Extract WS), Extracts (Fennel Extract in Glycerin), Extracts (Fennel Extract in Sunflower Oil), Extracts (Fennel Extract WS), Extracts (Fenugreek Extract in Glycerin), Extracts (Fenugreek Extract in Sunflower Oil), Extracts (Fenugreek Extract WS), Extracts (Flaxseed Extract in Glycerin), Extracts (Flaxseed Extract in Sunflower Oil), Extracts (FSM Extract in Sesame Oil), Extracts (Gentian Extract in Sunflower Oil), Extracts (Gentian Extract WS), Extracts (Gentin Extract in Glycerin), Extracts (German Chamomile Extract in Glycerin), Extracts (German Chamomile Extract in Sunflower Oil), Extracts (German Chamomile Extract WS), Extracts (GEWGSYSG Extract in Glycerin), Extracts (Ginger Extract in Organic Glycerin), Extracts (Ginger Extract in Sunflower Oil), Extracts (Ginger Extract WS), Extracts (Gingko Biloba Extract in Glycerin), Extracts (Ginko Biloba Extract in Sunflower Oil), Extracts (Ginko Biloba Extract WS), Extracts (Ginseng Extract in Organic Glycerin), Extracts (Ginseng Extract in Sunflower Oil), Extracts (Ginseng Extract WS), Extracts (Goji Extract in Coconut Oil), Extracts (Goji Extract in Glycerin), Extracts (Goji Extract in Sunflower Oil), Extracts (Goji Extract WS), Extracts (Gotu Kola Extract GLY), Extracts (Gotu Kola Extract in Glycerin), Extracts (Gotu Kola Extract in Sunflower Oil), Extracts (Gotu Kola Extract WS), Extracts (Grape Extract GLY), Extracts (Grape Extract in Glycerin), Extracts (Grape Extract in Sunflower Oil), Extracts (Grape Extract WS), Extracts (Grapefruit Extract in Glycerin), Extracts (Grapefruit Extract in Sunflower Oil), Extracts (Grapefruit Extract WS), Extracts (Green Rooibos Extract in Glycerin), Extracts (Green Rooibos Extract in Sunflower Oil), Extracts (Green Rooibos Extract WS), Extracts (Green Tea Extract GLY), Extracts (Green Tea Extract in Organic Glycerin), Extracts (Green Tea Extract in Safflower Oil), Extracts (Green Tea Extract in Sunflower Oil), Extracts (Green Tea Extract WS), Extracts (GW-6 Extract Blend in Organic Glycerin), Extracts (Hemp Extract in Glycerin), Extracts (Hemp Extract in Sunflower Oil), Extracts (Hemp Extract WS), Extracts (Hibiscus Extract in Glycerin), Extracts (Hibiscus Extract WS), Extracts (Honey Extract in Coconut Oil), Extracts (Honey Extract in Glycerin), Extracts (Honey Extract in Sunflower Oil), Extracts (Honey Extract WS), Extracts (Honeysuckle Extract in Glycerin), Extracts (Honeysuckle Extract in Sunflower Oil), Extracts (Honeysuckle Extract WS), Extracts (Hops Extract in Glycerin), Extracts (Hops Extract in Sunflower Oil), Extracts (Hops Extract WS), Extracts (Horehound Extract in Coconut Oil), Extracts (Horehound Extract in Glycerin), Extracts (Horehound Extract in Sunflower Oil), Extracts (Horehound Extract WS), Extracts (Horesetail Extract in Sunflower Oil), Extracts (Horse Chestnut Extract GLY), Extracts (Horse Chestnut Extract in Glycerin), Extracts (Horse Chestnut Extract in Sunflower Oil), Extracts (Horse Chestnut Extract WS), Extracts (Horsetail Extract in Glycerin), Extracts (Horsetail Extract WS), Extracts (Juniper Extract in Glycerin), Extracts (Juniper Extract in Sunflower Oil), Extracts (Juniper Extract WS), Extracts (Kale Extract in Glycerin), Extracts (Kale Extract in Sunflower Oil), Extracts (Kale Extract WS), Extracts (Kelp Extract in Glycerin), Extracts (Kelp Extract in Sunflower Oil), Extracts (Kelp Extract WS), Extracts (Kombu Extract in Glycerin), Extracts (Kombu Extract in Sunflower Oil), Extracts (Kombu Extract WS), Extracts (Kombucha Extract in Sunflower Oil), Extracts (Kombucha Extract WS), Extracts (Kombucha in Glycerin), Extracts (KSACFC Extract Blend in Glycerin), Extracts (Lady's Mantle Extract in Glycerin), Extracts (Lady's Mantle Extract in Sunflower Oil), Extracts (Lady's Mantle Extract WS), Extracts (Laminaria Extract in Glycerin), Extracts (Laminaria Extract in Sunflower Oil), Extracts (Laminaria Extract WS), Extracts (Lavender Extract in Glycerin), Extracts (Lavender Extract in Sunflower Oil), Extracts (Lavender Extract WS), Extracts (Lemon Balm Extract in Glycerin), Extracts (Lemon Balm Extract in Sunflower Oil), Extracts (Lemon Balm Extract WS), Extracts (Lemon Extract in Glycerin), Extracts (Lemon Extract in Sunflower Oil), Extracts (Lemon Extract WS), Extracts (Lemongrass Extract in Glycerin), Extracts (Lemongrass Extract in Sunflower Oil), Extracts (Lemongrass Extract WS), Extracts (Licorice Extract in Glycerin), Extracts (Licorice Root Extract in Glycerin), Extracts (Licorice Root Extract in Sunflower Oil), Extracts (Licorice Root Extract WS), Extracts (Lime Extract in Glycerin), Extracts (Lime Extract in Sunflower Oil), Extracts (Lime Extract WS), Extracts (Linden Extract in Glycerin), Extracts (Linden Extract in Sunflower Oil), Extracts (Linden Extract WS), Extracts (Lotus Extract in Glycerin), Extracts (Lotus Extract in Sunflower Oil), Extracts (Lotus Extract WS), Extracts (Lucuma Extract in Glycerin), Extracts (Lucuma Extract in Sunflower Oil), Extracts (Lucuma Extract WS), Extracts (Maca Extract in Glycerin), Extracts (Maca Extract in Sunflower Oil), Extracts (Maca Extract WS), Extracts (Macadamia Extract in Glycerin), Extracts (Macadamia Extract in Sunflower Oil), Extracts (Macadamia Extract WS), Extracts (Maitake Mushroom Extract in Glycerin), Extracts (Maitake Mushroom Extract in Olive Oil), Extracts (Mallow Extract in Glycerin), Extracts (Mallow Extract in Sunflower Oil), Extracts (Mallow Extract WS), Extracts (Mangosteen Extract in Glycerin), Extracts (mangosteen Extract in Sunflower Oil), Extracts (Mangosteen Extract Ws), Extracts (Mangosteen, Papaya and Passion Flower Extract in Glycerin), Extracts (Marshmallow Extract in Coocnut Oil), Extracts (Marshmallow Extract in Glycerin), Extracts (Marshmallow Extract in Sunflower Oil), Extracts (Marshmallow Extract in Water), Extracts (Marshmallow Extract WS), Extracts (Matcha Extract in Glycerin), Extracts (Matcha Extract in Sunflower Oil), Extracts (Matcha Extract WS), Extracts (Matcha Green Tea Extract in Organic Sunflower Oil), Extracts (Mate Extract in Glycerin), Extracts (Mate Extract in Sunflower Oil), Extracts (Mate Extract WS), Extracts (Maypops Extract in Glycerin), Extracts (Maypops Extract in Sunflower Oil), Extracts (Maypops Extract WS), Extracts (Meadowsweet Extract in Glycerin), Extracts (Meadowsweet Extract in Sunflower Oil), Extracts (Meadowsweet Extract WS), Extracts (Melon Fruit Extract in Glycerin), Extracts (Melon Fruit Extract in Sunflower Oil), Extracts (Melon Fruit Extract WS), Extracts (Mesquite Extract in Glycerin), Extracts (Mesquite Extract in Sunfllower Oil), Extracts (Mesquite Extract WS), Extracts (Milk Thistle Extract in Glycerin), Extracts (Milk Thistle Extract in Sunflower Oil), Extracts (Milk Thistle Extract WS), Extracts (Mulberry Extract in Glycerin), Extracts (Mulberry Extract in Sunflower Oil), Extracts (Mulberry Extract WS), Extracts (Mushroom Extract in Argan Oil), Extracts (Mushroom Extract in Glycerin), Extracts (Mushroom Extract in Sunflower Oil), Extracts (Mushroom Extract WS), Extracts (Myrtle Extract in Glycerin), Extracts (Myrtle Extract in Sunflower Oil), Extracts (Myrtle Extract WS), Extracts (Neem Extract in Glycerin), Extracts (Nettle Extract in Glycerin), Extracts (Nettle Extract in Sunflower oil), Extracts (Nettle Extract WS), Extracts (Noni Extract in Glycerin), Extracts (Noni Extract in Sunflower Oil), Extracts (Noni Extract WS), Extracts (Nutmeg Extract in Glycerin), Extracts (Nutmeg Extract in Sunflower Oil), Extracts (Nutmeg Extract WS), Extracts (Oat Extract in Glycerin), Extracts (Oat Extract in Sunflower Oil), Extracts (Oat Extract WS), Extracts (Olive Extract in Glycerin), Extracts (Olive Extract in Sunflower Oil), Extracts (Olive Extract WS), Extracts (Onion Extract in Glycerin), Extracts (Onion Extract in Sunflower Oil), Extracts (Onion Extract WS), Extracts (Orange Extract in Glycerin), Extracts (Orange Extract in Sunflower Oil), Extracts (Orange Extract WS), Extracts (Oregano Extract in Glycerin), Extracts (Oregano Extract in Sunflower Oil), Extracts (Oregano Extract WS), Extracts (Oregon Grape Root Extract in Glycerin), Extracts (Oregon Grape Root Extract in Sunflower Oil), Extracts (Oregon Grape Root Extract WS), Extracts (Organic Red Clover Extract in Castor Oil), Extracts (Orris Extract in Glycerin), Extracts (Orris Extract in Sunflower Oil), Extracts (Orris Extract WS), Extracts (Papaya Fruit Extract in Glycerin), Extracts (Papaya Fruit Extract in Sunflower Oil), Extracts (Papaya Fruit Extract WS), Extracts (Papaya Leaf Extract in Glycerin), Extracts (Paprika Extract in Glycerin), Extracts (Paprika Extract in Sunflower Oil), Extracts (Paprika Extract WS), Extracts (Passion Flower Extract in Glycerin), Extracts (Passion Flower Extract in Sunflower Oil), Extracts (Passion Flower Extract WS), Extracts (Pea Extract in Glycerin), Extracts (Pea Extract in Sunflower Oil), Extracts (Pea Extract WS), Extracts (Pecan Extract in Glycerin), Extracts (Pecan Extract in Sunflower Oil), Extracts (Pecan Extract WS), Extracts (Peppermint Extract in Organic Glycerin), Extracts (Peppermint Extract in Sunflower Oil), Extracts (Peppermint Extract WS), Extracts (Pink Rose Extract in Organic Glycerin), Extracts (Pink Rose Extract in Sunflower Oil), Extracts (Pink Rose Extract WS), Extracts (Plantain Extract in Coconut Oil), Extracts (Plantain Extract in Glycerin), Extracts (Plantain Extract in Sunflower Oil), Extracts (Plantain Extract WS), Extracts (Pomegranate Extract in Organic Glycerin), Extracts (Pomegranate Extract in Sunflower Oil), Extracts (Pomegranate Extract WS), Extracts (Pomegranate Seed Extract in Safflower Oil), Extracts (Poppy Extract in Glycerin), Extracts (Poppy Extract in Sunflower Oil), Extracts (Poppy Extract WS), Extracts (Pumpkin Extract in Glycerin), Extracts (Pumpkin Extract in Sunflower Oil), Extracts (Pumpkin Extract WS), Extracts (Quillaja Extract in Glycerin), Extracts (Quinoa Extract in Glycerin), Extracts (Quinoa Extract in Sunflower Oil), Extracts (Quinoa Extract WS), Extracts (Raspberry Extract in Glycerin), Extracts (Raspberry Extract in Sunflower Oil), Extracts (Raspberry Extract WS), Extracts (Raspberry Leaf Extract in Organic Glycerin), Extracts (Raspberry Leaf Extract in Sunflower Oil), Extracts (Raspberry Leaf Extract WS), Extracts (Red Clover Extract in Organic Glycerin), Extracts (Red Clover Extract in Sunflower Oil), Extracts (Red Clover Extract WS), Extracts (Red Ginseng Extract in Glycerin), Extracts (Red Ginseng Extract in Sunflower Oil), Extracts (Red Ginseng Extract WS), Extracts (Red Rooibos Tea Extract in SUnflower Oil), Extracts (Reishi Extract in Glycerin), Extracts (Reishi Extract in Sunflower Oil), Extracts (Reishi Extract WS), Extracts (Reishi Mushroom Extract in Glycerin), Extracts (Reishi Mushroom Extract in Olive Oil), Extracts (Rhodiola Extract in Glycerin), Extracts (Rhodiola Extract in Sunflower Oil), Extracts (Rhodiola Extract WS), Extracts (Rhubard Extract in Glycerin), Extracts (Rhubard Extract in Sunflower Oil), Extracts (Rhubard Extract WS), Extracts (Roman Chamomile Extract in Glycerin), Extracts (Rooibos Extract in Organic Glycerin), Extracts (Rooibos Extract in Sunflower Oil), Extracts (Rooibos Extract WS), Extracts (Rose Extract in Glycerin), Extracts (Rose Extract in Sunflower Oil), Extracts (Rose Extract WS), Extracts (Rosehips Extract in Glycerin), Extracts (Rosehips Extract WS), Extracts (Rosemary Extract in Olive Oil), Extracts (Rosemary Extract in Organic Glycerin), Extracts (Rosemary Extract in Sunflower Oil), Extracts (Rosemary Extract WS), Extracts (Saffron Extract in Glycerin), Extracts (Saffron Extract in Sunflower Oil), Extracts (Saffron Extract WS), Extracts (Sage Extract in Coconut Oil), Extracts (Sage Extract in Glycerin), Extracts (Sage Extract in Sunflower Oil), Extracts (Sage Extract WS), Extracts (Saponaria Officinalis Extract in Glycerin), Extracts (Sarsaparilla Extract in Glycerin), Extracts (Sarsaparilla Extract in Sunflower Oil), Extracts (Sarsaparilla Extract WS), Extracts (Saw Palmetto Extract in Glycerin), Extracts (Saw Palmetto Extract in Sunflower Oil), Extracts (Saw Palmetto Extract WS), Extracts (Schisandra Extract in Glycerin), Extracts (Schisandra Extract in Sunflower Oil), Extracts (Schisandra Extract WS), Extracts (Sea Buckthorn Extract in Glycerin), Extracts (Sea Buckthorn Extract in Sunflower Oil), Extracts (Sea Buckthorn Extract WS), Extracts (Shiitake Extract in Glycerin), Extracts (Shiitake Extract in Sunflower Oil), Extracts (Shiitake Extract WS), Extracts (Soap Nut Extract in Glycerin), Extracts (Soap Nut Extract in Sunflower Oil), Extracts (Soap Nut Extract WS), Extracts (Spearmint Extract in Glycerin), Extracts (Spearmint Extract in Sunflower Oil), Extracts (Spearmint Extract WS), Extracts (Spinach Extract in Glycerin), Extracts (Spinach Extract in Sunflower Oil), Extracts (Spinach Extract WS), Extracts (Spirulina &amp; Lemongrass in Glycerin), Extracts (Spirulina Extract in Glycerin), Extracts (Spirulina Extract in Sunflower Oil), Extracts (Spirulina Extract WS), Extracts (Spirulina in Glycerin), Extracts (St. John's Wort Extract in Glycerin), Extracts (St. John's Wort Extract in Sunflower Oil), Extracts (St. John's Wort Extract WS), Extracts (Stevia Extract in Glycerin), Extracts (Strawberry Extract in Glycerin), Extracts (Strawberry Extract in Sunflower Oil), Extracts (Strawberry Extract WS), Extracts (Sugar Cane Extract in Glycerin), Extracts (Sugar Cane Extract in Sunflower Oil), Extracts (Sugar Cane Extract WS), Extracts (Sunflower Extract in Glycerin), Extracts (Sunflower Extract in Sunflower Oil), Extracts (Sunflower Extract WS), Extracts (Sunflower Seed Extract in Glycerin), Extracts (Sunflower Seed Extract in Sunflower Oil), Extracts (Sunflower Seed Extract WS), Extracts (Tansy Extract in Glycerin), Extracts (Tansy Extract in Sunflower Oil), Extracts (Tansy Extract WS), Extracts (Tarragon Extract in Glycerin), Extracts (Tarragon Extract in Sunflower oil), Extracts (Tarragon Extract WS), Extracts (Thyme Extract in Organic Glycerin), Extracts (Thyme Extract in Sunflower Oil), Extracts (Thyme Extract WS), Extracts (Tomato Extract in Glycerin), Extracts (Tomato Extract in Sunflower Oil), Extracts (Tomato Extract WS), Extracts (Triphala Extract in Glycerin), Extracts (Triphala Extract in Sunflower Oil), Extracts (Triphala Extract WS), Extracts (Valerian Extract in Glycerin), Extracts (Valerian Extract in Sunflower Oil), Extracts (Valerian Extract WS), Extracts (Vanilla Extract in Organic Glycerin), Extracts (Vanilla Extract in Sunflower Oil), Extracts (Vanilla Extract WS), Extracts (Violet Extract in Glycerin), Extracts (Violet Extract in Sunflower Oil), Extracts (Violet Extract WS), Extracts (Vitex Berry Extract in Glycerin), Extracts (Vitex Berry Extract in Sunflower Oil), Extracts (Vitex Berry Extract WS), Extracts (Watermelon Extract in Glycerin), Extracts (Watermelon Extract in Sunflower Oil), Extracts (Watermelon Extract WS), Extracts (White Oak Extract in Glycerin), Extracts (White Oak Extract in Sunflower Oil), Extracts (White Oak Extract WS), Extracts (White Peony Extract in Glycerin), Extracts (White Peony Extract in Sunflower Oil), Extracts (White Peony Extract WS), Extracts (White Tea Extract in Glycerin), Extracts (White Tea Extract in Sunflower), Extracts (White Tea Extract WS), Extracts (Willow Bark Extract in Glycerin), Extracts (Willow Bark Extract in Sunflower Oil), Extracts (Willow Bark Extract WS), Extracts (Witch Hazel Extract in Glycerin), Extracts (Witch Hazel Extract in Sunflower Oil), Extracts (Witch Hazel Extract WS), Extracts (Yarrow Extract in Glycerin), Extracts (Yarrow Extract in Sunflower Oil), Extracts (Yarrow Extract WS), Extracts (Yellow Dock Extract in Glycerin), Extracts (Yellow Dock Extract in Sunflower Oil), Extracts (Yellow Dock Extract WS), Extracts (Yerba Mate Extract), Extracts (Yerba Mate Extract in Glycerin), Extracts (Yucca Extract), Extracts (Yucca Extract in Glycerin); Personal Care: Body Butter (Aloe Butter), Body Oils (Calendula Infusion Oil); Other Grains, Pastas and Cereals: Oats (Oat Bran), Oats (Oats), Other Other Grains, Pastas and Cereals - Oat Bran, Rice (Forbidden Rice), Rice (Jade Pearl Rice), Rice (Rice Starch); Oils &amp; Oleoresins: Essential Oils (Lavender Oil), Essential Oils (Peppermint Oil), Essential Oils (Spearmint Oil), Oils (Aloe Oil (J)), Oils (Aloe Oil (S)), Oils (Argan Oil), Oils (Avocado Oil), Oils (Avocado Oil - Refined), Oils (Bergamot Oil), Oils (Bergamot Oil), Oils (Borage Seed Oil), Oils (Canola Oil), Oils (Castor Oil), Oils (Chia Seed Oil), Oils (Coconut Oil), Oils (Coconut Oil), Oils (Coconut Oil - Extra Virgin), Oils (Coconut Oil - RBD), Oils (Cranberry Seed Oil), Oils (CRG Oil Blend), Oils (Evening Primrose Oil), Oils (Grape Seed Oil), Oils (Green Tea Oils), Oils (Hemp Seed Oil), Oils (Jojoba Oil - Gold), Oils (Jojoba Oil - Lite), Oils (Lavender Oil), Oils (Macadamia Oil), Oils (Olive Oil - Extra Virgin), Oils (Olive OIl EV RBD), Oils (Olive Oil RBD), Oils (Pomegranate Seed Oil), Oils (Pumpkin Seed Oil), Oils (Pumpkin Seed Oil - Refined), Oils (Red Raspberry Oil), Oils (Rosehip Oil), Oils (Safflower Oil), Oils (Safflower Oil - HO), Oils (Sesame Seed Oil), Oils (Soybean Oil), Oils (Soybean Oil), Oils (Sunflower Oil), Oils (Sunflower Oil - Hi Oleic RBD), Oils (Sweet Almond Oil), Oils (Sweet Orange Oil), Oils (Tamanu Oil), Oils (Wheat Germ Oil), Other Oils &amp; Oleoresins - Apricot Kernal Oil; Nuts/Seeds: Other Nuts/Seeds - Chia Seeds - Black, Other Nuts/Seeds - Chia Seeds White, Walnuts (Walnut Shell); Health Products: Other Health Products - Aloe Vera Powder 200 X, Other Health Products - Beeswax; Dry/Baking Goods: Baking Mixes (Corn Starch), Flours and Meals (Almond Meal), Flours and Meals (Arrowroot Starch), Flours and Meals (Coconut Flour), Flours and Meals (Rice Flour), Other Dry/Baking Goods - Coconut Flakes, Other Dry/Baking Goods - Corn Starch; Dairy: Butter (Avocado Butter); Condiments and Sweeteners: Syrups (Agave Syrup), Syrups (Corn Syrup), Syrups (Rice Syrup), Syrups (Yacon Syrup), Vinegar (Apple Cider Vinegar (Filtered)), Vinegar (Apple Cider Vinegar (Raw &amp; Unfiltered)), Vinegar (White Vinegar); Chocolate Goods: Other Chocolate Goods - Cocoa Powder; Beverage Related Products: Coffee (Coffee), Juice (Reconstituted Aloe Vera 10X Juice), Juice (Reconstituted Aloe Vera 1X Juice), Non-Dairy Milk (Coconut Milk Powder), Other Beverage Related Products - Evaporated Cane Juice, Other Beverage Related Products - Soymilk; Alcohol: Distilled Alcohol Beverages (ESP Organic Sugar Cane Alcohol 190, SDA 38B with Organic Peppermint Alcohol), Distilled Alcohol Beverages (Sugar Can Alcohol 190 SDA 38B with Organic Lavender), Distilled Alcohol Beverages (Sugar Cane Alcohol 190), Distilled Alcohol Beverages (Sugar Cane Alcohol 190, SDA 38B with Organic Bergamot Oil); Other: Other - 9 Blend Extract WS, Other - A + Gel, Other - A + Gel (HV), Other - A + Gel (LV), Other - A + Gel (MV), Other - A + Powder, Other - Adzuki Beans, Other - Aloe, Olive, Cucumber Blend in Glycerin, Other - Beeswax, Other - Blue Corn, Other - Calendula Flowers, Other - Carnauba Wax, Other - Chamomile Flower, Other - Cocoa Butter, Other - Colloidal Oatmeal, Other - Colloidal Oatmeal GF, Other - Cranberry Butter, Other - Emulsifying Wax, Other - Glycerin, Other - Grape Seed Butter, Other - Guar Gum, Other - Gum Arabic, Other - Gum Arabic N, Other - Honey, Other - Lavender Flower, Other - Lecithin, Other - Lemongrass in Glycerin, Other - Locust Bean Gum, Other - Mango Butter, Other - Nu-Flow 70R, Other - Olive Butter, Other - Palm Butter, Other - Peppermint Butter Concentrate, Other - Peppermint Leaf, Other - Potato Starch, Other - Pumpkin Butter, Other - Rice Emulsifier (Oryza-Mul), Other - Safflower Butter, Other - Shea Butter, Other - Shea Butter Refined, Other - Shea Oil, Other - Soothing After Sun Cooling Gel, Other - Soy Butter, Other - Soy Protein, Other - Soy Protein Hydrolyzed, Other - Soy Protein Isolate, Other - Spearmint Leaf, Other - Stearic Acid-38%, Other - Tapioca Starch, Other - Thyme Leaf, Other - Vanilla Powder</t>
  </si>
  <si>
    <t>Other Grains, Pastas and Cereals: Cereal (Granola, Rolled Oats (gluten free), Rice), Rice; Oils &amp; Oleoresins: Oils (Canola Oil, Coconut Oil (Extra-Virgin, Refined), Sunflower Oil (High Oleic), Olive Oil (Extra-Virgin), Sesame Oil (Toasted, Unrefined)); Nuts/Seeds: Nuts (Almonds, Cashews (Pieces, Whole), Hazelnuts (Raw, Roasted), Pecans, Walnuts), Seeds (Chia Seeds (Black), Flax Seeds, Hemp Seeds, Pumpkin Seeds, Sesame Seeds, Black Sesame Seeds, Sunflower Seeds); Health Products: Supplements (Maca Powder (raw)); Dry/Baking Goods: Beans (Cannellini Beans, French Green Lentils, Red Split Lentils), Coconut (Chips, Shredded), Flours and Meals (Cassava Flour, Coconut Flour); Dairy: Cheese (Feta); Condiments and Sweeteners: Sweeteners (Agave (raw), Molasses, Lucuma Powder (raw), Sugar (Coconut, Dark Brown, Maple)), Tamari, Vinegar (Apple Cider (unfiltered), Balsamic, Red Wine, White Wine); Chocolate Goods: Cacao Nibs, Chocolate Chips, Cocoa Liquor Wafers, Cocoa Butter (Non-Deoderized), Cocoa Powder (Non-Alkalized, Raw); Beverage Related Products: Tea (ohQua Tea (Thunderbolt)), Tea (ohQua Tea: Black (Chocolate Clouds, Decaf Mango, English Breakfast, Grey, Pu-erh, Sunshine, Tea Time in Paris, Thundercloud); ohQua Tea: Green (Green, Gunpowder, Jasmine Pearls, Jazz, Righteous Matcha); ohQua Tea: Herbal (Beauty Sleep, Chamomile, Fountain of Youth, Mint over Matter, Savor the Moment, Tulsi, Tulsi Rose, Yerba Mate); ohQua Tea: Red/Rooibos (Firestorm, Red Sky, Simply Red); ohQua Tea: White (Desert Sunset, Oregon Summer, Pure White, Snowflake))</t>
  </si>
  <si>
    <t>Dairy: Cottage Cheese (Cottage Cheese, 2% Lowfat), Cottage Cheese (Cottage Cheese, 4% Milkfat), Icecream (Organic Caramel Toffee Crunch Ice Cream), Icecream (Organic Chocolate Ice Cream), Icecream (Organic Coffee Chip Ice Cream), Icecream (Organic Cookies &amp; Cream Ice Cream), Icecream (Organic Mint Chip Ice Cream), Icecream (Organic Strawberry Ice Cream), Icecream (Organic Vanilla Bean Ice Cream), Milk (Cultured Lowfat Buttermilk), Milk (Organic Fat Free Skim Milk), Milk (Organic Lowfat 1% Milk), Milk (Organic Reduced Fat 2% Milk), Milk (Organic Vitamin D Milk), Organic 12% Chocolate Ice Cream Mix, Organic 12% White Ice Cream Mix, Sour Cream (Sour Cream, Full Fat); Other: Acai Sorbet, Labeling Dairy Products, Packaging Dairy Products, Processing Dairy Products</t>
  </si>
  <si>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</si>
  <si>
    <t>Dairy: Cheese (Chamomilla Cheese (bulk and retail)), Cheese (Cheese Curds - Cajun (bulk and retail)), Cheese (Cheese curds - Onion and Chive (bulk and retail)), Cheese (Gitane on Weck Cheese (bulk and retail)), Cheese (Mafia Cheddar (Buffalo Cheddar, bulk and retail)), Cheese (Tom Cheese (bulk and retail)), Cheese (Wanderer Cheese (bulk and retail)), Cheese (Buffalo Roads Swiss Cheese (bulk and retail)), Cheese (Cheese Curds - Buffalo (bulk and retail)), Cheese (Cheese Curds - Dill Pickle (bulk and retail)), Cheese (Cheese Curds - Garlic (bulk and retail)), Cheese (Cheese Curds - Horseradish (bulk and retail)), Cheese (Cheese Curds - Original (bulk and retail)), Cheese (Cheese Curds - Tomato Basil (bulk and retail)), Cheese (Farmer in the Dill Havarti Cheese (bulk and retail)), Cheese (Good Neighbor's Gouda Cheese (bulk and retail)), Cheese (Homegrown Havarti Cheese (bulk and retail)), Cheese (Horshoe Havarti (bulk and retail)), Cheese (Queen City Cheddar (bulk and retail))</t>
  </si>
  <si>
    <t>Meat Products: Custom Slaughter/Processing; Dairy: Milk</t>
  </si>
  <si>
    <t>Other: Almond Hulls Livestock Feed (1498 - Almond Hulls), Canola Oil Livestock Feed (1453 - Canola Oil), Carrots Livestock Feed (4003 - Pelletized), Dried Distillers Grains (1404 - Dried), Kelp Livestock Feed (1501 - Kelp Meal), Kelp Livestock Feed (212 - Kelp Meal), Kelp Livestock Feed (215 - Kelp Meal), Livestock Feed (1407 - Tapioca), Livestock Feed (5055 Mushroom Feed - Mushroom Mix TOTE), Livestock Feed (5074 Insect Feed - Cockroach 50#), Livestock Feed (753 Duck Feed - Duck Layer Pellets #25), Livestock Feed (756 Duck Feed - Duck Layer Pellets 40#), Livestock Feed (Duck Feed), Livestock Feed (Insect Feed), Livestock Feed - Alfalfa (106 - Alfalfa Pellets 40#), Livestock Feed - Alfalfa (1411 - Alfalfa), Livestock Feed - Alfalfa (5864 - Alfalfa Pellets TOTE ),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(5075 Beef Feed - Beef Finisher TOTE), Livestock Feed - Beef Blend (Beef Feed), Livestock Feed - Canola Meal (1403 - Meal), Livestock Feed - Canola Meal (1454 - Meal), Livestock Feed - Corn (126 - Cracked Corn 40#), Livestock Feed - Corn (136 - Whole Corn 40#), Livestock Feed - Corn (1400 - Cracked, Ground, Rolled, Whole), Livestock Feed - Corn (5913 - Whole Corn TOTE), Livestock Feed - Corn (5923 - Cracked Corn TOTE),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Milo (1401 - Whole Milo), Livestock Feed - Milo (146 - Whole Milo 40#), Livestock Feed - Milo (5843 - Whole Milo), Livestock Feed - Mix (1004 Horse Feed - Horse Pellet West 12 Ranch BULK), Livestock Feed - Mix (25104 - Large Hookbill), Livestock Feed - Mix (25204 - Small Hookbill w/ Sunflower Seeds), Livestock Feed - Mix (25304 - Small Hookbill), Livestock Feed - Mix (25404 - Canary - Finch), Livestock Feed - Mix (5085 Horse Feed - Balancer Plus), Livestock Feed - Mix (5086 Horse Feed - Performance Plus),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(Horse Feed), Livestock Feed - Oats (156 - Whole Oats 40#), Livestock Feed - Oats (5865 - Whole Oats TOTE), Livestock Feed - Peas (166 - Whole Peas 40#), Livestock Feed - Peas (5858 - Whole Peas TOTE), Livestock Feed - Poultry Blend (#1531 Harrison's Premium Pellet (5lbs)), Livestock Feed - Poultry Blend (#1532 Harrison's Premium Pellet (1lbs)), Livestock Feed - Poultry Blend (#5130 Harrison's Perfect Pellets (nonretail)),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(5035 Poultry Feed - Scratch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Non-Corn/Non-Soy Broiler Grower Pellet Amino+ 19% TOTE), Livestock Feed - Poultry Blend (5095 Poultry Feed - Non-Corn/Non-Soy Broiler Starter Amino+ 22%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Sunflower Seed (073 - Sunflower Seeds), Livestock Feed - Sunflower Seed (079 - Sunflower Seeds),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Molasses Livestock Feed (1497 - Molasses), Rice Livestock Feed (1499 - Rice Protein Concentrate), Soybean Livestock Feed (1451 - Soybean Oil), Supplements Livestock Feed (1012 Dairy Feed - Shamrock Dairy Milk Cow Mineral), Toll Processing (Livestock Feed - Single Ingredient ), Wheat Millrun Livestock Feed (1496 - Wheat Millrun), Wheat Millrun Livestock Feed (4006 - Wheat Millrun), Wheat Millrun Livestock Feed (5842 - Wheat Millrun TOTE)</t>
  </si>
  <si>
    <t>Dairy: Milk (Raw Milk)</t>
  </si>
  <si>
    <t>Other: Broiler Grain Mix, Calf Grain Mix, Dairy Grain Mix, Layer Grain Mix, Sheep Grain Mix, Swine Feed</t>
  </si>
  <si>
    <t>Other: Almonds (Natural Almonds), Almonds (Roasted Almonds), Almonds (Roasted Diced Almonds), Almonds (Roasted Salted Almonds), Almonds (Tamari), Baking Cocoa, Black Tea, Black Tea (Assam), Black Tea (Black Tea with Ginger), Black Tea (Full Leaf Sachets), Cashews, Cashews (Curry Roasted), Cashews (Roasted), Cashews (Roasted Salted), Chai Tea, Chamomile Tea, Chocolate - Dark (Bittersweet Chips (70%)), Chocolate - Dark (Bittersweet Chocolate Chips (70%)), Chocolate - Dark (Semi-Sweet Chips (55%)), Chocolate - Dark (Semi-Sweet Chocolate Chips (55%)), Coffee (¡BioRevolution!), Coffee (7 Corners Cold Brew), Coffee (African Roots Drip Grind), Coffee (African Roots Whole Bean), Coffee (Best Coast Blend), Coffee (Biosphere Reserve Mexican Bird of Paradise), Coffee (Black Silk Espresso), Coffee (Bolivian Full City), Coffee (Breakfast Blend ), Coffee (Breakfast Blend Dark), Coffee (Breakfast Blend Decaf), Coffee (Bulk Ground and Decaf Coffee), Coffee (Bur Ni Telong (Sumatra) Full City), Coffee (Cafe Nicaraguan French/Dark), Coffee (Cafe Nicaraguan Medium), Coffee (Cafe Peruvian French/Dark), Coffee (Cafe Peruvian Medium), Coffee (Cedar Hills Blend), Coffee (Celebration Blend), Coffee (Cold Brew Bean), Coffee (Colombian Full City), Coffee (Columbian), Coffee (Concordia Blend), Coffee (Concordia Blend Ground), Coffee (Congo Coffee Project), Coffee (Corazon y Alma), Coffee (Decaf - Ground), Coffee (Decaf - Whole Bean), Coffee (Decaf Arbor Lodge Blend), Coffee (Decaf Sleepy Slug), Coffee (Espresso), Coffee (Espresso Decaf), Coffee (Ethiopian Full City), Coffee (Fair Trade Bolivian Blend), Coffee (Fair Trade Breakfast Blend), Coffee (Fellowship Blend), Coffee (Fellowship Blend Decaf), Coffee (Foggy Dog Blend Ground), Coffee (French Roast ), Coffee (French Roast Decaf ), Coffee (Guatemalan French Roast), Coffee (Guatemalan Medium), Coffee (Half Moon Bay Blend), Coffee (Hawthorne Blend), Coffee (House Blend ), Coffee (Light Speed), Coffee (Love Buzz ), Coffee (Mama Tierra), Coffee (Mercer Island Blend), Coffee (Mexican Vienna), Coffee (Midnight Sun ), Coffee (Milwaukie Reserve), Coffee (Mind Body &amp; Soul ), Coffee (Mountain Park Blend), Coffee (Pacific Avenue Blend), Coffee (Palisades Blend), Coffee (Peruvian Decaf), Coffee (Progress Ridge Blend), Coffee (Proud Mama), Coffee (Queen Bee Seasonal Espresso), Coffee (Rabble Rouser), Coffee (Salvadoran (Las Colinas) Medium), Coffee (San Fernando), Coffee (Sisters Blend), Coffee (Slabtown Blend), Coffee (Solstice Dark Roast), Coffee (Solstice Light Roast), Coffee (Terra Mountain Blend), Coffee (The Hook Blend), Coffee (Unwind Decaf), Coffee (Women in Coffee Blend ), Coffee (Women in Coffee Series: Cloudbreak Dark Roast), Coffee (Women in Coffee Series: Cloudbreak Light Roast), Coffee (Women in Coffee Series: Congo Rising), Coffee (Women in Coffee Series: Crescendo), Coffee (Women in Coffee Series: First Light), Coffee (Women in Coffee Series: Harvest Moon), Coffee (Women in Coffee Series: North Star Dark Roast), Coffee (Women in Coffee Series: North Star Light Roast), Coffee (Women in Coffee Series: Ray of Light Light Roast), Coffee (Women in Coffee Series: Silver Lining Medium Roast), Coffee (Women in Coffee Series: Summer Solstice), Coffee (Women in Coffee: Double Shift), Coffee (Woodstock Blend), Darjeeling Tea, Dark Chocolate Bar (Chocolate Caramel Crunch with Sea Salt), Dark Chocolate Bar (Chocolate with Coconut Milk), Dark Chocolate Bar (Dark Chocolate Almond &amp; Sea Salt), Dark Chocolate Bar (Dark Chocolate Mini), Dark Chocolate Bar (Dark Chocolate with Almonds), Dark Chocolate Bar (Extra Dark Chocolate Panama), Dark Chocolate Bar (Extreme Dark Chocolate), Dark Chocolate Bar (Lemon Ginger with Black Pepper), Dark Chocolate Bar (Mint Crunch), Dark Chocolate Bar (Orange Dark Chocolate), Dark Chocolate Bar (Total Eclipse), Dark Chocolate Bar (Very Dark Chocolate), Dried Mangos, Dried Pineapple, Earl Grey Tea, English Breakfast Tea, English Breakfast Tea (Decaffeinated), Green Coffee Beans (Bulk Whole Green Beans), Green Tea, Green Tea (Full Leaf Sachets), Green Tea (Green Tea with Ginger), Green Tea (Green Tea with Mint), Hazelnuts, Hazelnuts (Roasted), Herbal Tea (Ginger Tea), Herbal Tea (Hibiscus ), Herbal Tea (Lemongrass Ginger), Herbal Tea (Spearmint Tea), Herbal Tea (Turmeric Ginger), Hot Cocoa, Hot Cocoa (Dark), Hot Cocoa (Dark Hot Chocolate), Hot Cocoa (Maple), Hot Cocoa (Non Dairy Hot Cocoa), Hot Cocoa (Spicy Hot Cocoa), Irish Breakfast Tea, Jasmine Tea (Jasmine Green Tea), Milk Chocolate Bar (Caramel Crunch with Sea Salt), Milk Chocolate Bar (Milk Chocolate), Milk Chocolate Bar (Milk Chocolate Minis ), Olive Oil (Extra Virgin Olive Oil from PARC, Organic 500ml), Olive Oil (Extra Virgin Olive Oil from Sindyanna, Organic 500ml ), Olive Oil (Virgin), Peppermint Tea, Roasted Coffee Beans (Bulk Whole Beans), Roasted Coffee Beans (Decaf Whole Bean Coffee), Rooibos Tea, Rooibos Tea (Full Leaf Sachets), Rooibos Tea (Rooibos Chai), Rooibos Tea (Vanilla Rooibos Tea), Sugar (Bulk), Walnuts (Halves &amp; Pieces)</t>
  </si>
  <si>
    <t>Dairy: Cheese (Cheddar Style Cheese), Cheese (Jack Style Cheese), Cheese (Jack Style Cheese with Black Pepper), Cheese (Jack Style Cheese with Black Garlic), Cheese (Jack Style Cheese with Chili Flakes)</t>
  </si>
  <si>
    <t>Other: Apples (ASGF2052 Fresh Sliced Granny Smith Apple), Bases (FOBB2693 Blueberry Base), Bases (FSBB7856 Strawberry Base for Cream Cheese), Bases (FTTB4250 Organic Thai Tea Base), Chocolate Bar Coating (FOCC0305 GKF ), Chocolate Bar Coating (FOCC2249  Bar Coating), Chocolate Bar Coating (FOCC4568 Bar Coating), Chocolate Bar Coating (FOCC6519 Bar Coating), Frozen Apples (AFUZ2194 IQF Sliced Fuji), Frozen Apples (AFUZ3281 IQF 3/8" Diced Fuji Apples), Frozen Apples (AFUZ4136 IQF Diced Fuji Apples), Frozen Apples (AGRZ1032 Granny IQF Sliced), Frozen Apples (AGRZ5964 IQF Granny 3/8" Diced), Frozen Apples (AGRZ6252 IQF Diced Granny Smith Apples), Frozen Apples (APLZ2390 IQF 3/8 Diced Pink Lady Apple), Frozen Cherry (FCFF3928 Dark Cherry Fruit Feeder 4+1), Fruit Feeder (FBLF0542 Blueberry), Fruit Feeder (FCFF0478 Dark Cherry), Fruit Feeder (FCFF0570 Dark Cherry), Fruit Feeder (FCFF4202 Coconut Sugar Dark Cherry Fruit Feeder), Fruit Feeder (FOSB4532 Sweetened Strawberries), Fruit Feeder (FPFF4837 Peach Cobbler Fruit Feeder), Fruit Feeder (FSBS2090 Stabilized Strawberry), Ice Cream Base (FBLB0473 Blueberry), Ice Cream Base (FCAB2329 Salted Caramel Base), Ice Cream Base (FCCB1473 Sea Salt Caramel), Ice Cream Base (FCRB0837 Cranberry), Ice Cream Base (FFCB0523 French Custard), Ice Cream Base (FMBB2602 Organic Mixed Berry Base), Ice Cream Base (FMBB7024 Mixed Berry Base), Ice Cream Base (FOCB0363 Coconut ICB), Ice Cream Base (FOCB5200 Chocolate), Ice Cream Base (FOMB1006 Marionberry), Ice Cream Base (FOPB2670 Pumpkin), Ice Cream Base (FSBB1494 Strawberry), Misc (FCLC9119 Chocolate Liquid Chip), Sherbet Base (FOSB1287 Orange), Stabilizers (FSBS1659 Stabilized Strawberries), Strawberry Puree (FOSP2903 Strawberry Puree 4+1), Strawberry Puree (FOSP4037 Strawberry Puree), Variegate (FBBV4027 Blueberry Variegate ), Variegate (FCAV2042 Sea Salt Caramel Novelty Variegate), Variegate (FCAV2343 Salted Caramel Variegate), Variegate (FCAV4781 Dairy Salted Caramel Variegate), Variegate (FCAV7642 Sea Salt Caramel Variegate), Variegate (FCAV7859 Organic Non Dairy Caramel Variegate), Variegate (FCCV1078 Coconut Milk Caramel), Variegate (FCNV3261 Cinnamon Variegate), Variegate (FCNV7111 Organic Cinnamon Variegate), Variegate (FHYV1791 Honey ), Variegate (FLCV5764 Lemon Curd Variegate), Variegate (FLCV8926 Lemon Curd Variegate), Variegate (FMAV3249 Maple Variegate), Variegate (FMAV5371 Organic Maple Variegate), Variegate (FMAV8163 Dairy Maple Variegate), Variegate (FMCV8277 Mango Chamoy Variegate), Variegate (FOCV3077 Organic Chocolate Variegate), Variegate (FOCV5404 Chocolate Variegate), Variegate (FOCV9213 Chocolate Variegate), Variegate (FOFV0987 Thin Fudge), Variegate (FOFV2007 Fudge), Variegate (FOFV2696 Fudge Variegate), Variegate (FOFV3599 Fudge Variegate), Variegate (FOFV4322 Non-Dairy Fudge Variegate), Variegate (FOFV5446 Coconut Sugar Fudge Variegate), Variegate (FOHV2484 Organic Honey Variegate), Variegate (FOHV3067 Honey Variegate), Variegate (FOSV2688 Strawberry Variegate), Variegate (FOSV3771 Organic Strawberry Variegate), Variegate (FOSV6133 Strawberry Variegate), Variegate (FSMV3757 Spiced Molasses Variegate), Variegate (FSMV5879 Salted Maple Variegate), Yogurt Filling (FSYP1321 Strawberry), Yogurt Filling (FSYP7450 Strawberry YP), Yogurt Misc (FAYP8528 Acai Yogurt Prep), Yogurt Misc (FSYP4791 Organic Strawberry Yogurt Prep)</t>
  </si>
  <si>
    <t>Preservatives/Extracts/Flavors: Powders (Cassia/Cinnamon Powder), Spices (Cinnamon quilling), Spices (Cinnamon quills), Spices (Clove), Spices (Dried chilli whole), Spices (Dried pepper powder), Spices (Dried turmeric sliced), Spices (Dried Turmeric Whole), Spices (Dried whole pepper), Spices (Star Anise Broken), Spices (Star Anise Whole), Spices (Dried Ginger Sliced), Spices (Dried Ginger Whole), Spices (Black Pepper Whole Steam Sterilized), Spices (White Pepper Whole Steam Sterilized), Spices (Black Pepper Ground Steam Sterilized), Spices (White Pepper Ground Steam Sterilized), Spices (Black Pepper Whole), Spices (White Pepper Whole), Spices (White Pepper Ground), Spices (Black Pepper Ground), Spices (Ginger (whole, sliced, powder)), Spices (Turmeric (whole, sliced, powder)), Spices (Cassia/Cinnamon), Spices (Cassia/Cinnamon (include: whole cassia/cinnamon, broken cassia/cinnamon, tube cassia/cinnamon, stick cassia/cinnamon, cigarette cassia/cinnamon, square cut cassia/cinnamon, round cut cassia/cinnamon, split cassia/cinnamon, cassia/cinnamon chips)); Oils &amp; Oleoresins: Oils (Extra Virgin Coconut Oil); Nuts/Seeds: Nuts (Nutmeg), Nuts (Nutmeg Powder); Beverage Related Products: Non-Dairy Milk (Coconut milk); Other: Desiccated Coconuts - fine, Desiccated Coconuts - medium, Desiccated Coconuts Chips, Dried Red Dragon Fruit, Dried White Dragon Fruit</t>
  </si>
  <si>
    <t>Other: Feed, Hay (Alfalfa), Milk (Raw)</t>
  </si>
  <si>
    <t>Dairy: Butter (Salted Butter), Butter (Unsalted Butter), Buttermilk, Cheese (Raw Cheddar Cheese), Cheese (Raw Jack Style Cheese), Cheese (Raw Sharp Cheddar Cheese), Cream (Cream (non-retail)), Milk (Packaged Half Gallon Whole Milk, Non-retail), Milk (Raw Milk (bulk)), Milk (Egg Nog), Milk (Whole Milk), Plain Kefir, Vanilla Kefir, Yogurt (Plain Yogurt)</t>
  </si>
  <si>
    <t>Oils &amp; Oleoresins: Oils (ORGANIC EXTRA VIRGIN OLIVE OIL); Dairy: Cheese (ORGANIC FETA CHEESE)</t>
  </si>
  <si>
    <t>Other: Buttermilk Powder (CROPP Cooperative), Buttermilk Powder (Far West Distributors ORGBMB-001 Buttermilk Blend (non-retail)), Condensed Milk (Skim, Humboldt Creamery), Cream (Aurora Organic Dairy), Cream (Casa Grande Dairy Products ), Cream (Humboldt Creamery), Cream (Safeway/Albertsons), Cream Powder (Commercial Creamery), Cream Powder (Far West Distributors Gercreme ORGCP40-002 40% Dried Cream Powder (non-retail)), Cream Powder (Far West Distributors Gercreme ORGCP72-002 72% Dried Cream Powder (non-retail)), Mozzarella Cheese (Cascade Cheese), Nonfat Milk Powder (Far West Distributors ORGNFDM-001 (non-retail)), Nonfat Milk Powder (Humboldt Creamery), Whey (Far West Distributors Gerlac ORGSWP-001), Whey (Organic Valley), Whole Milk Powder (Humboldt Creamery), Whole Milk Powder (Organic West)</t>
  </si>
  <si>
    <t>Seasonings: Other Seasonings - Herbs, Seasoning Blends (Anything with Wings), Seasoning Blends (Bourdreaux T's), Seasoning Blends (Cocoa Butt'er), Seasoning Blends (Divne Bovine), Seasoning Blends (Haaaaam Burger), Seasoning Blends (It's Greek To Me), Seasoning Blends (Rock Yo' Taco), Seasoning Blends (Smoke 'Em if You Got 'Em); Processed  Items: Processed Items-Other - Tortilla; Nuts/Seeds: Other Nuts/Seeds - Nuts; Meat Products: Beef (Beef), Chicken (Chicken), Other Meat Products - Lamb, Turkey (Turkey); Fruits/Vegetables: Apples - Apples, Bananas - Bananas, Beans (Beans), Berries (Berries), Citrus (Citrus), Citrus (Nectarines), Coconut - Coconuts, Melons (Melons), Other Fruits/Vegetables - Apricots, Other Fruits/Vegetables - Artichokes, Other Fruits/Vegetables - Asparagus, Other Fruits/Vegetables - Avocado, Other Fruits/Vegetables - Beets, Other Fruits/Vegetables - Broccoli, Other Fruits/Vegetables - Brussel Sprouts, Other Fruits/Vegetables - Cabbage, Other Fruits/Vegetables - Carrots, Other Fruits/Vegetables - Cauliflower, Other Fruits/Vegetables - Celery, Other Fruits/Vegetables - Cherries, Other Fruits/Vegetables - Cilantro, Other Fruits/Vegetables - Corn, Other Fruits/Vegetables - Cucumbers, Other Fruits/Vegetables - Dates, Other Fruits/Vegetables - Eggplant, Other Fruits/Vegetables - Exotic Fruits, Other Fruits/Vegetables - Exotic Vegetables, Other Fruits/Vegetables - Figs, Other Fruits/Vegetables - Garlic, Other Fruits/Vegetables - Grapes, Other Fruits/Vegetables - Greens Cooking, Other Fruits/Vegetables - Greens Salad, Other Fruits/Vegetables - Kiwifruit, Other Fruits/Vegetables - Lettuce, Other Fruits/Vegetables - Mangos, Other Fruits/Vegetables - Microgreens, Other Fruits/Vegetables - Mushrooms, Other Fruits/Vegetables - Onion, Other Fruits/Vegetables - Papaya, Other Fruits/Vegetables - Parsnips, Other Fruits/Vegetables - Peaches, Other Fruits/Vegetables - Pears, Other Fruits/Vegetables - Peas, Other Fruits/Vegetables - Peppers, Other Fruits/Vegetables - Persimmons, Other Fruits/Vegetables - Pineapples, Other Fruits/Vegetables - Plums, Other Fruits/Vegetables - Pluots, Other Fruits/Vegetables - Potatoes, Other Fruits/Vegetables - Pre-Cut Vegetables, Other Fruits/Vegetables - Radish, Other Fruits/Vegetables - spices, Other Fruits/Vegetables - Spinach, Other Fruits/Vegetables - Sprouts, Other Fruits/Vegetables - Squash, Other Fruits/Vegetables - Tomatoes, Other Fruits/Vegetables - Turnips, Other Fruits/Vegetables - Yams; Eggs: Eggs (Eggs); Dairy: Butter (Butter), Cheese (Cheese), Milk (Dairy); Beverage Related Products: Other Beverage Related Products - Beverages; Other: Other - Dressing, Other - Lentils</t>
  </si>
  <si>
    <t>Dairy: processing packaging and distribution of retail products: (Half &amp; Half, Unsalted Butter, Whipping Cream, Whole Milk, 1% Milk, 2% Milk, Skim Milk, Ghee (clarified butter), Heavy Cream, Light Cream), processing packaging and distribution of retail products: (Non-Homogenized Milk, Cultured 2% Sweet Cream Buttermilk, Fat-Free Milk, Eggnog, 2% Milk, Half &amp; Half,
Whole Chocolate Milk, Plain Kefir, Vanilla Kefir, Mixed Berry Kefir, Honey Elderberry Kefir, Cultured 1% Sweet Cream, Salted Butter, Lightly Salted Butter, Cultured 2% Buttermilk, Dairy Base, Cultured Unsalted Butter, Reduced Sugar Yogurt, Greek Style Yogurt, White Mass Yogurt)</t>
  </si>
  <si>
    <t>Dairy: Icecream (Acai Ice Cream), Icecream (Acai Ice Cream With Banana)</t>
  </si>
  <si>
    <t>Animal Feed: Livestock Feed (Non-Soy Poultry Ration: Layer, Broiler, Grower, Starter. Non -Soy Poultry Scratch 25+ Flax, Whole Grain Chicken Scractch, Non-Soy Swine All-Age complete Ration, Dairy Goat Grains 14% &amp; 16%); Other: Custom Feed Rations, Feed Grinding/Mixing/Bagging, Grain Screenings, Grain Storage, Grain/Seed Cleaning/Bagging &amp; Packaging, Molasses, Pelletizing Pellets: Alfalfa</t>
  </si>
  <si>
    <t>Other: Dominican Sweet Ground Chocolate, Caramel Brulee Syrup, Caramel Powder, Caramel Dairy Free Bits, Dark Caramel Syrup</t>
  </si>
  <si>
    <t>Other: 050001 C10633 Vanilla Extract 3 Fold, 050001 C11480 Vanilla Extract Vanilla, 050001 C23229 Three Fold Vanilla Extract, 050001 C23588 Fair Trade Vanilla Extract, 050001 C23675 Fair Trade Madagascar Vanilla Extract 3x, 050001 C25194 Madagascar Vanilla Extract, 050001 C25720 Vanilla Extract 10X, 050001 C26860 Natural Vanilla Type Flavor, 050001 C28087 Natural Vanilla Flavor WONF, 050001 C28385 Vanilla Extract Indonesian, 050001 P26998 Spent Vanilla Bean Powder, 050003 0660TORG Vanilla Extract, 050003 149T5 Natural Vanilla Flavor WONF, 050003 333T Vanilla Extract 2X Madagascar, 050003 473TORG Natural Vanilla Flavor WONF, 050003 497TORG Natural Vanilla Flavor WONF, 050003 523TORG Natural Vanilla FT Flavor WONF, 050003 552TORG Natural Flavor (Creamy Type), 050003 575TORG Natural Flavor (Creamy Butter Type), 050003 593TORG NATURAL VANILLA FLAVOR WONF, 050003 594TORG NATURAL VANILLA FLAVOR WONF, 050006 1048TORG Natural Apple Pear Flavor WONF, 050006 1055TORG Natural Strawberry Flavor WONF, 050006 1104TPORG Natural Dark Berry Flavor WONF, 050006 1112TPORG Natural Vanilla Flavor WONF (Bourbon Type), 050006 1113TPORG Natural Vanilla Flavor WONF (Cream Type), 050006 1140TORG NATURAL FLAVOR (ROOT BEER TYPE), 050006 1166TPORG Natural Caramel Flavor WONF, 050006 1178SPMORG Natural Banana Strawberry Flavor WONF, 050006 1179SPMORG Natural Strawberry Banana Flavor WONF, 050006 1186SPMORG NAT Chocolate Peanut Flavor WONF, 050006 1223TORG Natural Chocolate Flavor WONF (Dark), 050006 1230TORG Natural Vanilla Flavor WONF (Spice Type), 050006 1236TORG Natural Flavor (Cookies &amp; Cream Type), 050006 1237TORG Natural Chocolate Fudge Flavor WONF, 050006 1240TORG Natural Lime Flavor WONF (Pie Type), 050006 1456TORG Natural Pineapple Flavor WONF, 050006 1461TORG Natural Citrus Flavor WONF, 050006 1462TORG Natural Orange Flavor WONF (Cream Type), 050006 1520TORG NATURAL FLAVOR (ROOT BEER TYPE), 050006 1568TORG NATURAL FRUIT FLAVOR WONF (CEREAL TYPE), 050006 1595TORG NATURAL VANILLA FLAVOR WONF (COCOA TYPE), 050006 1596TORG NATURAL BITTER BLOCKER FLAVOR, 050006 1713TORG NATURAL VANILLA FLAVOR WONF (CREAM TYPE), 050006 1762TORG NATURAL FLAVOR (ORANGE BLOSSOM TYPE), 050006 2349CWORG Natural Mandarin Solessence W Flavor, 050006 2351TORG Natural Strawberry Flavor WONF, 050006 2352TORG Natural Flavor (Guava Type), 050006 2365TPORG Natural Chocolate Flavor WONF, 050006 2366TPORG Nat Chocolate Flavor WONF, 050006 2376TPORG - Natural Strawberry Flavor WONF, 050006 2377TPORG - Natural Strawberry Flavor WONF, 050006 2378TPORG - Natural Strawberry Flavor WONF (Cream Type), 050006 2402TORG Natural Flavor (Cola Type), 050006 2403TORG NATURAL FLAVOR (COLA TYPE), 050006 2410TORG Natural Watermelon Flavor WONF, 050006 2438TORG Natural Grape Flavor WONF, 050006 2480TPORG Natural Flavor (Creamy Dairy Type), 050006 822TP0504 Natural Coffee Flavor WONF, 050012 10550ORG Vanilla Extract 1 Fold, 050012 111024ORG Natural Lemon Extract, 050012 111024PORG Natural Lemon Flavor, 050012 11131ORG Vanilla Extract 2 Fold, 050012 11144ORG Orange Oil, 050012 111481ORG Natural Peppermint Extract, 050012 111569AORG Natural Flavor (Amaretto Type), 050012 11164ORG Peppermint Oil, 050012 11182ORG Lemon Oil, 050012 11248ORG Lime Oil, 050012 113112PORG Natural Pear Flavor WONF, 050012 113150AORG Natural Orange Flavor WONF, 050012 113150ORG Natural Orange Flavor WONF, 050012 113150PORG Natural Orange Flavor WONF, 050012 113252AORG Natural Mocha Flavor WONF, 050012 113266ORG Vanilla Extract 1 Fold, 050012 113280ORG Natural Vanilla Base OS, 050012 113383FORG Natural Vanilla Flavor WONF, 050012 113443ORG Natural Cranberry Flavor WONF, 050012 113445ORG Natural Strawberry Flavor WONF, 050012 113446ORG Natural Blueberry Flavor WONF, 050012 113447ORG Natural Apple Flavor WONF, 050012 113448ORG Natural Cherry Flavor WONF, 050012 113511ORG Natural Bitter Almond Extract, 050012 113554ORG Natural Raspberry Flavor WONF, 050012 113554PORG Natural Raspberry Flavor WONF, 050012 113561DORG Natural Flavor (Chai Spice Type), 050012 113589ORG Natural Chocolate Flavor WONF, 050012 113590ORG Natural Coffee Flavor WONF, 050012 113591ORG Natural Hazelnut Extract, 050012 113599CORG Natural Passionfruit Flavor WONF, 050012 113641EORG Natural Flavor (Caramel Type), 050012 113641ORG Natural Caramel Flavor WONF, 050012 113643DORG Natural Peach Flavor WONF, 050012 113643ORG Natural Peach Flavor WONF, 050012 113659ORG Natural Maple Flavor WONF, 050012 113661BORG Natural Coconut Flavor WONF, 050012 113661ORG Natural Coconut Flavor WONF, 050012 113690BORG Natural Pineapple Flavor WONF, 050012 113697BORG Natural Lime Extract, 050012 113713ORG Natural Mango Flavor WONF, 050012 113719ORG Natural Blackberry Flavor WONF, 050012 113721ORG Natural Flavor (Irish Cream Type), 050012 113729ORG Natural Wildberry Flavor WONF, 050012 113737BORG Natural Hazelnut Flavor WONF, 050012 113755ORG Lemon Emulsion, 050012 113757ORG Natural Orange Flavor, 050012 113804ORG Natural Bergamot Flavor WONF, 050012 113845BORG Natural Brown Sugar Flavor WONF, 050012 113860AORG Natural Citrus Extract, 050012 113860APORG Natural Orange Tangerine Flavor, 050012 113914ORG Natural Peanut Flavor WONF, 050012 113931ORG Natural Mango Flavor WONF, 050012 113938KORG Natural Kiwi Flavor WONF, 050012 113962BORG Natural Raspberry Flavor WONF, 050012 113964ORG Natural Strawberry Flavor WONF, 050012 113983ORG Natural Bitter Almond Extract, 050012 113986EORG Natural Mango Flavor WONF, 050012 113988ORG Natural Chocolate Flavor WONF, 050012 114030ORG Natural Spice Flavor WONF (Oatmeal Type), 050012 114055AORG Natural Cranberry Pomegranate Flavor WONF, 050012 114058ORG Natural Spearmint Flavor WONF, 050012 114061AORG Natural Blueberry Flavor WONF, 050012 114061DORG Natural Blueberry Flavor WONF, 050012 114061DPORG Natural Blueberry Flavor WONF, 050012 114068AORG Natural Pomegranate Flavor WONF, 050012 114075ORG Natural Lemon Extract, 050012 114083ORG Natural Peppermint Flavor WONF, 050012 114099ORG Natural Acai Flavor WONF, 050012 114102ORG Natural Berry Flavor WONF with Yumberry Juice, 050012 114108ORG Natural Lemon Flavor WONF, 050012 114124BORG Natural Flavor (Vanilla Type), 050012 114127ORG Natural Pomegranate Flavor WONF, 050012 114186ORG Natural Lemon Flavor WONF, 050012 114196ORG Natural Lemon Flavor WONF, 050012 114197ORG Natural Flavor (Raspberry Type), 050012 114483ORG Natural Orange Extract, 050012 114489ORG Natural Flavor (Strawberry Type), 050012 114665ORG Natural Jasmine Flavor WONF, 050012 114685ORG Natural Flavor (Butter Type), 050012 114899ORG Natural Spice Flavor WONF (Pumpkin Type), 050012 114933ORG Natural Lime Extract, 050012 114933PORG Natural Lime Flavor, 050012 115075ORG Natural Coconut Flavor WONF, 050012 115089 Nat Vanillin 3 Alcar, 050012 115121ORG Natural Almond Flavor WONF, 050012 115133ORG Natural Basil Extract, 050012 115135ORG Natural Mint Flavor Extract, 050012 115259ORG Natural Flavor (Coconut Type), 050012 115283ORG Natural Flavor (Apple Cobbler Type), 050012 115286ORG Natural Flavor (Whipped Cream Type), 050012 115562ORG Natural Cinnamon Flavor WONF, 050012 115569ORG Natural Ginger Extract, 050012 115726ORG Natural Lime Extract, 050012 115757ORG Natural Flavor (Grape Type), 050012 115776ORG Natural Grapefruit Flavor WONF, 050012 115804ORG Natural Acai Flavor WONF, 050012 115809ORG Natural Caramel Type Flavor, 050012 115840ORG Natural Coriander Extract, 050012 115908ORG Natural Mixed Berry Flavor WONF, 050012 115909ORG Natural Punch Flavor WONF, 050012 115926ORG Natural Blueberry Flavor WONF, 050012 115970ORG Natural Flavor (Coconut Cream Type), 050012 115974ORG Natural Vanilla Flavor WONF, 050012 115989ORG Natural Strawberry Flavor WONF, 050012 115990ORG Natural Strawberry Flavor WONF, 050012 116016ORG Natural Blueberry Flavor WONF, 050012 116064ORG Natural Flavor (Watermelon Type), 050012 116103ORG Natural Banana Type Flavor, 050012 116152ORG Natural Vanilla Flavor WONF, 050012 116188ORG Natural Cherry Flavor WONF, 050012 116189ORG Natural Flavor (Pineapple Type), 050012 116211ORG Natural Flavor (Mango Type), 050012 116234ORG Natural Honey Flavor WONF, 050012 116244ORG Natural Grapefruit Extract, 050012 116255ORG Natural Mango Flavor WONF, 050012 116255PKORG Natural Mango Flavor WONF, 050012 116261ORG Natural Lemongrass Flavor, 050012 116272ORG Natural Lime Flavor, 050012 116331ORG Natural Chocolate Extract, 050012 116359ORG Natural Bitter Almond Extract, 050012 116388ORG Natural Flavor (Pineapple Type), 050012 116398ORG Natural Maple Flavor WONF, 050012 116402ORG Natural Chipotle Extract, 050012 116499ORG Natural Oregano Extract, 050012 116532ORG Natural Lemon Flavor, 050012 116582ORG Natural Coffee Flavor WONF, 050012 116583ORG Natural Chocolate Flavor WONF, 050012 116656ORG Natural Flavor Coconut Type, 050012 116764ORG Natural Cherry Berry Flavor WONF, 050012 116766ORG Natural Lemongrass Flavor, 050012 116792ORG Natural Flavor (Strawberry Type), 050012 116801ORG Natural Blueberry Pomegranate Flavor WONF, 050012 116935ORG Natural Mandarin Lime Flavor WONF, 050012 116944ORG Natural Black Cherry Flavor WONF, 050012 116992ORG Natural Strawberry Flavor WONF, 050012 116996ORG Natural Peach Flavor WONF, 050012 117017ORG Natural Blackberry Raspberry Flavor WONF, 050012 117021ORG Natural Mint Flavor WONF, 050012 117061ORG Natural Lemon Flavor WONF (Limoncello Type), 050012 117097ORG Natural Strawberry Flavor WONF, 050012 117145ORG Natural Apple Flavor WONF, 050012 117178ORG Natural Grape Flavor WONF, 050012 117195ORG Natural Orange Flavor WONF (Juicy Type), 050012 117215ORG Natural Grapefruit Flavor WONF, 050012 117216ORG Natural Grapefruit Extract, 050012 117253ORG Natural Peanut Flavor WONF, 050012 117259ORG Natural Blood Orange Flavor WONF, 050012 117283ORG Natural Flavor (Passion Fruit Type), 050012 117287ORG Jalapeno Extract, 050012 117294ORG Natural Flavor (Lemon Meringue Type), 050012 117306ORG Natural Raspberry Flavor WONF, 050012 117341ORG Natural Sage Extract, 050012 117428ORG Natural Green Tea WONF, 050012 117497ORG Natural Flavor (Honey Type), 050012 117506ORG Natural Flavor (Cream Type), 050012 117508ORG Natural Flavor (Caramel Type), 050012 117567 Natural Vanilla Flavor WONF, 050012 117582ORG Natural Maple Flavor WONF, 050012 117675ORG Natural Pineapple Flavor WONF, 050012 117705ORG Natural Lemon Flavor, 050012 117768ORG Natural Cinnamon Bark Extract, 050012 117820ORG Natural Black Pepper Extract, 050012 117821ORG Natural Mirepoix Flavor, 050012 117824ORG Natural Clove Extract ORG, 050012 117825ORG Natural Cardamom Extract, 050012 117861ORG Natural Matcha Tea Flavor WONF, 050012 117883ORG Natural Flavor (Apple Cider Type), 050012 117915ORG Natural Cucumber Flavor WONF, 050012 117916ORG Natural Watermelon Flavor WONF, 050012 117930ORG Natural Blackberry Flavor WONF, 050012 117969ORG Natural Ginger Lemongrass Garlic Flavor, 050012 118033ORG Natural Blueberry Pomegrante WONF, 050012 118085ORG Natural Flavor (Toffee Type), 050012 118155ORG Natural Vanilla Flavor WONF, 050012 118171ORG Natural Blood Orange Flavor WONF, 050012 118245ORG Natural Chocolate Flavor WONF, 050012 11TORG Natural Vanilla Flavor WONF, 050012 12122ORG Grapefruit Oil, 050012 12TORG Natural Vanilla Flavor WONF, 050012 13015ORG Tangerine Oil, 050012 13TORG Natural Cloud Emulsion Compound, 050012 18TP1954ORG Natural Blackberry Raspberry Flavor WONF, 050012 21CORG Natural Wildberry Flavor WONF, 050023 0560TPORG Natural Flavor (Chicken Type), 050023 221CBORG Nat Chicken Flavor WONF, 050024 0459ORG Natural Garlic Flavor WONF (Roast Type), 050024 0614SORG Natural TASTEGEM SW 3D Flavor, 050024 0619TORG NATURAL BLACK PEPPER EXTRACT, 050024 0890CORG Natural Fruit Punch Flavor WONF, 050024 0892TORG Natural Grape Apple Flavor WONF, 050024 0893TORG Natural Apple Flavor WONF, 050024 0894TORG Natural Apple Flavor WONF, 050024 0900CORG Natural Fruit Punch Flavor WONF, 050024 1003TORG Natural Apple Flavor WONF, 050024 1004TORG Natural Apple Flavor WONF, 050024 1008TORG Natural Caramel Flavor WONF, 050024 1031TORG Natural Mixed Berry Flavor WONF, 050024 1032TORG Natural Grape Flavor WONF, 050024 1033TORG Natural Blood Orange Flavor WONF, 050024 1119TORG Natural Caramel Flavor WONF, 050024 1151CORG Natural Honey Flavor WONF, 050024 1152TORG Natural Pepper Flavor WONF (Sriracha Type), 050024 1181TORG NATURAL BLACK CHERRY FLAVOR WONF, 050024 1348TORG Natural Strawberry Flavor WONF, 050024 1349TORG Natural Strawberry Flavor WONF, 050024 1350TORG Natural Lemon Flavor WONF, 050024 1351TORG Natural Lemon Flavor WONF, 050024 1352TORG Natural Mixed Berry Flavor WONF, 050024 1390TORG NATURAL CHERRY FLAVOR WONF, 050024 1448TORG Natural Cardamom Flavor, 050024 1654TORG NATURAL SPICE EXTRACT, 050024 1655TORG NATURAL SPICE EXTRACT, 050024 1656TORG NATURAL SPICE EXTRACT, 050024 1747CORG Natural Lemon Emulsion, 050024 174TORG Natural Apple Flavor WONF, 050024 2009TORG NATURAL SPICE FLAVOR WONF (PUMPKIN TYPE), 050024 207TORG Natural Black Pepper Extract, 050024 2163TORG Natural Flavor (Raspberry Type), 050024 2281TORG Natural Pepper Flavor WONF (Sriracha Type), 050024 2363SWORG NATURAL LIME FLAVOR SOL W, 050024 23TP1904ORG Natural Banana Flavor WONF, 050024 2536TORG NATURAL VANILLA FLAVOR WONF, 050024 2689TORG NATURAL TROPICAL PUNCH FLAVOR WONF, 050024 2690TORG Natural Banana Flavor WONF, 050024 2831CORG NATURAL BLUEBERRY FLAVOR WONF, 050024 2832TORG NATURAL CRANBERRY FLAVOR WONF, 050024 2833TORG NATURAL FLAVOR (ACAI BERRY TYPE), 050024 2834TORG NATURAL MANGO FLAVOR WONF (CARABAO TYPE), 050024 2835TORG NATURAL HONEY FLAVOR WONF, 050024 2836TORG NATURAL TASTEGEM® FLAVOR SW, 050024 289TORG Natural Pineapple Flavor WONF, 050024 2920TORG NATURAL PASSION FRUIT FLAVOR WONF, 050024 2921TORG NATURAL BLACKBERRY FLAVOR WONF, 050024 3060TORG NATURAL STRAWBERRY BANANA FLAVOR WONF, 050024 329SORG Natural Vanilla Flavor WONF, 050024 3446TORG NATURAL FLAVOR (MASKING TYPE), 050024 3555TORG NAT FLAVOR (MASKING TYPE), 050024 3590TORG NAT FLAVOR (MILK TYPE), 050024 3603SORG NAT BANANA FLAVOR WONF, 050024 435TORG Natural Vanilla Flavor WONF (Almond Type), 050024 497TORG Natural Mixed Berry Flavor WONF, 050024 583TORG Natural Caramel Flavor WONF (Cream Type), 050024 585TORG Natural Caramel Flavor WONF (Coconut Type), 050024 59TORG Natural Berry Flavor WONF (Energy Type), 050024 621THORG NATURAL FLAVOR (VEGAN MOZZARELLA TYPE), 050024 622THORG NATURAL FLAVOR (VEGAN JACK CHEESE TYPE), 050024 624THORG NAT FLAVOR (FETA CHEESE TYPE), 050024 666TP04ORG NATURAL APPLE FLAVOR WONF, 050024 671TORG NATURAL ROSEMARY EXTRACT, 050024 684TORG NATURAL FLAVOR (ALMOND CROISSANT TYPE), 050024 719TORG Natural Flavor (Masking Type), 050024 720TORG Natural Flavor (Coconut Type), 050024 721TORG Natural Flavor (Milk Type), 050024 814CORG Natural Cherry Flavor WONF, 050024 818TORG Natural Flavor (Oat Type), 050999 111024ORG Natural Lemon Extract, 050999 113757ORG Natural Orange Flavor, 050999 117705ORG Natural Lemon Flavor WONF, 500164 TORG Natural Black Tea Flavor WONF, 500176 TPORG Natural Chocolate Fudge Flavor WONF, 500786 14TORG Natural Flavor (French Vanilla Type), 512142 P20ORG Natural Acai Flavor WONF, 514112 CORG Natural Flavor (Acai Type), 514228 2TORG - Natural Bitterness Blocker Flavor, 514228 4TORG Natural Bitterness Blocker Flavor, 514292 TP1299ORG Natural Vanilla Powder, 514345 TORG Natural Vanilla Flavor WONF, 514358 TP2004ORG Natural Maple Flavor WONF, 514359 TP2004ORG Natural Vanilla Flavor WONF (Whiskey Type), 514457 TORG Natural Vanilla Flavor WONF, 514492 2TORG Natural Taste Modulator Flavor, 514492 3TORG Natural Taste Modulator Flavor, 514492 4TORG Natural Taste Modulator Flavor, 514492 TORG Natural Taste Modulator Flavor, 514601 TORG Natural Peach Flavor WONF, 514602 CORG Natural Cucumber Flavor WONF ORG, 514604 CORG Natural Peach Flavor WONF, 514637 TP1099ORG Natural Flavor (Caramel Type), 514659 TORG Natural Orange Flavor WONF (Punch Type), 514660 TORG Natural Berry Flavor WONF, 514697 SPMORG Natural Tastegem Flavor SW, 514728 TORG - Natural Vanilla Flavor WONF, 514779 4TORG - Natural Vanilla Flavor WONF Tastegem® SW, 514783 TPORG Natural Mixed Berry Flavor WONF, 514827 TORG Natural Smoke Flavor, 514926 TORG Natural Black Cherry Flavor WONF, 514927 CORG Natural Pomegranate Flavor WONF, 514983 TORG Natural Pear Flavor WONF, 514984 TORG Natural Watermelon Flavor WONF, 514985 TORG Natural Watermelon Flavor WONF, 514999 TORG Natural Nutmeg Extract, 515017 TORG Natural Caramel Flavor WONF, 515064 TPORG Natural Cinnamon Flavor WONF, 515065 TPORG Natural Cinnamon Flavor WONF, 515066 TPORG Natural Cherry Flavor WONF, 515088 THORG Natural Flavor (Crumble Type), 515089 THORG Natural Flavor (Oatmeal Type), 515090 THORG Natural Flavor (Spun Sugar Type), 515091 THORG Natural Flavor (Cake Batter Type), 515092 CORG Natural Vanilla Flavor WONF, 515093 THORG Natural Citrus Flavor WONF (BLOV), 515094 THORG Natural Cinnamon Flavor WONF, 515101 TORG Natural Flavor (Brown Sugar Type), 515102 TORG Natural Flavor (Brown Sugar Type), 515103 TORG Natural Flavor (Caramel Type), 515104 TORG Natural Coffee Flavor WONF, 515127 TORG Natural Cinnamon Vanilla Flavor WONF, 515202 SORG Natural Kiwi Flavor WONF, 515203 TORG Natural Kiwi Flavor WONF, 515222 CWORG - Natural Tangerine Flavor, 515223 TORG - Natural Black Cherry Flavor WONF, 515232 TORG - Natural Flavor (Hazelnut Type), 515257 CORG Natural Flavor (Grape Type), 515265 TORG Natural Maple Flavor WONF, 515410 TORG Nat Berry Lemon Flavor WONF, 515543 TORG Natural Strawberry Banana Flavor WONF, 515544 TORG Natural Apple Flavor WONF, 515546 TORG Natural Mixed Berry Flavor WONF, 515576 TORG Natural Raspberry Extract, 515577 TORG NATURAL STRAWBERRY FLAVOR ORG, 515578 TORG Natural Blackberry Extract, 515634 TORG Natural Bergamot Extract, 515728 TORG Natural Mango Flavor WONF (Alphonso Type), 515754 TORG Natural Wildberry Flavor WONF, 515756 TORG Nat Flavor (Apple Type), 515838 TORG Natural Blueberry Flavor WONF, 515846 TORG Natural Peach Flavor WONF, 515886 TP0900ORG Natural Ginger Extract, 515963 SHORG Natural Basil Flavor WONF, 515967 TP2004ORG Natural Pineapple Flavor WONF, 515985 TORG Natural Bergamot Flavor WONF, 517261 TORG Natural Cheddar Cheese Flavor WONF, 517262 TORG Natural Parmesan Cheese Flavor WONF, 517396 2TORG Natural Cream Flavor WONF, 517397 TORG Natural Cream Flavor WONF, 517604 2TP2054ORG NAT FL (Mouthfeel Enhancer Type), 517604 4TP2054ORG NAT FL (Mouthfeel Enhancer Type), 524227 2TORG Natural Bergamot Flavor, 533364 8SORG Natural Flavor (Banana Type), 534199 60TORG Natural Tastegem Flavor WONF, 534199 60TP3354ORG Natural Tastegem Flavor SW, 538125 5TORG Natural Flavor (Sweetness Mouthfeel Type), 539383 SWORG Natural Lemon Flavor WONF, 540432 2CORG Natural Peach Flavor WONF, 540440 9C5ORG Natural Blueberry Flavor WONF, 540478 8TORG NATURAL MASKING FLAVOR, 540672 3T Natural Vanilla Flavor WONF, 566020 3TORG Natural Bitterness Blocker Flavor, 566308 TPORG Natural Taste Modulator FLAVOR, 568658 3SORG Natural Mouthfeel Flavor, 568658 TORG Natural Mouthfeel Flavor, 571343 - Natural Caramelized Sugar Syrup., 571452 PORG Natural Chicken Flavor WONF, 599399 30SORG NATURAL MASKING FLAVOR, 599399 30TP5054ORG Natural Masking Flavor, 599469 2AORG Natural Masking Flavor, 883411 TFL1560BORG Natural Citrus Flavor WONF Flex, 883667 FBSORG Natural Passionfruit Flavor WONF Flexarome, 927138 Natural Cocoa Extract, 984746 Tangerine Oil ORG, 989925 Vanilla Bourbon Ext 3X, 989926 Fair Trade Madagascar Vanilla Extract 3x (VANILLA ORG FT 3X), 989949 Vanilla Bourbon SFE Extractive, 989953 Fair Trade Vanilla Extract, 990048 Vanilla Extract Indonesian, 990106 Vanilla Extract, 990188 Vanilla Beans Madagascar Spent, 990221 Vanilla Ext 1X Madagascar, 990223 Vanilla Ext 3X Madagascar Traceable, 990226 Vanilla Ext 3X Madagascar, 990227 Vanilla Bourbon 20x, 990243 Madagascar Vanilla Beans, 990281 VANILLA BEAN UGANDA ORGANIC, 990361 Vanilla Base OS, 990437 Vanilla Extract Organic, 990685 Vanilla Extract 1x, F11Y246ORG Natural Caramel Flavor WONF (Burn Type) ORG, F29Z914 ORG Natural Flavor (Butter Type) ORG, F87G235 ORG Natural Flavor (Vegan Mozzarella Type)</t>
  </si>
  <si>
    <t>Dairy: Icecream (ACAI ICECREAM), Icecream (ACAI ICECREAM WITH BANANA); Condiments and Sweeteners: Syrups (GUARANA SYRUP)</t>
  </si>
  <si>
    <t>Other: 1% Methional NAT in Sunflower (FB6438), 1% Vanilla CO2/Sunflower (FB5628), 901731676 MC PEPPER BLACK GROUND 12/3 OZ, Apple Cinnamon Interm (FF2954), Barbeque Seasoning (FF3600), Brown Gravy Mix (FF2594), Chai Spice Seasoning (FF4156), Chili Seasoning Mix (FF2582), Cinnamon Blend with Chia Seasoning (FF2606), Citrus Chile &amp; Garlic with Chia Seasoning (FF2610), Dry Premix NCC 46-3 (FF3283), Dry Premix NMBR 33-6 (FF3069), DRY PREMIX NTE 30-1 (FF3951), DTC SC ORGANIC WHT CHD SEAS (FF2840), DTC SIMPLY MWO ZESTY RANCH (FF4178), DTC/SUN ORG SPICY CHD / QUESO (FF3232), ENHANCED CBO (FB7680), Enhanced CBO ORG (FB6476), F26339 FC Maple Brown Sugar Type Nat WS, F27337 FC Mixed Berry FL TYP NAT, F27341 FC Vanilla Type Flavor Natural WS, F27355 FC LEMON LIME FL NATURAL, F27493 FC Turmeric Nat WS, F27593 FC CAYENNE NATURAL WS, F27596 FC JALAPENO NATURAL WS, F27597 FC PAPRIKA SMOKED NATURAL WS, F27600 FC GINGER NATURAL WS, F27601 FC INDONESIAN NUTMEG NATURAL WS, F27604 FC FENNEL NATURAL WS, F27605 FC MARJORAM NATURAL WS, F27608 FC MACTHA NATURAL WS, Fajita Seasoning Mix (FF2670), FB6995 CARAMEL FLV NAT OS, FB7325 FLAVOR BLENDER TYP NAT ORG, FB7413 Flavor Blender Typ Nat 120 Proof, FB7417 Strawberry Flavor WONF WS, FB7418 Cinnamon Flavor WONF WS ORG, FB7419 Vanilla WONF WS W Vanillin (Clove), FB7430 Pineapple Flavor NAT TYPE, FB7431 Cherry Flavor NAT TYPE, FB7472 CINNAMON EXT NAT WS ORGANIC, FB7473 GINGER EXT NAT WS ORGANIC, FB7474 BLACK PEPPER EXT NAT WS ORGANIC, FB7475 CINNAMON FLAVOR WONF WS, FB7476 RASPBERRY BLACK WONF WS, FB7480 PEACH FL WONF WS, FB7481 PEACH FL WONF WS, FB7482 COCONUT FL TYPE NAT WS, FB7483 COCONUT FL TYPE NAT WS, FB7489 - MIXED BERRY FLV WONF WS, FB7491 - HONEY FLV WONF WS, FB7562 Grapefruit Ext Nat ORG WS, FB7563 Grapefruit Ext Conc Nat ORG WS, FB7564 LIME EXT NAT ORG, FB7565 Lime FLV NAT ORG, FB7699 GRAPEFRUIT EXT NAT WS, FB7703 ORANGE FL NATURAL, FB7704 BLACK CHERRY FL TYPE NAT WS, FB7705 POMEGRANATE ACAI FL TYPE NAT WS, FB7706 GRAPEFRUIT FLV WONF WS, FB7708 BLOOD ORANGE FLV NAT TYPE WS, FB7709 BLACK CHERRY FLV NAT TYPE WS, FB7711 ORANGE EXTRACT CONC NATURAL, FB7732 SWEETNESS MODULATOR NAT TYPE ORG, FB7772 BUTTER TYPE FLAVOR NATURAL OS, FB7833 VIOLET LEAVES KEY TYPE NAT WS, FB7834 STRAWBERRY KEY TYP NAT WS, FB7835 LIME EXTRACT WONF WS, FB7836 LIME CACTUS FLV TYP NAT WS, FB7837 Lime Cactus Flavor Type NAT WS ORG, FB7887 TANGERINE FLV WONF, FB7901 Pepper Cayenne Extract Nat WS, FB7973 BLUEBERRY FLV WONF WS, FB7975 CARAMEL FL TYPE NAT WS, FB7995 BLACKBERRY FLV WONF ORG, FB8013 WATERMELON FLV WONF WS, FB8041 STRAWBERRY FLV WONF, FB8042 STRAWBERRY FLV WONF WS, FB8049 Espresso Flavor WONF WS ORG, FB8080 Cranberry Flavor WONF WS, FB8097 RASPBERRY FL WONF WS, FB8098 PINNEAPPLE FL WONF ORG, FB8103 Blueberry FL WONF WS, FB8118 0.10% PARAMENTHA8THIOL3ONE NAT/ALC, FB8120 CITRUS CONC EXT WONF WS, FB8121 Citrus Fl WONF WS, FB8124 LIME EXTRACT NATURAL, FB8125 Lime Fl Natural, FB8127 BLUEBERRY STRAWBERRY FL WONF WS ORG, FB8128 CHERRY FL WONF WS ORG, FB8130 Cranberry Fl WONF WS, FB8131 1.0% BETA IONONE NAT/ALC, FB8142 GUAVA FL WONF WS, FB8147 GRAPE FL TYPE NAT WS, FB8149 GRAPE CONCORD FL TYPE NAT WS ORG, FB8158 Turmeric Extract NAT WS ORG 2.5X, FB8164 Pepper Black Extract Nat WS 2.5X, FB8165 Clove Extract Nat WS, FB8173 Passionfruit FL WONF WS ORG, FB8182 Cherry Flavor WONF WS ORG, FB8196 Cucumber Flavor WONF WS, FB8199 MANGO ENHCR NAT WS ORG, FB8200 MANGO FLV WONF WS ORG, FB8386 LIME FLV NAT ORG, FB8394 White Chocolate Macadamia Type Nat WS, FB8395 Chocolate Chip Type Flavor Nat WS ORG, FB8396 Chocolate Chip Type Flavor Nat WS ORG, FB8488 Melon Blend WONF WS, FB8526 Beer Aromatics Flavor Nat Type ORG WS, FB8527 Hops Flavor WONF WS Beer Malt PRFL ORG, FB8541 Cardamom Extract NAT WS ORG 2.5X, FB8542 Mustard Seed Extract NAT WS ORG 2.5X, FB8543 Celery Seed Extract NAT WS ORG 2.5X, FB8544 Caraway Extract NAT WS ORG 2.5X, FB8545 Jalapeno Extract NAT WS ORG 2.5X, FB8546 Paprika Smoked Extract NAT WS ORG 2.5X, FB8547 Sage Extract NAT WS ORG 2.5X, FB8548 Allspice Extract NAT WS ORG2.5X, FB8549 Ginger Extract NAT WS ORG 2.5X, FB8550 Ginger Extract Nat WS 2.5X, FB8551 Nutmeg Extract Nat WS 2.5X, FB8552 Curry Extract Nat WS 2.5X, FB8553 Curry Red Extract Nat WS ORG 2.5X, FB8554 Cumin Extract Nat WS ORG 2.5X, FB8555 Anise Extract NAT WS ORG 2.5X, FB8556 Lavender Extract Nat WS 1.25X, FB8557 Fennel Extract Nat WS ORG 2.5X, FB8558 Marjoram Extract Nat WS ORG 2.5X, FB8559 Matcha Extract NAT WS ORG 2.5X, FB8560 Spearmint Extract NAT WS ORG 1X, FB8561 Tomato Extract NAT WS ORG 2.5X, FB8573 0.10% Furfuryl Mercap/ORG ETOH, FB8651 APPLE FLV WONF WS ORG, FB8667 Cheddar Cheese Type Flavor Nat OS MWO, FB8758 Honey Type Flavor Natural OS, FB8759 1% Jasmin ABS/ALC, FB8766 Apple Flavor WONF WS ORG, FB8792 Tequila Flavor Nat Type WS, FB8841 Lemon Extract CONC Natural ORG, FB8842 Lemon Flavor Natural, FB9111 POMEGRANATE FL WONF WS ORG, FB9112 POMEGRANATE FL WONF WS ORG, FB9157 Extractives of Paprika, FB9162 PEACH FL WONF WS ORG, FB9210 BERRY FL WONF WS ORG, FB9211 PEACH FL WONF WS ORG, FB9220 Honey FL WONF WS ORG, FB9304 MANGO FL WONF WS ORG, FB9311 GINGER CONC EXTRACT NATURAL ORG, FB9315 BLACKBERRY FL WONF WS ORG, FB9321 GINGER FL WONF WS ORG, FB9327 APPLE FLV WONF WS ORG, FB9328 GINGER FL WONF WS ORG, FB9340 PAPRIKA CONC NAT OS, FB9378 RASPBERRY FLV WONF ORG, FB9500 Orange Flavor WONF MWO, FB9521 BUTTER TYPE FLAVOR NAT OS ORG, FB9602 VANILLA CONC FL WONF WS MWO, FB9614 LIME EXTRACT WONF WS, FB9943 PEACH EXTRACT WONF WS MWO, FB9944 APPLE GRANNY SMITH EXTRACT WONF WS, FB9945 DRAGON FRUIT EXTRACT WONF WS, FB9946 BLACKBERRY EXTRACT WONF WS, FB9947 MANGO EXTRACT WONF WS ORG, FB9948 PINEAPPLE EXTRACT WONF WS, FB9949 STRAWBERRY EXTRACT WONF WS, FB9958 Raspberry Extract WONF WS MWO, FB9969 PHO KEY TYPE NAT MWO WS, FB9970 PHO KEY TYPE NAT MWO, FB9971 PHO FL TYPE NAT WS, FB9987 PEACH FL WONF WS, FB9991 PHO FL TYPE NAT WS, FC Olive Oil Flavor WONF WS (F27126), FC Onion Flavor WONF (F27128), FC TOMATO TYPE NAT (F27386), FF2708 Taco Seasoning Mix, FF4021 NC216 Matrix, FF4118 Cinnamon Sugar Seasoning, FF4535 TACO SEAS PREM CLUB ORG, FF4541 Poultry Seasoning, FF4845 SUNCHIPS MWO CHILI LIME SEAS, FG0005 HONEY FL CONC WONF, FG0007 ORANGE FL NATURAL WS ORG, FG0011 1.0% ALPHA IONONE NAT/ ALC, FG0043 CARAMEL FLV WONF WS, FM0348 FCELL Jasmine Nat WONF, FM0349 FCell Passionfruit Nat WONF, FM0361 FCELL ORANGE FLV WONF ORG, FM0362 FCell Jasmine Fl WONF ORG, FM0363 FCELL VANILLA FL WONF, FM0365 FCELL ORG LEMON FL NATURAL, FM0370 FCELL HONEY FL WONF, FWD CHEDDAR CHEESE TYP CONC NAT OS (FB6481), FWD CHEDDAR CHEESE TYP FLV NAT OS (FB6444), FWD FC BUTTER TYP FLV NAT MWO (F27469), FWD FC CHEDDAR CHEESE TYP FLV NAT (F27141), FWD FC CILANTRO NAT (F27384), FWD FC DAIRY TYP FLV NAT (F26985), FWD FC JALAPENO TYP TOPNOTES NAT (F27121), FWD FC JALAPENO WONF (F27385), FWD FC SOUR CREAM TYP FLV NAT (F27472), FWD FC TOMATO TYP FLV NAT (F27122), FWD FC VINEGAR (F26720), FWD JALAPENO CONC WONF OS (FB7668), FWD JALAPENO TYP CONC NAT OS (FB6428), FWD SOUR CREAM TYP CONC NAT OS (FB8174), FWD TOMATO TYP FLV NAT OS (FB6429), Garlic &amp; Herb Seasoning (FF4106), Garlic and Herb S/FR (FF2924), Ginger Flavor WONF (FB8195), GOUR Berbere (FF3319), GOUR Harissa (FF3322), GOUR Peruvian (FF3318), GOUR Shawarma (FF3320), GOUR Za'Atar (FF3338), Greek Seasoning (FF3119), Matcha Green Tea &amp; Ginger Seasoning (FF2591), OIL BLEND #1 NTE 30-1 (FB7669), OIL BLEND #2 NTE 30-1 (FB7670), Oil Blend NCC 46-3 (FB6477), Oil Blend NMBR 33-6 (FB6161), Olive Oil WONF CONC OS (FB6437), Onion Flavor Type Natural OS (FB6439), Pomegranate Fl WONF (FB7671), SALT &amp; HERB POULTRY BLEND (FF3857), SUN GARDEN SALSA SEAS FF3921, Taco Seasoning Mix (FF2583), TOMATO SOUP SEAS (FF3668), TR CRKD PPR &amp; OO Seasoning (FF3262), Vanilla Berry Interm (FF2918), Vanilla Flavor (FB6171), YC Apple Cinnamon Seasoning (FF2615), YC Blueberry Banana Seasoning (FF2990), YC Vanilla Berry Seasoning (FF2646)</t>
  </si>
  <si>
    <t>Fruits/Vegetables: Vegetables (Beets, Cabbage ( Red &amp; Green), Cantaloupe, Carrots, Chard (Red, Green, Rainbow), Cilantro, Collards, Cucumbers, Dill, Eggplant ( Globe, Japanese) , Garlic, Garlic Scapes, Kale (Green, Red, Lacinto), Onions (Yellow, Red, Sweet), Peppers (Green, Red, Mini sweet, Jalapeno, Poblano), Radish (Daikon), Squash (Butternut, Carnival, Sweet Dumpling, Spaghetti, Acorn, Kabocha, Delicata, Summer), Tomatoes (Grape, Cherry, Medley), Watermelon, Zucchini, Sweet Corn, Pie Pumpkins)</t>
  </si>
  <si>
    <t>Other: Bread, Cheese, Chocolate, Condiment, Dairy, Distributing (Client Profile Products only), Dried Fruits, Eggs, Grains, Oils, Packaged Meats, Pasta, Prepared Meals, Snack Foods, Soy Products, Tea</t>
  </si>
  <si>
    <t>Other: • 828.1356U Citrus Flavor, NAT WONF, 300.0007U ALMOND FLAVOR, NAT WONF, 303.0006U Apple Flavor, Nat WONF, 303.0008U N-C Apple Flavor, Nat WONF, 303.0023U, 303.0024U APPLE FLAVOR, NAT WONF, 303.0026U Fuji Apple Type Flavor, Natural, 305.0001U N-C Banana Flavor, Nat WONF, 305.0006U BANANA FLAVOR, NAT WONF, 307.0004U MIXED BERRY FLAVOR, NAT WONF, 307.0005U N-C Mixed Berry Type Flavor, Nat, 307.0007U, 307.0039U MIXED BERRY FLAVOR, NAT WONF, 307.0009U MIXED BERRY FLAVOR, NAT WONF, 307.0021U Mixed Berry Flavor, Nat WONF, 307.0036U BERRY FLAVOR, NAT WONF, 307.0037U N-C BERRY FLAVOR, NAT WONF, 308.0003U N-C MIXED BERRY TYPE FLAVOR, NAT, 308.0007U N-C Blackberry Type Flavor, Nat, 308.0009U BLACKBERRY TYPE FLAVOR, NAT, 308.0010U BLACKBERRY TYPE FLAVOR, NAT, 309.0006U N-C BLUEBERRY FLAVOR, NAT WONF, 309.0007U BLUEBERRY FLAVOR, NAT WONF, 309.0009U BLUEBERRY FLAVOR, NAT WONF, 309.0015U Blueberry Flavor, Nat WONF, 309.0021U Blueberry Flavor, NAT WONF, 316.0001U N-C BUTTER TYPE FLAVOR, NAT, 322.0006U Caramel Type Flavor, NAT, 325.0001U N-C DARK CHERRY FLAVOR, NAT WONF, 325.0002U N-C DARK CHERRY FLAVOR, NAT WONF, 325.0003U Cherry Flavor, nat WONF, 325.0005U DARK CHERRY FLAVOR, NAT WONF, 325.0009U Cherry Flavor, Nat WONF, 325.0010U, 325.0022U CHERRY FLAVOR, NAT WONF, 325.0011U Cherry Flavor, Nat WONF, 325.0014U Cherry Flavor, nat WONF, 325.0023U Cherry Flavor, NAT WONF, 326.0003U Chocolate Flavor, Nat WONF, 326.0006U N-C DARK CHOCOLATE FLAVOR, NAT WONF, 326.0007U Chocolate Flavor, Nat WONF, 326.0022U CHOCOLATE FLAVOR, NAT WONF, 326.0024U N-C CHOCOLATE FLAVOR, NAT WONF, 326.0025U N-C CHOCOLATE FLAVOR, NAT WONF, 326.0030U N-C CHOCOLATE FLAVOR, NAT WONF, 326.0033U N-C CHOCOLATE FLAVOR, NAT WONF, 326.0039U N-C Chocolate Flavor, Nat WONF, 326.0041U N-C Chocolate Flavor, Nat WONF, 326.0043U CHOCOLATE FLAVOR, NAT WONF, 326.0044U CHOCOLATE FLAVOR, NAT WONF, 326.0049U N-C Chocolate Flavor, Nat WONF, 327.0574U Cinnamon Flavor, nat WONF, 332.0004U N-C COCONUT TYPE FLAVOR, NAT, 332.0005U N-C Coconut Flavor, Nat WONF, 332.0008U COCONUT FLAVOR, NAT WONF, 332.0014U Coconut Extract in Glycerin, 333.0002U N-C COFFEE FLAVOR, NAT WONF, 333.0005U N-C COFFEE FLAVOR, NAT WONF, 333.0008U Café Latte Type Flavor, Nat, 333.0016U333.0024U Coffee Flavor, NAT WONF, 333.0017U N-C COFFEE FLAVOR, NAT WONF, 339.0002U N-C Cranberry Type Flavor, Nat, 339.0003U Cranberry Type Flavor, Nat, 339.0006U CARROT FLAVOR, NAT WONF, 339.0010U Cranberry Flavor, NAT WONF, 352.0004U Fruit Punch Flavor, NAT WONF, 356.0002U Grape Flavor Nat WONF, 356.0003U Grape Flavor, Nat WONF, 356.0004U Grape Type Flavor, Nat, 356.0009U N-C GRAPE FLAVOR, NAT WONF, 357.0003U GRAPEFRUIT FLAVOR, NAT WONF, 362.0002U LEMON FLAVOR, NAT WONF - MEYER TYPE, 362.0004U N-C LEMON FLAVOR, NAT WONF, 362.0005U N-C LEMON FLAVOR, NAT WONF, 362.0006U LEMON FLAVOR, NAT WONF, 362.0007U LEMON FLAVOR, NAT WONF, 362.0008U Lemonade Flavor, Nat, 362.0010U N-C Lemon Flavor, Nat WONF, 362.0015U N-C Lemon Flavor, Nat WONF, 362.0016U N-C Lemon Flavor, Nat WONF, 362.0017U Lemon Flavor, Nat Organic WONF, 362.0022U, 362.0030U LEMON FLAVOR, NAT WONF, 362.0031U Lemon Flavor, NAT WONF, 363.0002U N-C LEMON LIME FLAVOR, NAT WONF, 363.0003U Lemon Lime Flavor, NAT WONF, 365.0004U Lime Flavor, NAT WONF, 365.0005U LIME FLAVOR, NAT, 365.0008U Lime Flavor Natural, 365.0009U Lime Flavor, Nat WONF, 365.0010U Lime Flavor, Nat WONF, 366.0002U MOJITO TYPE FLAVOR, NAT, 366.0008U CHAMPAGNE TYPE FLAVOR, NAT, 370.0001U MANGO COCONUT TYPE FLAVOR, NAT, 370.0002U N-C MANGO FLAVOR, NAT WONF, 370.0007U Mango Flavor, Nat WONF, 370.0009U MANGO FLAVOR, NAT WONF, 370.0014U MANGO FLAVOR, NAT WONF, 370.0017U MANGO FLAVOR, NAT WONF, 371.0001U MAPLE SYRUP FLAVOR, NAT WONF, 371.0003U MAPLE SYRUP FLAVOR, NAT WONF, 384.0002U Fonatech® Orange Flavor, Nat WONF, 384.0005U N-C Orange Flavor, Nat WONF, 384.0007U ORANGE FLAVOR NAT WONF, 384.0008U FONATECH® JUICY ORANGE FLAVOR, NAT WONF, 384.0010U BLOOD ORANGE FLAVOR, NAT WONF, 384.0021U, 884.2915U ORANGE FLAVOR, NAT WONF, 384.0033U Orange Crème Flavor, Nat WONF, 384.0034U FONATECH® JUICY ORANGE FLAVOR, NAT WONF, 389.0002U N-C PEACH FLAVOR, NAT WONF, 389.0003U Peach Type Flavor, NAT, 389.0004U White Peach Type Flavor, Nat, 389.0005U PEACH TYPE FLAVOR, NAT, 389.0007U N-C Peach Flavor, Nat WONF, 390.0005U N-C Peanut Butter Type Flavor, Nat, 390.0009U PEANUT BUTTER TYPE FLAVOR, NAT, 394.0005U, 394.0009U PEPPERMINT FLAVOR, NAT WONF, 394.0006U SPEARMINT FLAVOR NAT WONF, 395.0002U N-C PINEAPPLE FLAVOR, NAT WONF, 395.0006U N-C Pineapple Flavor, Nat WONF, 395.0008U PINEAPPLE TYPE FLAVOR, NAT, 395.0009U PINEAPPLE TYPE FLAVOR, NAT, 395.0010U, 395.0015U, 895.2262U Pineapple Flavor, NAT WONF, 706.0006U N-C Raspberry Flavor, Nat WONF, 706.0008U N-C RASPBERRY FLAVOR, NAT WONF, 706.0010U RASPBERRY FLAVOR, NAT WONF, 706.0010U Raspberry Flavor, Nat WONF, 706.0017U N-C Raspberry Flavor, Nat WONF, 706.0022U Raspberry Flavor, NAT WONF, 714.0006U Ginger Flavor, NAT WONF, 714.0009U Chai Flavor, NAT WONF, 715.0002U N-C Strawberry Flavor, Nat WONF, 715.0006U STRAWBERRY FLAVOR, NAT WONF, 715.0009U, 715.0042U Strawberry Flavor, Nat WONF, 715.0019U, 715.0043U, 915.3416U Strawberry Flavor, NAT WONF, 715.0027U N-C STRAWBERRY FLAVOR, NAT WONF, 715.0028U N-C Strawberry Flavor, Nat WONF, 715.0032U STRAWBERRY FLAVOR, NAT WONF, 715.0034U Strawberry Flavor, Nat WONF, 715.0035U STRAWBERRY BANANA FLAVOR, NAT WONF, 721.0001U N-C TANGERINE FLAVOR, NAT WONF, 721.0003U TANGERINE FLAVOR, NAT WONF, 721.0006U Tangerine Flavor, NAT WONF, 721.0008U Tangerine Flavor, NAT WONF, 726.0002U N-C VANILLA CRÈME FLAVOR, NAT WONF, 726.0003U N-C VANILLA CREME FLAVOR, NAT WONF GF, 726.0011U N-C VANILLA FLAVOR, NAT WONF, 726.0014U N-C VANILLA FLAVOR, NAT WONF, 726.0023U VANILLA FLAVOR, NAT, 726.0029U VANILLA FLAVOR, NAT WONF, 726.0037U N-C VANILLA CRÈME FLAVOR, NAT WONF, 726.0042U N-C VANILLA TYPE FLAVOR, NAT, 726.0053U N-C VANILLA FLAVOR, NAT WONF, 726.0058U VANILLA FLAVOR, NAT WONF, 726.0059U N-C Vanilla Flavor, nat WONF, 726.0063U N-C Vanilla Flavor Nat WONF, 726.0064U N-C VANILLA FLAVOR, NAT WONF, 726.0065U N-C VANILLA FLAVOR, NAT WONF, 726.0075U VANILLA FLAVOR, NAT, 726.0087U VANILLA REPLACER FLAVOR, NAT, 726.0093U N-C Vanilla Flavor, Nat WONF, 726.0108U VANILLA FLAVOR, NAT WONF, 726.0120U N-C VANILLA CREME FLAVOR, NAT WONF, 726.0125U N-C VANILLA TYPE FLAVOR, NAT, 729.0002U N-C Watermelon Flavor, Nat WONF, 735.0002U Optify™ Juicy Modifier Flavor, NAT, 736.0003U N-C TASTE MODIFIER FLAVOR, NAT, 736.0008U Taste Modifier Flavor, Nat, 744.0004U N-C Tropical Type Flavor, Nat, 744.0014U N-C Pomegranate Flavor, Nat WONF, 744.0021U Yuzu Type Flavor Extract, Nat, 753.0003U GRAPEFRUIT FLAVOR, NAT WONF, 753.0004U Lime Flavor, Nat WONF, 753.0005U Peach Type Flavor, NAT, 753.0010U RASPBERRY FLAVOR, NAT WONF ORGANIC, 753.0011U MIXED BERRY FLAVOR, NAT WONF, 753.0016U Watermelon Type Flavor, NAT, 753.0026U PINEAPPLE TYPE FLAVOR, NAT, 753.0044U BANANA FLAVOR, NAT WONF, 753.0047U BLUEBERRY FLAVOR, NAT WONF, 753.0053U Cherry Flavor, nat WONF, 753.0054U CHOCOLATE FLAVOR, NAT WONF, 753.0055U Chocolate Flavor, Nat WONF, 753.0058U CHOCOLATE FLAVOR, NAT WONF, 753.0060U CHOCOLATE FUDGE TYPE FLAVOR, NAT, 753.0064U Cranberry Type Flavor, Nat, 753.0068U DARK CHERRY FLAVOR, NAT WONF, 753.0077U LEMON FLAVOR, NAT WONF - MEYER TYPE, 753.0083U MAPLE SYRUP FLAVOR, NAT WONF, 753.0091U N-C APPLE FLAVOR NAT WONF, 753.0092U N-C BERRY FLAVOR, NAT WONF, 753.0110U N-C CHOCOLATE FLAVOR, NAT WONF, 753.0113U N-C Chocolate Flavor, Nat WONF, 753.0115U N-C COCONUT TYPE FLAVOR, NAT, 753.0116U N-C Coconut Flavor, Nat WONF, 753.0120U N-C Cranberry Type Flavor, Nat, 753.0123U N-C DARK CHOCOLATE FLAVOR, NAT WONF, 753.0124U N-C DARK CHOCOLATE CAKE TYPE FLAVOR, NAT, 753.0129U N-C Lemon Flavor, Nat WONF, 753.0130 N-C MANGO FLAVOR, NAT WONF, 753.0133U N-C Mixed Berry Type Flavor, Nat, 753.0134U N-C MIXED BERRY TYPE FLAVOR, NAT, 753.0136U N-C PINEAPPLE FLAVOR, NAT WONF, 753.0139U N-C Raspberry Flavor, Nat WONF, 753.0142U N-C Strawberry Flavor, Nat WONF, 753.0149U N-C Tropical Type Flavor, Nat, 753.0162U ORANGE FLAVOR NAT WONF, 753.0163U PEPPERMINT COOKIE TYPE FLAVOR, NAT, 753.0171U STRAWBERRY FLAVOR, NAT WONF, 753.0182U VANILLA FLAVOR, NAT WONF, 753.0193U N-C RED VELVET CAKE TYPE FLAVOR, NAT, 800.2010U N-C ALMOND BUTTER TYPE FLAVOR, NAT, GF, 800.2138U Roasted Almond Flavor, Natural WONF, 803.2270U Apple Flavor, Nat WONF, 803.2390U Apple Flavor, Nat WONF, 803.2401U, 803.2689U GREEN APPLE FLAVOR, NAT WONF, 803.2407U Apple Cinnamon Flavor NAT WONF, 803.2461U Green Apple Flavor, Nat WONF, 803.2478U Apple Cinnamon Flavor, NAT WONF, 803.2545U, 803.2687U Apple Cider Type Flavor, Nat, 803.2563U Red Apple Flavor, NAT WONF, 803.2639U Optify™ Green Apple Flavor, NAT WONF, 803.2688U Green Apple Flavor, NAT WONF, 803.2695U Apple Cinnamon Flavor, NAT WONF, 803.2699U Apple Flavor, NAT WONF, 803.2738U Apple Berry Flavor, NAT WONF, 803.2744U Apple Flavor, Nat WONF, 803.2780U OPTIFY™ Green Apple Flavor, Nat WONF Organic, 805.2073U N-C Banana Flavor, Nat WONF, 805.2124U Banana Flavouring, 805.2202U BANANA FLAVOR, NAT WONF, 805.2244U Banana Bread Flavor, Nat, 807.0567U N-C BERRY FLAVOR, NAT WONF, 807.0665U MIXED BERRY FLAVOR, NAT WONF, 807.0991U N-C Mixed Berry Flavor, Nat WONF (CFT), 807.1069U N-C BERRY FLAVOR, NAT WONF, 807.1089U ELDERBERRY FLAVOR, NAT WONF, 807.1229U MIXED BERRY FLAVOR, NAT WONF, 807.1247U MIXED BERRY FLAVOR, NAT WONF, 807.1386U Elderberry Flavor, NAT WONF, 807.1424U MIXED BERRY FLAVOR, NAT WONF, 807.1467U Truetaste® Mixed Berry Flavor, NAT WONF, 807.1539U Goji Berry Type Flavor, NAT, 807.1609U Elderberry Flavor, Nat WONF, 807.1691U Berry Vanilla Flavor, Natural WONF, 807.1692U Elderberry Flavor, NAT WONF, 807.1731U Mixed Berry Flavor, Nat WONF, 807.1800U Pomegranate Flavor, Nat WONF, 807.1893U N-C Mixed Berry Type Flavor, NAT, 807.1894U N-C Mixed Berry Type Flavor, NAT, 808.0248U BLACKBERRY TYPE FLAVOR, NAT, 808.0263U Blackberry Type Flavor, NAT, 808.0282U Blackberry Type Flavor, NAT, 808.0292U BLACKBERRY FLAVOR, NAT WONF, 808.0316U Blackberry Flavor, Nat WONF, 808.0438U Flavor Cell® Blackberry Flavor, NAT WONF, 808.0489U Blackberry Flavor, Nat WONF, 808.0522U Blackberry Flavor, Nat WONF, 809.2142U Blueberry Flavor, Nat WONF, 809.2171U BLUEBERRY FLAVOR, NAT WONF, 809.2307U BLUEBERRY FLAVOR, NAT WONF, 809.2417U Blueberry Flavor, NAT WONF, 809.2427U BLUEBERRY ACAI FLAVOR, NAT WONF, 809.2453U Blueberry Flavor, Nat WONF, 809.2586U N-C Blueberry Muffin Flavor, NAT, 809.2601U Blueberry Lime Flavor, NAT WONF, 809.2618U Fonatech® Blueberry Muffin Flavor, NAT WONF, 809.2650U Fonatech® Blueberry Muffin Flavor, NAT WONF, 809.2681U Blueberry Flavor, Nat WONF, 814.2079U BROWN SUGAR HONEY TYPE FLAVOR, NAT WONF, 816.1257U Butter Type Flavor, NAT GF, 816.1269U BUTTER FLAVOR, NAT WONF, 816.1283U Brown Butter Type Flavor, Nat, 819.0154U Butterscotch Type Flavor, NAT, 819.0182U Butterscotch Type Flavor, Nat, 819.0182U Butterscotch Type Flavor, Natural, 821.0265U N-C VANILLA FLAVOR, NAT WONF, 821.0535U White Cake Flavor, NAT, 821.0536U, 821.0638U Birthday Cake Flavor, NAT, 821.0648U Carrot Cake Flavor, NAT, 822.2103U CARAMEL TYPE FLAVOR, NAT, 822.2104U CARAMEL TYPE FLAVOR, NAT, 822.2250U SWEET BROWN TYPE FLAVOR, NAT, 822.2387U SWEET BROWN FLAVOR, NAT, 822.2549U Caramel Flavor, NAT WONF, 822.2553U Caramel Macchiato Type Flavor, NAT, 822.2584U Caramel Type Flavor, NAT, 822.2619U Caramel Flavor, NAT WONF, 822.2638U Caramel Type Flavor, NAT, 822.2655U Dulce de Leche Churro Type Flavor, NAT, 822.2730U N-C Caramel Flavor, Nat WONF, 822.2744U Caramel Flavor, Nat WONF Organic, 822.2763U - CARAMEL TYPE FLAVOR, NAT, 823.0329U Fruity Cereal Flavor, NAT, 824.2234U White Cheddar Type Flavor, Nat, 824.2267U Romano Type Flavor, NAT, 825.2127U Cherry Flavor, Nat WONF, 825.2143U TART CHERRY FLAVOR, NAT WONF, 825.2164U Cherry Flavor, Nat WONF, 825.2168U, 825.2738U CHERRY FLAVOR, NAT WONF, 825.2417U Cherry Type Flavor, Nat Organic, 825.2437U CHERRY TYPE FLAVOR, NAT, 825.2440U N-C DARK CHERRY FLAVOR, NAT WONF, 825.2550U Cherry Vanilla Flavor, Nat WONF, 825.2556U Cherry Guava Flavor, Nat WONF, 825.2593U TrueTaste® Dark Cherry Flavor, NAT WONF, 825.2650U Dark Cherry Flavor, Nat WONF, 825.2736U Cherry Flavor, NAT WONF, 825.2753U Cherry Flavor, NAT WONF, 825.2988U - SHIRLEY TEMPLE TYPE FLAVOR, NAT, 826.2068U N-C Chocolate Flavor, Nat WONF, 826.2083U Chocolate Flavor, Nat WONF, 826.2118U CHOCOLATE FLAVOR, NAT WONF, 826.2119U N-C CHOCOLATE FLAVOR, NAT WONF, 826.2248U CHOCOLATE FLAVOR, NAT WONF, 826.2262U CHOCOLATE FLAVOR, NAT WONF, 826.2263U N-C CHOCOLATE FLAVOR, NAT WONF, 826.2369U Chocolate Flavor, Nat WONF, 826.2552U BROWN FLAVOR, NAT, 826.2663U CHOCOLATE FLAVOR, NAT WONF, 826.2666U, 826.4001U CHOCOLATE FLAVOR, NAT WONF, 826.2817U CHOCOLATE FLAVOR, NAT WONF, 826.2824U Chocolate Flavor, NAT, 826.2993U Chocolate Flavor, Nat WONF, 826.3032U Chocolate Flavor, Nat WONF, 826.3163U MILK CHOCOLATE TYPE FLAVOR, NAT, 826.3267U N-C Chocolate Flavor, Nat WONF, 826.3274U Fonatech ® Dried Chocolate Extract, 826.3365U N-C Dark Truffle Chocolate Type Flavor, Nat, 826.3375U Chocolate Mint Cream Type Flavor, NAT, 826.3566U Chocolate Fudge Flavor, Nat WONF, 826.3647U Chocolate Flavor, NAT WONF, 826.3657U Chocolate Flavor Nat WONF, 826.3680U, 826.4002U Chocolate Flavor, NAT WONF, 826.3710U Chocolate Flavor, NAT WONF, 826.3787U Salted Caramel Brownie Flavor, NAT, 826.4005U Hot Cocoa Flavor, NAT WONF, 826.4019U Milk Chocolate Type Flavor, NAT, 826.4051U Chocolate Flavor, NAT WONF, 826.4055U Chocolate Flavor, NAT WONF, 826.4056U Chocolate Flavor, NAT WONF, 826.4160U Chocolate Flavor, NAT WONF, 826.4188U N-C Chocolate Flavor, NAT WONF, 826.4274U Cocoa Flavor, NAT WONF, 826.4293U Chocolate Flavor, Nat WONF, 827.0604U Cinnamon Spice Flavor, Nat WONF, 827.0682U Cinnamon Flavor, NAT WONF, 827.0772U Horchata Flavor, NAT, 827.0797U Cinnamon Flavor, NAT WONF, 827.0806U Cinnamon Flavor, Nat Organic, 828.1099U CLEMENTINE FLAVOR, NAT WONF, 828.1197U Citrus Flavor, NAT WONF, 828.1346U Flavorcell® Clementine Flavor, Natural WONF, 828.1382U - TANGELO LEMON TYPE FLAVOR, NAT, 829.0024U N-C Cloud, 831.2014U MOSCOW MULE TYPE FLAVOR NAT, 832.0395U COCONUT FLAVOR, NAT WONF, 832.0526U Coconut Type Flavor, NAT, 833.2049U - ESPRESSO TYPE FLAVOR, NAT, 833.2203U Espresso Type Coffee Flavor, Nat, 833.2213U COFFEE FLAVOR, NAT WONF, 833.2214U Coffee Flavor, Nat WONF, 833.2228U COFFEE FLAVOR NAT WONF, 833.2246U Café Latte Type Flavor, Nat, 833.2247U Coffee Latte Type Flavor, Nat, 833.2289U Vanilla Latte Type Flavor, NAT, 833.2290U Vanilla Latte Type Flavor, NAT, 833.2488U - COFFEE OAT MILK TYPE FLAVOR, NAT, 835.2121U Berry Cola Type Flavor, Nat, 836.1047U COOKIE TYPE FLAVOR, NAT, 836.1308U Oatmeal Cookie Flavor, NAT, 836.1453U Iced Oatmeal Raisin Cookie Type Flavor, NAT, 836.1497U Iced Oatmeal Cookie Flavor, NAT, 836.1507U Cookies &amp; Double Crème Flavor, NAT, 836.1535U N-C Vanilla Cookie Flavor, NAT WONF, 836.1614U Cookies and Cream Type Flavor, Nat, 839.0333U Cranberry Flavor, NAT WONF, 839.0366U Cranberry Flavor, Nat WONF, 840.0099U - CREAM TYPE FLAVOR, NAT, 840.0441U Cream Type Flavor, NAT, 840.0458U Sweet Cream Type Flavor, Nat, 840.0470U Cream Type Flavor, Nat, 850.0130U Lavender Flavor, NAT, 850.0147U Chamomile Flavor, NAT WONF, 850.0170U Lavender Flavor, NAT, 850.0227U Juniper Berry Flavor, Nat WONF, 850.0234U Lavender Flavor, NAT WONF, 850.0245U Chamomile Flavor, NAT WONF, 850.0278U N-C Elderflower Type Flavor, NAT, 850.0299U Hibiscus Type Flavor, Nat, 852.2254U Fruit Punch Flavor, Natural WONF, 852.2269U Fruit Punch Flavor, NAT, 852.2528U Fruit Punch Flavor, Nat WONF, 855.0204U SWEET BROWN FLAVOR, NAT WONF, 856.2217U GRAPE FLAVOR, NAT WONF, 856.2226U Grape Flavor, Nat WONF, 856.2237U, 856.2376U GRAPE FLAVOR, NAT WONF, 856.2257U GRAPE FLAVOR, NAT WONF, 856.2481U Grape Flavor, Nat WONF, 857.0100U Grapefruit Flavor, NAT WONF, 857.0134U GRAPEFRUIT FLAVOR, NAT WONF, 857.0194U Grapefruit Flavor, Nat WONF, 857.0225U Grapefruit Flavor, NAT WONF, 857.0227U Grapefruit Flavor, NAT WONF, 857.0294U Grapefruit Flavor, NAT WONF, 857.0295U Grapefruit Flavor, NAT WONF, 857.0322U Grapefruit Flavor, Nat WONF, 857.0357U Grapefruit Flavor, Nat WONF, 859.0330U Hazelnut Type Flavor, NAT, 859.0439U Hazelnut Flavor, NAT WONF, 860.0111U Bergamot Flavor, NAT, 860.0166U ORANGE PUNEAPPLE BASIL FLAVOR, NAT WONF, 860.0180U Cardamom Flavor, Nat Organic, 860.0238U Genovese Basil Type Flavor, NAT, 861.0433U N-C Honey Flavor, NAT WONF, 861.0830U Honey Flavor WONF, 861.0904U N-C Honey Flavor, NAT WONF, 862.2052U LEMON FLAVOR, NAT WONF, 862.2097U LEMON FLAVOR, NAT WONF - MEYER TYPE, 862.2220U, 862.3575U Lemon Flavor, Nat WONF, 862.2223U, 862.3577U Lemon Flavor, NAT, 862.2365U FOANTECH® LEMON CRÈME FLAVOR, NAT WONF, 862.2453U, 862.3576U LEMON FLAVOR, NAT WONF, 862.2519U LEMON GINGER FLAVOR, NAT WONF, 862.3240U N-C Lemon Flavor, NAT, 862.3251U Lemon Flavor, NAT WONF, 862.3257U Fonatech® Dried Lemon Juice Concentrate and Extract, 862.3279U Lemon Flavor Nat WONF, 862.3281U Lemon Flavor, NAT WONF, 862.3287U, 862.3578U Lemon Flavor, NAT WONF, 862.3298U Citrus Flavor, Nat WONF, 862.3302U Lemon Flavor, NAT WONF, 862.3365U Lemon Type Flavor NAT, 862.3372U Lemon Flavor, Natural WONF, 862.3467U Lemonade Type Flavor, NAT, 862.3509U Lemonade Flavor, NAT, 862.3541U Lemon Lavender Flavor, NAT WONF, 862.3544U Lemon Flavor, NAT, 862.3564U Lemonade Type Flavor, NAT, 862.3653U Lemon Flavor, NAT WONF, 862.3829U Lemon Extract, Nat., 862.3831U N-C Lemon Flavor, Nat, 863.2161U Lemon Lime Flavor, Natural WONF Organic, 863.2162U Lemon Lime Flavor, Nat WONF, 865.0204U Lime Flavor, Nat WONF, 865.0241U Lime Flavor, NAT WONF, 865.0266U LIME FLAVOR, NAT, 865.0373U LIME JUNIPER FLAVOR, NAT WONF, 865.0410U Key Lime Type Flavor, NAT, 865.0414U TrueTaste® Lime Flavor, NAT WONF, 865.0418U, 865.0533U Key Lime Type Flavor, NAT, 865.0515U Lime Flavor, NAT Organic, 867.0283U AMARETTO TYPE FLAVOR, NAT, 870.2114U MANGO FLAVOR, NAT WONF, 870.2127U MANGO FLAVOR, NAT WONF, 870.2218U MANGO FLAVOR, NAT WONF, 870.2224U, 870.2516U Mango Flavor, NAT WONF, 870.2299U Mango Flavor, Nat WONF, 870.2342U Mango Flavor, Nat WONF, 870.2354U N-C Ataulfo Mango Type Flavor, NAT, 870.2580U - MANGO FLAVOR, NAT WONF, 870.2600U Mango Flavor, Nat WONF, 870.2636U Mango Type Flavor, Nat, 870.2646U N-C Mango Flavor, Nat WONF, 871.2026U N-C MAPLE BROWN SUGAR TYPE FLAVOR, NAT, 871.2066U MAPLE SYRUP FLAVOR, NAT WONF, 871.2084U MAPLE NUT TYPE FLAVOR, NAT, 871.2315U N-C MAPLE BROWN SUGAR TYPE FLAVOR, NAT, 871.2317U MAPLE BROWN SUGAR TYPE FLAVOR, NAT, 871.2322U N-C Browned Maple Sugar Flavor, NAT WONF, 871.2325U MAPLE BROWN SUGAR TYPE FLAVOR, NAT, 871.2331U MAPLE SPICE TYPE FLAVOR, NAT, 871.2345U MAPLE BROWN SUGAR FLAVOR, NAT WONF, 871.2357U MAPLE BROWN SUGAR FLAVOR, NAT WONF, 871.2363U Maple Flavor, Nat WONF, 871.2378U Maple Brown Sugar Flavor, Nat WONF, 871.2406U Maple Syrup Flavor, NAT WONF, 871.2456U Maple Extract, NAT, 871.2511U Maple Syrup Flavor, Nat WONF, 873.2169U Shrimp Type Flavor NAT, 874.0247U N-C Melon Flavor, NAT WONF, 876.0135U N-C Milk Type Flavor, NAT, 876.0267U Horchata Type Flavor, NAT, 876.0268U Optify™ Milk Type Flavor, NAT, 877.0609U Lemongrass Mint Flavor, Nat WONF, 877.0705U Mint Flavor, Nat WONF, 878.0337U Samocha Flavor, NAT WONF, 881.0115U N-C Truffle Type Flavor, Nat, 882.0565U, 882.0623U N-C Toasted Sesame Type Flavor, NAT, 882.0616U Roasted Nutty Flavor, NAT, 884.2271U BLOOD ORANGE FLAVOR, NAT WONF, 884.2346U Blood Orange Flavor, NAT WONF, 884.2499U, 884.2916U ORANGE FLAVOR, NAT WONF, 884.2507U ORANGE FLAVOR, NAT WONF, 884.2751U Juicy Orange Flavor, NAT WONF, 884.2881U Blood Orange Flavor, NAT WONF, 884.3024U Blood Orange Flavor, Nat WONF, 884.3121U Orange Creamsicle Type Flavor, Nat, 887.0112U Guava Flavor, NAT WONF, 888.0106U PASSIONFRUIT FLAVOR, NAT, 889.2069U N-C PEACH FLAVOR, NAT WONF, 889.2231U Peach Type Flavor, NAT, 889.2265U N-C PEACH FLAVOR, NAT WONF, 889.2386U Peach Flavor, Nat WONF, 889.2396U PEACH FLAVOR, NAT WONF, 889.2399U PEACH FLAVOR, NAT WONF (WHITE PEACH TYPE), 889.2456U PEACH FLAVOR, NAT WONF, 889.2460U PEACH FLAVOR, NAT WONF, 889.2493U N-C Citrus Peach Mango Flavor, Nat WONF, 889.2524U Peach Flavor, Nat WONF, 889.2574U Peach Mango Flavor NAT WONF, 889.2575U Peach Mango Flavor NAT WONF, 889.2586U Peach Tea Flavor, NAT WONF, 889.2716U Grilled Peach Flavor, NAT WONF, 889.2857U Peach Flavor, Nat WONF, 890.0913U PEANUT TYPE FLAVOR, NAT, 890.1142U Peanut Butter Type Flavor, NAT, 890.1309U Peanut Butter Type Flavor, NAT, 891.0078U Pear Type Flavor, NAT, 892.2052U Salted Caramel Pecan Cluster Type Flavor, Nat, 893.3617U JALAPENO TYPE FLAVOR, NAT, 894.2050U PEPPERMINT FLAVOR, NAT WONF, 894.2107U SPEARMINT FLAVOR NAT WONF, 894.2187U N-C Peppermint Flavor, NAT, 894.2200U, 894.2241U Peppermint Flavor, NAT WONF, 894.2240U Peppermint Flavor, NAT WONF, 895.2061U PINEAPPLE TYPE FLAVOR, NAT, 895.2083U Pineapple Flavor, NAT WONF, 895.2093U N-C Pineapple Flavor, Nat WONF, 895.2124U Pineapple Mango Flavor, Natural WONF, 895.2128U PINEAPPLE PASSIONFRUIT FLAVOR, NAT WONF, 895.2129U Pineapple Flavor, Nat WONF, 895.2132U Pineapple Type Flavor, NAT, 895.2316U Pina Colada Type Flavor, NAT, 898.0164U Flavor Cell ® Plum Flavor, Nat WONF, 898.0175U Plum Flavor, Nat WONF, 900.0109U Sweet Potato Pie Type Flavor, NAT, 903.0210U PUMPKIN PIE TYPE FLAVOR, NAT, 903.0224U - N-C PUMPKIN SPICE TYPE FLAVOR, NAT, 903.0297U Pumpkin Pie Type Flavor, NAT, 903.0306U Pumpkin Pie Type Flavor, NAT, 903.0310U Pumpkin Pie Type Flavor, NAT, 906.0430U N-C BERRY FLAVOR, NAT WONF, 906.2121U RASPBERRY FLAVOR, NAT WONF, 906.2157U Raspberry Flavor, NAT WONF, 906.2162U N-C Raspberry Flavor, Nat WONF, 906.2391U Raspberry Type Flavor, NAT, 906.2393U RASPBERRY FLAVOR, NAT WONF, 906.2613U Raspberry Flavor, NAT WONF, 906.2627U Raspberry Flavor, NAT WONF, 906.2631U Raspberry Type Flavor, NAT, 906.2647U Raspberry Lemon Flavor, Nat WONF, 906.2670U Raspberry Flavor, NAT WONF, 909.2077U Vanilla Root Beer Type Flavor, Nat Organic, 914.0391U Ginger Flavor, NAT WONF, 914.0523U Sage Flavor, Nat WONF, 914.0542U Rosemary Extract in Sunflower Oil, 914.0632U N-C GINGERBREAD FLAVOR, NAT WONF, 914.0667U Ginger Flavor, NAT, 914.0782U Turmeric Flavor, NAT WONF, 914.0793U Ginger Extract, Nat Organic, 914.0825U Ginger Flavor, NAT WONF, 915.2162U STRAWBERRY FLAVOR, NAT WONF, 915.2294U STRAWBERRY BANANA FLAVOR, NAT WONF, 915.2459U STRAWBERRY FLAVOR, NAT WONF, 915.2525U STRAWBERRY FLAVOR, NAT WONF, 915.2584U STRAWBERRY BANANA FLAVOR, NAT WONF, 915.2598U, 915.3414U STRAWBERRY FLAVOR, NAT WONF, 915.2702U STRAWBERRY BANANA FLAVOR, NAT WONF, 915.2866U Strawberry Flavor, NAT WONF, 915.2881U STRAWBERRY FLAVOR, NAT WONF, 915.2910U STRAWBERRY PINEAPPLE FLAVOR, NAT WONF, 915.2916U STRAWBERRY FLAVOR, NAT WONF, 915.2962U Strawberry Flavor, Nat WONF, 915.3027U Strawberry Kiwi Type Flavor, Nat, 915.3184U Strawberry Flavor, NAT WONF, 915.3343U Strawberry Flavor, NAT WONF, 915.3345U Strawberry Flavor, NAT WONF, 915.3356U Strawberry Flavor, NAT WONF, 915.3393U Strawberry Flavor, NAT WONF, 915.3408U N-C Strawberry Kiwi Flavor, NAT WONF, 915.3461U Strawberry Rhubarb Pie Type Flavor, NAT, 915.3492U Strawberry Crème Flavor, NAT WONF, 915.3531U Strawberry Flavor Nat WONF, 915.3612U Strawberry Flavor, Nat WONF, 915.3825U N-C Strawberry Kiwi Flavor, Nat WONF, 916.1030U Optify™ Sweetness Modifier Flavor, NAT, 921.2017U N-C TANGERINE FLAVOR, NAT WONF, 921.2044U Tangerine Flavor, Nat WONF, 922.0287U N-C CHAI TYPE FLAVOR, NAT, 922.0324U N-C CHAI TYPE FLAVOR, NAT, 922.0348U N-C CHAI FLAVOR, NAT WONF, 922.0608U Tea Flavor, Natural WONF, 922.0621U, 922.0668U Chai Tea Latte Type Flavor, NAT, 924.0780U Tomato Flavor, NAT WONF, 924.0799U Tomato Powder, 924.0815U Sundried Tomato Type Flavor, NAT, 926.2074U N-C VANILLA CRÈME FLAVOR, NAT WONF GF, 926.2076U N-C Vanilla Crème Flavor, nat WONF GF, 926.2085U N-C VANILLA CREME FLAVOR, NAT WONF, 926.2089U N-C VANILLA CREME FLAVOR, NAT WONF, 926.2098U N-C FRENCH VANILLA FLAVOR, NAT WONF, 926.2256U VANILLA FLAVOR, NAT, 926.2298U Vanilla Flavor, NAT, 926.2363U VANILLA FLAVOR, NAT WONF, 926.2449U Vanilla Cookie Dough Flavor, Nat WONF, 926.2485U N-C FRENCH VANILLA FLAVOR, NAT WONF, 926.2569U VANILLA FLAVOR, NAT WONF, 926.2699U N-C FRENCH VANILLA FLAVOR, NAT WONF, 926.2759U Vanilla Flavor, NAT WONF, 926.2760U, 926.4330U Vanilla Type Flavor, NAT, 926.2791U Vanilla Flavor, NAT WONF, 926.2820U N-C VANILLA CRÈME FLAVOR, NAT WONF, 926.2821U N-C Vanilla Flavor, Nat WONF, 926.2822U N-C Vanilla Crème Flavor, Nat WONF, 926.3020U Vanilla Flavor, nat WONF, 926.3023U N-C VANILLA FLAVOR, NAT WONF, 926.3031U FRENCH VANILLA FLAVOR, NAT WONF, 926.3032U Vanilla Flavor, nat WONF, 926.3152U VANILLA FLAVOR, NAT WONF, 926.3168U Truetaste® Dried Vanilla Extract, 926.3197U Vanilla Extractives, 926.3250U VANILLA TYPE FLAVOR, NAT, 926.3293U VANILLA FLAVOR, NAT WONF, 926.3302U VANILLA CRÈME FLAVOR, NAT WONF, 926.3394U Vanilla Extract, 926.3417U Vanilla Custard Type Flavor, NAT, 926.3491U VANILLA FLAVOR, NAT WONF ORGANIC, 926.3546U N-C VANILLA CRÈME FLAVOR, NAT WONF, 926.3551U VANILLA FLAVOR, NAT WONF, 926.3566U VANILLA FLAVOR, NAT WONF, 926.3571U Vanilla Ice Cream Type Flavor, Nat, 926.3572U Vanilla Flavor, NAT WONF, 926.3611U Vanilla Type Flavor, Nat, 926.3617U VANILLA FLAVOR, NAT WONF, 926.3676U Vanilla Custard Type Flavor, 926.3689U VANILLA FLAVOR, NAT WONF, 926.3694U N-C Vanilla Type Flavor, Nat, 926.3730U Vanilla Flavor, Nat WONF, 926.3750U Vanilla Chai Flavor, Nat WONF, 926.3751U Vanilla Chai Flavor, Nat WONF, 926.3782U Vanilla Flavor, Nat WONF, 926.3878U Vanilla Flavor, Nat WONF, 926.3943U Dried Vanilla Extract, 926.3959U Vanilla Flavor, Nat WONF, 926.4052U Vanilla Ice Cream Type Flavor, NAT, 926.4054U Vanilla Flavor, NAT WONF, 926.4072U Optify™ Vanilla Flavor, NAT WONF, 926.4075U Vanilla Crème Flavor, NAT WONF, 926.4090U French Vanilla Type Flavor, NAT, 926.4092U N-C Vanilla Flavor, NAT WONF, 926.4277U Tahitian Vanilla Type Flavor, NAT, 926.4309U N-C French Vanilla Flavor, NAT WONF, 926.4337U N-C Vanilla Creme Flavor, Nat WONF, 926.4350U N-C French Vanilla Flavor, NAT WONF, 926.4350U N-C French Vanilla Flavor, Nat WONF, 926.4374U Vanilla Flavor, NAT WONF, 926.4375U Optify™ Vanilla Flavor, NAT WONF, 926.4378U Vanilla Chai Latte Type Flavor, NAT, 926.4396U Vanilla Flavor, NAT WONF, 926.4398U Vanilla Creme Flavor, Natural WONF, 926.4551U Vanilla Powder, NAT, 926.4593U Optify™ Vanilla Flavor, NAT WONF, 927.0060U Nat Flavor for Fig Balsamic, 929.0411U Watermelon Flavor, Nat WONF, 929.0543U Watermelon Flavor, Nat WONF, 929.0657U Watermelon Type Flavor, NAT, 929.0658U Watermelon Type Flavor, NAT, 931.0149U Natural Flavor for White Wine, 931.0238U Red Wine Type Flavor, NAT, 936.2062U TASTE MODIFER FLAVOR, NAT, 936.2198U SWEETNESS MODIFIER FLAVOR, NAT, 936.2436U SWEETNESS MODIFIER FLAVOR, NAT, 936.2491U SWEETNESS MODIFIER FLAVOR, NAT, 936.2533U SWEETNESS MODIFIER FLAVOR, NAT, 936.2700U SWEETNESS MODIFIER FLAVOR, NAT, 936.2764U Natural Mouthfeel Modifier Flavor, 936.2916U TASTE MODIFIER FLAVOR, NAT, 936.3032U BITTERNESS MASKING FLAVOR, NAT WONF, 936.3154U Masking Flavor, nat, 936.3155U MASKING FLAVOR, NAT, 936.3227U OPTIFY™ FONATECH® Juicy Modifying Flavor, Natural, 936.3320U Pea Protein Modifier Flavor, Nat, 936.3374U MASKING FLAVOR, NAT, 936.3380U TASTE MODIFIER FLAVOR, NAT, 936.3439U TASTE MODIFIER FLAVOR, NAT, 936.3470U Optify ™ Sweetness Modifier Flavor, Nat, 936.3474U SWEETNESS MODIFIER FLAVOR, NAT, 936.3490U TASTE MODIFER FLAVOR, NAT, 936.3493U Optify™ Taste Modifier Flavor, NAT, 936.3516U Optify™ Masking Flavor, NAT, 936.3552U Optify™ Taste Modifier Flavor, NAT, 936.3612U PEA PROTEIN MODIFIER FLAVOR, NAT, 936.3637U TASTE MODIFIER FLAVOR, NAT, 936.3690U YEAST TYPE FLAVOR, NAT, 936.3696U Optify™ Bitterness Masking Flavor, NAT WONF, 936.3697U JUICY MODIFIER FLAVOR, NAT, 936.3699U Nectarine Type Flavor, Nat, 936.3705U Optify™ Sweetness Modifier Flavor, Nat, 936.3738U Optify™ Bitterness Masking Flavor, NAT, 936.3770U Optify ™ Natural Mouthfeel Modifier Flavor, 936.3779U Sweetness Modifier Flavor, Nat, 936.3804U Optify™ Protein Modifier Flavor, NAT, 936.3831U Optify™ Taste Modifier Flavor, NAT, 936.3866U Horseradish Flavor, Nat WONF, 936.3867U Optify™ Taste Modifier Flavor, NAT, 936.3868U Optify™ Bitterness Masking Flavor NAT, 936.3882U - OPTIFY™ JUICY MODIFYING FLAVOR, NAT, 936.3919U Optify™ Taste Modifier Flavor, Nat, 936.3934U Optify™ Juicy Modifier Flavor, NAT, 936.4004U Optify™ Sweetness Modifier Flavor, NAT, 936.4391U Brown Baked Flavor, NAT, 936.4521U Optify™ Dairy Enhancer Type Flavor, NAT, 936.4646U OPTIFY™ MOUTFEEL MODIFER FLAVOR, NAT, 936.4650U OPTIFY™ TASTE MODIFIER FLAVOR, NAT, 936.4665U OPTIFY™ Natural Mouthfeel Modifier Flavor, 936.4671U Optify™ Natural Mouthfeel Modifier Flavor, 936.4737U Optify ™ Taste Modifier Flavor, NAT, 936.4798U Optify™ Masking Flavor, NAT, 936.4813U Optify™ Bitterness Masking Flavor, NAT, 936.4814U Pomegranate Flavor, NAT WONF, 936.4995U OPTIFY™ Masking Flavor, Natural, 936.5076U OPTIFY™ SWEETNESS MODIFIER FLAVOR, NAT ORGANIC, 936.5245U Optify™ Pea Protein Modifier Flavor, NAT, 936.5289U Optify™ Taste Modifier Flavor, Nat, 940.0131U Garlic Flavor, NAT WONF, 940.0144U Roasted Garlic Flavor, NAT WONF, 942.0112U Ice Cream Booster Flavor, NAT, 942.0113U VANILLA ICE CREAM TYPE FLAVOR, NAT, 942.0127U Sweet Crème Flavor, NAT, 944.2353U Dragonfruit Type Flavor, Nat, 944.2367U Tropical Flavor, Nat WONF, 944.2494U Lychee Flavor, NAT WONF, 944.2577U, 828.1291U Yuzu Type Flavor, NAT, 944.2652U Dragonfruit Type Flavor, NAT Organic, 944.2706U Tamarind Type Flavor, NAT, 944.2711U Pomegranate Flavor, Nat WONF, 944.2719U Guava Flavor, NAT WONF, 947.0430U BEEF ROAST TYPE FLAVOR, NAT, 947.0589U Beef Type Flavor, NAT, 947.0593U Filet Mignon Type Flavor, Nat, 948.0267U BACON TYPE FLAVOR, NAT, 948.0268U, 948.0517U Bacon Type Flavor, NAT, 948.0442U Bacon Type Flavor, NAT, 949.0497U Chicken Type Flavor, NAT, 949.0522U Chicken Pot Pie Type Flavor, NAT, 949.0581U Roasted Chicken Type Flavor, NAT, 953.1441U N-C Chai Spice Flavor, NAT WONF, 953.1474U NUT FLAVOR, NAT WONF, 953.1544U N-C French Vanilla Flavor, NAT WONF, 999.2235U Allulose Cocoa Concentrate 15%, 999.2243U Blend Cinnamon Flavor, NAT WONF, 999.2245U Blend Chocolate Flavor, NAT WONF, 999.2267U Blend Chocolate Topical, 999.2268U Blend Cinnamon Topical, 999.2293U Blend - Chocolate Topical</t>
  </si>
  <si>
    <t>Other: Beverage (Super Shake Cocoa), Beverage (Super Shake Vanilla), Dairy Alternative (Dairy Free Creamer Cinnamon Vanilla), Dairy Alternative (Dairy Free Plain Unsweetened Creamer), Dairy Alternative (Dairy Free Sour Cream), Dairy Alternative (Dairy Free Sweet &amp; Creamy Creamer), Dairy Alternative (Dairy-Free Greek Style Cashewmilk Yogurt, Unsweetened Plain), Nut Products (Cashew Coconut Dairy-Free Shake Cocoa), Nut Products (Cashew Coconut Dairy-Free Shake Coffee), Nut Products (Cashew Coconut Dairy-Free Shake Strawberry), Nut Products (Cashew Coconut Dairy-Free Shake Unsweetened Coconut), Nut Products (Cashew Coconut Dairy-Free Shake Vanilla Cinnamon), Nut Products (Cashew Milk - Unsweetened Plain [8 14558 02048 5]), Nut Products (Oatmilk - Unsweetened Plain), Nut Products (Probiotic Plant Shake - Blackberry), Nut Products (Probiotic Plant Shake - Mango), Nut Products (Probiotic Smoothie - Strawberry), Nut Products (Protein Plant Shake - Nuts &amp; Chocolate), Nut Products (Protein Plant Shake - Nuts &amp; Vanilla), Yogurt (Cashewmilk Probiotic Yogurt Alternative - Plain Unsweetened), Yogurt (Cashewmilk Probiotic Yogurt Alternative - Vanilla Bean), Yogurt (Cashewmilk Yogurt - Peach (Pouch)), Yogurt (Cashewmilk Yogurt - Strawberry Banana), Yogurt (Cashewmilk Yogurt (Cashew Yogurt Alternative) - Vanilla Bean), Yogurt (Cashewmilk Yogurt (Cashew Yogurt Alternative)- Vanilla), Yogurt (Creamy Cashew Cultured Yogurt Alternative - Plain Unsweetened with Coconut Cream [72392]), Yogurt (Creamy Cashew Cultured Yogurt Alternative - Strawberry with Coconut Cream [63412]), Yogurt (Creamy Cashew Cultured Yogurt Alternative - Vanilla Bean with Coconut Cream [64313]), Yogurt (Dairy-free Cashewmilk - Blueberry), Yogurt (Dairy-free Cashewmilk - Peach), Yogurt (Dairy-free Cashewmilk (Cashew Yogurt Alternative)- Unsweetened Plain), Yogurt (Dairy-free Cashewmilk- Strawberry), Yogurt (Kids Dairy-free Cashewmilk - Berry Berry), Yogurt (Kids Dairy-free Cashewmilk - Mango), Yogurt (Kids Dairy-free Cashewmilk - Strawberry), Yogurt (Probiotic Cashewmilk Yogurt - Blueberry), Yogurt (Probiotic Cashewmilk Yogurt - Honey), Yogurt (Probiotic Cashewmilk Yogurt - Honey Alternative), Yogurt (Probiotic Cashewmilk Yogurt - Mango), Yogurt (Probiotic Cashewmilk Yogurt - Peach), Yogurt (Probiotic Cashewmilk Yogurt - Strawberry), Yogurt (Probiotic Cashewmilk Yogurt - Unsweetened Plain), Yogurt (Probiotic Cashewmilk Yogurt - Vanilla Bean), Yogurt (Probiotic Cashewmilk Yogurt (Drinkable Cashew Yogurt Alternative) - Blueberry), Yogurt (Probiotic Cashewmilk Yogurt (Drinkable Cashew Yogurt Alternative) - Mango), Yogurt (Probiotic Cashewmilk Yogurt (Drinkable Cashew Yogurt Alternative) - Strawberry), Yogurt (Probiotic Cashewmilk Yogurt (Drinkable Cashew Yogurt Alternative) - Strawberry Banana), Yogurt (Probiotic Cashewmilk Yogurt (Drinkable Cashew Yogurt Alternative) - Unsweetened Plain), Yogurt (Probiotic Cashewmilk Yogurt (Drinkable Cashew Yogurt Alternative) - Vanilla Bean)</t>
  </si>
  <si>
    <t>Other: Livestock Feed - Dairy Blend</t>
  </si>
  <si>
    <t>Oils &amp; Oleoresins: Oils (CARM ORG OLIVE OIL), Oils (COSTANTINO (LAMETIA) EVOO), Oils (PAREJA ORG. OLIVE OIL); Nuts/Seeds: Almonds (ORG MARCONAS RETAIL); Dairy: Cheese (ORG MANCHEGO RAW WDG), Cheese (ORG MANCHEGO RAW WHL), Cheese (ORG PARM. REGGIANO QTRS), Cheese (ORG PARM. REGGIANO WHEEL); Condiments and Sweeteners: Jelly (ORG MEMBRILLO)</t>
  </si>
  <si>
    <t>Fruits/Vegetables: Aloe Vera, Apple, Apricots, Artichokes, Arugula, Asparagus, Avocado, Bananas, Beans, Beets, Cider Beverage, Cold Brew Beverage, Creamer Beverage, Cultured Dairy Beverage, Dairy Beverage, Kombucha Beverage, Wellness Shots Beverage, Smoothies Beverage, Blackberries, Blueberries, Bok Choy, Broccoli, Brussels Sprouts, Burdock Root, Butter, Cabbages, Cactus, Cane Sugar, Cantaloupe, Caramel Dip, Carrots, Cauliflower, Celeriac, Celery, Chard, Cheese, Cherries, Chocolate Dip, Coconut, Corn, Cranberries, Creamer, Croutons, Cucumbers, Dates, Diced Vegetables, Dragon Fruit, Dried Fruits &amp; Vegetables, Dry Dessert Mixes, Dry Seasoning Mix, Dry Soup Mixes, Edible Flowers, Egg Nog, Eggfruit, Eggplant, Eggs, Endive, Escarole, Fennel, Fermented Foods, Figs, Fruit Chunks/Diced, Garlic, Ginger, Ginger Root, Grapefruit, Grapes, Green Beans, Greens Collard, Greens Dandelion, Greens Mustard, Guacamole, Herb Mix, Basil Herbs, Bay Leaves Herbs, Chives Herbs, Cilantro Herbs, Curry Leaf Herbs, Dill Herbs, Lemon Grass Herbs, Marjoram Herbs, Mint Herbs, Oregano Herbs, Parsley Herbs, Rosemary Herbs, Sage Herbs, Tarragon Herbs, Thyme Herbs, Honeydew Melon, Horseradish, Jackfruit, Jicama, Juice, Kale, Kiwano Melon, Kiwi, Kiwiberries, Kohlrabi, Kumquats, Leeks, Lemons, Butter Lettuce, Green Leaf Lettuce, Iceberg Lettuce, Red Leaf Lettuce, Romaine Lettuce, Limequat, Limes, Longan Fruit, Lychee Fruits, Mamey, Mandarins, Mangoes, Bacon Meats, Beef Meats, Chicken Meats, Deli Meats, Ham Meats, Hot Dogs Meats, Pepperoni Meats, Pork Meats, Roast Beef Meats, Sausage Meats, Turkey Meats, Galia Meats, Hami Meats, Microgreens, Milk, Mushrooms, Nectarines, Nuts, Onions, Oranges, Papayas, Parsnips, Passion Fruit, Peaches, Pears, Bell Peppers, Hot Peppers, Persimmons, Pineapples, Plums, Pluots, Polenta, Pomegranates, Potatoes, Sweet Potatoes, Pummelos, Queso Dip, Radicchio, Radishes, Rambutan, Raspberries, Rhubarb, Romanesco, Rutabaga, Salad Dressings, Salads, Sapodilla, Scallions, Spinach, Sprouts, Summer Squash, Winter Squash, Starfruit, Steamed Lentils, Strawberries, Sunchoke, Tangelos, Tofu, Tomatillos, Sundried Tomato, Tomatoes, Cherry/Grape Tomatoes, Tortillas, Turmeric, Turnips, Vegan Meats, Vegetable Dip, Vegetable Snacks, Vegetable Soup Mix, Vegetable Spirals, Watercress, Watermelons, Yogurt, Yuca</t>
  </si>
  <si>
    <t>Processed  Items: Coconut Chips Toasted (Unsweetened)*, Desiccated Coconut (Medium/Macaroon/Fine/Extra Fine/Blend)*, Golden toasted unsweetened coconut*, Non-Dairy Milk (Aseptic Coconut Cream (single-ingredient)*), Non-Dairy Milk (Aseptic Coconut Milk (Single)*), Non-Dairy Milk (Coconut Cream*), Non-Dairy Milk (Coconut milk), Non-Dairy Milk (Creamed coconut); Oils &amp; Oleoresins: Oils (Virgin Coconut Oil*); Beverage Related Products: Aseptic Coconut Water*, Concentrates (Coconut Concentrate*), Concentrates (Coconut water concentrate*), Frozen Coconut Water*, Raw Filtered Chilled Coconut Water*, Raw Filtered Chilled Coconut Water*</t>
  </si>
  <si>
    <t>Other: Apples (Sliced Gala), Dairy (Milk), Distributing (Client Profile Products only), Fresh Produce (Fruits/Vegetables), Slicing (Client Profile Products only)</t>
  </si>
  <si>
    <t>Other: Butter (Dairy Butter), Distributing (Client Profile Products only) (Non-Retail), Fruits (Apple Gala), Fruits (Berry Strawberry), Vegetables (Arrugula Baby 3/1#), Vegetables (Carrot Baby Peeled 25#), Vegetables (Celery 24ct), Vegetables (Kale Lacinato), Vegetables (Lettuce Romaine Heart 12/3), Vegetables (Mesculum Mix), Vegetables (Pepper Jalapeno), Vegetables (Spinach Baby)</t>
  </si>
  <si>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</si>
  <si>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</si>
  <si>
    <t>Other: Beverage, Chocolate, Dairy, Grains, Nuts, Produce</t>
  </si>
  <si>
    <t>Other: Dairy (Milk), Distributing (Client Profile Products only) (Wholesale/Non-retail), Fresh Produce (Fruits/Vegetables)</t>
  </si>
  <si>
    <t>Other: Adobo Seasoning (M602968), Alfalfa Leaf C/S (M600696), Alfalfa Leaf Powder (M600773), Alfredo Sauce Mix, All Purpose Seasoning, Spice Right (M604872), All Season Salt (M604816), Allspice (M602677), Allspice Ground (M602721), Ancho Chili Powder, Angelica Root C/S (M600381), Anise Seed Whole (M602615), Apple Pie Spice (M602965), Aronia Berries Whole (M604480), Astragalus Root Powder (M602727), Bac'Uns, Baking Powder made with 71% organic (M502313), Barley Grass Powder (M600705), Basil Leaf, Sweet (M602931), Basil, Holy (M604440), Bay Leaf (M602882), Beet Powder (M602525), Bell Peppers, Bell Peppers, Red &amp; Green Diced (M600993), Berbere Seasoning, Black Bean Flakes, Black Cohosh Root C/S (M602695), Black Pepper, Black Pepper Ground, Black Pepper Medium, Black Pepper, Coarse Grind, Black Pepper, Fine Grind, Black Peppercorns, Whole, Blackened Cajun Seasoning (M603303), Blessed Thistle Herb C/S (M600514), Blue Agave, (Light), Blueberry Green Kukicha Tea (M602987), Broth Powder, No Chicken (M604478), Broth Powder, Vegetable Low Sodium (M604419), Brown Gravy, Brown Gravy Mix, Buffalo Dry Rub (M603002), Buffalo Seasoning (M603007), Burdock Root C/S (M600810), Burdock Root Powder (M600962), Cajun Dry Rub (M603003), Calendula Petals (M600800), Canadian Steak Seasoning (M603010), Caraway Seed (M602651), Caraway Seed, Whole (M602614), Cardamom (M602625), Cardamom Pods Whole (M602617), Cardamom Seed, Decorticated Ground (M602651), Cardamom Seed, Decorticated Whole (M602625), Caribbean Jerk Seasoning (M603303), Carob Powder, Light Roast (M602593), Carrot Powder (B710346), Cassia Essential Oil, Catnip Herb C/S (M600529), Cayenne Pepper, Cayenne Pepper 75,000+ HU (M602932), Celery Leaf Flakes (M600349), Celery Salt (M602824), Celery Seed Whole (M602700), Chaste Tree Berries Whole (M602906), Chaste Tree Berry Powder (M602907), Chesapeake Bay Seasoning (M603303), Chia Seed Whole (M604416), Chia Seed, White Whole (M604886), Chicken Flavored Gravy Mix, Chicken Grilling Seasoning, Chicory Root Granules, Roasted, Chili Pepper, Medium Roasted Powder, Chili Peppers, Red Crushed, Chili Powder (Blend), Chili Powder, Dark (M603012), Chimichurri Marinade, Chimichurri Seasoning, Chipotle Pepper Ground/Chile Chipotle, Chives C/S (M602757), Chop Grilling Seasoning, Chophouse Seasoning, Cilantro Leaf/Cilantro (M600945), Cilantro Lime Sheet Pan Seasoning (M605295), Cinnamon, Cinnamon Chips, Korintje 1/4" - 1/2", Cinnamon Granules, Korintje, Cinnamon Ground, Cinnamon Ground, Ceylon (M607006), Cinnamon Ground, Korintje, Cinnamon Ground, Vietnamese Premium, Cinnamon Powder, Cinnamon Sticks, Cinnamon Sticks, Ceylon 3", Cinnamon Sticks, Korintje 2 3/4" (M602698), Cinnamon Sticks, Vietnamese Premium 2 3/4", Cinnamon Sugar Trio, Cinnamon Vietnamese Ground, Cinnamon, Ceylon, Cinnamon, Ceylon Ground, Cinnamon, Korintje Powder, Cinnamon, Vietnamese Powder, Clover Blossom, Red Whole, Cloves Whole, Hand Select, Cloves, Ground, Cloves, Whole, Cocoa Powder, Black (processed with alkali), Cocoa Powder, Non-Alkalized, Cocoa Powder, Processed with Alkali, Comfrey Leaf C/S (M600541), Comfrey Root C/S (M600542), Comfrey Root Powder (M600543), Coriander Seed, Ground, Coriander Seed, Whole, Cornstarch, Cuban Mojo Seasoning (M603011), Cumin Seed, Ground, Cumin Seed, Whole, Curry powder (M602650), Curry, Spicy Powder, Dairy Free Cheddar Sauce Mix (18960), Dairy Free Jalapeno Queso Blanco Sauce Mix (18963), Dairy Free White Cheddar Sauce Mix (18961), Dandelion Leaf C/S (M602523), Dandelion Root C/S (M600963), Dandelion Root Powder (M602560), Dill Seed Whole (M602699), Dill Weed (M600362), Echinacea Angustifolia Herb C/S, Echinacea Angustifolia Root C/S (M600964), Echinacea Purpurea Herb C/S, Echinacea Purpurea Root C/S (M600811), Echinacea Purpurea Root Powder (M600966), Elder, European Berries Whole (M602730), Elderberry &amp; Herbal Blend for Making Syrup Recovery Blend (M605817), Eleuthero Root Powder (M602728), Eucalyptus Leaf (M602643), Everything Blend, Everything Blend, Dill (M605826), Everything Blend, Jalapeno (M605831), Everything Blend, Sweet &amp; Smoky (M605827), Fajita Seasoning (M602773), Fajita Seasoning Mix, Fennel Seed Ground (M602723), Fennel Seed Whole (M602619), Fenugreek Seed Ground (M602693), Fenugreek Seed Whole, Feverfew Herb C/S (M600808), Finishing Salt, Black Garlic (M602018), Finishing Salt, Citrus Rosemary (M602017), Finishing Salt, Sea Lettuce (M602027), Finishing Salt, Smoked Hatch Chili (M602016), Flax Seed Whole (M600563), Garam Masala (M602722), Garlic &amp; Herb, Garlic &amp; Herb Vegetable Seasoning, Garlic Granules, Garlic Minced, Garlic 'N Herb, Garlic Pepper, Garlic Powder, Garlic Salt (M604981), Ginger Crystallized Cubes, Ginger Ground (M604880), Ginger Root C/S, Ginko Leaf C/S, Glycerin Kosher, Goldenseal Root Powder (M600813), Gotu Kola Herb C/S (M602568), Grilling Seasoning, Chop, Grilling Seasons, Seafood, Guar Gum, Guardian Spirit Tea, Hatch Green Chile Seasoning, Hawthorn Berries Powder, Hawthorn Berries Whole, Hawthorn Leaf &amp; Flowers C/S, Herbes de Provence, Herbes de Provence, SO, Hibiscus Flowers C/S (M602946), Hibiscus Petals Whole (M604430), Horsetail Herb C/S, Hyssop Herb C/S, Italian Bean and Veg Ssng, Italian Bean and Veg TPP Mix, Italian Seasoning (M602649), Italian Seasoning (M605850), Jamaican Jerk Seasoning (M604807), Juniper Berries (M602545), Kale Powder, Lavender Flowers Whole (M601310), Lemon Balm Leaf C/S (M600359), Lemon Essential Oil, Lemon Ginger Tea (M604002), Lemon Peel C/S, Lemon Peel Granules, Lemon Peel Powder, Lemon Pepper, Lemon Pepper with Lemon Peel (M603008), Lemon Verbena Leaf C/S, Lemonade Drink Mix, Lemongrass C/S, Licorice Root C/S (M602579), Licorice Root Powder (M602587), Lime Essential Oil, Luscious Licorice Herbal Tea (M605773), Maca Root Powder (M604887), Mace, Marinade Mix, Chili Lime, Marinade Mix, Citrus Herb, Marinade Mix, Peppercorn Garlic, Marinade Mix, Savory Steak, Marjoram Leaf, Marshmallow Root C/S, Marshmallow Root Powder, Matcha, Citrus Green Tea Blend (M601017), Matcha, Sweet Green Tea Blend (M601016), Mediterranean Lemon Sheet Pan Seasoning, Milk Thistle Seed Powder (M604436), Milk Thistle Seed Whole, Milk, Non-Fat Dry, Mix, Brown Gravy, Mix, Chicken Flavored Gravy with other natural flavors, Mix, Dip, Chipotle Black Bean, Mix, Dip, Chipotle Ranch, Mix, Dip, Creamy Dill (M605654), Mix, Dip, French Onion (M605652), Mix, Dip, Guacamole, Mix, Dip, Onion &amp; Chive (M605799), Mix, Italian Herb Spaghetti Sauce, Mix, Mushroom Sauce, Mix, Ranch Peppercorn, Mix, Turkey Flavored Gravy with other natural flavors, Mix, Vegetarian Brown Gravy (M602797), Moringa Powder, Motherwort Herb C/S, Muchi Curry Seasoning, Mugwort Herb C/S, Mullein Leaf C/S, Mulling Spice, Mustard Seed Ground, Mustard Seed, Brown Whole, Mustard Seed, Yellow Ground, Mustard Seed, Yellow Whole, Nettle, Stinging Leaf C/S, Nettle, Stinging Leaf Powder, Nettle, Stinging Root C/S, Nutmeg Ground, Nutmeg, Whole, Oatstraw Green Tops C/S, Oils - Sunflower Oil, High Oleic (B710334), Olive Leaf Powder, Olive Leaf Whole, Onion, Granules, Onion, Minced, Onion, Powder, Onion, White Chopped, Onion, White Granules, Onion, White Minced, Onion, White Powder, Orange Flavor (M518529), Orange Peel C/S (M600985), Orange Peel Granules (M600261), Orange Peel Powder, Oregano Leaf, Oregano Leaf, Mediterranean C/S, Oriental Seasoning, Original BBQ Seasoning (M605292), Paleo Blend (aka Adobo Seasoning), Paprika Ground, Paprika, Hot, Paprika, Smoked (M602026), Parsley Leaf, PB Burrito Bowl Starter, PB Italia Bowl Starter, PB Org Breakfast Sausage Ssng (M600504), PB Quesadilla Bowl Starter, PB Risotto Bowl Starter, PB Tortilla Bowl Starter, PB Tuscan Bowl Starter, Pepper &amp; More, Spice Right, Pepper, Black Coarse Grind, Pepper, Black Fine Grind, Pepper, Black Medium Grind, Pepper, Get Crackin', Pepper, Jalapeno Crushed, Pepper, White, Pepper, White Fine Grind, Peppercorn Medley, Peppercorns, Black, Peppercorns, Black Ceylon, Peppercorns, Black Vietnamese, Peppercorns, Black Whole, Peppercorns, Black Whole Tellicherry, Peppercorns, Green Whole, Peppercorns, Pink Whole, Peppercorns, White Whole, Pepperman Seasoning, Peppermill, Gourmet Three Peppercorn Blend (M602902), Peppermint Essential Oil, Peppermint Leaf, C/S, Pickling Spice (M602901), Pinto Bean Flakes, Pizza Mac Ssng, Pizza Mac TPP Mix, Pizza Seasoning, Plant Burger Mix Meatless Crumbles, Plant Chili Meatless Crumbles, Plant Crumbles All-Purpose Meatless Crumbles, Plant Crumbles Unseasoned Meatless Crumbles, Plant Meatball Mix Meatless Crumbles, Plant Sausage, Breakfast Meatless Crumbles, Plant Sausage, Italian Meatless Crumbles, Plant Taco Mild Meatless Crumbles, Plant Taco Pico de Gallo Meatless Crumbles, Plant Taco Southwest Meatless Crumbles, Plant Taco Spicy Salsa Verde Meatless Crumbles, Poppy Seed (M602616), Potato Starch, Poultry Seasoning, Pre-Brew Coffee Spices, Awaken Spices, Pre-Brew Coffee Spices, Chai Spices, Pre-Brew Coffee Spices, Cinnamon Spices, Pre-Brew Coffee Spices, Pumpkin Spices, Prime Cuts Savory Pepper (M605803), Prime Cuts Spicy Pepper (M605805), Prime Cuts, Citrus Pepper (M605804), Prime Cuts, Salt &amp; Pepper (M605802), Processed Vegetable Oils - Glycerin, Psyllium Husk Powder (M602938), Psyllium Husk Whole (M600863), Psyllium Seed Powder (M602939), Psyllium Seed Whole (M600839), Pumpkin Pie Spice (M602739), Ranch Dip/Dressing Mix, Raspberry, Red Leaf C/S (M600732), Red Curry, Refried Pinto Bean Mix (M602762), Rosehips Powder (M602910), Rosehips Seedless C/S (M600999), Rosehips Whole (M602556), Rosemary Leaf Powder (B710379), Rosemary Leaf Whole (M600379), Roses, Red Petals (M604893), Rotisserie Seasoning, Jerk (M606652), Rotisserie Seasoning, Nashville (M600653), Rotisserie Seasoning, Original (M600650), Saffron, Spanish, Sage Leaf, Sage Leaf Ground, Sage Leaf Powder, Sage Leaf Rubbed, Salt &amp; Pepper Blend, Coarse (M603013), Salt, Grind To A, Sauce Mix, Hollandaise, Sauce Mix, Sweet Basil Pesto, Sazon Seasoning (M607018), Scullcap Herb Powder (M602554), Scullcap Leaf &amp; Flower, Seasoning Mix, Jambalaya, Seasoning Mix, Mild Chili, Seasoning Mix, Sloppy Joe, Seasoning Mix, Southwest Enchilada, Seasoning Mix, Southwest Taco, Seasoning Mix, Spicy Chili, Seasoning Mix, Spicy Taco, Seasoning Mix, Vegetarian Chili, Seasoning Seafood, 40% Less Sodium, Seasoning, Chili Lime, Seasoning, Green Harvest, Seasoning, Harissa, Seasoning, Herb Fest, Seasoning, Taco Mild, Seasoning, Taco Spicy, Senna Leaf C/S, Senna Leaf Powder, Sesame Ginger Seasoning, Sesame Seed, Sesame Seed Hulled Whole, Sesame Seed Whole, Sesame Seed, Black (M602961), Shawarma Seasoning (M605785), Sheep Sorrel Herb C/S, Sheep Sorrel Herb Powder (M602755), Slippery Elm Inner Bark C/S, Slippery Elm Inner Bark Powder, SO Hot Salt Finishing Salt (M602026), Soup, Vegetable Blend, Southwest Seasoning, Southwest Veg TPP Blend, Southwest Veggie Soup Seasoning, Soy Textured Protein 1/4" Pieces, Spearmint Essential Oil, Spearmint Leaf C/S, Spicy Sesame Garlic Crunch, Spinach Dip Mix (15715), Spinach Flakes (M600354), Spinach Powder (M600358), Spirulina Powder, St Johns Wort Herb C/S (M600393), Star Anise Whole (SP00471), Star Anise, Select Grade, Steak Grill Seasoning (4871), Stevia Herb Powder (2689), Stir-Fry Seasoning (M605849), Sucanat, Sugar Alcohol, Cane, Sugar, Cane, Taco Seasoning (M604812), Tandoori Seasoning Blend (M605750), Tapioca Granules, Tarragon Leaf C/S (M600317), Tea, Assam, Tea, Bancha Leaf, Tea, Ceylon Tea, Tea, Chai, Tea, Chai Green, Tea, China Black, Tea, China Green, Tea, Cranberry Orange Flavored Black, Tea, Darjeeling, Tea, Dragonwell, Tea, Earl Grey CO2 Decaf, Tea, Earl Grey Green, Tea, Elderberry Echinacea Wellness, Tea, English Breakfast, Tea, Genmaicha, Tea, Genmaicha Matcha, Tea, Green Raspberry Flavored, Tea, Green Strawberry Flavored, Tea, Gunpowder Green, Tea, Hojicha, Tea, Honeybush, Tea, Indian Black Tea CO2, Tea, Indian Green, Tea, Indian Spice, Tea, Irish Breakfast, Tea, Jasmine Pearls, Tea, Kukicha Twig, Tea, Kumaon Black, Tea, Lapsang Souchong, Tea, Mango Green CO2 Decaf, Tea, Matcha Green Powder, Japanese, Tea, Nepali Black, Tea, Nepali Green Pearl, Tea, Nilgiri, Tea, Orange Spice Flavored Black, Tea, Relaxing, Tea, Rooibos, Tea, Se Chung Special Oolong, Tea, Sencha Leaf, Tea, Tangerine Flavored White, Tea, White Indian, Tea, White Peony, Tea, Young Hyson, Tea, Young Hyson Green, Tea, Yunnan, Tequila Lime Seasoning (M603006), Teriyaki Marinade (15777), TexMex Mac Seasoning, TexMex Mac TPP Mix, Thai Seasoning, Thyme Leaf Whole (M600378), Tomato Flakes (M602788), Tomato Powder (M605068), Turkey Brine, Turkey Flavored Gravy Mix, Turkey Gravy Mix, Naturally Flavored, Turkey Rub, Turmeric Ground, Turmeric Root Cut &amp; Sifted, Turmeric Root Whole, Two Bean Chili Ssng, Two Bean Chili TPP Blend, Umami Blends, Original, Umami Blends, Roasted Garlic &amp; Herb, Umami Blends, Sweet &amp; Smoky, Umami Ginger Sheet Pan Seasoning (M605296), Umami Seasoning, Uva Ursi Leaf C/S (M602571), Valerian Root C/S (M600888), Valerian Root Powder (M602549), Vanilla 20X Oleo, Vanilla Bean, Fair Trade (W050304), Vanilla Beans Whole, Vanilla Beans Whole FT, Vanilla Beans, Bourbon (P502754), Vanilla Extract Gallon (23186), Vanilla Flavor Non Alcoholic 4oz, Vegetable and Pasta Soup Seasoning, Vegetable Pasta TPP Mix (2786), Veggie Pepper, Vindaloo Curry, Wheat Grass Powder, White Chili Ssng, White Chili TPP Blend (2914), Wild Yam Root C/S (M602760), Willow Bark C/S (M602718), Winter Savory Leaf (M602626), Wormwood Herb C/S (M600392), Yarrow Herb C/S (M600970), Yeast, Nutritional, Yerba Mate Leaf C/S, Zesty Ranch Seasoning (M605293), Zesty Ranch Sheet Pan Seasoning (M605297)</t>
  </si>
  <si>
    <t>Other: Adobo Seasoning (18034), Adobo Seasoning (2968) (18994), Alfalfa Leaf C/S (696), Alfalfa Leaf Powder (773), Alfredo Sauce Mix (18544), All Purpose Grilling Seasoning (ME81927), All Purpose Plant Crumbles 3.35 oz (16012), All Purpose Plant Crumbles 6.70 oz (16013), All Purpose Salt free (50000), All Purpose Seasoning (SP00931), All Season Salt (18511), Allspice Ground (18046), Allspice Ground (2721), Allspice Ground (ME81938), Allspice Ground (SP00895), Allspice Whole (2677), Allspice Whole (W050100), (WC50151), Almond Extract (M531115), Almond Extract 2oz (18526), (18618), Almond Extract 2oz (31005), Almond Extract 2oz (W050402), Almond Extract 4oz (18527), (18619), Almond Extract 4oz (31006), Almond Extract 4oz (SP00933), Almond Extract Gallon (31009), Ancho Chili Powder (19559), Angelica Root C/S (381), Anise Flavor, Anise Seed Whole (18466), (2615), Apple Cider Vinegar Powder (4949), Apple Pie Spice (2965), Aronia Berries (4480), Assam FT (2821), Astragalus Root Powder (2727), Bac'Uns Vegetarian Bits, Baking Essentials Spice Kit, Baking Powder (No Added Aluminum), Balti Curry Seasoning (W050603), Bancha Leaf Green Tea (1076), Baobab Fruit Powder (4883), Barley Grass Powder (705), Basil (WC50158), Basil C/S (50004), Basil C/S Imported (HF18000), Basil Cut/Sifted (W050101), Basil Leaf (ME81725), Basil Leaf (WN01001), Basil Leaf C/S (18512), Basil Leaf C/S (SP00410), Basil Leaves (WK01001), Basil, Egyptian (ME81931), Bay Leaf (HF18021), Bay Leaf (ME81848), Bay Leaf (WN01002), Bay Leaf Whole (357), PB Bay Leaf Whole Pouch (21012), Bay Leaf Whole (SP00411), Bay Leaf Whole (WC50150), (W050102), Bay Leaves (FT10710), Bay Leaves (WK01002), Beet Powder (2525), Bell Peppers, Red and Green, 3/8 Inch Diced, Berbere Seasoning (5663), (19473), Berbere Seasoning (W050606), Black Bean Flakes (2736), Black cohosh C/S (2695), Black Pepper (WK01003), Black Pepper Ground (ME81939), Black Pepper Medium (18523), (50055), Black Pepper Medium Grind (FT10703), Black Pepper Medium Grind (WC50159), (W050128), Black Peppercorns (W050067), Black Peppercorns Whole (ME81940), Black Peppercorns, Whole (FT10716), Black Sesame Seed (19551), Blackened Cajun Seasoning (2349), (C092349), Blessed Thistle Herb C/S (514), Blueberry Green Kukicha (2987), Breakfast Plant Sausage 3.35 oz (16024), Breakfast Sausage Seasoning (2384), Broth Powder, No-Chicken (2869), Broth Powder, Vegetable Low Sodium (2780), Brown Gravy Mix (W050223), Buffalo Dry Rub, Buffalo Dry Rub (15776), Buffalo Seasoning (2361), (C092361), Burdock Root C/S (810), Burdock Root Powder (962), Cacao Nibs (4457), Cajun Dry Rub (15778), Cajun Seasoning (18923), (2833), Cajun Style Seasoning (ME81941), Calendula Flower Petals (800), Canadian Steak Seasoning (2360), Caradamom (18036), Caraway Seed (W050074), Caraway Seed Whole (2614), Cardamom Ground (ME81948), Cardamom Ground (SP00896), Cardamom Ground (W050062), Cardamom Ground (WK01012), Cardamom Pods Whole (2617), Cardamom Seed Decorticated Ground (2651)(18475), Cardamom Seed Decorticated Whole (2625) (18476), Cardamom Whole (W050106), Caribbean Jerk Seasoning (2354), Caribbean Jerk Seasoning (W050617), Carob Powder Light Roast (2593), Carrot Powder (2886), Catnip Herb C/S (529), Cayenne 35,000 HU Ground (HF18009), Cayenne Ground (31081), (795), Cayenne Ground (ME81817), Cayenne Ground (WN01003), Cayenne Pepper (19079), Cayenne Pepper (WC50148), (W050107), Cayenne Pepper (WK01004), Cayenne Pepper 75,000+ HU (2932), Cayenne Pepper Ground (FT10701), Cayenne Pepper Ground (SP00412), Cayenne, Ground (50074), Celery Leaf Flakes (349), Celery Salt, Celery Salt Blend (2824), Celery Seed Whole (2700), Ceylon Cinnamon (WN01022), Ceylon Cinnamon Ground FT, ROC (19456), Ceylon Cinnamon Powder (2972), Ceylon Cinnamon Sticks 3" (2613), Ceylon Orange Pekoe FT (1067), Chai Black FT (2872), Chai Green FT (2871), Chamomile Flower German Whole (398), Chamomile Flower SU Pouch (31102), Chaste Tree berries Whole (2906), Chaste Tree berry Powder (2907), Chesapeake Bay Seasoning (2357), Chia Seed Whole (4416), Chicken Grill Seasoning (4872), Chicken Grilling Seasoning, Chicken Grilling Seasoning (ME81925), Chicory Root Roast Granules (2731), Chicory Root SU Pouch (31108), Chili Pepper, Red Crushed, Chili Peppers Crushed (SP00898), Chili Powder, Chili Powder, Chili Powder (HF18016), Chili Powder (ME81602), Chili Powder (WC50147), (W050108), Chili Powder (WK01005), Chili Powder (WN01004), Chili Powder Blend (FT10704), Chili Powder Blend (SP00413), Chili Powder, Dark (2355), Chili Red Crushed (W050131), Chimichurri Marinade (15779), Chimichurri Marinade (2372), Chimichurri Seasoning (W050609), Chipotle (SP00460), Chipotle Ground (2346), Chipotle Ground (ME81942), Chipotle Powder (19516), Chives (ME81943), Chives C/S 1/2# (2757), Chocolate Extract 2oz (31020), Chop Grilling Seasoning (4874), Cider Mate Mulling Spice (2919), Cilantro (SP00932), Cilantro (WK01006), Cilantro Leaf (18601), (50014), Cilantro Leaf (ME81944), Cilantro Leaf C/S (945), (18324), Cilantro Lime Sheet Pan Seasoning (18592), Cinnamon (18513), Cinnamon (WC50161), Cinnamon A Grade Ground (18434), Cinnamon A Grade Ground (HF18001), Cinnamon Ceylon FT Sample (407), Cinnamon Chips 1/4" (2888), Cinnamon Flavor 2oz (31035), Cinnamon Granules Korintje (2890), Cinnamon Ground (FT10696), Cinnamon Ground (ME81596), Cinnamon Ground (SP00414), Cinnamon Ground (WK01013), Cinnamon Ground Korintje (396), Cinnamon Ground Vietnamese (19526), (2940), (31082), Cinnamon Ground,Ceylon FTC (7006), Cinnamon Korintje Ground (W050109), Cinnamon Powder Ceylon FT (31074), Cinnamon Sticks (19497), Cinnamon Sticks (ME81945), Cinnamon Sticks 275 Vietnamese (2973), Cinnamon Sticks 275" (2698), Cinnamon Sticks Ceylon FT, ROC (18365), Cinnamon Sticks Ceylon FTC (7007), Cinnamon Sticks Whole (W050225), Cinnamon Sugar Trio, Cinnamon Vietnamese Ground (SP00900), Cinnamon Vietnamese Ground (WC50141), (W050111), Cinnamon, Vietnamese (ME81935), Cinnamon, Vietnamese Ground (WN01006), Cinnamon, Vietnamese Sticks (WN01005), Citrus Matcha Green Tea (1017), Cloves Ground (SP00415), Cloves Ground (WC50140), (W050112), Cloves Whole (ME81959), Cloves Whole (SP00464), Cloves Whole (W050068), Cloves Whole, Hand Select, Cloves Whole, Hand Select FT, Cloves, Ground, Cloves, Ground FT, Cloves, Whole, Cocoa Mix, Hot, Cocoa Powder (Non-Alkalized), Cocoa Powder (Processed with Alkali), Cocoa Powder, Black (Processed with alkali), Comfrey Leaf C/S (541), Comfrey Leaf SU Pouch (31121), Comfrey Root C/S (542), Comfrey Root Powder (543), Coriander, Coriander (WN01007), Coriander Ground (WC50152), (W050114), Coriander Ground (WK01014), Coriander Seed Ground, Coriander Seed Ground (ME81923), Coriander Seed Ground (SP00902), Coriander Seed Whole, Coriander Seed, Ground, Cornstarch (2594), Cranberry Orange Black Tea (2913), Creamy Dill dip (18843), Crushed Red Pepper (WK01007), Cuban Mojo Seasoning (W050620), Cumin Ground (18477, 2592, 31076, C092592), Cumin Ground (WC50162), (W050115), Cumin Ground (WK01015), Cumin Ground (WN01008), Cumin Roasted (W050079), Cumin Seed Ground, Cumin Seed Ground (FT10699), Cumin Seed Ground (HF18002), Cumin Seed Ground (ME81718), Cumin Seed Ground (SP00416), Cumin Seed Whole, Cumin Seed, Whole, Cumin Seeds (WK01008), Cumin Whole (W050116), Cumin, Turkish (ME81930), Curry Blend (SP00417), Curry Powder, Curry Powder (FT10702), Curry Powder (ME81879), Curry Powder (WK01009), Curry Powder Ground (WN01009), Curry Powder Spicy, Dairy Free Cheddar Sauce Mix, Dak Song Peppercorn Grinder (W050092), Dandelion Leaf C/S (2523), Dandelion Root C/S (963), Dandelion Root Powder (2560), Decaf Earl Grey Black Tea (2941), DF Jalapeno Queso Blanco Sauce Packet (18963), DF White Cheddar Sauce Packet (18961), Dill Seed Whole (2699), Dill Weed (18604), (50022), Dill Weed (HF18020), Dill Weed (ME81787), Dill Weed (WK01010), Dill Weed (WN01010), Dill weed C/S (18479), (362), Dill Weed C/S (SP00903), Dill Weed Cut/Sifted (W050117), Earl Grey Black Tea FT (2826), Echinacea Angustifolia Herb C/S (761), Echinacea Angustifolia Root C/S (964), (50964), Echinacea Purpurea Herb C/S (769), Echinacea Purpurea Root C/S (811), Echinacea Purpurea Root Powder (966), Echinacea Purpurea SU Pouch (31115), Elder Berries Whole (31084), (2730), Elderberry &amp; Herbal Blend for Syrup Recovery (31086), Elderberry &amp; Herbal Blend for Syrup Strength (31085), Elderberry Echinacea Wellness Tea (4423), Eleuthero Root Powder (2728), Eucalyptus Leaf Cut &amp; Sifted, Everything Bagel Seasoning (FT10717), Everything Blend (18043), Everything Blend (2319), Everything Blend, Dill (22117), Everything Blend, Dill (5826), Everything Blend, Jalapeno (22118), Everything Blend, Jalapeno (5831), Everything Blend, Sweet &amp; Smoky (22119), Everything Blend, Sweet &amp; Smoky (5827), F/E Alfredo Sauce Mix (20006), F/E All Purpose Seasoning (CO19222), F/E Basil Leaf, Sweet C/S (CO19208), F/E Basil Leaf, Sweet C/S Cert. Org. (CO19208), F/E Bay Leaf (CO19223), F/E Black Peppercorn Grinder (CO19218), F/E Cayenne Pepper (CO19224), F/E Ceylon Cinnamon (CO19233), F/E Chipotle Ground Cert. Org. (CO19236), F/E Cinnamon Ground (CO19211), F/E Dill Weed (C019250), F/E Fajita Seasoning Mix (20002), F/E French Onion Dip Mix (18878), F/E Italian Seasoning (CO19227), F/E Onion, Minced (CO19228), F/E Paprika Ground (CO19229), F/E Pepper, Black Medium Grind (CO19209), F/E Peppercorns, Black Whole (CO19210), F/E Smoked Paprika (CO19234), F/E Thyme Leaf (CO19231), F/E Vanilla Extract (19530), (19531), F/E Vanilla Extract 2oz (18623), F/E Vanilla Extract 4oz (18624), Fajita Seasoning (2773), Fajita Seasoning Mix (20002), (18535), Fennel Seed (18037), Fennel Seed (ME81946), Fennel Seed Ground (2723), Fennel Seed Whole (18481), (2619), Fennel Whole (W050118), Fenugreek Seed Ground, Fenugreek Seed Whole, Feverfew Leaf C/S (808), Finishing Salt, Black Garlic (19253), (22108), Finishing Salt, Black Garlic (2380), Finishing Salt, Citrus Rosemary (19254), (22105), Finishing Salt, Citrus Rosemary (2381), Finishing Salt, Hot (22116), Finishing Salt, Sea Lettuce (472), (22115), Finishing Salt, Smoked Hatch Chili (19255), (22106), Finishing Salt, Smoked Hatch Chili (2382), Fish Taco Seasoning Mix (18534), Five Spice Powder, Five Spice Powder, Flax Seed Whole (563), Forever Fruit Herbal Tea, French Onion dip (18841), (18878), Garam Masala (18038), Garam Masala (2722), (19088), Garam Masala (ME81857), Garam Masala (W050619), Garlic &amp; Herb, Garlic &amp; Herb Blend (SP00905), Garlic &amp; Herb Seasoning, Garlic Granules (2524), (18469), (21030), Garlic Granules (FT10697), Garlic Granules (HF18003), Garlic Granules (ME80551), Garlic Granules (SP00418), Garlic Granules (W050119), Garlic Granules (WN01011), Garlic Minced, Garlic Pepper, Garlic Pepper, Garlic Powder, Garlic Powder (SP00466), Garlic Powder (WC50143), (W050120), Garlic Powder (WK01011), Garlic Salt (18517), (C019247), (M604817), Garlic Salt (2822), Garlic Salt (ME81947), Garlic Salt (SP00930), Garlic, California (ME81934), Genmaicha Green Tea (2829), Genmaicha Matcha Green Tea (2985), Get Crackin, Ginger Crystallized, Ginger Ground (ME81794), Ginger Ground (WC50145), (W050121), Ginger Ground (WK01016), Ginger Ground (WN01012), Ginger Ground FT, ROC (19467), Ginger Root C/S (621), Ginger Root Ground, Ginger Root Ground (2610), (18464), (31079), Ginger Root Ground (FT10700), Ginger Root Ground (HF18004), Ginger Root Ground (SP00419), Ginger Root Ground FTC (7010), Ginkgo Leaf Cut &amp; Sifted, Goldenseal Root Powder (2589), Goldenseal Root Powder 1/4# (813), Gotu Kola Herb C/S (2568), Gourmet 3 Pepper Blend (2902), Green Earl Grey Tea (2867), Grilling Seasons, Seafood, Grilling Seasons, Steak, Guacamole Dip (18842), Guacamole Sauce Mix (19638), Guajillo Peppers Ground (5838), Guardian Spirit Tea, Harissa Seasoning (W050608), Hawthorn Berries Powder, Hawthorn Berries Whole, Hawthorn Leaf &amp; Flowers Cut &amp; Sifted, Henna Leaf, Red Powder, Herbes de Provence, Herbes de Provence (ME81950), Hibiscus Flower SU Pouch (31101), Hibiscus flowers C/S (397), Hibiscus Flowers C/S FT (2946), Hibiscus petals Whole (4430), Holy Basil (4440), Horsetail Herb (Shavegrass) Cut &amp; Sifted, Hot Paprika (19650), Hyssop Herb Cut &amp; Sifted, Indonesia Vanilla Extract (18280), (M523183), Italian Plant Sausage 3.35 oz (16023), Italian Seasoning (18606), Italian Seasoning (2649), Italian Seasoning (FT10711), Italian Seasoning (HF18015), Italian Seasoning (ME81749), Italian Seasoning (SP00913), Italian Seasoning (W050078), Italian Seasoning (WK01019), Italian Seasoning (WN01013), Italian Seasoning Whole (18912), Jalapeno Green crushed (836), Jamaican Jerk Blend (2738), Jasmine Green Tea FT (1079), Jasmine Pearls Green Tea (2986), Juniper berries (2545), Kale Powder (4884), Kumaon Black Tea (4918), Lavender Flower SU Pouch (31116), Lavender flowers Whole (1310), Lemon Balm Leaf C/S (359), Lemon Flavor, Lemon Ginger Tea (4002), Lemon Peel Cut &amp; Sifted, Lemon Peel Granules, Lemon Peel Powder, Lemon Pepper, Lemon Pepper, Lemon Pepper (SP00914), Lemon Pepper Seasoning, Lemon Pepper with Lemon Peel (2353), Lemon Verbena Leaf Cut &amp; Sifted, Lemonade Drink Mix, Lemongrass Cut &amp; Sifted, Licorice Root C/S (2579), Licorice Root Powder (2587), Luscious Licorice Herb Tea (5773), Maca Powder (4887), Mace Powder Fair Trade, Mace, Ground, Maple Syrup Granules (2885), Marinade Mix, Chili Lime, Marinade Mix, Citrus Herb, Marinade Mix, Savory Steak, Marjoram Leaf (ME81951), Marjoram Leaf Cut &amp; Sifted, Marshmallow Root Cut &amp; Sifted, Marshmallow Root Powder, Matcha Powder Japanese (4889), Mediterranean Lemon Sheet Pan Seasoning, Mild Chili Seasoning Mix (18958), Mild Plant Taco 3.35 oz (16008), Milk Thistle Seed Powder (4436), Milk Thistle Seed Whole (952), Mint Flavor, Mix, Brown Gravy Seasoning, Mix, Chicken Flavored Gravy with other natural flavors, Mix, Dip, Chipotle Black Bean, Mix, Dip, Chipotle Ranch, Mix, Dip, Ranch, Mix, Dip, Spinach, Mix, Dressing, Ranch, Mix, Mushroom Sauce Seasoning, Mix, Turkey Flavored Gravy with other natural flavors, Mix, Vegetarian Brown Gravy, Mojo Cuban Seasoning (2351), Moringa Powder, Motherwort Herb Cut &amp; Sifted, Muchi Curry Seasoning (W050612), Mugwort Herb Cut &amp; Sifted, Mullein Leaf Cut &amp; Sifted, Mulling Spice, Mulling Spice (W050616), Mushrooms, Chaga Powder (50421), Mushrooms, Cordyceps Dried Whole (50414), Mushrooms, Cordyceps Powder (50418), Mushrooms, Lion's Mane Dried Slices (50416), Mushrooms, Lion's Mane Powder (50422), Mushrooms, Maitake Dried Slices (50415), Mushrooms, Maitake Mushroom Powder (50419), Mushrooms, Reishi Dried Slices (50417), Mushrooms, Reishi Powder (50420), Mushrooms, Shiitake Chopped, Dried (2859), Mustard Seed Ground (ME81949), Mustard Seed Ground (SP00906), Mustard Seed Ground (W050122), Mustard Seed, Brown Whole, Mustard Seed, Ground, Mustard Seed, Yellow Ground, Mustard Seed, Yellow Whole, Nepali Black Tea (4950), Nepali Green Pearl Tea (4951), Nettle, Stinging Leaf Cut &amp; Sifted, Nettle, Stinging Leaf Powder, Nettle, Stinging Root Cut &amp; Sifted, Non Fat Milk Powder 5# (2852), Nutmeg Ground (ME81862), Nutmeg Ground (SP00420), Nutmeg Ground (W050123), Nutmeg Ground (WK01017), Nutmeg Ground (WN01014), Nutmeg Ground FT, Nutmeg, Ground, Nutmeg, Whole, Nutmeg, Whole FT, Nutritional Yeast (19560), Nutritional Yeast Flakes (4896), Oatstraw Green Tops Cut &amp; Sifted, Olive Leaf Powder, Olive Leaf Whole, Onion &amp; Herb Seasoning, Onion Chive Dip (15750), Onion chopped White (372), Onion Granules (SP00463), Onion Granules (W050063), Onion Ground (WN01015), Onion minced (18520), Onion Powder (18608), (50046), Onion Powder (FT10709), Onion Powder (HF18013), Onion Powder (ME81909), Onion Powder (W050125), Onion Powder (WK01020), Onion Powder White (18433), (31083), (371), Onion Soup &amp; Dip Mix (2918), Onion White minced (373), Onion, California (ME81933), Orange Flavor 2oz (18529), Orange Flavor 2oz (31065), Orange peel C/S (985), Orange Peel Granules (261), Orange peel Powder (260), Orange Spice Black Tea (2911), Oregano, Oregano (WN01016), Oregano C/S (W050126), (WC50163), Oregano Flakes (FT10706), Oregano Leaf (18377, 281, C009281), Oregano Leaf (ME81952), Oregano Leaf C/S (HF18005), Oregano Leaf C/S (SP00421), Oregano Leaves (WK01021), Oregano, Turkish (ME81928), Oriental Seasoning, Original BBQ Seasoning (2356), Paleo Blend (SP00461), Paprika (W050138), (WC50154), Paprika (WK01022), Paprika Ground (18765), (19517), Paprika Ground (714), (18432), (31078), (C009714), Paprika Ground (FT10705), Paprika Ground (HF18014), Paprika Ground (ME81770), Paprika Ground (SP00422), Paprika Ground (WN01017), Paprika, Spanish (ME81929), Parsley (WK01023), Parsley Flakes, Parsley Flakes (FT10712), Parsley Flakes (ME81619), Parsley Flakes C/S (SP00465), Parsley Leaf (HF18019), Parsley Leaf C/S (W050127), Parsley Leaf Flakes, Parsley, German (ME81932), PB Black Peppercorns Pouch (21014), PB Cardamom Ground Pouch (21015), PB Cayenne Ground Pouch (21017), PB Cinnamon Ground Pouch (21020), PB Cinnamon Stk Pouch (21021), PB Dill Weed Pouch (21027), PB Fennel Whole Pouch (21028), PB Garam Masala Pouch (21029), PB Italian Seasoning Pouch (21033), PB Onion Gran Pouch (21036), PB Paprika Ground Pouch (21038), PB Peppermill Pouch (21040), Pea Protein Powder (2383), Pepper Black Coarse Grind (18438), (2601), Pepper Black Fine Grind (2602), (18436), Pepper Black Medium Grind (18437, 2600, 31080, C092600), Pepper Black Medium Grind (HF18006), Pepper Black, Medium Ground (SP00467), Pepper White Fine Grind (2772, C092772), Pepper White Ground (W050129), Pepper, Black Fine Ground FTC (7002), Pepper, Black Medium Grind FT, ROC (19450), Pepper, Ground Chipotle, Pepper, Red Chili Medium Roasted Powder, Pepper, Red Crushed, Pepper, White, Pepper, White Ground FTC (7005), Pepper,Black Coarse Ground FTC (7001), Pepper,Black Med Grind FTC (7000), Peppercorn Garlic Marinade (15765), Peppercorn Medley (18040), Peppercorn Sichuan Whole, Peppercorns Black Whole (2603), (18435), Peppercorns Black Whole (SP00468), Peppercorns Black Whole FT, ROC (22120), Peppercorns Green Whole (2896), Peppercorns pink Whole 1/2# (2897), Peppercorns Tellicherry (2955), Peppercorns White (2771), (2870), Peppercorns, Black Whole FTC (7003), Peppercorns, Black, Sri Lankan (ME81937), Peppercorns,White Whole FTC (7004), Pepperman Seasoning, Peppermint Flavor, Peppermint Leaf, Cut &amp; Sifted, Peruvian Style Seasoning (W050085), Pickling Spice (2901), Pico De Gallo Plant Taco 3.35 oz (16009), Pinto Bean Flakes (2735), Pizza Seasoning, Plant Burger Mix 3.39 oz (16021), Plant Chili 3.35 oz (16020), Plant Meatball Mix 3.39 oz (16022), Poppy Seed (ME81916), Poppy Seed (SP00469), Poppy Seed Whole, Poppy Seed Whole (W050130), Poppy Seed, Whole, Potato Starch (2855), Poultry Seasoning, Poultry Seasoning (ME81860), Pre-Brew Coffee Spices, Awaken Spices, Pre-Brew Coffee Spices, Chai Spices, Pre-Brew Coffee Spices, Cinnamon Spices, Pre-Brew Coffee Spices, Pumpkin Spices, Prime Cuts Citrus Pepper (18115), Prime Cuts Cracked Pepper (18112), Prime Cuts Salt &amp; Pepper (18113), Prime Cuts Savory Pepper (18116), Prime Cuts Spicy Pepper (18114), Psyllium Husk Powder, Psyllium Husk Whole, Psyllium Seed Powder, Psyllium Seed Whole, Pumpkin Pie Spice, Pumpkin Pie Spice (ME81953), Pumpkin Pie Spice (SP00428), Pumpkin Pie Spice (W050136), Pumpkin Spice, Ranch Dip/Dressing Mix, Ras el Hanout Seasoning, Raspberry, Red Leaf Cut &amp; Sifted, Red Clover Blossoms (2620), Red Clover Blossoms SU Pouch (31120), Red Curry (SP00916), Red Pepper Crushed (ME81954), Red Pepper Flakes, Crushed (FT10715), Refried Pinto Beans Mix (2762), Relaxing Herbal Tea, Rosehips Powder, Rosehips Seedless Cut &amp; Sifted, Rosehips Whole, Rosemary (WN01018), Rosemary Leaf, Rosemary Leaf (FT10714), Rosemary Leaf (HF18018), Rosemary Leaf (ME81855), Rosemary Leaf Powder, Rosemary Leaf Whole, Rosemary Leaf Whole (W050132), Rosemary Leaves (WK01024), Rosemary Whole (SP00910), Rosemary, Spanish (ME81936), Roses, Red Petals, Rotisserie Seasoning, Jerk (19096), Rotisserie Seasoning, Nashville (19097), Rotisserie Seasoning, Original (19098), Rub, Poultry, Rubbed Sage Leaf (ME81955), Saffron Threads (ME81956), Saffron, Spanish (18450), Sage Leaf Ground, Sage Leaf Ground (SP00911), Sage Leaf Ground (W050133), Sage Leaf Rubbed, Sage Leaf, Ground, Sage Rubbed (WN01019), Salt &amp; Pepper Blend, Coarse (2352), (CO92320), Salt Free All Purpose (19480), Sauce Mix, Hollandaise, Sauce Mix, Italian Herb Spaghetti, Sauce Mix, Sweet Basil Pesto, Sazon Seasoning (W050618), Scullcap Herb C/S (844), Scullcap Herb Powder (2554), Se Chung Special Oolong (2827), Seafood &amp; Fish Grilling Seasoning (ME81926), Seafood Seasoning Blackened (19488), Seafood Seasoning Original (19486), Seasme Seed Hulled 5 # (5342), Seasoning Mix, Jambalaya, Seasoning Mix, Mild Taco, Seasoning Mix, Southwest Enchilada, Seasoning Mix, Southwest Taco, Seasoning Mix, Spicy Chili, Seasoning Mix, Spicy Taco, Seasoning Mix, Taco, Seasoning Mix, Vegetarian Chili, Seasoning, Baharat, Seasoning, Baharat, Seasoning, Chili Lime, Seasoning, Chophouse, Seasoning, Green Harvest, Seasoning, Harissa, Seasoning, Harissa, Seasoning, Herb Fest, Seasoning, Herby, Seasoning, Mama Garlic, Seasoning, Salt Free Citrus, Seasoning, Salt Free Original, Seasoning, Salt Free Savory, Seasoning, Thai, Seasoning, Vindaloo Curry, Senna Leaf Cut &amp; Sifted, Senna Leaf Powder, Sesame Seed (ME81886), Sesame Seed Black (2961), Sesame Seed Hulled (342), (18409), (C090342), Sesame Seed Whole (SP00927), Sesame Seeds Whole (50068), (19068), Shawarma Seasoning (W050084), Sheep Sorrel Herb Cut &amp; Sifted, Sheep Sorrel Herb Powder, Shiitake Mushroom Powder 50423, Simmer Sauce, Coconut Curry (19628), Simmer Sauce, Fajita Taco (19632), Simmer Sauce, General Tso's Organic (19644), Simmer Sauce, Green Enchilada (19634), Simmer Sauce, Korean Style BBQ, Simmer Sauce, Korma, Simmer Sauce, Madras Curry (19627), Simmer Sauce, Mild Taco (19630), Simmer Sauce, Pad Thai (19642), Simmer Sauce, Red Enchilada (19633), Simmer Sauce, Santa Fe Style for Chicken, Simmer Sauce, Southwest Taco (19631), Single Origin 3 Pack - Cinnamon, Cumin, &amp; Garlic, Single Origin Californian Garlic (19834), Single Origin Californian Onion (19833), Single Origin Egyptian Basil (19830), Single Origin German Parsley (19830), Single Origin Polish Thyme (19831), Single Origin Spanish Paprika (19836), Single Origin Spanish Rosemary (19836), Single Origin Sri Lankan Black Peppercorn (19825), Single Origin Turkish Cumin (19825), Single Origin Turkish Oregano (19823), Single Origin Vietnamese Cinnamon (2905), Slippery Elm Bark Cut &amp; Sifted, Slippery Elm Bark Powder, Slow Cook Sauce, Carnitas for Pork, Smoked Paprika (4873), Smoked Paprika (ME81859), Smoked Paprika (WK01025), Southwest Plant Taco 3.35 oz (16011), Spearmint Leaf Cut &amp; Sifted, Spice Right All Purpose Season (15740), Spice Right, Garlic &amp; Herb, Spice Right, Pepper &amp; More, Spice Right, Peppercorn Ranch, Spicy Garlic Sesame Crunch (W050090), Spicy Guacamole Sauce Mix (15773), Spinach Flakes (354), Spinach Powder (358), Spirulina Powder (2701), (393), St. John's Wort Herb C/S (2891), Star Anise Whole (SP00471), Star Anise, Whole (2877), Steak &amp; Chop Rub (4871), Steak Grilling Seasoning (ME81924), Steak Grilling Seasoning (ME81924), Stevia Herb C/S (4414), Stevia Herb, Green Powder (2875), Stir-Fry Seasoning (2745), Sugar, Cane, Sugar, Cane Fair Trade, Sweet Basil Leaf C/S (18542), Sweet Matcha Green Tea (19575), Taco Seasoning, Taco Seasoning Mix, Mild (W050220), Taco Seasoning Mix, Spicy (W050221), Tandoori Masala Seasoning (19470), Tandoori Seasoning (5750), Tarragon Leaf, Tarragon Leaf Cut &amp; Sifted, Tea, China Black, Tea, China Green, Tea, Darjeeling Black, Tea, Dragonwell Green, Tea, English Breakfast Black, Tea, Green Raspberry, Tea, Green Strawberry, Tea, Gunpowder Green, Tea, Honeybush, Tea, Indian Black Tea CO2 Decaffeinated, Tea, Indian Green, Tea, Indian Spice Herbal, Tea, Irish Breakfast Black, Tea, Kukicha Twig , Roasted Green Tea, Tea, Lapsong Souchong, Tea, Mango Green CO2 Decaf, Tea, Rooibos FT, Tea, Sencha Leaf, Tea, Turmeric Ginger Herbal, Tea, White Indian, Tea, Young Hyson, Tea, Young Hyson Green, Tea, Yunnan, Tequila Lime Seasoning (2348), Teriyaki Marinade, Thyme (W050134), Thyme (WN01020), Thyme Leaf, Thyme Leaf (18418), (18613), Thyme Leaf (HF18007), Thyme Leaf (ME81763), Thyme Leaf (SP00426), Thyme Leaves (FT10713), Thyme Leaves (WK01026), Tomato Flakes (2788), Tomato Powder (2758), Turkey Brine (18504), (19746), Turkey Brine (5757), Turkey Flavoured Gravy Mix (W050222), Turkey Rub (15705), Turkey Rub (4855), Turmeric (WC50164), Turmeric (WN01021), Turmeric Chai Tea (2605), Turmeric Cut &amp; Sifted (4915), Turmeric Ground (ME81750), Turmeric Ground (VV00032), Turmeric Ground (W050135), Turmeric Ground (WK01018), Turmeric Root Cut &amp; Sifted (18459), Turmeric Root Ground (2604), (31075), Turmeric Root Ground (FT10698), Turmeric Root Ground (HF18008), Turmeric Root Ground (SP00427), Turmeric Root Ground FT (7015), Turmeric Root Ground FT, ROC (19465), Turmeric Twist, Daily Blend, Turmeric Twist, Savory Blend, Turmeric Twist, Sweet Blend, Turmeric, Ground, Umami Blend, Original, Umami Blend, Roasted Garlic &amp; Herb, Umami Blends, Sweet &amp; Smoky, Umami Ginger Sheet Pan Seasoning, Umami Seasoning (W050083), Unseasoned Plant Crumbles 3.17 oz (16014), (16015), Uva Ursi Leaf C/S (2571), Valerian Root C/S (888), Valerian Root Powder (2549), Vanilla Bean (AH01002), Vanilla Bean (ME81957), Vanilla Bean Paste (M523190), Vanilla Bean Paste 2oz (19853), (CO19256), Vanilla Bean Paste 4oz (19854), Vanilla Beans (19496), Vanilla Beans (2577), Vanilla Beans (WK01027), Vanilla Beans 1/4# (2340), Vanilla Beans 2ct (2344), Vanilla Beans Whole (SP00928), Vanilla Beans Whole (W050304), Vanilla Extract (AH01001), Vanilla Extract (M523175), Vanilla Extract (UN01001), Vanilla Extract 1oz (19500), Vanilla Extract 2oz (18531), Vanilla Extract 2oz (18623), (23182), Vanilla Extract 2oz (HF18011), Vanilla Extract 2oz (ME18626), Vanilla Extract 2oz (SP00456), Vanilla Extract 2oz (W050401), (WC50157), Vanilla Extract 4oz (18532), Vanilla Extract 4oz (18624), (23183), Vanilla Extract 4oz (FT10708), Vanilla Extract 4oz (SP00457), Vanilla Extract 4oz (W050400), (WC50156), Vanilla Extract 8oz (19852), (23184), Vanilla Extract, Indonesian, ROC, 2 fl. oz. (23196), Vanilla Flavor Non Alcoholic 2oz (19531), Vanilla Flavor Non Alcoholic 4oz (SP00458), Vanilla Flavor, Non Alcoholic (19492), Vanilla Flavoring (M604473), Vanilla Flavoring 2oz (19498), Vanilla Flavoring 2oz (23190), Vanilla Flavoring 4oz (23191), (23193), Vegetable Seasoning, Garlic &amp; Herb, Vegetable Soup Blend, Veggie Pepper, Vindaloo Curry (SP00917), Vindaloo Curry (W050614), Warming Crimson Berry Tea, Wheatgrass Powder, White Cheddar Cheese Powder (2850), White Chia (4886), White Onion Granules (1058), White Peony White Tea (18041), White Pepper Ground (ME81958), White Tea Tangerine flav (2718), White Willow Bark C/S (18042), Whole Black Peppercorns (WK01028), Wild Yam Root C/S (2760), Wormwood Herb C/S (392), Yarrow Flowers C/S (970), Yerba Mate Leaf C/S (2564), (2895), Za'atar Seasoning (VV00034), Zesty Ranch Seasoning (2350), Zesty Ranch Sheet Pan Seasoning (18595)</t>
  </si>
  <si>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</si>
  <si>
    <t>Animal Feed: 5367 Tranel Organic Dairy Lact Mineral, B5368 Tranel Prefresh Organic - Mineral, B5769 Fendry Organic Dry Cow Mineral, B5905 Organic 3:1 Mineral, Dairy Dry Cow Organic Min ML, Livestock Feed (B5909 Custom Organic Dairy Mineral - Agolin), Livestock Feed (2410 34% ORGANIC CONCENTRATE MP), Livestock Feed (2412 Organic 18% Calf Starter MP), Livestock Feed (2413 16% DAIRY GROWER ORGANIC MP), Livestock Feed (8201QMC Poultry Organic Starter 0-6 Wks QMC), Livestock Feed (9400 ORGANIC 18% LACTATING GOAT MP), Livestock Feed (9450 21% Organic Goat Creep RM MP), Livestock Feed (9451 18% ORGANIC GOAT STARTER), Livestock Feed (9452 16% Organic Goat Grower MP), Livestock Feed (9458 DAIRY DRY GOAT ORGANIC MP), Livestock Feed (B2410 34% Organic Concentrate MP), Livestock Feed (B2412 Organic 18% Calf Starter MP), Livestock Feed (B2413 16% Dairy Grower Organic MP), Livestock Feed (B5434 CUSTOM ORGANIC -0.1 DAIRY VTM MIN), Livestock Feed (B5435 CUSTOM BG Organic DRY COW VTM), Livestock Feed (B5469 ORGANIC 4:1 DAIRY MIN), Livestock Feed (B5590 Organic - Dairy Heifer Min Blend), Livestock Feed (B7694 16% Poultry Premium Organic Layer-ORO MP), Livestock Feed (B7790 POULTY BROILER STR 0-QMC), Livestock Feed (B7952 Organic 23% Turkey Starter *TQMC*), Livestock Feed (B7953 Organic Turkey/MB Finisher MP), Livestock Feed (B9400 ORGANIC 18% LACTATIN GOAT MP), Livestock Feed (B9410 Organic 16% Lactating Goat MP), Livestock Feed (B9450 21% Organic Goat Creep RM MP), Livestock Feed (B9451 18% ORGANIC GOAT STARTER), Livestock Feed (B9452 16% ORGANIC GOAT GROWER), Livestock Feed (B9458 DAIRY DRY GOAT ORGANIC MP)</t>
  </si>
  <si>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</si>
  <si>
    <t>Other Grains, Pastas and Cereals: Oats; Nuts/Seeds: Almonds, Cashew Nuts, Organic Pumpkin Seeds, Organic Sunflower Seeds, Walnuts; Condiments and Sweeteners: Sweeteners; Beverage Related Products: Coffee</t>
  </si>
  <si>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</si>
  <si>
    <t>Other: Cheddar Cheese (Pasteurized), Cheddar Cheese (Pasteurized Kosher), Cheddar Cheese (Pasteurized Smoky Cheddar), Cheddar Cheese (Pasteurized Spicy Cheddar), Cheddar Cheese (Raw), Cheddar Cheese (Raw GrassFed), Colby Cheese (Pasteurized), Monterey Jack Cheese (Pasteurized), Monterey Jack Cheese (Raw Jack Style Semisoft Cheese), Monterey Jack Cheese (White Pasteurized), Pepper Jack Cheese (Pasteurized), Whey (Sweet Cool Dairy Whey), White Cheddar Cheese (Pasteurized), White Cheddar Cheese (Pasteurized Kosher)</t>
  </si>
  <si>
    <t>Other: Premium Roasted Seaweed - Big Sheets - Sea Salt, Premium Roasted Seaweed - BigSheets - Avocado Oil, Premium Roasted Seaweed - Extra Virgin Olive Oil, Premium Roasted Seaweed - Sea Salt, Premium Roasted Seaweed - Sea Salt &amp; Avocado, Premium Roasted Seaweed - Teriyaki, Premium Roasted Seaweed - Toasted Sesame, Premium Roasted Seaweed - Wasabi, Roasted Seaweed - Sushi Nori, Roasted Seaweed Snacks - Chili Lime, Roasted Seaweed Snacks - Korean BBQ - Gochujang, Roasted Seaweed Snacks - Sea Salt &amp; Teriyaki, Roasted Seaweed Snacks - White Cheddar (non-dairy), Roasted Seaweed with Sea Salt, Roasted Teriyaki Seaweed Snack, Teriyaki Powder</t>
  </si>
  <si>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</si>
  <si>
    <t>Other: Pasta (Brown Rice Pasta (Angel Hair, Elbows, Fettuccine, Fusilli, Jumbo Shells, Lasagna, Linguine, Mini Shells, Penne, Rotini, Shells, Spaghetti), Chickpea pasta (Fusilli, Penne, Shells, Spaghetti), Chickpea Pasta High Protein (Fusilli, Penne), Corn/Quinoa Pasta (Elbows, Linguine, Penne, Rotelle, Shells, Spaghetti), Creamy Alfredo Gourmet Penne pasta, Creamy Mushroom Gourmet Penne Pasta, Dairy Free Gluten free Penne &amp; Cheese (Alfredo, Cheddar), Elbows, Mac &amp; Cheese with White Cheddar and Brown Rice Elbows, Mac &amp; Cheese with Yellow Cheddar Cheese and Brown Rice Elbows, Mac &amp; Cheese with Yellow Cheddar Cheese and White Rice Elbows, Mac N' Cheese Gourmet meal, Penne, Puris Yellow Pea Pasta (Elbow, Rotini), Quinoa pasta (Elbows, Fusilli, Orzo, Penne, Spaghetti), Rotini, Sorghum Pasta (Fusilli, Penne), Spaghetti, Spicy Mac N' Cheese Gourmet meal, Supergrain Pasta - Corn/Quinoa (Elbows, Garden pagodas, Linguine, Llamas, Mac &amp; Cheese,  Mac &amp; Cheese Mild Cheddar, Mac &amp; Cheese Sharp Cheddar, Mac &amp; Cheese White Cheddar, Penne, rotini, Shells, Spaghetti, Veggie Curls), Vegan Mac pasta Meal, White Cheddar Mac Pasta Meal, White Rice Pasta (Elbows, Jumbo Shells, lasagna, Shells, Spaghetti, Ziti))</t>
  </si>
  <si>
    <t>Other: #Brokering of dairy products, Double Cream Classic Cottage Cheese (6%), Lactose Free Cottage Cheese (4%), Low-fat Classic Cottage Cheese (2%), Pineapple Cottage Cheese, Pumpkin &amp; Spice Cottage Cheese (4%), Sour Cream, Strawberry Chia Cottage Cheese, Whole Milk Classic Cottage Cheese (4%)</t>
  </si>
  <si>
    <t>Dairy: Milk (Chocolate Milk (lowfat)), Milk (Strawberry Milk (lowfat)), Milk (Vanilla Milk (lowfat)); Beverage Related Products: Juice (Fruit Fusion flavored juice beverage), Juice (Grape flavored juice beverage)</t>
  </si>
  <si>
    <t>Condiments and Sweeteners: Maple Spread, Sweeteners (Maple Sugar), Syrups (Maple Syrup); Other: Maple Candy, processing, packaging, and labeling maple syrup and maple products</t>
  </si>
  <si>
    <t>Dairy: Butter (Raw Sunflower seed, Raw Walnut, Raw Hazelnut)</t>
  </si>
  <si>
    <t>Other: Whole raw milk</t>
  </si>
  <si>
    <t>Animal Feed: Livestock Feed (Barley), Livestock Feed (Corn), Livestock Feed (Cracked Corn), Livestock Feed (Custom Organic Dairy Ration), Livestock Feed (Custom Organic Goat Ration), Livestock Feed (Custom Poultry Feed Mixes), Livestock Feed (Oats), Livestock Feed (Organic Broiler Grower 18%), Livestock Feed (Organic Calf Grower 18%), Livestock Feed (Organic Calf Starter 20%), Livestock Feed (Organic Chick Starter 20%), Livestock Feed (Organic Duck Grower 18%), Livestock Feed (Organic Duck Layer 18%), Livestock Feed (Organic Goat Ration 16%), Livestock Feed (Organic Layer Mash 17%), Livestock Feed (Organic NO SOY Broiler Grower), Livestock Feed (Organic NO SOY Layer), Livestock Feed (Organic NO-SOY Chick Starter), Livestock Feed (Organic NO-SOY Swine Grower), Livestock Feed (Organic Scratch), Livestock Feed (Organic Sheep Ration 16%), Livestock Feed (Organic Swine Grower 16%), Livestock Feed (Organic Turkey Starter 25%), Livestock Feed (Roasted Soybeans), Livestock Feed (Soybeans); Other: Brokering Grains and Beans, Drying Grains and Beans, Grinding Livestock Feed including Custom Mixes, Labeling Livestock Feed including Custom Mixes, Mixing Livestock Feed including Custom Mixes, Packaging Livestock Feed including Custom Mixes, Roasting Soybeans</t>
  </si>
  <si>
    <t>Other: Livestock Feed (Custom Organic Complete Beef Cattle Blends), Livestock Feed (Custom Organic Complete Dairy Cattle Feed Blends), Livestock Feed (Custom Organic Complete Hog Feed Blends), Livestock Feed (Custom Organic Complete Poultry Feed Blends), Livestock Feed (IFA Organic Chick Starter), Livestock Feed (IFA Organic Cracked Corn), Livestock Feed (IFA Organic Hen Scratch), Livestock Feed (IFA Organic Hog Grower), Livestock Feed (IFA Organic Layer Crumbles), Livestock Feed (IFA Organic Layer Pellets), Livestock Feed (IFA Organic Livestock Blend), Livestock Feed (IFA Organic Poultry Grower), Livestock Feed (IFA Organic Soy-Free Layer Pellets), Livestock Feed (Kreamer Organic Layer Crumbles), Livestock Feed (Kreamer Organic Layer Pellets), Livestock Feed (Nature's Harmony Organic Chick Starter), Livestock Feed (Nature's Harmony Organic Hen Scratch), Livestock Feed (Nature's Harmony Organic Hog Grower), Livestock Feed (Nature's Harmony Organic Layer Crumbles), Livestock Feed (Nature's Harmony Organic Layer Pellets), Livestock Feed (Nature's Harmony Organic Livestock Blend), Livestock Feed (Nature's Harmony Organic Soy-Free Layer Pellets), Livestock Feed (Organic 2 Ingredient Scratch), Livestock Feed (Purina Organic Layer Crumbles), Livestock Feed (Purina Organic Layer Pellets), Livestock Feed (Purina Organic Scratch), Livestock Feed (Purina Organic Starter/Grower), Livestock Feed - Barley, Livestock Feed - Canola Meal, Livestock Feed - Carrot Meal, Livestock Feed - Corn, Livestock Feed - Corn (Organic Cracked Corn), Livestock Feed - Flax Meal, Livestock Feed - Oats, Livestock Feed - Peas, Livestock Feed - Rye, Livestock Feed - Soybean Meal, Livestock Feed - Wheat, Livestock Pellets - Alfalfa, Screenings Livestock Feed</t>
  </si>
  <si>
    <t>Other: A&amp;E Cold Brew (Midway Cold Brew), Benedikt Dairy Blend, Black Forest, Blackbird Doodle, Blackbird Espresso, Blackbird GM Blend, Blackbird House, Boards Brew, Brothers Cortado Eclipse, Brothers Cortado Gunstock Cold Brew, Cat Magic, Cup of Joe Espresso, Cup of Joe Gunstock Blend, Cup of Joe House Blend, Cup of Joe Light Blend, Hannah's Bakery Espresso, Hannah's Bakery House Blend, Kook's BonBon Espresso, Kook's Breakfast Blend, Kook's Gunstock Cold Brew, Live Juice House Blend, Lunchbox Blend, Midway Cafe Breakfast, Midway Cafe Espresso, Midway Cafe House, Midway Cold Brew, Mind Warp, Neon Venom, Ollie Bold, Ollie Brew, Ollie's Bonbon Espresso, Optimist Blend, Optimist Bonbon Espresso, O'Shea House, O'Shea O'Spresso, O'Shea Pale, O'Shea's Cold Brew, Polish Princess, Punkstock, Rip Roar, Smashpop Espresso, Super Groove, Wild Muse, Yeah!Yeah!</t>
  </si>
  <si>
    <t>Dairy: Milk (Bulk Milk (Cow))</t>
  </si>
  <si>
    <t>Other: Non-Dairy Frozen Dessert (Coffee Bean Plant-Based Gelato), Non-Dairy Frozen Dessert (Coffee Cacao Crunch Cookie Sandwich), Non-Dairy Frozen Dessert (Fresh Mint Chip Cookie Sandwich), Non-Dairy Frozen Dessert (Fresh Mint Chip Plant-Based Gelato), Non-Dairy Frozen Dessert (Golden Mylk Cookie Sandwich), Non-Dairy Frozen Dessert (Golden Mylk Plant-Based Gelato), Non-Dairy Frozen Dessert (Reishi Chocolate Cookie Sandwich), Non-Dairy Frozen Dessert (Reishi Chocolate Plant-Based Gelato), Non-Dairy Frozen Dessert (Vanilla Bean Cookie Sandwich), Non-Dairy Frozen Dessert (Vanilla Bean Plant-Based Gelato), Non-Dairy Frozen Dessert (Cardamom Cookie Sandwich), Non-Dairy Frozen Dessert (Cardamom Plant-Based Gelato)</t>
  </si>
  <si>
    <t>Other: Alfalfa, Broiler Grower Crumbles, Bulk Feed, Calf Starter, Chick Starter, Coarse Layer Mash, Custom Rations, High Energy 16% Dairy Pellets, Layer Mash, Layer Pellets, Organic Cracked Corn, Pig Pellets, Poultry Grower Pellets, Scratch, Sheep Pellets, Soy Free Layer Pellets, Turkey Grower Pellets, Turkey Starter Mash</t>
  </si>
  <si>
    <t>Dairy: Milk (Milk (Buffalo))</t>
  </si>
  <si>
    <t>Other: 0243 Organic FT Akoma Extra Semisweet Chocolate Chips 55% Cacao 10 oz Bag, 3195 Organic Cocoa Butter. 5184FT Fair Trade Organic Cocoa Butter, 5222FT Organic Vegan Dairy-Free Fair Trade 55% Cacao Bittersweet Chocolate Cookie Drops 900 Count, 5242FT Organic Vegan Dairy-Free Fair Trade 55% Cacao Cookie Drops 4000 Count, 5380FT Organique 38% Cacao Milk Chocolate Wafers, 5381 Organic Rainforest Alliance 38% Cacao Milk Chocolate Soy, 5381X Organic Rainforest Alliance 38% Cacao Milk Chocolate Sunflower, 5382 Organic 38% Cacao Milk Chocolate Wafers, 5540X Organic Semisweet Chocolate Couverture 54% Cacao, 5541 Organic Rainforest Alliance 54% Cacao Soy, 5541X Organic Rainforest Alliance 54% Cacao Sunflower, 5542X Organic 54% Cacao Bittersweet Chocolate, 5660FT Organique 66% Cacao Bittersweet Chocolate Wafers, 	5669FT Organic Peru 66% Cacao Bittersweet Chocolate Made With Coconut Sugar Wafers, 	5740FT Organique 74% Cacao Bittersweet Chocolate Wafers, 5800 80% Cacao Chocolate Organic Rainforest Alliance Certified Cacao, 	5910FT Organic Fair Trade Organique 91% Cacao Extra Dark Chocolate Wafers, 7380FT Organic 38% Cacao Milk Chocolate Baking Wafers, 7660FT Organic 66% Cacao Semisweet Chocolate Baking Wafers, 7740FT Organic 74% Cacao Bittersweet Chocolate Baking Wafers, 7542 Organic Natural High Fat Cocoa</t>
  </si>
  <si>
    <t>Other: Baby Food - Fruit &amp; Veggie Pouch Variety Pack 18 ct, Baby Food - Fruit Combo Jars Variety Pack 12 ct, Baby Food - Fruit Jars Variety Pack 12 ct, Baby Food - Fruit Yogurt Smoothie Variety Pack (Strawberry Banana, Mixed Berry), Baby Food - Protein Jars Variety Pack 12 ct, Baby Food - Protein Pouch Variety Pack 18 ct, Baby Food - Sesame Street Banana Pouch Variety Pack 18 ct, Baby Food - Sesame Street Variety Pack 12 ct, Baby Food - Veggie Jars Variety Pack 12 ct, Baby Food, Stage 1 - Chicken &amp; Chicken Broth, Baby Food, Stage 1 - First Apples, Baby Food, Stage 1 - First Bananas, Baby Food, Stage 1 - First Carrots, Baby Food, Stage 1 - First Pears, Baby Food, Stage 1 - First Peas, Baby Food, Stage 1 - First Sweet Potatoes, Baby Food, Stage 1 - First Winter Squash, Baby Food, Stage 1 - Turkey &amp; Turkey Broth, Baby Food, Stage 2 - • Sweet Potato, Squash &amp; Chicken, Baby Food, Stage 2 - Apple Butternut Squash, Baby Food, Stage 2 - Apples, Baby Food, Stage 2 - Apples &amp; Blueberries, Baby Food, Stage 2 - Apples &amp; Plums, Baby Food, Stage 2 - Banana Mango, Baby Food, Stage 2 - Bananas, Baby Food, Stage 2 - Carrots, Baby Food, Stage 2 - Corn &amp; Butternut Squash, Baby Food, Stage 2 - Peach Oatmeal Banana, Baby Food, Stage 2 - Pears, Baby Food, Stage 2 - Pears &amp; Mangos, Baby Food, Stage 2 - Pears &amp; Raspberries, Baby Food, Stage 2 - Peas, Baby Food, Stage 2 - Sweet Potatoes, Baby Food, Stage 2 - Vegetable Turkey Dinner, Baby Food, Stage 2 - Winter Squash, Baby Food, Stage 2 -• Butternut Squash, Chicken &amp; Multigrain, Baked Goods - Mini Pancakes Blueberry, Baked Goods - Mini Pancakes Homestyle, Bars - Sunny Days Snack Bars Apple, Bars - Sunny Days Snack Bars Strawberry, Bars - Sunny Days Snack Bars Sweet Potato Carrot, Beverages - Grape Berry Electrolyte Solution, Beverages - Toddler Milk Drink Powder, Beverages -Apple Citrus Electrolyte Solution, Breakfast Biscuits Blueberry, Broth - Chicken Broth, Broth - Low Sodium Beef Broth, Broth - Low Sodium Chicken Broth, Broth - Low Sodium Vegetable Broth, Broth - Miso Broth, Broth - Vegetable Broth, Butter - Raisin - Dried - (O), Canned Goods - Baked Beans, Canned Goods - Baked Beans, Canned Goods - Fat Free Refried Beans, Canned Goods - Maple &amp; Onion Baked Beans, Canned Goods - Refried Black Beans, Canned Goods - Traditional Refried Beans, Cereal - Whole Grain Multi-Grain Cereal, Cereal - Whole Grain Oatmeal Cereal, Condiments - Mayonnaise made with Cage Free Eggs, Condiments - Mayonnaise with Extra Virgin Olive Oil, Condiments - Roasted Turkey Flavored Gravy, Condiments - Savory Beef Flavored Gravy, Condiments - Sriracha Mayonnaise, Condiments - Vegan Wild Mushroom Gravy, Cookies - Crunchin' Graham Cookies Honey Sticks, Cookies - Letter of the Day Cookies Oatmeal Cinnamon, Cookies - Letter of the Day Cookies Very Vanilla, Corn Products - Blue Corn Taco Dinner Kit, Corn Products - Blue Taco Shells, Corn Products - Yellow Corn Taco Dinner Kit, Corn Products - Yellow Taco Shells, Crunchy Sticks - Carrot Apple, Crunchy Sticks - Cheddar Cheese, Crunchy Sticks - Garden Veggie, Crunchy Sticks - Strawberry Banana, Flour - Barley - Steamed - (O), Flour - Oat - Whole - (O), Flour - Spelt - Whole - (O), Food Additive - Agave Inulin - (O), Frozen Entrée - Chicken Fries, Fruit - Apple - Aseptic - Puree - Non-Acidified - 20Bx Concentrate - (O), Fruit - Apple - Aseptic - Puree - Single Strength - Mid Acid - (O), Fruit - Banana - Aseptic - Puree - (O), Fruit - Blueberry - Aseptic - Puree - 12 Brix - (O), Fruit - Blueberry - Frozen - Puree - (O), Fruit - Mango - Aseptic - Puree - Kent - (O), Fruit - Mango - Aseptic - Puree - Multi-Variety - (O), Fruit - Peach - Aseptic - Puree - 20 Brix - (O), Fruit - Peach - Puree - Single Strength - (O), Fruit - Pear - Aseptic - Puree - Single Strength - (O), Fruit - Pear - Puree - 30 Brix - (O), Fruit - Raspberry - Frozen - Puree - (O), Fruit - Strawberry - Frozen - Puree - (O), Fruit Yogurt Smoothie, Apple Blueberry, Fruit Yogurt Smoothie, Banana Peach, Fruit Yogurt Smoothie, Mixed Berry, Fruit Yogurt Smoothie, Pear Mango, Fruit Yogurt Smoothie, Strawberry Banana, Infant Formula - Dairy Infant Formula Without DHA or ARA, Infant Formula - Gentle Infant Formula with Iron (Milk Based Powder), Infant Formula - Milk Infant Formula with Iron, Infant Formula - Sensitivity Infant Formula with Iron, Infant Formula - Soy Infant Formula with Iron, Juice - Orange - Concentrate (FC) - (O), Juice - Pineapple - Aseptic - Concentrate (FC) - (O), Lip Balm - Hawaiian Coconut Cream Lip Balm, Munchy Fingers Mango Carrot, Munchy Fingers Mixed Berry, Oils - All Vegetable Butter Flavor Shortening, Oils - All Vegetable Shortening, Oils - Berry Blend Flax &amp; Cranberry Oil with Lignans, Oils - Canola Oil Bulk, Oils - Canola Oil Refined, Oils - Cayenne Pepper Olive Oil Cold Infused, Oils - Coconut Oil Refined, Oils - Coconut Oil Refined (Expeller Pressed), Oils - Coconut Oil Unrefined, Oils - Coconut Oil Unrefined, Oils - Coconut Oil Unrefined, Fair Trade, Oils - Coconut Oil, Virgin, Unrefined, Oils - Decadent Blend Flax &amp; Chia Oil with Lignans, Oils - Extra Virgin Olive Oil, Oils - Flax Borage Oil, Oils - Flax Oil, Oils - Flax Oil Cinnamon, Oils - Flax Oil Enriched with Lignans, Oils - Flax Oil Enriched with Lignans and Antioxidants (Shelf Stable), Oils - Flax Oil Ultra Lignan with Vitamin D, Oils - Flax Oil with Antioxidants (Shelf Stable), Oils - Flax Oil, Debittered, Oils - Garlic &amp; Chili Sesame Oil Cold Infused, Oils - Keto Blend - Olive &amp; MCT Oil, Oils - Olive Oil Spray, Oils - Olive Oil, Extra Virgin, Unrefined, Mediterranean, Oils - Olive Oil, Unrefined, Extra Virgin, Oils - Omega Blend - Olive &amp; Hemp Oil, Oils - Omega-3 Olive Oil, Oils - Palm Oil (aka Palm Shortening), Oils - Palm Oil Stearin, Oils - Peanut Oil, Refined, Oils - Peanut Oil, Refined, Oils - Rosemary Olive Oil Cold Infused, Oils - Safflower Oil Refined, High Heat, Oils - Safflower Oil Refined, High Heat, Oils - Savory Blend Flax &amp; Hemp Oil, Oils - Sesame Oil Unrefined, Oils - Sesame Oil Unrefined, Oils - Sesame Oil Unrefined Toasted, Oils - Sesame Oil Unrefined Toasted, Oils - Soy Oil Refined, Oils - Sunflower Oil, High Oleic, Oils - Sunflower Oil, Refined, PB &amp; J Bites - Apple Flavored, PB &amp; J Bites - Peanut Butter &amp; Grape Flavored, PB &amp; J Bites - Peanut Butter &amp; Strawberry Flavored, Pouches - Apple Strawberry, Pouches - Apple Strawberry Spinach, Pouches - Apple, Sweet Potato, Pumpkin, &amp; Blueberry, Pouches - Bone Support Yogurt Smoothie Pear Mango Carrot, Pouches - Brain Support Fruit + Veggie Smoothie Apple Raspberry Avocado, Pouches - Carrot Pear, Pouches - Digestive Support Yogurt Smoothie Banana Pumpkin Raisin, Pouches - Immune Support Yogurt Smoothie Banana Orange Pineapple, Pouches - Mac + Cheese with Veggies, Pouches - Pasta Marinara with Veggies, Pouches - Peach Mango Squash, Pouches - Second Foods - Banana Raspberry &amp; Whole Grain Barley, Pouches - Sweet Potato Banana &amp; Oat, Pouches - Third Foods - Banana Apple Blueberry Baby Food Puree, Pouches - Third Foods - Beef Medley, Pouches - Third Foods - Chicken Casserole, Pouches - Third Foods - Four Bean Feast, Pouches - Third Foods - Red Lentil Veggie Bake, Pouches - Veggie + Bean Medley, Pouches 2 - Pasta with Tomato &amp; White Bean (made with olive oil), Pouches- Banana Orange, Pouches -Butternut Squash Mango + Sweet Peas Baby Food Puree, Pouches- Chicken + Veggie Medley, Pouches- Pear Butternut Squash, Pouches- Third Foods - Squash Broccoli Red Lentil with Oats, Pouches-Apple Raisin Oatmeal, Pouches-Second Foods - Apple &amp; Sweet Potato Baby Food Puree, Pouches-Second Foods - Apple Peach Oatmeal Fruit and Grain Puree, Pouches-Second Foods - Banana Bluberry &amp; Oat, Pouches-Second Foods - Butternut Squash Pear Baby Food Puree, Pouches-Second Foods - Carrots &amp; Broccoli Baby Food Puree, Pouches-Second Foods - Orange Banana Baby Food Puree, Pouches-Second Foods - Peach Mango Baby Food Puree, Pouches-Second Foods - Pear Apricot Barley Fruit and Grain Puree, Pouches-Second Foods - Squash &amp; Sweet Peas Baby Food Puree, Pouches-Second Foods - Sweet Potato &amp; Beets Baby Food Puree, Pouches-Second Foods - Wholesome Breakfast Sweet Potato Cinnamon, Pouches-Third Foods - Cheesy Pasta with Veggies, Pouches-Third Foods - Chicken Pot Pie, Pouches-Third Foods - Pear Carrot Apricot Baby Food Puree, Pouches-Third Foods - Potatoes, Turkey and Green Beans, Rice Beverages - Original Unsweetened Rice Non-Dairy Beverage, Seed Derived Products - Flax Meal, Seeds - Chia Seed Omega-3 &amp; Fiber, Seeds - Cold Milled Ground Premium Flaxseed with Mixed Berries, Seeds - Decadent Blend Chia and Flax Seed (Coconut &amp; Cocoa), Seeds - Ground Chia Seed, Seeds - Ground Premium Flax Seed, Seeds - Orchard Fruit Blend Ground Flaxseed, Seeds - Tropical Fruid Blend Ground Flaxseed and Camu Camu Powder, Seeds - Whole Premium Flax Seed, Sesame Street Yogurt Smoothies - Fruit Yogurt Smoothie Pineapple Orange Banana, Snack Foods - Blue Chips No Salt Added, Snack Foods - Blue Chips with Sea Salt, Snack Foods - Blue Tortilla Chips No Salt, Snack Foods - Blueberry Snack Bars, Snack Foods - Classic Tortilla Chips Variety Pack, Snack Foods - Crunchin' Crackers Original, Snack Foods - Mini Yellow Corn Round Tortilla Chips, Snack Foods - Multigrain Tortilla Chips Sea Salt, Snack Foods - Red Hot Blues Tortilla Chips, Snack Foods - Red Hot Blues Tortilla Chips Salted, Snack Foods - Red, White, and Blue Tortilla Chips Variety Pack, Snack Foods - Sesame Blues Tortilla Chips, Snack Foods - Sesame Blues with Sea Salt, Snack Foods - Veggie Puffs Cheddar, Snack Foods - Veggie Puffs Original, Snack Foods - White Chips with Sea Salt, Snack Foods - White Corn Tortilla Chips Salted, Snack Foods - Wicked Hot Tortilla Chips, Snack Foods - Yellow Chips w/Sea Salt, Snack Foods - Yellow Corn Chips Salted, Snack Foods Blue Tortilla Chips Salted, Snacks - Breakfast Biscuits Blueberry, Snacks - Peanut Butter Puffs - Baked Corn Puffs, Snacks - Veggie Straws Sea Salt, Snacks - White Chips - Corn Tortilla Chips with a Touch of Lime, Soup - Chicken Noodle Soup Low Sodium, Soup - Chicken Rice Soup Low Sodium, Soup - Cream of Mushroom Soup, Soup - Creamy Broccoli Soup, Soup - Creamy Butternut Squash Soup, Soup - Creamy Garden Tomato Reduced Sodium, Soup - Creamy Potato Leek Soup, Soup - Creamy Sweet Pea Soup, Soup - Creamy Tomato, Soup - Creamy Tomato &amp; Basil Soup, Soup - Creamy Tomato Soup, Soup - Free Range Chicken Broth, Soup - Lentil Soup N/S, Soup - Light in Sodium Creamy Butternut Squash Soup, Soup - Light in Sodium Creamy Garden Tomato Soup, Soup - Low Sodium Butternut Squash Soup, Soup - Low Sodium Free Range Chicken Broth, Soup - Low Sodium No-Chicken Broth, Soup - Low Sodium Vegetable Broth, Soup - Minestrone Soup N/S, Soup - No-Chicken Broth, Soup - Ramen Broth, Soup - Super Greens Creamy Soup, Soup - Tomato Soup N/S, Soup - Vegetable Broth, Soup - Vegetable Soup N/S, Spreads - Almond Butter Creamy, Spreads - Almond Butter Raw Creamy, No Salt, Spreads - No Stir Peanut Butter Creamy (No Sugar or Salt Added), Spreads - Peanut Butter Creamy, Spreads - Peanut Butter Creamy, No Stir, Spreads - Peanut Butter Crunchy, Spreads - Peanut Butter Crunchy, Spreads - Peanut Butter Crunchy, No Stir, Spreads - Raw Almond Butter, Creamy, Spreads, Raw Almond Butter, Crunchy, Spring Veggies - Melty Hoops, Strawberries and Mangoes- Melty Hoops, Support Smoothies Variety Pack, Taco Seasoning, Tea - Chamomile &amp; Lavender Tea, Tea - Cinnamon &amp; Cardamom Herbal Tea, Tea - Ginger &amp; Turmeric Herbal Tea, Tea - Jasmine Green Tea, Tea - Pure Green, Trade Name:Variety Pack - Baby Food Pouch 18 Ct, Vegetable - Butternut Squash - Aseptic - Puree - (O), Vegetable - Butternut Squash - Frozen - Puree - (O), Vegetable - Carrot - Aseptic - Puree - Org - (O), Vegetable - Frozen - Puree - Hass Avocado - UHP - (O), Vegetable - Spinach - IQF - Chopped, 1/4" to 1/2" - (O), Vegetable - Squash Pumpkin - Aseptic - Puree - (O), Vegetable - Sweet Potato - Aseptic - Puree - (O), Vegetable - Sweet Potato - Aseptic - Puree - EU Source - (O), Vegetable - Sweet Potato - Aseptic - Puree - Low HM - (O), Vinegar - Apple Cider Filtered Vinegar, Vinegar - Apple Cider Filtered Vinegar, Vinegar - Apple Cider Unfiltered Vinegar, Vinegar - Apple Cider Unfiltered Vinegar, Vinegar - Balsamic Vinegar, Vinegar - Balsamic Vinegar, Vinegar - Distilled White Vinegar, Vinegar - Distilled White Vinegar, Vinegar - Golden Balsamic Vinegar, Vinegar - Red Wine Vinegar, Vinegar - Red Wine Vinegar, Vinegar - White Wine Vinegar, Yogurt - Honey, Yogurt - Honey Flavored - Costco 2 Pack, Yogurt - Traditional Plain, Yogurt - Vanilla, Yogurt - Whole Milk - (O)</t>
  </si>
  <si>
    <t>Other: 32TF310648.00 STRAWBERRY BANANA NAT FLAVOR WONFE, ALOE VERA GEL DICED, ASEPTIC MANGO PUREE*, ASEPTIC NATURAL ORGANIC BANANA PUREE DESEEDED, BARLEY GRASS POWDER, BEET ROOT POWDER, CEYLON CINNAMON POWDER, COCOA POWDER ALKALIZED 10/12*, COCONUT MEAT (CHILLED OR FROZEN), COCONUT MEAT IQF, COCONUT MEAT PUREE WITH COCONUT WATER*, COCONUT MEAT PUREE WITHOUT COCONUT WATER*, COCONUT PUREE*, COCONUT SMOOTHIE - RADIANT GREENS *, COCONUT SMOOTHIE- PUMPKIN SPICE, COCONUT SMOOTHIE-CHOCOLATE PEPPERMINT, COCONUT SMOOTHIE-COCONUT NOG, COCONUT SMOOTHIE-ORANGE CREAM, COCONUT SMOOTHIE-STRAWBERRY BANANA, COCONUT WATER MANGO, COCONUT WATER ORIGINAL, COCONUT WATER WATERMELON, COCONUT WATER WITH ALOE PULP, COCONUT WATER WITH WATERMELON, COCONUT WITHOUT COCONUT WATER, DICED COCONUT MEAT IN WATER SLURRY*, GJ COCONUT PUREE*, HARMLESS COCONUT SMOOTHIE, HARMLESS COCONUT SMOOTHIE-CHOCOLATE*, HARMLESS COCONUT SMOOTHIE-MANGO*, HARMLESS COCONUT WATER ORIGINAL*, HARMLESS COCONUT WATER PINK LADY APPLE, HARMLESS COCONUT WATER WITH PULP*, JUICE ] PINEAPPLE JUICE NFC, JUICES ] ORANGE JUICE NFC, JUICES ] PASSION FRUIT JUICE NFC, JUICES ]WATERMELON JUICE, NFC, KALE POWDER, MANGO SC971337, MANGO SC996165, MORINGA LEAF POWDER, NUTMEG POWDER, OC-10507-TYPE PUMPKIN SPICE FLAVOR, PUREE ] PUMPKIN PUREE, PUREE ] SPINACH PUREE, PUREE ] STRAWBERRY PUREE PASTEURIZED FROZEN, SC1021698 PINEAPPLE, SC999759 ORANGE EXTRACT, SPARKLING COCONUT WATER, SPARKLING COCONUT WATER WITH WATERMELON, SPINNEYS FOOD ORGANIC COCONUT WATER, SPIRULINA POWDER, TC 127567 NATURAL VANILLA FLAVOR WONF, TC126689 NATURAL PEPPERMINT FLAVOR, TURMERIC POWDER, ULTRA-PASTEURIZED DAIRY FREE YOGURT PUREE*</t>
  </si>
  <si>
    <t>Other: Apple Juice, NFC, Banana Puree, Barley Grass Powder, Beetroot Powder, Blueberry Cultured Coconut, Ceylon Cinnamon Powder, Chocolate Peppermint Smoothie, Chocolate Smoothie, Cocoa Powder, Coconut Meat IQF, Coconut Meat Puree with Coconut Water, Coconut Nog Smoothie, Coconut Smoothie, Coconut Smoothie 10oz/6ct, Coconut Water, Coconut Water &amp; a Hint of Mango, Coconut Water &amp; a Hint of Mango 12oz/6ct, Coconut Water &amp; a Hint of Pink Lady Apple, Coconut Water &amp; a Hint of Pink Lady Apple 12oz/6ct, Coconut Water &amp; a Hint of Watermelon, Coconut Water &amp; a Hint of Watermelon 12oz/6ct, Coconut Water 12oz/12ct, Coconut Water 12oz/4ct, Coconut Water 12oz/6ct, Coconut water 14oz/6ct, Coconut Water 32oz/6ct, Coconut Water with Aloe Pulp, Coconut Water with Pulp, Coconut Water with Pulp 12oz/4ct, Kale Powder, Lemon Juice NFC, Mango Cultured Coconut, Mango Flavor, Mango Probiotic Dairy-Free Yogurt Drink, Mango Puree S/S, Mango Smoothie, Moringa Powder, Nutmeg Powder, Orange Cream Smoothie, Orange Extract, Orange Juice NFC, Passionfruit Juice, Peach Cultured Coconut, Peppermint Flavor, Pineapple Flavor, Pineapple Juice, Pumpkin Puree, Pumpkin Spice Flavor, Pumpkin Spice Smoothie, Radiant Greens Smoothie, Rich &amp; Creamy Berry Medley, Rich &amp; Creamy Black Cherry, Rich &amp; Creamy Peach Mango, Rich &amp; Creamy Unsweetened Plain, Rich &amp; Creamy Unsweetened Vanilla, Sparkling Coconut Water, Sparkling Coconut Water with Watermelon, Spinach Puree, Spirulina Powder, Strawberry Banana Flavor, Strawberry Banana Smoothie, Strawberry Cultured Coconut, Strawberry Probiotic Dairy-Free Yogurt Drink, Strawberry Puree Seedless, Turmeric Powder, Unsweetened Plain Cultured Coconut, Unsweetened Plain Probiotic Dairy-Free Yogurt Drink, Vanilla Cultured Coconut, Vanilla Flavor, Watermelon Juice NFC</t>
  </si>
  <si>
    <t>Dairy: Milk (Bulk)</t>
  </si>
  <si>
    <t>Dairy: Milk (Milk - Bulk); Other: Roasting of Soybeans - Animal Grade Feed - Bulk Only</t>
  </si>
  <si>
    <t>Dairy: Cheese, Cheese, Cheese, Cheese, Cheese, Cheese, Cheese, Cheese, Cheese, Cheese, Cheese, Cheese, Cheese, Cheese, Cheese, Cheese, Cheese, Milk, Milk, Yogurt, Yogurt, Yogurt, Yogurt</t>
  </si>
  <si>
    <t>Other: #Processing, bagging, and labeling of livestock feed., 15% Organic Heifer Grower, 16% Organic Calf Grower, 16% Organic Layer RSB, 18% Organic Calf Starter, 20% Organic Calf Starter, and 16% Organic Layer Mash, Complete Feed Blends: 12% All Stock Grain Mix, 12% Heifer Finisher 14% Calf Grower, 14% Dairy Calf Feed, 15% Heifer Developer, 15% Heifer Grower, 16% Calf Grower, 16% Lactating Dairy Cow &amp; Goat Feed, 18% Calf Starter, 20% Calf Starter; 16% Pig Feed, Swine Finisher; 16% Layer, 16% Layer Mash, 16% Layer RSB, 17% Pullet Grower, 18% Broiler, 18% Layer, 18% Chick Grower, 20% Chick Starter, 20% Poultry, 24% Poultry, Non-Soy Layer, Non-Soy Chick Grower, PreLayer, Pullet Developer, RSB Layer; Turkey Gamebird;, Custom Feed Blends (for individual producers, using organic agricultural and approved nonagricultural ingredients), Mineral Blends (with organic ingredients): Grazing Cattle Mineral 1206, Lactating Dairy Mineral, Single-ingredient products: Alfalfa Meal, Barley, Fish Meal, Kelp Meal, Oats, Peas (field), Rolled Corn, Shell Corn, Soybean (meal, roasted), Spelt, Wheat (whole)</t>
  </si>
  <si>
    <t>Other: Dairy, Fruits, Herbs, Non-Dairy Beverages, Vegetables; Ripening of Organic Avocados and Bananas; Certified to Store, Distribute, Import and Broker Pre-Packaged Retail Organic Product</t>
  </si>
  <si>
    <t>Other: Dairy, Fruits, Herbs, Non-Dairy Beverages, Ready-to-Eat Processed Foods, Vegetables; Certified to Store, Distribute, Import and Broker Pre-Packaged Retail Organic Product; Certified to Perform the Processing Activity of Ripening Organic Avocados and Bananas</t>
  </si>
  <si>
    <t>Other: Other: Dairy, Fruits, Herbs, Non-Dairy Beverages, Ready-to-Eat Processed Foods, Vegetables; Certified to Store, Distribute, Import and Broker Pre-Packaged Retail Organic Product; Certified to Perform the Processing Activity of Ripening Organic Avocados and Bananas</t>
  </si>
  <si>
    <t>Other: A016 - All In One Poultry Premix, A018 - Aloe Vera Plus GARLIC &amp; KELP, A037 - D.U.A. For Organic Livestock Production, A039 - D.U.A. Pellets, A058 - Flax Nutritional Supplement 17 lbs, A059 - Flax Nutritional Supplement 40 lbs, A070 - GOAT &amp; SHEEP 1:1 FREE CHOICE MINERAL, A096 - MOP, A101 - DUA GRP 25lb Bag, A116 - PRO BI for Pets, A117 - PRO BI, A118 - PRO BI, A132 - Super Vitamins Plus, A137 - UL-Blend – 2.5 lb bag, A138 - VTM for Poultry, A139 - VTM for Swine, A141 - 2% I-Mix, A142 - A-Mix, A143 - Buffer Plus, A144 - BVC-Mix, A145 - C-Mix, A146 - Cu-Mix, A147 - K-Mix, A150 - M-Mix, A151 - P-Mix, A152 -SE Top Choice Mix for Beef and Equine, A153 - S-Mix, A154 - TS K-Mix, A155 - Zn-Mix, A195 - A.B.C.'s G.R.P. 25lb Bucket, A196 - A.B.C.'s G.R.P. 25lb Bag, A202 - Free Choice G.R.P., A214 - VTM for Sheep and Goats, A217 - A.B.C.'s Fortified 12.5lb Bucket, A218 - A.B.C.'s Fortified 25lb Bag, A219 - A.B.C.'s Fortified 25lb Bucket, A223 - ABC's Garlic(6lbs), A224 - A.B.C.'s Plus(25lb bag), A225 - A.B.C.'s Plus(25lb bucket), A228 - A.B.C.'s Plus(12.5lb), A229 - Antioxidant Formula, A231 - Choline for Horses, A232 - Organic Dried Kelp (Seaweed) - 25 lb bag, A235 - ENERGY(25lb bag), A236 -ENERGY(25lb bucket), A237 - Enzymes 5 lb Bag, A239 -HOOF(12.5lb bucket), A240 - HOOF(25lb bag), A249 - N.O.M.S./IPR Pellets 25lb Bag, A250 - N.O.M.S./IPR Pellets 6lb Bag, A252 - RUSH CREEK 1:1 MINERAL(25lb), A283 - A.B.C.'s G.R.P. 12.5 lb Bucket, A288 - Organic Alfalfa Pellets, A312 - BEEF 1:1 MINERAL PLUS 25 lb, A313 - BEEF 2:1 MINERAL PLUS, A314 - BEEF HI PHOS MINERAL PLUS, A315 -DAIRY 1:1 MINERAL PLUS, A316 - DAIRY 2:1 MINERAL PLUS, A317 - DAIRY HI PHOS MINERAL PLUS, A319 - Non-Soy Amino Acid Concentrate, A320 - Non-Soy All Age Complete Poultry Feed, A327 - ABC'S GRP for Dogs 12 oz Bag, A329 - Enzymes 25lb Bag, A331 - Fortified G.R.P. 25lb Bag, A333 - Fortified G.R.P.12.5lb Bucket, A342 - SE Top Choice Mix for Dairy 25lb bag, A344 - SE Top Choice Mix for Sheep &amp; Goats 25lb bag, A345 - SE Top Choice Mix for Sheep &amp; Goats 5lb bag, A976 - D.U.A. G.R.P. Pellets 25lb Bag, B004 - Zn-Mix, B005 - M-Mix, B006 - P-Mix, B007 - S-Mix, B008 - Ts K-Mix, B009 - 2% I-Mix, B010 - Buffer Plus, B011 - SE Top Choice Mix, B012 - C-Mix, B013 - BVC-Mix, B014 - Cu-Mix, B015 - K-Mix, B016 - A-Mix, B037- 2 Pellets Tote, B038- 2 Pellets 25lb Bag, B041 - All in One Cattle Mineral, P001 - 2% I-Mix 5 lb Bag, P002 - Buffer Plus 5 lb Bag, P003 - A-Mix 12.5 Lb Bag, P004 - C-Mix 12.5 lb Bag, P005 - K-Mix 5 lb Bag, P006 - M-Mix 5 lb Bag, P007 - P-Mix 5 lb Bag, P008 - S-Mix 5 lb Bag, P009 - TS K-Mix 5 lb Bag, P010 - Zn-Mix 5 lb Bag, P011 - SE Top Choice Mix for Beef &amp; Equine 5 lb Bag, P012 - Cu-Mix 5lb Bag, P013 - BVC-Mix 12.5 lb Bag, P015 - MOP 5 lb Bag, P016 - Free Choice G.R.P. 12.5 Bag, P017 - RUSH CREEK 1:1 MINERAL 5 lb Bag, P020 - Organic Dried Kelp(Seaweed) 5 lb Bag</t>
  </si>
  <si>
    <t>Trees/Whole Plant Products/Flowers: Seeds; Meat Products: Custom Slaughter/Processing</t>
  </si>
  <si>
    <t>Other: Lactose Powder, Nonfat Milk Powder, Nonfat Milk Powder (Grassfed), Nonfat Milk Powder (NFDM LH GR A ORG 25KG), Nonfat Milk Powder (ORG West NFDM MH GR A), Nonfat Milk Powder (Organic West NFDM LH GR A 25KG Bag), Protein Concentrate (Grade A MPC 85), Sweet Dairy Whey Powder, Whey (Protein Isolate 90%), Whey Protein Concentrate (80% Agglomerated), Whey Protein Concentrate (80% Powder), Whey Protein Concentrate (80% Powder, Lactose Free), Whey Protein Concentrate (80% Powder, Lactose Free, Agglomerated), Whey Protein Concentrate (Powder), Whole Milk Powder, Whole Milk Powder (ORG West Whole Milk Powder 26% 25 KG 2YR), Whole Milk Powder (Organic Valley WMP 26% 25 KG)</t>
  </si>
  <si>
    <t>Other: Canola oil powder, Coconut oil powder, Flaxseed oil powder, MCT oil powder, Non dairy creamer, Powdered oil, Sunflower oil powder, Vegetable fat powder, Virgin coconut oil powder</t>
  </si>
  <si>
    <t>Processed  Items: Ready to Eat Foods, Ready to Eat Foods, Ready to Eat Foods, Ready to Eat Foods; Other Grains, Pastas and Cereals: Pasta, Pasta, Pasta, Wheat, Wheat, Wheat, Wheat, Wheat, Wheat, Wheat, Wheat, Wheat, Wheat, Wheat, Wheat, Wheat, Wheat, Wheat, Wheat, Wheat; Oils &amp; Oleoresins: Oils;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Sourdough Starter; Dairy: Butter, Butter, Buttermilk, Cream, Sour Cream; Condiments and Sweeteners: Vinegar; Bread/Bakery/Snacks: Ancient Grain Sourdough Tortilla, Bread, Bread, Bread, Bread, Bread, Bread, Bread, Bread, Bread, Bread, Bread, Bread, Bread, Bread, Bread, Bread, Bread, Bread, Bread, Bread, Bread, Bread, Bread, Bread, Bread, Bread, Bread, Bread, Bread, Bread, Bread, Bread, Bread, Buns; Beverage Related Products: Tea, Tea, Tea, Tea, Tea, Tea</t>
  </si>
  <si>
    <t>Dairy: Fluid Milk, Bottled Milk, Salted Butter</t>
  </si>
  <si>
    <t>Dairy: Cheese (Cheddar, Sharp Cheddar, Meadowrella, Baby Swiss, Havarti, Gruyere, Romano, Farmers)</t>
  </si>
  <si>
    <t>Other: Auction of Cattle - Beef, Dairy; Hay</t>
  </si>
  <si>
    <t>Other: Non-Dairy Frozen Desserts (Açaí Sorbet Original Açaí Berry), Non-Dairy Frozen Desserts (Frozen Scoopable Açaí)</t>
  </si>
  <si>
    <t>Other: Coffee (Decaffeinated) (Daily Ritual), Coffee (Decaffeinated) (French Roast), Coffee (Decaffeinated) (Half Mast), Coffee (Decaffeinated) (Luna Blend), Coffee (Decaffeinated) (Shotz Coffee House Blend), Coffee (Roasted) (5:00 PM Deadline Coffee), Coffee (Roasted) (Black Irish), Coffee (Roasted) (Blast Off Blend), Coffee (Roasted) (Bolivia Yungas Region AIPEAD Cooperative), Coffee (Roasted) (Brazil), Coffee (Roasted) (Breakfast Blend), Coffee (Roasted) (Camping Blend), Coffee (Roasted) (Colombia Finca La Pradera AIPEAD Cooperative), Coffee (Roasted) (Costa Rica La Amistad), Coffee (Roasted) (Cream City Blend), Coffee (Roasted) (Creamy Caramel), Coffee (Roasted) (Cup-O-Joe Blend), Coffee (Roasted) (Dairyman's Blend), Coffee (Roasted) (Double Dark French), Coffee (Roasted) (Earthquake Espresso), Coffee (Roasted) (Espresso 101), Coffee (Roasted) (Ethiopia), Coffee (Roasted) (Ferndale's Finest), Coffee (Roasted) (Fieldbrook Market &amp; Eatery House Blend), Coffee (Roasted) (French Roast), Coffee (Roasted) (French Vanilla), Coffee (Roasted) (Good Strong Coffee), Coffee (Roasted) (Guatemala), Coffee (Roasted) (Harvest Blend), Coffee (Roasted) (Hazelnut), Coffee (Roasted) (Holiday Blend), Coffee (Roasted) (Humboldt Bay Provisions - Airfield Blend), Coffee (Roasted) (Humboldt's Finest), Coffee (Roasted) (Humboldt's Finest Espresso), Coffee (Roasted) (Italian Roast), Coffee (Roasted) (Joe Robinet's BamSon Blend), Coffee (Roasted) (Luna Blend), Coffee (Roasted) (Mermaid Blond), Coffee (Roasted) (Mexico Ixtlan De Juarez), Coffee (Roasted) (Mokka Java), Coffee (Roasted) (Opera Alley), Coffee (Roasted) (Peru El Palto), Coffee (Roasted) (Shipbuilder's Dark ), Coffee (Roasted) (Shipbuilder's Medium  ), Coffee (Roasted) (Sumatra), Coffee (Roasted) (The Jolly Roger Pirate Blend ), Coffee (Roasted) (The Jolly Roger Pirate Blend Espresso ), Coffee (Roasted) (Toraja Utara Sulawesi), Coffee (Roasted) (Trinity Center General Store - Trinity Lake Blend), Coffee (Roasted) (Wide Awake Blend)</t>
  </si>
  <si>
    <t>Other: Butter (Salted, Unsalted), Cheese, Cream, Dairy (Kefir), Dairy (Milk Powder), Dairy (Sour Cream), Yogurt</t>
  </si>
  <si>
    <t>Animal Feed: Blending bagging and delivery of livestock feeds and feed components (Sheep Mineral,
20% Lamb Creep,
18% Lamb Grower,
16% Lamb Grower – no soy,
16% Lamb Grower,
12% Sheep Feed,
34% Sheep Supplement,
Goat Mineral,
Dry Dairy Goat Mineral,
Goat Mineral Pellet,
14% Organic Goat Feed,
16% Organic Goat Feed,
15% Goat Feed No Soy,
13% Kid Grower,
18% Organic Kid Starter,
16% Organic Kid Grower,
24% Doeling Concentrate,
15% Goat Doeling Ration,
14% Goat Gestation Feed
20:10 Dairy Mineral,
16:12 Dairy Mineral,
Dairy Heifer Mineral,
Dry Cow Mineral,
Hi-Phos Mineral,
35% Calf Supplement,
14% Calf Grower,
16% Calf Grower,
16% Calf Grower – no soy,
18% Calf Starter,
33% Dairy Concentrate,
12% Heifer Grower,
Sow-Gilt Premix,
Grow-Finish Swine Premix,
Grow-Finish Hog Concentrate,
21% Early Grower Diet 1,
20% Pig Starter Ration,
18.5% Swine Grower Ration,
18.5% Swine Grower Ration – no soy,
18% Swine Grower Ration – no corn, no soy,
17.5% Swine Grower Ration,
17% Swine Grower Ration – no corn, no soy,
16% Swine Grower Ration,
16% Swine Grower Ration – no corn, no soy,
14% Swine Grower Ration – no corn, no soy,
14% Swine Finisher Ration,
15% Swine Finisher Ration,
12% Sow Maintenance Ration,
17.5% Pasture Pig Ration,
17% Pasture Pig Ration – no soy,
16% Pasture Pig Ration,
16% Pasture Pig Ration – no soy,
14% Pasture Pig Ration,
14% Pasture Pig Ration – no soy,
12% Pasture Pig Ration,
12% Swine Finisher Ration,
14% Swine Lactation Ration,
16% Swine Gestation Ration,
Triple 12 Mineral,
Grazing Mineral,
Hi Mag + A Grazing Mineral,
Finishing Mineral,
15% Beef Calf Creep,
Breeder Mineral,
11% Beef Finisher Mix,
13% Beef Grower Mix,), cleaning bagging and labeling of organic grains for feed (Corn – whole/rolled,
Field Peas,
Wheat,
Whole Barley,
Whole Oats,
Succotash,), Poultry Broiler premix Layer premix Turkey premix Scratch grains Layer concentrate Layer concentrate-no soy 16% Pullet Developer 16% Pullet Developer-no soy 19% PreLay 20% PreLay 16% Layer Ration 17%Layer Ration-non Soy 17% Layer ration 17.5 % Layer Ration 18% Layer Ration 18.5% Layer Ration Broiler Concentrate Broiler Concentrate -no soy 21% Chick Starter 21% Chick Starter-non soy 19% Broiler Grower 19% Broiler Grower-non soy 19% Broiler Grower-no corn , no soy 17% Broiler Finisher 17% Broiler Finisher-non soy 28% Turkey Starter 24% Turkey Starter 22% Turkey Grower 22% Turkey Grower-non soy, no corn 16% Turkey Grower- finisher Turkey Concentrate 14% Duck Layer-no soy 18% Duck Grower 18% Duck Feed 16% No corn No Soy Layer 14% Duck Layer, roasting and extruding soybean/corn (Soybean Meal,
Corn-Soy), Supplements (alfalfa meal, A-D-E Vitamin Premix, Custom Blends, Molasses, Soybean Oil, Flax Oil, Vitamin A 30000, yeast pak); Other: Raw Soybeans, Whole/Rolled/Ground Soybeans, Soybeans, Soybean Meal, Corn-Soy, Worm Food, custom worm food</t>
  </si>
  <si>
    <t>Other: Barley, Matt Gall Organic Dairy 2:1, MT Organic 3:1 Plus, MT Organic Dairy VTM, MT Organic Dry Cow Mineral, MT Organic Pullet Premix, Norman Miller Organic Pullet Premix, Organic Chick Starter 19%, Organic Hog Grower 16%, Organic16% Layer Meal</t>
  </si>
  <si>
    <t>Other: 10 Single Serve Mango Pack, Diced, 10 oz., 63% Single Origin Madagascar Chocolate Bar, Salted Almond, 2.64 Oz, 63% Single Origin Madagascar Chocolate Bar, Sea Salt &amp; Nibs, 2.64 Oz, 70% Ecuador Esmeraldas Chocolate, 1.7 Oz, 70% Nicaragua La Colonia Chocolate with Cacao Nibs &amp; Sea Salt, 1.7 Oz, 73% Single Origin Uganda Chocolate Bar, Crispy Rice, 2.64 Oz, Adaptonic, Strawberry Holy Basil, 12 Fl Oz, Almond Butter Protein Bars, 1.2 Oz (8 Ct), Almond Flour Crackers, Sea Salt, 2.25, Almond Vanilla Bar, 1.8 Oz, Alter Eco Organic Classic Dark Chocolate Truffles, 60 Ct, Alter Eco Organic Grass-Fed Milk Chocolate with Salted Almonds, 2.65 Oz, Alter Eco Organic Medley Chocolate Truffles, 60 Ct, Alter Eco Organic Salted Caramel Christmas Truffles, 10 Ct, Alter Eco Organic Silk Velvet Dark Milk Chocolate Truffles, 60 Ct, Alter Eco, Organic Mint Creme Truffles, 60 Ct, Alter Eco, Organic Salted Caramel Truffles, 60 Ct, Alter Eco, Organic Sea Salt Chocolate Truffles, 60 Ct, Amazing Protein, Glow Unflavored, 12.7 Oz, Amy's, Organic Tomato Basil Pasta Sauce, 25 Oz, Amy's, Tomato Basil Pasta Sauce, 25.5 Oz, Ancient Grain Granola, Original, 12 Oz, Antioxidant Trail Mix, 4 Oz, Apple Sauce Variety Pack - Apple Banana Strawberry and Apple Mango Pineapple Banana, 10ct, Arrowhead Mils, Organic Pearled Barley, 28oz, Artisan Thin Pizza Crust, 12 Oz (2 Ct), Aurora Mills Organic Stone Ground Spelt Flour, 3 Lb, Baby Food Pouch, Just Peaches, 3.5. Oz (6 Ct), Baby Food Pouch, Pea, Kiwi, Pear &amp; Avocado, 3.5. Oz (6 Ct), Baby Food Pouch, Pumpkin, Chickpea, Spinach &amp; Broccoli, 3.5. Oz (6 Ct), Baby Food Pouch, Sweet Potato, Apple, Banana &amp; Carrots, 3.75 Oz (6 Ct), Baby Swiss Block Cheese, 8 Oz, Baked Falafel Bites, Zesty Zucchini, 10 Oz, Banana Bites with Cacao Drizzle, 3oz, Banana Chocolate Chip Energy Bar, 1.7oz, Bare Baked Toasted Coconut Chips, 3.3 Oz, Bare Organics Raw Organic Alfalfa Grass Powder, 8 Oz, Bare Organics Raw Organic Moringa Leaf Powder, 8 Oz, Bare Organics Raw Organic Super Fruit Antioxidant Blend, 4 Oz, BareOrganics Organic Virgin Unrefined Coconut Oil, 15 Oz, Barista Organic Oat Milk, 32 Fl Oz (1 Qt), Barnana Plantain Chips, Pink Himalayan Salt, 4 Oz, Beef Broth Low Sodium, 32 Oz, Beef Jerky, Cracked Pepper, 7oz, Belvoir, Organic Ginger Beer, 8.4oz, Berrytopia Yerba Mate, 16 Fl Oz, Beyond Good Organic Mini Sea Salt and Nibs Chocolate, 1.3 Oz, Black Bean Chili, 14.7 Oz, Black Cherry Lime Organic Sparkling Water, 8 Ct, Blue Corn Taco Kit, 9.4 Oz, Blue Corn Taco Shells, 5.5 Oz, Blueberry Banana Almond Bar, 2 Oz, Bob's Red Mill Gluten Free Organic Creamy Buckwheat Hot Cereal, 18 Oz, Bob's Red Mill Organic 7 Grain Pancake &amp; Waffle Mix, 24 Oz, Bob's Red Mill Organic Cracked Freekeh, 16 Oz, Bob's Red Mill Organic Medium Grind Cornmeal, 24 Oz, Bob's Red Mill, Organic Pumpkin Seeds, 12oz, Broccoli Bites, Sea Salt, 1.4 Oz, Brown Jasmine Rice Heat &amp; Eat, 8oz, Brown Jasmine Rice Pouch, 8 Oz, Brownie Bites, Bombshell Blondie, 10 Oz, Brownie Bites, Classy Chocolate, 10 Oz, Brownie Bites, Rich Raspberry, 10 Oz, Brownie Snaps, Mint Chip, 3.35 Oz, Brownie Snaps, Salted Caramel, 3.35 Oz, Butternut Mountain Farm, Syrup, Amber, 8oz, Cane Sugar, 1.5 Lb, Carbon Neutral Organic 2% Milk, 64 Fl Oz, Carbon Neutral Organic Half &amp; Half, 16 Fl Oz, Carbon Neutral Organic Half and Half, 16 Fl Oz, Carbon Neutral Organic Whole Milk, 64 Fl Oz, Casa Visco, Organic Marinara Sauce, 26oz, Casa Visco, Organic Marinara Sauce, 32oz, Cashew Cinnamon Bar, 1.8 Oz, Castellano, Organic Extra Virgin Olive Oil, 34oz, Cauliflower Bites, Buffalo Ranch, 1.8oz, Cauliflower Bites, Sea Salt, 1.8oz, Cauliflower Bites, White Cheddar, 1.8oz, Celestial Seasonings, Teawell Bags, Honey Lemon, 16ct, Ceremony Coffee Roasters Whole Bean Coffee, Decaf Colombia, 12 Oz, Chai Concentrate, 33.8 Fl Oz, Cheddar Bunnies Baked Snack Crackers, 7.5 Oz, Chewy Chocolate Snack Bar, 1.38 Oz, Chia Bars, Caramel Sea Salt, 15 Ct, Chicken Broth, 8 Oz (4 Ct), Choco Crunch Figgy Pops, 11 Oz, Chocolate Bar, Cashew Butter and Raspberry, 2.1 Oz, Chocolate Bar, Vanilla Crunch, 2.1 Oz, Chocolate Chip Bars, 18 Ct, Chocolate Chip Cookie Dough Bars, 8 Ct, Chocolate Coconut Chips, 2.8 Oz, Chocolate Covered Coconut Milk Caramels with Sea Salt, 4 Oz, Chosen Foods Classic Organic Mayo, 12 Oz, Cilantro Lime Rice Pouch, 8 Oz, Cinnamon Granola, 11.2 Oz, Classic Chicken Bone Broth, 16 Fl Oz, Classic Flatbreads, Olive Oil and Sel Gris, 6 Oz, Coconut Almond, Fit Granola, 12oz, Coconut Cookies, Dark Cacao, 6 Oz, Coconut Cookies, Lemon Ginger, 6 Oz, Colavita, Organic Extra Virgin Olive Oil, 17oz, Cold Brew Latte Pudding, 7 Oz, Cold Brew, Extra Strong, Peppermint, 96 Fl Oz (3 Qt), Collagen Peptides, Unflavored, 10 Oz, Cookie and Brownie Mix, Mint Chocolate, 8 Oz, Cookie and Muffin Mix, Oat Ginger Raisin, 8 Oz, Cookie Mix, Chocolate Chip, 8 Oz, Cottage Cheese, 4% Milkfat, 16 Oz, Cottage Cheese, Low-Fat Classic, 16 Oz, Creamery Organic Grassfed Shelf Stable Whole Milk, Chocolate, 8 Oz (4 Ct), Creamy Tomato Basil Soup, 32 Oz, Crofter's, Organic Spread, Apricot, 10oz, Crofter's, Organic Spread, Four Fruit, 10oz, Crofter's, Organic Spread, Strawberry, 10oz, Crofter's, Organic Spread, Vanilla and Cinnamon Spiced Pumpkin, 10oz, Crunchy Breakfast Biscuits, Cinnamon &amp; Tahini, 5.3 Oz, Crunchy Breakfast Biscuits, Fig &amp; Anise, 5.3 Oz, Crunchy Hazelnut Butter Chocolate Bar, 2.93 Oz, Cucina Pronta Canned Organic Crushed Tomatoes, 28.2 Oz, Cucina Pronta Canned Organic Diced Tomatoes, 28.2 Oz, Cucina Pronta Canned Organic Whole Tomatoes, 28.2 Oz, Curry Roasted Cashews, 8 Oz, Dark Chocolate and Himalayan Pink Salt Popcorn, 6.4 Oz, Dark Chocolate Bar, Hazelnut Butter, 2.1 Oz, Dark Chocolate Bar, Lemon Cookie Crunch, 2.5 Oz, Dark Chocolate Bar, Salty, 2.1 Oz, Dark Chocolate Bar, Sample, Hazelnut Butter, 2.1 Oz, Dark Chocolate Cherry Almond Bars, 4 Ct, Dark Chocolate Cherry and Almond bars, 1.1 Oz, Dark Chocolate Cherry Bar, 2 Oz, Dark Chocolate Covered Dates, Blood Orange, 2 Oz, Dark Chocolate Keto Cereal, 9 Oz, Dark Chocolate Mint Bar, 1.1 Oz, Dark Chocolate Peppermint, Granola Bark, 8oz, Dark Chocolate Pudding, 8 Oz, Dark Chocolate Sunflower Seed Butter, 14 Oz, Date Syrup, 14.1 Oz, Date-Sweetened Chocolate, Mixed Berry, 2.1 Oz, Date-Sweetened Chocolate, Pecan Date, 2.1 Oz, Dave's Killer Bread, Organic Bagel, Plain Awesome, 16.75oz, Debloat Ade, 6 Ct, Deep River Organic Honchos Tortilla Chips, Nacho Cheese, 5 Oz, Deep River Organic Honchos Tortilla Chips, Peach Habanero, 5 Oz, Deep River Organic Honchos Tortilla Chips, Ranch, 5 Oz, DNU Teas Tea, Organic Black Tea, 16.9oz, DNU_Organic Kiwi Green (ct), DNU-Wholesome Sweetener, Organic Cane Sugar, 2lb, Double Chocolate Peanut Butter Cup, 1.3 Oz, Double Cream Classic Chive Cashew Milk Cheese, 6.5 Oz, Dried Lobster Mushrooms, 1 Oz, Dried Pineapple, PiÃ±a Colada, 2.3 Oz, Dunya Harvest Organic Green Lentils, 16 Oz, Dunya Harvest, Organic Basmati Rice, White, 16oz, Dunya Harvest, Organic Basmati Rice, White, 32oz, Dunya Harvest, Organic Jasmine Rice, White, 16oz, Dunya Harvest, Organic Jasmine Rice, White, 32oz, Earth Fare Organic Amber Maple Syrup, 32 Fl Oz, Earth Fare Organic Dark Robust Maple Syrup, 32 Fl Oz, Earth Fare Organic Syrup, Amber, 8oz, Earth Fare, Organic Maple Syrup, Dark Robust Squeeze, 12oz, Earth's Best Organic Butternut Squash Pear Baby Food Puree, 4.2 Oz (6 Ct), Earth's Best Organic Pear Carrot Apricot Baby Food Puree, 4.2 Oz (6 Ct), Earth's Best Organic Vegetable Crackers, 5.3 Oz, Elderflower Lemonade, 8.4 Fl Oz, ElderKids Organic Elderberry Gummies, 60 Ct, Elma Farms, Milas, Organic Caper Non Pareil, 3.5oz, Emmy's Organic Chocolate Covered Vanilla Cookies, 3.5 Oz, Energy Bars, Caramel Macchiato, 12 Ct, Energy Bites, Chai Latte, 1 Oz, Energy+ Immunity Tea, Acerola and Yuzu, 8.28oz, Everything Broccoli Bites, 1.4 Oz, Explore Cuisine Organic Brown Rice Ramen, 8 Oz, Falafel Bites, "Cheddary" Broccoli, 10 Oz, Farm to Table, Organic Pasta Sauce, Garden Vegetable, 24oz, Farm to Table, Organic Pasta Sauce, Garlic and Herb, 24oz, Farm to Table, Organic Pasta Sauce, Marinara, 24oz, Farm to Table, Organic Pasta Sauce, Tomato Basil, 24oz, Feta Cheese Crumbles, 4 Oz, Fiesta Size Blue Corn Tortilla Chips, 22 Oz, Flatbread Bites, Rosemary and Olive Oil, 4 Oz, Flax and Fonio Crackers, Everything, 4.5 Oz, Flax and Fonio Crackers, Garden Vegetable, 4.5 Oz, Flax and Fonio Crackers, Simply Salted, 4.5 Oz, Fresh VeganMozz, 8 Oz, Fried Garlic Chicken Ramen, 2.2 Oz, Frontier, Anise Flavor, 2oz, Frontier, Organic Cinnamon Stick, 1.28oz, Frontier, Organic Green Peppercorn Grinder, 0.92oz, Frosted Buncha Blueberries Toaster Pastriez, 11 Oz (6 Ct), Frosted Toaster Pastry, Chocolate, 6 Ct, Fusilli, 1 Lb, G Organic Drink, Strawberry, 16.9 Oz, G Organic, Mixed Berry, 16.9 Fl Oz, G Organic, Passion Fruit, 16.9 Oz, Gaea Organic Kalamata Olives, 5.6 Oz, Gaea Organic Mixed Olives, 6.2 Oz, Gaea Planet Organic Extra Virgin Olive Oil, 17 Oz, Garden of Eatin' Blue Corn Tortilla Chips, 5.5 Oz, Garden of Eatin' Fiesta Size White Corn Tortilla Chips, 22 Oz, Garden of Eatin' Grain Free Tortilla Chips, Everything Seasoning, 5 Oz, Garden of Eatin' Grain Free Tortilla Chips, Original Citrus &amp; Sea Salt, 5 Oz, Garden of Eatin' Unsalted Blues Tortilla Chips, 10 Oz, Garden of Eatin' White Lime Tortilla Chips, 10 Oz, Garden of Eatin' Wicked Hot Yellow Corn Tortilla Chips, 5.5 Oz, Garden of Eatin' Yellow Corn Tortilla Chips, 5.5 Oz, Garden of Eatin, Blue Tortilla Chips, 8.1oz, Garden of Eatin, White Tortilla Chips, 5.5oz, Ginger Turmeric Chicken Bone Broth, 16 Fl Oz, Gingerbread Dark Chocolate Bar, 2.1 Oz, Gluten Free Organic Old Fashioned Rolled Oats, 32 Oz, Gluten Free Paleo Puffs, No-Cheese Cheesiness, 5 Oz, Gluten-Free Cauliflower Tortilla Chips, 7 Oz, Gluten-Free Cookie Mix, Decadent Dark Chocolate, 9.5 Oz, Gluten-Free Paleo Puffs, Fiery Hot, 5 Oz, Gluten-Free Paleo Puffs, Himalayan Pink Salt, 5 Oz, Gluten-Free Restaurant Tortilla Chips, Sea Salt, 10.1 Oz, Gluten-Free Tortillas, 6 Ct, Gluten-Free Veggie Pasta, Penne, 8 Oz, Gluten-Free Veggie Sticks, Himalayan Pink Salt, 4.5 Oz, Gluten-Free Veggie Sticks, Vegan Ranch, 4.5 Oz, GoGo squeeZ Organic Apple Sauce, 4 Ct, GoGo SqueeZ Organic Fruit and Veggiez Variety Pack (20 Ct), Goji Berries, 8 Oz, Goji Berry TrailMix, 1.8 Oz, Golden Oolong, 16.9 Fl Oz, Good Food For Good, Organic Butter Chicken Sauce, 9.2oz, Good Food For Good, Organic Coconut Curry Sauce, 9.2oz, Good Food For Good, Organic Mild Taco Sauce, 9.2oz, Good Food For Good, Organic Spicy Taco Sauce, 9.2oz, Good Food For Good, Organic Tikka Masala Sauce, 9.2oz, Goodio - Forest Chocolate - 1.7oz, Gorilla Munch Cereal, Corn Puffs, 10 Oz, Graham Crunch Cereal, 9.6 Oz, Grain-Free Classic Brownie Mix, 11.1 Oz, Grain-Free Granola, Dark Chocolate Coconola, 9 Oz, Grain-Free Granola, Original Coconola, 9 Oz, Grain-Free Granola, Super Hemp Coconola, 9 Oz, Grain-Free Sea Salt Veggie Chips, 5 Oz, GrandyOats Organic Crispy Topper Granola, 16oz, GrandyOats Organic Gluten Free Granola, Classic, 16 Oz, GrandyOats Organic Grain Free Coconola, Chocolate Chunk, 9 Oz, GrandyOats Organic Grain Free Coconola, Coffee Crunch, 9 Oz, GrandyOats Organic Grain Free Coconola, Original, 9 Oz, GrandyOats Organic Granola, Coconut with Fruit, 16 Oz, GrandyOats Organic Granola, Maple Mulberry Crunch, 16 Oz, GrandyOats Organic Maple Cranberry Walnuts, 16 Oz, GrandyOats Organic Raw Almonds, 16 Oz, GrandyOats Organic Raw Pecan Pieces, 16 Oz, GrandyOats Organic Raw Walnut Halves, 8 Oz, GrandyOats Organic Roasted Salted Almonds, 8 Oz, GrandyOats Organic Salted Mixed Nuts, 16 Oz, Granny Smith Apple Chips, 3.4 Oz, Granola Minis, Strawberry, 4.25 Oz (5 Ct), Granola Pouches, Banana Nut Crunch, 10 Oz, Granola Pouches, Cinnamon Almond, 10 Oz, Granola, Blueberry Crisp, 10 Oz, Green Goddess Dressing &amp; Marinade, 6 Fl Oz, Happy Kid Organics Apple, Kale &amp; Mango Pouch, 3.17 Oz, Happy Tot Organics Gluten Free Mac &amp; Cheese Bowl With Lentil Pasta &amp; Veggie Sauce, 4.5 Oz, Happy Tot Organics Gluten Free Veggies Straws, Chickpea, Cheddar &amp; Spinach, 0.25 Oz (5 Ct), Happy Tot Organics Gluten Free Veggies Straws, Chickpea, Sweet Potato &amp; Rosemary, 0.25 Oz (5 Ct), Happy Tot Organics Zucchini, Pear, Chickpea &amp; Kale Pouch, 4.22 Oz, Harmony Quinoa, 14.4 Oz, Harvest Black Bean Plant-Based Chili, Health Warrior Caramel Sea Salt Chia Bars, 5 Ct, Health Warrior, Honey Sea Salt Pumpkin Seed Bars, 4ct, Heinz Organic Ketchup, 44 Oz, Heritage Flakes Cereal, 13.25 Oz, Hibuscus Rose Tea, 15 Ct, Imagine, Organic Soup, Potato Leek, 32oz, Imagine, Organic Soup, Super Greens, 32oz, Instant Oatmeal, Organic Variety Pack, 8 Ct, Instant Oatmeal, Original, 14 Oz (8 Ct), Instant Oats, 18 Oz, Italione, Organic Balsamic Vinegar, 17oz, Italione, Organic Extra Virgin Olive Oil, 17oz, Italione, Organic Extra Virgin Olive Oil, 25.5oz, Jack's Quality Organic Butter Beans, 13.7 Oz Tetra Pak Carton, Jasmine Rice, 2 lb., Juice Shots, Immunity Boost Elderberry, 2 Fl Oz, Just About Foods Organic Coconut Flour, 1 Lb, Justin's, Peanut Butter Cup, Dark Chocolate, 1.4oz, Kale Chips, Kool Ranch, 2oz, Kale Chips, Zesty Nacho, 2 Oz, Karine &amp; Jeff, Organic Carrot Puree, 12.3oz, Karine &amp; Jeff, Organic Coconut Milk Soup, 13.2oz, Karine &amp; Jeff, Organic Moroccan Soup, 16.9oz, Karine &amp; Jeff, Organic Zucchini Parsnip Soup, 11.3oz, Kids Cereal, Organic Berry, 9.5 Oz, Kids Cereal, Organic Cinnamon, 9.5 Oz, King Arthur, Organic Whole Wheat Flour, 5lbs, Kitchen &amp; Love RTE Tuna Meal - 4 Bean Medley, Kombucha, Cherry Plum, 15 Fl Oz, Kombucha, Ginger Lemon, 11.2 Fl Oz (4 Ct), Kombucha, Ginger Lemon, 15 Fl Oz, Kombucha, Hibiscus Pulse, 12 Fl Oz, Kombucha, Peach, 15 Fl Oz, Kombucha, Watermelon Bloom, 12 Fl Oz, KOR Shots - Juice Shots - Immune+, 1.7oz, KOR Shots - Juice Shots - Potent-C, 1.7oz, Kurobuta Pork Bratwurst, 12 Oz, La Marca, Organic Extra Virgin Olive Oil, 25.5oz, La Molisana, Organic Pasta, Cavatappi, 16oz, La Molisana, Pasta, Organic Acini Di Pepe, 16oz, Large Eggs, 1/2 Dz, Late July Organic Multigrain Tortilla Chips, Mild Green Mojo, 5.5 Oz, Late July Organic Multigrain Tortilla Chips, Sea Salt, 5.5 Oz, Late July Organic Multigrain Tortilla Chips, Sub Lime, 5.5 Oz, Late July Organic Multigrain Tortilla Chips, Sweet Potato, 5.5 Oz, Late July Organic Sea Salt Popcorn, 4.4 Oz, Late July, Organic BBQ Potato Chips, 5oz, Late July, Organic Potato Chips with Sea Salt, 5oz, Late July, Organic Sea Salt &amp; Vinegar Potato Chips, 5oz, LB's Organic Dijon Mustard, 5.3 Oz, Lemon Flavor Extract, 2 Fl Oz, Lemongrass Green Tea, 16.9 Fl Oz, LesserEvil Organic Sugar Cookie Multi-Pack Popcorn 4.8 oz (8 ct), Live Seltzer, Cucumber Focus, 12 Fl Oz, Live Seltzer, Ginger Energy, 12 Fl Oz, Live Seltzer, Grapefruit Clarity, 12 Fl Oz, Long Grain Brown Rice, 32 Oz (2 Lbs), Love Beets Organic Beet Powder, 16 Oz, Love Crunch Granola Bars, Dark Chocolate Macaroon, 6 Ct, Love Crunch Granola Bars, Dark Chocolate Red Berries, 6 Ct, Low Sodium Butternut Squash Soup, 32 Fl Oz, Low Sodium Garden Tomato Soup, 32 Fl Oz, Low Sodium Lentil Soup, 14.5 Oz, Low Sodium No Chicken Broth, 32 Fl Oz, Luke's Organic Potato Chips, Sea Salt, 1 Oz, Macadamia Chocolate Snack Bars, 6 Ct, Macadamia Coconut Bar, 1.8 Oz, Mango &amp; Orange Gummies, 3.2 Oz, Mango Coconut, Squeeze Vitality Snack, 3.5 Oz, Mango Habanero Kale Chips, 2 Oz, Mango Strips with Cacao Drizzle, 2.8oz, Manitoba Harvest, Hemp Yeah! Bar, Dark Chocolate Cacao, 1.59oz, Mantova Italian, Organic Pasta, Penne Rigate, 16oz, Maple Guild, Organic Original Golden Maple Syrup, 16oz, Maple Hill Creamery Organic Grassfed Shelf Stable Whole Milk, 8 Oz, Maple Hill Creamery Organic Grassfed Shelf Stable Whole Milk, 8 Oz (4 Ct), Maple Syrup, Classic Petite Trio, Maranatha, Organic Peanut Butter, Creamy No Stir with Salt, 16oz, Maranatha, Organic Peanut Butter, Crunchy No Stir with Salt, 16oz, Matcha Powder, 3 Oz, MATI Organic Sparkling Energy Drink, Raspberry Mint, 12 Fl Oz, Medjool Dates, 2 Lb, Mesa Sunrise with Raisins Cereal, 29.1 Oz, Microwavable Quinoa with Sea Salt, 1 Lb, Microwave-Ready Couscous and Quinoa, 8.8 Oz, Microwave-Ready Organic Brown Rice and Lentils, 8.8 Oz, Mild Vinegar Marinated Baby Beets, 6.5 Oz, Milk Chocolate Peanut Butter Cup, 1.3 Oz, Mind + Body Sports Drink, Mango Passionfruit, 16 Fl Oz, Mini Yellow Rounds Tortilla Chips, 7.5 Oz, Miso Broth, 32 Fl Oz, Miso Noodle Bowl 10.75 Oz, Misraises, Organic Roots Olive Oil, 16.91oz, Mixed Berry Granola, No Sugar Added, 10 Oz, Montebello, Organic Extra Virgin Olive Oil, 16.9floz, Montebello, Organic Extra Virgin Olive Oil, 25.4 floz, Moringa Pad Thai Noodles, 8 Oz, Mortal - Prebiotic Sparkling Water - Prickly Pear Watermelon, 12oz, Nacho Tortilla Chips, 7 Oz, NADI, Organic Juice, Wild Rosehip Grape, 10oz, NADI, Organic Juice, Wild Rosehip, 10oz, Napa Valley Heirloom, Organic Pasta Sauce, Garlic &amp; Herb, 24oz, Napa Valley Heirloom, Organic Pasta Sauce, Marinara, 24oz, Napa Valley Heirloom, Organic Pasta Sauce, Tomato &amp; Basil, 24oz, Natural Grocers, Organic Pickles, Bread &amp; Butter, 24oz, Natural Grocers, Organic Pickles, Dill Chips, 24oz, Natural Grocers, Organic Pickles, Dill Spears, 24oz, Natural Grocers, Organic Pickles, Spicy Dill Spears, 24oz, Natural Grocers, Organic Pickles, Whole Dill, 24oz, Natural Grocers, Organic Relish, Sweet, 16oz, Natural Wildflower Honey, 12.35 Oz, Nature's Greatest Foods Organic Hazelnut Spread, 13 Oz, Nature's Greatest Foods Organic Sun-Dried Fruit Medley, 6 Oz, Nature's Greatest Foods Organic White Quinoa, 16 Oz, Nature's Greatest Foods Ready to Eat Brown Rice, 5.29 Oz, Nature's Greatest Foods Ready to Eat White Rice, 5.29 Oz, Nature's Greatest Foods, Organic Coconut Aminos, 8.4oz, Nature's Path, No Sugar Added, Vanilla Almond Butter Granola, 10oz, Neufchatel Cream Cheese, Bars, 8 Oz, nib mor, Organic Snacking Bag, Dark Chocolate Extreme with Cacao Nibs, 3.55oz, Nitro Cold Brew Coffee, Oat Milk Latte, Mocha, 7 Oz, Nitro Cold Brew Latte, Oat Milk Mocha, 10 Fl Oz, North Coast, Organic Apple Sauce Jar, Gravenstein, 24oz, Numi Organic Aged Earl Grey Tea, 18 Teabags, Numi Organic Breakfast Blend Tea, 18 Teabags, Numi Organic Citrus Matcha Stone Ground Green Tea, 1.05 Oz, Numi Organic French Moroccan Mint Tea, 18 Teabags, Numi Organic Golden Tonic Turmeric Tea, 12 Teabags, Numi Organic Gunpowder Green Tea, 18 Teabags, Numi Organic Matcha Green Tea Latte Concentrate, 32 Oz, Numi Organic Turmeric Chai Golden Latte Concentrate, 32 Oz, Numi, Organic Turmeric Cocoa Golden Latte, 2.12oz, Nut Bar, Crunchy Cashew, 1.4 Oz, Nut Bar, Crunchy Pistachio, 1.4 Oz, Nut Butter Bars, Coconut &amp; Almond Butter, 12 Ct, Nut Butter Bars, Maple Almond Butter (5 Ct), Nut Butter Bars, Peanut Butter, 12 Ct, Nut Butter Bites, Banana Chocolate Chip with Peanut Butter, 1.4 oz, Nutiva Organic Manna Coconut Butter, Almond, 6.2 Oz, Nutiva Organic Manna Coconut Butter, Chocolate, 6.2 Oz, Nutiva Organic Virgin Coconut Oil, 14 Oz, Nuttzo Organic Chocolate Power Fuel 7 Nut &amp; Seed Butter 2Go Packs, 0.67 Oz (10 Ct), Nuttzo Organic Power Fuel 7 Nut &amp; Seed Butter 2Go Packs, 0.67 Oz (10 Ct), Oat Milk Chocolate Bar, Holy Fudge, 2.5 Oz, Oat Milk Chocolate Bar, Toffee Time, 2.5 Oz, Oat Milk Cold Brew Latte, 32oz, Oat Milk Cold Brew Latte, Mocha, 32oz, Oat Milk Cold Brew Latte, Vanilla, 32oz, Oat Milk Latte, Earl Grey Tea, 7 Fl Oz, Oat Milk Latte, Nitro Cold Brew, 10 Fl Oz, Oatmeal Cranberry and Almond Bar, 1.1. Oz, Oatmeal Smoothie Pouch, Apple Dreams, 3.2 Oz, Oatmeal Smoothie Pouch, Chocolaty Chocolate, 3.2 Oz, Oatmeal Smoothie Pouch, Strawberry Bananza, 3.2 Oz, Ocho Organic Chocolate Christmas Tree Caramel Mini, 3.88 Oz, Ocho Organic Chocolate Christmas Tree Peanut Butter Mini, 3.88 Oz, Ocho Organic Chocolate, Peppermint Mini, 3.5 Oz, OG Apple - Gala - 100 ct, OG Apricot - Blenheim - Clamshell 9/1 Lb, OG Artichoke - Globe - 24 ct, OG Avocado - Hass - Bagged - 12/7-10ct, OG Avocado - Reed - Jumbo, OG BBQ Blend - 36/3oz, Og Blueberry - Jumbo - 12/9.8oz, OG Carrots - Mystery - Bunch - 24 ct, OG Corn - 12/4ct, OG Eggplant - Graffiti - 32 ct, OG Grapes - Bi-Color - Seedless - 8/2 lb, OG Komatsuna - 10 lb - 24 ct, OG Kumquat - 12/8oz, OG Midnight Tomato - Roma - 8 x 1 lb, OG Mushroom - Mystery Sampler - 12/6oz, OG Nectarine - White - Bagged 12/2 lb, OG Nectarine - Yellow - Bagged 12/2 lb, OG Onion - Red - Large - 40 lb, OG Onion - Sweet - 24/2 lb - Bagged, OG Peach - White - Bagged 12/2 lb, OG Peach - Yellow - Bagged - 12/2 Lb, OG Pepper - Jimmy Nardellos - 10 lb, OG Pepper - Mini Medley - 12/8oz, OG Pluot - Mixed Variety - Bag/Clamshell - 16/1 Lbs, OG Potato - Russet - Jumbo Baker - 30/40 ct, OG Squash - Acorn - Small - 35 lb, 25/30ct, OG Squash - Butternut - Large - 35 lb, 12/14, OG Squash - Butternut - Mini - 35 lb, OG Squash - Butternut - Small - 35 lbs, OG Squash - Delicata - Small - 35 lb, 40/50, OG Squash - Kabocha - Small - 35 lb,18/20, OG Squash - Spaghetti - Small - 35 lb, 18/20, OG Squash - Zucchini - 12/2 ct, OG Tomato - Campari - 10/12 oz, OG Tomato - Purple Crush - 12/2-5ct, OG Wellness Blend - Ginger &amp; Turmeric - 12/12 oz, Olive Oil and Sel Gris Flatbread Bites, 4 Oz, Once Again Nut Butter - Crunchy Peanut Butter - 16oz, Once Again Nut Butter, Creamy Almond Butter, Sweetened and Salted, 16oz, Once Again Nut Butter, Creamy Peanut Butter, Salt Free, 16oz, Once Again Nut Butter, Crunchy Almond Butter, Sweetened and Salted, 16oz, Once Again Nut Butter, Organic Peanut Butter, Smooth (No Stir), 16oz, Organic 1% Low Fat Milk, 32 Fl Oz (1 Qt), Organic 100% Grass-Fed Beef Sirloin Steak, 10 Oz, Organic 17.5% Coconut Milk, 13.5 Fl Oz, Organic 5-Year Aged Cheddar, 6 Oz, Organic 5-Year Aged Cheddar, 6oz, Organic 93% Lean Ground Turkey, 1 Lb, Organic Agave Nectar with Prebiotic Fiber, 23.5 Oz, Organic Aged Cheddar Mac and Cheese, 6 Oz, Organic Alcohol-Free Sparkling Beverage, Hoppy Hibiscus, 12 Fl Oz, Organic All Stars Pasta in Tomato &amp; Cheese Sauce, 15 Oz, Organic Allspice, 2.57 Oz, Organic Almond Extract, 2 Fl Oz, Organic Almond Extract, 4 Fl Oz, Organic Almond Milk Chocolate Bar, 2.5 Oz, Organic Almond Milk Chocolate Bar, Crunchy Cashew, 2.5 Oz, Organic Almond Milk, Black Sesame, 28 Fl Oz, Organic Almond Milk, Original, 32 fl oz., Organic Almond Milk, Unsweetened Original Vanilla Bean, 28 Fl Oz, Organic Almond Milk, Unsweetened Original, 28 Fl Oz, Organic Aloe Vera Drink, Lemon Lime, 16 Fl Oz, Organic Aloe Vera Drink, Mandarin Orange, 16 Fl Oz, Organic Amaranth, 1 Lb, Organic Amber Rich Maple Syrup, 16 Oz (1 Pt), Organic American White Cheese, Sliced, 6 Oz, Organic AMLA (Amalaki) Indian Gooseberry Powder, 8 Oz, Organic Ancient Grains, 8.8 Oz, Organic Antioxidant Rice Blend, 16 Oz, Organic Apple Cider Vinegar &amp; Rice Vinegar Drink Blend, 24 Oz, Organic Apple Cider Vinegar, 16 Fl Oz, Organic Apple Cider Vinegar, 16 Fl Oz, Organic Apple Cider Vinegar, 24 Oz, Organic Apple Cider Vinegar, 32 Fl Oz, Organic Apple Cider, 32 Fl Oz (1 Qt), Organic Apple Cosmic Crisp (ct), Organic Apple Fuji (ct), Organic Apple Gala (2 lb bag), Organic Apple Gala (3 lb bag), Organic Apple Granny Smith (ct), Organic Apple Honeycrisp (2 lb bag), Organic Apple Honeycrisp (ct), Organic Apple Juice, 32 Fl Oz (1 Qt), Organic Apple Juice, 32oz, Organic Apple Pie Tea, 7 Oz, Organic Apple Pink Lady (2 lb bag), Organic Apple Pink Lady (ct), Organic Apple Sauce Pouches, 12 Ct, Organic Apple Sauce with Probiotics, 24 Oz, Organic Apple Sauce, Peach, 4 Ct, Organic Apples Fuji Large (ct), Organic Apples Granny Smith Large (ct), Organic Apricot (1 lb clamshell), Organic Arborio Rice, 2 Lb, Organic Artichoke (ct), Organic Artichoke Baby (ct), Organic Asparagus (ct), Organic Assorted Lollipops, 4.2 Oz, Organic Avocado Hass (5-6 ct bag), Organic Avocado Hass (ct), Organic Bagels, Cinnamon Raisin Remix, 16.75 Oz, Organic Bagels, Epic Everything, 16.75 Oz (5 Ct), Organic Baking Cocoa, 8 Oz, Organic Ball Lollipops, Tropical, 4.4 Oz, Organic Balsamic Vinegar, 16.9 Fl Oz, Organic Balsamic Vinegar, 16.9 Fl Oz, Organic Banana Bitecoins, 5.5 Oz, Organic Banana Nubbins, 8 Oz, Organic Bars, Inca Berry and Almond, 12 Ct, Organic Basil PurÃƒÂ©e, 2.8 Oz, Organic Basmati Rice, 1 Lb, Organic BBQ Sauce, Smoky Maple, 12 Oz, Organic Beef Bone Broth, Grass-Fed, 16 Fl Oz, Organic Beef Broth, 32 Fl Oz, Organic Beef Butcher's Bone Broth, 24 Fl Oz, Organic Beef Hot Dogs, Grass-Fed Uncured, 10 Oz, Organic Beef Ribeye Steak, 100% Grass-Fed, 10 Oz, Organic Beet Chioggia (ct), Organic Beet Gold (bunched), Organic Beet Red (bunched), Organic Bell Pepper Green (ct), Organic Bell Pepper Red (ct), Organic Bell Pepper Suntan (ct), Organic Bell Pepper Yellow (ct), Organic Bernie O's Pasta, Organic Berry Strawberry Frosted Toaster Pastries, 11 Oz, Organic Berry Strawberry Unfrosted Toaster Pastries, 11 Oz, Organic Bionnaise Plant-Based Mayo, 4.8 Oz, Organic Black Bean Sesame Fettuccine Pasta, 8 Oz, Organic Black Beans, 10 Oz, Organic Black Chia Seeds, 12 Oz, Organic Black Lentil Everyday Dal, 10 Oz, Organic Black Quinoa, 16 Oz, Organic Black Refried Beans, 16 Oz, Organic Black Rice Noodles, 7.7 Oz, Organic Black Tea, 16.9 Oz, Organic Black Tea, 30 Teabags, Organic Black Tea, 8 Oz (100 Ct), Organic Black Tea, Sultry Strawberry, 20 Ct, Organic Blackberry (1 half pint), Organic Blastz Fruit and Veggiez Variety Pack, 16 Ct, Organic Blondie Baking Mix - Snickerdoodle, 11.95oz, Organic Blue Agave, 23.5 Oz, Organic Blueberry (1 half pint), Organic Blueberry Bars, 5 Ct, Organic Bodacious Blueberry Vanilla Food Bars, 7.6 Oz (5 Ct), Organic Bok Choy Baby (ct), Organic Bone Broth, Turkey, 24 Fl Oz, Organic Bone Broth, Turmeric Chicken Cup, 10 Fl Oz, Organic Bone-In Chicken Breast, 1 Lb, Organic Bone-In Chicken Thighs, 1 Lb, Organic Boneless Skinless Chicken Breasts, 14 Oz, Organic Borlotti Beans, 13.7 Oz, Organic Brazil Nuts, Raw &amp; Unsalted, 8 Oz, Organic Bread Flour, 2 Lb, Organic Breakfast Biscuits, Almond Butter Cream Filled, 5.3 Oz, Organic Breakfast Biscuits, Double Chocolate, 5.3 Oz, Organic Breakfast Biscuits, Peanut Butter Cream Filled, 5.3 Oz, Organic Breakfast Biscuits, Raspberry Filled, 5.3 Oz (4 Ct), Organic Breakfast Biscuits, Strawberry Filled, 5.3 Oz, Organic Breakfast Biscuits, Strawberry Filled, Sample, 1.32 Oz, Organic Breakfast Blend, 12 Oz, Organic Breakfast Bread, Epic Everything, 18 Oz, Organic Breakfast Sandwich Biscuits, Blueberry, 5.3 Oz (4 Ct), Organic Breakfast Sandwich Biscuits, Hazelnut Cocoa, 5.3 Oz (4 Ct), Organic Broccoli (ct), Organic Broccoli Bites, White Cheddar &amp; Parmesan, 1.4 Oz, Organic Broccoli Florets (8 oz bag), Organic Broccoli Leaves (ct), Organic Broccoli Ninos (ct), Organic Broccoli Sweet Baby (ct), Organic Brown Rice Cakes, Lightly Salted, 8.5 Oz, Organic Brown Rice Pho Noodles, 8 Oz, Organic Brown Rice Stir Fry Noodles, 8oz, Organic Brown Rice Thin Stackers, Lightly Salted, 6 Oz, Organic Brown Rice, 8.8 Oz, Organic Brown Sugar Baked Beans, 10 Oz, Organic Brownie Mix, 15.2 Oz, Organic Brussels Sprouts (16 oz bag), Organic Bucatini, 1 Lb, Organic Bunny Fruit Snacks, Bees, Bugs &amp; Butterflies, 0.8 Oz (5 Ct), Organic Bunny Fruit Snacks, Tropical Treat, 7 Oz, Organic Bunny Graham Smores, 7.5 Oz, Organic Bunny Grahams Chocolate Chip, 7.5 Oz, Organic Bunny Grahams Friends, 7 Oz, Organic Bunny Grahams, Strawberry Shortcake, 12 Oz (12 Ct), Organic Butcher's Bone Broth, Chicken, 24 Fl Oz, Organic Butternut Squash Soup, 32 Fl Oz, Organic Cabbage Green (ct), Organic Cabbage Napa (ct), Organic Cabbage Napa Mini, Organic Cabbage Red (ct), Organic Cabbage Savoy (ct), Organic Cacao Almond Milk Latte, 11 Fl Oz, Organic Cacao Nibs, Unsweetened, 8 Oz, Organic Cacao Powder, 4 Oz, Organic Cacao Powder, 8 Oz, Organic California White Jasmine Rice, 2 Lbs, Organic Candy Cane Pops, 8.7 Oz, Organic Candy Canes, 4.94 Oz, Organic Cane Sugar, 32 Oz (2 Lbs), Organic Canned Beans, Red, 15oz, Organic Canned Black Beans, 15 Oz, Organic Canned Chickpeas, 15 Oz, Organic Canned Red Kidney Beans, 15 Oz, Organic Canned Whole Italian Tomatoes, 14.28 Oz, Organic Canola Oil Spray, 5 Fl Oz, Organic Cantaloupe (ct), Organic Caramel Granola Bars, Chocolate Dipped, 5 Ct, Organic Caramel Pecan Grain-Free Granola, 8 Oz, Organic Carbon Neutral Whole Milk, 64 Fl Oz, Organic Carnitas Slow Cook Sauce, 8 Oz, Organic Carrot (1 lb bag), Organic Carrot (2 lb bag), Organic Carrot (ct), Organic Carrot Baby (1 lb bag), Organic Carrot Nantes (1 bunch), Organic Carrot Rainbow (1 bunch), Organic Carrot Rainbow (1 lb bag), Organic Carrot Sticks, Ranch, 0.6 Oz, Organic Cashew Milk Mozzarella, 8 Oz, Organic Cashewmilk Yogurt, Vanilla Bean, 24 Oz, Organic Cauliflower (ct), Organic Cauliflower Large (ct), Organic Cauliflower White (ct), Organic Celebration Popcorn, Disney Edition, 6.75 Oz, Organic Celery (ct), Organic Celery Heart (ct), Organic Cereal, Mesa Sunrise, 10.6 Oz, Organic Ceylon Cinnamon, 1.4oz, Organic Chai Concentrate, 32 Fl Oz (1 Qt), Organic Chai Tea, 20 Teabags, Organic Chamomile &amp; Mint Herbal Tea, 20 Ct, Organic Chard (ct), Organic Cheddar Bunnies, 7.5 Oz, Organic Cherry (1 lb clamshell), Organic Chewy Bars, Blueberry Vanilla, 6 Oz (5 Ct), Organic Chewy Fruit Bites, Mango + Chili, 1.94 Oz, Organic Chewy Fruit Bites, Mango + Coconut, 1.94 Oz, Organic Chewy Fruit Bites, Pineaple + Passion Fruit, 1.94 Oz, Organic Chewy Granola Bar, Peanut Butter Chocolate Chip, 6 Ct, Organic Chewy Granola Bars, Dark Chocolate Chip, 7.2 Oz (6 Ct), Organic Chia Seeds, 1 Lb, Organic Chia Seeds, 12 Oz, Organic Chicken Bone Broth, 16 Fl Oz, Organic Chicken Bone Broth, Low Sodium, 16 Fl Oz, Organic Chicken Bone Broth, Rosemary Lemon, 16 Fl Oz, Organic Chicken Breast Tenders, 1 Lb, Organic Chicken Breast Tenders, 16 Oz (1 Lb), Organic Chicken Breast, Boneless Skinless, 14 Oz, Organic Chicken Breast, Thick-Cut, Oven Roasted, 6 Oz, Organic Chicken Broth, 32 Fl Oz, Organic Chicken Broth, 32 Fl Oz (1 Qt), Organic Chicken Broth, 32 Oz, Organic Chicken Broth, Low Sodium, 8 Fl Oz (4 Ct), Organic Chicken Drumsticks, 1.25 Lbs, Organic Chicken Noodle Soup, 14 Oz, Organic Chicken Sausage, Apple &amp; Wildflower Honey, 10 Oz, Organic Chicken Sausage, Sriracha Jalapeno, 10 Oz, Organic Chicken Sausage, Sweet Italian, 10 Oz, Organic Chicken Wings, 16 Oz, Organic Chickpea Flour, 1 Lb, Organic Chickpea Puffs, Sriracha Sunshine, 4 Oz, Organic Chickpeas, Tomato, &amp; Onion Everyday Chana, 10 Oz, Organic Chives 1 clamshell (0.5 oz), Organic Choco Chimps Cereal, 10 Oz, Organic Chocolate Almond Crisp Granola, 30 Oz, Organic Chocolate Almond Trail Mix, 16 Oz, Organic Chocolate Banana Brittle, 3.5 Oz, Organic Chocolate Bar Pieces, Almond Cashew &amp; Cranberry Better Bars, 5 Oz, Organic Chocolate Bar Pieces, Cacao Crunch, 4 Oz, Organic Chocolate Bar Pieces, Toffee Almond &amp; Sea Salt, 4 Oz, Organic Chocolate Bar, 55% Coconut Milk, 2.8 Oz, Organic Chocolate Bar, 70% Deliciously Dark, 2.5 Oz, Organic Chocolate Bar, Cacao Crunch, 2.5 Oz, Organic Chocolate Bar, Extreme Dark Chocolate 88%, 2.8 Oz, Organic Chocolate Bar, Raspberry Crunch, 2.5 Oz, Organic Chocolate Bar, Sea Salt and Almond, 2.5 Oz, Organic Chocolate Bar, Toffee Almond &amp; Sea Salt, 2.5 Oz, Organic Chocolate Bark, Sea Salt Almond, 4.2 Oz, Organic Chocolate Bark, Toasted Coconut 4.2 Oz, Organic Chocolate Brownie Bar Crumbles, 7 Oz, Organic Chocolate Cake Mix, 15.2 Oz, Organic Chocolate Chip Cookie Mix , 15.4 Oz, Organic Chocolate Chips, Bittersweet, 10 Oz, Organic Chocolate Chips, No Sugar Added, 7 Oz, Organic Chocolate Covered Almonds, 3.5oz, Organic Chocolate Covered Cashews, 3.5 Oz, Organic Chocolate Covered Cookie Bites, Mint Coconut, 3.5 Oz, Organic Chocolate Covered Cookie Bites, Peanut Butter, 3.5 Oz, Organic Chocolate Covered Hazelnuts, 3.5oz, Organic Chocolate Covered Nuts, 16 Oz, Organic Chocolate Dark Bark with Sea Salt &amp; Almond, 4.2 Oz, Organic Chocolate Fruit &amp; Nut Trail Mix, 14 Oz, Organic Chocolate Fruit &amp; Nut Trail Mix, 14 Oz, Organic Chocolatey Banana Nut Trail Mix, 7 Oz, Organic Chocolatey Banana Nut Trail Mix, 7oz, Organic Chopped Tomatoes, 26.4 Oz, Organic Chunky Peanut Butter, Salted, 16 Oz, Organic Chunky Peanut Butter, Salted, 16 Oz (1 Lb), Organic Chunky Tomato Bisque, 14.5 Oz, Organic Cilantro (ct), Organic Cinnamon Apple Chewy Bars No Added Sugar, 5 Ct, Organic Cinnamon Apple Sauce Pouches,, Organic Cinnamon Crunch Cereal, 9.2 Oz, Organic Cinnamon Raisin Granola, 15.6 Oz, Organic Cinnamon Sticks, 1.13 Oz, Organic Cinnamon Super Loops, 9.5 Oz, Organic Cippolini Onions 1 bag (1.5 lbs), Organic Classic BBQ Sauce, 6 Fl Oz, Organic Classic English Muffins, 13.2 Oz (6 Ct), Organic Classic Granola, 12 Oz, Organic Classic Lemonade, 12oz, Organic Classic Minestrone Soup, 14.5 Oz, Organic Classic Tomato with Basil Soup, 14.5 Oz, Organic Coarse Ground Coffee, 16 Oz, Organic Cocoa Bunnies Cereal, 10 Oz, Organic Cocoa Powder, 8 Oz, Organic Coconut Almond Spread, 11.5 Oz, Organic Coconut Chocolate Spread, 11.5 Oz, Organic Coconut Cream, 13.5 Oz, Organic Coconut Crisps, 3.5 Oz,</t>
  </si>
  <si>
    <t>Dairy: Far West Distributors ORGBMB-001 Buttermilk Blend</t>
  </si>
  <si>
    <t>Other: Agave (Raw Dark), Agave (Raw Light), Beans (Black Beans), Beans (Dry Beans Garbanzo), Beans (Kidney Dark Red), Beverage (Almond Milk), Beverage (Coconut Milk), Blackberries, Coconut (Aminos), Coconut (Cream), Coconut (Oil, Expeller Pressed), Dried Fruits (Goji Berries), Eggs (Free Range), Flour (Winter Wheat), Fresh Fruit (Apples, Fuji), Fresh Fruit (Bananas, Green), Fresh Fruit (Lemons), Fresh Fruit (Pineapple), Fresh Produce (Arugula), Fresh Produce (Beets, Red), Fresh Produce (Cabbage, Green), Fresh Produce (Carrot), Fresh Produce (Celery), Fresh Produce (Cucumbers), Fresh Produce (Garlic, Peeled), Fresh Produce (Kale Green), Fresh Produce (Kale Tuscan Black), Fresh Produce (Leeks), Fresh Produce (Lettuce, Romaine), Fresh Produce (Onions, Red), Fresh Produce (Potatoes, Yukon Gold), Fresh Produce (Spinach), Fresh Produce (Tomatoes, Cherry), Fresh Produce (Wheat Grass), Frozen Fruits (Acai Puree Arctic), Frozen Fruits (Acai Smoothie Puree), Frozen Fruits (Bananas Sliced IQF), Frozen Fruits (Blueberries IQF), Frozen Fruits (Jack Fruit), Frozen Fruits (Mango Chunks), Frozen Fruits (Pineapple Chunks, IQF), Hemp Seed, Herbs &amp; Spices (Basil), Herbs &amp; Spices (Chive), Herbs &amp; Spices (Dill), Herbs &amp; Spices (Mint), Herbs &amp; Spices (Tarragon), Honey (Honey Raw Organic), Juice (Apple Cider HPP), Juice (Grapefruit HPP), Juice (Lemon, HPP), Juice (Orange, HPP), Milk (1%), Milk (2%), Milk (Fat Free), Milk (Whole), Nut Butter (Peanut Butter), Oats (Rolled), Olive Oil (Extra Virgin), Olives (Kalamata), Quinoa (Grain Quinoa Mixed Color Organic), Quinoa (Grain Quinoa Red Organic), Quinoa (Grain Quinoa White Organic), Raspberries, Rice (Black Forbidden), Rice (Short Grain Brown), Strawberries, Sugar (Granulated Cane), Sugar (Granulated Dark Brown), Sunflower Oil, Tahini (Tahini Sesame Paste), Tofu (Extra Firm), Tofu (Super Firm), Tomatoes (Processed) (Crushed), Tomatoes (Processed) (Whole Peeled), Tortilla Chips, Vinegar (Apple Cider), Yogurt (Coconut Milk Plain), Yogurt (Dairy Free Plain), Yogurt (Vanilla Whole)</t>
  </si>
  <si>
    <t>Other: Dairyblend DS‐80 OG, Dairyblend IC OG Gelato Base, Dairyblend YG OG 6, FARMAL Locust Bean 1110, Nativacare 9360, Pre-Hydrated® Stabilizer OG XC-8444, Ticagel® Konjac OG HV, Ticaloid® OG Ultrasmooth CL, Ticaloid® PRO OG 181, Ticaloid® PRO OG 181 Medium Viscosity, Ticaloid® PRO OG D192, Ticaloid® PRO OG122 RD, TICorganic® Agar 600-B, TICorganic® Aragum SDF, TICorganic® Caragum 200, TICorganic® Dairyblend COT D, TICorganic® Dairyblend IC 2, TICOrganic® Dairyblend Natural IC CL, TICorganic® Dairyblend YG Smooth, TICorganic® Guar Gum 3500 F Powder, TICorganic® Inulin Agave, TICorganic® Locust Bean Powder Gum, TICorganic® Nutriloid® Gum Arabic SF-90, TICorganic® Saladizer® 100, TICorganic® Saladizer® 320, TICorganic® Stabilizer ICE-200, TICorganic® Ticagel® GC-553, TICorganic® Ticaloid® 8030</t>
  </si>
  <si>
    <t>Other: Dairyblend DS‐80 OG, Dairyblend IC OG Gelato Base, Dairyblend YG OG 6, Nativacare 9360, Organic Acacia Senegal (#1 KITIR), Organic Acacia Seyal (#2 TALHA), Pre-Hydrated Stabilizer OG XC-8444, Pre-Hydrated TICorganic® Arabic SD, Pre-Hydrated TICorganic® Gum Arabic SF, Pre-Hydrated® TICorganic® Guar 3500 F, Ticagel® Konjac OG HV, Ticaloid® OG Ultrasmooth CL, Ticaloid® PRO OG D192, Ticaloid® PRO OG122 RD, Ticaloid® PRO OG-181, Ticaloid® PRO OG-181 Medium Viscosity, TICorganic® Agar 600-B, TICorganic® Arabic Spray Dry Powder, TICorganic® Aragum SDF, TICorganic® Caragum 200, TICorganic® Dairyblend COT-D, TICorganic® Dairyblend IC 2, TICOrganic® Dairyblend Natural IC CL, TICorganic® Dairyblend YG Smooth, TICorganic® Guar Gum 3500 F Powder, TICorganic® Guar Gum 8/22, TICorganic® Gum Arabic SF, TICorganic® Inulin Agave, TICorganic® Locust Bean Gum Powder, TICorganic® Nutriloid® Gum Arabic SF-90, TICorganic® Saladizer® 100, TICorganic® Saladizer® 320, TICorganic® Stabilizer ICE-200, TICorganic® Ticagel® GC-553, TICorganic® Ticaloid® 8030</t>
  </si>
  <si>
    <t>Animal Feed: Organic 16% Dairy Feed for Milking Cows, Organic 16% Dairy Feed for Milking Cows No Soy, Organic 16% Goat Feed, Organic 16% Goat Feed No Soy, Organic 16% Layer Mash General Use, Organic 16% Layer Mash General Use No Soy, Organic 17% Layer Mash General Use, Organic 17% Layer Mash General Use No Soy, Organic 18% Layer Mash General Use, Organic 18% Layer Mash General Use No Soy, Organic 18% Swine Starter Mash, Organic 18% Swine Starter Mash No Soy, Organic 20% Layer Mash General Use, Organic 21% Layer Mash General Use, Organic 21% Turkey Grower Mash, Organic 24% Turkey Starter Mash, Organic 28% Turkey Mash, Organic Alfalfa Pellets, Organic All Purpose Livestock Mash, Organic All Purpose Livestock Mash No Soy, Organic All Purpose Poultry Grower Mash, Organic All Purpose Poultry Grower Mash No Soy, Organic All Purpose Poultry Starter Mash, Organic All Purpose Poultry Starter Mash No Soy, Organic Broiler Finisher Mash, Organic Broiler Finisher Mash No Soy, Organic Broiler Grower Mash, Organic Broiler Grower Mash No Soy, Organic Broiler Starter Mash, Organic Cracked Corn, Organic Cracked Peas, Organic Hen Scratch, Organic Hog Mash General Use, Organic Hog Mash General Use No Soy, Organic Rolled Barley, Organic Rolled Oats, Organic Whole Barley, Organic Whole Oats, Organic Whole Peas, Organic Whole Wheat</t>
  </si>
  <si>
    <t>Other: Calf Grain, Close Up, Corn &amp; Barley Mix, Dairy Mix, Grain Screenings, Layer Pellets, Milrun, Poultry Blend, Rolled Barley, Rolled Corn, Rolled Grain Blend, Rolled Oats, Rolled Wheat, Wheat Milrun, Whole Corn, Alfalfa, Almond Hulls, Canola, Grass, Grassy Alfalfa, Rice Bran, Rice Cakes, Rice Hulls, Rice Straw, Safflower Meal, Soybean Meal, Sunflower Seed, Wheat, White Milled Rice, White Quinoa, Triticale, Vetch, Silage, Deniz Organic Dairy Mix</t>
  </si>
  <si>
    <t>Other: 501869 Organic Eggnog Powder #5366-50, 502116 Organic Chocolate Dairy Powder 10# 1188 Bulk, 502144 Organic Cocoa Blend 50# 2142-50, 502233 Organic Eggnog Powder #5326-50, 502235 Organic Chocolate Dairy Powder 12# 1198-48, 502349 Organic Chocolate Dairy Powder 15# 1045-45, 502377 Organic Eggnog Powder #5330-48, 502476 Organic Chocolate Dairy Powder 50# 1502-50, 502507 Organic Banana Dairy Powder 50# 5215-50, 502514 Organic Peaches &amp; Cream Dairy Powder 10# 5212-50, 502554 Organic Pumpkin Spice Creamer Powder 10# 5221-50, 502558 Organic 'Dr. Nog' Eggnog Powder #5421-50</t>
  </si>
  <si>
    <t>Fruits/Vegetables: Ready to Eat Foods (Pickled, Fermented, or Coagulated Products: Island Spring Delicious Steamed Tofu), Ready to Eat Foods (Pickled, Fermented, or Coagulated Products: Small Planet Fresh Tofu - Curry), Ready to Eat Foods (Pickled, Fermented, or Coagulated Products: Small Planet Fresh Tofu - Spicy), Ready to Eat Foods (Pickled, Fermented, or Coagulated Products: Small Planet Organic Savory Baked Tofu - Curry), Ready to Eat Foods (Pickled, Fermented, or Coagulated Products: Tofu - Santa Fe Strips), Ready to Eat Foods (Pickled, Fermented, or Coagulated Products: Island Spring Silken Firm Tofu), Ready to Eat Foods (Pickled, Fermented, or Coagulated Products: Island Spring Traditional Firm Tofu), Ready to Eat Foods (Pickled, Fermented, or Coagulated Products: Tofu - Tuscan Strips), Ready to Eat Foods (Pickled, Fermented, or Coagulated Products: Small Planet Fresh Tofu - Garlic &amp; Herb), Ready to Eat Foods (Pickled, Fermented, or Coagulated Products: Tofu - Sriracha), Ready to Eat Foods (Pickled, Fermented, or Coagulated Products: Small Planet Organic Savory Baked Tofu - Garlic &amp; Herb), Ready to Eat Foods (Pickled, Fermented, or Coagulated Products: Tofu - Santa Fe), Ready to Eat Foods (Pickled, Fermented, or Coagulated Products: Small Planet Fresh Tofu - Firm), Ready to Eat Foods (Pickled, Fermented, or Coagulated Products: Small Planet Organic Savory Baked Tofu - Original), Ready to Eat Foods (Pickled, Fermented, or Coagulated Products: Small Planet Organic Savory Baked Tofu - Sun Dried Tomato), Ready to Eat Foods (Pickled, Fermented, or Coagulated Products: Small Planet Organic Savory Baked Tofu - Spicy), Ready to Eat Foods (Pickled, Fermented, or Coagulated Products: Island Spring Extra Firm Tofu), Ready to Eat Foods (Pickled, Fermented, or Coagulated Products: Small Planet Fresh Tofu - Sun Dried Tomato), Ready to Eat Foods (Pickled, Fermented, or Coagulated Products: Island Spring High Fiber Tofu), Ready to Eat Foods (Pickled, Fermented, or Coagulated Products: Tofu - Sriracha Strips), Ready to Eat Foods (Pickled, Fermented, or Coagulated Products: Traditional Firm Tofu Curds), Ready to Eat Foods (Pickled, Fermented, or Coagulated Products: Extra Firm Tofu 3/4" Cubes, Flash Fried); Dairy: Non-Dairy Milk (Dairy Alternatives: Soy Milk)</t>
  </si>
  <si>
    <t>Dairy: Milano's Organic Asiago Grated Aged Cheese (4oz, 8oz), Milano's Organic Parmesan Grated Aged Cheese (4oz, 8oz, 5lb, 20lb), Milano's Organic Parmesan Shaved Aged Cheese (4oz, 8oz, 5lb), Milano's Organic Parmesan Shredded Aged Cheese (4oz, 8oz, 5lb), Milano's Organic Romano Grated Aged Cheese (4oz, 8oz, 5lb, 20lb)</t>
  </si>
  <si>
    <t>Other: Butter (Butter with Herbs), Butter (Sweet Cream), Butter (Sweet Cream, Salted), Buttermilk (Cultured Whole (No current production)), Cheese (Cheddar), Cheese (Farmstead), Cheese (Gouda Cheese, Aged Gouda Cheese), Cheese (Gouda with Cumin), Cheese (Honey Clover Farmstead), Cheese (Pepper Jack), Cream (Heavy Whipping Cream), Milk, Milk (1%), Milk (2%), Milk (Chocolate 1% Low Fat), Milk (Raw Grass Fed Milk for Pets), Milk (Skim), Milk (Whole)</t>
  </si>
  <si>
    <t>Fruits/Vegetables: Fresh Bananas, Fresh coconut, Fresh Pineapple, Fresh Red Dragon; Beverage Related Products: Coconut Meat, Coconut Water, Non-Dairy Milk (Coconut milk)</t>
  </si>
  <si>
    <t>Other: "Milk - Bulk"</t>
  </si>
  <si>
    <t>Other: 26g Protein Shake - Creamy Chocolate Fudge, Almondmilk, Original, Almondmilk, Original, Almondmilk, Unsweetend Vanilla, Almondmilk, Unsweetened, Almondmilk, Unsweetened Original, Almondmilk, Unsweetened Original, Almondmilk, Unsweetened Original, Almondmilk, Unsweetened Original, Almondmilk, Unsweetened Original, Almondmilk, Unsweetened Vanilla, Almondmilk, Unsweetened Vanilla, Almondmilk, Unsweetened Vanilla, Almondmilk, Vanilla, Almondmilk, Vanilla, Chocolate Almond Non-Dairy Beverage, Chocolate Banana Almond Non-Dairy Beverage, Chocolate Shake, Glucose Support Formula 1.2 Vanilla, High Protein Nutrition Shake Chocolate, High Protein Nutrition Shake Chocolate 4 pack, High Protein Nutrition Shake Strawberry, High Protein Nutrition Shake Strawberry 4 pack, High Protein Nutrition Shake Vanilla, High Protein Nutrition Shake Vanilla 4 pack, Kids Nutrition Chocolate, Kids Nutrition Strawberry, Kids Nutrition Vanilla, Non-Dairy Almondmilk Original, Non-Dairy Almondmilk Unsweet Original, Non-Dairy Almondmilk Unsweet Vanilla, Non-Dairy Almondmilk Vanilla, Non-Dairy Soymilk Original, Nutrition Shake Chocolate, Nutrition Shake Coffee, Nutrition Shake Strawberry, Nutrition Shake Vanilla, Nutritional Shake Creamy Chocolate Fudge, Nutritional Shake Iced Café Mocha, Nutritional Shake Strawberries &amp; Cream, Nutritional Shake Sweet Vanilla Bean, Organic Nutrition 16g Plant Protein Shake - Smooth Chocolate (Vegan), Organic Nutrition 16g Plant Protein Shake - Vanilla Bean (Vegan), Original Almond Non-Dairy Beverage, Original Almond Non-Dairy Beverage, Original Soy Beverage, Original Soy Non-Dairy Beverage, Pearl Organic Soymilk Creamy Vanilla, Pearl Organic Soymilk Original, Pearl Organic Soymilk Unsweetened`, Pediatric Peptide 1.0 Strawberry, Pediatric Peptide 1.0 Vanilla, Pediatric Peptide 1.5 Vanilla, Pediatric Peptide Formula 1.5 Plain, Pediatric Standard 1.2 Chocolate, Pediatric Standard 1.2 Vanilla, Peptide Formula 1.0 Plain, Peptide Formula 1.0 Vanilla, Peptide Formula 1.5 Plain, Peptide Formula 1.5 Vanilla, Protein Almondmilk, Unsweetened Vanilla, Renal Support Formula 1.8 Vanilla, Soy Non-Dairy Beverage, Original, Soymilk, Original, Soymilk, Original, Soymilk, Original, Soymilk, Unsweetened, Soymilk, Unsweetened, Soymilk, Vanilla, Soymilk, Vanilla, Soymilk, Vanilla, Soymilk, Vanilla, Standard Formula 1.0 Chocolate, Standard Formula 1.0 Plain, Standard Formula 1.0 Vanilla, Standard Formula 1.4 Chocolate, Standard Formula 1.4 Plain, Standard Formula 1.4 Strawberry, Standard Formula 1.4 Vanilla, Unsweet Original Soy Non-Dairy Beverage, Unsweetened Chocolate Almond Non-Dairy Beverage, Unsweetened Original Almond Non-Dairy Beverage, Unsweetened Original Almond Non-Dairy Beverage, Unsweetened Original Coconut Non-Dairy Beverage, Unsweetened Vanilla Almond Non-Dairy Beverage, Unsweetened Vanilla Coconut Non-Dairy Beverage, Unsweetned Vanilla Almond Non-Dairy Beverage, Vanilla Almond Non-Dairy Beverage, Vanilla Almond Non-Dairy Beverage, Vanilla Shake</t>
  </si>
  <si>
    <t>Animal Feed: Livestock Feed (14% Swine Finisher), Livestock Feed (16% Dairy Feed), Livestock Feed (17% Rabbit Feed), Livestock Feed (18% All-Stock Feed), Livestock Feed (18% Duck Feed), Livestock Feed (18% Layer Feed), Livestock Feed (19.5% Broiler/Grower), Livestock Feed (21% Chick Starter), Livestock Feed (22% Quail Layer), Livestock Feed (23% Turkey Grower), Livestock Feed (30.56% Quail Starter), Livestock Feed (8% Poultry Scratch), Livestock Feed (Corn), Livestock Feed (Hay), Livestock Feed (Oats), Livestock Feed (Soy), Livestock Feed (Straw), Livestock Feed (Wheat)</t>
  </si>
  <si>
    <t>Dairy: Cheese Flavor</t>
  </si>
  <si>
    <t>Other: 23-225-1 Peanut Butter Variegate, 23-277-1 Organic Flavor, Milk Type Powder, 26-056-2C Almond Butter Filling, 26-063-2A Organic Peanut Butter Base, 26-161-7 Organic Pure Vanilla Powder, 28-076-4 Organic Chocolate Coating, 30-005-1B Organic Chocolate Coating, Dairy Free, 8-860 Strawberry Flavor WONF, Banana Flavor WONF 8-858, Black Cherry Base 21-281-2, Black Cherry Base 22-300-3B, Black Cherry Puree 21-281-1, Black Cherry Puree ORG-9152, Blueberry Acai Fruit Bar Filling ORG-8052, Blueberry Carrot Yogurt Filling ORG-9526, Blueberry Fruit Bar Filling ORG-8059, Chocolate Base 28-056-1A, Chocolate Variegate 21-285-1B, Cinnamon Extract 26-023-10, Cinnamon Flavor 26023, Dark Chocolate Base ORG-8148, Key Lime Fruit Blend ORG-7123, Mango Fruit Base ORG-8141, Mixed Fruit Juice &amp; Puree Blend #2 ORG-7433, Orange Sherbet Base 24-254-1, Orange Sherbet Base 24-254-1A, ORG-9524R Strawberry Spinach Yogurt Filling, ORG-9525R Pumpkin Banana Cinnamon Yogurt Filling, ORG-9526R Blueberry Carrot Yogurt Filling, Peanut Butter Filling 28-205-2B, Peanut Butter Variegate 22-97-2, Pineapple Filling ORG-8230, Pomegranate Flavor WONF 23-40-1, Pumpkin Banana Cinnamon Yogurt Filling ORG-9525, Raisin Puree ORG-9067, Raspberry Fruit Blend ORG-7071, Strawberry Chia Fruit Bar Filling ORG-8053, Strawberry Fruit Bar Filling ORG-8058, Strawberry Fruit Blend ORG-7073, Strawberry Ice Cream Base 17-185, Strawberry Spinach Yogurt Filling ORG-9524, Vanilla Flavor WONF, Powder 28-224-2</t>
  </si>
  <si>
    <t>Other: 12-197-1 Organic Pumpkin Spice, 12-279-4 Organic Blueberry Flavor WONF, 15-177B Organic Pineapple Blend, 15-207B Organic Key Lime Blend, 15-208 Organic Apple Cinnamon, 15-210 Organic Banana Blend, 16-273-1 Coconut Flavor, 16-279-1 Vanilla Bean Flavor Powder, 16-31 Organic Pure Vanilla Extract 2 Fold, 16-31 Organic Vanilla Extract 2X, 16-31-14 Pure Vanilla Extract 2-Fold Bourbon, 17-144 Organic Pumpkin Spice, 17-145 Organic Chai Tea, 17-192 Organic Cheesecake Base, 17-194 Salty Caramel, 18-199-1 Chocolate Flavor Powder, 22-231-6 Mint Extract, 22-235-2 Chocolate Fudge Variegate, 22-235-3A Biscuit Swirl, 22-236-1A Coconut Type Flavor, 22-236-2 Toasted Coconut Type Flavor, 22-248-3 Tea Flavor, 22-249-5 Organic Raspberry Flavor WONF, 22-250-6 Caramel Base with Sea Salt, 22-250-7 Hibiscus Extract, 22-297-7 Chocolate Vanilla Bean Flavor WONF, 22-307-8 Vanilla Flavor WONF, 23-168-5 Organic Vanilla Flavor WONF, 23-175-1 Blueberry Fruit Prep for Kefir, 23-175-1 Forest Berry Fruit Prep, 23-175-2 Strawberry Fruit Prep for Kefir, 23-175-3 Strawberry Pomegranate Acai Fruit Prep for Kefir, 23-175-4 Blueberry Fruit Prep, 23-175-5 Peach Fruit Prep, 23-175-6 Mango Pineapple Passion Fruit Prep for Kifer, 23-175-7 Organic Lemon Base, 23-175-8 Vanilla Bean Base, 23-175-9 Strawberry Fruit Prep, 23-180-3 Organic Cinnamon Flavor Base, 23-184-3A Root Beer Base, 23-184-4 Organic Flavor, Root Beer Type, 24-1-4 Coffee Extract, 24-193-2A Organic Strawberry Fruit Prep, 24-32-2 Colombian FT Ground Coffee Beans, 24-32-3 Tea Flavor, 24-55-1A Hibiscus Mint Tea Concentrate, 26-016-2 Cinnamon Flavor WONF, 26-020-6 Espresso Type Flavor, 26-021-7 Vanilla Flavor WONF, 26-049-5 Organic Flavor, Honey Type, 26-049-7 Organic Flavor, Frosted Flakes Type, 26-065-15 Organic Flavor, Tropical Punch Type, Powder, 26-067-10 Strawberry Flavor WONF, 26-067-9 Banana Flavor WONF, 26-073-1 Organic Flavor, Creamy Coffee Type, 26-073-2A Mango Variegate, 26-087-7 Organic Blue Moon Blend with GNT color, 26-087-8 Organic Pink Moon Blend, 26-096-15 Flavor, Cherry Vanilla WONF, 26-103-12 Organic Vanilla Flavor WONF, 26-110-7 Organic Flavor, Apple Cider WONF, Powder (Spiced), 26-127-6 Organic Nog Flavor Base, 27-023-2A Organic Non-Dairy Chocolate Variegate, 27-059-2 Organic Pineapple Base, 27-060-1 Organic Cinnamon Variegate, 27-060-1B Organic Cinnamon Variegate, 27-060-2 Organic Lime Variegate, 27-060-2B Organic Lime Variegate, 28-109-4 Cinnamon Flavor, 28-117-1B Cheesecake Base, 28-118-1 Organic Tangy Orange Variegate, 28-132-7 Peach Flavor WONF, 28-245-3 Pumpkin Spice Type Flavor, 28-256-4 Pomegranate Flavor WONF, 28-287 Blueberry Flavor WONF, 29-453-1 Organic Flavor, Fresh Pineapple Type, 29-495-2 Vanilla Flavor WONF SD, 30-040-1A Organic Strawberry Flavor WONF, 30-058-2A Organic Mint Tea Concentrate, 30-167-1 Organic Espresso Coffee Variegate, 30-241-2 Organic Mixed Berry Variegate, 30-272-5 Organic Flavor, Caramel Type, Powder, 8-288-1 Organic Apple Puree Concentrate, 8-288-2 Organic Strawberry Puree Concentrate - Seedless, 8-300-2B Creamy Milk Type Flavor, 8-300-34 Brewed Tea Concentrate, 8-302-4 Lemon Extract, 8-794 Bitter Masking Flavor, Chocolate Flavor WONF 18-141-1, Chocolate Flavor WONF 26-022-3, Cinnamon Toast Crunch Type WONF 26-049-9, Coconut Base 27-042-3, Coconut Base 27-042-3A, Coconut Flavor WONF 16-273-1, Coffee Flavor WONF 26-088-2, Flavor Lime WONF (28-122-7), Flavor Orange WONF (28-122-3), Flavor Strawberry WONF (28-305-5), Flavor Watermelon WONF (28-305-3), Fruit Loops Type Flavor 26-049-8, Lemon Oil 1X 8-626, Oat Type Flavor 26-049-6, ORG- 8092 Pure Vanilla Extract 2-Fold Bourbon, ORG- 8117 Horchata Syrup, ORG-6732 Flavor, Pineapple WONF, ORG-7072B Organic Peach Blend, ORG-7074B Organic Blueberry Fruit Blend, ORG-7119 Organic Strawberry Syrup, ORG-7155 Organic Chocolate Raspberry Syrup, ORG-7156 Organic Pomegranate Mixed Berry Syrup, ORG-7157 Organic Mango Syrup, ORG-8027 Organic Guava Puree, ORG-8042 Organic Meyer Lemon Syrup, ORG-8054 Chocolate Extract, ORG-8071 Peppermint Flavor, ORG-8132 Organic Caramel Base, ORG-8147 Madagascar Pure Vanilla Extract 1 Fold, ORG-8154 Vanilla Bean Specs, ORG-8159 Raspberry Flavor WONF, ORG-8258 Strawberry Banana Fruit Prep, ORG-8259 Strawberry Carrot Friut Prep, ORG-8260 Blueberry Beet Fruit Prep, ORG-8272 Organic Raspberry Flavor WONF, Raspberry Fruit Prep 23-191-1A</t>
  </si>
  <si>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</si>
  <si>
    <t>Preservatives/Extracts/Flavors: Spices (Paprika (bulk)); Animal Feed: Dairy Mineral, Livestock Feed (1:1 Heifer Premix Granular), Livestock Feed (16% Dairy Pellet), Livestock Feed (Henhouse Reserve), Livestock Feed (16% Goat Feed Pellets), Livestock Feed (17% Layer Crumbles), Livestock Feed (17% Layer Pellet), Livestock Feed (18% Calf Starter), Livestock Feed (20% Chick &amp; Meatbird Starter-Grower Crumbles (O1040C)), Livestock Feed (20% Chick &amp; Meatbird Starter-Grower Pellets (O1040P)), Livestock Feed (34% Beef Supplement), Livestock Feed (All Season Beef Mineral), Livestock Feed (Chick Food Starter-Grower Crumbles), Livestock Feed (Chicken Food Layer Crumbles), Livestock Feed (Chicken Food Layer Mini Pellets), Livestock Feed (Custom Beef Feed), Livestock Feed (Custom Dairy Feed), Livestock Feed (Custom Goat Feed), Livestock Feed (Custom Poultry Feed), Livestock Feed (Custom Sheep Feed), Livestock Feed (Custom Swine Feed), Livestock Feed (Family Fixin' Sow &amp; Pig Feed Pellets), Livestock Feed (Free-Choice Beef Mineral), Livestock Feed (Layer Feed for Chicken &amp; Ducks), Livestock Feed (Scratch Grains), Molasses, O1P16NPO OT1117 Mixer Pellet (Ingredient), OmEGGa, Soybean Meal, Soybean Oil, Yellow Corn (Bulk)</t>
  </si>
  <si>
    <t>Dairy: Cheese (shredding, packaging, labeling and distribution, of bulk cheese products, shredded cheddar cheese, shredded parmesan cheese), Yogurt (Processing, packaging, labeling and distribution of yogurt products, plain yogurt, vanilla yogurt, honey yogurt)</t>
  </si>
  <si>
    <t>Dairy: milk separation to 100% organic products (bulk raw whole milk, bulk raw nonfat milk, bulk raw cream, bulk raw 1% milk), procurement of milk from dairy farms, milk separation, transporting milk to other locations for further processing.</t>
  </si>
  <si>
    <t>Preservatives/Extracts/Flavors: Powders (Organic Inulin (non-retail)); Eggs: Organic Frozen Sugared Egg Yolks (non-retail); Dairy: Butter (Organic Cultured Unsalted Butter (non-retail)), Butter (Organic Ghee / Clarified Butter (non-retail)), Butter (Organic Salted Butter (non-retail)), Butter (Organic Unsalted Butter (non-retail)), Cheese (Organic Cheddar Cheese Block (non-retail)), Cheese (Organic Cheddar Cheese Shreds (non-retail)), Cheese (Organic Parmesan Cheese Block (non-retail)), Cheese (Organic Parmesan Cheese Shreds (non-retail)), Cottage Cheese (Organic Sour Cream (non-retail)), Cream (Organic Pasteurized Whipping Cream (non-retail)), Cream (Organic Pasteurized Heavy Cream (non-retail)), Cream (Organic Pasteurized Light Cream (non-retail)), Milk (Organic Pasteurized Skim Milk (non-retail)), Milk (Organic Pasteurized 1% Milk (non-retail)), Milk (Organic Nonfat Dried Milk (non-retail)), Milk (Organic Nonfat Dried Milk (non-retail)), Milk (Organic Pasteurized Whole Milk (non-retail)), Milk (Organic Raw Whole Milk (non-retail)), Organic Pasteurized 1% Buttermilk (non-retail), Organic Pasteurized 2% Buttermilk (non-retail), Organic Pasteurized Half and Half (non-retail), Organic Whole Dry Milk (non-retail), Sour Cream (Organic 2% Cottage Cheese (non-retail)), Yogurt (DI 157 Organic Greek Style Yogurt (non-retail)), Yogurt (DI 158 Organic Yogurt-Reduced Sugar (non-retail)), Yogurt (DI 161 Organic Yogurt Reduced Sugar (non-retail)), Yogurt (DI 163 Organic White Mass Yogurt (non-retail))</t>
  </si>
  <si>
    <t>Other: Cattle, Slaughter Eligible, Corn Stalks, Dairy Replacement Heifers, Hay, Straw</t>
  </si>
  <si>
    <t>Other: 1% Low Fat Milk (ESL), A2 Protein Whole Milk (ESL), Almond Non-Dairy Beverage, Banana Chocolate, Almond Non-Dairy Beverage, Vanilla Unsweetened, Chicken Stock, Chocolate Milk, Reduced Fat, Lactose Free Reduced Fat MIlk (ESL), Low Fat Chocolate Milk (ESL), Oat, Non-Dairy Beverage, Reduced Fat Milk (ESL), Soy Non-Dairy Beverage, Original, Soy Non-Dairy Beverage, Vanilla, Soy Unsweeetened Non-Dairy Beverage, Soy Unsweetened ND Beverage, Soy Vanilla Non-Dairy Beverage, Whole Milk, Whole Milk (Aseptic), Whole Milk (ESL)</t>
  </si>
  <si>
    <t>Beverage Related Products: Non-Dairy Milk (Organic coconut milk)</t>
  </si>
  <si>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</si>
  <si>
    <t>Dairy: Cheese (Martha-Made Cheese), Cheese (Parmesan-Style Cheese), Cheese (Sweet Grass Cheese), Milk (Whole Milk)</t>
  </si>
  <si>
    <t>Other: Alfalfa, Annual Ryegrass, Buckwheat, Corn, Crimson Clover, Dairy Green Mixture, Faba Beans, Festulolium, Hayboss Mixture, Importing seed, Intermediate Ryegrass, Italian Ryegrass, Kingfisher Allegro Blend, Kingfisher TD Blend, Ladino Clover, Meadow Fescue, Millet, Oats, Orchardgrass, Partner Mixture, Peas, Perennial Ryegrass, Premium Clover Mix, Red Clover, Rye, Sale Topper Mixture, Seed Bagging, Seed Distributing, Seed Labeling, Seed Mixing, Seed Repackaging, Sorghum Sudan, Soybeans, Star Mixture, Sudangrass, Sweet Clover, Tall Fescue, Timothy, Triticale, Wheat, White Clover</t>
  </si>
  <si>
    <t>Other: Dairy cow: veal retail meat cuts, Pasteurized Whole Milk, Raw Milk</t>
  </si>
  <si>
    <t>Other Grains, Pastas and Cereals: Wheat; Nuts/Seeds: Organic Spelt Seed; Animal Feed: Livestock Feed; Other: Organic Custom Spelt Dehulling, Soybean Roasting, Grain Roasting</t>
  </si>
  <si>
    <t>Seasonings: Seasoning Blends (Khichadi Spice Blend), Seasoning Blends (Seasoning Blend - Six Taste Spice Mix); Personal Care: Amla Hair Oil, Body Oils (Ashwagandha Bala Massage Oil), Body Oils (Bhringraj Oil), Body Oils (Brahmi Massage Oil), Body Oils (Detox Massage Oil), Body Oils (Hair &amp; Skin Oil), Body Oils (Kapha Massage Oil), Body Oils (Neem Oil), Body Oils (Pitta Massage Oil), Body Oils (Vata Massage Oil), Oral Detox with Peppermint, Oral Klenz- Organic Oil Pulling with Peppermint, Oral Klenz- Organic Pulling Oil with Clove, Oral Rinse - Swish, Oral Well with Peppermint (8oz); Other Grains, Pastas and Cereals: Grain Blend - Indian Risotto, Grain Blend - Khichadi, Grain Blend - Khichadi (7oz), Grain Blend - Kitchari, Grain Blend - Quinoa Khichadi, Khichadi, Mung Dahl Beans, Quinoa (Premium Quality Quinoa), Quinoa Khichadi, Rice (Khichadi Rice and Yellow Mung Beans Blend), Rice (Long Grain Rice), Yellow Mung Beans; Oils &amp; Oleoresins: Oils (Castor Oil), Oils (Castor Oil), Oils (Coconut Oil), Oils (Detox Oil), Oils (Sesame Oil); Nuts/Seeds: Cashew Nuts (Whole Raw Cashews); Health Products: Haritaki, Herbs (Detox Herbal Fiber), Herbs (Nisha Amalaki), Pure Cleanse, Supplements (Triphala Capsules (30 Capsule Package)), Supplements (Triphala Capsules (60 Capsule Package)); Dairy: Ghee, Ghee; Condiments and Sweeteners: Ashwaganda Lehyam (Herbal Spread), Golden Amalaki Lehyam (Herbal Spread), Golden Shilajit Lehyam (Herbal Spread), Jam (GulKand Rose Herbal Jam), Jam (GulKand Rose Jam), Jam (Herbal Jam), Jam (21st Century Chyawanprash Herbal Jam (9.5oz)), Jam (Herbal Jam - Vital Chyawanprash), Jam (Immunity Boost - Herbal Nutritive Jam), Jam (Jam - Chyawanprash), Jam (Jam - Praas/Chyanwanprash), Jam (Chyawanprash Chyavanprash), Neem-Turmeric Lehyam (Herbal Spread), Turmeric Lehyam (Herbal Spread); Beverage Related Products: Herbal Tonic - Ojas Bliss, Oja Well, Ojas Nightly Tonic, Tea (Golden-T Milk Elixer), Tea (Heart Health Herbal Tea), Tea (Herbal Detox Tea), Tea (Spring Well Immunity Blend Tea (8oz)), Tea (Tea - Detox Herbal Tea), Tea (Tea - Herbal Detox Tea), Tea (Tea - Kapha Energizing Herbal Tea), Tea (Tea - Lymph Herbal Tea), Tea (Tea - Lymph Herbal Tea), Tea (Tea - Pitta Cooling Herbal Tea), Tea (Tea - Shakti Kapha EZ Herbal Tea), Tea (Tea - Shanti Vata EZ Herbal Tea), Tea (Tea - Shanti Vata EZ Herbal Tea), Tea (Tea - Sheetal Pitta EZ Herbal Tea), Tea (Tea - Sheetal Pitta EZ Herbal Tea), Tea (Tea - Vata Calming Herbal Tea), Tea (Tea - Weigh EZ Herbal Tea), Tea (Tea - Weigh EZ Herbal Tea), Tea (Tea - Weight Loss Herbal Tea), Tea (Vital Gold - Golden Milk), Tea (Weight Loss Organic Herbal Tea); Other: Fruit Powder - Amchoor/Raw Mango Powder (1lb), Fruit Powder - Amchoor/Raw Mango Powder (8oz), Fruit Powder - Amchoor/Raw Mango Powder (Non-Retail), Fruit Powder - Amla/Amalaki Powder (1lb), Fruit Powder - Amla/Amlaki (Non-Retail), Fruit Powder - Amla/Amlaki Powder (8oz), Fruit Powder - Haritaki Powder (1lb), Fruit Powder - Haritaki Powder (8oz), Fruit Powder - Haritaki Powder (Non-Retail), Herbs/ Spices - Whole Coriander Seeds, Herbs/Spices - Anantmul Powder (1lb), Herbs/Spices - Anantmul Powder (8oz), Herbs/Spices - Anantmul Powder (Non-Retail), Herbs/Spices - Arjuna Powder (1lb), Herbs/Spices - Arjuna Powder (8oz), Herbs/Spices - Arjuna Powder (Non-Retail), Herbs/Spices - Ashoka Powder, Herbs/Spices - Ashwaganda Powder, Herbs/Spices - Ashwaganda Powder (1lb), Herbs/Spices - Ashwaganda Powder (8oz), Herbs/Spices - Ashwaganda Powder (Non-Retail), Herbs/Spices - Ashwagandha Powder (8oz), Herbs/Spices - Bhumiamla Powder (1lb), Herbs/Spices - Bhumiamla Powder (8oz), Herbs/Spices - Bhumiamla Powder (Non-Retail), Herbs/Spices - Bibhtaki Powder (1lb), Herbs/Spices - Bibhtaki Powder (8oz), Herbs/Spices - Bibhtaki Powder (Non-Retail), Herbs/Spices - Black Cardamom Whole (1lb), Herbs/Spices - Black Cardamom Whole (8oz), Herbs/Spices - Black Pepper Powder (1lb), Herbs/Spices - Black Pepper Powder (8oz), Herbs/Spices - Black Pepper Powder (Non-Retail), Herbs/Spices - Brahmi Powder (1lb), Herbs/Spices - Brahmi Powder (8oz), Herbs/Spices - Brahmi Powder (Non-Retail), Herbs/Spices - Cardamom Seed Powder (1lb), Herbs/Spices - Cardamom Seed Powder (8oz), Herbs/Spices - Cardamom Seed Powder (Non-Retail), Herbs/Spices - Chitrakmool Powder (1lb), Herbs/Spices - Chitrakmool Powder (8oz), Herbs/Spices - Chitrakmool Powder (Non-Retail), Herbs/Spices - Cinnamon Powder (1lb), Herbs/Spices - Cinnamon Powder (8oz), Herbs/Spices - Cinnamon Powder (Non-Retail), Herbs/Spices - Clove Powder (1lb), Herbs/Spices - Clove Powder (8oz), Herbs/Spices - Clove Powder (Non-Retail), Herbs/Spices - Coriander Powder, Herbs/Spices - Cumin Powder (1lb), Herbs/Spices - Cumin Powder (8oz), Herbs/Spices - Cumin Powder (Non-Retail), Herbs/Spices - Cumin Whole (1lb), Herbs/Spices - Cumin Whole (8oz), Herbs/Spices - Cumin Whole (Non-Retail), Herbs/Spices - Fennel Powder (1lb), Herbs/Spices - Fennel Powder (8oz), Herbs/Spices - Fennel Powder (Non-Retail), Herbs/Spices - Fennel Whole (1lb), Herbs/Spices - Fennel Whole (8oz), Herbs/Spices - Fennel Whole (Non-Retail), Herbs/Spices - Fenugreek Powder (1lb), Herbs/Spices - Fenugreek Powder (8oz), Herbs/Spices - Fenugreek Powder (Non-Retail), Herbs/Spices - Fenugreek Whole (1lb), Herbs/Spices - Fenugreek Whole (8oz), Herbs/Spices - Fenugreek Whole (Non-Retail), Herbs/Spices - Ginger Powder (1lb), Herbs/Spices - Ginger Powder (8oz), Herbs/Spices - Ginger Powder (Non-Retail), Herbs/Spices - Gokshura Powder (1lb), Herbs/Spices - Gokshura Powder (8oz), Herbs/Spices - Gokshura Powder (Non-Retail), Herbs/Spices - Gotukola Powder, Herbs/Spices - Gurmar Powder (1lb), Herbs/Spices - Gurmar Powder (8oz), Herbs/Spices - Gurmar Powder (Non-Retail), Herbs/Spices - Jivanti Powder (1lb), Herbs/Spices - Jivanti Powder (8oz), Herbs/Spices - Jivanti Powder (Non-Retail), Herbs/Spices - Licorice/Yamistadh Powder (8oz), Herbs/Spices - Licorice/Yamistadh Powder (Non-Retail), Herbs/Spices - Licorice/Yastimadh Powder (1lb), Herbs/Spices - Manjista Powder (1lb), Herbs/Spices - Manjista Powder (8oz), Herbs/Spices - Manjista Powder (Non-Retail), Herbs/Spices - Musta Powder (1lb), Herbs/Spices - Musta Powder (8oz), Herbs/Spices - Musta Powder (Non-Retail), Herbs/Spices - Nagkeshar Powder (1lb), Herbs/Spices - Nagkeshar Powder (8oz), Herbs/Spices - Nagkeshar Powder (Non-Retail), Herbs/Spices - Neem Powder (1lb), Herbs/Spices - Neem Powder (8oz), Herbs/Spices - Neem Powder (Non-Retail), Herbs/Spices - Pimpli/Pipali Powder (1lb), Herbs/Spices - Pimpli/Pipali Powder (8oz), Herbs/Spices - Pimpli/Pipali Powder (Non-Retail), Herbs/Spices - Punarnava Powder (1lb), Herbs/Spices - Punarnava Powder (8oz), Herbs/Spices - Punarnava Powder (Non-Retail), Herbs/Spices - Shatavari Powder (1lb), Herbs/Spices - Shatavari Powder (8oz), Herbs/Spices - Shatavari Powder (8oz), Herbs/Spices - Shatavari Powder (Non-Retail), Herbs/Spices - Six Taste Spice, Herbs/Spices - Tamalpatra/Bay Leaf Powder (1lb), Herbs/Spices - Tamalpatra/Bay Leaf Powder (8oz), Herbs/Spices - Tamalpatra/Bay Leaf Powder (Non-Retail), Herbs/Spices - Trikatu Blend (1lb), Herbs/Spices - Trikatu Blend (8oz), Herbs/Spices - Trikatu Blend (Non-Retail), Herbs/Spices - Trikatu Powder (2.65oz), Herbs/Spices - Triphala Blend (1lb), Herbs/Spices - Triphala Blend (8oz), Herbs/Spices - Triphala Blend (Non-Retail), Herbs/Spices - Triphala Powder (8oz), Herbs/Spices - Tulsi (1.23oz), Herbs/Spices - Tulsi Powder (1lb), Herbs/Spices - Tulsi Powder (8oz), Herbs/Spices - Tulsi Powder (Non-Retail), Herbs/Spices - Turmeric Powder (1lb), Herbs/Spices - Turmeric Powder (8oz), Herbs/Spices - Turmeric Powder (8oz), Herbs/Spices - Turmeric Powder (Non-Retail), Herbs/Spices - Vasaka Powder, Herbs/Spices - Vidarikand Powder (1lb), Herbs/Spices - Vidarikand Powder (8oz), Herbs/Spices - Vidarikand Powder (Non-Retail)</t>
  </si>
  <si>
    <t>Animal Feed: 14% Stock Feed, 16% Dairy Pellets, 16% Egg Layer Crumble, 16% Egg Layer Crumbles, 16% Egg Layer Mash, 16% Egg Layer Pellet, 16% Goat Pellet, 16% Sheep / Goat Textured, 16% Sow and Pig Pellet, 17% Calf Starter Grower Texture, 19% Chick Starter-Grower, Alfalfa Meal, Alfalfa Pellet, All Flock, All Flock Blend, All Flock Crumbles, All Stock Sweet Pellets, All Stock Treats, All Stock Vitamin &amp; Mineral Pellets, Ancient Scratch Grains &amp; Blue Corn, Broiler Grower Crumbles, Broiler Grower Pellets, Cattle Treats, Chick Starter Crumbles, Chick Starter Grower Crumbles, Chicken Treats (Cinnamon &amp; Raisins), Chicken Treats (Pumpkin Seeds &amp; Cinnamon), Chicken Treats with Ancient Grains and Sunflower Seeds, Chicken Treats with Berry and Whole Grains, Chicken Treats with Blueberries &amp; Whole Grains, Chicken Treats with Oregano, Mairgold, Alfalfa, Chicken Treats with Oregano, Marigold, Alfalfa, Concentrated Calf Pellets M0913P (Bulk), Core Health Short Pellets, Cracked Corn (bulk), Custom Livestock Blended Feeds, Custom Poultry Blended Feed, Dairy Goat Feed, Dream Goat, Duck Crumble, Duck Pellets, Game Bird Crumbles, Goat Treats, Ground Barley (bulk), Ground Corn (bulk), Ground Oats (bulk), Ground Roasted Soybeans (bulk), Hen de la Creme, Hi Pro Soymeal (bulk), Home Fresh Grower Crumbles, Home Fresh Layer Pellets, Home Fresh Starter/Broiler Crumbles, Kelp (bulk), Layer Blend, Layer Crumbles, Layer Mash, Layer Pellet, Layer Pellets, Little Beaks, Meat Bird Pellets, Mini Pig Adult, Mini Pig Senior, Mini Pig Treats, Mini Pig Young &amp; Active, OrganicLife Grower Crumbles, OrganicLife Layer Pellets, OrganicLife Starter/Broiler Crumbles, Piggie Smalls, Poultry Scratch Grains, Rabbit Pellets, Roasted Soybeans (bulk), Scratch Grain Mix, Scratch Grains, Scratch of the Day, Soy Free Broiler Grower Pellets, Soy Free Egg Layer Pellets, Soybean Meal, Starter Grower Crumbles, Starter/Grower Crumbles, Sweet Feed Pellets, Sweet Feed Pellets (Bulk), Turkey Grower Pellets (Bulk), Turkey Starter Crumbles (Bulk), Wheat Midds (bulk), Whole Barley (bulk), Whole Corn (bulk), Whole Oats (bulk), Whole Wheat (bulk)</t>
  </si>
  <si>
    <t>Dairy: Butter (Butter (bulk)), Butter (Cultured Meadow Butter Salted), Butter (Cultured Meadow Butter Unsalted), Butter (Family Farmstead Salted Butter), Butter (Family Farmstead Unsalted Butter), Butter (Meadow Butter - Salted), Butter (Meadow Butter - Unsalted), Butter (Cultured Butter, European Style - Salted), Butter (Cultured Butter, European Style - Unsalted), Butter (Cultured Butter, European Style - Unsalted (50lb Non-Retail)), Cream (Heavy Cream), Cream (Cream (non-retail)), Milk (Creamline Skim Milk), Milk (Creamline Whole Milk), Milk (Churn Buttermilk with Chocolate), Real Buttermilk with Cultures</t>
  </si>
  <si>
    <t>Preservatives/Extracts/Flavors: Seasoning Blends (Organic Vegeta Seasoning), Spices (OREGANO), Spices (SAGE); Oils &amp; Oleoresins: Oils (EXTRA VIRGIN OLIVE OIL); Dairy: Cheese (Feta BIO DPO), Cheese (Organic Feta); Condiments and Sweeteners: Organic Tahini (Garlic), Organic Tahini (Traditional); Beverage Related Products: Tea (MOUNTAIN TEA)</t>
  </si>
  <si>
    <t>Processed  Items: Coco Bites (Cocoa Flavour, Hojicha Flavour, Matcha Flavour, Original Flavour), Coconut Chips, Desiccated Coconut; Oils &amp; Oleoresins: Oils (Virgin Coconut Oil); Dry/Baking Goods: Flours and Meals (Coconut Flour); Condiments and Sweeteners: Demeter Green Curry Paste, Demeter Green Curry Sauce, Demeter Red Curry Paste, Demeter Red Curry Sauce, Demeter Yellow Curry Paste, Demeter Yellow Curry Sauce, Vinegar (Coconut Cider Vinegar); Beverage Related Products: Juice (Coconut Water), Non-Dairy Milk (Brown Rice Milk, Coconut Milk (11-13% fat, 14-16% fat, 17-19% fat, 20-22% fat, Light 5-7% fat, Lite 5% fat), Non-Dairy Chocolate Milk, Non-Dairy Latte, Non-Dairy Thai Tea, Non-Dairy Espresso, Non-Dairy Matcha, Coconut Cream (26-28% fat, 29-31% fat, 29-31% fat No Guar Gum))</t>
  </si>
  <si>
    <t>Dairy: Milk (Organic: milk caramel (sauce)</t>
  </si>
  <si>
    <t>Other: #Processing &amp; handling of dairy products, *Organic Mascarpone, *Parmesan, *Parmesan (Copper Kettle), *Ricotta, *White Cheddar</t>
  </si>
  <si>
    <t>Other: Ashwagandha, Black Tea (Birdsong Black (Black Tea)), Black Tea (Chocolate Mint Puerh), Black Tea (English Breakfast), Black Tea (Keemun), Black Tea (Lake Missoula Breakfast), Black Tea (Mammoth Red (Black Tea)), Black Tea (Mount Everest), Black Tea (Panda black), Black Tea (Panda Gold), Black Tea (Red Elephant), Black Tea (Sangamon Sunset Red), Black Tea (Shou Puerh), Black Tea (Sri Lankan (Ceylon)), Cacao Nibs, Chaga, Chai Tea (Dairy Free Chai Mix), Chai Tea (House Spice Chai Mix), Chai Tea (Masala Mountain Chai), Chamomile, Chrysanthemum, Echinacea purpurea, Elderberry, Eleuthero Root, Ginger Root, Ginkgo, Green Tea (Afternoon in Paris), Green Tea (Chunmee (Green Tea)), Green Tea (Darjeeling Green (Green Tea)), Green Tea (Dragonwell (Green Tea)), Green Tea (Genmai Cha), Green Tea (Gunpowder Pearls  (Green Tea)), Green Tea (Halimun Green and White (Green Tea)), Green Tea (Heritage Green (Green Tea)), Green Tea (Hoji Cha), Green Tea (Jasmine Green), Green Tea (Jasmine Puerh), Green Tea (Jurassic Ginger Green), Green Tea (Kuki Cha), Green Tea (Mammoth Matcha (Matcha tea)), Green Tea (Mountain Spring Green (Green Tea)), Green Tea (Rainforest Fruit Green), Green Tea (Sencha Fukamushi), Green Tea (Yuzu Matcha Kukicha (Green Tea, Matcha)), Herbal Tea (Big Sky Breeze), Herbal Tea (Chamomile Calm), Herbal Tea (Coming Up Roses), Herbal Tea (Cycle Tea Goddess), Herbal Tea (Easy Does It Elderberry), Herbal Tea (Go-Go Calypso), Herbal Tea (Have a headache?), Herbal Tea (Holy Basil), Herbal Tea (Honeybush), Herbal Tea (Joint Peace), Herbal Tea (Licorice Mint), Herbal Tea (Male Stamina), Herbal Tea (Maureen's Cure (Singer's Tea)), Herbal Tea (Moroccan Mint), Herbal Tea (No Thyme for Cold &amp; Flu), Herbal Tea (Spicy Ginger Snap), Herbal Tea (Sweet Rhapsody), Herbal Tea (Uplift), Herbal Tea (Wonder Woman), Herbal Tea (Zen Cleanse), Hibiscus, Lavender, Lemon Myrtle, Lemongrass, Nettle, Oolong Tea (Eastern Beauty), Oolong Tea (GABA), Oolong Tea (Java Oolong), Oolong Tea (Mimosa), Oolong Tea (Trade Route), Peppermint, Raspberry Leaf, Rooibos Tea (Rugger's), Sage, Spearmint, Tea Various (A few of my favorite things), Tea Various (Golden Tea), Tea Various (Puerh Mini Golden Brick (Puerh)), White Tea (Panda White), White Tea (White Peony Bai-mu-tan (White Tea)), Yerba Mate</t>
  </si>
  <si>
    <t>Other: Cashews, Dietary Supplement (Organic Coconut Aminos), Dip (Dairy Alternative Dip - Kickin' Queso Cashew Dip), Garlic (Puree), Juice Concentrate (Lemon), Juice Concentrate (Lime), Onion Powder, Paprika Powder (Smoked), Peppers (Frozen Puree) (Jalapeno), Spices (Chipotle), Spices (Cumin), Spices (Ground Habanero), Starch (Organic Corn Starch), Sunflower Oil, Tahini</t>
  </si>
  <si>
    <t>Other: #Repackaging, labeling and distribution of produce; Distribution of organic eggs, dairy, meat, canned goods, dry goods, flowers, and frozen foods., Berries (fresh and frozen): Blackberries, Blueberries, Currants, Gooseberries, Huckleberries, Raspberries, Strawberries, Sunberries;, Canned Goods, Cheese, Dairy, Dry Goods, Eggs, Flowers, Frozen Goods, and Meat: beef (assorted cuts), chicken (assorted cuts), whole turkey, Edible Flowers: Nasturtiums, Fruit: Apples, Cantaloupes, Cherries, Figs, Grapes, Ground Cherries, Honeydew, Kiwiberries, Melons, Peaches, Pears, Watermelon, Herbs: Agastache, Agretti, Agrimony, Andrographis, Arnica, Artichoke Leaf, Ashwagandha, Astragalus, Basil, Bergamot, Betony, Boneset, Borage, Burdock, Calendula, California Poppy, Chamomile, Chervil, Chives, Cilantro, Clary, Comfrey, Coneflower, Cumin, Dill, Echinacea, Elderflower, Eucalyptus, Epazote, Feverfew, Figwort, Geranium, Globe Thistle, Goji Berries, Hibiscus, Hollyhock, Hyssop, Joe Pye Weed, Larkspur, Lavender, Lemonbalm, Lemongrass, Lemon Verbena, Lovage, Mache, Marjoram, Melilot, Mint, Mexican Coriander, Motherwort, Nigella, Oregano, Parsley, Perilla, Plantain, Poke, Poppy, Queen Anne's Lace, Red Hot Poker, Rosemary, Rudbeckia, Sage, Sagebrush, Savory, Schisandra Berry, Sea Holly, Self Heal, Shepherds Purse, Spilanthes, St John's Wort, Stevia, Stinging Nettles, Tarragon, Thyme, Turmeric, Wormwood, Yarrow, Vegetables: Artichokes, Arugula, Asian Greens, Asparagus, Beans, Beets, Bitter Melons, Bok Choy, Broccoli, Broccoli Rabe, Brussels Sprouts, Burdock, Butternut Squash (Processing), Cabbage, Cardoons, Carrots, Cauliflower, Celeriac, Celery, Celtuce, Chard, Chicory, Collards, Cooking Greens, Corn, Cress, Cucumbers, Dandelion Greens, Edamame, Eggplant, Endive, Escarole, Fennel, Frisee, Garlic, Garlic Scapes, Ginger, Gourds, Horseradish, Jerusalem Artichokes, Jicama, Kale, Kalettes, Kohlrabi, Komatsuna, Lambsquarters, Leeks, Lettuce, Microgreens, Mini Cucumbers, Mixed Greens, Mizuna, Mustard, Okra, Onions, Pac Choi, Parsley Root, Parsnips, Peas, Peppers, Popcorn, Pumpkins, Purslane, Potatoes, Radicchio, Radishes, Rhubarb, Rutabaga, Salsify, Scallions, Shallots, Sorrel, Spinach, Squash Blossoms, Summer Squash, Sweet Potatoes, Tomatillos, Tomatoes, Turnips, Winter Squash, Yacon</t>
  </si>
  <si>
    <t>Other: #Processing, packaging, and labeling of dairy products-, *Butter oil, *Butter salted, *Butter unsalted, *Butter unsalted, *Butter unsalted-no lactic, *Buttermilk, *Cream, Anhydrous Milkfat (AMF), Butter unsalted- with lactic, Salted Butter Pasture-Raised, Unsalted Butter Pasture-Raised</t>
  </si>
  <si>
    <t>Other: Black walnut hull powder</t>
  </si>
  <si>
    <t>Dairy: Milk (A2 Raw Milk)</t>
  </si>
  <si>
    <t>Seasonings: Powders (Oregano powder), Powders (Turmeric Powder); Processed  Items: Aloe Vera (spray-dried) Capsule 02, Andrographis paniculata (Kalmegh) capsule 02, Andrographis paniculata (Kalmegh)-Bitter gourd capsule 02, Artemisia annua Capsule 02, Artemisia annua-Moringa-Lagundi Capsule 02, Averrhoa bilimbi (Kamias) Paste, Banana (spray dried) Powder, Bignay (Antidesma bunius) Capsule 02, Bignay (spray-dried) Capsule 02, Bitter Gourd Capsule 02, Bitter gourd-Banaba Capsule 02, Calamansi (spray-dried) Capsule 02, Calamansi (spray-dried) Capsule 02, Calamansi-Guava (spray-dried) Capsule 02, Chili capsule 02, Euphorbia hirta-Sweet Potato leaves Capsule 02, Euphorbia hirta-Sweet Potato leaves Capsule 02, Extracts (Ginger extract), Extracts (Oregano extract), Extracts (Lagundi (Vitex negundo) Extract), Extracts (Turmeric Extract), Garlic Capsule 02, Garlic Capsule 02, Garlic Powder, Ginger (spray-dried) - Lagundi (spray-dried) - Euphorbia hirta Capsule 02, Ginger (spray-dried) - Lagundi (spray-dried) - Euphorbia hirta Capsule 02, Ginger Capsule 02, Ginger Capsule 02, Ginger-Artemisia annua-Lagundi Capsule 02, Ginger-Lagundi Capsule (Spray-Dried) 02, Ginger-Lagundi Capsule 02, Ginger-Lagundi-Tawa-tawa Capsule 02, Ginger-Purslane-Chili Capsule 02, Guava (spray-dried) Capsule 02, Insulin plant (Costus igneus) Capsule 02, Insulin plant (spray-dried) Capsule 02, Insulin plant-Banaba Capsule 02, Jackfruit dried, Jam (Averrhoa bilimbi (Kamias) Jam), Lady Finger Spray-Dried Powder, Lagundi (Vitex negundo) Capsule 02, Lagundi-Artemisia annua Capsule 02, Lagundi-Bignay (spray-dried) Capsule 02, Lagundi-Turmeric-Fragrant premna Capsule 02, Maca - Tongkat Ali - Malunggay Capsule 02, Mango dried, Mangosteen-Moringa Capsule 02, Moringa (spray-dried) Capsule 02, Moringa Capsule 02, Moringa-Calamansi (spray-dried) Capsule 02, Moringa-Spirulina Capsule 02, Non-Dairy Milk (Coconut Milk (spray dried) Powder), Non-Dairy Milk (Coconut Powder), Oregano-Lagundi Capsule 02, Oregano-sambong-Mulberry Capsule 02, Pansit pansitan-Calamansi (spray-dried) Capsule 02, Pansit pansitan-Calamansi-Guava (spray-dried) Capsule 02, Pansit pansitan-Calamansi-Moringa (spray-dried) Capsule 02, Pansit pansitan-Guava (spray-dried) Capsule 02, Pansit-pansitan-Oregano-Chili Capsule 02, Papaya (spray-dried) Capsule 02, Paragis Capsule 02, Paragis-Andrographis paniculata (Kalmegh) capsule 02, Paragis-Banaba Capsule 02, Paragis-Ginger-Moringa Capsule 02, Powders (Cucumber Spray-Dried Powder), Powders (Dragon Fruit (spray dried) Powder), Powders (Dragon Fruit Powder), Powders (Averrhoa bilimbi (Kamias) Powder), Powders (Banaba (Lagerstroemia speciosa) Spray-Dried Powder), Powders (Bignay (Antidesma bunius) Spray-Dried powder), Powders (Butterfly Pea Powder), Powders (Cacao Powder), Powders (Calamansi Spray-Dried Powder), Powders (Ginger Spray-Dried Powder), Powders (Cassava (spray dried) Powder), Powders (Gotu Kola (Centella asiatica) Powder), Powders (Guava (spray dried) Powder), Powders (Insulin plant (Costus igneus) Spray-Dried Powder), Powders (Guava powder), Powders (Jackfruit Powder), Powders (Akapulko Leaves Powder), Powders (Aloe vera powder), Powders (Amaranth Powder), Powders (Andrographis paniculata (Kalmegh) Powder), Powders (Artemisia annua powder), Powders (Banaba powder), Powders (Bignay (Antidesma bunius) powder), Powders (Arugula Powder), Powders (Calamansi Powder), Powders (Bitter Gourd Powder), Powders (Cat's Whiskers Powder), Powders (Cucumber Powder), Powders (Fragrant premna (Premna odorata) Powder), Powders (Euphorbia hirta powder), Powders (Moringa Powder), Powders (Mangosteen Powder), Powders (Nalta Jute (Saluyot) Powder), Powders (Lemongrass Powder), Powders (Lemon Powder), Powders (Lagundi (Vitex negundo) Powder), Powders (Lady Finger Powder), Powders (Insulin plant (Costus igneus) powder), Powders (Paragis (Eleusine indica) Powder), Powders (Pansit-pansitan (Peperomia pellucida Linn) Powder), Powders (Purslane Powder), Powders (Soursop powder), Powders (Sambong Powder), Powders (Sweet Potato Leaves (Camote Tops) Powder), Powders (Aloe Vera (spray dried) Powder), Powders (Tsaang gubat (Wild tea) Powder), Powders (Lagundi (Vitex negundo) Spray-Dried Powder), Powders (Lemon grass (spray dried) Powder), Powders (Lemon Spray-Dried Powder), Powders (Mango (spray dried) Powder), Powders (Mango leaves powder), Powders (Mango powder), Powders (Onion Powder), Powders (Oregano Spray-Dried Powder), Powders (Pandan (spray dried) Powder), Powders (Pandan leaves powder), Powders (Moringa Spray-Dried Powder), Powders (Pansit-pansitan (spray dried) Powder), Powders (Vegetable Bouillon Powder), Powders (Ylang Ylang Leaves Powder), Powders (Papaya Powder), Powders (Purple Yam (spray-dried) Powder), Powders (Purple Yam Powder), Powders (Papaya (spray dried) Powder), Powders (Sambong Spray-Dried Powder), Powders (Soursop Leaves (spray dried) Powder), Powders (Soursop leaves powder), Powders (Soursop Spray-Dried Powder), Powders (Squash Powder), Powders (Star Apple (spray dried) Powder), Powders (Tsaang gubat (Wild tea) Leaves (spray dried) Powder), Purslane-Lagundi Capsule 02, Purslane-Sambong-Banaba Capsule 02, Sambong hydrosol, Sambong-Turmeric Capsule 02, Tawa-Tawa (Euphorbia hirta) Capsule 02, Tawa-tawa-Lagundi-Amaranth Capsule 02, Tsaang gubat (Wild tea) Leaves, Turmeric - Pansit-pansitan - Black pepper Capsule 02, Turmeric (spray-dried) - Sambong - Oregano (spray-dried) - Black Pepper Capsule 02, Turmeric capsule 02, Turmeric Hydrosol, Turmeric-Andrographis paniculata (Kalmegh)-Black Pepper Capsule 02, Turmeric-Black Pepper Capsule 02, Turmeric-Sambong-Oregano-Black Pepper Capsule 02; Preservatives/Extracts/Flavors: Extracts (Lagundi (Vitex negundo) hydrosol); Fruits/Vegetables: Celery Bits; Condiments and Sweeteners: Powders (Chili powder), Spices (Black Pepper Powder); Beverage Related Products: Akapulko Tea, Akapulko Tea with Ginger, Banaba Tea, Ginger-Artemisia annua Tea, Insulin Plant Tea with Turmeric and Black Pepper, Juice (Camote tops-Calamansi powdered juice), Juice (Lemongrass-Calamansi powdered juice), Juice (Lemongrass-Calamansi-Turmeric Powdered Juice), Juice (Moringa-Lemon powdered juice), Lemongrass tea, Moringa Tea, Moringa-Calamansi Tea, Mulberry Tea, Oregano tea (single-ingredient), Oregano Tea with Mulberry, Paragis Tea, Paragis tea with Banaba, Paragis tea with Ginger, Paragis Tea with Ginger and Lemongrass, Paragis Tea with Lemon, Paragis Tea with Lemon and Banaba, Paragis Tea with Mulberry, Paragis-Tsaang gubat tea, Tsaang Gubat - Lemon Tea, Tsaang Gubat Tea, Turmeric Tea with Black Pepper, Turmeric-Tsaang gubat tea</t>
  </si>
  <si>
    <t>Other: #Handling of organic livestock, Beef cattle, Dairy cattle</t>
  </si>
  <si>
    <t>Other: Barbecue Sauce (Honey Hot BBQ Sauce), Beverage (HPP Previously Packaged), Dip (Black Bean), Packaging (Client Profile Products only) (Sauces, Salsas, Juices), Pasta Sauce (Blush Sauce), Pasta Sauce (Chunky Tomato &amp; Herb), Pasta Sauce (Classic Marinara), Pasta Sauce (Fire Roasted Tomato), Pasta Sauce (Garden Vegetable), Pasta Sauce (Grandpa's Sauce Goes Vegetarian), Pasta Sauce (Italian Herb ), Pasta Sauce (Marinara), Pasta Sauce (Marinara Sauce: Roasted Garlic), Pasta Sauce (Marinara Sauce: Tomato Basil), Pasta Sauce (No Dairy Sundried Tomato Sauce), Pasta Sauce (No Dairy Vodka Sauce), Pasta Sauce (Olive Oil, Basil &amp; Garlic), Pasta Sauce (Pizza Sauce), Pasta Sauce (Roasted Garlic), Pasta Sauce (Roasted Garlic Sauce), Pasta Sauce (Spicy Arrabbiata), Pasta Sauce (Tomato Basil), Pasta Sauce (Tomato, Herbs &amp; Spices), Pasta Sauce (Tuscan Style Cooking Sauce), Processing (Client Profile Products only) (HPP), Processing (Client Profile Products only) (Sauces, Salsas, Juices), Salsa (Black Bean &amp; Corn), Salsa (Chipotle), Salsa (Garlic Cilantro), Salsa (Hot), Salsa (Medium), Salsa (Medium Mexican), Salsa (Mild), Salsa (Mild Mexican)</t>
  </si>
  <si>
    <t>Other: Milk, Butter, Cheese</t>
  </si>
  <si>
    <t>Dairy: Cheese, Cheese, Cheese, Cheese, Cheese; Other: Cheese Cutting, Cheese Wrapping</t>
  </si>
  <si>
    <t>Other: 16382 - Mustard, Stoneground, 16383 - Mustard, Dijon, 16384 - Mustard, Yellow, 16386 - Ketchup, 16632 - Mustard, Stoneground (No Salt Added), 56513 - Sweet Onion Vinaigrette, 14927, 56749 - Raspberry Vinaigrette, 14749, 56823 - Sriracha Ranch, 14938, 56824 - Sesame Asian, 14939, 56888 - Ranch Dip, 17379, 56888 - Ranch Dip, 17382, 56923 - Basil Balsamic Vinaigrette, 15129, 57001 - Caesar Dressing, 15333, 57033 - Lemon Herb Vinaigrette, 15754, 57082 - Caesar Dressing, 16226, 57141 - Balsamic Vinaigrette, 15756, 57141 - Balsamic Vinaigrette, 15763, 57149 - Caesar Dairy Free, 15759, 57149 - Caesar Dairy Free, 15767, 57174 - Romano Caesar Dressing, 15714, 57174 - Romano Caesar Dressing, 16451, 57287 - Romano Caesar Dressing, 16157, 57287 - Romano Caesar Dressing, 17205, 57292 - Avocado Ranch Dressing, 16182, 57292 - Avocado Ranch Dressing, 16777, 57356 - Ranch Dip, 15352, 57356 - Ranch Dip, 16566, 57356 - Ranch Dip, 16763, 57356 - Ranch Dip, 17053, 57356 - Ranch Dip, 17164, 57356 - Ranch Dip, 17337, 57356 - Ranch Dip, 17567, 57379 - Sundried Tomato Garlic Vinaigrette, 16293, 57405 - Sambal Olek Sauce, 16579, 57509 - Ranch Dressing, 16273, 57557 - Sesame Teriyaki Sauce, 16737, 57604 - Caesar Dressing, 16758, 57609 - Tomato Basil Sauce, 16541, 57610 - Italian Herb Sauce, 16539, 57611 - Pizza Sauce, 16542, 57671 - Red Sofrito Sauce, 16630, 57732 - Marinara Sauce, 16540, 57792 - Ranch Dressing Dairy Free, 15761, 57792 - Ranch Dressing Dairy Free, 15768, 57801 - French Dressing, 16327, 57855 - Red Wine Vinaigrette, 17226, 57885 - Thai Peanut Sauce, 16731, 57885 - Thai Peanut Sauce, 17406, 57886 - General Tso Sauce, 16729, 57888 - Teriyaki Sauce, 16734, 57891 - Balsamic with Olive Oil Vinaigrette, 16292, 57893 - Blue Cheese Dressing, 15475, 57894 - Ranch Dressing, 15474, 57974 - Caesar Dressing, 17498, 57974 - Caesar Dressing, 17498, 57974 - Caesar Dressing, 17689, 57994 - Raspberry Vinaigrette, 15758, 58006 - Original BBQ Sauce, 16736, 58027 - Thai Peanut Sauce, 16731, 58041 - Lemon Vinaigrette, 17653, 58047 - Italian Dressing, 16759, 58063 - Lemon Vinaigrette, 17711, 58071 - Mango Vinaigrette, 17721</t>
  </si>
  <si>
    <t>Other: 16382 - Mustard, Stoneground, 16383 - Mustard, Dijon, 16384 - Mustard, Yellow, 16386 - Ketchup, 16632 - Mustard, Stoneground (No Salt Added), 32274 - Buttermilk OGA (WIP), 56513 - Sweet Onion Vinaigrette, 14927, 56749 - Raspberry Vinaigrette, 14749, 56823 - Sriracha Ranch, 14938, 56824 - Sesame Asian, 14939, 56888 - Ranch Dip, 17379, 56888 - Ranch Dip, 17382, 56923 - Basil Balsamic Vinaigrette, 15129, 57001 - Caesar Dressing, 15333, 57033 - Lemon Herb Vinaigrette, 15754, 57082 - Caesar Dressing, 16226, 57141 - Balsamic Vinaigrette, 15756, 57141 - Balsamic Vinaigrette, 15763, 57149 - Caesar Dairy Free, 15759, 57149 - Caesar Dairy Free, 15767, 57174 - Romano Caesar Dressing, 15714, 57174 - Romano Caesar Dressing, 16451, 57287 - Romano Caesar Dressing, 16157, 57287 - Romano Caesar Dressing, 17205, 57292 - Avocado Ranch Dressing, 16182, 57292 - Avocado Ranch Dressing, 16777, 57356 - Ranch Dip, 15352, 57356 - Ranch Dip, 16566, 57356 - Ranch Dip, 16763, 57356 - Ranch Dip, 17053, 57356 - Ranch Dip, 17164, 57356 - Ranch Dip, 17337, 57356 - Ranch Dip, 17567, 57379 - Sundried Tomato Garlic Vinaigrette, 16293, 57405 - Sambal Olek Sauce, 16579, 57509 - Ranch Dressing, 16273, 57557 - Sesame Teriyaki Sauce, 16737, 57604 - Caesar Dressing, 16758, 57609 - Tomato Basil Sauce, 16541, 57610 - Italian Herb Sauce, 16539, 57611 - Pizza Sauce, 16542, 57671 - Red Sofrito Sauce, 16630, 57732 - Marinara Sauce, 16540, 57792 - Ranch Dressing Dairy Free, 15761, 57792 - Ranch Dressing Dairy Free, 15768, 57801 - French Dressing, 16327, 57855 - Red Wine Vinaigrette, 17226, 57885 - Thai Peanut Sauce, 16731, 57885 - Thai Peanut Sauce, 17406, 57886 - General Tso Sauce, 16729, 57888 - Teriyaki Sauce, 16734, 57891 - Balsamic with Olive Oil Vinaigrette, 16292, 57893 - Blue Cheese Dressing, 15475, 57894 - Ranch Dressing, 15474, 57974 - Caesar Dressing, 17498, 57974 - Caesar Dressing, 17498, 57974 - Caesar Dressing, 17689, 57994 - Raspberry Vinaigrette, 15758, 58006 - Original BBQ Sauce, 16736, 58027 - Thai Peanut Sauce, 16731, 58041 - Lemon Vinaigrette, 17653, 58047 - Italian Dressing, 16759, 58063 - Lemon Vinaigrette, 17711, 58071 - Mango Vinaigrette, 17721</t>
  </si>
  <si>
    <t>Other: 16382 - Mustard, Stoneground, 16383 - Mustard, Dijon, 16384 - Mustard, Yellow, 16386 - Ketchup, 16632 - Mustard, Stoneground (No Salt Added), 32274 - Buttermilk OGA (WIP), 56513 - Sweet Onion Vinaigrette, 14927, 56749 - Raspberry Vinaigrette, 14749, 56823 - Sriracha Ranch, 14938, 56824 - Sesame Asian, 14939, 56888 - Ranch Dip - 17382, 56888 - Ranch Dip, 17379, 56923 - Basil Balsamic Vinaigrette, 15129, 57001 - Caesar Dressing, 15333, 57033 - Lemon Herb Vinaigrette, 15754, 57082 - Caesar Dressing, 16226, 57141 - Balsamic Vinaigrette, 15756, 57141 - Balsamic Vinaigrette, 15763, 57149 - Caesar Dairy Free, 15759, 57149 - Caesar Dairy Free, 15767, 57174 - Romano Caesar Dressing, 15714, 57174 - Romano Caesar Dressing, 16451, 57287 - Romano Caesar Dressing, 16157, 57287 - Romano Caesar Dressing, 17205, 57292 - Avocado Ranch Dressing, 16182, 57292 - Avocado Ranch Dressing, 16777, 57356 - Ranch Dip, 15352, 57356 - Ranch Dip, 16566, 57356 - Ranch Dip, 16763, 57356 - Ranch Dip, 17053, 57356 - Ranch Dip, 17164, 57356 - Ranch Dip, 17337, 57356 - Ranch Dip, 17567, 57379 - Sundried Tomato Garlic Vinaigrette, 16293, 57405 - Sambal Olek Sauce, 16579, 57509 - Ranch Dressing, 16273, 57557 - Sesame Teriyaki Sauce, 16737, 57604 - Caesar Dressing, 16758, 57609 - Tomato Basil Sauce, 16541, 57610 - Italian Herb Sauce, 16539, 57611 - Pizza Sauce, 16542, 57671 - Red Sofrito Sauce, 16630, 57732 - Marinara Sauce, 16540, 57792 - Ranch Dressing Dairy Free, 15761, 57792 - Ranch Dressing Dairy Free, 15768, 57801 - French Dressing, 16327, 57855 - Red Wine Vinaigrette, 17226, 57885 - Thai Peanut Sauce, 16731, 57885 - Thai Peanut Sauce, 17406, 57886 - General Tso Sauce, 16729, 57888 - Teriyaki Sauce, 16734, 57891 - Balsamic with Olive Oil Vinaigrette, 16292, 57893 - Blue Cheese Dressing, 15475, 57894 - Ranch Dressing, 15474, 57974 - Caesar Dressing, 17498, 57974 - Caesar Dressing, 17498, 57974 - Caesar Dressing, 17689, 57994 - Raspberry Vinaigrette, 15758, 58006 - Original BBQ Sauce, 16736, 58027 - Thai Peanut Sauce, 16731, 58041 - Lemon Vinaigrette, 17653, 58047 - Italian Dressing, 16759, 58063 - Lemon Vinaigrette, 17711, 58071 - Mango Vinaigrette, 17721</t>
  </si>
  <si>
    <t>Dairy: Cheese, Cheese, Cheese, Cheese, Cheese, Cheese, Cheese, Cheese, Cheese, Cheese, Cheese, Cheese, Cheese, Cheese, Cheese, Cheese, Cheese, Cheese, Cheese, Cheese, Cheese, Cheese, Cheese, Cheese, Cheese, Cheese, Cheese, Cheese</t>
  </si>
  <si>
    <t>Seasonings: Seasoning Blends (Himalayan Salt with Lime Seasoning HSMCTPOP Spice Mix), Seasoning Blends (Tandoori Turmeric Seasoning TTPOP Spice Mix); Processed  Items: Cashew Butter, Hemp and Greens, Macadamia (Macadamia Nut Butter), Sprouted Almond Butter; Nuts/Seeds: Almonds (Sprouted Almonds, Unsalted), Almonds (Sprouted Almonds), Cashew Nuts (Sprouted Cashews, Unsalted), Hazelnut (Sprouted Hazelnuts, Unsalted), Pecans (Sprouted Pecans, Unsalted), Sprouted Cocktail Blend, Salted, Sprouted Cocktail Blend, Spicy, Sprouted Fancy, Unsalted, Sprouted Pumpkin Seeds, Salted, Sprouted Pumpkin Seeds, Unsalted, Sprouted Sunflower Seeds, Unsalted, Walnuts (Sprouted Walnuts, Unsalted); Dry/Baking Goods: Flours and Meals (Super Flour, Sprouted); Bread/Bakery/Snacks: Cacao &amp; Coconut Crunch Nut Blend, Cacao Crunch, Cheeze Please - MCT Popcorn, Cheezy Pumpkin Seeds, Cookies (Superfood Chocolate Chip Cookies), Dark Cacao, Fiery Mango Trail Mix, Figs, Flax &amp; Fiber, Fruit, Seeds &amp; Nuts Trail Mix, Himalayan Salt - MCT Popcorn, Maple Mesquite Walnuts, Oaxacan Chocolate Granola, Original Granola, Original Kale Chips, Salsa Verde - Superfood Popcorn, Salsa Verde Seasoning SVPOP Spice Mix, Spiced Mulberry Apple Trail Mix, Sriracha Kale Chips, Sweet Cashew &amp; Almond Crunch Nut Blend, Sweet Sriracha Nut Blend, Tandoori Turmeric - Superfood Popcorn; Beverage Related Products: Blueberry Blast, Hemp Milk Base, Non-Dairy Milk (Almond Milk Base), Non-Dairy Milk (Cashew Milk Base), Non-Dairy Milk (Coconut Milk Base); Other: Clusterbucks - (Birthday Cake; Blueberry Crisp; Bucks 'N Honey; Chocolate Sea Salt; Coconut Maple; Golden Chai; Snickerdoodle), Honey Sriracha, Jalapeno Mojo, Malted Maple, Mango Superfruit, Radiant Raspberry, Smokey BBQ, Spicy Mango, Sprouted Buckwheat Crunch - (Original, Cacao, Cinnamon), Thai Curry, Vegan Cheezy, Wild Berry</t>
  </si>
  <si>
    <t>Dairy: Milk (Raw)</t>
  </si>
  <si>
    <t>Other: Eggs, Milk (Goat's), Milk (Raw) (Cow's)</t>
  </si>
  <si>
    <t>Processed  Items: Coconut cream., Coconut creamer, Coconut Creamer Caramel, Coconut Creamer French Vanilla (F1), Coconut Creamer French Vanilla (F2), Coconut Flour (F1), Coconut Meat, Desiccated Coconut, Light Coconut Milk, Lite Coconut Milk; Oils &amp; Oleoresins: Extra Virgin Coconut Oil (F1), Oils (Extra Virgin Coconut Oil), Oils (Pure Premium Virgin Coconut Oil), Oils (Reﬁned coconut oil), Oils (Reﬁned coconut oil (F1)), Oils (Virgin Coconut Oil), Refined coconut oil (F1), Virgin Coconut Oil (F1; Dry/Baking Goods: Baking Mixes (Coconut Butter), Flours and Meals (Coconut Flour); Bread/Bakery/Snacks: Packaged Snacks and Chips (Coconut chips), Packaged Snacks and Chips (Toasted Coconut Chips.); Beverage Related Products: Coconut Water, Non-Dairy Milk (Coconut Milk (S4)), Non-Dairy Milk (Coconut Milk Drink/Beverage), Non-Dairy Milk (Coconut milk drink/beverage (B1)), Non-Dairy Milk (Coconut Milk drink/Beverage (R1)), Non-Dairy Milk (Coconut Milk.), Non-Dairy Milk (Coconut water with coconut milk), Pressed Coconut Water</t>
  </si>
  <si>
    <t>Other: Alfalfa, Barley, Black Beans, Buckwheat, Chickpeas, Corn, Corn Screenings, Durum, Feed Grade Wheat, Flax Screenings, Flaxseed Meal, Flaxseed Oil, Flaxseeds, Food Grade/Milling Wheat, Green Peas, Kernza, Kidney Beans, Lentils, Milk, Cream, Milk, Cream Heavy, Milk, Cream Pasteurized, Milk, Raw Milk Whole, Milo, Oats, Pinto Beans, Powder, Nonfat Milk Powder, Powder, Nonfat Milk Powder MH, Pulse Screenings, Red Milo, ROC Kernza, ROC Rye, Rye, Soybean Meal, Soybean Oil, Soybeans, Spelt, Sunflower Meal, Sunflower Oil, Triticale, Wheat Flour, Wheat Midds, Wheat Screenings, Wheat, Durum, Wheat, Hard Red Spring, Wheat, Hard Red Winter, Wheat, Hard White Spring, Wheat, Soft Red Winter, Wheat, Soft White Spring, Whey Products, Sweet Dairy Whey Powder, Whey Products, Whey Protein Concentrate 80%, White Milo, White Proso Millet</t>
  </si>
  <si>
    <t>Other: Banana Flavor (E22130203 Banana Flavor), Berry Flavor (E22040227 BERRY FIG - NATURAL FIG BERRY FLAVOR WONF), Berry Flavor (E24058454 Mixed Berry - Natural Mixed Berry Flavor WONF), Berry Flavor (ZU6150 ORGANIC MANE MIXED BERRY FLAVOR - not for resale), Black Pepper Flavor (U67704 MANE BLACK PEPPER FLAVOR - not for resale), Butter Flavor (ZT8862 MANE BUTTER FLAVOR - not for resale), Buttermilk Flavor (Powder ZA1774), Buttermilk Powder (ZA0970), Buttermilk Powder (ZA2187 Buttermilk Sweet Cream Powder), Canola Oil (UB1895), Cheddar Cheese Powder (Buds UB6283), Cheddar Cheese Powder (U_0022291 Uncolored), Cheddar Cheese Powder (UB6535), Cheddar Cheese Powder (ZA1909), Cheese Flavor (ZT8855 MANE CHEESE FLAVOR - not for resale), Cheese Powder (E24072998 ORGANIC NACHO CHEESE - SEASONING), Cheese Powder (ZA2157 Parmesan Concentrate Powder ), Cheese Powder (ZA3095 Cheese Parmesan Powder), Cherry Flavor (E22156465 Cherry - Natural Cherry Flavor WONF), Coffee Flavor (E23064488 N-Capture® Caramel Macchiato - Natural Coffee Flavor WONF), Corn Powder (ZA1632 SWEET CORN POWDER - not for resale), Corn Starch (ZA1553), Cranberry Flavor (E22056447 CRANBERRY ORANGE - NATURAL CRANBERRY/ORANGE FLAVOR WONF), Cream Flavor (Cream Plus (UB2137)), Dextrose (UB6251), Ethyl Alcohol (UB6439), Garlic Flavor (U67624 MANE GARLIC FLAVOR - not for resale), Glycerin (ZA3219), Glycerin (ZA3619 GLYCERINE (107)), Gouda Cheese (ZA2242 Gouda Cheese), Honey Powder ((UB2263)), Lemon Flavor (E23224821 N-Capture Lemon - Natural Lemon Flavor), Lemon Flavor (U64960 MANE LEMON FLAVOR - not for resale), Maltodextrin (UB2119), Misc. Flavor (E23248203 ORGANIC N-CAPTURE® PASSIONFRUIT - NATURAL PASSIONFRUIT FLAVOR WONF), Misc. Flavor (E24052352 ORGANIC N-CAPTURE® SALTED CARAMEL - NATURAL CARAMEL FLAVOR WONF), Misc. Flavor (E24141790 Sense Capture Masking - Natural Flavor Masking Type), Misc. Flavor (E24167614 ORGANIC N-CAPTURE® VANILLA COOKIE - NATURAL VANILLA FLAVOR WONF), Misc. Flavor (ZS2333 Mane Flavor ), Misc. Flavor (ZS9209 Mane Natural Flavor Creamy Type), Misc. Flavor (ZS9222 Mane Natural Flavor Corn Type), Misc. Flavor (ZU2395 Mane Truffle Flavor), Misc. Flavor (ZU7378 Mane Truffle Flavor), Molasses Powder (ZA1758), Nonfat Milk Powder (UB6372), Onion Flavor (U67622 MANE ONION FLAVOR), Peach Flavor (E23024520 Peach - Natural Peach Flavor WONF), Pomegranate Flavor (E24018732 Pomegranate - Natural Pomegranate Flavor WONF), Powder (UB6351), Powder (Vinegar Powder (UB2450)), Seasoning Blend ( E20045134 Pesto Sauce ), Seasoning Blend (E_1863297 Sriracha Style), Seasoning Blend (E_1866623 Hickory Seasoning), Seasoning Blend (E_1884927 Sweet Chili Seasoning), Seasoning Blend (E_18B0725 Tomato Basil, Garlic &amp; Olive Oil Seasoning), Seasoning Blend (E_18B0793 Matcha Green Tea Seasoning), Seasoning Blend (E_18C8808 Sriracha Ranch Seasoning), Seasoning Blend (E_18D8525 Garam Masala Seasoning), Seasoning Blend (E_18D9145 Curry Seasoning), Seasoning Blend (E_1914483 Cauliflower Sauce Seasoning), Seasoning Blend (E_1961485 White Cheddar Seasoning), Seasoning Blend (E_1961487 Sriracha Seasoning ), Seasoning Blend (E_1962082 Sea Salt &amp; Vinegar Seasoning  ), Seasoning Blend (E_19B1034 MEXICAN STYLE SWEET CORN - SEASONING), Seasoning Blend (E_19C4211 Cheddar Jalapeno Seasoning), Seasoning Blend (E19F4998 Brown Gravy Seasoning), Seasoning Blend (E19G1903 Vegan White Cheddar Seasoning), Seasoning Blend (E20138922 Roasted Chipotle Seasoning), Seasoning Blend (E20140065 Roasted Sweet Corn for Popcorn), Seasoning Blend (E20151499 Green Chili Seasoning), Seasoning Blend (E21031866 Cheddar Cheese Seasoning), Seasoning Blend (E21031867 Ranch Seasoning), Seasoning Blend (E21079403 Parmesan Garlic Seasoning), Seasoning Blend (E21098926 Vegan Cheese Seasoning), Seasoning Blend (E21105302 Japaeno Cheddar Seasoning), Seasoning Blend (E21143129 SRIRACHA SEASONING), Seasoning Blend (E21152455 Jalapeno Cheddar Seasoning), Seasoning Blend (E21186728 Mexican Style Sweet Corn Seasoning), Seasoning Blend (E21186764 Cheddar Cheese Seasoning), Seasoning Blend (E22000859 Dill Seasoning), Seasoning Blend (E22025733 Parmesan Garlic Seasoning), Seasoning Blend (E22092909 Cheese Seasoning), Seasoning Blend (E22093682 SMOKED GOUDA SEASONING), Seasoning Blend (E22093894 Spicy Seasoning ), Seasoning Blend (E22094958 Truffle Parmesan Seasoning), Seasoning Blend (E22098285 Mixed Berry &amp; Cream Seasoning), Seasoning Blend (E22098941 Cheddar Cheese &amp; Broccoli Seasoning), Seasoning Blend (E22099006 Stuffed Mushroom Seasoning), Seasoning Blend (E22141176 Pepperjack - Seasoning), Seasoning Blend (E22196958 Spicy Queso - Seasoning), Seasoning Blend (E24095917 Rosemary &amp; Herb Seasoning), Seasoning Blend (E24124120 Brown Gravy - Seasoning), Seasoning Blend (E24152613 Sour Cream &amp; Onion - Seasoning), Seasoning Blend (E24254704 Sour Cream Sriracha - Seasoning), Seasoning Blend (Sea Salt &amp; Pepper (S059033)), Seasoning Blend (U_0009575 Garlic Cream Sauce Seasoning), Seasoning Blend (U_0016254 Sea Salt &amp; Black Pepper Seasoning), Seasoning Blend (U_0019009 Naturally Flavored Seasoning), Seasoning Blend (U_0019789 Sea Salt Seasoning), Seasoning Blend (U_0019997 Sriracha Seasoning), Seasoning Blend (U_0020498 Turmeric Seasoning ), Seasoning Blend (U_0021354 Pesto Sauce Seasoning ), Seasoning Blend (U_0024608 Seasoning for Fajita Sauce), Seasoning Blend (U_0024735 Sea Salt Seasoning), Seasoning Blend (U_0025064 Cheddar Cheese &amp; Broccoli Seasoning), Seasoning Blend (U_0026530 Fajita Seasoning), Seasoning Blend (U_0027111 Nacho Cheese Seasoning), Seasoning Blend (White Cheddar Cheese (U_00150)), Seasoning Mixes (E_1871152 Ranch Seasoning), Sour Cream Powder (UB6286), Sour Cream Powder (ZA0847 Cream Sour Powder), Soy Sauce (Powder), Strawberry Flavor (E22166213 Strawberry - Natural Strawberry Flavor WONF), Strawberry Flavor (E23024523 Strawberry - Natural Strawberry Flavor WONF), Sugar Cane (ZA1615 Cane Juice Evaporated Fine Granule (Sugar)), Sweet Dairy Whey Powder (UB6113), Tamari Soy Sauce ((UB2343)), Tapioca Solids (ZA2199 Tapioca Syrup Solids), Vanilla Extract (E_1903563 Exhausted Vanilla Beans), Vanilla Extract (E22066899 Vanilla Extract), Vanilla Flavor (E23053188 FRENCH VANILLA WONF), Vanilla Flavor (E23225872 Vanilla - Natural Vanilla Flavor WONF), Vanilla Flavor (ZU7874 ORGANIC MANE CREAMY VANILLA FLAVOR - not for resale), Vinegar Powder (ZA1782 Apple Cider Vinegar Powder), Yeast Extract (ZA3212 Yeast Extract)</t>
  </si>
  <si>
    <t>Dairy: Butter (Butter (salted)), Butter (Unsalted Butter), Cream (bulk), Kefir - Plain, Kefir - Strawberry, Kefir - Vanilla, Milk (2% Reduced Fat Milk (ESL)), Milk (Whole Milk (ESL)), Raw Milk (bulk), Yogurt (Cream On Top Yogurt - Plain), Yogurt (Cream on Top Yogurt - Vanilla), Yogurt (Greek Yogurt - Plain), Yogurt (Greek Yogurt - Vanilla)</t>
  </si>
  <si>
    <t>Other: Beef Cuts (Grassfed Various Cuts), Beef Liver (for Processing), Beef Trim (Grassfed 50%), Beef Trim (Grassfed 65%), Beef Trim (Grassfed 75%), Beef Trim (Grassfed 85%), Beef Trim (Grassfed 95%), Blue Cheese, Buttermilk Powder, Cheddar - Mild (Raw Grassmilk), Cheddar Cheese (Pasteurized), Cheddar Cheese (Raw), Chocolate Low Fat (1%) Milk (Aseptic), Chocolate Reduced Fat (2%) Milk (ULTRA Filtered), Colby Cheese, Colby Jack Cheese, Cream (Heavy Cream Totes), Cultured butter, Cultured butter (Salted), Feta Cheese, Flavored Milk (FUEL High Protein Shake - Chocolate), Flavored Milk (FUEL High Protein Shake - Coffee), Flavored Milk (FUEL High Protein Shake - Vanilla), Frozen Eggs, Ghee, Half and Half (UHT), Lactose Free Low Fat (1%) Milk (UHT), Lactose Free Milk (Chocolate 2% Reduced Fat, UHT), Lactose Free Non Fat (skim) Milk (UHT), Lactose Powder (Edible Lactose), Livestock Feed - Dairy Blend (Buttermilk Powder), Livestock Feed - Dairy Blend (Lactose Powder), Livestock Feed - Dairy Blend (Milk Protein Concentrate Powder 80%), Livestock Feed - Dairy Blend (NFDM Powder), Livestock Feed - Dairy Blend (NFDM Powder), Livestock Feed - Dairy Blend (Whey Powder), Livestock Feed - Dairy Blend (Whey Powder Reduced Minerals 90% ), Livestock Feed - Dairy Blend (Whey Protein Concentrate Powder 80% ), Low Fat (1%) Milk (Aseptic), Low Fat (1%) Milk (Fortified, UHT), Monterey Jack Cheese, Monterey Jack Cheese (Raw), Mozzarella Cheese, Non Fat (skim) Milk (Fortified, UHT), Non Fat (skim) Milk (ULTRA Filtered), Nonfat Milk Powder, Nonfat Milk Powder, Nonfat Milk Powder (Medium Heat), Omega 3 Reduced Fat Milk (2%, UHT), Omega 3 Whole Milk (Whole, UHT), Parmesan Cheese, Pepper Jack Cheese, Powders Livestock Feed (Whey Protein Concentrate WPC 45% Powder), Protein Concentrate (Milk Protein Concentrate 80%), Protein Concentrate (Milk Protein Concentrate 85%), Provolone Cheese, Reduced Fat (2%) Milk (UHT), Reduced Fat (2%) Milk (ULTRA Filtered), Ricotta Cheese, Salted butter, Sharp Cheddar Cheese (Raw Grassmilk), Unsalted butter, Whey (Powder), Whey (Reduced Minerals Whey Powder 90%), Whey (Whey Protein Concentrate 80% Powder), Whey (Whey Protein Isolate 90%), Whole Milk (Aseptic), Whole Milk (UHT), Whole Milk (ULTRA Filtered)</t>
  </si>
  <si>
    <t>Other: Beef cattle: retail meat cuts, Dairy cow: retail meat cuts, Swine: retail meat cuts</t>
  </si>
  <si>
    <t>Other: 050006 1104TPORG Natural Dark Berry Flavor WONF, 050006 1112TPORG Natural Vanilla Flavor WONF (Bourbon Type), 050006 1113TPORG Natural Vanilla Flavor WONF (Cream Type), 050006 1166TPORG Natural Caramel Flavor WONF, 050006 1178SPMORG Natural Banana Strawberry Flavor WONF, 050006 1179SPMORG Natural Strawberry Banana Flavor WONF, 050006 1186SPMORG NAT Chocolate Peanut Flavor WONF, 050006 2365TPORG Natural Chocolate Flavor WONF, 050006 2366TPORG Nat Chocolate Flavor WONF, 050006 2376TPORG - Natural Strawberry Flavor WONF, 050006 2377TPORG - Natural Strawberry Flavor WONF, 050006 2378TPORG - Natural Strawberry Flavor WONF (Cream Type), 050006 2480TPORG Natural Flavor (Creamy Dairy Type), 050006 822TP0504 Natural Coffee Flavor WONF, 050012 111024PORG Natural Lemon Flavor, 050012 113150PORG Natural Orange Flavor WONF, 050012 113554PORG Natural Raspberry Flavor WONF, 050012 113755PORG Natural Lemon Flavor, 050012 113860APORG Natural Orange Tangerine Flavor, 050012 114061DPORG Natural Blueberry Flavor WONF, 050012 114933PORG Natural Lime Flavor, 050012 116532ORG Natural Lemon Flavor, 050012 117253ORG Natural Peanut Flavor WONF, 050012 18TP1954ORG Natural Blackberry Raspberry Flavor WONF, 050023 0560TPORG Natural Flavor (Chicken Type), 050023 221CBORG Nat Chicken Flavor WONF, 050024 0459ORG Natural Garlic Flavor WONF (Roast Type), 050024 0619TORG Natural Black Pepper Extract, 050024 23TP1904ORG Natural Banana Flavor WONF, 050024 666TP04ORG Natural Apple Flavor WONF, 500176 TPORG Natural Chocolate Fudge Flavor WONF, 512142 P20ORG Natural Acai Flavor WONF, 514292 TP1299ORG Natural Vanilla Powder, 514358 TP2004ORG Natural Maple Flavor WONF, 514359 TP2004ORG Natural Vanilla Flavor WONF (Whiskey Type), 514637 TP1099ORG Natural Flavor (Caramel Type), 514697 SPMORG Natural Tastegem Flavor SW, 514783 TPORG Natural Mixed Berry Flavor WONF, 514786 P20ORG Natural Coconut Flavor WONF, 515064 TPORG Natural Cinnamon Flavor WONF, 515065 TPORG Natural Cinnamon Flavor WONF, 515066 TPORG Natural Cherry Flavor WONF, 515886 TP0900ORG Natural Ginger Extract, 515967 TP2004ORG Natural Pineapple Flavor WONF, 517261 TORG Natural Cheddar Cheese Flavor WONF, 517262 TORG Natural Parmesan Cheese Flavor WONF, 517396 2TORG Natural Cream Flavor WONF, 517397 TORG Natural Cream Flavor WONF, 534199 60TP3354ORG Natural Tastegem Flavor SW, 566308 TPORG Natural Taste Modulator Flavor, 571452 PORG Natural Chicken Flavor WONF, 599399 30TP5054ORG Natural Masking Flavor, 927138 Natural Cocoa Extract, 984746 Tangerine Oil Org, 989925 Vanilla Bourbon Ext 3X, 990106 Vanilla Extract, 990133 Vanilla Extract 10X, 990227 Vanilla Bourbon 20x</t>
  </si>
  <si>
    <t>Dairy: Butter (Salted Butter), Butter (Unsalted Butter), Cheese (British Organic Dairy Co. - Cheesemaker's Reserve Cheddar Cheese), Cheese (British Organic Dairy Co. - Extra Sharp Cheddar Cheese), Cheese (British Organic Dairy Co. - Sharp Cheddar Cheese), Cheese (Cheddar Cheese), Cheese (Extra Mature Cheddar Cheese), Cheese (Fontina), Cheese (Gouda), Cheese (Gruyere), Cheese (Kingdom Organic Aged Cheddar Cheese (Block)), Cheese (Kingdom Organic Aged Cheddar Cheese (Wedge)), Cheese (LMPS Mozzarella Cheese), Cheese (Mature Cheddar Cheese), Cheese (Medium Cheddar Cheese), Cheese (Medium Colored Cheddar Cheese), Cheese (Mild Cheddar Cheese), Cheese (Monterey Jack), Cheese (Mozzarella,Pizza Cheese), Cheese (Part Skim Mozzarella), Cheese (Vintage Cheddar Cheese), Cheese (White Cheddar Extra Sharp), Cheese (White Cheddar Medium), Cheese (White Cheddar Mild), Cheese (Whole Milk Mozzarella), Cheese (Whole Milk Mozzarella Cheese), Cheese (Yellow Cheddar Extra Sharp), Cheese (Yellow Cheddar Medium), Cheese (Yellow Cheddar Mild), Condensed Whey, Dried Edible Lactose, FWD Buttermilk Blend, FWD Sweet Whey Powder, Heavy Cream, Lactose, Milk (Skim Milk Powder), Milk (Whole Milk Powder), Organic Butter Powder, Whey Protein Concentrate 80%, WPC 80</t>
  </si>
  <si>
    <t>Dairy: Butter (A2-A2 Salted Butter), Butter (Butter, Salted), Butter (Unsalted Butter), Cream (A2-A2 Whipping Cream), Cream (Whipping Cream, Grade A, Pasturized), Grade A Sweet Butter Milk, Milk (A2-A2 Grade A Whole Milk), Milk (Chocolate Milk, Grade A, Pasturized), Milk (Grade A Fat Free Milk), Milk (Grade A Low Fat Milk), Milk (Grade A Reduced Fat Milk), Milk (Reduced Fat Milk, Grade A, Pasturized), Milk (Whole Milk, Grade A, Pasturized), Sweet Buttermilk, Grade A, Pasturized; Other: Labeling Dairy Products, Packaging Dairy Products, Processing Dairy Products</t>
  </si>
  <si>
    <t>Dairy: Cheese (Feta), Cheese (Feta in Brine); Other: Distributing Cheese, Importing Cheese, Storing Cheese</t>
  </si>
  <si>
    <t>Processed  Items: Coconut Milk (17-19% fat), Unsweetened Coconut Milk (17-19% fat), Coconut Milk Light (5-7% fat), Coconut Milk (17-19% fat), Coconut Milk (17-19% fat) classic, Coconut Milk (14-16% fat), Coconut Cream, Coco Bites Hojicha Flavour, Coconut Milk (17-19% fat), Dessicated Coconut, Coconut Cream (20-22% fat), Coconut Cream (20-22% fat), Coconut Flour, Coconut Milk (14-16% fat), Coconut Milk (11-13% fat), Coconut Milk (20-22% fat), Coconut cream (20-22% fat) No guar gum, Virgin Coconut Oil, Coconut Milk Light (14-16% fat), Coco Bites Original Flavour, Coconut Milk Lite (5% fat), Coconut Water, Unsweetened Coconut Cream (20-22% fat), Coco Bites Cocoa Flavour, Coconut Chips, Coconut Juice, Virgin Coconut Oil, Coconut Cream (26-28% fat), Coco Bites Matcha Flavour, Coconut Cream (29-31% fat), Coconut Cream (29-31% fat) No guar gum, Non-Dairy Latte, Non-Dairy Chocolate Milk, Non-Dairy Matcha, Non-Dairy Espresso, Non-Dairy Thai Tea, Coconut Milk (17-19%) No guar gum, Demeter Red Curry Paste, Red Curry Paste (NOP only), Green Curry Sauce (NOP only), Demeter Green Curry Sauce, Red Curry Sauce (NOP only), Demeter Green Curry Paste, Demeter Red Curry Sauce, Green Curry Paste (NOP only), Demeter Red Curry Paste (2), Demeter Green Curry Paste (2), Demeter Red Curry Sauce (2), Demeter Green Curry Cause (2), Demeter Yellow Curry Paste (1), Demeter Yellow Curry Paste (2), Demeter Yellow Curry Paste (3), Demeter Yellow Curry Sauce (1), Demeter Yellow Curry (2), Demeter Yellow Curry (3), Demeter Red Curry Paste (v2), Demeter Red Curry Paste (v3), Demeter Green Curry Paste (v2), Demeter Green Curry Paste (v3), Demeter Yellow Curry Paste (v2), Demeter Yellow Curry Paste (v3), Demeter Red Curry Sauce (v2-1), Demeter Red Curry Sauce (v2-2), Demeter Red Curry Sauce (v3), Demeter Green Curry Sauce (v2), Demeter Green Curry Sauce (v3), Demeter Yellow Curry Sauce (v2), Demeter Yellow Curry Sauce (v3), Coconut Cider Vinegar, Demeter Yellow Curry Sauce (v4), Demeter Yellow Curry Paste (v4)</t>
  </si>
  <si>
    <t>Dairy: Milk (Milk - Bulk); Other: Soybeans, Roasted</t>
  </si>
  <si>
    <t>Other: Acai Flavor (MTA00921 - Acai flavor natural WONF ), Almond Flavor (MTA00269 Almond flavor type natural), Apple Flavor (MTA00441 - Apple flavor type natural (red type)), Apple Flavor (MTA00632 Apple flavor natural WONF), Apple Flavor (MTA01394 Apple Flavor Natural WONF (green type)), Apple Flavor (MTP00660 - Apple flavor type natural (Red type)), Apple Flavor (MTP00810 Apple Flavor Type Natural (green type)), Apricot Flavor (MTA00884 - Apricot flavor natural WONF), Basil Extract (MTA00737 Basil Extract), Basil Extract (MTA00896 Basil Extract Natural), Bergamot Flavor (MTA01413 Bergamot Flavor Natural WONF), Berry Flavor (MTA00906 - Mixed Berry flavor type natural), Berry Flavor (MTA00935 Mixed Berry Flavor Natural WONF), Berry Flavor (MTP00811 Mixed Berry Flavor Type Natural), Berry Flavor (MTP00917 Mixed berry flavor type natural), Blueberry Flavor (MTA00442 - Blueberry flavor natural WONF ), Blueberry Flavor (MTA01336 Blueberry flavor type natural), Brown Sugar Flavor (MTA01204 Brown Sugar Flavor Type Natural), Brown Sugar Flavor (MTP00512 Brown Sugar flavor natural WONF), Butter Flavor (MTA01113 Brown Butter Flavor Type Natural), Caramel Candy (CS4092B - Caramel Dairy Free Mini Bits), Caramel Candy (CS4093B - Caramel Dairy Free Bits), Caramel Candy (CS4095B -  Caramel Dairy Free Powder), Caramel Candy (CS4099B Caramel Dairy Free Bits Salted), Caramel Candy (CS4100B Caramel Dairy Free Bits Salted), Caramel Flavor (MTA00048 Caramel flavor natural WONF), Caramel Flavor (MTA00263 - Caramel Flavor Natural WONF (English Toffee Type)), Caramel Flavor (MTA00952 Caramel Flavor Type Natural), Caramel Flavor (MTA01028 Caramel flavor natural WONF), Caramel Flavor (MTA01084 Caramel Flavor Type Natural), Caramel Syrup (CS1503B - Caramel Brulee), Caramel Syrup (CS1505B - Blonde Caramel Syrup), Caramel Syrup (CS1506B - Caramel), Caramel Syrup (CS1508B - Dark Caramel), Caramel Syrup (CS2001B - Caramel Brulee Syrup WONF), Caramel Syrup (CS2002B - Caramel Brulee Syrup WONF), Caramel Syrup (CS2004B - Caramel Brulee Syrup WONF), Caramel Syrup (CS2101B - Ginger Caramel), Chai Flavor (MTP00358 Chai Tea Flavor Type Natural), Chamomile Flavor (MTA01285 Chamomile Extract Natural), Cherry Flavor (MTA00443 - Cherry flavor type natural (sour type)), Cherry Flavor (MTA00857 Cherry Flavor Type Natural), Cherry Flavor (MTP00941 Black Cherry Flavor Type Natural), Chili Flavor (MTA01405 Chili Flavor Natural WONF), Chocolate Flavor (MTA00151 Chocolate flavor natural WONF), Chocolate Flavor (MTA00200 Chocolate flavor natural WONF (Milk type)), Chocolate Flavor (MTP00742 Chocolate Flavor Natural WONF (dark type)), Cinnamon Flavor (MTA01167 Cinnamon Leaf Oil), Citrus Extract (MTA01147 Citrus Extract Natural), Citrus Flavor (MTA00981 Citrus flavor natural WONF), Cocoa Powder (MTP00654 Cocoa Powder), Coconut Flavor (MTA00211 Coconut Flavor Type Natural), Coconut Flavor (MTA00212 Coconut flavor type natural), Coconut Flavor (MTP00577 - Coconut flavor type natural), Coconut Flavor (MTP00712 Coconut flavor type natural), Coffee Extract (MTA00006 Coffee extract), Coffee Flavor (MTA00255 Coffee flavor natural WONF ), Cream Flavor (MTP00536 Cream Enhancer Flavor Type Natural), Fenugreek Extract (MTA00870), Flavor Blend (MTA00824 - Banana bread flavor type natural), Garlic Flavor (MTA00234 Garlic Extract), Ginger Extract (MTA00371 Ginger Extract), Ginger Extract (MTA00444 Ginger extract), Grape Flavor (MTA01124 - Grape Flavor Type Natural), Grape Flavor (MTP00787 Grape Flavor Type Natural ), Grape Flavor (MTP00916 Grape flavor type natural ), Guava Flavor (MTA00886 - Guava flavor natural WONF), Hazelnut Flavor (MTA00994 Hazelnut Flavor Type Natural), Hibiscus Extract (MTA01396 Hibiscus Fluid Extract), Hibiscus Flavor (MTP00640 - Hibiscus flavor type natural), Hibiscus Flavor (MTP00646 Hibiscus extract powder), Honey Flavor (MTA00934 Honey flavor natural WONF), Instant Coffee (MTP00296 Coffee Instant Powder), Jasmine Flavor (MTA00777 Jasmin flavor type natural), Lavender Flavor (MTA01286 Lavender Extract Natural), Lemon Flavor (MTA00468 Lemon flavor natural WONF), Lemon Flavor (MTA01071 Lemon flavor natural WONF), Lemon Flavor (MTA01331 Lemon Flavor Natural WONF), Lemon Flavor (MTA01352 Lemon flavor natural WONF), Lemon Flavor (MTP00324 Lemon flavor natural WONF), Lemon Oil (MTA00020 - Lemon oil), Lemongrass Extract (MTA00684 Lemongrass Extract), Lime Flavor (MTA00929 - Lime Flavor Natural WONF), Lime Flavor (MTA01330 Lime Flavor Natural WONF), Lime Flavor (MTP00688 Lime Flavor Natural WONF), Lychee Flavor (MTP00940 Lychee Flavor Type Natural), Mango Flavor (MTA00798 Mango Flavor Type Natural), Mango Flavor (MTA01398 Mango flavor natural WONF), Maple Flavor (MTA00364 Maple flavor type), Maple Flavor (MTP00511 Maple flavor natural WONF), Matcha Flavor (MTA01348 Matcha Tea flavor natural WONF), Milk Flavor (MTP00179 - Milk Flavor Type Natural), Mint Flavor (MTA00127 Mint flavor natural WONF), Mint Flavor (MTA00983 Mint flavor natural WONF), Mint Flavor (MTA01073 Mint Flavor Natural WONF), Misc. Flavor (MTA00445 - Masking agent flavor type natural), Misc. Flavor (MTA00972 Red Velvet Cake Flavor Type ), Misc. Flavor (MTA01008 Black Truffle flavor type natural), Misc. Flavor (MTA01356 Cookies &amp; Cream Flavor Type Natural), Misc. Flavor (MTA01392 S'Mores flavor type natural), Misc. Flavor (MTA01397 Blood Orange flavor natural WONF ), Misc. Flavor (MTP00143 Sweet Enhancer Flavor Type Natural), Misc. Flavor (MTP00346 Sweet Enhancer Flavor Type Natural), Misc. Flavor (MTP00494 Vanilla Custard Flavor Type Natural), Misc. Flavor (MTP00537 Masking Agent Flavor Type Natural), Misc. Flavor (MTP00563 Vanilla Flavor Natural WONF), Misc. Flavor (MTP00831 Cream Cheese Flavor Type Natural), Misc. Flavor (MTP00925 Masking Agent Flavor Type ), Misc. Flavor (MTP00926 Sweet Enhancer Flavor Type), Orange Extract (MTA00300 Orange extract FTNF), Orange Extract (MTA00899 Blood Orange Extract), Orange Flavor (MTA01072 Orange flavor natural WONF), Orange Flavor (MTP00330 - Orange Flavor Natural WONF), Orange Flavor (MTP00736 - Orange Flavor Natural WONF), Passionfruit Flavor (MTA00746 Passionfruit Type), Passionfruit Flavor (MTP00818 Passionfruit flavor type natural), Peach Flavor (MTA00649 - Peach Flavor Type Natural), Peach Flavor (MTA01091 Peach Flavor Natural WONF), Peach Flavor (MTA01117 Peach Flavor Type Natural), Peach Flavor (MTA01140 Peach Flavor Type Natural), Peanut Butter Flavor (MTP00844 Peanut butter flavor type), Peanut Flavor (MTA00199-Peanut flavor type natural), Peanut Flavor (MTP00144 - Peanut Flavor Type Natural), Peppermint Oil (MTA00745 Peppermint oil), Pineapple Flavor (MTA00718 Pineapple Flavor Type Natural), Pineapple Flavor (MTP00732 Pineapple Flavor Type Natural), Raspberry Flavor (MTA00550 Raspberry flavor natural WONF), Raspberry Flavor (MTA01141 Raspberry Flavor Type Natural), Raspberry Flavor (MTP00365 Raspberry flavor type natural), Spearmint Extract (MTA01409 Spearmint Extract Natural), Strawberry Flavor (MTA00951 Strawberry Flavor Type Natural), Strawberry Flavor (MTA00982 Strawberry flavor type natural), Strawberry Flavor (MTA01342 Strawberry Lemonade Flavor Type Natural ), Strawberry Flavor (MTA01412 Strawberry Flavor Natural WONF), Strawberry Flavor (MTP00364 Strawberry Flavor Type Natural), Tangerine Flavor (MTA01069 Tangerine flavor natural WONF), Tangerine Flavor (MTA01122 Tangerine Extract), Turmeric Extract (MTA00195 Turmeric Flavor Natural WONF), Vanilla Bean (MTP00903 Vanilla Seeds), Vanilla Extract (MTA01289 Vanilla Extract Madagascar 10X ), Vanilla Flavor (MTA00021 Vanilla extract Madagascar 2X), Vanilla Flavor (MTA00136 Vanilla Flavor Natural WONF (2X replacer)), Vanilla Flavor (MTA00166 Vanilla flavor natural WONF (2X replacer)), Vanilla Flavor (MTA00181 Vanilla flavor natural WONF (creamy type)), Vanilla Flavor (MTA00229 Vanilla flavor natural 1X), Vanilla Flavor (MTA00286 - Vanilla flavor natural WONF (2X replacer)), Vanilla Flavor (MTA00363 - Vanilla flavor natural WONF), Vanilla Flavor (MTA00614 - Vanilla flavor natural WONF), Vanilla Flavor (MTA01092 Vanilla flavor natural WONF (2X replacer)), Vanilla Flavor (MTA01143 Vanilla Flavor Type Natural (French Type)), Vanilla Flavor (MTA01391 Vanilla flavor natural WONF (2X replacer)), Vanilla Flavor (MTP00045 Vanilla flavor natural WONF), Vanilla Flavor (MTP00091 Vanilla Custard flavor type natural), Vanilla Flavor (MTP00171 - Vanilla Flavor Natural WONF), Vanilla Flavor (MTP00189 - Vanilla Flavor Natural WONF), Vanilla Flavor (MTP00323 - Vanilla flavor natural WONF (1X replacer)), Vanilla Flavor (MTP00362 - Vanilla Flavor Natural WONF), Vanilla Flavor (MTP00531 Vanilla flavor type natural), Watermelon Flavor (MTA01165 Watermelon Flavor Type Natural), Watermelon Flavor (MTA01422 Watermelon Flavor Natural WONF), Yuzu Flavor (MTA00897 Yuzu extract natural)</t>
  </si>
  <si>
    <t>Processed  Items: Coconut Cream, Coconut Cream 21% Fat, Coconut Milk 10% Fat, Coconut milk 11% fat, Coconut Milk 12% fat, Coconut milk 12% fat-Multi ingredient, Coconut milk 15% fat, Coconut milk 17%, Coconut milk 17% fat (multi-ingredient), Coconut Milk 17%-19% fat (Multi Ingredients), Coconut milk 17%-19% Fat (Single Ingredient), Coconut milk 18% (multi-ingredient), Coconut Milk 18% Fat (Single Ingredient), Coconut Milk 20% - 22% Fat, Coconut Milk 20% - 22% fat (Multi-ingredient), Coconut milk 21% fat, Coconut milk 22%, Coconut milk 22% fat (multi-ingredient), Coconut Milk 22% Fat (Single Ingredient), Coconut Milk 23% Fat, Coconut Milk 23% Fat-Multi ingredient, Coconut milk 28- 30% Fat, Coconut milk 30% fat (Multi ingredient), Coconut Milk 5% -7% Fat (Mutli ingredient), Coconut milk 5% fat (Multi-ingredient), Coconut milk 5-7% fat (Single ingredient)), Coconut milk 6% fat, Coconut milk 8- 9% Fat, Coconut Milk 8% Fat- Multi ingredient, Coconut Milk 9% (Multi), Coconut Milk Powder, Coconut Milk Powder - 25 % Fat, Coconut Milk Powder - 50 % Fat, Coconut Milk Powder - 55 % Fat, Coconut Milk with Green Curry, Coconut Milk With Lemongrass, Coconut Milk With Red Curry, COCONUT MILK WITH RED CURRY 6% FAT, Coconut Milk with Yellow Curry, Coconut Water, Creamed Coconut, Dehydrated Foods (Coconut Flour), Dehydrated Foods (Banana Dehydrated), Dehydrated Foods (Banana Powder), Dehydrated Foods (Coconut chips), Dehydrated Foods (Coconut chips roasted), Dehydrated Foods (Coconut chips toasted), Dehydrated Foods (Defatted coconut), Dehydrated Foods (Desiccated coconut - chips), Dehydrated Foods (Desiccated coconut - fine), Dehydrated Foods (Desiccated coconut - medium), Dehydrated Foods (Desiccated Coconut Salted Chips), Dehydrated Foods (Desiccated coconut toasted chips), Dehydrated Foods (Desiccated Coconut Toasted Salted chips), Dehydrated Foods (Jackfruit dried), Dehydrated Foods (Low Fat Desiccated Coconut), Dehydrated Foods (Moringa leaf powder), Dehydrated Foods (Papaya dehydrated), Dehydrated Foods (Pineapple dehydrated), Ginger Infused Coconut Milk, King coconut water, Pasteurized Coconut milk 32% Fat, pineapple chunks in juice, Turmeric Infused Coconut Milk, Young jakfruit in brine; Preservatives/Extracts/Flavors: Spices (Cinnamon powder), Spices (Cinnamon Sticks); Oils &amp; Oleoresins: Oils (Virgin Coconut Oil), Oils (Coconut oil (RBD)); Dry/Baking Goods: Sugar (Coconut Sugar); Condiments and Sweeteners: Syrups (Coconut Syrup); Beverage Related Products: Non-Dairy Milk (Chocolate Flavoured Drinking Coconut Milk), Non-Dairy Milk (Iced Coffee Flavoured Drinking Coconut Milk), Non-Dairy Milk (Pineapple Flavoured drinking Coconut Milk)</t>
  </si>
  <si>
    <t>Dairy: Cheese (Low Moisture Part-Skim Mozzarella), Cheese (Lowfat Ricotta), Cheese (Ricotta), Cream (Cream), Whey; Other: Exporting Cheese, Labeling Cheese and Whey, Packaging Cheese and Whey, Processing Cheese and Whey</t>
  </si>
  <si>
    <t>Dairy: Cream, Milk (Milk, 1% Lowfat), Milk (Milk, 2% Reduced Fat), Milk (Milk, Nonfat), Milk (Milk, Whole Vitamin D)</t>
  </si>
  <si>
    <t>Other: Creamline Organic Chocolate Milk, Creamline Organic Coffee Milk, Creamline Organic Maple Milk, Creamline Organic Whole Milk, Half &amp; Half, Heavy Cream, Organic Creamline 1% Low Fat Milk, Organic Non Fat Chocolate Milk, Soft Serve Chocolate Ice Cream, Soft Serve Vanilla Ice Cream</t>
  </si>
  <si>
    <t>Other: French Connection Non-Dairy Cheese, Joi Non-Dairy Cheese, Seven Point Five Non-Dairy Cheese, Black Truffle Non-Dairy Cheese, Smoked Cheddar Non-Dairy Cheese, Sari Non-Dairy Cheese</t>
  </si>
  <si>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</si>
  <si>
    <t>Other: Almond Hulls Livestock Feed (1498 - Almond Hulls), Canola Oil Livestock Feed (1453 - Canola Oil), Carrots Livestock Feed, Carrots Livestock Feed (4003 - Pelletized), Cull Beans Livestock Feed, Dried Distillers Grains, Dried Distillers Grains (1404 - Dried), Dried Yucca (Yucca Powder), Grain Blend (Worm Feed), Kelp Livestock Feed (1501 - Kelp Meal), Kelp Livestock Feed (212 - Kelp Meal), Kelp Livestock Feed (215 - Kelp Meal), Livestock Feed (1407 - Tapioca), Livestock Feed (5055 Mushroom Feed - Mushroom Mix TOTE), Livestock Feed (5074 Insect Feed - Cockroach 50#), Livestock Feed (5085 Horse Feed - Balancer Plus), Livestock Feed (5086 Horse Feed - Performance Plus), Livestock Feed (753 Duck Feed - Duck Layer Pellets #25), Livestock Feed (756 Duck Feed - Duck Layer Pellets 40#), Livestock Feed (Corn Blend), Livestock Feed (Crab Meal), Livestock Feed (Cricket Mash Mix), Livestock Feed (Duck Feed), Livestock Feed (Herbs), Livestock Feed (Insect Feed), Livestock Feed (Mushroom Feed), Livestock Feed - Alfalfa (106 - Alfalfa Pellets 40#), Livestock Feed - Alfalfa (1411 - Alfalfa), Livestock Feed - Alfalfa (5864 - Alfalfa Pellets TOTE ), Livestock Feed - Alpaca Blend (Alpaca Feed), Livestock Feed - Barley (116 - Whole Barley 40#), Livestock Feed - Barley (5841 - Whole Barley TOTE), Livestock Feed - Beef Blend (5019 Beef Feed - Beef Finisher Pellet TOTE), Livestock Feed - Beef Blend (5033 Beef Feed - Beef Finisher TOTE), Livestock Feed - Beef Blend (5056 Beef Feed - Smiley Beef Finisher Pellet 50lb), Livestock Feed - Beef Blend (5063), Livestock Feed - Beef Blend (5075 Beef Feed - Beef Finisher TOTE), Livestock Feed - Beef Blend (Beef Feed), Livestock Feed - Calf Blend (Calf Feed), Livestock Feed - Canola Meal (1403 - Canola Meal), Livestock Feed - Canola Meal (1454 - Canola-Rapeseed Meal), Livestock Feed - Canola Seed, Livestock Feed - Corn (126 - Cracked Corn 40#), Livestock Feed - Corn (136 - Whole Corn 40#), Livestock Feed - Corn (1400 - Cracked, Ground, Rolled, Whole), Livestock Feed - Corn (5913 - Whole Corn TOTE), Livestock Feed - Corn (5923 - Cracked Corn TOTE), Livestock Feed - Corn (Corn Pellets), Livestock Feed - Dairy Blend (1009 Dairy Feed - Nuplen Bulk Dairy Pellet), Livestock Feed - Dairy Blend (1010 Dairy Feed - Coelho Dairy Barn), Livestock Feed - Dairy Blend (1022 Dairy Feed - Corn Pellet  BULK), Livestock Feed - Dairy Blend (1024 Dairy Feed - Corn, ground), Livestock Feed - Dairy Blend (1030 Dairy Feed - Morning Star Dairy Calf Pellets BULK), Livestock Feed - Dairy Blend (1031 Dairy Feed - Morning Star Dairy Heifer Pellets BULK), Livestock Feed - Dairy Blend (1041 Dairy Feed - Calf Pellets BULK), Livestock Feed - Dairy Blend (1406 - Corn Blend 12% BULK), Livestock Feed - Dairy Blend (5018 Dairy Feed - McClelland Calf Pellets TOTE), Livestock Feed - Dairy Blend (5041 Dairy Feed - Dairy TOTE), Livestock Feed - Dairy Blend (5047 Dairy Feed - Non Soy TOTE), Livestock Feed - Dairy Blend (5088 Dairy Feed - Morning Star Organic Farm Calf Pellets TOTE), Livestock Feed - Dairy Blend (5089 Dairy Feed - Heifer Pellets Acee Laudert TOTE), Livestock Feed - Dairy Blend (606 Dairy Feed - Dairy 40#), Livestock Feed - Dairy Blend (616 Dairy Feed - Non Soy 15% 40#), Livestock Feed - Dairy Blend (Dairy Feed), Livestock Feed - Flax Seed (5948 - Flaxseed TOTE), Livestock Feed - Flax Seed (Flax Seed), Livestock Feed - Goat Blend (1040 Goat Feed - Goat Dairy 16%), Livestock Feed - Goat Blend (5031 Goat Feed - Goat Pellets TOTE), Livestock Feed - Goat Blend (5084 Goat Pellet - Elisabeth Bueschen-Monahan TOTE), Livestock Feed - Goat Blend (636 Goat Feed - Dairy Goat Pellet 40#), Livestock Feed - Goat Blend (Goat Feed), Livestock Feed - Ground Grains (1492 - Ground Beans), Livestock Feed - Ground Grains (4004 - Ground Rice), Livestock Feed - Hominy (1490 - Hominy), Livestock Feed - Llama Blend (Llama Feed), Livestock Feed - Milo (1401 - Whole Milo), Livestock Feed - Milo (146 - Whole Milo 40#), Livestock Feed - Milo (5843 - Whole Milo), Livestock Feed - Mix (1004 Horse Feed - Horse Pellet West 12 Ranch BULK), Livestock Feed - Mix (5621 Horse Feed - Horse Supplement Pellet 25#), Livestock Feed - Mix (673 Horse Feed - Horse PLUS 50#), Livestock Feed - Mix (676 Horse Feed - Horse PLUS 40#), Livestock Feed - Mix (693 Horse Feed - Senior Pellet 25#), Livestock Feed - Mix (696 Horse Feed - Senior Pellet 40#), Livestock Feed - Mix (7120 Horse Feed - Pellet for #675), Livestock Feed - Mix (7125 Horse Feed - Pellet for #5086 50#), Livestock Feed - Mix (Beans), Livestock Feed - Mix (Horse Feed), Livestock Feed - Mix (Worm Feed), Livestock Feed - Oats (156 - Whole Oats 40#), Livestock Feed - Oats (5865 - Whole Oats TOTE), Livestock Feed - Oats (Oat Flour), Livestock Feed - Oats (Oat Groats), Livestock Feed - Peas (166 - Whole Peas 40#), Livestock Feed - Peas (5858 - Whole Peas TOTE), Livestock Feed - Peas (Chickpeas), Livestock Feed - Poultry Blend (#1531 Harrison's Premium Pellet (5lbs)), Livestock Feed - Poultry Blend (#1532 Harrison's Premium Pellet (1lbs)), Livestock Feed - Poultry Blend (#5130 Harrison's Perfect Pellets (nonretail)), Livestock Feed - Poultry Blend (#5130 Harrison's Premium Pellets (25lbs)), Livestock Feed - Poultry Blend (1000 Poultry Feed - Happy Hens Phase 3 Layer Summer BULK), Livestock Feed - Poultry Blend (1001 Poultry Feed - Happy Hens Phase 2 Layer Summer BULK), Livestock Feed - Poultry Blend (1003 Poultry Feed - Happy Hens Phase 1 Layer Summer w/Cayenne BULK), Livestock Feed - Poultry Blend (1005 Poultry Feed - Nilsen PVM Pellet  BULK), Livestock Feed - Poultry Blend (1006 Poultry Feed - Happy Hens Phase 1 Layer BULK), Livestock Feed - Poultry Blend (1007 Poultry Feed - Happy Hens Phase 3 Layer BULK), Livestock Feed - Poultry Blend (1008 Poultry Feed - Happy Hens Phase 5 Layer BULK), Livestock Feed - Poultry Blend (1011 Poultry Feed - Burroughs Family Farms Layer BULK), Livestock Feed - Poultry Blend (1013 Poultry Feed - Green Star Farm Layer BULK), Livestock Feed - Poultry Blend (1015 Poultry Feed - Full Circle Dairy Layer BULK), Livestock Feed - Poultry Blend (1016 Poultry Feed - Brent Miller Layer BULK), Livestock Feed - Poultry Blend (1017 Poultry Feed - Eben-Haezer's Happy Hens Layer Phase 4  BULK), Livestock Feed - Poultry Blend (1018 Poultry Feed - Happy Hens Phase 2 Layer BULK), Livestock Feed - Poultry Blend (1019 Poultry Feed - Happy Hens Starter BULK), Livestock Feed - Poultry Blend (1020 Poultry Feed - Green Star Chick Grower crumbles BULK), Livestock Feed - Poultry Blend (1021 Poultry Feed - Happy Hens PreLay BULK), Livestock Feed - Poultry Blend (1023 Poultry Feed - Jake Townsend Layer Pellet  BULK), Livestock Feed - Poultry Blend (1025 Poultry Feed - Happy Hens Developer BULK), Livestock Feed - Poultry Blend (1027 Poultry Feed - Happy Hens Phase 1 Layer Summer BULK), Livestock Feed - Poultry Blend (1029 Poultry Feed - Rootdown Chick Starter/Grower Crumbles), Livestock Feed - Poultry Blend (1032 Poultry Feed - Happy Hens Grower Crumbles  BULK), Livestock Feed - Poultry Blend (1033 Poultry Feed - Sol Seeker Layer Phase 2 BULK), Livestock Feed - Poultry Blend (1034 Poultry Feed - Sol Seeker Chick Starter BULK), Livestock Feed - Poultry Blend (1036 Poultry Feed - Sol Seeker Turkey Starter), Livestock Feed - Poultry Blend (1042 Poultry Feed - Non-Soy Layer ), Livestock Feed - Poultry Blend (1044 Poultry Feed - Non Corn Non Soy Starter BULK), Livestock Feed - Poultry Blend (1045 Poultry Feed - Non Corn Non Soy Grower BULK), Livestock Feed - Poultry Blend (1047 Poultry Feed - Non-Soy Starter BULK), Livestock Feed - Poultry Blend (1048 Poultry Feed - Non-Corn/Soy Layer BULK), Livestock Feed - Poultry Blend (1050 Poultry Feed - Chick Starter BULK), Livestock Feed - Poultry Blend (1051 Poultry Feed - Non-Corn/Soy Starter Crumbles BULK), Livestock Feed - Poultry Blend (1052 Poultry Feed - Starter Grower Pellets BULK), Livestock Feed - Poultry Blend (18486 Poultry Feed - Layer Pellets), Livestock Feed - Poultry Blend (18487 Poultry Feed - Chick Starter/Grower), Livestock Feed - Poultry Blend (18488 Poultry Feed - Scratch Grains), Livestock Feed - Poultry Blend (18489 Poultry Feed - Super Egg), Livestock Feed - Poultry Blend (4216 -  Pitman Family Farms Starter BULK), Livestock Feed - Poultry Blend (4217 - Pitman Family Farms Grower BULK), Livestock Feed - Poultry Blend (4219 - Pitman Family Farms Finisher BULK), Livestock Feed - Poultry Blend (5010 Poultry Feed - Happy Hens Molt TOTE), Livestock Feed - Poultry Blend (5011 Poultry Feed - Happy Hens Pre-Lay TOTE), Livestock Feed - Poultry Blend (5012 Poultry Feed - Happy Hens Developer TOTE), Livestock Feed - Poultry Blend (5013 Poultry Feed - Happy Hens Phase 1 Layer TOTE), Livestock Feed - Poultry Blend (5014 Poultry Feed - Happy Hens Phase 3 Layer TOTE), Livestock Feed - Poultry Blend (5015 Poultry Feed - Happy Hens Phase 5 Layer TOTE), Livestock Feed - Poultry Blend (5020 Poultry Feed - Non-Soy Layer TOTE), Livestock Feed - Poultry Blend (5021 Poultry Feed - Non-Soy Starter TOTE), Livestock Feed - Poultry Blend (5022 Poultry Feed - Non-Soy Finisher TOTE), Livestock Feed - Poultry Blend (5024 Poultry Feed - Chick Starter TOTE), Livestock Feed - Poultry Blend (5025 Poultry Feed - Kim Skidmore Layer NCS TOTE), Livestock Feed - Poultry Blend (5026 Poultry Feed - Wookey Broiler Grower TOTE), Livestock Feed - Poultry Blend (5029 Poultry Feed - Red Bird Acres Grower Pellets TOTE), Livestock Feed - Poultry Blend (5032 Poultry Feed - Apricot Lane Farm Layer Pellets 50#), Livestock Feed - Poultry Blend (5034 Poultry Feed - Layer Crumbles 40#), Livestock Feed - Poultry Blend (5036 Poultry Feed - No Corn/No Soy Layer Crumbles 40#), Livestock Feed - Poultry Blend (5037 Poultry Feed - Scratch TOTE), Livestock Feed - Poultry Blend (5038 Poultry Feed - Scratch 25#), Livestock Feed - Poultry Blend (5043 Poultry Feed - Starter Crumbles 25#), Livestock Feed - Poultry Blend (5050 Poultry Feed - Happy Hens Pullet Grower TOTE), Livestock Feed - Poultry Blend (5057 Poultry Feed - Matthew Doerr Chick Starter TOTE), Livestock Feed - Poultry Blend (5058 Poultry Feed - Non-Soy Layer TOTE), Livestock Feed - Poultry Blend (5062 Poultry Feed - Eben-Haezer's Happy Hens Layer Phase 4 TOTE), Livestock Feed - Poultry Blend (5063 Poultry Feed - Happy Hens Starter TOTE), Livestock Feed - Poultry Blend (5065 Poultry Feed - Eben-Haezer's Happy Hens Layer Phase 2  TOTE), Livestock Feed - Poultry Blend (5067 Poultry Feed - Whole Grain Layer 25#), Livestock Feed - Poultry Blend (5068 Poultry Feed - Soter Vineyards Poultry TOTE), Livestock Feed - Poultry Blend (5069 Poultry Feed - Green Star Chick Grower crumbles TOTE), Livestock Feed - Poultry Blend (5070 Poultry Feed - Robert Shepherd Layer TOTE), Livestock Feed - Poultry Blend (5071 Poultry Feed - Steve Zaritsky Layer Crumbles TOTE), Livestock Feed - Poultry Blend (5072 Poultry Feed - Poultry Grower Crumbles TOTE), Livestock Feed - Poultry Blend (5073 Poultry Feed - Poultry Grower Blue Goose Farm TOTE), Livestock Feed - Poultry Blend (5077 Poultry Feed - Linda Stimson Layer TOTE), Livestock Feed - Poultry Blend (5079 Poultry Feed - Artisanal Layer Pellets TOTE), Livestock Feed - Poultry Blend (5080 Poultry Feed - Eric Antheunisse Parrot 12% 50#), Livestock Feed - Poultry Blend (5091 Poultry Feed - Non-Corn/Non-Soy Layer TOTE), Livestock Feed - Poultry Blend (5093 Poultry Feed - Poultry Grower Crumbles TOTE), Livestock Feed - Poultry Blend (5094 Poultry Feed -  Starter Grower Crumbles TOTE), Livestock Feed - Poultry Blend (5095 Poultry Non-Corn/Non-Soy Starter Grower Crumbles TOTE), Livestock Feed - Poultry Blend (5096 Poultry Feed - Layer Crumbles TOTE), Livestock Feed - Poultry Blend (5097 Poultry Feed - Layer Crumbles 25#), Livestock Feed - Poultry Blend (5099 Poultry Feed - Eric Antheunisse Parrot 20% 40#), Livestock Feed - Poultry Blend (5100 Poultry Feed - Finisher TOTE), Livestock Feed - Poultry Blend (5101 Poultry Feed - Finisher Crumbles TOTE), Livestock Feed - Poultry Blend (5113 Hog Feed - Grower Non Soy with 5% Flax TOTE), Livestock Feed - Poultry Blend (5116 Poultry Feed - Layer Pellet Non- corn/Non-Soy with Crab TOTE ), Livestock Feed - Poultry Blend (5120 Poultry Feed - Layer Pellet Non Soy with Crab TOTE), Livestock Feed - Poultry Blend (5122 Poultry Feed - Little Chicks), Livestock Feed - Poultry Blend (5123 Poultry Feed - Get Layed), Livestock Feed - Poultry Blend (5124 Poultry Feed - Free Range Scratch LFP129 40#), Livestock Feed - Poultry Blend (5125 Poultry Feed - Lovely Lady Booster Pellet 40#), Livestock Feed - Poultry Blend (5126 Poultry Feed - Yardblend LFP128 40#), Livestock Feed - Poultry Blend (5127 Poultry Feed - Lovely Lady Booster Pellet 10#), Livestock Feed - Poultry Blend (5128 Poultry Feed - Free Range Scratch Pellet LFP139 10#), Livestock Feed - Poultry Blend (5129 Poultry Feed - Yardblend LFP128 10#), Livestock Feed - Poultry Blend (5612 Poultry Feed - Non-Corn/Non-Soy PreStarter Crumbles 40#), Livestock Feed - Poultry Blend (5614 Poultry Feed - Non-Corn/Non Soy Layer 25#), Livestock Feed - Poultry Blend (5616 Poultry Feed - Layer Pellets Non-Corn/Non Soy TOTE), Livestock Feed - Poultry Blend (5617 Poultry Feed - Layer Crumbles Non-Corn/Non Soy TOTE), Livestock Feed - Poultry Blend (5619 Poultry Feed - Starter Crumbles Non Soy TOTE), Livestock Feed - Poultry Blend (5622 Poultry Feed - Non-Corn/Non-Soy with OroGlo Wheat Layer TOTE), Livestock Feed - Poultry Blend (5623 Poultry Feed - Non-Corn/Non-Soy Starter w/Fish Crumbles TOTE), Livestock Feed - Poultry Blend (5996 Poultry Feed - Layer TOTE ), Livestock Feed - Poultry Blend (5997 Poultry Feed - Layer Pellet 25#), Livestock Feed - Poultry Blend (6025 Poultry Feed - Starter/Grower Crumbles 25#), Livestock Feed - Poultry Blend (702 Poultry Feed - Chick Starter 10#), Livestock Feed - Poultry Blend (706 Poultry Feed - Grower Crumble 40#), Livestock Feed - Poultry Blend (7118 Poultry Feed - Pellet for #5066, 5067 ), Livestock Feed - Poultry Blend (712 Poultry Feed - Non-Soy Starter 10# ), Livestock Feed - Poultry Blend (713 Poultry Feed - Starter/Grower Non-Soy 25#), Livestock Feed - Poultry Blend (716 Poultry Feed - Non-Soy Starter 40#), Livestock Feed - Poultry Blend (722 Poultry Feed - Non-Corn/Non-Soy Starter Crumbles 10#), Livestock Feed - Poultry Blend (723 Poultry Feed - Non-Corn/Non-Soy Starter/Grower 25#), Livestock Feed - Poultry Blend (726 Poultry Feed - Starter Crumbles Non-Corn/Non Soy 40#), Livestock Feed - Poultry Blend (732 Poultry Feed - Scratch 10#), Livestock Feed - Poultry Blend (736 Poultry Feed - Scratch 40#), Livestock Feed - Poultry Blend (786 Poultry Feed - Non-Corn/Non-Soy Chick Starter Crumbles 40#), Livestock Feed - Poultry Blend (906 Poultry Feed - Developer 40#), Livestock Feed - Poultry Blend (926 Poultry Feed - Developer Non-Soy Pellets 40#), Livestock Feed - Poultry Blend (933 Poultry Feed - Layer Pellet Non-Soy 25#), Livestock Feed - Poultry Blend (936 Poultry Feed - Layer Pellet Non Soy 40#), Livestock Feed - Poultry Blend (942 Poultry Feed - Non-Corn/Non-Soy Layer 10#), Livestock Feed - Poultry Blend (943 Poultry Feed - Non-Corn/Non-Soy Layer Pellet 25#), Livestock Feed - Poultry Blend (946 Poultry Feed - Layer Pellet Non Corn/Non Soy 40#), Livestock Feed - Poultry Blend (952 Poultry Feed - Non-Corn/Non-Soy Layer Pellet 10#), Livestock Feed - Poultry Blend (953 Poultry Feed - Non-Corn/Non-Soy Layer Crumbles 25#), Livestock Feed - Poultry Blend (956 Poultry Feed - Non-Corn/Non-Soy Layer Crumbles 40#), Livestock Feed - Poultry Blend (962 Poultry Feed - Whole Grain Layer 10#), Livestock Feed - Poultry Blend (966 Poultry Feed - Whole Grain Layer 40#), Livestock Feed - Poultry Blend (973 Poultry Feed - Layer Crumbles Non-Soy 25#), Livestock Feed - Poultry Blend (976 Poultry Feed - Layer Crumbles Non-Soy 40#), Livestock Feed - Poultry Blend (986 Poultry Feed - Layer Crumble 40#), Livestock Feed - Poultry Blend (996 Poultry Feed - Layer Pellet 40#), Livestock Feed - Poultry Blend (Gamebird Feed), Livestock Feed - Poultry Blend (Poultry Feed), Livestock Feed - Poultry Blend (Turkey Feed), Livestock Feed - Rabbit Blend (5044 Rabbit Feed - Rabbit &amp; Chinchilla 25#), Livestock Feed - Rabbit Blend (682 - Rabbit Feed 10#), Livestock Feed - Rabbit Blend (686 Rabbit Feed - Rabbit &amp; Chinchilla 40#), Livestock Feed - Rabbit Blend (Rabbit &amp; Chinchilla Feed), Livestock Feed - Rice Bran (Stabilized), Livestock Feed - Sesame Meal, Livestock Feed - Sheep Blend (626 Sheep Feed - Dairy, Ewe &amp; Lamb 40#), Livestock Feed - Sheep Blend (Sheep Feed), Livestock Feed - Soybean Meal (1450 - Full Fat Soybean Meal), Livestock Feed - Soybean Meal (1452 - Soybean Meal), Livestock Feed - Soybean Meal (1500 - Soybean Meal, Import), Livestock Feed - Soybean Meal (196 - Soybean Meal 40#), Livestock Feed - Soybean Meal (4005 - Soybean Meal ), Livestock Feed - Soybean Meal (5850 - Full Fat Soybean Meal), Livestock Feed - Soybean Meal (5853 - Soybean Meal TOTE), Livestock Feed - Soybean Meal (5854 - Full Fat Soybean Meal 50#), Livestock Feed - Soybean Meal (Transload Soybean Meal), Livestock Feed - Soybeans (Soybeans), Livestock Feed - Spelt, Livestock Feed - Sunflower Seed (073 - Sunflower Seeds), Livestock Feed - Sunflower Seed (079 - Sunflower Seeds), Livestock Feed - Sunflower Seed (Sunflower Seed), Livestock Feed - Swine Blend (1014 Hog Feed - Green Star Farm Hog Grower BULK), Livestock Feed - Swine Blend (1028 Hog Feed - Hog Grower 16% BULK), Livestock Feed - Swine Blend (1037 Hog Feed - Hog Grower), Livestock Feed - Swine Blend (1038 Hog Feed - Hog Lactation), Livestock Feed - Swine Blend (1039 Hog Feed - Hog Starter 18% Crumble), Livestock Feed - Swine Blend (1049 Hog Feed - Hog Grower Non Corn Non Soy BULK), Livestock Feed - Swine Blend (5005 Hog Feed - Hog Grower TOTE ), Livestock Feed - Swine Blend (5016 Hog Feed - Hog Starter 18% TOTE ), Livestock Feed - Swine Blend (5017 Hog Feed - Hog Lactation 13% TOTE ), Livestock Feed - Swine Blend (5027 Hog Feed - Hog Grower 16% TOTE), Livestock Feed - Swine Blend (5048 Hog Feed - Hog Grower Non Soy TOTE), Livestock Feed - Swine Blend (506 Hog Feed - Pig Starter 40#), Livestock Feed - Swine Blend (5060 Hog Feed - Green Star Farm Hog Grower TOTE), Livestock Feed - Swine Blend (5061 Hog Feed - Rick Hamilton Hog Grower TOTE), Livestock Feed - Swine Blend (5083 Hog Feed - Grower Covenant Pastures TOTE), Livestock Feed - Swine Blend (5090 Hog Feed - Grower Covenant Pastures TOTE), Livestock Feed - Swine Blend (5092 Hog Feed - Hog Grower TOTE), Livestock Feed - Swine Blend (516 Hog Feed - Finisher 40#), Livestock Feed - Swine Blend (5613 Hog Feed -  Grower Non Corn/Non Soy TOTE), Livestock Feed - Swine Blend (646 Hog Feed - Grower 40#), Livestock Feed - Swine Blend (655 Hog Feed - Gestation &amp; Lactation Hog Pellets 50#), Livestock Feed - Swine Blend (Hog Feed), Livestock Feed - Turkey Blend (4203 - Pitman Family Farms Turkey Grower 1 BULK), Livestock Feed - Turkey Blend (4205 - Pitman Family Farms Turkey Grower 3 BULK), Livestock Feed - Turkey Blend (4206 - Pitman Family Farms Turkey Finisher 1 BULK), Livestock Feed - Turkey Blend (4215 - Pitman Family Farms Starter BULK), Livestock Feed - Turkey Blend (5087 Poultry Feed - Turkey Starter 50# TOTE), Livestock Feed - Turkey Blend (796 Turkey Feed - Turkey/Gamebird Starter Crumbles 40#), Livestock Feed - Wheat (1402 - Whole Wheat, Ground), Livestock Feed - Wheat (186 - Whole Wheat 40#), Livestock Feed - Wheat (5943 - Whole Wheat TOTE ), Livestock Feed - Wheat Midds (Transload Wheat Millrun), Livestock Pellets - Dairy (#1009 Nuplen), Molasses Livestock Feed, Molasses Livestock Feed (1497 - Molasses), Molasses Livestock Feed (Molasses), Pumpkin Seeds, Rice Livestock Feed (1499 - Rice Protein Concentrate), Rice Livestock Feed (Rice - Grinding), Soybean Oil Livestock Feed (1451 - Soybean Oil), Sugar, Supplements Livestock Feed (1012 Dairy Feed - Shamrock Dairy Milk Cow Mineral), Toll Processing (Soybeans Meal &amp; Oil (1510 &amp; 1509)), Wheat Millrun Livestock Feed (1496 - Wheat Millrun), Wheat Millrun Livestock Feed (4006 - Wheat Millrun), Wheat Millrun Livestock Feed (5842 - Wheat Millrun TOTE)</t>
  </si>
  <si>
    <t>Other: Alfalfa, Barley, Calf Starter Pellets 20%, Corn shell and meal, Custom Grain Mixing, Dairy Pellets 10%, Dairy Pellets 12%, Dairy Pellets 14%, Dairy Pellets 16%, Dairy Pellets 18%, Heifer Pellets 16%, Layer Mash 17%, LinPro-R, Morrison's Yeast Blend, Organic 18% grower mash, Organic 18% grower pellets/crumble, Organic Layer Pellets, Organic Pig Pellets 15%, Organic Pre-Fresh, Organic Scratch Feed, Organic Sheep Pellets 16%, Poultry Grower Pellets/Crumbles 21%, Poultry Grower/Crumbles 18%, Poultry Starter/Grower 21% Mash, Roasted Soybean Meal, Soybean Meal, Soybean Oil, Soybeans, Soy-Free Grower Mash 18%, Soy-Free Layer Pellets 16%, Turkey Starter Mash 28%, Wheat midds</t>
  </si>
  <si>
    <t>Dairy: Cheese (Augusta Cheese), Cheese (Blondie Raw Milk Cheese), Cheese (Blondie Raw Milk Cheese, Smoked), Cheese (Cambridge Cheese), Cheese (Cambridge Cheese, Smoked), Cheese (Charleston Cheese), Cheese (Charleston Cheese, Smoked), Cheese (Frankford Raw Milk Cheese), Cheese (Greenfields Cheese), Cheese (Greenfields Cheese, Smoked), Cheese (Jersey Raw Milk Cheese), Cheese (Jersey Raw Milk Cheese, Smoked), Cheese (Kingwood Cheese), Cheese (Mountain Raw Milk Cheese), Milk (Chocolate Milk), Milk (Mocha Milk), Milk (Strawberry Milk), Milk (Whole Milk), Whey; Other: Labeling Cheese and Bottled Milk, Packaging Cheese and Bottling Milk, Processing Cheese and Milk</t>
  </si>
  <si>
    <t>Animal Feed: Livestock Feed (10% Organic Dairy Complete), Livestock Feed (12% Organic Calf Grower), Livestock Feed (12% Organic Dairy Complete), Livestock Feed (13% Organic Gestating Sow Feed), Livestock Feed (14% Organic Dairy Complete), Livestock Feed (14% Organic Swine Feed), Livestock Feed (15% Organic Lactating Sow Feed), Livestock Feed (15% Organic Poultry Layer), Livestock Feed (15.5% Organic Poultry Layer), Livestock Feed (16% Organic Calf Starter), Livestock Feed (16% Organic Layer Complete), Livestock Feed (16% Organic Poultry Layer), Livestock Feed (16% Organic Swine Feed), Livestock Feed (16% Soy Free Organic Broiler), Livestock Feed (16.5% Organic Poultry Layer), Livestock Feed (17% Organic Poultry Layer), Livestock Feed (17% Organic Pullet Grower), Livestock Feed (17% Organic Turkey Finisher), Livestock Feed (17% Soy Free Organic Layer), Livestock Feed (17.5% Organic Poultry Layer), Livestock Feed (18% Organic Dairy Complete), Livestock Feed (18% Organic Poultry Broiler), Livestock Feed (18% Organic Poultry Layer), Livestock Feed (18.5% Organic Poultry Layer), Livestock Feed (19% Organic Poultry Layer), Livestock Feed (19% Soy Free Organic Broiler), Livestock Feed (20% Organic Poultry Broiler), Livestock Feed (20% Organic Pullet Grower), Livestock Feed (21% Organic Turkey Grower), Livestock Feed (22% Organic Poultry Broiler), Livestock Feed (25% Organic Turkey Starter), Livestock Feed (Calf Starter Premix with Apex), Livestock Feed (Corn), Livestock Feed (Custom Livestock Feed), Livestock Feed (Custom Mineral Mixes), Livestock Feed (Dry Cow Grazer Mineral), Livestock Feed (Dry Cow Mineral with Redmond Salt), Livestock Feed (Heaven's Dew Organic Chick Starter), Livestock Feed (Heaven's Dew Organic Layer Complete), Livestock Feed (Heaven's Dew Organic Pig 15% Grower), Livestock Feed (Heifer Complete), Livestock Feed (Heifer Mineral 1:5:1), Livestock Feed (Kelp Meal for Animals), Livestock Feed (Molasses), Livestock Feed (Oats), Livestock Feed (Organic Cane Sugar), Livestock Feed (Organic Dehydrated Alfalfa Meal), Livestock Feed (Organic Okara), Livestock Feed (Roasted Soybeans), Livestock Feed (Soybean Meal), Livestock Feed (SR65 Sey Bov Garlic Blend), Livestock Feed (Yoder Lactating Dairy Mineral); Other: Bagging livestock feeds and minerals, including custom mixes, Labeling livestock feeds and minerals, including custom mixes, Mixing livestock feeds and minerals, including custom mixes</t>
  </si>
  <si>
    <t>Beverage Related Products: Carbonated Coconut Water / Sparkling Coconut Water, Coconut Smoothie, Coconut Water / Pure Coconut Water, Coconut Water With Chia, Coconut Water With Pulp, Non-Dairy Milk (Coconut Milk), Non-Dairy Milk (Oats &amp; Coconut Milk)</t>
  </si>
  <si>
    <t>Dairy: Butter (Tin Star Foods: Ghee Clarified Butter); Beverage Related Products: Mixed Drinks (Williams Sonoma: Yuza Mandarin Cocktail Mix)</t>
  </si>
  <si>
    <t>Dairy: Buttermilk, Buttermilk (bulk nonretail), Cheese (Whole Milk Ricotta Cheese (retail and bulk)), Cream (Heavy Cream), Cream (Heavy Cream (bulk)), Half &amp; Half, Milk (Low Fat Buttermilk), Milk (Reduced Fat Milk (2% Milkfat)), Milk (Reduced Fat Milk (2% Milkfat) (bulk)), Milk (Skim Milk), Milk (Whole Milk), Milk (Creamline Milk), Milk (Fat Free Milk), Milk (Raw Milk (bulk)), Milk (Reduced Fat Milk (2% Milkfat)), Milk (Whole Milk); Beverage Related Products: Blueberry Acai Prebiotic and Probiotic Juice Drink, Holiday Oatmilk Nog, Mango Prebiotic and Probiotic Juice Drink, Non-Dairy Milk (Oat Base (bulk)), Non-Dairy Milk (Oat Creamer Barista Blend), Non-Dairy Milk (Oat Milk), Non-Dairy Milk (Oat Milk, Vanilla), Non-Dairy Milk (Oatmilk Creamer Brown Sugar), Non-Dairy Milk (Original Oatmilk), Non-Dairy Milk (Original Oatmilk Creamer), Non-Dairy Milk (Tres Leches Oatmilk Creamer), Non-Dairy Milk (Vanilla Oatmilk), Oat Nog, Pomegranate Blackberry Prebiotic and Probiotic Juice Drink, Raspberry Blackberry Prebiotic and Probiotic Juice Drink, Strawberry Banana Prebiotic and Probiotic Juice Drink</t>
  </si>
  <si>
    <t>Dairy: Milk (RAW MILK); Animal Feed: Livestock Feed (CERTIFIED TO STORE LIVESTOCK FEED)</t>
  </si>
  <si>
    <t>Other Grains, Pastas and Cereals: Flours and Meals (Whole Grains or Seeds: Popped Sorghum - Organic Ghee Butter), Flours and Meals (Whole Grains or Seeds: Organic Popped Sorghum - Coconut Oil &amp; Pink Himalayan Sea Salt), Flours and Meals (Whole Grains or Seeds: DIY Popping Sorghum), Flours and Meals (Whole Grains or Seeds: DIY Black Popping Sorghum), Flours and Meals (Whole Grains or Seeds: Popped Sorghum - Organic Brown Butter Caramel with ghee butter and honey); Dairy: Butter (Butter: Georgetown Pantry Supply - Grass-Fed Ghee), Butter (Butter: Urban Gita Ghee)</t>
  </si>
  <si>
    <t>Other: A2 Milk Infant Formula Milk Based Powder with Iron - 31902, 41902 (11901), Complete Nutrition Infant Formula Milk Based Powder with Iron - 31900 (11900), 41910, Dairy Toddler Formula 22900, 33900, 43900, Dairy Vanilla Beverage Mix 88101, Dairy with DHA/ARA Toddler Formula 22902, Dairy with Whey Toddler Drink 22927, 33927, Gentle Infant Formula with Iron - Milk Based Powder 31902, 41902 (11901), Gentle Infant Formula with Iron - Milk Based Powder 46460, 51679, Gentle Infant Formula with Iron - Milk Based Powder RD11903, Goat Milk with DHA/ARA Toddler Drink 22500, Goat Milk with DHA/ARA Toddler Formula 22500, Infant Formula Milk Based Powder with Iron - 44260, 44262, 44263, Infant Formula with Iron - Milk Based Powder RD11900, Infant Formula with Iron - Whole Milk Based Powder RD11902, Milk Based Powder Formula 60600, Oat with Pea Protein Cereal 36002, Pea Protein Vanilla Beverage Mix 88123, Plant Based Pea Protein Toddler Drink 53980, Plant Based Pea Protein Toddler Formula 53980, Plant Based Powder 60001, Plant Based Powder 60003 -Vanilla, Plant Based Powder 60005, Base Powder for Cereal, Premium Infant Formula with Iron - Milk Based Powder 31900, 11900, 41900, Premium Infant Formula with Iron - Milk Based Powder 45854, Probiotic Drops PROB 1227, Sensitive Toddler Drink 22903 (22913), Sensitive with DHA/ARA Toddler Formula 22903 (22913), Vitamin D Drops PROB 1226, Whey Dairy Toddler Formula 22927, 33927, Whey Dairy with DHA/ARA Toddler Formula 22928, Whole Milk Infant Formula Milk Based Powder with Iron - 84702, 84703, 84704</t>
  </si>
  <si>
    <t>Other: Buckwheat (Buckwheat- Retail Products), Cheese (Cheese-Various Retail Products), Coconut Oil, Condiment (Condiments-Various Retail Products), Cornmeal (Cornmeal - Products), Dairy (Dairy-Various Retail Products), Dairy (Dairy-Various Retail Products), Dried Fruits (Dried Fruit-Various Retail Products), Export Services (Client Profile Products only), Extracts (Almond Extract-Retail), Extracts (Vanilla Extract-Retail), Flax Seed, Flour (Gluten Wheat Flour), Flour (Malted All Purpose Flour), Flour (Wheat Flour), Frozen Fruits (Frozen Fruit-Various Retail Products), Ice Cream (Ice Cream-Various Retail Products), Juice (Juice-Various Retail Products), Maple Syrup (Maple Products- Various Retail Products), Millet, Nut Butter (Nut Butter-Various Retail Products), Nuts (Nuts-Various Retail Products), Nuts (Nuts-Various Retail Products), Oils (Oil-Safflower Retail), Oils (RBDW Expeller Oleic Safflower Oil (Non-Retail)), Olive Oil, Packaged Meats (Beef-Various Retail Products), Packaged Meats (Pork-Various Retail Products), Pasta Sauce (Pasta Sauce-Various Retail Products), Poultry (Poultry Meat-Various Retail Products), Pumpkin Seed (Kernels), Sauce (Dessert Sauces-Various Retail Products), Sesame Oil, Snack Foods (Candy- Various Retail Products), Spices (Spices-Various Retail Products), Spices (Spices-Various Retail Products), Sunflower Oil, Sunflower Seed (Kernels), Tomato Products (Pasta Sauces-Various Retail Products), Trader (Client Profile Products only) (Products Previously Packaged by Certified Vendors), Vegetables (Frozen) (Frozen Vegetables-Various Retail Products), Vinegar (Apple Cider) (Apple Cider Vinegar-Various Retail Products)</t>
  </si>
  <si>
    <t>Eggs: Eggs (Pasture Fresh Organic Pasture Raised Eggs 12 Pack, Organic Proud Organic Pasture Raised Eggs 12 Pack, Petaluma Pastures Organic Pasture Raised Eggs 12 Pack, Clover Sonoma Organic Pasture Raised Eggs 6 &amp; 12 Packs)</t>
  </si>
  <si>
    <t>Other: Agave syrup, Agave syrup amaretto flavor, Agave syrup cinammon capuccino flavor, Agave syrup hazelnut flavor, Agave syrup irish cream flavor, Agave syrup maple flavor, Agave syrup raspberry flavor, Agave syrup vanilla flavor, Amaranth cereal chocolate caramel flavor, Amaranth cereal hazelnut flavor, Amaranth cereal matcha flavor, Amaranth flour, berries Spread, Blackberry chipotle spread, Blackberry frozen dairy dessert, Blackberry frozen dairy dessert bar, Blackberry spread, Blue corn cereal cherry chocolate flavor, Blue corn cereal roasted coconut flavor, Blue Corn Flour, Blue corn snack gingerbread flavor, Chia seed, Coconut frozen dairy dessert, Coconut frozen dairy dessert bar, Corn Snack cheddar cheese flavor, Corn Snack cheddar cheese with jalapeño flavor, Corn Snack peanut butter flavor, Corn Snack peanut butter flavor, Corn Snack tamarind chili flavor, corn, quinua, amaranth cereal apple cinnamon flavor, corn, quinua, amaranth with honey and vanilla flavor, Fig frozen dairy dessert, Fig frozen dairy dessert bar, Fig spread, Fructans Mixture (Bazinde), Fruit flavor corn and rice cereal, Fruit flavor corn cereal, Hibiscus frozen dessert, Hibiscus ice pop, Lime and chia frozen dessert, Lime and chia ice pop, Lime frozen dessert, Lime ice pop, Maguey syrup, Mango chile spread, Mango frozen dairy dessert, Mango frozen dessert, Mango ice pop, Mango spread, MILK POWDER, Organic agave fructans in powder and liquid, Organic sweetener, Puffed amaranth, Puffed quinua, Quinua flour, Strawberry and chia frozen dessert, Strawberry and chia spread, Strawberry frozen dairy dessert, Strawberry frozen dairy dessert, Strawberry frozen dessert, Strawberry ice pop, Strawberry ice pop, Strawberry spread, Vanilla frozen dairy dessert, Vanilla frozen dairy dessert bar, WHITE CORN, YELLOW CORN, Yellow Corn Flour</t>
  </si>
  <si>
    <t>Other: Alfalfa Meal (non-retail), Corn, Fine Ground (non-retail), Devenish Organic Layer (Bulk), Devenish Organic Layer Basemix 1 (non-retail), Devenish Organic Layer Basemix 1- with Limestone (non-retail), Devenish Organic Layer Basemix 2 (non-retail), Devenish Organic Layer Basemix 2- with Limestone (non-retail), Devenish Organic Layer Basemix 3 (non-retail), Devenish Organic Layer Basemix 3- with Limestone (non-retail), Devenish Organic Layer Basemix 4 (non-retail), Devenish Organic Layer Basemix 4- with Limestone(non-retail), Devenish Organic Layer Basemix 5 (non-retail), Devenish Organic Layer Basemix 5- with Limestone (non-retail), Devenish Organic Prelay (non-retail), Devenish Organic Pullet Grower (13-15+) (non-retail), Devenish Organic Pullet Grower (6-12 wk) (non-retail), Devenish Organic Pullet Prestarter (1-3 wk) (non-retail), Devenish Organic Pullet Starter (3-6 wk) (non-retail), Expeller Meal 44% (non-retail), Fairfield Organic Final Layer (non-retail), Fairfield Organic Layer 1000 (non-retail), Fairfield Organic Layer 1025 (non-retail), Fairfield Organic Layer 1050 (non-retail), Fairfield Organic Layer 1075 (non-retail), Fairfield Organic Layer 1100 (non-retail), Fairfield Organic Layer 775 (non-retail), Fairfield Organic Layer 800 (non-retail), Fairfield Organic Layer 825 (non-retail), Fairfield Organic Layer 850 (non-retail), Fairfield Organic Layer 875 (non-retail), Fairfield Organic Layer 900 (non-retail), Fairfield Organic Layer 925 (non-retail), Fairfield Organic Layer 950 (non-retail), Fairfield Organic Layer 975 (non-retail), Fairfield Organic Layer Molt 1 (non-retail), Fairfield Organic Layer Molt 2 (non-retail), Fairfield Organic Layer Molt 3 (non-retail), Fairfield Organic Layer PreMolt (non-retail), Fairfield Organic Layer Pullet Developer (non-retail), Fairfield Organic Pullet Grower 1 (non-retail), Fairfield Organic Pullet Grower 2 (non-retail), Fairfield Organic Pullet Prelay (non-retail), Fairfield Organic Pullet Prestarter (non-retail), Fairfield Organic Pullet Starter (non-retail), Livestock Feed, Custom (non-retail), Organic Layer Mash (Retail), Soybean Oil (non-retail), Specialty Dairy Mineral (Retail), Specialty Dry Cow Mineral (Retail)</t>
  </si>
  <si>
    <t>Other: Beef cattle: retail meat cuts, Maple Syrup</t>
  </si>
  <si>
    <t>Other: Alfalfa Meal Alfalfa Pellets Barley Broiler Broiler No Corn Calf Feed Cattle Finisher Pellets Cattle Grower Pellets Cattle Maintenance Feed Corn Free Layer Corn Free Swine 12% Corn Free Swine 16% Corn Free Turkey Grower Corn Free Turkey Starter Corn Unmilled Cracked Corn Craft Green Blend Classic Layer Pellets Craft Green Blend Gamebird Crumbles Craft Green Blend Layer Classic Layer Crumbles Craft Green Blend No Corn Layer Pellets Dairy Cattle Feed Duck Grower Duck Layer Elite Competitor Flax Seed Flock Perfect Healthy Herbs Goat Goat Pellets Healthy Minerals Cattle Goats Horses Healthy Minerals Sheep House Blend Red No. 8 Grower Crumbles House Blend Red No. 8 Grower Pellets House Blend Red No. 8 Layer Crumbles House Blend Red No. 8 Layer Pellets House Blend Red No. 8 Scratch House Blend Red No. 8 Starter Crumbles Layer Llama &amp; Alpaca Low Startch horse Feed Loyalty Senior Millet Milo Oats Organic Olice Oil Broiler Organic Olive Oil Layer Organic Olive Oil Starter Pasture Perfect Grumble Pasture Perfect Layer Pasture Perfect Starter Peas Cracked Peas Unmilled Preformance Horse Rabbit Pellets Scratch Sean Short Custom ALL Flock Sesame Meal Sheep Feed Starter Starter Crumble Starter No Corn Sunflower Meal Swine 12% Swine 16% Thorvin - PWAS Organic Dried Kelp (private label) Thorvin Icelandic Geothermal ASCO Kelp Granules Thorvin Natures Kelp Meal Turkey Grower Turkey Starter Unmilled Classic Layer Wheat Wheat Free Layer Poultry Feed - Soy Free Grower/Broiler Poultry Feed - Soy Free Layer</t>
  </si>
  <si>
    <t>Other: Alfalfa Meal Alfalfa Pellets Barley Broiler Broiler No Corn Calf Feed Cattle Finisher Pellets Cattle Grower Pellets Cattle Maintenance Feed Corn Free Layer Corn Free Swine 12% Corn Free Swine 16% Corn Free Turkey Grower Corn Free Turkey Starter Corn Unmilled Cracked Corn Craft Green Blend Classic Layer Pellets Craft Green Blend Gamebird Crumbles Craft Green Blend Layer Classic Layer Crumbles Craft Green Blend No Corn Layer Pellets Dairy Cattle Feed Duck Grower Duck Layer Elite Competitor Flax Seed Flock Perfect Healthy Herbs Goat Goat Pellets Healthy Minerals Cattle Goats Horses Healthy Minerals Sheep House Blend Red No. 8 Grower Crumbles House Blend Red No. 8 Grower Pellets House Blend Red No. 8 Layer Crumbles House Blend Red No. 8 Layer Pellets House Blend Red No. 8 Scratch House Blend Red No. 8 Starter Crumbles Layer Llama &amp; Alpaca Low Startch horse Feed Loyalty Senior Millet Milo Oats Organic Olice Oil Broiler Organic Olive Oil Layer Organic Olive Oil Starter Pasture Perfect Grumble Pasture Perfect Layer Pasture Perfect Starter Peas Cracked Peas Unmilled Preformance Horse Rabbit Pellets Scratch Sean Short Custom ALL Flock Sesame Meal Sheep Feed Starter Starter Crumble Starter No Corn Sunflower Meal Swine 12% Swine 16% Thorvin - PWAS Organic Dried Kelp (private label) Thorvin Icelandic Geothermal ASCO Kelp Granules Thorvin Natures Kelp Meal Turkey Grower Turkey Starter Unmilled Classic Layer Wheat Wheat Free Layer</t>
  </si>
  <si>
    <t>Other: Dairy Cows, Heifers</t>
  </si>
  <si>
    <t>Other Grains, Pastas and Cereals: Oats; Dry/Baking Goods: Baking Mixes, Baking Mixes, Baking Mixes, Baking Mixes, Baking Mixes, Baking Mixes, Baking Mixes, Flours and Meals, Flours and Meals; Dairy: Organic Milk Powder</t>
  </si>
  <si>
    <t>Dairy: Blueberry &amp; Lavender Skyr, Lemon &amp; Elderflower Skyr, Mixed Berry &amp; Acai Nonfat Skyr, Mixed Berry &amp; Acai Whole Milk Skyr, Organic Bulk Cream, Plain Non-fat Skyr, Pumpkin Spice Whole Milk Skyr, Raspberry Whole Milk Skyr, Strawberry and Rhubarb Skyr, Vanilla Nonfat Skyr, Vanilla Whole Milk Skyr, Whole Milk Black Currant &amp; Orange Skyr, Whole Milk Plain Skyr, Whole Milk Raspberry &amp; Rosewater Skyr</t>
  </si>
  <si>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Extracts (Grape Seed Extract),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Slippery Elm Bark (Powder),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Wheat (Vital Wheat Gluten), Wheat (Wheat Bran), Whey (Whey Protein Powder, Protein Concentrate Powder, Protein Concentrate 80% Powder, Liquid Whey, Liquid Whey Protein)</t>
  </si>
  <si>
    <t>Other: Chocolate (72% Dark Chocolate), Chocolate (80% Dark Chocolate), Chocolate (Almond Butter Chocolate), Chocolate (Dark Chocolate with Hazelnut), Chocolate (Dark Chocolate with Salted Almond), Chocolate (Dark Chocolate with Sea Salt), Chocolate (Milk Chocolate), Chocolate (Milk Chocolate with Salted Almond), Chocolate (Milk Chocolate with Salted Caramel), Ingredient (Allulose), Ingredient (Almonds, Roasted), Ingredient (Almonds, Roasted Salted), Ingredient (Bulk Chocolate, 72% Dark Chocolate ), Ingredient (Bulk Chocolate, 80% Dark Chocolate), Ingredient (Bulk Chocolate, Almond Butter Chocolate), Ingredient (Bulk Chocolate, Milk Chocolate), Ingredient (Butter (Dairy)), Ingredient (Cacao Beans), Ingredient (Cacao Butter), Ingredient (Erythritol ), Ingredient (Hazelnuts, Whole Roasted), Ingredient (Inulin Powder (Agave)), Ingredient (Inulin Powder (Chicory)), Ingredient (Milk Powder, Whole), Ingredient (Milk Protein Concentrate), Ingredient (Natural Almond Type Flavor), Ingredient (Stevia Extract), Ingredient (Sunflower Lecithin, Liquid), Ingredient (Vanilla Powder), Sweetener (Confectionery Sweet Mix (non-retail))</t>
  </si>
  <si>
    <t>Dairy: Butter (Salted Butter), Butter (Unsalted Butter), Cheese (Cottage Cheese), Cheese (A2 Grassfed Organic Colby Jack Cheese), Cheese (A2 Grassfed Organic Raw Medium Cheddar Cheese), Cheese (Aged Cheddar), Cheese (Baby Swiss), Cheese (Smoked Cheddar), Cheese (Smoked Cheddar), Cheese (Smoked Gouda), Cheese (Smoked Gouda), Cheese (Smoked Gouda Cheese), Cheese (Swiss), Cheese (Havarti), Cheese (Havarti Cheese), Cheese (Cheddar), Cheese (Chile Jack), Cheese (Chili Jack Cheese), Cheese (Classic Jack), Cheese (Classic Jack Cheese), Cheese (Extra Sharp Cheddar), Cheese (Extra Sharp Raw Cheddar), Cheese (Farmer's Cheese), Cheese (Gouda), Cheese (Gouda), Cheese (Gouda Cheese), Cheese (Low Moisture Part Skim Mozzarella Cheese), Cheese (Medium Cheddar), Cheese (Mild Cheddar), Cheese (Monterey Jack), Cheese (Monterey Jack Cheese), Cheese (Mozzarella), Cheese (Mozzarella Cheese), Cheese (Mozzarella Cheese), Cheese (Muenster), Cheese (Pepper Jack Cheese), Cheese (Raw Aged Medium Cheddar Cheese), Cheese (Raw Aged Mild Cheddar Cheese), Cheese (Raw Aged Sharp Cheddar Cheese), Cheese (Raw Milk Chesapeake Pepper Cheese), Cheese (Raw Milk Chesapeake Pepper Cheese), Cheese (Raw Milk Colby Cheese), Cheese (Raw Milk Colby Cheese), Cheese (Raw Milk Garlic &amp; Chives Cheddar Cheese), Cheese (Raw Milk Garlic &amp; Chives Cheddar Cheese), Cheese (Raw Milk Gouda Cheese), Cheese (Raw Milk Gouda Cheese), Cheese (Raw Milk Mild Cheddar Cheese), Cheese (Raw Milk Sharp Cheddar Cheese), Cheese (Raw Milk Sharp Cheddar Cheese), Cheese (Raw Milk Smoked Cheddar Cheese), Cheese (Raw Milk Smoked Cheddar Cheese), Cheese (Raw Milk Swiss Cheese), Cheese (Raw Milk Swiss Cheese), Cheese (Raw Smoked Cheddar Cheese), Cheese (Sharp Cheddar), Chocolate Milk, Cream, Cream (Heavy Whipping Cream), Cream (Cream), Cultured Buttermilk, Half &amp; Half, Half and Half, Milk (Organic A2 Homogenized Whole Milk), Milk (Skim Milk), Milk (1% Low Fat Milk), Milk (1% Milk), Milk (2% Milk), Milk (Chocolate Milk), Milk (Half and Half), Milk (Heavy Cream), Milk (Pasteurized Milk), Milk (Raw Milk (Bulk)), Milk (Skim Milk), Milk (Whole Milk), Milk (Whole Milk), Milk (Buttermilk), Milk (A2 Raw Milk), Nonfat Buttermilk, Organic Cultured Buttermilk, Sour Cream (Sour Cream)</t>
  </si>
  <si>
    <t>Processed  Items: Butter (Coconut Butter (Creamed Coconut)), Coconut Amino Sauce, Jam (Coconut Spread (Recipe 02)), Jam (Coconut Spread (Recipe 01)), Non-Dairy Milk (Coconut cream*), Non-Dairy Milk (Coconut Cream 24% Aseptic (Single)*), Non-Dairy Milk (Coconut Cream 32% Aseptic*), Non-Dairy Milk (Coconut milk), Non-Dairy Milk (Coconut Milk 17% Aseptic (Single)*), Non-Dairy Milk (Coconut Skimmed Milk (Aseptic)*); Oils &amp; Oleoresins: Oils (Coconut oil - LCT), Oils (Coconut oil - MCT), Oils (Coconut oil (RBD)*), Oils (Coconut Popping Oil (Recipe 01)), Oils (Coconut Popping Oil (Recipe 02)), Oils (Virgin coconut oil), Oils (Crude coconut oil), Oils (Liquid coconut oil), Oils (Liquid Coconut Oil (Recipe 01)), Oils (Liquid Coconut Oil (Recipe 02)), Oils (Liquid Coconut Oil (Recipe 03)); Nuts/Seeds: Coconuts; Condiments and Sweeteners: Coconut Sap Amino Sauce, Sugar (Coconut Sugar (single ingredient)*), Syrups (Coconut Syrup), Vinegar (Coconut Sap Vinegar (Multi- Ingredient)), Vinegar (Coconut Cider Vinegar); Animal Feed: Fodder (Copra meal); Other: Copra</t>
  </si>
  <si>
    <t>Other: Blend (A2/A2 Whole Milk Smoothie - Banana Crème), Blend (A2/A2 Whole Milk Smoothie - Strawberry Crème), Blend (A2/A2 Whole Milk Smoothie - Triple Berry), Blend (Advanced Nutrition - Ancient Grains &amp; Greens), Blend (Advanced Nutrition - Ancient Grains &amp; Greens/Power Bowl (4 pack)), Blend (Advanced Nutrition - Cauliflower Fields), Blend (Advanced Nutrition - Cauliflower Fields/Oats &amp; Roots (4 pack)), Blend (Advanced Nutrition - Oats &amp; Roots), Blend (Advanced Nutrition - Power Bowl), Blend (Apple Blend 4-pack - Apple &amp; Sweet Potato + Apple &amp; Blueberry), Blend (Apple Cinnamon Applesauce), Blend (Apple Strawberry Applesauce), Blend (Baby Fruit &amp; Veggie Blend - Apple &amp; Sweet Potato), Blend (Baby Fruit &amp; Veggie Blend - Apple, Banana &amp; Kale (with Flax Seed)), Blend (Baby Fruit &amp; Veggie Blend - Apple, Carrot, Beet &amp; Ginger), Blend (Baby Fruit &amp; Veggie Blend - Apple, Sweet Potato, Blueberry &amp; Coconut Milk), Blend (Baby Fruit &amp; Veggie Blend - Pear, Apple, Cranberry &amp; Beet),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Coconut Yogurt Alternative - Ba-nilla), Blend (Dairy-Free Coconut Yogurt Alternative - Mixed Berry), Blend (Dairy-Free Coconut Yogurt Alternative - Strawberry Banana), Blend (Dairy-Free Smoothie - Berry Berry), Blend (Dairy-Free Smoothie - Berry Berry (4 pack)), Blend (Dairy-Free Smoothie - Coco for Mangoes), Blend (Dairy-Free Smoothie - Go Go Greens), Blend (Dairy-Free Smoothie - Peach Sunrise), Blend (Dairy-Free Smoothie - Strawberry Banana Swirl), Blend (Dairy-Free Smoothie - Strawberry Banana Swirl (4 pack)), Blend (Dairy-Free Smoothie - Tropical Twirl), Blend (Fruit &amp; Veggie Blend - Apple &amp; Sweet Potato), Blend (Fruit &amp; Veggie Blend - Apple, Banana &amp; Kale with Hemp Seed), Blend (Fruit &amp; Veggie Blend - Apple, Banana, Spinach &amp; Avocado), Blend (Fruit &amp; Veggie Blend - Apple, Sweet Potato, Blueberry &amp; Coconut Milk ), Blend (Fruit &amp; Veggie Blend - Blueberry Buckle  ), Blend (Fruit &amp; Veggie Blend - Cran-Berry Smash), Blend (Fruit &amp; Veggie Blend - Farmer Jen's Pumpkin Apple Pie), Blend (Fruit &amp; Veggie Blend - Farmer Jen's Pumpkin, Apple &amp; Carrot), Blend (Fruit &amp; Veggie Blend - Green Kale &amp; Apples), Blend (Fruit &amp; Veggie Blend - Mama Blueberry), Blend (Fruit &amp; Veggie Blend - Mango, Coconut &amp; Carrot), Blend (Fruit &amp; Veggie Blend - OhMyMega Veggie!), Blend (Fruit &amp; Veggie Blend - Peach, Mango, Apple &amp; Squash with Basil), Blend (Fruit &amp; Veggie Blend - Pineapple, Banana &amp; Kale with Flax Seeds), Blend (Fruit &amp; Veggie Blend - Pineapple, Banana, Apple, Avocado &amp; Mint), Blend (Fruit &amp; Veggie Blend - Pineapple, Banana, Avocado &amp; Mint), Blend (Fruit &amp; Veggie Blend - Strawberry Patch), Blend (Fruit &amp; Veggie Blend - Strawberry, Squash, Coconut &amp; Vanilla), Blend (Fruit &amp; Veggie Blend - Wild Rumpus Avocado), Blend (Fruit &amp; Veggie Blend Bowl - Apple, Banana &amp; Kale), Blend (Fruit &amp; Veggie Blend Bowl - Apple, Blueberry &amp; Sweet Potato), Blend (Fruit &amp; Veggie Blend Bowl - Apple, Strawberry &amp; Zucchini), Blend (Fruit &amp; Veggie Blend Bowl - Apple, Strawberry, Banana &amp; Beet), Blend (Fruit &amp; Veggie Blend Bowl - Pear, Carrot &amp; Mango), Blend (Fruit &amp; Veggie Blend Bowl - Pear, Pumpkin &amp; Mango), Blend (Fruit &amp; Veggie Blend Bowl - Pear, Squash &amp; Raspberry), Blend (Fruit &amp; Veggie Blend Bowl - Pear, Strawberry &amp; Carrot), Blend (Fruit Blend - Apple &amp; Blueberry), Blend (Fruit Blend - Mango), Blend (Fruit Blend - Pear with Ginger), Blend (Immunity Blend - Apple, Cherry &amp; Elderberry), Blend (Immunity Blend - Blueberry, Banana &amp; Ginger), Blend (Immunity Blend - Mango, Banana &amp; Spirulina), Blend (Immunity Blend - Pineapple, Banana &amp; Dragon Fruit), Blend (Oatmeal Blend - Apple), Blend (Oatmeal Blend - Banana), Blend (Oatmeal Blend - Pear &amp; Blueberry ), Blend (Overnight Oats - Apple &amp; Cinnamon), Blend (Overnight Oats - Blueberry), Blend (Overnight Oats - Strawberry), Blend (Smart Blend - 4 pack), Blend (Smart Blend - Bananas for Apples &amp; Greens), Blend (Smart Blend - Pear-y Blueberry &amp; Spinach), Blend (Smart Blend - Pine-Apple Berry Punch), Blend (Smart Blend - Ras-Pear-y Kale), Blend (Veggie Blend - Butternut Squash with Cinnamon), Blend (Whole Milk Smoothie - Banana Blueberry Blast), Blend (Whole Milk Smoothie - Mango Pear-adise), Blend (Whole Milk Smoothie - Orange Squeeze), Broker (Client Profile Products only) (Ingredients), Frozen Entrees (Meal Starters - Grains - Ancient Grain Bowl), Frozen Entrees (Meal Starters - Grains - Sweet Spinach &amp; Barley), Frozen Entrees (Meal Starters - Legumes - Cajun Beans), Frozen Entrees (Meal Starters - Legumes - Curried Carrot &amp; Beans), Frozen Entrees (Meal Starters - Legumes - Greens &amp; Beans), Frozen Entrees (Meal Starters - Legumes - Mexican Black Beans), Frozen Entrees (Meal Starters - Legumes - Mint to be Mediterranean), Frozen Entrees (Meal Starters - Legumes - Reds, Greens &amp; Black Beans), Frozen Entrees (Meal Starters - Legumes - Veggie Burrito Bowl), Frozen Entrees (Meal Starters - Veggies - Golden Cauliflower &amp; Carrot), Frozen Entrees (Meal Starters - Veggies - Mango &amp; Sweet Potato Medley), Frozen Entrees (Meal Starters - Veggies - Papaya Sunrise), Frozen Entrees (Meal Starters - Veggies - Peas Pass the Greens), Frozen Entrees (Meal Starters - Veggies - Ratatoulle), Frozen Entrees (Meal Starters - Veggies - Sofrito &amp; Cauliflower), Frozen Entrees (Meal Starters - Veggies - Veggie Pot Pie), Frozen Entrees (Oatmeal &amp; Fruit - Banana Berry Acai), Frozen Entrees (Oatmeal &amp; Fruit - Mixed Berry Crumble), Frozen Entrees (Pasta Meals - Cauli-fredo &amp; Spinach), Frozen Entrees (Pasta Meals - Pomodoro), Ingredient (Acai Powder), Ingredient (Agave Inulin), Ingredient (Apple), Ingredient (Apple Flake Powder), Ingredient (Apple Gel Pieces), Ingredient (Apple Puree), Ingredient (Apple, Diced), Ingredient (Apple, Green), Ingredient (Avocado IQF), Ingredient (Avocado Oil), Ingredient (Banana IQF), Ingredient (Banana Paste), Ingredient (Banana Powder, Freeze Dried), Ingredient (Banana Puree), Ingredient (Banana Puree, No Acid Aseptic), Ingredient (Banana with Lime IQF), Ingredient (Barley, Hulled), Ingredient (Basil IQF), Ingredient (Beet IQF), Ingredient (Black Beans Cooked IQF), Ingredient (Blueberry IQF), Ingredient (Blueberry Powder), Ingredient (Blueberry Puree, Frozen), Ingredient (Broccoli IQF), Ingredient (Butternut Squash IQF), Ingredient (Cacoa Liquor FT), Ingredient (Cardamom Powder), Ingredient (Carrot IQF), Ingredient (Cauliflower IQF), Ingredient (Cherries Dark Sweet IQF), Ingredient (Chia Seeds, White), Ingredient (Chlorella Powder), Ingredient (Cilantro IQF), Ingredient (Cinnamon, Ground), Ingredient (Cocoa Butter), Ingredient (Cocoa Liquor), Ingredient (Coconut Butter), Ingredient (Coconut Cream, Aseptic), Ingredient (Coconut Oil), Ingredient (Cranberry IQF), Ingredient (Cranberry Seed Oil), Ingredient (Cumin, Ground), Ingredient (Date Paste, Deglet), Ingredient (Date Powder), Ingredient (Dates), Ingredient (Eggplant IQF), Ingredient (Elderberry Powder), Ingredient (Flax Seed), Ingredient (Garlic Powder), Ingredient (Garlic, Diced), Ingredient (Ginger Powder), Ingredient (Green Bell Pepper), Ingredient (Hemp Seed), Ingredient (Kale IQF), Ingredient (Kale Powder), Ingredient (Lemon Extract), Ingredient (Lemon Juice), Ingredient (Lemon Juice Powder Spray Dried), Ingredient (Lucuma Powder), Ingredient (Mango IQF), Ingredient (Mango Powder, Freeze Dried), Ingredient (Mango, Diced IQF), Ingredient (Milk Protein Concentrate), Ingredient (Milled Flax Seed, Brown), Ingredient (Mint IQF), Ingredient (Moringa Leaf Powder), Ingredient (Navy Bean, Cooked IQF), Ingredient (Nutmeg), Ingredient (Oats, Quick Flakes Gluten-Free), Ingredient (Oats, Rolled Gluten-Free), Ingredient (Olive Oil, Extra Virgin), Ingredient (Onion Powder), Ingredient (Orange Juice, NFC Pasteurized), Ingredient (Papaya IQF), Ingredient (Pasta, Wheat Elbow IQF), Ingredient (Peach Puree, Frozen), Ingredient (Pear), Ingredient (Pear Purree), Ingredient (Peas IQF), Ingredient (Pepper, Black Ground), Ingredient (Pepper, Red Bell IQF), Ingredient (Pineapple IQF), Ingredient (Pitaya IQF), Ingredient (Psyllium Husk Powder), Ingredient (Pumpkin Puree, Golden Delicious, Frozen), Ingredient (Pumpkin Seed), Ingredient (Pumpkin Seed Butter, Roasted), Ingredient (Quinoa, White IQF), Ingredient (Raspberry IQF), Ingredient (Raspberry Powder), Ingredient (Rosemary), Ingredient (Sacha Inchi Oil), Ingredient (Sage, Ground), Ingredient (Smoked Paprika), Ingredient (Spinach IQF), Ingredient (Spirulina Powder, Green), Ingredient (Steel Cut Oats), Ingredient (Strawberry IQF), Ingredient (Strawberry Powder, Freeze Dried), Ingredient (Strawberry Puree, Frozen), Ingredient (Strawberry, Sliced IQF), Ingredient (Sunflower Lecithin), Ingredient (Sweet Potato IQF), Ingredient (Sweet Potato Powder, Dried), Ingredient (Sweet Potato Puree, Frozen), Ingredient (Sweet Potato, Diced IQF), Ingredient (Tomato, Diced IQF), Ingredient (Turmeric, Ground), Ingredient (Vanilla Pure Extract, 2-Fold Bourbon), Ingredient (Wheatgrass Powder), Ingredient (Whey Protein Concentrate), Ingredient (While Milk Dry Powder, Grassfed), Ingredient (White Onion IQF), Ingredient (Whole Milk Dry Powder, A2/A2), Ingredient (Zucchini, Green IQF)</t>
  </si>
  <si>
    <t>Oils &amp; Oleoresins: Cashew nut shell liquid (CNSL), Oils (Cashew nut oil); Nuts/Seeds: Cashew Nuts (Cashew nut kernels dry roasted), Cashew Nuts (Cashew nut kernels natural), Cashew Nuts (Cashew nut kernels oven roasted), Cashew Nuts (Cashew nut kernels oven roasted and salted), Cashew Nuts (Cashew nut kernels roasted), Cashew Nuts (Cashew nut kernels roasted and salted); Dry/Baking Goods: Flours and Meals (Natural cashew nut kernel flour), Flours and Meals (Roasted cashew nut kernel flour.); Dairy: Butter (Cashew butter; raw cashew butter), Butter (Roasted cashew butter; dry-roasted cashew butter)</t>
  </si>
  <si>
    <t>Other: Ice Cream - Chocolate, Chocolate Chip Cookie Dough, Chocolate Chocolate Chip, Chocolate N Vanilla, Cold Brew Coffee, Cookies N Cream, Creamy Eggnog, French Vanilla, Marionberry Swirl, Mint Chip, Orange Cream, Orange Sherbet, Peanut Butter, Pink Peppermint, Pumpkin Spice, Strawberry, Vanilla Chocolate Chip, Vanilla &amp; Chocolate Swirl, Ice Cream Bars - Chocolate Peanut Butter, Coffee &amp; Cream, Dairy Free Coffee Swirl, Dairy Free Dark Chocolate Almond, Dairy Free Chocolate Vanilla, Dairy Free Tropical Twist, Double Chocolate, Double Fudge, Fudge, Peppermint Twist, Root Beer Float, Salted Caramel, Strawberry Cream, Strawberry Lemonade, Vanilla Dark Chocolate, Vanilla Dark Chocolate Almond, Vanilla Fudge Swirl, Ice Cream Sandwiches - Chocolate Chip Round Sammies, Cinnamon Roll,  Dairy Free Caramel Drizzle Round Sammies, Dairy Free &amp; Gluten Free Vanilla Bean Round Sammies, Dairy Free Key Lime Round Sammies, Hot Cocoa Flavored, Mint Fudge, Old School Vanilla, Pumpkin, Seal Sat Caramel Mini Squares, Strawberry Round Sammies, Vanilla, Sorbet Bar - Blackberry, Limoncello, Mango, Margarita, Pina Colada, Strawberry, Yogurt Bar - Blueberry, Cherry Fudge Twist, Chocolate Fudge Twist,  Gingerbread, Mango, Salted Caramel Twist, Strawberry, Strawberry Twist, Vanilla Berry Twist, Mango Chamoy Twist, Thai Tea Swirl, Internal Base Mix, Maple Cream</t>
  </si>
  <si>
    <t>Nuts/Seeds: Cashew Nuts (Cashew butter (sweetened and unsweetened)), Cashew Nuts (Cashews); Fruits/Vegetables: Berries (Goji/nib mix), Berries (Gojiberries); Dry/Baking Goods: Cacao Nibs, Sugar (Coconut Sugar (PalmSweet)), Sugar (Agave Powder); Dairy: Icecream (Pistachio Gelato), Icecream (Chocolate Gelato), Icecream (Chocolate Hazelnut Gelato), Icecream (Mint Chip Gelato), Icecream (Strawberry Gelato), Icecream (Vanilla Gelato); Condiments and Sweeteners: Syrups (Agave Syrup (dark, light)), Syrups (Coconut Syrup Golden (PalmSweet)), Syrups (Dessert Syrups (Chocagave Bold roast, Chocagave Raw Cacao, Vanilla Agave)), Vegan White Coating; Chocolate Goods: Cacao Powder, Chocolate (Chocolate Bars, Bites, Blocks, Chips (54% cacao, 70% cacao, 85% cacao, 100% cacao, golden white, white chocolate, nut milk, raspberry chocolate, 70% date sugar)), Chocolate (Chocolate Chips)</t>
  </si>
  <si>
    <t>Other: #Processing, packaging, transloading, and labeling of single-ingredient organic feed products, premix, and feed blends -, Custom Feed Blends of organic livestock feed and supplements., Other Feed Blends: 15% Swine Finisher Mash/Pellets, 16% Swine Grower Mash/Pellets, 18% Swine Grower Mash/Pellets, Lactating Sow Mash/Pellets; Soy Free Swine Finisher Mash/Pellets, Soy Free Swine Grower Mash/Pellets, Rabbit Pellets, Soy Free Protein Premix (crumble/pellet);, Poultry Feed Blends: 16% Pastured Poultry Ration Layer Crumbles/Mash/Pellets (F-16), 20% Poultry Starter/Grower Crumble, 20% Pastured Poultry Crumbles/Mash (F-20), 20% Soy Free Broiler Crumbles/Mash, Organic Scratch, Peak Layer Crumbles/Mash/Pellets, Soy Free Layer Crumbles/Mash/Pellets, Soy Free Turkey Finisher Mash/Pellets, Soy Free Turkey Grower Mash/Pellets, Soy Free Turkey Starter Crumbles/Mash, Turkey Finisher Mash/Pellets, Turkey Grower Mash/Pellets, Turkey Starter Crumbles/Mash, Duck Layer Mash;, Ruminant Feed Blends: 12% Steer Ration Mash/Pellets, 16% Calf Grower Mash/Pellets, 18% Calf Starter Mash/Pellets, 18% Dairy Mash/Pellets, Soy Free Dairy Mash/Pellets, 14% Sheep Mash/Pellets, 16% Sheep Feed, 16% Goat Mash, Soy Free Goat Mash/Pellets;, Single Ingredient Products: alfalfa, barley, canola meal, canola oil, corn, field peas, flax seed, flax meal, millet, milo, molasses, oats, paprika, rice, sesame meal, sorghum, soybeans, soybean hulls, soybean meal, soybean oil, sunflower meal, wheat, wheat midds;</t>
  </si>
  <si>
    <t>Other: Brokering, Importing and Distribution of Packaged Organic Products, Cinnamon Powder previously pkgd by certified vendor, Cocoa Nibs previously pkgd by certified vendor, Cocoa Powder 20/22 Natural previously pkgd by certified vendor, Coconut Milk Powder previously pkgd by certified vendor, Coconut Sugar previously pkgd by certified vendor, DairyPro Sweet Whey Powder, DairyPro Whey Protein Concentrate 80 Instant (WPC 80), Davis Chocolate Peanutta Chips previously pkgd by certified vendor, Exporting of Organic Dairy Products, Ingredient Organic Matcha OR-EX previously pkgd by certified vendor, Kevala Coconut Aminos previously pkgd by certified vendor, Maltodextrin, 10 DE, Tapioca, Organic previously pkgd by certified vendor, Nonfat Dry Milk (NFDM) LH Grade A previously pkgd by certified vendor, Nutralys Pea Proteins previously pkgd by certified vendor, Organic Almond Protein 50% (OAP) previously pkgd by certified vendor, Rumiano Cheese Co. Organic Whey Protein Concentrate 80% previously pkgd by certified vendor, Rumiano Cheese Co. Unsalted Sweet Cream Organic Butter previously pkgd by certified vendor, Sour Cream Powder previously pkgd by certified vendor, Sovany Green Apple Sparkling Water previously pkgd by certified vendor, Sovany Raspberry Sparkling Water previously pkgd by certified vendor, Sovany Tangerine Sparkling Water previously pkgd by certified vendor, Soymilk Powder previously pkgd by certified vendor, Sweet Whey Powder previously pkgd by certified vendor, Whey Protein Concentrate 80 previously pkgd by certified vendor</t>
  </si>
  <si>
    <t>Other: 1012-E-O Organic Flavor, Sweetness Enhancer Type Natural Powder, 1047E-O Organic Flavor, Pea Protein Masker Natural Powder, 1050E-O Organic Flavor, Sugar Cane Type Natural Powder, 1083B-O Peanut Butter Natural WONF Flavor Powder, 1083E-O Organic Flavor, Strawberry Kiwi NW Powder, 1090B-O Dark Chocolate Natural WONF Flavor Powder, 1097B-O Vanilla Natural WONF Flavor Powder, 1099B-O Chocolate Natural WONF Flavor Powder, 1099C-O Blue Raspberry Type Natural Flavor, 1099E-O Organic Flavor, Milk Type Natural, 1118B-O Coconut Water Type Natural Flavor, 1187A-O Cinnamon Natural Flavor Powder, 1191B-O Mango Type Natural Flavor, 1218E-O Organic Flavor, Vanilla Bourbon Natural Powder, 1226C-O Chicken Type Natural Flavor Powder, 1239E-O Organic Flavor, Tangerine Natural, 1244E-O Organic Flavor, Strawberry Natural WONF, 1247E-O Organic Flavor, Lemonade NW, 1252E-O Organic Flavor, Orange Crush NW, 1263E-O Organic Flavor, Orange Crush NW, 1296E-O Organic Flavor, Blood Orange Type Natural Powder, 1308C-O Jalapeno (OS) Type Natural Flavor, 1325B-O Berry Natural WONF Flavor Powder, 1335C-O Organic Flavor, Masking Type Natural Powder, 1354C-O Vanilla Almond Type Natural Flavor Powder, 1363E-O Organic Flavor, Peanut Butter Natural WONF, 1363E-O Organic Flavor, Peanut Butter NW Powder, 1372A-O Cinnamon Natural Flavor Powder, 1426B-O Chocolate Natural WONF Flavor Powder, 1455B-O Coffee Natural WONF Flavor Powder, 1478E-O Flavor, Vanilla NW Powder, 1495E-O Flavor, Masker Natural Powder, 1504A-O Organic Flavor, Kiwi Type Natural, 1537A-O Mocha Cappuccino Natural WONF Flavor Powder, 1541B-O Strawberry Natural WONF Flavor Powder, 1583E-O ORGANIC FLV. TOASTED COCONUT TYPE NAT, 1594C-O Organic Flavor Green Apple Natural WONF, 1621E-O Flavor, Vanilla Mousse NW Powder, 1633B-O Strawberry Crème Natural WONF Flavor Powder, 1640B-O Citrus Natural Flavor WONF Powder, 1671B-O Coffee Natural WONF Flavor Powder, 1701B-O Coffee Natural WONF Flavor Powder, 1701C-O Jalapeno Type Natural Flavor Powder, 1702C-O Vanilla Bourbon Natural Flavor Powder, 1743C-O Vanilla Natural WONF Flavor Powder, 1746A-O Acai Type Natural Flavor, 1768B-O Apple Type Natural Flavor Powder, 1783C-O Vanilla Bean Extract Powder, 1785C-O Vanilla Bean Extract Powder, 1790B-O Chocolate Natural WONF Flavor Powder, 1808B-O Chocolate Natural WONF Flavor Powder, 1810B-O Chocolate Natural WONF Flavor Powder, 1811B-O Raspberry Type Natural Flavor Powder, 1835B-O Honey Type Natural Flavor, 1836C-O Apple Natural Flavor NW Powder, 1838C-O Orange Natural Flavor NW, 1879B-O Stevia Masker Natural Flavor Powder, 1893B-O Masking Type Natural Flavor Powder, 1913C-O Raspberry Natural WONF Flavor Powder, 1979B-O Matcha Tea Natural WONF Flavor Powder, 1980B-O Matcha Tea Natural WONF Flavor Powder, 1985B-O Chocolate Type Natural Flavor Powder, 2044B-O Caffeine Masker Naural Flavor Powder, 2047B-O Bourbon Vanilla Natural WONF Flavor Powder, 2048B-O Vanilla Ice Cream Type Natural Flavor, 2066B-O Milk Chocolate Type Natural Flavor Powder, 2068B-O Vanilla Custard Natural WONF Flavor Powder, 2074B-O Tea Type Natural Flavor Powder, 2110A-O Vanilla Type Natural Flavor Powder, 2124B-O Hazelnut Type Natural Flavor Powder, 2140A-O Ginger Natural Flavor, 2239B-O Vanilla Ice Cream Type Natural Flavor Powder, 2284B-O Strawberry Natural WONF Flavor Powder, 2298B-O Jasmine Type Natural Flavor, 2301B-O Cookies &amp; Crème Natural WONF Flavor Powder, 2329C-O Cooked Tomato Type Natural Flavor Powder, 2334B-O Vanilla Natural WONF Flavor Powder, 2335C-O Stevia Masker Natural Flavor GB Powder, 2342B-O Honey Type Natural Flavor Powder, 2358A-O Orange Natural WONF Flavor, 2360A-O Grape Type Natural Flavor, 2365A-O Coconut Type Natural Flavor, 2367A-O Blueberry Type Natural Flavor, 2388A-O Pomegranate Type Natural Flavor, 2399B-O Mango Type Natural Flavor, 2400-O Lemon Natural WONF Flavor, 2401B-O Apple Type Natural Flavor, 2417B-O Raspberry Type Natural Flavor, 2431B-O Pea Protein Masker Natural Flavor Powder, 2465B-O Banana Type Natural Flavor Powder, 2472B-O Vanilla Natural WONF Flavor Powder, 2476B-O Vanilla Natural WONF Flavor Powder, 2478C-O Kiwi Natural Flavor NW Powder, 2482C-O Lemon Natural WONF Flavor Powder, 2484C-O Flavor, Ginger NW, 2486B-O Chocolate Type Natural Flavor Powder, 2496C-O Watermelon Natural Flavor NW Powder, 2527B-O Strawberry Crème Natural WONF Flavor Powder, 2534A-O Milk Type Natural Flavor, 2547C-O Organic Flavor, Mixed Berry Type Natural Powder, 2548C-O Organic Flavor, Mixed Berry Type Powder, 2569B-O Hazelnut Type Natural Flavor Powder, 2572B-O Watermelon Type Natural Flavor Powder, 2641C-O Organic Flavor, Lemon NW Powder, 2667A-O Key Lime Type Natural WONF Flavor, 2728B-O Vitamin Masker Natural Flavor Powder, 2742C-O Organic Flavor, Vanilla Bean NW, 2768B-O Vanilla Extract Replacer Natural WONF Flavor, 2773A-O Peach Type Natural Flavor, 2776B-O Coconut Type Natural Flavor Powder, 2835C-O Butter Type Flavor Powder, 2838B-O Apple Type Natural Flavor Powder, 2882B-O Stevia Masker Natural Flavor, 2928B-O Vanilla Natural WONF Flavor Powder, 2943B-O Bitter Masker Natural Flavor Powder, 2953B-O Creamy Chocolate Fudge NW Flavor, 2954B-O Creamy Chocolate Fudge Type Natural Flavor, 2962B-O Cream Type Natural Flavor Powder, 2971C-O Organic Flavor, Cinnamon NW Powder, 2985C-O Flavor, Rowan Berry Type Powder Natural, 3000A-O Raspberry Natural WONF Flavor, 3001A-O Raspberry Natural Flavor WONF, 3037C-O Organic Flavor, Honey Type Natural Powder, 3038C-O Organic Flavor, Pea Protein Masker Natural Powder, 3039C-O Organic Flavor, Bitter Masker Natural Powder, 3040C-O Organic Flavor, Creme NW Powder, 3052A-O Masking Type Natural Flavor Powder, 3085B-O Hibiscus Natural WONF Flavor, 3096C-O Organic Flavor, Pea Protein Masker GB, 3128B-O Cranberry Natural WONF Flavor Powder, 3146-O Fruit Punch Natural WONF Flavor Powder, 3163A-O Chicken Type Natural Flavor Powder, 3170B-O Pea Protein Masker Natural Flavor Powder, 3212B-O Vanilla Extract Replacer Natural WONF Flavor Powder, 3216B-O Vanilla Bourbon Natural WONF Flavor Powder, 3248-O Cream Type Natural Flavor, 3256B-O High Roast Nut Natural WONF Flavor Powder, 3258B-O Vanilla Natural WONF Flavor Powder, 3260B-O Pea Protein Masker Natural Flavor Powder, 3271A-O Fruit Punch Natural WONF Flavor, 3289B-O Chocolate Natural WONF Flavor Powder, 3293B-O Iced Coffee Natural WONF Flavor Powder, 3297B-O Vanilla Almond Type Natural Flavor Powder, 3311B-O Iced Matcha Latte Type Natural Flavor Powder, 3312B-O Iced Matcha Latte Type Natural Flavor Powder, 3320B-O Cookies &amp; Crème Type Natural Flavor Powder, 3342B-O Vanilla Caramel Natural WONF Flavor Powder, 3343B-O Caramel Ice Cream Natural WONF Flavor Powder, 3356B-O Peanut Butter Natural WONF Flavor Powder, 3360B-O Peppermint Natural WONF Flavor Powder, 3368B-O Masking Type Natural Flavor Powder, 3373B-O Pumpkin Spice Latte Natural WONF Flavor Powder, 3376B-O Hot Chocolate Natural WONF Flavor Powder, 3377C-O Organic Flavor Peanut Butter Type Natural, 3412B-O Organic Flavor, Coffee NW Powder, 3414B-O Organic Flavor, Pumpkin Spice NW Powder, 3416C-O Organic Flavor, Pumpkin Spice NW, 3417C-O Organic Flavor, Milk Chocolate NW, 3420C-O Organic Flavor, Coconut Type Nat, 3421C-O Organic Flavor, Peppermint NW Powder, 3446B-O Vanilla Caramel Natural WONF Flavor Powder, 3458B-O Almond Type Natural Flavor Powder, 3485B-O Passion Fruit Type Natural Flavor, 3530B-O Organic Flavor, Milk Chocolate NW Powder, 3557C-O Organic Flavor, Peach Nat WONF, 3562A-OC Banana Type Natural Flavor Powder - WIP, 3565B-O Vanilla Natural WONF Flavor Powder, 3566B-O French Vanilla Natural WONF Flavor Powder, 3567B-O Vanilla Natural WONF Flavor Powder, 3568B-O Chocolate Natural WONF Flavor Powder, 3604C-O Organic Flavor, Watermelon NW, 3618B-O Citrus Natural WONF Flavor, 3629B-O Mixed Berry Natural WONF Flavor, 3640B-O Chocolate Natural WONF Flavor Powder, 3641C-O ORGANIC FLAVOR CHILI PEPPER (OIL SOL) NAT, 3660C-O Organic Flavor, Honey Crisp Apple NW, 3670B-O Tropical Natural WONF Flavor, 3746A Chocolate Natural WONF Flavor Powder - WIP, 3756B-O Grape Natural WONF Flavor, 3834B-O Citrus Natural WONF Flavor, 3835B-O Tropical Natural WONF Flavor, 3836B-O Cherry Natural WONF Flavor, 3848C-O Organic Flavor, Strawberry NW, 3869B-O Vanilla Natural WONF Flavor, 3874B-O Salted Caramel Natural WONF Flavor Powder, 3877B-O Banana Type Natural Flavor Powder, 3912B-O Blueberry Type Natural Flavor Powder, 3922B-O Dark Cherry Natural WONF Flavor, 3976B-O Milk Chocolate Natural WONF Flavor Powder, 3998A-O Hazelnut Natural WONF Flavor, 4000B-O Custard Natural WONF Flavor Powder, 4003B-O Berry Natural WONF Flavor, 4051A-O Strawberry Natural WONF Flavor Powder, 4092B-NG-O Dairy Type Natural Flavor Powder, 4121B-O Honey Nut Type Natural Flavor Powder, 4131C-O Organic Flavor, Banana Type Natural Powder, 4163A-O Flavor, Strawberry NW, 4183B-O Cranberry Natural WONF Flavor Powder, 4188C-O Organic Flavor, Tropical Fruit NW, 4215C-O Organic Flavor, Sweetness Enhancer Natural Powder, 4249C-O ORGANIC FLAVOR, CUCUMBER NW, 4267B-O Organic Flavor, Vanilla Type Natural Powder, 4320C-O Flavor, Vanilla NW Powder, 4324B-O Pineapple Natural WONF Flavor Powder, 4325B-O Strawberry Natural WONF Flavor Powder, 4381B-O Cranberry Natural WONF Flavor Powder, 4382-O Apple Type Natural Flavor, 4384B-O Maple Brown Sugar Natural WONF Flavor Powder, 4391B-O Blueberry Almond Type Natural Flavor Powder, 4392B-O Chocolate Peanut Natural WONF Flavor Powder, 4394B-O Chocolate Almond Natural WONF Flavor Powder, 4420B-O Berry Type Natural Flavor, 4430C-O Organic Flavor, Hibiscus NW Powder, 4432B-O Blueberry Almond Type Natural Flavor, 4433B-O Chocolate Almond Type Natural Flavor, 4434B-O Chocolate Peanut Natural WONF Flavor, 4449B-O Mocha Cappuccino Natural WONF Flavor Powder, 4452B-O Coffee Natural WONF Flavor Powder, 4453B-O Caramel Natural WONF Flavor Powder, 4455B-O Banana Crème Type Natural Flavor Powder, 4479B-O Strawberry Type Natural Flavor Powder, 4482B-O Pumpkin Spice Natural WONF Flavor Powder, 4487B-O Hazelnut Type Natural Flavor Powder, 4493A-O Banana Type Natural Flavor Powder, 4494A-O Banana Cream Type Natural Flavor Powder, 4498B-O Green Apple Type Natural Flavor Powder, 4509B-O Milk Type Natural Flavor Powder, 4511A Orange Natural WONF Flavor Powder - WIP, 4525C-O Coconut Flavor Natural, 4526C-O Coconut Flavor Natural, 4527C-O Organic Flavor, Lemon Nat, 4528C-O Organic Flavor, Garlic Nat, 4529C-O Organic Flavor, Lemon CP Nat, 4537B-O Vanilla Chai Natural WONF Flavor Powder, 4557C-O Organic Flavor, Pomegranate NW, 4605A-O Cinnamon Natural WONF Flavor Powder, 4607B-O Chai Natural WONF Flavor Powder, 4612B-O Mint Natural WONF Flavor Powder, 4613B-O Ginger Natural WONF Flavor Powder, 4631B-O Chocolate Natural WONF Flavor Powder, 4643C-O Organic Flavor, Blueberry NW Powder, 4644C-O Organic Flavor, Spearmint NW Powder, 4645C-O Organic Flavor, Spearmint NW Powder, 4646C-O Organic Flavor, Peppermint NW Powder, 4658B-O Tropical Blend Natural WONF Flavor Powder, 4732B-O Berry Natural WONF Flavor Powder, 4735B-O Chocolate Brownie Natural WONF Flavor Powder, 4775B-O Matcha Tea Natural WONF Flavor Powder, 4799-B-O Raspberry Natural WONF Flavor, 4800B-O Raspberry Type Natural Flavor Powder, 4839B-O Apple Natural WONF Flavor, 4842C-O Flavor, Cocoa Enhancer NAT, 4892 Cinnamon Natural Flavor, 4915B-O Lavendar Natural Flavor WONF, 4923B-O Tropical Fruit Type Natural Flavor Powder, 4925B-O Tropical Fruit Natural WONF Flavor Powder, 4946B-O Mango Type Natural Flavor Powder, 4971C-O Organic Flavor, Ube Type Nat Powder, 4980B-O Vanilla Type Natural Flavor, 4983B-O Grapefruit Natural WONF Flavor Powder, 4986B-O Chocolate Fudge Natural WONF Flavor Powder, 4993-O Raspberry Type Natural Flavor Powder, 4997-OC Strawberry Natural WONF Flavor Powder - WIP, 5014B-O Coconut Crème Type Natural Flavor Powder, 5020B-O Tangerine Natural WONF Flavor, 5090-O Organic Flavor, Pineapple Type Natural SD, 5201B-O Chocolate Natural WONF Flavor Powder, 5269B-O Vanilla Natural WONF Flavor Powder, 5288B-O Rosemary Natural Flavor, 5303B-O Chocolate Natural WONF Flavor Powder, 5311B-O Peanut Butter Flavor Type Natural Flavor Powder, 5421B-O Milk Chocolate Natural WONF Flavor Powder, 5431B-O Blueberry Type Natural Flavor, 5433B-O Raspberry Type Natural Flavor, 5434B-O Strawberry Type Natural Flavor, 5473B-O Berry Natural WONF Flavor Powder, 5596C-O Flavor, Chocolate Milk NW, 5610B-O Grape Natural Flavor WONF, 5648B-O Vanilla Ice Cream Natural WONF Flavor Powder, 5738B-O Peanut Butter Type Natural Flavor Powder, 5758B-O Orange Natural WONF Flavor, 5767B-O Blackberry Natural WONF Flavor Powder, 5787B-O Rosemary Natural Flavor Powder, 5802B-O Basil Natural Flavor Powder, 5845B-O Grape Type Natural Flavor, 5851-OC Almond Type Natural Flavor - WIP, 5909-OC Vanilla Type Natural Flavor - WIP, 5930C-O Flavor, Strawberry NW, 5931C-O Flavor, Strawberry NW, 5946B-O Maple Natural Flavor NW Powder, 5947B-O Maple Natural Flavor NW Powder, 5961A-O Watermelon Natural WONF Flavor, 5981C-O Flavor, Pineapple NW Powder, 6043C-O Flavor, Apple Nat WONF, 6086B-O Green Type Natural Flavor Powder, 6095C-O Flavor, Hawaiian Punch Nat WONF, 6099C-O Flavor, Mixed Berry Type Nat, 6101C-O Flavor, Sour Apple Type Nat, 6134-O Caramel Natural WONF Flavor Powder, 6207C-O Flavor, Cocoa Extender NW Powder, 6208C-O Flavor, Cocoa Replacer NW Powder, 6209C-O Flavor, Cocoa Extender NW Powder, 6218B-O Strawberry Candy Natural WONF Flavor Powder, 6271B-O Coconut Type Natural Flavor Powder, 6273A-O Coffee Natural WONF Flavor Powder, 6273B-O Caramel Natural WONF Flavor Powder, 6300A-O Mint Natural WONF Flavor, 6331B-O Coffee Natural WONF Flavor Powder, 6332B-O Coffee Natural WONF Flavor Powder, 6362-O Peppermint Natural WONF Flavor Powder, 6369B-O Piña Colada Natural WONF Flavor Powder, 6415A-O Maple Natural WONF Flavor Powder, 6421B-O Strawberry Type Flavor Powder, 6424B-O Vanilla Crème Natural WONF Flavor Powder, 6458A-O Maple Brown Sugar Natural WONF Flavor Powder, 6459B-O Cherry Flavor Natural WONF Flavor, 6461B-O Fruit Punch Natural WONF Flavor, 6466B-O Strawberry Kiwi Natural WONF Flavor, 6498B-O Citrus Natural WONF Flavor, 6500B-O Lemon Natural WONF Flavor, 6504B-O Masker Natural Flavor Powder, 6517B-O Peanut Butter Natural WONF Flavor Powder, 6530A-O Vanilla Type Natural Flavor Powder, 6670B-O Mint Natural WONF Flavor, 6674B-O Bitter Masker Natural Flavor, 6677B-O Masking Natural Flavor Powder, 6715B-O Pea Protein Masker Natural Flavor Powder, 6743-O Orange Natural WONF Flavor Powder, 6755B-O Lemon Natural WONF Flavor Powder, 6759B-O Vanilla Natural WONF Flavor, 6802B-O Pineapple Natural WONF Flavor Powder, 6818B-O Milk Tea Type Natural Flavor Powder, 6861B-O Fruit Punch Natural WONF Flavor Powder, 6864B-O Dragonfruit Natural WONF Flavor, 6881B-O Smoked Ham Type Natural Flavor Powder, 6911A-O Orange Natural WONF Flavor Powder, 6946A-O Orange Natural WONF Flavor Powder, 6948A-O Orange Natural WONF Flavor Powder, 6959A-O Mocha Cappuccino Natural WONF Flavor Powder, 6962A-O Chocolate Natural WONF Flavor Powder, 6963A-O Strawberry Type Natural Flavor Powder, 6973A-O Caramel Natural WONF Flavor Powder, 6993B-O Lemon Natural WONF Flavor Powder, 7074B-O Beef Type Natural Flavor Powder, 7075B-O Chocolate Type Natural Flavor Powder, 7122B-O Lime Natural WONF Flavor Powder, 7181B-O ORGANIC FLAVOR, VANILLA CREME NW PDR, 7193B-O Peach Type Natural Flavor Powder, 7234B-O Vanilla Natural WONF Flavor Powder, 7242B-O Apple Type Natural Flavor Powder, 7251B-O Chocolate Natural WONF Flavor Powder, 7333B-O Caramel Macchiato Type Natural Flavor Powder, 7334B-O Caramel Macchiato Type Natural Flavor Powder, 7335B-O Banana Bread Type Natural Flavor Powder, 7340B-O Toffee Caramel Macchiato Natural WONF Flavor Powder, 7341B-O Caramel Toffee Macchiato Natural WONF Flavor Powder, 7342B-O Key Lime Type Natural WONF Flavor Powder, 7350B-O Mango Type Natural (OS) Flavor, 7354B-O Blood Orange Type Natural (OS) Flavor, 7385B-O Blood Orange Type Natural (OS) Flavor, 7473-O Lemon Natural Flavor, 7509B-O Vanilla Extract Replacer Natural WONF Flavor Powder, 7510B-O Vanilla Natural WONF Flavor Powder, 7511B-O Chocolate Type Natural Flavor Powder, 7517B-O Chocolate Type Natural Flavor Powder, 7526B-O Vanilla Ice Cream Type Natural Flavor, 7527B-O Pea Protein Masker Natural Flavor Powder, 7528A-O Bitter Masker Natural Flavor Powder, 7530B-O Citrus (Oil Sol) Natural WONF Flavor, 7531B-O Orange (Oil Sol) Natural WONF Flavor, 7532B-O Mint (Oil Sol) Natural WONF Flavor, 7533B-O Tangerine (Oil Sol) Natural WONF Flavor, 7541B-O Mint Natural WONF Flavor, 7542B-O Candy Fish (Oil Sol) Type Natural Flavor, 7589B-O Ginger Apple Natural WONF Flavor Powder, 7592B-O Blood Orange Natural WONF Flavor, 7593-O Peanut Butter Natural WONF Flavor, 7710B-O Lemon Lime Natural WONF Flavor Powder, 7727B-O Strawberry Lemon Natural WONF Flavor Powder, 7728B-O Mango Type Natural Flavor Powder, 7754B-O Watermelon Type Natural (OS) Flavor, 7761B-O Chocolate Type Natural (OS) Flavor, 7762B-O Organic Flavor, Peppermint NW (OS), 7769B-O Mango Natural WONF Flavor Powder, 7835A-O Strawberry Natural WONF Flavor, 7851B-O Ginger Spice Natural WONF Flavor Powder, 7875B-O Horchata Type Natural Flavor Powder, 7947B-O Mixed Berry Type Natural Flavor, 7988-O Vanilla Natural WONF Flavor Powder, 8024-O Caramel Natural WONF Flavor Powder, 8025B-O Vanilla Natural WONF Flavor Powder, 8031B-O Bergamot Natural WONF Flavor, 8032B-O Bergamot Natural WONF Flavor, 8039B-O Cookies &amp; Crème NW Powder, 8183B-O Honey Type Natural Flavor Powder, 8184B-O Honey Type Natural Flavor Powder, 8255B-O Dark Chocolate Natural WONF Flavor Powder, 8327B-O Organic Flavor, Stevia Master Natural Powder, 8355B-O Acai Type Natural Flavor, 8372A-O Chocolate Natural WONF Flavor Powder, 8387-O Lemon Natural WONF Flavor Powder, 8405A-O Lime Natural WONF Flavor Powder, 8410A-O Pomegranate Type Natural Flavor Powder, 8411B-O Pomegranate Type Natural Flavor Powder, 8412A-O Chocolate Natural Flavor WONF Powder, 8412-O Citrus Natural Flavor WONF Powder, 8418A-O Blueberry Type Natural Flavor Powder, 8422B-O Lemonade Natural WONF Flavor Powder, 8423B-O Organic Flavor, Lemonade NW Powder, 8425B-O Lemon Natural WONF Flavor Powder, 8430B-O Raspberry Natural Flavor, 8432B-O Honey Type Natural Flavor Powder, 8446B-O Limeade Natural Flavor WONF Powder, 8448B-O Lemonade Natural WONF Flavor Powder, 8454-O Blackberry Natural WONF Flavor, 8470B-O Strawberry Lemonade Natural WONF Flavor Powder, 8472B-O Chocolate Natural WONF Flavor Powder, 8474B-O Tangerine Natural WONF Flavor Powder, 8477A-O Berry Type Natural Flavor Powder, 8478A-O Berry Type Natural Flavor Powder, 8508B-O Watermelon Type Natural Flavor Powder, 8514B-O Chocolate Natural WONF Flavor Powder, 8529B-O Organic Flavor, Lemonade NW Powder, 8538B-O Berry Natural WONF Flavor Powder, 8542B-O Chai Latte Natural WONF Flavor Powder, 8545B-O Vanilla Ice Cream Type Natural WONF Flavor Powder, 8554A-O Berry Type Natural Flavor Powder, 8588B-O Lemonade Natural WONF Flavor Powder, 8603-OC Milk Type Natural Flavor Powder - WIP, 8606B-O Pineapple Type Natural Flavor, 8621B-O Chocolate Brownie Natural WONF Flavor Powder, 8703A-O Chocolate Natural WONF Flavor Powder, 8717B-O Chocolate Natural WONF Flavor Powder, 8727A-O Crème Natural WONF Flavor Powder, 8750B-O ORGANIC FLAVOR, PINK LEMONADE NW PDR, 8752A-O Vanilla Chai Natural WONF Flavor Powder, 8761B-O Flavor, Blue Raspberry Type Powder, 8764B-O Organic Flavor, Watermelon NW Powder, 8765A-O Vanilla Natural WONF Flavor Powder, 8765B-O Organic Flavor, Watermelon NW Powder, 8770B-O Cream Type Natural Flavor Powder, 8776B-O Organic Flavor, Cookies &amp; Creme Type Natural Powder, 8799B-O Sweetness Enhancer Natural Flavor Powder, 8805B-O Chocolate Natural WONF Flavor Powder, 8806B-O Chocolate Natural WONF Flavor Powder, 8809B-O Lychee Type Natural Flavor Powder, 8816B-O Honey Type Natural Flavor Powder, 8817B-O Honey Type Natural Flavor Powder, 8835A-O Lime Natural WONF Flavor, 8840A-O Brown Sugar Type Natural Flavor Powder, 8852A-O Cinnamon Natural WONF Flavor Powder, 8858-O Milk Type Natural Flavor Powder, 8896B-O Limeade Natural WONF Flavor Powder, 8905B-O Yogurt Type Natural Flavor Powder, 8929B-O Candy Cane Natural WONF Flavor Powder, 8930B-O Honey Latte Type Natural Flavor Powder, 8933B-O Mocha Natural WONF Flavor Powder, 8956-O Cranberry Natural WONF Flavor, 8957B-O Pumpkin Spice Natural Flavor Powder, 8969B-O Organic Flavor, Mango NW Powder, 8974B-O White Chocolate Natural WONF Flavor Powder, 8991B-O Organic Flavor, Guava Type Natural Powder, 8995B-O Tropical Fruit Natural WONF Flavor Powder, 9010B-O Strawberry Natural WONF Flavor Powder, 9011B-O Banana Natural WONF Flavor Powder, 9013B-O Peach Natural WONF Flavor Powder, 9023B-O Pomegranate Type Natural Flavor, 9027B-O Vanilla Ice Cream Type Natural Flavor Powder, 9028B-O Honey Type Natural Flavor Powder, 9147B-O Organic Flavor, Creme Brulee Type Natural, 9173-O Lemon Natural WONF Flavor Powder, 9177B-O Acai Type Natural Flavor Powder, 9190B-O Chocolate Natural WONF Flavor Powder, 9217A-O Orange Natural WONF Flavor, 9220B-O Vanilla Natural WONF Flavor Powder, 9221A-O Dragonfruit Type Natural Flavor, 9229B-O Coffee Natural WONF Flavor Powder, 9237B-O Masker Natural Flavor Powder, 9240B-O Caffeine Masker Natural Flavor, 9243B-O Organic Flavor, Vanilla Bean NW Powder, 9244B-O Tahitian Vanilla Natural WONF Flavor Powder, 9252B-O Chocolate Natural WONF Flavor Powder, 9278B-O Spice Natural WONF Flavor Powder, 9280B-O Organic Flavor, Strawberry NW Powder, 9283B-O Gingerbread Natural WONF Flavor Powder, 9325B-O Vanilla Birthday Cake Natural WONF Flavor Powder, 9333B-O Molasses Type Natural Flavor Powder, 9340B-O Crème Natural WONF Flavor Powder, 9357B-O Masking Type Natural Flavor, 9377B-O Organic Flavor, French Vanilla NW Powder, 9428B-O Papaya Type Natural Flavor Powder, 9431B-O Apricot Type Natural Flavor Powder, 9444A-O Pea Protein Masker Natural Flavor, 9452B-O Vanilla Natural WONF Flavor Powder, 9453B-O Vanilla Natural WONF Flavor Powder, 9468B-O Cranberry Natural WONF Flavor Powder, 9504A-O Coconut Type Natural Flavor Powder, 9569-O Chocolate Natural WONF Flavor Powder, 9588-O Organic Flavor, Coconut Type Natural Powder, 9601B-O Vanilla Natural WONF Flavor Powder, 9606-A-O Caramel Natural WONF Flavor, 9607A-O Dark Chocolate Natural WONF Flavor, 9624B-O Organic Flavor, Chocolate Nat WONF, 9662B-O Masking Type Flavor Powder, 9722B-O Organic Natural Flavor, Sour Apple Type Powder, 9771B-O Lemonade Flavor NW Powder, 9933A-O Pea Protein Masker Natural Flavor Powder, 9933B-O Organic Flavor, Horchata Type Nat Powder, 9984A-O Pineapple Type Natural Flavor, 9994A-O Cherry Type Natural Flavor</t>
  </si>
  <si>
    <t>Other: Bases (Beef Bone Stock), Bases (Beef Broth Base), Bases (Beef Broth Concentrate Base), Bases (Beef Broth Concentrate TJ Base), Bases (Beef Broth Low Sodium Concentrate Base), Bases (Beef Ground Raw), Bases (Beef Stock Base), Bases (Caramelized Roasted Red Pepper Flavor Base), Bases (Chicken Base), Bases (Chicken Base - Canadian), Bases (Chicken Bone Base), Bases (Chicken Bone Stock), Bases (Chicken Broth Concentrate Base), Bases (Chicken Broth Concentrate Base (Canada)), Bases (Chicken Broth Concentrate TJ Base ), Bases (Chicken Broth Low Sodium Concentrate Base), Bases (Chicken Broth Low Sodium Concentrate Base (Canada)), Bases (Chicken Stock Base), Broth (4X Vegetable Broth), Broth (Beef Bone Broth), Broth (Beef Broth), Broth (Chicken), Broth (Chicken Bone Broth), Broth (Chicken Bone Broth with Black Garlic and Shiitake Mushroom), Broth (Chicken Bone Broth with Ginger), Broth (Chicken Bone Broth with Lemon Balm and Sage), Broth (Chicken Bone Broth with Turmeric, Ginger &amp; Black Pepper), Broth (Chicken Broth), Broth (Chicken Broth (Canada)), Broth (Chicken Broth Concentrate Low Sodium), Broth (Chicken Broth Made With Organic Chicken), Broth (Herb &amp; Roasted Garlic Creamy Plant-Based Broth), Broth (Low Sodium Beef Broth), Broth (Low Sodium Chicken Broth), Broth (Low Sodium Chicken Broth (Canada)), Broth (Low Sodium Chicken Broth Co-Pack), Broth (Low Sodium Vegetable Broth), Broth (Mushroom), Broth (Poultry Bone Broth), Broth (Poultry Broth), Broth (Turkey Broth ), Broth (Vegetable Broth), Broth (Vegetable Broth Concentrate Low Sodium), Broth (Zesty Ginger &amp; Turmeric Creamy Plant-Based Broth), Cooked Chicken (4X Chicken Broth Concentrate), Cooked Chicken (Chicken Broth Co-Pack), Other Beverages (Almond Plant-Based Original), Other Beverages (Almond Plant-Based Original Unsweetened), Other Beverages (Coconut Non-Dairy Beverage Original), Other Beverages (Coconut Plant-Based Original Unsweetened), Other Beverages (Oat Plant-Based Original), Other Beverages (Select Soy Plant-Based Original), Soup ( Cream of Mushroom Condensed (22765)), Soup (Cashew Carrot Ginger), Soup (Chicken &amp; Wild Rice), Soup (Chicken Noodle), Soup (Cream of Cauliflower Condensed (22763)), Soup (Cream of Cauliflower Condensed (28140)), Soup (Cream of Chicken Condensed), Soup (Cream of Chicken Condensed (22764)), Soup (Cream of Mushroom Condensed (27954)), Soup (Creamy Butternut Squash ), Soup (Creamy Golden Cauliflower Soup), Soup (Creamy Moroccan Sweet Potato Soup), Soup (Creamy Oat Milk Soup - Cumin Carrot), Soup (Creamy Oat Milk Soup - Garden Tomato), Soup (Creamy Roasted Red Pepper and Tomato ), Soup (Creamy Tomato Basil Soup), Soup (Creamy Tomato Soup), Soup (Light Sodium Creamy Butternut Squash), Soup (Light Sodium Creamy Tomato), Soup (Light Sodium Roasted Red Pepper and Tomato), Soup (Low Sodium Tomato and Roasted Pepper Soup), Soup (Poblano Pepper and Corn Chowder), Soup (Reduced Sodium Chicken Noodle Soup), Soup (Reduced Sodium Creamy Tomato), Soup (Reduced Sodium Roasted Red Pepper and Tomato), Soup (Roasted Red Pepper &amp; Tomato Bisque), Soup (Rosemary Potato Chowder), Soup (Southwest Style Chicken Tortilla Soup with Chicken Bone Broth ), Soup (Spicy Black Bean), Soup (Spicy Black Bean &amp; Kale Soup), Soup (Split Pea and Ham Soup), Soup (Thai Sweet Potato Soup), Soup (Tomato and Roasted Pepper Soup), Soy Milk (Unsweetened), Stock (Beef Stock), Stock (Chicken Bone Stock Unsalted), Stock (Chicken Stock), Stock (Chicken Stock Unsalted), Stock (Free-Range Chicken), Stock (Tomato &amp; Red Pepper Stock), Stock (Tomato Stock Unsalted), Stock (Turkey Bone Stock Unsalted), Stock (Turkey Stock)</t>
  </si>
  <si>
    <t>Dairy: Cream (Organic Bulk Heavy Cream), Milk (Organic Milk); Other: ORGANIC BLUEBERRY LEMON BASE Item #2796, ORGANIC PASSIONFRUIT BASE #2722, ORGANIC PEACH BASE #2799, ORGANIC STRAWBERRY BASE Item #2795, PAINTERLAND ORGANIC MEADOWBERRY Item #2798, PAINTERLAND ORGANIC VANILLA BASE Item #2797</t>
  </si>
  <si>
    <t>Other: Alfredo Pasta, Bac'un &amp; Egg Scrambler, Bare Burrito, Bavarian Mousse, Black Bean Hot 'n Spicy, Black Beans, Black Beans &amp; Rice, Breakfast Frittatas, Breakfast Rice &amp; Beans, Brownies, Budget Mix, Buttermilk Biscuits, Chai Breakfast Rice, Cheddar Herb Pasta, Cheesy Bean Dip &amp; Burrito Filler, Cheesy BNT, Cheesy Noodle Casserole , Cheesy Potatoes &amp; Kale, Chilimac, Coconut Breakfast Rice, Corn Bread, Corn Salsa, Couscous &amp; Lentil Curry, Creamy Lentil Curry , Creamy Potato Soup, Curried Lentil Bisque, Curry in a Hurry, Dairy Creamer, Eat the Rainbow Rice, "Eat Your Veggies" Pasta, Egg and Cheese Scramble, Fiesta Rice, Foccacia Bread, Garlic Fry Bread, Griddle Cakes, Hot 'n Creamy Cereal, Jambalaya, Kale &amp;Tomato Mac 'n Cheese, Kettle Lentil Chili, Lebanese Peanut Bulghar, Lentil Pilav, Lentil Soup, Lentils Rice &amp; Indian Spice, Loaded Comfort Potatoes , Mac 'n Cheese, Mushroom Miso Rice, Northwest Garden Couscous, Outrageous Outback Oatmeal, Peanut &amp; Currant Curry, Peanut Butter Blonde Brownies, Peasant Tomato Soup, Pinto Beans, Ragu Pasta, Red Pesto Pasta, Rice Starch, ODR-P Gelatinized , Salad Lover's Pasta, Santa Fe Pasta, Scones with Walnuts, Shepherd's Pan Bread, Shepherd's Pie, Sour Cream, Southwestern Couscous, Spuds with Spinach &amp; Cheese, Sweet Corn &amp; Black Bean Chowder, Thai Fusion, Ultimate Mac 'n Cheese, Veggie Power Bowl, Velvety Black Bean Soup, Wild Forest Mushroom Couscous, Budget Mix, Gluten Free</t>
  </si>
  <si>
    <t>Other: Cheese: Asiago, Cheddar, Cheddar (Colored), Cheddar Curds, Colby, Colby-Jack (Marble), Traditional Juusto, Monterey Jack, Mozzarella (Style), Muenster, Muenster (Colored), Parmesan (Style), Provolone (Style), Romano (Style), Cheese: Colby Jack, Mild Cheddar, Monterey Jack, Mozzarella, Muenster, Pepper Jack, Provolone, and Sharp Cheddar, Cheese: Colored Cheddar, White Cheddar, Cheese: Mild Cheddar, Muenster, Colby Jack, Mild Cheddar, Sharp Cheddar, Liquid Milk, Liquid Whey, Liquid Whey Protein, Processing, handling, and distribution of dairy products - 'Organic': Liquid milk, Liquid whey, Liquid whey protein, Processing, handling, cutting, packaging, labeling, private labeling and distribution of cheese products - 'Organic': Asiago, Cheddar (Mild, Medium, Sharp), Cheddar (Colored: Mild, Medium, Sharp), Cheddar Curds, Colby, Colby-Jack (Marble), Traditional Juusto, Monterey Jack, Mozzarella (Style), Muenster, Muenster (Colored), Parmesan (Style), Pepper Jack, Provolone (Style), Romano (Style)</t>
  </si>
  <si>
    <t>Dairy: Milk (Organic)</t>
  </si>
  <si>
    <t>Dairy: Plain Kefir, Strawberry Kefir, Vanilla Kefir, Yogurt (Bulgarian Yogurt - Plain), Yogurt (Bulgarian Yogurt - Vanilla), Yogurt (Cream on Top Yogurt - Plain), Yogurt (Cream on Top Yogurt - Vanilla), Yogurt (Drinkable Bulgarian Probiotic Yogurt), Yogurt (Non-Retail Plain Whole Milk Yogurt), Yogurt (Non-Retail Plain Whole Milk Yogurt with Added Solids)</t>
  </si>
  <si>
    <t>Dairy: Cheese</t>
  </si>
  <si>
    <t>Dairy: Milk (Organic 100% Grass Fed A2A2 Milk), Yogurt (Dandy Blend Yogurt), Yogurt (Mixed Berry Yogurt), Yogurt (Plain Yogurt), Yogurt (Strawberry Yogurt), Yogurt (Vanilla Yogurt)</t>
  </si>
  <si>
    <t>Other: Auction of Livestock: Beef Cattle, Dairy Cattle, Broker of Livestock: Beef Cattle, Dairy Cattle</t>
  </si>
  <si>
    <t>Other: 12% Swine, 14% Sheep &amp; Goat, 16% Beef, 16% Dairy, 16% No Soy Layer, 16% Swine Grower, 18% Layer, 18% No Soy Broiler/Grower, 19% Broiler/Grower, 20% No Soy Chick Starter, 21% Chick Starter Feed, Corn, Cracked Corn, Cracked Peas, Custom Vital Layer, Dehydrated Alfalfa Pellets, Flax, Milo, Molasses, Oats, Organic All Grain Mix, Peas, Soybean Meal, Sunflower Meal, Sunflower Oil, Wheat</t>
  </si>
  <si>
    <t>Fruits/Vegetables: Beans, Beans, Beans, Beans; Beverage Related Products: Non-Dairy Milk</t>
  </si>
  <si>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</si>
  <si>
    <t>Other: Feed (AOD Calf Grower 96002-TX), Feed (AOD Calf Starter 96001-TX), Feed (AOD Grass Fed Robot Pellet 96400-PL), Feed (AOD Robot Pellet 96200-PL), Feed (Calf Pellets), Feed (Dairy Cow Total Mixed Rations), Feed (Equine Pellets), Feed (Ground Milo), Feed (Heifer Pellets), Feed (Org Chick Starter 21%), Feed (Org Peak Layer), Feed (Poultry Crumbels), Feed (Poultry Mash), Feed (Poultry Pellets), Feed (Rice Protein), Feed (Roasted Soybeans), Feed (Soy-Free Layer Pellet COMPLETE), Feed (Steam Flaked Corn, Ground Corn), Feed (Swine Pellets &amp; Mash)</t>
  </si>
  <si>
    <t>Other: Livestock premix (10039, 10152, 12679 Cobalt Sulfate 7.5%), Livestock premix (10209, 10210, 12678 Pinnacle EDDI 42 g-lb Premix), Livestock premix (10238, 10239 Organic Mineral Premix), Livestock premix (10240, 10241, 14358 Organic Vitamin Premix), Livestock premix (10298, 10299 595 Organic Premix), Livestock premix (10300, 10301 695 Organic Premix), Livestock premix (10391, 10392, 10393 Organic Chick Starter/Layer Vitamin Premix), Livestock premix (10937, 10938  Organic Lactation Mineral Premix), Livestock premix (10941, 10942  Organic Lactation Mineral No Chelates Premix), Livestock premix (10943, 10944  Organic Close-Up Premix), Livestock premix (10947, 10948 Organic Lactation Mineral Premix), Livestock premix (10949, 10950 Organic Lactation Mineral Premix), Livestock premix (10978, 10979 Feed Organic Layer Premix), Livestock premix (10995, 10996 Organic Layer Premix 5#/Ton), Livestock premix (11014, 11015 Organic Lactating Mineral Premix), Livestock premix (11016, 11017 Organic Dry Cow Mineral Premix), Livestock premix (11029, 11030 Organic Dry Cow Mineral Premix), Livestock premix (11033, 11034 Organic Heifer Mineral Premix), Livestock premix (11035, 11036  Organic Lactating Mineral Premix), Livestock premix (11037, 11038 Organic Lactating Mineral Premix), Livestock premix (11043, 11044 Organic Far-Off DC Mineral Premix), Livestock premix (11078, 11079 108 Organic Mineral #2 Premix), Livestock premix (11534, 11535 Organic Lactating Mineral 1.5 Premix), Livestock premix (11546, 11547 Organic Dry Cow Mineral Premix), Livestock premix (11552, 11553  Heifer Organic Vitamin Trace Mineral Premix), Livestock premix (11558, 11559 Organic Lactating Mineral Premix), Livestock premix (11862, 11863 Organic Swine Base Mix), Livestock premix (12133, 12134  Layer/Pullet 4 Organic), Livestock premix (12135, 12136 Organic Complete Grow-Layer Ration Premix), Livestock premix (12217, 12218  Organic Dry Cow Premix), Livestock premix (12227, 12228 Organic Heifer Mineral Premix), Livestock premix (12229, 12230 Organic Vitamin Premix), Livestock premix (12339, 12340 Organic Dry Cow Mineral Premix), Livestock premix (12453, 12454 Pinnacle Organic Swine Grow/Finisher Vitamin Trace Mineral Premix), Livestock premix (12589, 12590 Organic Lact Mineral Premix), Livestock premix (12644, 12645 Organic Commercial Dairy VTM Premix), Livestock premix (12648, 12649 118 Organic Swine Grow-Finish Premix), Livestock premix (12652, 12653 96 Rogue Organic 12:12 Free Choice Mineral Premix), Livestock premix (12669, 12670 2 lb/ton Organic layer VTM Premix), Livestock premix (12675, 12676 Organic Dry Cow Mineral w/Yeast Premix), Livestock premix (12810, 12811 Organic Lactating VTM Premix), Livestock premix (12897, 12898 03 Organic Dairy Premix), Livestock premix (12965, 12966 Organic VTM Premix #3826), Livestock premix (12985, 12986 Organic Close-Up Mineral Premix), Livestock premix (13444, 13445 Organic Sow Base Mix), Livestock premix (13446, 13447 Organic Poultry Base Mix), Livestock premix (13448, 13449 113 Organic Poultry Layer Vitamin Trace Mineral Premix), Livestock premix (13845, 13846 Organic MC VTM Premix), Livestock premix (13852, 13853 Organic Dairy Lactating Mineral Premix), Livestock premix (13865, 13866 Organic Layer Vitamin &amp; Trace Mineral Premix), Livestock premix (13875, 14300, 13876 Organic Lactating Mineral 0.5 lb Premix), Livestock premix (13890, 13891 Organic CU Mineral Premix), Livestock premix (13914, 13915 Organic Close Up Dry Cow Mineral Premix), Livestock premix (14123, 14124 Organic Lactation Mineral ), Livestock premix (14125, 14126 Organic Lactation Mineral Premix), Livestock premix (14127, 14128  Organic Lactating Mineral), Livestock premix (14129, 14130 Organic Lact Mineral Premix), Livestock premix (14131, 14132 Organic Lactation Mineral Premix), Livestock premix (14133, 14134 Organic Heifer Mineral Premix), Livestock premix (14135, 14136 Organic Lactating Mineral Premix), Livestock premix (14146, 14147 Organic Close-Up Premix), Livestock premix (14183, 14184 Organic Mineral No Vitamin Premix), Livestock premix (14208, 14209  Organic Far-Off DC Mineral Premix), Livestock premix (14269, 14270  Organic Dairy Premix), Livestock premix (14404, 14405 Vitamin E 20,000 IU/lb Organic), Livestock premix (14406, 14407 Selenium 0.02% (200 ppm) Organic Premix), Livestock premix (14450, 14451 Organic Dry Cow Mineral Premix), Livestock premix (14481, 14482 SelSaf Organic SeY 2000 Blend Down), Livestock premix (14495, 14496  (RM) Organic Heifer Mineral Premix), Livestock premix (14587, 14588, 14590, 14589 Organic TMV), Livestock premix (14684, 14685 (Rv-less Bicarb) Lactating Mineral Premix), Livestock premix (14734, 14735  Organic Lactating Mineral Premix), Livestock premix (14844, 14845 MN083018 Renown ORG Heifer), Livestock premix (14846, 14847 MN080718 Renown ORG Cup), Livestock premix (14911, 14912 Vitamin A 650 Organic), Livestock premix (14927, 14928, 14929 Pinnacle Biotine 2% - Organic), Livestock premix (14980, 14981 Organic Chicken 5 Premix), Livestock premix (15405, 15406 Pinnacle Biotine 1% - Organic), Livestock premix (15543, 15544 Organic HyD Premix 62.5), Livestock premix (15698, 15699 BRLR Organic VTM), Livestock premix (15700, 15701 Organic Turkey Vit), Livestock premix (15758, 15759 895 Organic Premix), Livestock premix (15809, 15810 TDN Organic C-U Package), Livestock premix (15900, 15901 Dairy ADE PMX-O 10310), Livestock premix (15958, 15959 Organic Feed Premix), Livestock premix (15968, 15969 Organic Free Choice Beef Mineral), Livestock premix (15970,15971 Organic Equine Premix), Livestock premix (16000, 16001 Organic TM Premix w/ Selenium Yeast), Livestock premix (16081, 16082 Organic Multi-Species Premix), Livestock premix (16094, 16095 Organic JT-TM/Vit 795 Premix 0.03#), Livestock premix (16102, 16103 Organic Poultry 5.0 VTM Premix), Livestock premix (16104,16105 Organic Vitamin E Supplement), Livestock premix (16108, 16109 Organic 16 Premix), Livestock premix (16115, 16116 DDNC Organic Lactating MinVit Premix), Livestock premix (16164, 16165 DDNC Organic Heifer Mineral), Livestock premix (16166, 16167 DDNC Organic Far Off Dry Cow MinVit Premix), Livestock premix (16168, 16169 Organic TDN TM/VIT Premix), Livestock premix (16219, 16220 Organic Poultry VTM Premix W/ Enzymes), Livestock premix (16234, 16235 751105 Poultry TM ORG), Livestock premix (16302, 16303 Org Turkey Starter 3.5 P), Livestock premix (16304, 16305 Org Turkey Finisher 2.5 P), Livestock premix (16308, 16309 Organic Pullet/Layer 4 B), Livestock premix (16311, 16312 Organic Vit/TM Premix), Livestock premix (16333, 16334 Organic Closeup Mix), Livestock premix (16432, 16433 Niacin Blend Down), Livestock premix (16851, 16852 Grow-Layer Ration PMX 5), Livestock premix (16917, 16918  Organic Pullet/Layer 4 PBR (50665)), Livestock premix (16934, 16935 Organic Turkey Finisher VTM 3.0 P), Livestock premix (16959, 16960 Organic Ostrich VTM Premix), Livestock premix (16998, 16999 Organic Far Off Dry Cow VitMin Pasture Mix), Livestock premix (17150, 17151 Organic Turkey Starter VTM Premix), Livestock premix (17175, 17176 Platos Premix Organic Brown), Livestock premix (17311, 17312 0915 Organic Dairy VTM Premix), Livestock premix (17328, 17329 Organic Poultry Trace Mineral Premix 0752-VG), Livestock premix (17484, 17485 Organic Pullet/Layer 50), Livestock premix (17548, 17549 Cargill Layer V PMX-O 101983), Livestock premix (17598, 17599 108-RDC Organic Mineral #2), Livestock premix (17641, 17642 PRO Series Organic Premix), Livestock premix (17693, 17694 BRLR Organic VTM), Livestock premix (17697, 17698 Organic Turkey Vit), Livestock premix (17762, 17763 Organic Turkey Starter VTM Premix w/ Poultry Grow), Livestock premix (17764,17765 Organic Turkey Finisher VTM 3.0 P w/ Poultry Grow), Livestock premix (17794, 17795 Organic Poultry Premix), Livestock premix (17876, 17877 Organic Broiler Trace Mineral Premix), Livestock premix (17878, 17879 Organic Grower/Finisher Vitamin Premix), Livestock premix (17922, 17923 Organic Broiler Starter Vitamin w/HyD Premix), Livestock premix (18057, 18058 ORG Pullet-Layer Premix 4 XPC), Livestock premix (18191, 18192 Organic Vitamin D Supplement), Livestock premix (18198,18199 Organic DC Mineral 0.60#), Livestock premix (18453, 18454 Organic Layer Premix), Livestock premix (18480, 18481 D025 Organic All Breed Base), Livestock premix (18559, 18560 Vitamin D3 Supplement 20,000 IU/g Premix), Livestock premix (18575, 18576 Organic Broiler Trace Mineral w/Chelates), Livestock premix (19581, 19582 Poultry VTM 1.6 kgs), Livestock premix (19583, 19584 P &amp; L 25 MD Organix PMX), Livestock premix (19637, 19638 Organic Dairy Thiamine Supplement), Livestock premix (19712, 19713 Organic Selenium 0.01%), Livestock premix (19719, 19720 Organic Dry Cow Mineral), Livestock premix (19721, 19722 Organic Lactating Cow Mineral (No SBM)), Livestock premix (19814, 19815 Thiamine 40 g/lb Premix), Livestock premix (19847, 19848 Pullet/Layer 5 BY), Livestock premix (19965, 19966 Organic 995 Mineral), Livestock premix (19987, 19988 Gold Organic Free Choice Mineral BEEF), Livestock premix (19989, 19990 Silver Organic Free Choice Mineral Sheep &amp; Goat), Livestock premix (20049, 20050 Natural E Organic 20,000 IU/lb Premix), Livestock premix (20056, 20057 PRO Series Organic Premix w/Natural E), Livestock premix (20057 PRO Series Equine Organic Premix w/Natural Vit E), Livestock premix (20101, 20102, 20103  Organic Lactation Mineral No Chelates), Livestock premix (DT Immuno Pak), Livestock premix (Organic Close-Up Mineral)</t>
  </si>
  <si>
    <t>Preservatives/Extracts/Flavors: Extracts (Extract: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Geranium of Sertão, Ginger, Ginseng, Goji berry, Golden Linseed, Gracilaria, Grape,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Lemon grass,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Rose Hip,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Extract(liquid, powder and aromatic), White Nettle, White Sesame, White thyme, Wild apricot, Wild Green Peach, Wild Rose Hip, Willow tree, Witch hazel, Xanana, Yarrow, Yellow Ipe, Yellow mombin, Ylang-Ylang.), Extracts (Hydrolate: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Geranium, Geranium of Sertão, Ginger, Ginseng, Goji berry, Golden Linseed, Gracilaria, Grape, Grapefruit, Green coffee, Green Mandarim,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Hip, Rose,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Extracts (Tincture: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Tinctura, Burdock, Buriti, Butterfly pea, Cacay, Cactus, Cajazinho, Calendula, Caliopsis Tinctura, Camapu, Camelina, Camphor, Camu camu, Canelinha da Caatinga, Capril Caprilico, Capuchinha, Cardamon,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of Sertão, Geranium, Ginger, Ginseng, Goji berry, Golden Linseed, Gracilaria, Grape, Grapefruit, Green coffee, Green Mandarin,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Puxiri, Pygeum Africano, Quince, Quinoa, Quixabeira, Raspberry, Red Clover, Red Mandarim, Red Monbin, Red Plum, Rice, Rose Apple, Rose Hip, Rose, Rosemary pepper, Rosemary, Rosewood, Sacha Inki, Safflower, Sage, Sandal, Sapodilla, Sapucaia, Seaberry, Senegal Acacia, Senegal Orchid, Senna, Sequoia, Sesame, Shea, Shealoe, Sideroxylon dulcificum, Sisal, Soursop, Soy, Spearmint, Spinach, Spirulina, Star grass, Starfish flower, Stevia, Strawberry, Sugarcane, Sunflower, Sweer Birch, Sweet Almond,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Oils &amp; Oleoresins: Glycerin: Coconut, Macaúba Coconut, Tucumã Coconut Glycerin., Oils (Oil (essential and fixed):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Oil / Grape Seed, Confrey, Congo Anubias, Copaiba, Corama, Coriander, Corn, Cotton, Crajiru, Cucumber, Cupuacu, Curry, Custard apple, Cypress, Daisy, Damiana, Dandelion, Desert rose, Dill, Dipirone, Dragon blood, Egyptian Geranium, Erva Baleeira, Eucalyptus Citriodora, Eucalyptus Globulus, Fava D'Anta, Fennel, Fox grape Oil / Grape Seed, Frankincence, Gamay grape Oil / Grape Seed Oil(essential and fixed), Garlic, Geranium of Sertão, Geranium, Ginger, Ginseng, Goji berry, Golden Linseed, Gracilaria, Grape, Grape Seed Oil,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Oil / Grape Seed,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Hip, Rose,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Wax: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Caliopsis, Camapu, Camelina, Camphor, Camu camu, Canelinha da Caatinga, Capril Caprilico, Capuchinha, Cardamon, Carnauba, Carqueja, Carrot, Cashew, Cassava, Castor, Catolé Coconut, Catuaba, Cedarwood, Celandine, Centella Asiática, Chamomile, Cherry Tomato, Cherry,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of Sertão, Geranium, Ginger, Ginseng, Goji berry, Golden Linseed, Gracilaria, Grape, Grapefruit, Green coffee, Green Mandarin,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Puxiri, Pygeum Africano, Quince, Quinoa, Quixabeira, Raspberry, Red Clover, Red Mandarim, Red Monbin, Red Plum, Rice, Rose Apple, Rose Hip, Rose, Rosemary pepper, Rosemary, Rosewood, Sacha Inki, Safflower, Sage, Sandal, Sapodilla, Sapucaia, Seaberry, Senegal Acacia, Senegal Orchid, Senna, Sequoia, Sesame, Shea, Shealoe, Sideroxylon dulcificum, Sisal, Soursop, Soy, Spearmint, Spinach, Spirulina, Star grass, Stevia, Strawberry, Sugarcane, Sunflower, Sweer Birch, Sweet Almond,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Dairy: Butter (Butter: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Geranium of Sertão, Ginger, Ginseng, Goji berry, Golden Linseed, Gracilaria, Grape,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Lemon grass,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Rose Hip,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t>
  </si>
  <si>
    <t>Other: Aloe Vera Juice, Apple Juice, Arugula, Basil, Beet Juice, Blackberry Juice, Blueberry Juice, Broccoli, Cabbage, Cantaloupe, Carrot Juice, Cashew Milk, Celery Juice, Celery Juice, Chard, Cherry Juice, Chicory, Chive, Chocolate Bar Coating (Chewy Chocolate Raw Snack), Cilantro, Coconut Milk (Haldi), Coconut Water (Kaphi), Coconut Water (Thai Coconuts Juice), Collard Greens, Cranberry Juice, Cucumber Juice, Daikon Radish, Dandelion, Dried Apples (Apple Crunch Raw Snack), Dried Apples (Apples), Dried Blueberries (Blueberries), Dried Coconut (Coconut Shreds), Dried Goji Berries (Goji Berries), Dried Goldenberries (Goldenberries), Dried Persimmons (Persimmons), Dried Pineapple (Pineapple), Dried Pineapple (Salty Crisps Raw Snack), Fennel, Garlic Juice, Ginger (crystalized) (Candied Ginger), Ginger Juice, Grape Juice, Grapefruit Juice, Hazelnuts (Hazelnut Milk), Horseradish, Jicama, Juice Blend (Alabu), Juice Blend (Aloe Shot (Aloe &amp; Lime)), Juice Blend (Bala), Juice Blend (Balance Smoothie (Blackberry)), Juice Blend (Balance Smoothie (Blueberry)), Juice Blend (Broccoli Shot), Juice Blend (Celery Juice), Juice Blend (Dharma), Juice Blend (Energy Smoothie), Juice Blend (Ginger Shot), Juice Blend (Guru), Juice Blend (Immunity Smoothie), Juice Blend (Jiva), Juice Blend (Karma), Juice Blend (Kasa), Juice Blend (Malana), Juice Blend (Mantra), Juice Blend (Maya), Juice Blend (Mudra), Juice Blend (Navai), Juice Blend (Om), Juice Blend (Prana), Juice Blend (Rupa), Juice Blend (Seva), Juice Blend (Shanti), Juice Blend (Shauca), Juice Blend (Summer), Juice Blend (Supattra), Juice Blend (Tantra), Juice Blend (Tura), Juice Blend (Turmeric Shot), Juice Blend (Vitality Smoothie), Juice Blend (Zen), Kale Juice, Kohlrabi, Leek, Lemon Juice, Lemonade Base Juice (Tola), Lemongrass, Lime Juice, Mango Juice, Melon, Mint, Non-Dairy Frozen Desserts (Earth), Non-Dairy Frozen Desserts (Jupiter Pop), Non-Dairy Frozen Desserts (Mars), Non-Dairy Frozen Desserts (Neptune), Non-Dairy Frozen Desserts (Pluto), Non-Dairy Frozen Desserts (Saturn), Non-Dairy Frozen Desserts (Venus), Oat Milk, Orange Juice, Orange Juice (OJ), Parsley Juice, Pea, Peach Juice, Pear Juice, Pecans (Pecan Milk), Pepper, Pineapple Juice, Plum, Pumpkin Juice, Radicchio, Radish, Romaine Juice, Spinach Juice, Sprouted Almonds (Almonds), Squash, Strawberry Juice, Tangerine Juice, Tomatillo, Tomato Juice, Turmeric Juice, Turnip, Walnuts (Walnuts), Watermelon Juice, Yam</t>
  </si>
  <si>
    <t>Meat Products: Layers, Pullets, Spent Layers; Eggs: Eggs (Eggs (bulk)); Animal Feed: Corn (bulk), Dairy Feed (bulk), Flax Seed (bulk), Ground Corn (bulk), PA Organic Calf Feed, Poultry Layer Feed, Poultry Pullet Feed, Roasted Soybeans, Rosenberry Concentrate, Soybean Hulls (bulk), Soybean Meal (bulk), Soybean Oil (bulk), Soybeans (bulk), Sunflower Meal (bulk), Wheat (bulk), Wheat Midds</t>
  </si>
  <si>
    <t>Other: #Private label handling of feed and mineral mixes. Receiving, mixing, rolling, bagging, pelleting, drying, crumbling, grain bank storage, and delivering organic grains and custom feed blends, Custom Feed Blends (for individual producers, using organic agricultural and approved nonagricultural ingredients)., Dairy Feed Blends: “O” BioBaby Mixer Pellet, “O” BioBaby Calf Starter, “O” BioBaby Base Pellet, Dairy Feed Blends: Bluff Country Organic Calf 16, Bluff Country Organic Calf 18 Farm, Bluff Country Organic Developer 28, Dairy Feed Blends: Brood Cow 7.0, Brood Cow Hi Mag,14% Dairy, 16% Calf Starter, 18% Calf Pellet, 18% Calf Starter, 26% Calf Grow Pellet, Dairy 35%, 35% Calf Pellet, 16% Calf LOL;, Dairy Feed Blends: McNess Org 18 Calf Pellet, Feed Blends: 18% Rabbit Pellet, 20% Lamb Starter, 16% Goat Ration, 14% No Soy Goat Ration, 16% Hog, RCS Dry Goat Pellet, RCS Kid 18 St/Gr Pellet w/ Farmatan, Organic Cattle Grower Pellet, Organic 21 Goat Creep Pellet, RCS Goat Concentrate 32%., Feed Blends: ST Biologicals 36% Dairy Calf Conc, Hill High Dry Cow Pellet MP, McNess Org 18 Calf, McNess Org 34 Conc Pellets, McNess Org Goat Lac Pllt;, Mineral Blends (with Organic Ingredients): Ag Partners Organic Goat Mineral, Fertrell Aloe Pellets, Apex Mixer Pellet, Premium 2:1 Mineral, Premium 1:1 Mineral, Dairy Supreme 1:1, HiCal Supreme 2:1, Dry Cow Supreme Premix, RCS Goat Mineral, Sheep Mineral, Dairy Micro Premix, Fine Feathered Premix, Sow Premix, Free Choice Mineral, Dairy Micro Premix 2X, Hog Grow/Finish Premix, Poultry Builder, Poultry Builder NMTH, RCS Goat 24 Blend Pellet, 13862 McNess Org Heifer Mineral Non-Lactating Dairy Cattle, 13861 McNess Org Dry Cow Min Non-Lactating Dairy Cattle, Hi Cal w/Agolin Lactating Dairy, Dry Cow w/Agolin;, Mineral Blends (with Organic Ingredients): Aloe Pellets, 901710 Clean Start Pellet, 13235 Equi Clean PelletClean Start Pellet Herbal Digestive Cleanse, Mineral Blends (with organic Ingredients): Dairy 1.5:1 Mineral, Dairy 3:1 Mineral, Dry Cow Mineral, Klaphake Custom Mineral, Schneider Dry Cow Mineral, Schneider Lactation Mineral, Schneider Summer Lactation Mineral, Mineral Blends (with Organic Ingredients): Essential Solutions Green 1:1, Essential Solutions Yellow 2:1, Mineral Blends (with Organic Ingredients): 'O' AF Goat Conc 30 P, 'O' AF Calf Conc 30 P;, Poultry Feed Blends: 14% Layer, 16% Layer, 16% Whole Grain Layer, 16% No Soy Layer, 16% Layer Pellets, 18% Layer,18% Layer Pellet, 18% No Soy Layer, 18% No Soy Layer Pellets, 19% Fine Finish, 21% Start N Grow, 24% Turkey Grower, 16% Chick Grower, 19% Chick Starter, Hartwig Org. Layer Base, Hartwig Org. Pullet Base, Scratch Grain, Willy Street 16% No Soy Layer;, Poultry Feed Blends: Family Flock Organic Layer, Family Flock Organic Broiler, Swift Start Calf Pellets OA, Swift Start Organic 16% Calf Grower, Swift Start Organic 18% Calf Starter., Single-ingredient products: alfalfa pellets, alfalfa meal, barley, corn, corn rolled, flax meal, flax seed, molasses, oats, peas, soybean meal, soybeans roasted, soy oil, wheat, wheat midds, wheat midds pellets.</t>
  </si>
  <si>
    <t>Other: #Handling of organic livestock: Beef Cattle, Dairy Cattle, Goats, Sheep, Swine; Handling of organic commodities: Hay, Baleage, Straw., Organic commodities: Hay, Baleage, Straw, Organic livestock: Beef Cattle, Dairy Cattle, Goats, Sheep, Swine</t>
  </si>
  <si>
    <t>Animal Feed: 4ward Ag Dry Cow Mineral Farm Pac OU, 4ward Ag Enhancer, 4ward Ag FWA S Esh Grass Fed Lactating Mineral OU, 4ward Ag Heifer Mineral Farm Pac OU, 4ward Ag Joel Hurst Lactating Mineral OU, 4ward Ag Lactating Mineral Farm Pac OU, 4ward Ag Lactating Mineral Farm Pac OU Agolin, 4ward Ag Performance, AGL J Miller Lactating Mineral OU, Calf Starter Premix, C-Factor, Complete Lactating Mineral, Complete Lactating Mineral #2, Complete Lactating Mineral #3, Complete Lactating Mineral #4, Dry Cow Mineral, Dry Cow Mineral OU, EDC D Stoltzfus Dairy Mineral OU, EDC Dry Cow Mineral OU, EDC Elliott Organic Pac, EDC J Glick Lactating Mineral OU, EDC S Beiler Dairy Mineral OU, FHF Dry Cow Mineral OU, FHF Heifer Mineral OU, FHF Lactating Mineral OU, Fresh Start, FWA Rock Hollow VTM Farm Pac OU, Heifer Mineral, IB VTM w/ Kelp, Lactating Mineral, Lactating Mineral, Lactating Mineral &amp; Buffer, Lactating Mineral NRG, Maximizer, MIDT D. Esh OU Dry Cow Mineral, MIDT Daniel Esh Lactating Mineral OU, MIDT John Stoltzfus Jr. Lactating Mineral OU, Mid-Ton Ammon Fisher Grassfed Mineral OU, Mid-Ton Grassfed Mineral OU, MME Economy OU Lactating Mineral, MME OU Dry Cow Mineral, Optimizer, VTM w/ Kelp</t>
  </si>
  <si>
    <t>Processed  Items: Canned cut baby corn in brine, Canned whole baby corn in brine, Jarred whole baby corn in brine; Beverage Related Products: Canned coconut water, Canned coconut water with pulp, Non-Dairy Milk (Canned coconut milk / coconut cream (12-14% fat)), Non-Dairy Milk (Canned coconut milk / coconut cream (14-16% fat)), Non-Dairy Milk (Canned coconut milk / Coconut cream (17-19% fat)), Non-Dairy Milk (Canned coconut milk / coconut cream (20-22% fat)), Non-Dairy Milk (Canned coconut milk / coconut cream (8-10% fat)), Non-Dairy Milk (Canned coconut milk / Light coconut milk (5-7% fat))</t>
  </si>
  <si>
    <t>Other: Beverage (Nira Craft Fermented Soda - Cherry Vanilla), Beverage (Nira Craft Fermented Soda - Ginger Ale), Beverage (Nira Craft Fermented Soda - Hoppy Grapefruit), Dairy (Bubbly Probiotic Refresher Classic Beet), Dairy (Bubbly Probiotic Refresher Spicy Ginger aka Ginger Lemongrass ), Dairy (Sparkling Probiotic Elixir -  Lime Electrolyte), Dairy (Sparkling Probiotic Elixir -  Passion Fruit Mandarin), Dairy (Sparkling Probiotic Elixir -  Turmeric Tangerine ), Dairy (Sparkling Probiotic Elixir - Tropical Pineapple ), Hot Sauce (Dragon and Bunny Field Blend), Hot Sauce (Golden Hot), Hot Sauce (Hardly Hot), Hot Sauce (Hot Hot), Hot Sauce (Red Hot), Sauerkraut (Gut Shot Apple Cinnamon), Sauerkraut (Gut Shot Beet Ginger), Sauerkraut (Gut Shot Classic), Sauerkraut (Gut Shot Garlic Dill), Sauerkraut (Gut Shot Golden Turmeric), Sauerkraut (Sauerkraut (Non-retail))</t>
  </si>
  <si>
    <t>Other: Dairy cow: retail meat cuts</t>
  </si>
  <si>
    <t>Other: pasteurized colostrum</t>
  </si>
  <si>
    <t>Other: Butter, Buttermilk, Cultured butter, Gelato, Chocolate, Gelato, Coffee, Gelato, Orange Cream, Gelato, Vanilla Bean, Gelato, Vermont Maple, Maple yogurt, Pasteruized milk, Plain yogurt, Raw milk</t>
  </si>
  <si>
    <t>Other: Black Capped Cache, Dairy cow: retail meat cuts, Dairy cow: veal retail meat cuts, Dream Cheese - Fiery Maple, Dream Cheese - Herb, Dream Cheese- Lightly Salted, Tomme Swallow Tail, Tom-Tom</t>
  </si>
  <si>
    <t>Animal Feed: blended complete feeds and livestock feed ingredients (Calf Starter 18%,
Broiler Base Mix #1-#4,
Poultry Complete Grower,
Layer Complete 17%,
Pullet Premix,
Custom Pullet Chick Starter
Custom Pullet Pullet Developer,
Custom Layer Layer 1-18,
Vitamin E 20000,
Dairy 2-1 Mineral
Dairy Complete
Dairy Grain Mix
Poultry Complete Starter
Poultry Complete Finisher
Poultry Premix
Layer Premix
Custom Pullet, Chick Pre-Starter
Custom Pullet, Pullet Grower
Custom Pullet, Pullet Pre-Layer
Turkey Base #1-#7
Oro Glo), Livestock feed ingredients (Alfalfa Pellets, whole or ground
Corn, ground or whole
Flax Seed
Molasses
Soybeans (raw)
Pro-Soy extruded whole soybeans
Field Peas, whole
Barley, whole
Expelled soybean oil
Milo, whole or cracked
Oats
Pro-Soy expelled whole soybeans
Wheat Middlings)</t>
  </si>
  <si>
    <t>Other: Beef (Retail Cuts)</t>
  </si>
  <si>
    <t>Other: Annatto Extract, Bulk Buttery Sticks 1lb. Salted, Bulk Buttery Sticks 1lb. Unsalted, Bulk Buttery Sticks 30lb. Salted, Bulk Buttery Sticks 30lb. Unsalted, Bulk Buttery Sticks 5lb. Salted, Bulk Buttery Sticks 5lb. Unsalted, Butter Sticks Made From Plants 2pk. Salted, Butter Sticks Made From Plants 2pk. Unsalted, Butter Sticks Made From Plants 4pk. Unsalted, Buttery Plant-Based Spread, Buttery Spread, Buttery Sticks, Cold Pressed Plant Butter, Salted Sticks 16oz, Cold Pressed Plant Butter, Salted Sticks 8oz, Cold Pressed Plant Butter, Spread 13oz, Cold Pressed Plant Butter, Unsalted Sticks 8oz, Dairy Free Plant-Based Buttery Spread, Dairy Free Plant-Based Buttery Sticks, High-Oleic Sunflower Oil, Melt Probiotic Butter Spread, Natural Flavors, Palm Shortening, Plant Based Non-Dairy Buttery Spread, Plant Based Non-Dairy Buttery Sticks, Plant-Based Buttery Spread, Plant-Based Buttery Spread, Plant-Based Buttery Spread Sticks, Plant-Based Buttery Sticks, Refined Coconut Oil, Refined Flaxseed Oil, Vegan Buttery Spread, Vegan Buttery Spread 28oz</t>
  </si>
  <si>
    <t>Processed  Items: Coconut Fiber, High Fat Desiccated Coconut, High Fat Medium Desiccated Coconut, Low Fat Desiccated Coconut, Organic Coconut Cream Powder, Organic Coconut Whipping Cream, Raw Chips Desiccated Coconut; Preservatives/Extracts/Flavors: Coconut Barista Creamer; Oils &amp; Oleoresins: Oils (Virgin Coconut Oil); Dry/Baking Goods: Flours and Meals (Coconut Flour); Bread/Bakery/Snacks: Packaged Snacks and Chips (Coconut Chips.); Beverage Related Products: Aseptic / UHT Coconut Water, Canned Coconut Water., Non-Dairy Milk (Aseptic / UHT Coconut Cream), Non-Dairy Milk (Aseptic / UHT Coconut Milk), Non-Dairy Milk (Aseptic / UHT Milk Beverage Pure), Non-Dairy Milk (Canned Coconut Milk), Non-Dairy Milk (Canned Coconut Cream.)</t>
  </si>
  <si>
    <t>Oils &amp; Oleoresins: Oils (Coconut Oil); Dry/Baking Goods: Sweeteners (Coconut Sugar), Sweeteners (Coconut Sugar Powder.), Sweeteners (Evaporated Coconut Nectar), Sweeteners (Evaporated Coconut Nectar Powder); Condiments and Sweeteners: Sweeteners (Coconut Syrup.), Sweeteners (Coconut Nectar.); Beverage Related Products: Non-Dairy Milk (Coconut Cream)</t>
  </si>
  <si>
    <t>Oils &amp; Oleoresins: Oils (Coconut Oil); Dry/Baking Goods: Sweeteners (Coconut Blossom Sugar.), Sweeteners (Coconut palm sugar.), Sweeteners (Coconut Sugar), Sweeteners (Coconut Sugar Crystal), Sweeteners (Coconut Sugar Powder.), Sweeteners (Javanese Coconut Sugar), Sweeteners (Keraton Organic Coconut Sugar); Beverage Related Products: Non-Dairy Milk (Coconut milk)</t>
  </si>
  <si>
    <t>Oils &amp; Oleoresins: Oils (Coconut Oil); Dry/Baking Goods: Sweeteners (Coconut Blossom Sugar.), Sweeteners (Coconut palm sugar.), Sweeteners (Coconut Sugar), Sweeteners (Coconut Sugar Crystal), Sweeteners (Coconut Sugar Powder.), Sweeteners (Javanese Coconut Sugar), Sweeteners (Keraton Coconut Sugar); Beverage Related Products: Non-Dairy Milk (Coconut milk)</t>
  </si>
  <si>
    <t>Seasonings: Spices (Cold Pressed Emprit Ginger Powder), Spices (Cold Pressed Red Ginger Powder), Spices (Cold Pressed Turmeric Powder); Fruits/Vegetables: Coconut, Mangosteen; Condiments and Sweeteners: Sugar (Coconut Sugar Block.), Sugar (Fine Coconut Sugar), Sugar (Granulated Coconut Sugar.), Syrups (Coconut Nectar Syrup); Beverage Related Products: Non-Dairy Milk (Coconut Milk); Other: Coconut nectar</t>
  </si>
  <si>
    <t>Processed  Items: Desiccated Coconut; Preservatives/Extracts/Flavors: Seasoning Blends (Ayam, Ayam Brand, DuChef, Tsara, Yum Eat coconut cream), Seasoning Blends (Ayam, Ayam Brand, DuChef, Tsara, Yum Eat coconut cream light), Seasoning Blends (Klatu Organic), Seasoning Blends (Klatu Premium), Seasoning Blends (Coconut Cream Pure), Seasoning Blends (Klassic Coconut Cream 24%); Dry/Baking Goods: Powders (Coconut Milk Powder), Powders (Coconut Water Powder); Beverage Related Products: Coconut Water (multi ingredients), Coconut Water Pure, Non-Dairy Milk (Ayam Brand Coconut Milk (multi ingredients)), Non-Dairy Milk (Ayam Brand Coconut Milk Organic Less Fat Formula), Non-Dairy Milk (Ayam, Ayam Brand, DuChef, Tsara, Yum Eat coconut milk), Non-Dairy Milk (Ayam, Ayam Brand, DuChef, Tsara, Yum Eat coconut milk light), Non-Dairy Milk (Coconut Milk (multi ingredients)), Non-Dairy Milk (Coconut Milk Beverage Pure), Non-Dairy Milk (Coconut Milk Light (multi ingredients)), Non-Dairy Milk (Coconut Milk Organic Less Fat Formula (multi ingredients)), Non-Dairy Milk (Coconut Milk Pure), Non-Dairy Milk (Klassic Coconut Milk 17%)</t>
  </si>
  <si>
    <t>Processed  Items: Coconut Water, Cream (Coconut Cream with Stabilizer), Non-Dairy Milk (Coconut Milk with Stabilizer), Non-Dairy Milk (Coconut Milk without Stabilizer); Fruits/Vegetables: Coconut Fruit, High Fat Desiccated Coconut, Low Fat Desiccated Coconut; Condiments and Sweeteners: Cream (Coconut Cream without Stabilizer)</t>
  </si>
  <si>
    <t>Dairy: Milk (Fat Free Milk), Milk (Low Fat Milk), Milk (Reduced Fat Milk), Milk (Whole Milk), Sour Cream (Sour Cream), Yogurt (Greek Fat Free Plain Yogurt), Yogurt (Greek Fat Free Vanilla Flavored Yogurt), Yogurt (Greek Whole Milk Plain Yogurt)</t>
  </si>
  <si>
    <t>Dairy: Cream (Heavy Whipping Cream), Icecream (12% Chocolate Ice Cream Mix), Icecream (12% White Ice Cream Mix), Icecream (Chocolate Ice Cream), Icecream (Chocolate Truffle Ice Cream), Icecream (Coffee Ice Cream), Icecream (Cookies and Cream Ice Cream), Icecream (Mint Chocolate Ice Cream), Icecream (Neopolitan Ice Cream), Icecream (Peanut Butter Trinity Ice Cream), Icecream (Salted Caramel Ice Cream), Icecream (Strawberry Ice Cream), Icecream (Vanilla Ice Cream), Milk (Fat Free Milk), Milk (Lactose Free Fat Free Milk), Milk (Lactose Free Reduced Fat Milk), Milk (Lactose Free Whole Milk), Milk (Low Fat Milk), Milk (Reduced Fat Chocolate Milk), Milk (Reduced Fat Milk), Milk (Whole Milk), Other Dairy - Egg Nog, Other Dairy - Half &amp; Half</t>
  </si>
  <si>
    <t>Processed  Items: Dehydrated Foods; Oils &amp; Oleoresins: Oils, Oils; Dry/Baking Goods: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Dairy: Butter</t>
  </si>
  <si>
    <t>Other: Organic Rice Breading Organic Sprouted Brown Rice Crisps Organic Fruit &amp; Veggie Puffs Strawberry, Coconut, &amp; Sweet Potato Organic Fruit &amp; Veggie Puffs Mango, Coconut, &amp; Carrot Organic Fruit &amp; Veggie Puffs Apple, Sweet Potato &amp; Coconut Vegan Caulitos Sea Salt Vegan Caulitos Dairy Free Nacho</t>
  </si>
  <si>
    <t>Processed  Items: Dehydrated Foods (Goji Dried Berry); Preservatives/Extracts/Flavors: Beta Carotene, Concentrates (Goji Concentrate), Extracts (Acerola Extract), Extracts (Ashwagandha Extract), Extracts (Bilberry Extract), Extracts (Chaga Mushroom Extract), Extracts (Cistanche Extract), Extracts (Cordyceps Extract), Extracts (Cranberry Extract), Extracts (Dandelion Extract), Extracts (Epimedium Extract), Extracts (Goji Extract), Extracts (Milk Thistle Extract), Extracts (Monk Fruit Extract), Extracts (Olive Leaf Extract), Extracts (Pine Bark Extract), Extracts (Reishi Mushroom Extract), Extracts (Rosehip Extract), Extracts (Seaberry Extract), Extracts (Shiitake Mushroom Extract), Extracts (Shitake Mushroom Extract), Extracts (Valerian Root Extract), Powders (Acai Powder), Powders (Acerola Powder), Powders (Alfalfa Grass Juice Powder), Powders (Alfalfa Powder), Powders (Ashwagandha Powder), Powders (Barley Grass Juice Powder), Powders (Barley Grass Powder), Powders (Barley Juice Powder), Powders (Beet Root Powder), Powders (Blueberry Powder), Powders (Camu Camu Powder), Powders (Cardiomegia Powder), Powders (Chaga Mushroom Powder), Powders (Chlorella Powder), Powders (Cinnamon Powder), Powders (Coconut Water Powder), Powders (Cranberry Powder), Powders (CyanthOx), Powders (Epimedium Powder), Powders (Fenugreek Powder), Powders (Garcinia Cambogia Powder), Powders (Garlic Powder), Powders (Ginger Powder), Powders (Goji Fruit Powder), Powders (Goji Polysaccharide), Powders (Goji Poysaccharide), Powders (Lucuma Powder), Powders (Maca Powder), Powders (Milk Thistle Powder), Powders (Mushroom Powder), Powders (Omegia), Powders (Omegia OP 2.0), Powders (Passion Fruit Powder), Powders (Pea Protein Powder), Powders (Phenoleaf), Powders (Pine Bark Powder), Powders (Pomegranate Powder), Powders (Pumpkin Seed Protein Powder), Powders (Raspberry Powder), Powders (Rice Protein Powder), Powders (Rosehip Powder), Powders (Schisandra Powder), Powders (Sea Buckthorn Powder), Powders (Sea Buckthorn Proanthocyanidins), Powders (SeaBerry (Fruit) Vit-Powder), Powders (Seaberry Baby Leaf Powder), Powders (Seaberry Fruit Powder), Powders (Seaberry Omega Powder), Powders (Seaberry OP 2.0), Powders (Seaberry Proanthycyanidins), Powders (Seaberry Seed Powder), Powders (Spirulina Powder), Powders (Turmeric Root Powder), Powders (Valerian Root Powder), Powders (Vitamin D Mushroom Powder), Powders (Wheat Grass Powder), Powders (Wheat Juice Powder); Oils &amp; Oleoresins: Oils (Cardiomegia Oil), Oils (Coconut Oil), Oils (Evening Primrose Oil), Oils (Flaxseed Oil), Oils (Goji Seed Oil), Oils (Jojoba Oil), Oils (Omegia Oil), Oils (Pumpkin Seed Oil), Oils (Sea Buckthorn Oil), Oils (Seaberry - Seed Oil), Oils (Seaberry Fruit Oil), Oils (Seaberry Seed Oil); Condiments and Sweeteners: Sugar (Coconut Sugar); Beverage Related Products: Juice (Goji Raw Juice), Juice (Sea Buckthorn Juice), Juice (SeaBerry Juice), Non-Dairy Milk (Coconut Milk Powder), Purees (Goji Puree), Purees (Seaberry Puree), Tea (Sea Buckthorn Tea), Tea (Seaberry Tea)</t>
  </si>
  <si>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</si>
  <si>
    <t>Oils &amp; Oleoresins: Oils (EXTRA VIRGIN OLIVE OIL), Oils (Organic Coconut Oil), Oils (Organic Virgin Coconut Oil), Oils (Coconut Oil(RBD)), Oils (EXTRA VIRGIN OLIVE OIL**), Oils (EXTRA VIRGIN OLIVE OIL*); Fruits/Vegetables: Capers, Mulberries, Apricots, Dates, Figs, Plums (prunes), Olives, Organic Peach/Apricot/Apple Juice, ORGANIC SOFT DRIED APRICOT, ORGANIC SOFT DRIED DATE, ORGANIC SOFT DRIED FIG, ORGANIC SOFT DRIED PRUNE, Sundried Tomatoes In Any Retail Package / Olive Oil; Dry/Baking Goods: Flours and Meals (Organic Coconut Flour); Beverage Related Products: Juice (Apple Juice), Juice (Coconut Water), Juice (Cranberry Juice), Juice (Organic Green Mix Juice), Juice (Organic Mango Juice), Juice (Organic Pineapple Juice), Juice (Organic Pomegranate Juice), Juice (Organic Red Beet Juice), Juice (Organic Red Mix Juice), Juice (Organic Tart Cherry Juice), Juice (Organic Tropical Juice), Juice (Organic Watermelon Juice), Juice (Prune Juice), Non-Dairy Milk (Organic coconut cream 22-30 % fat), Non-Dairy Milk (Organic coconut cream 30 % fat), Non-Dairy Milk (Organic coconut cream  30% fat (multi ingredient )), Non-Dairy Milk (Organic coconut milk 12% fat - light (multi ingredient)), Non-Dairy Milk (Organic coconut milk 12% fat (coconut milk light )), Non-Dairy Milk (Organic coconut milk 12-18 % fat), Non-Dairy Milk (Organic coconut milk 17 % fat), Non-Dairy Milk (Organic coconut milk 17% fat (multi ingredient)), Non-Dairy Milk (Organic coconut milk 3.5-12% fat (coconut milk light ))</t>
  </si>
  <si>
    <t>Other: Organic Creamline Yogurt, Gallon, Quart, Organic Fresh Mozzarella, Organic Jack Cheese, Organic Panir, Organic Ricotta, Organic Vanilla Soft Serve, Gallon, Organic Whipping Cream, Pint, Quart, Pasteurization, Blending and Mixing of Dairy Products, Processing, Handling and Packaging of Dairy and Dairy Products</t>
  </si>
  <si>
    <t>Condiments and Sweeteners: Sweeteners (Blackstrap Molasses, Cane Sugar); Animal Feed: Livestock Feed (High Energy Cattle Feed)</t>
  </si>
  <si>
    <t>Processed  Items: Processed Items-Other - Frozen Dessert - Vanilla, Processed Items-Other - Mint Mix; Dairy: Other Dairy - NAIA 1097-BB6 Mix, Other Dairy - NAIA 1097-BC4 Mix, Other Dairy - NAIA 1097-RC3 Mix, Other Dairy - NAIA 1097-SC1 Mix, Other Dairy - NAIA 1097-SW5 Mix, Other Dairy - NAIA 1097-VC2 Mix</t>
  </si>
  <si>
    <t>Dairy: Milk (Raw Bulk Milk)</t>
  </si>
  <si>
    <t>Processed  Items: Processed Items-Other - WIP Cashew Milk (a), Processed Items-Other - WIP Cashew Milk (b), Ready to Eat Foods (European Style Salted Plant Milk Butter), Ready to Eat Foods (European Style Unsalted Plant Milk Butter), Ready to Eat Foods (Organic Cashew Milk Cream Cheese Cinnamon Raisin), Ready to Eat Foods (Organic Cashew Milk Cream Cheese Classic Plain), Ready to Eat Foods (Organic Cashew Milk Cream Cheese Everything), Ready to Eat Foods (Organic Cashew Milk Cream Cheese Fish Free Lox), Ready to Eat Foods (Organic Cashew Milk Cream Cheese Savory Scallion), Ready to Eat Foods (Organic Plant Milk Cheddar Block), Ready to Eat Foods (Organic Plant Milk Cheese Spread Jalapeño), Ready to Eat Foods (Plant Milk Cheese Spread - Classic Chive), Ready to Eat Foods (Plant Milk Cheese Spread - Garlic Herb), Ready to Eat Foods (Plant Milk Cheese Spread - Sun-Dried Tomato), Ready to Eat Foods (Plant Milk Cheese Spread Roadhouse Cheddar), Ready to Eat Foods (Plant Milk Cream Cheese Classic Plain), Ready to Eat Foods (Plant Milk Cream Cheese- Strawberry), Ready to Eat Foods (Plant Milk Mozzarella - Classic), Ready to Eat Foods (Pourable Plant Milk Mozzarella), Ready to Eat Foods (Roadhouse Cheddar - Organic Cashew Milk Cream Cheese Spread - Garlic Chive); Dairy: Butter (European Style Cultured Vegan Butter Salted), Butter (European Style Cultured Vegan Butter Unsalted), Cottage Cheese (Lactose Free Cottage Cheese), Cream (Cream #50), Cream (Lactose Free Cream), Cream (Lactose Free Sour Cream), Cream Cheese (Lactose Free Cream Cheese), Milk (Lactose Free Low Fat Milk), Milk (Lactose Free Skim Milk), Milk (Lactose Free Whole Milk), Milk (Low Fat Milk #10), Milk (Skim Milk #20), Milk (Whole Milk #30), Other Dairy - Lactose Free Blueberry Pomegranate Acai Kefir, Other Dairy - Lactose Free Organic Kefir, Other Dairy - Lactose Free Plain Kefir, Other Dairy - Lactose Free Whole Milk Plain Kefir, Other Dairy - Lactose Free Whole Milk Strawberry Kefir, Yogurt (Lactose Free Blueberry Yogurt), Yogurt (Lactose Free Plain Yogurt), Yogurt (Lactose Free Strawberry Yogurt), Yogurt (Lactose Free Vanilla Yogurt), Yogurt (Lactose Free Whole Milk Plain Yogurt)</t>
  </si>
  <si>
    <t>Other: alfalfa Livestock Feed (Alfalfa Pellets), Livestock Feed (Duck Blend - Duck Developer Feed), Livestock Feed (Duck Blend - Duck Layer Maintenance Feed), Livestock Feed (Duck Blend - Soy Free Duck Developer Feed), Livestock Feed (Duck Blend - Soy Free Layer Duck Maintenance), Livestock Feed (Flax Oil), Livestock Feed (Horse Blend - Horse Feed), Livestock Feed (Quail Blend - Quail Feed), Livestock Feed (Quail Blend - Quail Starter), Livestock Feed (Quail Blend - Soy Free Quail Feed), Livestock Feed (Quail Blend - Soy Free Quail Starter), Livestock Feed - Barley, Livestock Feed - Beef Blend (Beef Finisher Feed), Livestock Feed - Corn (Cracked Corn), Livestock Feed - Corn (Ground Corn), Livestock Feed - Corn (Whole Corn), Livestock Feed - Dairy Blend (Cow (Dairy) Feed), Livestock Feed - Dairy Blend (Soy Free Cow (Dairy) Feed), Livestock Feed - Flax (Flax Seed), Livestock Feed - Flax Meal, Livestock Feed - Goat Blend (Goat Feed), Livestock Feed - Goat Blend (Soy Free Goat Feed), Livestock Feed - Milo, Livestock Feed - Oats, Livestock Feed - Oats (Rolled Oats), Livestock Feed - Peas (Field Peas), Livestock Feed - Poultry Blend (Broiler Grower Feed), Livestock Feed - Poultry Blend (Layer Feed), Livestock Feed - Poultry Blend (Poultry Starter), Livestock Feed - Poultry Blend (Pullet Feed), Livestock Feed - Poultry Blend (Soy &amp; Corn Free Layer Feed), Livestock Feed - Poultry Blend (Soy &amp; Gluten Free Layer Feed), Livestock Feed - Poultry Blend (Soy Free Broiler Grower Feed), Livestock Feed - Poultry Blend (Soy Free Layer Feed), Livestock Feed - Poultry Blend (Soy Free Poultry Starter), Livestock Feed - Poultry Blend (Soy Free Pullet Feed), Livestock Feed - Rabbit Blend (Rabbit Feed), Livestock Feed - Ruminant Blend (Calf Starter Feed), Livestock Feed - Scratch (Scratch Feed), Livestock Feed - Sesame Meal, Livestock Feed - Sheep Blend (Sheep Feed), Livestock Feed - Swine Blend (Soy Free Swine Finisher Feed), Livestock Feed - Swine Blend (Soy Free Swine Grower Feed), Livestock Feed - Swine Blend (Swine Finisher Feed), Livestock Feed - Swine Blend (Swine Grower Feed), Livestock Feed - Turkey Blend (Soy Free Turkey Grower Feed), Livestock Feed - Turkey Blend (Soy Free Turkey Starter  Feed), Livestock Feed - Turkey Blend (Turkey Grower Feed), Livestock Feed - Turkey Blend (Turkey Starter Feed), Livestock Feed - Wheat, Molasses Livestock Feed, Soybean Livestock Feed (Roasted), Sunflower Oil, Sunflower Oil Livestock Feed, Vegetable Oil Livestock Feed</t>
  </si>
  <si>
    <t>Other: Milk (Raw) (Regli Jerseys, Reas Creek Milking Facility)</t>
  </si>
  <si>
    <t>Dairy: Cheese, Cheese, Cheese, Cheese, Cheese, Milk, Milk, Yogurt</t>
  </si>
  <si>
    <t>Other: American Cheese (#051439OV Fiesta American Pasteurized Prepared Cheese), American Cheese (Pasteurized Process American Cheese Product 051411OV), American Cheese (Pasteurized Process White American Cheese Product 051417OV), Cheddar Cheese (89614 - RMF-000579 - CHEDDAR BLK), Cheese Sauce (#X-800232 NGMO Ale Type Cabot Cheese Sauce ), Cheese Sauce (#X-800233- Cabot Sharp Yellow Cheddar Cheese Sauce), Cheese Sauce (#X-800246 Buffalo Blue Cheddar Cheese Sauce ), Cheese Sauce (#X-800340 - Truffle and Ale Type Cabot Cheese Sauce), Cheese Sauce (#X-800341 - Cracked Pepper and Ale Type Cabot Cheese Sauce ), Cheese Sauce (#X-800348 - Caramelized Onion and Ale Type Cabot Cheese Sauce), Cheese Sauce (#X-800488 Aged Cheddar Cheese Sauce ), Cheese Sauce (#X-800489 White Cheddar Cheese Sauce), Cheese Sauce (Butter and Herb Sauce #151273), Cheese Sauce (Cabot Mild White Cheddar Cheese Sauce #X-800075 ), Cheese Sauce (Cabot Sharp White Cheddar Cheese Sauce #X-800074), Cheese Sauce (Cheddar Cheese Sauce #117125), Cheese Sauce (Cheddar Cheese Sauce #150561 ), Cheese Sauce (Cheddar Cheese Sauce #153466), Cheese Sauce (Classic Cheddar Cheese Sauce #151055), Cheese Sauce (Four Cheese Sauce #151037), Cheese Sauce (Four Cheese Sauce #151275), Cheese Sauce (Mild Cheddar Cheese PPCS #103124), Cheese Sauce (Mild Cheddar Cheese Sauce #102053A), Cheese Sauce (Mild Cheddar Cheese Sauce #103052A), Cheese Sauce (MWO Mild Cheddar Cheese Sauce #X-800078), Cheese Sauce (NGMO Truffle Type Cabot Cheese Sauce # X-800175), Cheese Sauce (Parmesan &amp; Roasted Garlic Cheese Sauce #150557), Cheese Sauce (Smoky Cheddar Cheese Sauce #151274), Cheese Sauce (Vegan Cheez Sauce #153001), Cheese Sauce (Vegan Cheez Sauce #X-800053), Cheese Sauce (White Cheddar Cheese Sauce #153465), Cheese Sauce (White Cheddar Cheese Sauce 148111), Cheese Sauce (X-800370 Buffalo Blue Type Cheddar Cheese Sauce), Cheese Sauce (X-800527 - Gluten-Free Classic Cheddar cheese Sauce), Cheese Sauce (X-800528 - Gluten-Free Four Cheese Sauce), Cheese Sauce (X-800529 - Gluten Free Real Aged White Cheddar Cheese Sauce), Cheese Sauce (X-800530 - Gluten-Free Real Aged Cheddar Cheese Sauce), Cheese Sauce (X-800668 Deluxe White Cheddar Cheese Sauce), Cheese Sauce (X-800681 Deluxe Yellow Cheddar Cheese Sauce), Cheese Sauce (Yellow Pasteurized Process Cheese Sauce #97017), Guar Gum (#89605 Guar Gum 3500F), Salted butter (#RMF-000192A Salted Butter 8011), Sweet Dairy Whey Powder (89603/RMF-003530 Sweet Whey ORG K), Unsalted butter ( RMF-000191 Butter Unsalted ORG K)</t>
  </si>
  <si>
    <t>Other: Cheese Powder (Enzyme Modified Cheddar Cheese Powder #152871K-IP-FLV-001119), Cheese Powder (Enzyme Modified Cheddar Cheese Powder #155800K - FLV-001102), Misc (NuXtend 150), Misc (Organic Bakegard VP), Misc Powders (Palm Pea Powder), Misc. Flavor (5003 ClearIQ™ Essential Flavor M360 Organic), Misc. Flavor (5011 ClearIQ™ Specialty Flavor A500 Organic), Oat Milk (Avenolait (Whole Grain Oat Dairy Alternative)), Oat Milk (Avenolait LF (Whole Grain Oat Dairy Alternative)), Rice Powder (Orzy-o-lait (Brown Rice Dairy Alternative)), Rice Protein Concentrate (Oryzatein SG-BN), Tamari Powder (Gluten Free Dry Tamari Soy Sauce), Tamari Powder (Wheat-Free Tamari Spray Dried Soy Sauce)</t>
  </si>
  <si>
    <t>Other: Coconut Cream Soft Serve Mix - Original, Cultured Skim Milk (WIP), Dairy Free Yogurt, Plain &amp; Simple, Dairy-Free Yogurt, Blueberry Lavendar, Dairy-Free Yogurt, Bourbon Vanilla, Dairy-Free Yogurt, Bourbon Vanilla, Dairy-Free Yogurt, Mango Orange Blossom, Dairy-Free Yogurt, Sour Cherry, Dairy-Free Yogurt, Strawberry, Greek Yogurt, Nonfat, Vanilla, Greek Yogurt, Plain, Nonfat, Half &amp; Half, Heavy Cream, Lowfat Buttermilk, Old Fashioned Vanilla Yogurt Mix, Signature Tart Yogurt Mix, Sweet Milk Yogurt Base</t>
  </si>
  <si>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</si>
  <si>
    <t>Other: Bacon, Beef Hot Dogs, Boneless Lamb leg roast, Breakfast Sausage, Garlic Sauage, Ground beef, Ground Lamb, Ground pork, Hot Italian Sausage, lamb garlic sausage, Lamb loin chops, lamb rib chops, lamb shanks</t>
  </si>
  <si>
    <t>Animal Feed: Livestock Feed (Organic 16% Chicken Layer Feed (bulk)), Livestock Feed (Organic Alfalfa Pellet (bulk)), Livestock Feed (Organic Calf Starter (bulk)), Livestock Feed (Organic Corn (bulk)), Livestock Feed (Organic Dairy Pellet (bulk)), Livestock Feed (Organic Soybean Meal (bulk)), Livestock Feed (Organic Sunflower Meal (bulk)), Livestock Feed (Organic Turkey Starter Crumble (bulk))</t>
  </si>
  <si>
    <t>Other: #Milling, grinding, mixing, pelleting, bagging and warehouse distribution of livestock feed; Custom storage, transfer, reloading, grinding, mixing and pelleting of organic livestock feed (for individual producers, using organic agricultural and approved non-agricultural ingredients)., *Soybean Hulls, *Soybean Hull Pellets, *Oats, *Oat Mill Run Pellets, *Rye., Feed Blends: 45% Soymeal, Calf Starter 18%, Corn Screening Pellets, Custom Beef Finisher Pellets, Custom Dairy Pellets, Dairy Grazing Pellets, Dairy Robot Pellets, Goat Pellets, Hog Finisher Feed, Hog Grower Feed, Mixed Screening Pellets, Mixed Screening Pellets with Added Flavoring, Opro 20 (Soy Hull Pellets), Opro 40, Opro 50, Prewean 22 Pig Feed Pellets, Pig Starter Pellets Ration 1, Pig Starter Pellets Ration 2, Stocker Creep 6 Beef Cubes;, Single ingredient products: Alfalfa, Alfalfa Pellets, Aloe pellets, apple cider vinegar, barley, chickpeas, corn flour, dried buttermilk powder, flaxmeal, garbanzo beans, garbanzo flour, lentils, lentil flour, molasses, non-fat dry milk powder, oats, okra, organic grain screenings, peas, pea flour, pea protein, rice flour, soy flour, soybeans, soybeans splits, soybean oil, steamrolled oats, sunflower protein, wheat, wheat middlings, white corn, yellow corn;</t>
  </si>
  <si>
    <t>Seasonings: Seasoning Blends (Garlic Parmesan Pepper); Preservatives/Extracts/Flavors: Seasoning Blends (Andouille Seasoning), Seasoning Blends (Beer Brat), Seasoning Blends (Berebere Seasoning), Seasoning Blends (Blackened Seasoning), Seasoning Blends (Breakfast Blend), Seasoning Blends (Buffalo Sausage Seasoning), Seasoning Blends (Cajun), Seasoning Blends (Chicken Apple Seasoning), Seasoning Blends (Chicken Spinach Seasoning), Seasoning Blends (Chorizo Seasoning), Seasoning Blends (Cooked German), Seasoning Blends (Cooked Polish), Seasoning Blends (Cuban Seasoning), Seasoning Blends (Frankfurter Seasoning), Seasoning Blends (Harissa), Seasoning Blends (Italian Herb), Seasoning Blends (Italian Sausage Seasoning), Seasoning Blends (Kielbasa), Seasoning Blends (Knackwurst Seasoning), Seasoning Blends (Pastrami Seasoning), Seasoning Blends (Phesant), Seasoning Blends (Ras El Hanout), Seasoning Blends (Reindeer), Seasoning Blends (Scottish Style Bangers), Seasoning Blends (Shichimi Togarashi Spice Packet), Seasoning Blends (Smoked Bratwurst), Seasoning Blends (Southwest Spice), Seasoning Blends (Spicy Polish), Seasoning Blends (Veal Brat), Seasoning Blends (Vienna), Seasoning Blends (Whole Nectar Protein Smoothie Mix), Seasoning Blends (Wiener), Seasoning Blends (Wild Boar), Spices (28 Mesh), Spices (Allspice Ground), Spices (Black Pepper), Spices (Caraway Ground), Spices (Cardamom Ground), Spices (Chives), Spices (Cloves Ground), Spices (Coriander Ground), Spices (Cumin Seed Ground), Spices (Evaporated Cane Juice Sugar), Spices (Fennel Whole), Spices (Garlic Powder), Spices (Habenero Ground), Spices (Jalapeno Flakes Green), Spices (Mace Ground), Spices (Marjoram), Spices (Miso Sesame Kelp), Spices (Mustard Seed), Spices (Nutmeg Ground), Spices (Paprika), Spices (Parsley Flake), Spices (Potato Starch), Spices (Red Pepper Cayenne), Spices (Red Pepper Crushed), Spices (Rosemary Ground), Spices (Sage Rubbed), Spices (Thyme Ground), Spices (White Pepper- 60 Mesh); Dry/Baking Goods: Sugar (Coconut Sugar); Beverage Related Products: Non-Dairy Milk (Oatmilk with Benefits)</t>
  </si>
  <si>
    <t>Other: Chocolate Milk Cream Top, Maple Yogurt, Milk-Cream Top, Organic Egg Nog, Plain Yogurt, Vanilla Yogurt</t>
  </si>
  <si>
    <t>Processed  Items: Non-Dairy Milk (Coconut cream*), Non-Dairy Milk (Coconut Cream 24% Aseptic (Single)*), Non-Dairy Milk (Coconut Cream 32% Aseptic*), Non-Dairy Milk (Coconut Milk 17% Aseptic (Single)*), Non-Dairy Milk (Coconut Skimmed Milk (Aseptic)*); Oils &amp; Oleoresins: Oils (Virgin Coconut Oil*); Beverage Related Products: Coconut water concentrate (frozen)*</t>
  </si>
  <si>
    <t>Dairy: Ghee, Milk Protein Concentrate-85%, Raw Milk, Salted Butter, Sweet Cream, Unsalted Butter, Reduced Fat Cheddar Cheese, Reduced Fat Monterey Jack Cheese, A2 Milk Protein Concentrate-85%, A2 Sea Salted Butter European Style, A2 Unsalted Butter European Style, Asadero Cheese, Asiago Cheese, Chipotle Cheddar Cheese, Colby Colored Cheese, Colby Jack Cheese, Colored Cheddar Cheese, Concentrated Liquid Lactose, Danish Mozzarella Cheese, Delactosed Permeate, Dried Edible Lactose, Dry Monterey Jack Cheese, English Cheddar Cheese, Extra Sharp Cheddar Cheese, Extra Sharp Colored Cheddar Cheese, Fontina Cheese, Garlic Jack Cheese Block , Ghee-Garlic, Ghee-Sea Salt, Ghee-Turmeric &amp; Black Pepper, Gouda Cheese, Havarti Cheese, Lactose, LMPS Mozzarella Cheese, Medium Cheddar Cheese, Medium Colored Cheddar Cheese, Mild Cheddar Cheese, Milk Protein Concentrate-85%, Monterey Jack Cheese, Muenster Cheese, Parmesan Cheese, Parmiano Cheese, Part Skim Mozzarella Cheese, Pepper Jack Cheese, Provolone Cheese, Queso Quesadilla Cheese, Raw Milk, Raw Milk Cheddar Cheese, Reduced Fat Cheddar Cheese, Reduced Fat Colored Cheddar Cheese, Romano Cheese, Salted Butter, Sharp Cheddar Cheese, Sweet Cream, Unsalted Butter, Whey Protein Concentrate-80%, Whole Milk Mozzarella Cheese, Parmesan (Style), Romano (Style), Parmesan (Style)</t>
  </si>
  <si>
    <t>Dairy: Cheese (Organic Grass Fed Cheddar Cheese), Cheese (Sunrise New Zealand Cheddar Cheese)</t>
  </si>
  <si>
    <t>Dairy: Cheese (Raw Milk Asiago Cheese), Cheese (Raw Milk Butter Cheese), Cheese (Raw Milk Cheddar Cheese), Cheese (Raw Milk Colby Cheese), Cheese (Raw Milk Gouda Cheese), Cheese (Raw Milk Gruyere Cheese), Cheese (Raw Milk Havarti Cheese), Cheese (Raw Milk Swiss Cheese), Milk (Whole Milk); Other: Bottling milk, labeling cheese, Labeling milk, making cheese, packaging cheese, Processing milk</t>
  </si>
  <si>
    <t>Dairy: Milk (Low Fat Chocolate Milk), Milk (Low Fat Vanilla Milk); Beverage Related Products: Juice (Fruit Fusion), Juice (Grape Flavor); Other: Contract Service Provider for Assembly of Toy Caps onto Bottles, Re-Packaging (Kitting) and Labeling of Beverages</t>
  </si>
  <si>
    <t>Dairy: Cheese (Parmesan), Cheese (Romano); Other: Brokering Cheese Products</t>
  </si>
  <si>
    <t>Animal Feed: Livestock Feed (Barley), Livestock Feed (Corn, Ground), Livestock Feed (Custom Dairy Livestock Feeds), Livestock Feed (Molasses), Livestock Feed (Oats), Livestock Feed (Peas), Livestock Feed (Roasted Barley), Livestock Feed (Roasted Oats), Livestock Feed (Roasted Soybeans), Livestock Feed (Soybean Hulls), Livestock Feed (Soybean Meal), Livestock Feed (Soybean Oil), Livestock Feed (Soybeans), Livestock Feed (VZM Calf Starter), Livestock Feed (VZMorg8), Livestock Feed (Wheat); Other: Bagging Custom Dairy Livestock Feeds, Brokering Bulk Organic Grains, Distributing Livestock Feed and Bulk Organic Grains, Grinding Organic Grains and Livestock Feed, Mixing Custom Dairy Livestock Feeds, Storing Dry Organic Ingredients</t>
  </si>
  <si>
    <t>Other: Beets, Garlic, Onions, Potatoes</t>
  </si>
  <si>
    <t>Other: Greenfield Farms - Raw Organic Sauerkraut, 16oz, 24oz, 32oz, Maple Sugar, The Kraut Kitchen - Raw Organic Sauerkraut, 16oz, 32oz</t>
  </si>
  <si>
    <t>Other: All-Purpose Cleaner (Cleaner, Stain Remover &amp; Pet Deodorizer), All-Purpose Cleaner (Multi-Use Additive - 1500 ppm), All-Purpose Cleaner (Multi-Use Additive - 200 ppm), All-Purpose Cleaner (Multi-Use Additive - 500 ppm), All-Purpose Cleaner (Multi-Use Cleaner &amp; Disinfectant (1500 ppm)), All-Purpose Cleaner (Multi-Use Cleaner &amp; Disinfectant (200 ppm)), All-Purpose Cleaner (Multi-Use Cleaner &amp; Disinfectant (500 ppm)), Bathroom Cleaner (Hot Tub &amp; Spa Liquid Additive), Multi Surface Cleaner (Laundry Booster), Oral Spray (Dental Cleaner &amp; Disinfectant), Pet Cleanser (Pre and Post Teat Dip - not for use on organic dairy farms), Pet Spray (Equine Skin Care &amp; Repair), Pet Spray (Pet Cleaner Disinfectant Deodorizer), Pet Spray (Pet+ Antimicrobial Skin Healing), Pet Spray (Pink Eye Spray), Skin Care (Daily Repairing Mist), Skin Care (HC-Pure Skin Health Solution)</t>
  </si>
  <si>
    <t>Other Grains, Pastas and Cereals: Pasta (Dry Pasta Buckwheat Fusilli Organic 250g), Pasta (Dry Pasta Chickpeas Tagliatelle Organic 250g), Pasta (Dry Pasta Corn &amp; Rice Tagliatelle Organic 250g), Pasta (Dry Pasta Green Pea Calamarata Organic 250g), Pasta (Dry Pasta Hemp Caserecce Organic 250g), Pasta (Dry Pasta Oat Maccheroni Organic 250g), Pasta (Dry Pasta Red Lentil Paccheri Organic 250g), Pasta (Dry Pasta Red Lentil Penne Organic 250g), Pasta (Dry Pasta Teff Penne Organic 250g); Oils &amp; Oleoresins: Oils (Apple Vinegar with Mother 250 ml Organic), Oils (Apple Vinegar with Mother 500 ml Organic), Oils (Balsamic Glaze 180g Organic), Oils (Balsamic Vinegar Red W Dispenser 250 ml Organic), Oils (EVOO 3000 mL -Tin Organic), Oils (EVOO 500 mL -16.9 oz. Organic), Oils (EVOO 750 mL -25.4 oz. Organic), Oils (EVOO With Basil- 6.76 oz. Organic), Oils (EVOO With Chili P- 6.76 oz. Organic), Oils (EVOO with Garlic- 6.76 oz. Organic), Oils (EVOO With Lemon- 6.76 oz. Organic), Oils (EVOO With Orange- 6.76 oz. Organic), Oils (EVOO With Rosemary- 6.76 oz. Organic), Oils (Pomegranate Vinegar with Mother 250 ml Organic), Oils (Pomegranate Vinegar with Mother 500 ml Organic); Dairy: Butter (Vegan Butter Organic)</t>
  </si>
  <si>
    <t>Other: Milk (Raw), Mixed Vegetables</t>
  </si>
  <si>
    <t>Other: Processing, Bottling, and Labeling of Maple Syrup</t>
  </si>
  <si>
    <t>Other: #Handling of organic livestock, Handling of organic livestock: Beef Cattle, Dairy Cattle.</t>
  </si>
  <si>
    <t>Other: Apple Cider Vinegar, Baby Food - Meat &amp; Vegetable (4 Count Multi-Pack Grass Fed Beef and Free Range Chicken), Baby Food - Meat &amp; Vegetable (Beef + Ginger Made With Pea, Bell Pepper And Broccoli (MWO)), Baby Food - Meat &amp; Vegetable (Beef Pot Roast with Vegetables &amp; Herbs), Baby Food - Meat &amp; Vegetable (Chicken + Thyme Made With Parsnip And Beet (MWO)), Baby Food - Meat &amp; Vegetable (Free Range Chicken With Peas &amp; Carrots), Baby Food - Meat &amp; Vegetable (Grass Fed Beef With Kale &amp; Sweet Potato (MWO)), Baby Food - Meat &amp; Vegetable (Grass Fed Bison Made With Kabocha Squash &amp; Spinach (MWO)), Baby Food - Meat &amp; Vegetable (Pasture Raised Turkey Made With Sweet Potato Pumpkin &amp; Beet (MWO) ), Baby Food - Meat &amp; Vegetable (Turkey + Rosemary Made With Purple Carrots, Zucchini, And Celery (MWO)), Baby Food - Meat &amp; Vegetable (Turkey Bolognese Made With Vegetables &amp; Herbs (MWO)), Baby Food - Meat &amp; Vegetable (Turmeric Chicken Made With Vegetables &amp; Herbs (MWO)), Baby Food - Meat &amp; Vegetable (Wild Caught Salmon With Butternut Squash &amp; Beet (MWO)), Basil, Basil (Leaf), Beet Puree, Black Pepper (Ground), Blends (Beef Chimichurri with Carrot, Parsley, Cilantro and Green Beans), Blends (Beef Kebab with Parsnip, Spinach, Carrot, Herbs &amp; Spices), Blends (Butternut Squash &amp; Spinach With Olive Oil), Blends (Carrot, Spinach &amp; Basil With Olive Oil), Blends (Carrots (Orange, Purple, &amp; Yellow Carrots with Olive Oil)), Blends (Chicken Mexican Inspired Stew with Butternut &amp; Red Bell Pepper), Blends (Chicken Tikka Masala with Carrot, Coconut Cream, Green Beans, Herbs &amp; Spices), Blends (Coconut Curry with Chicken, Sweet Potato, Red Bell Pepper and Coconut Cream), Blends (Dairy Free Smoothie &amp; Protein Beet &amp; Carrot), Blends (Dairy Free Smoothie &amp; Protein Berry Butternut), Blends (Dairy Free Smoothie &amp; Protein Pumpkin Spice), Blends (Dairy Free Smoothie &amp; Protein Sweet Potato Spice), Blends (Roots (Sweet Potato, Carrot, Beet &amp; Olive Oil)), Blends (Salmon Teriyaki with Sweet Potato, Purple Carrot &amp; Coconut Aminos), Blends (Squashes (Kabocha Squash, Butternut, Pumpkin &amp; Olive Oil)), Blends (Sweet Potato &amp; Parsnip with Purple Carrot &amp; Olive Oil), Blends (Sweet Potato &amp; Spinach with Olive Oil), Bovine Collagen, Broccoli Puree, Broth (Beef Bone Broth), Broth (Chicken Bone Broth), Broth (Turkey Bone Broth), Butternut Squash Puree, Cardamom, Carrot Puree, Carrot Puree, Cassava Flour, Cassava Flour, Celery Puree, Chicken (Trim), Chicken Breast, Chicken Thigh, Chickpeas (Chickpea Flour), Chipotle (Morita Chile Powder), Cinnamon, Coconut Aminos, Coconut Cream, Coriander (Ground), Cumin (Ground), Dried Cilantro, Frozen Beets, Frozen Blueberry, Frozen Mushrooms (Portabella), Frozen Peppers (IQF Red Bell, Diced), Frozen Peppers (IQF Red Bell, Puree), Frozen Zucchini (IQF), Garlic Powder, Ginger (Powder), Green Bean Puree, Jalapeno (Powder), Kale puree, Lemon Juice, Lemongrass (Fine Cut), Lime Juice (NFC), Navy Bean Flour, Nutmeg, Olive Oil (Extra Virgin), Onion Extract, Onion Powder, Oregano, Oregano (Flakes), Parsley (Flakes), Parsley (Flakes), Parsnip Puree, Pea Protein, Pea Puree, Pumpkin Puree, Pumpkin Seed Powder (Pumpkin Protein), Rosemary (Whole), Rosemary Extract, Seasoning Blend (Broccoli Spinach Kale Seasoning 030624D), Seasoning Blend (Broccoli Spinach Kale Seasoning 122123C), Seasoning Blend (Carrot Beet Seasoning 012924M), Seasoning Blend (Carrot Beet Seasoning 090320K), Seasoning Blend (Cheesy Spinach and Cauliflower Seasoning 021224H), Seasoning Blend (Cheesy Spinach and Cauliflower Seasoning 112223A), Seasoning Blend (Sweet Potato and Pumpkin Spice Seasoning 020724A), Seasoning Blend (Sweet Potato and Pumpkin Spice Seasoning 052821B), Seasoning Blend (Tomato and Mushroom Seasoning 020722C), Seasoning Blend (Tomato and Mushroom Seasoning 103023C), Spinach Puree, Spinach Puree, Squash Puree (Kabocha), Sweet Potato Puree, Tapioca Starch, Thyme, Thyme (Leaf), Toddler Snacks (Broccoli &amp; Spinach Grain Free Puffs), Toddler Snacks (Carrot &amp; Beet Grain Free Puffs), Toddler Snacks (Pumpkin &amp; Cinnamon Grain Free Puffs), Toddler Snacks (Tomato &amp; Herbs Grain Free Puffs), Toddler Snacks (White Cheddar &amp; Cauliflower Spinach Grain Free Puffs), Tomato Paste, Turkey, Turmeric, Vanilla Powder, Zucchini Puree</t>
  </si>
  <si>
    <t>Dairy: Cheese, Cream, Milk, Yogurt</t>
  </si>
  <si>
    <t>Meat Products: Beef (Beef (some eligible for organic slaughter)); Fruits/Vegetables: Mixed Vegetables (Mixed vegetables); Eggs: Eggs (Duck Eggs), Eggs (Large Eggs), Eggs (Pullet Eggs); Dairy: Cheese (Cheese), Milk (Chocolate Milk), Milk (Milk), Milk (Mocha Milk), Milk (Strawberry Milk); Other: Distributing Live Beef Cattle, Distributing Organic Products, Labeling Sorghum Molasses, Packaging Sorghum Molasses, Processing Sorghum Molasses, Sorghum Molasses, Transporting Live Beef Cattle</t>
  </si>
  <si>
    <t>Other: Handling of organic livestock: Beef Cattle; Dairy Cattle.</t>
  </si>
  <si>
    <t>Dairy: Butter (Natural Cocoa butter); Chocolate Goods: Powders (Natural Cocoa, Cacao Fruit, Cocoa Mass (Cocoa Liquour)); Other: Beans (Raw Cacao Beans), Importing</t>
  </si>
  <si>
    <t>Other Grains, Pastas and Cereals: Cereal (Organic oat flakes, oat porridge,); Dry/Baking Goods: Baking Chips and Bars (coconut natural ships, coco nut flakes, Coconut ships toast,); Dairy: Butter (Almond butter, cashew butter, mixed nut butter, peanut butter); Other: Cansugar, gluten free products,</t>
  </si>
  <si>
    <t>Processed  Items: Coconut Cream, Coconut Cream 17 % Fat, Coconut Cream 18 %, Coconut Cream 22% Aseptic (multi), Coconut Cream 22% Aseptic (Single), Coconut Cream 24% Aseptic (Single), Coconut Cream 30% Aseptic (Multi), Coconut Cream 30% Fat- Aseptic, Coconut Cream Frozen, Coconut Milk - Non dairy coconut Bevarage (Original), Coconut Milk - Non dairy coconut Bevarage (Vanilla Flavored), Coconut Milk 17% Aseptic (Multi), Coconut Milk 17% Aseptic (Single), Coconut milk 17% frozen, Coconut Milk 18% Aseptic (Multi), Coconut Milk 18% Aseptic (Single), Coconut Milk 22% Aseptic (Multi), Coconut Milk 22% Aseptic (Single), Coconut milk 22% frozen, Coconut Milk 24% Aseptic (Multi), Coconut Milk 24% Aseptic (Single), Coconut Milk 30 % frozen, Coconut Milk 30% Aseptic (Multi), Coconut Milk 30% Fat - Aseptic, Coconut Milk Single Ingredient, Coconut Water - Regular, Frozen coconut milk, Mooless Milk Organic Chocolate Non -Dairy Coconut Beverage; Other: Coconut Milk 6% (Lite Coconut Milk)</t>
  </si>
  <si>
    <t>Dairy: Butter (A2-A2 Salted Butter), Cheese (A2-A2 Natural Cheese Kalona Supreme), Cream (A2-A2 Whipping Cream), Milk (A2-A2 Grade A Fat Free Milk), Milk (A2-A2 Grade A Low Fat Milk), Milk (A2-A2 Grade A Reduced Fat Milk), Milk (A2-A2 Grade A Sweet Butter Milk), Milk (A2-A2 Grade A Whole Milk)</t>
  </si>
  <si>
    <t>Processed  Items: Dehydrated Foods, Dehydrated Foods; Preservatives/Extracts/Flavors: Extracts, Extracts, Spices, Spices, Spices, Spices, Spices, Spices, Sunflower Lecithin; Other Grains, Pastas and Cereals: Oats, Oats, Oats, Oats; Oils &amp; Oleoresins: Oils, Palm Shortening; Eggs: Dried Whole Eggs, Frozen Eggs; Dry/Baking Goods: Baking Chips and Bars, Baking Chips and Bars, Baking Mixes, Flours and Meals, Flours and Meals, Powders, Powders, Sugar, Sugar, Tapioca Starch, Toasted Coconut; Dairy: Butter, Butter; Condiments and Sweeteners: Sweeteners, Sweeteners, Sweeteners, Syrups, Syrups; Bread/Bakery/Snacks: Cookies, Cookies, Cookies, Cookies, Cookies, Cookies, Cookies, Cookies, Cookies, Cookies; Other: Aseptic Organic Banana Puree, with Ascorbic Acid, Seedless, Banana Flavor, Madagascar Bourbon Pure Vanilla Extract 2X, Raisin Paste, Rosemary Extract (CA-FORT 1040 or D Liquid)</t>
  </si>
  <si>
    <t>Eggs: Eggs (Whole Eggs: Large Brown Eggs); Dairy: Cream (Cream: Half &amp; Half), Cream (Cream: Heavy Whipping Cream / Heavy Cream), Milk (Fluid Milk: Pasteurized Unfortified 2% Milk), Milk (Fluid Milk: Fat Free / Skim / Nonfat Milk), Milk (Fluid Milk: Whole Milk), Milk (Fluid Milk: Low Fat 1% Milk), Milk (Fluid Milk: Reduced Fat 2% Milk)</t>
  </si>
  <si>
    <t>Dairy: Cheese (Whole Milk Ricotta Cheese)</t>
  </si>
  <si>
    <t>Dairy: Milk (2% Reduced Fat (Plastic)), Milk (Chocolate (Plastic)), Milk (Creamline Whole (Glass)), Milk (Creamline Whole (Plastic)), Milk (Half &amp; Half (Plastic)), Milk (Heavy Cream (Plastic)), Milk (Non-Fat (Plastic)), Milk (Whole (Plastic)), Milk (2% Reduced Fat (Glass)), Milk (Chocolate (Glass)), Milk (Half &amp; Half (Glass)), Milk (Heavy Cream (Glass)), Milk (Non-Fat (Glass)), Milk (Whole (Glass))</t>
  </si>
  <si>
    <t>Meat Products: Beef (Beef Cuts), Chicken (Chicken Cuts); Dairy: Milk (Raw Milk)</t>
  </si>
  <si>
    <t>Oils &amp; Oleoresins: SCT Oil; Nuts/Seeds: Popcorn (popcorn); Dairy: Butter (Ghee (unclarified butter) - original, brown butter, sea salt, basil, A2 and/or grass-fed); Condiments and Sweeteners: Honey (raw honey); Beverage Related Products: Keto Creamer (original, with MCT oil, original with vanilla &amp; MCT oil)</t>
  </si>
  <si>
    <t>Other: Hamburger</t>
  </si>
  <si>
    <t>Dairy: Butter (Dosa, Idly)</t>
  </si>
  <si>
    <t>Health Products: Herbs (Amla Tablets), Herbs (Ashwagandha Tablets), Herbs (Brahmi Tablets), Herbs (Haritaki Tablets), Herbs (Shatavari Tablets), Herbs (Triphala Tablets), Herbs (Turmeric Plus Tablets); Dairy: Ghee (16 oz), Ghee (32 oz), Ghee (8 oz); Other: Distributing Ghee and Herbal Products, Importing Ghee and Herbal Products</t>
  </si>
  <si>
    <t>Other: Dairy Replacement Stock, Slaughter Eligible Cull Cows, Slaughter Eligible Steers</t>
  </si>
  <si>
    <t>Animal Feed: Livestock Feed (Custom Organic Dairy Feed), Livestock Feed (Organic Corn), Livestock Feed (Organic Soybean Meal); Other: Grinding Custom Organic Livestock Feed, Mixing Custom Organic Livestock Feed, Storing Organic Grains, Transporting Custom Organic Livestock Feed</t>
  </si>
  <si>
    <t>Other: Milk (Raw) (Produced at WSR and Del Mar milking facilities)</t>
  </si>
  <si>
    <t>Dairy: Butter (Cardamom Ghee), Butter (Cinnamon and Ashwaganda Ghee), Butter (Original Ghee), Butter (Rosemary and Sage Ghee), Butter (Aleppo Ghee), Butter (Chives, Parsley, and Tarragon Ghee)</t>
  </si>
  <si>
    <t>Other: *gimMe Organic Premium Roasted Seaweed Extra Virgin Olive Oil, *gimMe Organic Premium Roasted Seaweed Sea Salt, *gimMe Organic Premium Roasted Seaweed TERIYAKI, *gimMe Organic Roasted Seaweed (Sushi Nori), *gimMe Organic Roasted Seaweed Snacks – Teriyaki, Sea Salt (Combo pack), *gimMe Organic Roasted Seaweed Snacks Chili Lime, *gimMe Organic Roasted Seaweed Snacks Non Dairy White Cheddar, gimMe Organic Premium Roasted Seaweed - Sea Salt and Avocado Oil, gimMe Organic Premium Roasted Seaweed Toasted Sesame, gimMe Organic Premium Roasted Seaweed WASABI, gimMe Organic Roasted Seaweed Snacks – Korean BBQ – Gochujang, gimMe Organic Roasted Seaweed Snacks – Variety pack, Trader joes Organic Roasted Seaweed with Sea Salt, Trader joes Organic Roasted Teriyaki Seaweed Snack</t>
  </si>
  <si>
    <t>Other: Chung Jung One O'Food ROASTED SEAWEED FOR GIMBAP, Chung Jung One O'Food ROASTED SEAWEED SNACK, Chung Jung One O'Food ROASTED SEAWEED SNACK Himalayan Pink, GIM JABAN, gimMe Organic Premium Roasted Seaweed Extra Virgin Olive Oil, gimMe Organic Roasted Seaweed Snacks – Korean BBQ - Gochujang, gimMe Organic Roasted Seaweed Snacks Chili Lime, gimMe Organic Roasted Seaweed Snacks Non Dairy White Cheddar, gimMe Premium Roasted Seawead Sea Salt, gimMe Premium Roasted Seaweed – Sea Salt and Avocado Oil, gimMe Premium Roasted Seaweed TERIYAKI, gimMe Premium Sushi nori, gimMe Roasted Seaweed Sushi Nori, GIM'S ROASTED SEAWEED (GIMBABGIM), Roasted Seaweed Snacks - Sea Salt, Teriyaki (SS-10units, Teriyaki 10units) - Combo pack, Roasted Seaweed with Sea Salt, Roasted Teriyaki Seaweed Snack, SEASONED SEAWEED SNACK</t>
  </si>
  <si>
    <t>Other: Almond Milk Unsweetened, Almond Plant-Based Original, Almond Plant-Based Original Unsweetened, Almond Plant-Based Vanilla, Almond Plant-Based Vanilla Unsweetened, Almond Unsweetened Vanilla Beverage, Almondmilk Unsweetened Original, Artisan Macadamia Milk, Beef Broth, Beef Broth, Beef Stock, Fat Free, Chicken Bone Broth, Chicken Broth, Chicken Broth, Chicken Broth Reduced Sodium, Chicken Broth, Fat Free, Chicken Broth, Low Sodium, Chicken Stock, Chicken Stock, Chocolate Soymilk, Coconut Milk Original, Coconut Milk Original Unsweetened, Coconut Milk Vanilla Unsweetened, Creamy Vanilla Soymilk, Free Range Chicken Bone Broth, Green Tea Soymilk, Low Sodium Beef Broth, Low Sodium Chicken Broth, Low Sodium Vegetable Broth, Oat Barista, Oat Beverage, Oat Creamer Brown Sugar, Oat Creamer Salted Caramel, Oat Creamer Sweet &amp; Creamy, Oat Creamer Unsweetened, Oat Creamer Vanilla, Original Ricemilk, Original Soymilk, Original Soymilk, Rice Drink Original, Rice Drink Original Enriched, Rice Drink, Original, Ricemilk 2%, Ricemilk Orginal Unsweetened Calc &amp; Vit D, Ricemilk Original, Ricemilk Original Calc Vit D, Ricemilk Original Calc Vit D Lantev, Ricemilk Whole, Soy Base, Soy non-dairy beverage Original, Soy non-dairy beverage Vanilla, Soymilk Original Calcium &amp; Vitamin D, Soymilk Original Enriched, Unsweetened Original Coconutmilk, Unsweetened Soymilk, Unsweetened vanilla Soymilk, Vanilla Soymilk, Vegetable Broth, Vegetable Broth, Vegetable Broth, Fat Free, Vegetable Stock, Fat Free</t>
  </si>
  <si>
    <t>Other: Almondmilk Unsweetened Vanilla, Almondmilk, Unsweetened, Aseptic Oat Base, Blonde Tea Latte, Caramel Oat Latte, Chai Latte, Coconut, Unsweetened, Iced Tea Lemonade, Non-Dairy Coconut Beverage, Unsweetened, Non-Dairy Rice Beverage, Oat Creamer Brown Sugar, Oat Creamer Salted Caramel, Oat Creamer Sweet &amp; Creamy, Oat Creamer Unsweetened, Oat Creamer Vanilla, Oatmilk Unsweetened Original, Original Oat Latte, Original Oatmilk, Original Unsweetened Rice Drink Non-Dairy Beverage, Ricemilk Original Calcium &amp; Vitamin D, Ricemilk Original Classic, Ricemilk Whole, Soy non-dairy beverage Original, Soy non-dairy beverage Vanilla, Soymilk Original Plain, Soymilk Original Unsweetened, Soymilk Plain Calcium &amp; Vitamin D, Soymilk Unsweetened Plain, Soymilk Unsweetened Vanilla, Soymilk Vanilla Calcium &amp; Vitamin D, Soymilk, Original, Unsweetened Coconut Milk, Unsweetened Original Soymilk, Unsweetened Soy Beverage, Vanilla Oat Latte, Vegan Protein Broth, Vegetable Broth, Vegetable Broth</t>
  </si>
  <si>
    <t>Dairy: Cream Cheese (Cheese: Cultured Fresh Cheese)</t>
  </si>
  <si>
    <t>Processed  Items: Ready to Eat Foods, Ready to Eat Foods, Ready to Eat Foods, Ready to Eat Foods, Ready to Eat Foods, Ready to Eat Foods, Ready to Eat Foods, Ready to Eat Foods, Ready to Eat Foods, Ready to Eat Foods, Ready to Eat Foods, Ready to Eat Foods; Dairy: Yogurt</t>
  </si>
  <si>
    <t>Other: #Storage, handling, and processing of soybeans, and other single-ingredient feed products; Processing and packaging of labeled and custom livestock feed., *Soybean Meal, *Soybean Oil, Broiler Rations: 21% Organic Starter, 18% Poultry Grower, Custom Dairy Rations, Custom Poultry Rations, Custom Hog Rations., Hog Rations: Hog Feed, 16% Hog Grower, Layer Rations: P170 Omega Layer, Turkey Rations: P170 Omega Layer</t>
  </si>
  <si>
    <t>Processed  Items: Coconut Butter*, Coconut Concentrate*, Coconut Flour*, Coconut water concentrate (frozen)*, Coconut Water*, Creamed coconut*, Desiccated Coconut Extra Fine*, Desiccated Coconut Macaroon (Fine)*, Desiccated coconut medium*, Desiccated Coconut*, Flours and Meals (Virgin Coconut Oil cake*), Non-Dairy Milk (Aseptic Coconut Cream*), Non-Dairy Milk (Aseptic Coconut Milk*); Oils &amp; Oleoresins: Oils (Extra virgin coconut oil (unrefined)*), Oils (Virgin coconut oil*), Oils (Virgin coconut oil (unrefined)*)</t>
  </si>
  <si>
    <t>Dairy: Yogurt (Kefir Cultured Whole Milk Mango), Yogurt (Kefir Cultured Whole Milk Mixed Berry), Yogurt (Kefir Cultured Whole Milk Peach), Yogurt (Kefir Cultured Whole Milk Plain), Yogurt (Lowfat Yogurt Smoothie - Blueberry Beet), Yogurt (Lowfat Yogurt Smoothie - Strawberry Banana Butternut), Yogurt (Lowfat Yogurt Smoothie - Strawberry Carrot), Yogurt (Nonfat Greek Yogurt - Plain), Yogurt (Nonfat Greek Yogurt - Vanilla Bean)</t>
  </si>
  <si>
    <t>Dairy: Milk (RAW); Animal Feed: Livestock Feed</t>
  </si>
  <si>
    <t>Preservatives/Extracts/Flavors: Extracts (Green Coffee Extract 20% (3981ST)), Extracts (Guarana Soluble Dry Extract 5% - GL (1519ST)), Extracts (Yerba Mate Soluble Dry Extract 5% Nat Caf Org - Qt (109094)), Extracts (Yerba Mate Soluble Dry Extract 8,5% (1994ST)), Powders (Guarana Soluble Powder (1416ST)), Powders (Guarana Soluble Powder (3968ST)), Powders (Guarana Soluble Powder 10% - NV (2254ST)), Powders (Guarana Soluble Powder 22% Caffeine Natural (1747ST)), Powders (Yerba Mate Powder Extract 4% Nat Caf (1443ST)), Powders (Green Tea Soluble Powder (2569ST)), Powders (Guarana Powder 10% (1596ST)), Powders (Coconut Milk Soluble Powder - PB (5818ST)), Powders (Coconut Milk Soluble Powder (2097ST)); Beverage Related Products: Non-Dairy Milk (Coconut Milk - CH (2646ST))</t>
  </si>
  <si>
    <t>Preservatives/Extracts/Flavors: Extracts (Acerola Dry Extract 17% Vitamin C Natural (1403ST)), Extracts (Acerola Extract 17% Vitamin C Natural (1822ST)), Extracts (Guarana Soluble Dry Extract 5% - GL (1519ST)), Extracts (Green Coffee Extract 20% (3981ST)), Extracts (Yerba Mate Soluble Dry Extract 5% NAT CAF ORG - QT (109094)), Extracts (Yerba Mate Soluble Dry Extract 8,5% (1994ST)), Powders (Yerba Mate Soluble Powder (1408ST)), Powders (Acerola Powder 17% VIT C Natural (6737ST)), Powders (Coconut Milk Soluble Powder - ES (6835ST)), Powders (Green Tea Soluble Powder (2569ST)), Powders (Guarana Powder 10% (1596ST)), Powders (Acai Soluble Powder - CA (2708ST)), Powders (Acai Soluble Powder (1402ST)), Powders (Guarana Soluble Powder (1416ST)), Powders (Guarana Soluble Powder (3968ST)), Powders (Guarana Soluble Powder 10% - NV (2254ST)), Powders (Guarana Soluble Powder 22% Caffeine Natural (1747ST)), Powders (Guava Soluble Powder (1412ST)), Powders (Lime Soluble Powder (1742ST)), Powders (Mandarin Juice Powder - CR (5571ST)), Powders (Mango Soluble Powder (1422ST)), Powders (Orange Juice Powder - CR (5570ST)), Powders (Papaya Soluble Powder (3970ST)), Powders (Passion Fruit Soluble Powder (1424ST)), Powders (Sicilian Lemon Juice Powder - CR (5569ST)), Powders (Watermelon Soluble Powder (3971ST)), Powders (Yerba Mate Powder Extract 4% Nat CAF (1443ST)), Powders (Acerola Powder (108436)), Powders (Acerola Soluble Powder (1404ST)), Powders (Camu Camu Soluble Powder (3969ST)), Powders (Coconut Milk Soluble Powder - PB (5818ST)), Powders (Coconut Milk Soluble Powder (2097ST)), Powders (Coconut Water Soluble Powder (2593ST)), Powders (Cupuacu Soluble Powder (3966ST)); Beverage Related Products: Non-Dairy Milk (Coconut Milk - CH (2646ST))</t>
  </si>
  <si>
    <t>Other: Flavor (#10A800414 Nat Vanilla Flavor WONF ), Flavor (#10A800926 Cream Type Flavor), Flavor (#10A801486 Nat. Raspberry WONF), Flavor (#10A801532 Natural Pineapple WONF), Flavor (#10AS802344 Nat Pineapple Flavor WONF), Flavor (#10AS802378 Natural Red Cherry Flavor WONF), Flavor (#10AS802931 Nat Spearmint Flavor WONF OC), Flavor (#10AS803084 Natural Cranberry WONF), Flavor (#10AS803111 Natural Coconut Type Flavor), Flavor (#10AS803382 Natural Apple Flavor WONF), Flavor (#10AS803491 Natural Anise Flavor WONF), Flavor (#10AS803524 Natural Caramel Type Flavor), Flavor (#10AS803657 Natural Watermelon Flavor WONF), Flavor (#10AS803737 Natural Blueberry WONF ), Flavor (#10AS803763 Natural Mango Type Flavor), Flavor (#10AS803894 Natural Banana Type Flavor), Flavor (#10AS803908 Natural Chocolate WONF ), Flavor (#10AS804075 Natural Vanilla Flavor WONF), Flavor (#10AS804308 Natural Mango Type Flavor ), Flavor (#10AS805243 Natural Strawberry Flavor WONF ), Flavor (#10AS805274 Natural Masking Flavor ), Flavor (#10AS805294 Natural Peach Flavor WONF), Flavor (#10AS805893 Natural Masking Type Flavor Org), Flavor (#10AS806103 Natural Mint Extract WONF ), Flavor (#10AS806524 Natural Vanilla WONF ), Flavor (#10AS809437 Nat Chocolate Flavor WONF), Flavor (#10AS809840 Natural Cinnamon Flavor Org), Flavor (#10AS811443 Natural Basil Flavor), Flavor (#10AS811446 Nat Pear Flavor WONF), Flavor (#10AS812637 Nat Watermelon Type Flavor), Flavor (#10AS813568 Nat Grapefruit WONF  ), Flavor (#10AS813569 Nat Orange Flavor WONF ), Flavor (#10AS813772 Nat Vanilla Flavor WONF WS ), Flavor (#10AS814333 Nat Vanilla Flavor WONF ), Flavor (#10AS815696 Nat Vanilla Flavor WONF ), Flavor (#10AS815789 Nat Sweet Cucumber WONF), Flavor (#10AS815806 Black Tea Concentrate WONF), Flavor (#10AS816914 Natural Chocolate Flavor WONF), Flavor (#10AS817100 Nat Vanilla WONF), Flavor (#10AS818271 Nat Vanilla Type Flavor), Flavor (#10AS819090 Nat Peach Flavor WONF), Flavor (#10AS819496 Nat Peach Flavor WONF), Flavor (#10AS819803 Nat Vanilla WONF), Flavor (#10AS820692 Nat Raspberry Pomegranate WONF), Flavor (#10AS820877 Nat Cream Type Flavor), Flavor (#10AS821070  Nat Vanilla Flavor WONF), Flavor (#10AS821148 Nat Maple Type Flavor), Flavor (#10AS821235 Nat Watermelon Type), Flavor (#10AS821259 Nat Strawberry WONF), Flavor (#10AS821268 Nat Peach Mango Type Flavor), Flavor (#10AS821832 Nat Mango Peach Flavor WONF), Flavor (#10AS822198 Nat Mocha Flavor WONF), Flavor (#10AS822199 Nat Cream Type Flavor), Flavor (#10AS822202 Nat Vanilla Flavor WONF WS), Flavor (#10AS822728 Nat  Black Cherry Flavor WONF), Flavor (#10AS822924 Nat Chocolate WONF (White Chocolate Profile)), Flavor (#10AS823024 Natural Pear Flavor WONF), Flavor (#10AS823377 Nat Lemon Flavor WONF OS), Flavor (#10AS823408 Nat Kiwi Flavor WONF), Flavor (#10AS823414 Nat Strawberry Type Flavor OS), Flavor (#10AS823423 Nat Peppermint Flavor WONF OS), Flavor (#10AS823447 Nat Orange Flavor WONF OS), Flavor (#10AS823495 Nat Apricot Type Flavor), Flavor (#10AS823504 Nat Hazelnut Type Flavor), Flavor (#10AS823515 Nat Blueberry Flavor WONF), Flavor (#10AS823519 Nat Banana Type Flavor), Flavor (#10AS823520 Nat Pineapple Type Flavor OS), Flavor (#10AS823522 Nat Fruit Punch Type Flavor), Flavor (#10AS823524 Nat Spearmint Flavor WONF), Flavor (#10AS823525 Nat Almond Type Flavor), Flavor (#10AS823526 Nat Grape Type Flavor OS), Flavor (#10AS823529 Nat Fruit Punch Type Flavor), Flavor (#10AS823532 Nat Hibiscus Flavor WONF ), Flavor (#10AS823536 Nat Peanut Butter Type Flavor), Flavor (#10AS823555 Nat Apple Type Flavor OS), Flavor (#10AS823574 Nat Coffee Flavor WONF), Flavor (#10AS823579 Nat Butter Type Fl OS), Flavor (#10AS823581 Nat Butter Type Fl WS), Flavor (#10AS823595 Nat Honey Type Flavor WS), Flavor (#10AS823597 Nat Honey Type Flavor OS), Flavor (#10AS823617 Nat Apple Flavor WONF), Flavor (#10AS823638 Natural Blackberry WONF), Flavor (#10AS823659 Nat Pomegranate Flavor WONF), Flavor (#10AS823667 Nat Cherry Type Flavor OS), Flavor (#10AS823695 Nat Lime Flavor WONF), Flavor (#10AS823696 Nat Black Cherry Type Flavor), Flavor (#10AS823698 Nat Black Cherry Flavor WONF), Flavor (#10AS823822 Nat Vanilla Type Flavor ), Flavor (#10AS823824 Nat Grape Type Flavor), Flavor (#10AS823826 Nat Grape Flavor WONF), Flavor (#10AS823904 Nat Banana Flavor WONF), Flavor (#10AS823991 Nat Mint Flavor Extract WONF), Flavor (#10AS824193 Nat Red Cherry Blossom Type), Flavor (#10AS824206 Nat Caramel Type Flavor OS), Flavor (#10AS824281 Nat Tangerine Flavor WONF), Flavor (#10AS824607 Nat Dark Cherry WONF), Flavor (#10AS824638 Nat Red Grapefruit Fl WONF), Flavor (#10AS824696 Nat Lime Flavor WONF), Flavor (#10AS824763 Nat Orange WONF), Flavor (#10AS825267 Nat Peach Type Flavor), Flavor (#10AS825287 Nat Tequila Type Flavor), Flavor (#10AS825660 Nat Chamomile Flavor WONF), Flavor (#10AS825998 Nat Passion Fruit Flavor WONF), Flavor (#10AS826102 Nat French Vanilla Type Flavor), Flavor (#10AS826228 Nat Matcha Tea Type Flavor OS), Flavor (#10AS826238 Nat Yuzu Type Flavor OS ), Flavor (#10AS826243 Nat Lychee Type Flavor OS ), Flavor (#10AS826254 Nat White Peach Type Flavor OS), Flavor (#10AS826276 Nat Red Cherry Blossom Type Flav OS), Flavor (#10AS826328 Nat Lemon Flavor WONF), Flavor (#10AS826360 Nat Coconut Type Flavor), Flavor (#10AS826418 Nat Pomelo Type ), Flavor (#10AS826420 Nat Pomelo Type ), Flavor (#10AS826455 Nat Banana Type Flavor), Flavor (#10AS826586 Nat Elderberry Type Flavor), Flavor (#10AS826607 Nat Strawberry Flavor WONF), Flavor (#10AS826633 Natural Blackberry Jasmine Flavor WONF), Flavor (#10AS826705 Nat Vanilla Flavor WONF), Flavor (#10AS826812 Nat Mixed Berry Type Flavor), Flavor (#10AS826872 Nat Tequila Type Flavor), Flavor (#10AS826875 Nat Rum Flavor WONF Organic), Flavor (#10AS826876 Nat White Rum Type Flavor), Flavor (#10AS826896 Nat Pina Colada Type Flavor), Flavor (#10AS826908 Nat Pomegranate Flavor WONF), Flavor (#10AS827023 Nat Mango Flavor WONF), Flavor (#10AS827127 Nat Blueberry Flavor WONF), Flavor (#10AS827157 Nat Baobab Type FL WS), Flavor (#10AS828046 Nat Apple Flavor WONF (Green Apple Type Profile)), Flavor (#10AS828160 Nat Pomegranate Flavor WONF), Flavor (#10AS828161 Nat Acai Flavor WONF), Flavor (#10AS828162 Nat Raspberry Flavor WONF), Flavor (#10AS828187 Nat Pineapple Flavor WONF), Flavor (#10AS828189 Nat Tangerine Flavor), Flavor (#10AS828190 Nat Raspberry Flavor WONF), Flavor (#10AS828215 Nat Coconut Flavor WONF), Flavor (#10AS828216 Natural Coconut Flavor WONF), Flavor (#10AS828395 Nat Watermelon Flavor WONF), Flavor (#10AS828610 Nat Cookies &amp; Cream Type Flavor), Flavor (#10AS828688 Nat Lemon Flavor WONF), Flavor (#10AS828704 Nat Blueberry Lemon Flavor WONF), Flavor (#10AS828729 Nat Blueberry Lemon Flavor WONF), Flavor (#10AS828806 Nat Caramel Flavor WONF), Flavor (#10AS829594 Nat Watermelon Flavor WONF), Flavor (#10AS830531 Nat Pistachio Type Flavor), Flavor (#10AS830623 Nat Coconut Flavor WONF), Flavor (#10AS830624 Nat Coconut Flavor WONF), Flavor (#10AS830625 Nat Vanilla Flavor WONF), Flavor (#10AS830626 Nat Raspberry Flavor WONF), Flavor (#10AS830628 Nat Orange Flavor WONF), Flavor (#10AS830629 Nat Watermelon Flavor WONF), Flavor (#10AS830630 Nat Vanilla Flavor WONF), Flavor (#10AS831017 Nat Pepper Soda Type Flavor), Flavor (#10AS831482 Nat Vanilla Flavor WONF), Flavor (#10AS831576 Nat Strawberry Flavor WONF), Flavor (#10AS831594 Nat Fruit Punch Type Flavor), Flavor (#10AS831599 Nat Strawberry Flavor WONF), Flavor (#10AS831606 Nat Cranberry Flavor WONF), Flavor (#10AS831610 Nat Cranberry Orange Flavor WONF), Flavor (#10AS831943 Nat Chocolate Chip Cookie Dough Type), Flavor (#10AS833037 Nat Pomegranate Type Flavor), Flavor (#10AS833488 Nat Lemon Flavor WONF), Flavor (#10AS833832 Nat Ube Type Flavor), Flavor (#10AS834824 Nat Passion Fruit Type Flavor), Flavor (#10AS834870 Nat Orange Peel Flavor WONF), Flavor (#10AS834889 Nat Vanilla Flavor WONF), Flavor (#10AS835266 Nat Blackberry Flavor WONF), Flavor (#10AS835452 Nat Passionfruit Type Flavor), Flavor (#10AS835534 Nat Mango Flavor WONF), Flavor (#10AS835535 Nat Lychee Type Flavor), Flavor (#10AS835539 Nat Vanilla Flavor WONF (Enhancer Profile)), Flavor (#10AS836477 Nat Peach Flavor WONF), Flavor (#10AS837335 Nat Yerba Mate Type Flavor), Flavor (#10AS838195 Nat Berry Flavor WONF), Flavor (#10AS838203 Nat Mango Flavor WONF), Flavor (#10AS840449 Nat Black Cherry Type Flavor), Flavor (#10AS842391 Nat Birthday Cake Type Flavor), Flavor (#10BS827109 Cosco Paque Neutral Clouding Agent), Flavor (#10DS809241 Nat Bergamot Extract), Flavor (#10DS809291 Nat Cola Type Extract), Flavor (#10DS811955 Ginger Extract ), Flavor (#10DS812559 Natural Blood orange Extract WONF), Flavor (#10DS813642 Nat Grapefruit Extract WONF   ), Flavor (#10DS814081 Nat Orange Extract WONF ), Flavor (#10DS822928 Nat Cardamom Extract), Flavor (#10DS823244 Nat Orange Extract), Flavor (#10DS823609 Nat Mojito Type Fl Extract), Flavor (#10DS826513 Nat Bitters Type Flavor), Flavor (#10DS826877 Nat Pink Grapefruit Extract WONF), Flavor (#10DS826927 Nat Garden Mint Type Extract), Flavor (#10DS831577 Nat Lemon Lime Flavor Extract), Flavor (#10DS831607 Nat Orange Flavor Extract WONF), Flavor (#10DS835536 Nat Grapefruit Extract), Flavor (#10DS835537 Nat Lime Flavor Extract), Flavor (#10DV820275 Nat Cream Type Flavor SD Vegan  ), Flavor (#10DV820277 Nat Milk Enhancer Type Flavor SD Vegan ), Flavor (#10DV820292 Nat Dairy Type Flavor Modulator SD Vegan), Flavor (#10DV821829 Nat Butter Type Flavor SD Vegan), Flavor (#10ES831814 PVE-1X (Bourbon)), Flavor (#10ES835909 Pure Vanilla Extract 10X Bourbon), Flavor (#10ES835911 Vanilla 20X), Flavor (#10ES838408 Pure Vanilla Extract 3X Bourbon), Flavor (#10ES840431 Pure Vanilla Extraxt 1X Bourbon), Flavor (#10EV831813 PVE-2X (Bourbon) ), Flavor (#10L800905 Natural Vanilla Sugar Type Powder Org), Flavor (#10L800906 Natural Vanilla Powder WONF Org), Flavor (#10LS808359 Natural Vanilla Flavor WONF ), Flavor (#10LS824928 Nat Vanilla WONF Powder), Flavor (#10LS824929 Nat Vanilla Sugar Type Flavor Powder), Flavor (#10LS826709 Natural Vanilla WONF Powder), Flavor (#10LS827414 Nat Chocolate Flavor WONF PDR ), Flavor (#10LS830426 Nat Butter Vanilla Type Flavor Powder), Flavor (#10LS841228 Nat Bitter Masking Powder), Flavor (#10M800869 Nat Vanilla SD), Flavor (#10MS808647 Natural Watermelon SD WONF), Flavor (#10MS810574 Natural Cinnamon SD ), Flavor (#10MS812070 Nat Ginger Flavor SD), Flavor (#10MS813827 Nat Green Grape Type SD ), Flavor (#10MS813862 Natural Kiwi WONF), Flavor (#10MS814473 NAT Pineapple WONF SD ), Flavor (#10MS815472 Natural Vanilla Bean Type SD), Flavor (#10MS819245 Nat Caramel Type Flavor SD), Flavor (#10MS819847 Nat Hazelnut Type Flavor SD), Flavor (#10MS821497 Nat Chocolate Flavor WONF SD), Flavor (#10MS821507 Nat Caramel Type Fl SD  ), Flavor (#10MS821553 Natural Apple WONF SD), Flavor (#10MS821653 Nat Blueberry Flavor WONF), Flavor (#10MS821770 Nat Strawberry WONF SD), Flavor (#10MS821799 Nat Lemon SD), Flavor (#10MS821825 Nat Lime WONF SD), Flavor (#10MS821978 Nat Coconut Type Flavor SD), Flavor (#10MS822015 Nat Vanilla Type Flavor), Flavor (#10MS822157 Nat Blueberry Flavor WONF SD), Flavor (#10MS822950 Nat Raspberry Flavor (Ripe Berry Profile) SD WONF), Flavor (#10MS823413 Nat Peppermint Flavor SD WONF), Flavor (#10MS823451 Nat Cream Type Flavor SD), Flavor (#10MS823486 Nat Peach WONF SD), Flavor (#10MS823491 Nat Mango SD WONF), Flavor (#10MS823527 Nat Almond Type Flavor SD), Flavor (#10MS823530 Nat Fruit Punch Type Flavor SD ), Flavor (#10MS823534 Nat Hibiscus Flavor WONF ), Flavor (#10MS823537 Nat Peanut Butter Type Flavor SD ), Flavor (#10MS823576 Nat Coffee Flavor WONF SD), Flavor (#10MS823606 Nat Honey Type Flavor SD), Flavor (#10MS823611 Nat Mojito Type Flavor SD), Flavor (#10MS823642 Nat Blackberry Flavor WONF SD), Flavor (#10MS823644 Nat Mixed Berry Type Flavor SD), Flavor (#10MS823654 Nat Orange Flavor SD WONF), Flavor (#10MS823689 Nat Cherry Flavor WONF SD), Flavor (#10MS823711 Nat Banana Flavor SD WONF), Flavor (#10MS823905 Nat Vanillin Type Flavor SD ), Flavor (#10MS824059 Nat Berry Type Flavor SD), Flavor (#10MS824207 Nat Apple Cinnamon Flv WONF SD), Flavor (#10MS824398 Nat Cranberry Type Flavor SD), Flavor (#10MS824830 Nat Cherry Flavor WONF SD), Flavor (#10MS824831 Nat Green Apple Flavor WONF SD), Flavor (#10MS825324 Nat Pineapple Flavor WONF SD), Flavor (#10MS825439 Nat Raspberry Flavor SD WONF), Flavor (#10MS825842 Nat Pumpkin Spice Flavor WONF SD), Flavor (#10MS825876 Nat Chai Type Flavor SD ), Flavor (#10MS826034 Nat Cinnamon Flavor WONF SD), Flavor (#10MS826066 Nat Ginger Flavor SD), Flavor (#10MS826670 Nat Elderberry Type Flavor SD), Flavor (#10MS826892 Nat Passion Fruit Flavor WONF SD), Flavor (#10MS827191 Nat Blueberry Flavor WONF SD), Flavor (#10MS827371 Nat Banana Flavor WONF SD), Flavor (#10MS829725 Nat Apple Cider Fl SD WONF), Flavor (#10MS831738 Nat Apple Flavor WONF SD), Flavor (#10MS834769 Nat Blood Orange Flavor WONF WONF SD), Flavor (#10MS835435 Nat Guava Type Flavor SD), Flavor (#10MS836874 Nat Berry Acai Type Flavor SD), Flavor (#10MS838997 Nat Lemon Lime Flavor WONF SD), Flavor (#10MS839026 Nat Mango WONF SD), Flavor (#10MS839724 Nat Sweetness Modulator), Flavor (#10MS840893 Nat Lemonade Type Flavor SD), Flavor (#10MS841226 Nat Concord Grape Type Flavor SD), Flavor (#10MS842472 Nat Chocolate Flavor WONF SD), Flavor (#10MS842473 Nat Vanilla Flavor WONF SD), Flavor (#10WS832942 Basil Oil), Flavor (#12NM825917 Synergy Pure Natural Mango Essence), Flavor (#12ST808183 Nat Green Tea Extract), Flavor (#12ST808226 Black Tea Concentrate), Flavor (#12ST811580 Black Tea Extract), Flavor (#12ST811584 Green Tea Extract), Flavor (#12ST813436 Nat Green Tea Extract), Flavor (#12ST813438 Nat Black Tea Extract), Flavor (#588690 Natural Lime Extract WONF), Flavor (#588700 Natural Lemon Extract WONF), Flavor (#590640 Natural Peppermint Flavor WONF), Flavor (#590650 Natural Peppermint Flavor WONF), Flavor (#591510 Natural Lemon Extract), Flavor (#591520 Natural Lemon Lime Extract), Flavor (#CC-215 Coffee Extract), Flavor (#CD-WHTE-SEN01 White Tea Essence), Flavor (#CE-215 Synergy Pure Nat Coffee Essence), Flavor (#GTBC-1286FT Green Tea Extract Fair Trade), Flavor (#GTBC-351 Green Tea Extract), Flavor (#GTBC-602SW Green Tea Extract), Flavor (#GTC-602FT Green Tea Extract Fair Trade), Flavor (#GTE-1288FT Synergy Pure Nat Green Tea Essence Fair Trade), Flavor (#GTE-602 Synergy Pure Nat Green Tea Essence), Flavor (#HC-481 Nat Hibiscus Extract), Flavor (#LE-101 Synergy Pure Nat Lemongrass Essence), Flavor (#RBE-111 Synergy Pure Nat Rooibos Essence), Flavor (#TBC 1001 Darkened Black Tea Extract), Flavor (#TBC-231FT Black Tea Extract Fair Trade), Flavor (#TBC-351 Black Tea Extract), Flavor (#TC-10158 Sweet Leaf Black Tea Extract), Flavor (#TE-522 Synergy Pure Nat Black Tea Essence), Flavor (#WTE-111 Synergy Pure Nat White Tea Essence), Flavor (10AS829201 Nat Nutmeg Flavor), Vanilla (#10348 Pure Vanilla Extract 1x Bourbon), Vanilla (#10349 Pure Vanilla Extract 1x Java), Vanilla (#10A801615 Pure Vanilla Extract 2X Organic), Vanilla (#10ES835538 Pure Vanilla Extract 3X Fair Trade ), Vanilla (#10EV829533 Pure Vanilla Extract 2X Fair Trade USA (America)), Vanilla (#10EV829534 Pure Vanilla Extract 10X Fair Trade USA (America)), Vanilla (#10L801330 Natural Vanilla Flavor Powder WONF), Vanilla (#11760 Natural Vanilla Flavor WONF), Vanilla (#1259 Pure Vanilla Extract 2x Bourbon), Vanilla (#450570 Vanilla Extract 3X), Vanilla (#462590 Vanilla Extract 10x), Vanilla (#462880 Vanilla Extract 10x), Vanilla (#464980 Natural Vanilla Powder), Vanilla (#470230 Natural Vanilla Flavor WONF), Vanilla (#533450 Pure Vanilla Extract FTO VAN2X), Vanilla (#533460 Pure Vanilla Extract FTO VAN10X), Vanilla (#533470 Natural Vanilla Powder FTO), Vanilla (#543640 Pure Vanilla Extract 1X), Vanilla (#592520 Natural Vanilla Powder), Vanilla (#7222 Pure Vanilla Extract 1.25X), Vanilla (#9800 Pure Vanilla Extract 2x Indonesian), Vanilla Bean (#10PB823107 Ground Extracted Vanilla Beans Madagascar), Vanilla Bean (#10PB831817 Vanilla Seeds), Vanilla Bean (#10PB831818 Exhausted Ground Vanilla Bean Hulls and Seeds), Vanilla Bean (#11PB811411 Chopped Vanilla Beans), Vanilla Bean (#11PB813398 Ground Extracted Vanilla Beans), Vanilla Bean (#11PB813410 Vanilla Bean Seeds ), Vanilla Bean (#493010 Vanilla Bean Seeds VANSEED), Vanilla Bean (#Vanilla Beans Bourbon FT), Vanilla Bean (Vanilla Beans Bourbon)</t>
  </si>
  <si>
    <t>Other: F110A075 - Orange F WONF, F110G024 - ORANGE MANGO FL WONF PWD ORG, F110S029 - Orange F, F110S049 - ORANGE MANGO F WONF SD ORG, F120A057 - Lemon F WONF, F120C162 - LEMON OIL 5-FOLD ORG, F120C165 - LEMON OIL CP ORG, F120S038 - Lemon F, F131A034 - LIME F WONF ORG, F150A049 - YUZU F WONF ORG, F210C150 - Apple F WONF, F220S006 - BANANA F WONF ORG, F231C120 - Cherry Flavor WONF, F231G010 - CHERRY FL WONF SD ORG, F232S004 - PLUM FL WONF SD ORG, F240S008 - GRAPE FL WONF SD ORG, F251C061 - Watermelon F WONF, F251S014 - Watermelon F WONF, F260C238 - PEACH MANGO TF ORG, F261C035 - Apricot F WONF, F270C105 - Pineapple F WONF, F281S033 - STRAWBERRY FL WONF SD ORG, F281S037 - STRAWBERRY FL WONF SD ORG, F283S018 - HASEAROMA BLUEBERRY FL WONF ORG, F284C144 - Raspberry F WONF, F284C149 - Raspberry F WONF, F284C153 - Raspberry F WONF, F284S017 - Raspberry F WONF, F288G003 BLACKBERRY FL WONF SD ORG, F289S013 - Wildberry TF, F289S021 - MIXED BERRY FL WONF SD ORG, F291C131 - POMEGRANATE TF, F292C167 - Mango F WONF, F292G011 - HASEAROMA MANGO FL WONF SD ORG, F296S007 - HASEAROMA GUAVA FL WONF SD ORG, F297S010 - ACAI BERRY TF ORG, F310C255 - Vanilla F WONF ORG, F310C268 - VANILLA EXTRACT 2 FOLD ORG, F310G024 - VANILLA F WONF, F310G035 - Vanilla FL WONF ORG, F310S034 VANILLA F WONF ORG, F310S035 - VANILLA F WONF ORG, F310S040 - VANILLA FL WONF SD ORG, F330C241 - Chocolate Flavor WONF, F330C245 - Chocolate F WONF, F330C270 - Chocolate F WONF, F330S045 - CHOCOLATE F WONF, F330S063 - COCOA FL WONF SD ORG, F341C124 - ALMOND TF, F342G027 - PEANUT BUTTER TYPE FL PWD ORG, F342X059 ROASTED PEANUT F WONF ORG, F412C175 - MILK TF, F412E005 - MILK COLLOID TYPE FL EMUL ORG, F412E018 - MILK COLLOID TYPE FL EMUL ORG, F413C137 - CREAM TYPE FL ORG, F413C138 - CREAM TYPE FL ORG, F420C531 - BUTTER TF, F430C531 - BLUE CHEESE TF, F430C621 PARMESAN CHEESE TYPE FL OS ORG, F430S065 - QUESO FRESCO TYPE FL SD ORG, F550C197 - MAPLE TF ORG, F611C393 - Cilantro F WONF, F611C412 - CINNAMON F WONF ORG, F611S041 CINNAMON FL WONF SD ORG, F613C337 - Caramelized Onion TF ORG, F614C556 - Horseradish TF, F614C573 - WASABI TF, F614C574 - Chipotle TF ORG, F614C577 - Red Pepper TF, F614C619 - JALAPENO TF ORG, F614C655 MUSTARD FL ORG, F621C265 - Beef TF, F621S055 - Beef TF, F622C147 - Roasted Pork TF, F623S064 - Chicken TF, F623X196 - CHICKEN FLAVOR WONF ORG, F628C123 - Bacon TF, F628S016 - NF BACON T ORG, F631C078 - Bonito TF, F631S010 - ANCHOVY TYPE FL PWD ORG, F644C215 - Roasted Tomato TF ORG, F647C078 - TRUFFLE TF ORG, F648S007 - KIMCHI TYPE FL PWD ORG, F649S013 - Olive Oil TF ORG, F651C126 - Soy Sauce TF, F652C368 - Fish Sauce TF, F652S027 - FISH SAUCE TYPE FL SD ORG, F654C139 - HICKORY SMOKE F WONF ORG, F654G034 - SALT AND VINEGAR TYPE SEASONING ORG, F659C458 - KOMBU DASHI TF, F659C472 - Tom Yum Goong TF ORG, F659S057 - Tom Yum Goon TF, F710C032 - Mirin TF, F840S010 - WINTERGREEN FL WONF SD ORG, F990C322 - Masking TF, F990C323 - Masking TF, F990C342 - Aloe TF, F990C388 - NON DAIRY KOKUMI T FL OS ORG, F990G063 BITTER MASKING TF ORG, F990G084 - SWEETNESS ENHANCER T PWD ORG, F990S064 - MASKING TYPE FL SD ORG, F990S076 - MASKING TYPE FL SD ORG, F990X008 - NON DAIRY TYPE FL OS ORG (ORG) - WIP, G000C106 - Dancy Tangerine Oil 1% Alc - WIP, G000C221 - N ISOAM-ACETATE 1% ALC - WIP, G000C222 - Furanone 1% ALC, Natural - WIP, G000C224 - Et-Lactate 1% Alc, Natural - WIP, G000C225 - Benzyl Alcohol 1%, Natural - WIP, G000C226 - N CARAMEL FURANONE 0.01% ALC (ORG) - WIP, G000C323 N BENZALDEHYDE 1% ALC (ORG) - WIP, G000C324 - N DIMET-TRISULF 1%AL - WIP, G000C332 - Et-Levulinate 1% Alc, Natural - WIP, G000C344 - N Heptanal 1% Alc - WIP, G000C345 - (5%) 2Me3Futiol 1% Alc - WIP, G000C346 - Ethyl Acrylate 1% Alc, Natural - WIP, G000C350 - Et-Butyrate 1% Alc, Natural - WIP, G000C351 - Beta-Damascenone 1% Etoh Alc, Natural - WIP, G000C368 - Guaiacol 1% Alc - WIP, G000C369 - N (1%) 1-OCTEN-3-ONE 1% ALC - WIP, G000C391 - N Furfuryl Mercaptan 1% ALC - WIP, G000C411 - N CARAMEL FLURANONE 1% ALC - WIP, G000C412 - N FENUGREEK LACTONE 1% SAFF OIL (ORG) - WIP, G000C414 - N Indole 1% ALC - WIP, G000C415 - Indole 1% SAF OIL - WIP, G000C419 - ORGANIC CLOVE BUD OIL 1% ALC (ORG) - WIP, G000C442 - 2,4-Decadienal 1% SO - WIP, G000C443 - Anethole 1% SAF OIL - WIP, G000C454 N Maple Furanone 1% ALC - WIP, G000C458 - N THYMOL 1% ALC - WIP, G000C470 - N 2,4-DECADIENAL 1% ALC - WIP, G000C473 - N ACETAL 1%ALC - WIP, G000C479 - CASSIA OIL REDIST 1% ALC (ORG) - WIP, G000C482 - Galbanum Oil 1% AL - WIP, G000C485 - Lemon Oil CP 1% ALC - WIP, G000C486 - N EUGENOL 1%ALC ORG - WIP, G000C488 - N 4MER-4ME-2PENT 1%AL ORG - WIP, G000C513 - N BU-ACETATE 1% ALC - WIP, G000C528 - N ET-PROPIONATE 1% ORG ALC (ORG) - WIP, G000C546 - N VANILLIN (EU) 5% ALC (ORG) - WIP, G000C550 - N MAPLE FURANONE 1% SAFF (ORG) - WIP, G000C553 - N BETA-DAMASCENONE 1% ALC (ORG), G000C592 - NAT STRAWBERRY FURANONE 15% ALC (FOR ORG) -WIP, G000C614 - DAVANA OIL 1% ALC (ORG) - WIP, G000C642 N DIME-TRISULFIDE 1% ORG SAFF (ORG) - WIP, G000C648 - N DMS 1% ALC (ORG) - WIP, G000C701 - N B-DAMASCENONE 1% ALC (ORG) - WIP, G000C908 - N INDOLE 0.01% ORG SAFF OIL (ORG) - WIP, G000C920 N 3-OCTANOL 1% ORG SA (ORG) - WIP, G000C945 - GERANIUM (CHINESE) 1% ALC (1% ET LACT)(ORG)-WIP, G110S002 - NAT ORANGE KEY WONF (FOR ORG) - WIP, G110S011 - NAT ORANGE KEY WONF SD (FOR ORG) - WIP, G120S002 - NFB Lemon WONF - WIP, G120S004 - NAT LEMON KEY WONF (FOR ORG) - WIP, G150C079 - NFB YUZU T (FOR ORG) - WIP, G231S005 - NAT CHERRY KEY WONF SD (FOR ORG), G284C153 - ORGANIC RASPBERRY EXTRACT (ORG) - WIP, G284S003 - NFB Raspberry WONF - WIP, G284S004 - NAT RASPBERRY KEY WONF (FOR ORG) - WIP, G284S008 - NAT RASPBERRY WONF KEY SD (ORG), G288S002 NAT BLACKBERRY KEY WONF SD (FOR ORG) - WIP, G292S003 - HASEAROMA NAT MANGO KEY WONF SD (FOR ORG) - WIP, G292S008 - HASEAROMA NAT MANGO KEY WONF SD (FOR ORG) - WIP, G310C143 - NFB VANILLA T - WIP, G310C187 - Nat Vanilla TYPE KEY (FOR ORG) - WIP, G310C216 - NAT VANILLA FL KEY (FOR ORG) -WIP, G310S006 - Nat Vanilla FL KEY WONF SD (FOR ORG) - WIP, G310S016 - NAT VANILLA KEY WONF SD (ORG), G330B001 - NF COCOA B (ORG) - WIP, G330C229 - NFB CHOCOLATE T (FOR ORG) - WIP, G330C243 - NAT CHOCOLATE TYPE KEY (FOR ORG) - WIP, G330C246 - NAT CHOCOLATE TYPE KEY (FOR ORG) - WIP, G342S005 - NAT PEANUT BUTTER TYPE KEY SD (FOR ORG) - WIP, G520C267 - NAT BREAD TYPE KEY (FOR ORG) - WIP, G614C467 - NF CHILI TB - WIP, G621C217 - Beef T, NFB - WIP, G623C283 - Chicken TB - WIP, G623C284 - Chicken TB - WIP, G631C056 - NAT FISH TYPE KEY OS (FOR ORG) - WIP, G644C139 - NFB TOMATO T (FOR ORG) - WIP, G648C039 - NAT KIMCHI TYPE KEY OS (FOR ORG) - WIP, G649C250 - Olive Oil T, NFB - WIP, G649C251 - NF RED BELL PEPPER TB - WIP, G652C313 - NAT FISH SAUCE TYPE KEY OS (FOR ORG) - WIP, G654C112 - NFB SMOKE T (ORG) - WIP, G654X006 - N HICKOR SMOKE F WONF (ORG) - WIP, G659C329 - Tom Yum Goon TB - WIP, G990C289 - NAT MASKING TYPE KEY (ORG) - WIP, GC006000 - N Benyzl 1% ALC - WIP, GH598500 - N PMT 1% Alc - WIP, GH675200 N METHIONAL 0.1% SAFFLOWER (ORG) - WIP, GH819000 - N PHENYLET-ALC 1% ALC N-GMO (ORG) - WIP, GH821500 - N PHENYLACETIC ACID 1% IN SAFF (ORG) - WIP, M1625 - Bitter Masking TF</t>
  </si>
  <si>
    <t>Other: Almond Flavor (Natural Almond Type Flavor #38320), Apple Flavor (Apple WONF #88280), Apple Flavor (Nat. Apple WONF #62844), Apricot Flavor (Natural Apricot Type Flavor # US-8118), Bacon Flavor (Natural Bacon Type Flavor # 4573662), Bacon Flavor (Natural Bacon Type Flavor #US-8718-OS), Banana Flavor (Natural Banana Type Flavor # US-8119), Banana Flavor (Natural Banana Type Flavor US-8111), Banana Flavor (WONF 92770), Berry Flavor (Natural Huckleberry Type Flavor #US-8697-OS), Berry Flavor (Natural Mixed Berry WONF #3688544), Blackberry Flavor (Nat Blackberry FLVR WONF #99858), Blackberry Flavor (Natural Blackberry WONF #170021), Blueberry Flavor (Natural Blueberry Type Flavor # U-8120), Blueberry Flavor (Natural Blueberry Type Flavor #US-8112), Blueberry Flavor (Natural WONF 23700), Blueberry Flavor (Natural WONF 23744), Blueberry Flavor (Natural WONF 48790), Caramel Flavor (Natural Caramel Type Flavor # 40782), Caramel Flavor (Natural Caramel Type Flavor #230151), Caramel Flavor (Natural Caramel Type Flavor SD-10711), Cherry Flavor (Nat Cherry Lime WONF #56190), Cherry Flavor (Natural Cherry WONF  SD-65306), Cherry Flavor (Natural Cherry WONF # 54889), Cherry Flavor (Natural WONF 62576), Chocolate Flavor (Chocolate WONF # 83850), Chocolate Flavor (Natural Chocolate WONF #74299), Chocolate Flavor (Natural Chocolate WONF #SD-95160), Coconut Flavor (Nat. Coconut Type Flavor #11839), Coconut Flavor (Natural  WONF 11835), Coconut Flavor (Natural Coconut WONF #11837), Cranberry Flavor (Nat Cranberry Raspberry WONF #41660), Cranberry Flavor (Nat Cranberry WONF #92850), Elderflower Flavor (WONF 62575), Flavor Blend (Natural Strawberry Kiwi Type #590157), Fruit Punch Flavor (Natural Fruit Punch Type Flavor #6885388), Ginger Flavor (Natural Ginger Flavor #51310), Ginger Flavor (Natural WONF # 67830), Grape Flavor (Nat Grape WONF #375013), Grape Flavor (Natural WONF 67170), Grapefruit Flavor (Nat Grapefruit WONF #50570), Guava Flavor (Nat. Guava Wonf #85214), Guava Flavor (Natural Guava Type Flavor # 630111), Habanero Flavor (Natural Habanero Type Flavor #7581678), Habanero Flavor (Natural Habanero Type Flavor #8443633), Hazelnut Flavor (Nat. Hazelnut Type Flavor #47585), Honey Flavor (Honey WONF #49945), Lemon Flavor (Nat. Lemon WONF #74521), Lemon Flavor (Natural Emulsion 27225), Lemon Flavor (Natural Lemon Flavor # 22544), Lemon Flavor (Natural Lemon Flavor # 23725), Lemon Flavor (Natural Lemon Flavor WONF # SD-24501), Lemon Flavor (Natural WONF 22773), Lime Flavor (Natural Lime Flavor # 18806), Lime Flavor (Natural Lime Flavor WONF #96275), Lime Flavor (Natural WONF 88008), Mango Flavor (Nat. Mango WONF # 62973), Mango Flavor (Nat. Mango WONF #62984), Mango Flavor (Natural Mango Type Flavor # US-8122), Mango Flavor (Natural Mango WONF # 88713), Maple Flavor (Maple WONF #52299), Margarita Flavor (Nat Margarita Type Flavor #83685), Mint Flavor (Nat. Mint WONF #460031), Mint Flavor (Natural Mint Flavor WONF #88251), Misc. Flavor (Cedarwood Type Flavor #600016), Misc. Flavor (Fruit Punch 90858), Misc. Flavor (Mixed Berry Natural 92771), Misc. Flavor (Nat Orange Mango WONF #14730), Misc. Flavor (Nat Sweetness Enhancer # 453053), Misc. Flavor (NAT. DAIRY TYPE FLAVOR #SD-70199), Misc. Flavor (Nat. Pina Colada Type Flavor 18799), Misc. Flavor (Nat. Yogurt Type Flavor #340079), Misc. Flavor (Natural Aloha Type Flavor #630151), Misc. Flavor (Natural Apricot Type Flavor #US-8110), Misc. Flavor (Natural Avocado Type Flavor # 645171), Misc. Flavor (Natural Chocolate Chip Type Flavor #260049), Misc. Flavor (Natural Coffee Donut Type 38005-C), Misc. Flavor (Natural Granadilla Type 75160), Misc. Flavor (Natural Hazelnut Type Flavor # 42010), Misc. Flavor (Natural Lemongrass WONF # 75432), Misc. Flavor (Natural Mango Type Flavor #US-8114), Misc. Flavor (Natural Mixed Berry WONF #150049), Misc. Flavor (Natural Oat Type Flavor #600143), Misc. Flavor (Natural Omega 3 Masker #453189), Misc. Flavor (Natural Pomegranate Peach WONF # 49714), Misc. Flavor (Natural Tamarind WONF #630029), Misc. Flavor (Natural Teriyaki Type Flavor #89721), Misc. Flavor (Natural Toasted Bagel Type Flavor 220475), Misc. Flavor (Natural Toasted Sesame Flavor WONF #87154 - OS), Misc. Flavor (Wildberry Natural WONF 37205), Orange Flavor (Natural Blood Orange WONF 58111), Orange Flavor (Natural Orange Flavor WONF #5477718), Orange Flavor (Natural WONF 14990), Passionfruit Flavor (Natural Passionfruit WONF #75165), Peach Flavor ( Natural Peach Flavor WONF #62750-R), Peach Flavor ( Natural Peach WONF #62753 ), Peach Flavor (Natural Peach Flavor WONF #62753), Peach Flavor (Natural Peach Flavor WONF #83270), Peach Flavor (Natural Peach WONF # 500027), Peanut Butter Flavor (Peanut Butter Type Flavor # 37159), Peanut Flavor (Nat. Peanut Butter Type Flavor #470101), Pear Flavor (Natural Pear WONF #78930), Pineapple Flavor (Nat. Pineapple WONF #89561), Pineapple Flavor (Natural Pineapple Type Flavor # 64257), Pineapple Flavor (Natural Pineapple Type Flavor #US-8113.), Pineapple Flavor (Natural Pineapple Type Flavor #US-8121), Pineapple Flavor (Natural WONF 10449), Pomegranate Flavor (Natural WONF 98460), Raspberry Flavor (Nat. Raspberry Type Flavor #US-8244-OS), Raspberry Flavor (Nat. Raspberry WONF #62607.), Raspberry Flavor (Natural Juice Replacer 92640), Raspberry Flavor (Natural Raspberry Flavor WONF # 37644), Raspberry Flavor (Natural WONF 62606), Raspberry Flavor (Natural WONF 89009), Sesame Flavor (Natural Toasted Sesame Flavor WONF #59721), Strawberry Flavor (Nat. Strawberry Rhubarb Type Flavor #10149), Strawberry Flavor (Nat. Strawberry WONF #46570), Strawberry Flavor (Natural Strawberry Flavor WONF # 73462), Strawberry Flavor (Natural Strawberry WONF # 590127), Strawberry Flavor (Natural Strawberry WONF #52877), Strawberry Flavor (Natural Strawberry WONF #78448), Strawberry Flavor (Natural WONF 52853), Strawberry Flavor (Natural WONF 52895), Tea Flavor (Natural Tea Essence WONF #58830), Tea Flavor (Thai Tea Type Flavor #48396), Toffee Flavor (Natural English Toffee Type Flavor #64759), Triple Sec Flavor (Natural Triple Sec Type Flavor #80178), Tropical Punch Flavor (Nat. Tropical Punch Type Flavor #61717), Vanilla Flavor (Nat. Vanilla WONF # 68995), Vanilla Flavor (Natural SD-4500-00), Vanilla Flavor (Natural Vanilla Flavor #SD-67370), Vanilla Flavor (Natural Vanilla WONF #12633), Vanilla Flavor (Natural Vanilla WONF #3647255), Vanilla Flavor (Natural Vanilla WONF Flavor # SD-67375), Watermelon Flavor (Nat. Watermelon WONF # 22991), Watermelon Flavor (Natural Watermelon Type Flavor #39690), Wildberry Flavor (Natural Wild Berry Flavor WONF #47925)</t>
  </si>
  <si>
    <t>Other: 6821Q Egg Nog Stabilizer, 709400Q Cocoa Flavor Blend, 735404Q Aseptic Cocoa Blend, CC-3001Q All Purpose Stabilizer, CC-4155Q Ice Cream Stabilizer, CC-427Q Multi-Purpose Stabilizer, CC-5007Q Soft Serve Frozen Yogurt Stabilizer, CC-7385Q Sour Cream Stabilizer, CC-7513Q Cream Cheese Stabilizer, CCC-3009Q Ice Cream Stabilizer, CLARIA® Bliss 560 Food Starch, CLARIA® Bliss 570 Food Starch, CLARIA® Bliss 580 Food Starch, FS-733850Q Chocolate Dairy Powder for 2% Milk, INTESSE® 2.0 40M ORG STEVIA 4XB5KG GREEN</t>
  </si>
  <si>
    <t>Other: Cacao Butter (Deodorized Cocoa Butter), Chocolate (64% Cacao Couverture Discs), Chocolate (68% Choco Combo Couverture Discs), Chocolate (Assorted Dark Chocolate: Globe Trotter), Chocolate (Assorted Oat Milk Chocolate: Oatally Awesome), Chocolate (Aww Nuts Filled Dark Chocolate Bar), Chocolate (Baking, Chunks 64%), Chocolate (Batons 60% Dark Chocolate), Chocolate (Bittersweet Baking Chocolate), Chocolate (Bittersweet Coating Dark Chocolate), Chocolate (Born Fruity Filled Dark Chocolate Bar), Chocolate (Cacao Nibs (Crush This) Equador, Ghana, Peru), Chocolate (Choco Blanco 35% Cacao Oat Milk White Chocolate Discs), Chocolate (Choco Charms 60.5% Dark Chocolate Couverture Hexagons), Chocolate (Choco Lattte (Oat Milk Filled Bars)), Chocolate (Dark and Salty 81% Cacao Dark Chocolate), Chocolate (Dark Chocolate Bar 71%), Chocolate (Dark Duo Filled Dark Chocolate Bar), Chocolate (Dirty Chai), Chocolate (Hawt Chocolate Bittersweet Drinking Chocolate Crumbles), Chocolate (Hazelnuts 47% Cacao Dark Chocolate), Chocolate (Hella Dark 81%), Chocolate (Holy Fudge Filled Dark Chocolate Bar), Chocolate (Karl The Nog Oat Milk White Chocolate Bar), Chocolate (Liquid Chip Bittersweet Chocolate Coating), Chocolate (Mighty Mosaic 62% Dark Chocolate Discs), Chocolate (Napa Noir), Chocolate (Oat My Gawd 46% Cacao Oat Milk Chocolate Discs), Chocolate (Perfect Matcha Oat Milk Bar), Chocolate (Real Fruity 68%), Chocolate (Real Fudgy 70% Cacao Dark Chocolate Discs), Chocolate (Roasted Cacao Nibs), Chocolate (Roasted Cacao/Cocoa Nibs (Equador, Peru, Madagascar)), Chocolate (Sea Island 67% Cacao Discs (non-retail)), Chocolate (Sweet and Sassy (66% Bittersweet Baking Chocolate)), Chocolate (Toffee Time (Oat Milk Chocolate Bars w/Dairy Free Toffee)), Chocolate (Unsweetened (99% and 100%)), Chocolate (Unsweetened Baking Discs (Dark and Bitter)), Chocolate (Unsweetened Cocoa Powder (Super Powder)), Sugar</t>
  </si>
  <si>
    <t>Trees/Whole Plant Products/Flowers: Seeds (Cottonseed); Dry/Baking Goods: Flours and Meals (Soybean Meal), Melons (Sunflower Meal); Dairy: Milk (Raw Milk); Animal Feed: Livestock Feed (Alfalfa Greenchop), Livestock Feed (Alfalfa Hay), Livestock Feed (Alfalfa Silage), Livestock Feed (Canola Meal), Livestock Feed (Close Up Premix), Livestock Feed (Corn), Livestock Feed (Corn Pellet), Livestock Feed (Corn Silage), Livestock Feed (Corn Stalks), Livestock Feed (Earlage), Livestock Feed (High Premix), Livestock Feed (Milo), Livestock Feed (Peanut Hay), Livestock Feed (Peas), Livestock Feed (Rye Hay), Livestock Feed (Straw), Livestock Feed (Triticale Silage), Livestock Feed (Wheat), Livestock Feed (Wheat Hay)</t>
  </si>
  <si>
    <t>Meat Products: Beef (Fatworks Tallow (1 gallon, 14 oz jars, 5 gallon)), Chicken (Fatworks Chicken Fat (1 gallon, 7.5 oz jars)), Pork (Fatworks Leaf Lard (1 gallon, 14 oz jars)), Pork (Fatworks Pork Lard (1 gallon, 14 oz jars, 14.4 oz jars)), Turkey (Fatwoks Turkey Fat (7.5 oz jars)); Dairy: Butter (Fatworks Ghee (7.5 oz jars))</t>
  </si>
  <si>
    <t>Other: Acai (Acai Powder), Acai (Acai Powder, Freeze-Dried), Almonds (Dry Roasted), Almonds (Dry Roasted &amp; Salted Almonds (non-retail)), Almonds (Flour, Blanched), Almonds (Raw, Broken), Almonds (Whole Natural Extra Dark Grade 3 (Non-retail)), Almonds (Whole Natural Roasted Almonds), Almonds (Raw) (Mylk), Amla (Powder), Apricots (Dried) (Apricots (Dried)), Arrowroot (Arrowroot Flour), Beverage Powder (Acerola Cherry Powder), Beverage Powder (Ashwagandha Powder), Beverage Powder (Barley Grass Juice Powder), Beverage Powder (Chicory Latte), Beverage Powder (Coconut Focus Creamer - Original), Beverage Powder (Coconut Focus Creamer - Unsweetened), Beverage Powder (Coconut Water Powder Freeze Dried), Beverage Powder (Coconut Water Powder- Spray Dried), Beverage Powder (Cocotropic), Beverage Powder (Cognitive Coffee), Beverage Powder (Golden Latte), Beverage Powder (Masala Chai), Beverage Powder (Matcha Latte), Beverage Powder (Mocha Latte), Beverage Powder (Monk Fruit Powder), Beverage Powder (Moringa Powder), Beverage Powder (Mushroom Coffee), Beverage Powder (Pitaya Lemonade), Beverage Powder (Pomegranate Juice Powder), Beverage Powder (Pumpkin Spice Latte), Beverage Powder (Red Velvet Latte), Beverage Powder (Turmeric Powder), Beverage Powder (Wheatgrass Juice Powder), Black Pepper (Pepper, Ground, Black), Brazil Nuts (Brazil Nuts), Cacao (Beans), Cacao (Cacao Beans), Cacao (Cacao Paste), Cacao Butter (Cacao Butter), Cacao Nibs (Cacao Nibs), Cacao Nibs (Fermented), Cacao Nibs (Sweet Nibs), Cacao Powder (Cacao Powder), Cacao Powder (Cacao Powder), Cacao Powder (Cocoa (Cacao) Powder 10-12% fat content), Carob (Powder (Retail and Non-Retail)), Cashews (Cashew Pieces), Cashews (Cashews, Whole), Cashews (Cashews, Whole), Cashews (Dark Roasted (Non-retail)), Cashews (Dry Roasted), Cashews (Mylk (Split) Cashews), Cashews (Whole Dry Roasted Cashews), Cayenne (Pepper Powder, Cayenne), Cinnamon (Ceylon, Powder), Cinnamon (Ceylon, Powder), Cinnamon (Cinnamon Powder), Cocoa Butter (Cocoa Butter), Cocoa Powder (Wild Cocoa Powder), Coconut (Coconut Butter (non-retail)), Coconut (Coconut Shreds), Coconut (Coconut Syrup), Coconut (Coconut, Shredded, Fine, Unsweetened), Coconut (Coconut, Shredded, Medium, Unsweetened), Coconut (Coconut, Shredded, Unsweetened (non-retail)), Coconut (Dessicated Chips), Coconut (Flour), Coconut (Milk Powder), Coconut (Palm Sugar), Coconut (Toasted (Chips)), Coconut Oil (Coconut Oil,RBD), Coconut Oil (MCT Coconut Oil, Fractionated, Liquid), Coconut Oil (Virgin), Coffee (Coffee: Arabica Freeze Dried (Instant)), Cumin Seed (Cumin Seeds, Black - Nigella Sativa), Dairy Alternative (Creamy CocoCash ), Dates (Date Sugar), Dates (Date Sugar (non-retail)), Dates (Dates, Deglet Noor), Dates (Dates, Medjool), Dates (Dates, Medjool, Pitted), Dates (Dates, Medjool, Pitted (non-retail)), Dates (Dried) (Dates, Deglet-Pitted (non-retail)), Dates (Dried) (Dates, Medjool (non-retail)), Dietary Supplement (Tocos Powder), Dried Fruits (Diced Medjool Dates Chopped Brown Rice Flour Coated (non-retail)), Dried Fruits (Dried Mango Strips), Dried Fruits (Figs, Dried), Dried Fruits (Infused Dried Cranberries (Non-retail)), Dried Fruits (Mango), Dried Fruits (Mulberries), Dried Fruits (Sun Dried Apricots-Unsulphured (non-retail)), Dried Fruits (Sun-Dried White Mulberries (non-retail)), Dried Fruits (Sweetened Dried Cranberries), Extracts (Pure Vanilla), Figs (Turkish Calimyrna), Flax Seed (Brown), Flax Seed (Flax Seed, Brown, Ground), Flax Seed (Golden), Flax Seed (Ground Golden), Flour (Black Chia, Raw), Flour (Cassava Flour), Flour (Cassava Flour), Fruit Powder (Baobab), Fruit Powder (Camu Camu Powder), Fruit Powder (Elderberry - Freeze Dried), Fruit Powder (Mangosteen Powder), Fruit Powder (Maqui Powder), Fruit Powder (Maqui Powder), Fruit Powder (Noni Powder), Fruit Powder (Pitaya Powder), Garlic Powder (Garlic Powder), Ginger (Ginger Powder), Goji Berries (Goji Berries, Dried), Goji Berries (Goji Berries, Sun-Dried (non-retail)), Goldenberries (Goldenberries, Dark (Non-retail)), Goldenberries (Goldenberries, Dried), Granola (Granola, Flax - Hemp), Hemp Powder (Hemp Protein Powder), Hemp Seed (Hemp Seed), Hemp Seed (Hemp Seed, Chinese), Lucuma Powder (Lucuma Powder), Maca Powder (Black, Raw), Maca Powder (Maca Powder, Gelatinized), Maca Powder (Maca Powder, Raw), Mesquite (Mesquite Powder), Mushroom Powder (Chaga (retail and non-retail)), Mushroom Powder (Lion's Mane), Mushroom Powder (Maitake (retail and non-retail)), Mushroom Powder (Organic Cordyceps Mushroom Extract Powder), Mushroom Powder (Reishi 4:1 Extract Powder), Mushroom Powder (Shiitake), Mushroom Powder (Wild Shroom-Master Blend), Mushrooms (Lion's Mane Mushroom Extract), Oats (Oats, Rolled, Gluten Free), Oats (Oats, Rolled, Quick, Gluten Free), Oats (Oats, Whole Grain), Peanut Butter (Peanut Butter Salted, Unsweetened (non-retail)), Pecans (Dry Roasted Salted Large Pieces (non-retail)), Pecans (Raw Mammoth Halves), Powder (Aronia Powder, Freeze-Dried), Powder (Beet Juice), Powder (Blue Spirulina), Powder (Butterfly Pea), Powder (Chlorella), Powder (Guarana Powder), Powder (Half &amp; Half), Powder (Matcha), Powder (MCT), Powder (MCT Oil), Powder (Phycocyanin Powder), Powder (Psyllium Husk), Powder (Sacha Inchi), Powder (Triphala), Protein Supplement (Brown Rice Protein Powder), Protein Supplement (Chocolate Powder), Protein Supplement (Deep Green Powder), Protein Supplement (Pea Protein), Protein Supplement (Turmeric Powder), Protein Supplement (Unflavored Powder), Protein Supplement (Vanilla Powder), Protein Supplement (Whey Protein), Prunes (Pitted), Pumpkin Seed (Pumpkin Seeds), Pumpkin Seed (Pumpkin Seeds, Heirloom), Pumpkin Seed (Pumpkin Seeds, Raw and Shelled), Pumpkin Seed (Roasted &amp; Salted Pumpkin Seeds), Quinoa (Quinoa, Tri-Color), Quinoa (Quinoa, Tri-Color), Quinoa (Quinoa, White), Raisins (Thompson Raisins), Rice (Rice Bran, Stabilized), Seasoned Salt (All Season Salt), Seeds (Chia Seeds, Black), Seeds (Flax Chia Superseed Blend), Seeds (Pumpkin kernels), Seeds (Sunflower Seeds), Seeds (White Chia Seeds), Sesame Seed (Hulled), Sesame Seed (Natural), Sesame Seed (Sesame Seed, Raw &amp; Hulled), Sesame Seed (Sesame Seeds, Black (Raw &amp; Unhulled)), Snack Foods (Chocolate Cherry), Snack Foods (Cinnamon Apple), Snack Foods (Mango Chips), Snack Foods (Nutty Cacao), Snack Foods (Protein Balls: Chocolate Brownie), Snack Foods (Protein Balls: Chocolate Chip Cookie Dough), Snack Foods (Protein Balls: Dessert Dates), Snack Foods (Protein Balls: Salted Caramel), Snack Foods (Salted Cranberry), Snack Foods (Super Snack Mix - Cherry Cacao), Snack Foods (Super Snack Mix - Cherry Chocolate Chip), Snack Foods (Super Snack Mix - Cinnamon Apple Crunch), Snack Foods (Super Snack Mix - Cranberry Caramel Crunch), Snack Foods (Super Snack Mix - Cranberry Cashew), Snack Foods (Super Snack Mix - Double Chocolate Chip), Spice Blends (Pumpkin Pie Spice), Spices (Cardamom Powder), Spices (Clove Powder), Spices (Nutmeg Powder-used in blends), Spirulina (Powder), Sweetener (Stevia Extract, 98%), Tapioca (Tapioca Flour), Tea (Matcha, Ceremonial Japanese MKO-A), Tea (Matcha, Culinary Japanese MKO-D), Trail Mix (Thrive), Vanilla (Powder), Vanilla Bean (Powder), Walnuts (Whole, Halves 65s, Pieces), Yacon (Dried Root Slices), Yacon (Powder)</t>
  </si>
  <si>
    <t>Processed  Items: Coconut cream (Fat 21-22%) in canned, Coconut cream (Fat 22-24%) in aseptic bag and aseptic paper box, Coconut cream (Fat 22-24%) in aseptic bag aseptic paper box, Coconut Cream 21-22%Fat in Pouch, Coconut Cream 21-22%Fat with Pulp (Coconut Meat) in Pouch, Coconut creamer, Cream (Coconut Whipping Cream in Canned), Plastic bag pasteurized coconut cream (Fat 22-25%), Plastic bag pasteurized coconut cream (Fat 29-30%), Ready to Eat Foods (Coconut Crispy Rolls Chocolate), Ready to Eat Foods (Coconut Crispy Rolls Coffee), Ready to Eat Foods (Coconut Crispy Rolls No Egg), Ready to Eat Foods (Coconut Crispy Rolls Original); Preservatives/Extracts/Flavors: Extracts (Coconut Extract (Multi Ingredient)), Extracts (Coconut Extract Coconut cream (Fat 23-25%) in aseptic bag); Condiments and Sweeteners: Sweeteners (Sweetened condensed coconut milk (add cane sugar)); Beverage Related Products: Coconut Water Added 1% Cane Sugar, Coconut water in aseptic box and bag, Mixed Drinks (Pasteurized Coconut Water), Mixed Drinks (Coconut Water in bottle), Mixed Drinks (Coconut Water in can), Non-Dairy Milk (Light Coconut milk (Fat 5-7%) in canned), Non-Dairy Milk (Light Coconut milk (Fat 8-9%) in canned), Non-Dairy Milk (Plastic bag pasteurized coconut milk (Fat 17-18%)), Non-Dairy Milk (TK Organic Coconut Milk 14-16 % fat UPC: 737628079506), Non-Dairy Milk (Coconut milk (Fat 10-12%) in aseptic bag aseptic paper box), Non-Dairy Milk (Coconut milk (Fat 17-18%) in aseptic bag aseptic paper box), Non-Dairy Milk (Coconut milk (Fat 5-7%) in aseptic bag aseptic paper box), Non-Dairy Milk (Coconut milk (Fat 12-13%) in canned), Non-Dairy Milk (Coconut milk (Fat 14-15%) in canned), Non-Dairy Milk (Coconut milk (Fat 17-18%) in canned), Non-Dairy Milk (Coconut Milk 17-18% in Aseptic Box and Bag), Non-Dairy Milk (Coconut Milk 17-18%Fat in Pouch), Non-Dairy Milk (Coconut Milk 17-18%Fat with Pulp (Coconut Meat) in Pouch), Non-Dairy Milk (Coconut Milk Lite 8-9%Fat in Pouch), Non-Dairy Milk (Coconut Milk Lite 8-9%Fat with Pulp (Coconut Meat) in Pouch), Non-Dairy Milk (Aseptic bag aseptic paper box Coconut Milk (Fat 17-18%)); Other: Frozen Young Coconut Meat</t>
  </si>
  <si>
    <t>Beverage Related Products: Mixing &amp; Blending of Cocoa Power, Distributing Pre-Packaged Natural Cocoa Powder ON01, Distributing Pre-Packaged Alkalized Cocoa Powder OA01, Powders (Milk: Chocolate Somerset, Chocolate Splash 14, Strawberry 7 OG Cocoa: Alkalized PF800A, Natural PF500N, Black, Natural, Alkalized, PF900A, PF801A), Powders (Mexican Hot Chocolate Flavored Dairy), Powders (Milk: Chocolate - Seneca)</t>
  </si>
  <si>
    <t>Dairy: Nonfat Dry Milk Powder (Low Heat); Other: Distribution</t>
  </si>
  <si>
    <t>Other: Natural Bleu Cheese-Type Base #1413595 - Liquid, Natural Bread Crust in ETOH Base #2106776 - Liquid (WIP), Natural Butter Type Flavor #1413346 - Liquid, Natural Butter Vanilla - Type Liquid Base #2106752 - Liquid (WIP), Natural Butter Vanilla Type Flavor #1413374 - Powder, Natural Buttermilk-Type Flavor #1413092 – Liquid, Natural Butter-Type Flavor #1411516 – Liquid, Natural Butter-Type Flavor #1411884 – Liquid, Natural Butter-Type Flavor #1412106 – Liquid, Natural Butter-Type Flavor #1413463 – Spray Dry, Natural Butter-Type Flavor #1413687 - Liquid, Natural Cheddar-Type Flavor #1413417 - Liquid, Natural Cheese-Type Base #2106782 – Paste (WIP), NATURAL CHEESE-TYPE OCOM BASE #2106462 - PASTE (WIP), Natural Cis-4-Heptenal 0.01% in Coconut Oil Base -Liquid 2106550 (WIP), Natural Cocoa Flavor #1413469 WONF - Liquid, Natural Dairy Enhancer Flavor #1413522 - Powder, Natural Masking Flavor #1413509 - Powder, Natural Milk Type Flavor #1413435 - Liquid, Natural Milk-Type Base #2106781 - Liquid (WIP), Natural Milk-Type Flavor #1412587 – Liquid, Natural Milk-Type Flavor #1413461 – Spray Dry, Natural Milk-Type Flavor #3248 – Liquid, Natural Monterery Jack-Type Flavor #1413454 - Powder, Natural Mouthfeel Flavor #2106725 - Paste (WIP), Natural Romano Type Flavor #1413437 - Liquid, NATURAL SWEET CREAM FLAVOR #1414158 WONF - POWDER, NATURAL SWEET CREAM-TYPE BASE #2106928 - PASTE (WIP), Natural Yogurt-Type Flavor #1413512 - Liquid</t>
  </si>
  <si>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</si>
  <si>
    <t>Preservatives/Extracts/Flavors: Herbs; Personal Care: Body Care Products, Body Care Products, Body Care Products, Body Care Products, Body Care Products, Body Care Products, Body Care Products, Body Care Products, Body Care Products, Body Care Products, Body Care Products, Body Care Products, Body Care Products, Body Care Products, Body Care Products; Dairy: Milk; Beverage Related Products: Tea, Tea, Tea, Tea, Tea, Tea, Tea, Tea</t>
  </si>
  <si>
    <t>Other: 15% Swine Grower, 17% Layer, 18% Poultry Grower, 21% Poultry Grower, 9% Heifer/Dry cow Pellet, Beef Heart, Bottom Round Roast, Brisket, Chuck Roast, Dairy Pellet, Eye Round Roast, Ground Beef, Jersey Milk, Liver, Minute Steak, NY Sirloin, Oxtail, Ribeye, Sheep Pellet, Short Ribs, Soup Bones, Steak Tips, Stew Beef, Strip Steak, Suet, Tenderloin, The Milkhouse Blueberry Yogurt, The Milkhouse Greek Yogurt, The Milkhouse Maple Whole Milk Yogurt, The Milkhouse Whole Milk Yogurt, Tongue, Top Round Roast</t>
  </si>
  <si>
    <t>Other: Broker (Client Profile Products only) (Broker of Dairy Products), Butter, Butter (Clarified Butter 99% butterfat), Butter (Clarified Butter Anhhydrous milk fat), Butter (Clarified Butter Ghee), Butter (Clarified Butter Salted 84% (Pasture Butter)), Butter (Clarified Butter Unsalted), Butter (Clarified Butter Unsalted 84%), Butter (European Style Butter Cultured Unsalted), Butter (Pasture Butter), Butter (Salted; Unsalted), Butter (Unsalted Butter), Butter (Unsalted Butter with Lactic Acid), Butter (Whipped Butter Salted), Buttermilk (Butter Milk (275 Gallon) &amp; (5 Gallon)), Buttermilk (Buttermilk Blend-001), Buttermilk (Buttermilk powder), Buttermilk (Buttermilk powder (cultured)), Buttermilk (Buttermilk Powder blend), Buttermilk (Cultured Buttermilk Powder), Cheese, Cream, Cream (Cream; Cream Grassfed), Cream (Dried Cream Powder (40% &amp; 72%)), Cream (Gercreme 40% Cream Powder), Ghee, Milk, Milk (Livestock Feed Nonfat Milk), Milk (Livestock Feed Whole Milk), Milk (Dry) (Nonfat), Milk (Dry) (Nonfat Dry Milk Powder (A2; Grassfed; Instant)), Milk (Dry) (Nonfat Dry Milk Powder; Nonfat Dry Milk Powder A2; Nonfat Dry Milk Powder Grassfed), Milk (Dry) (Organic Nonfat Dry Milk), Milk (Dry) (Whole Milk Powder), Milk (Dry) (Whole Milk Powder; Whole Milk Powder Instant), Milk Products (Micellar Casein), Milk Products (Milk Protein Concentrate (70%, 80%, 85%)), Milk Products (MPI 85), Powder (Lactose powder Edible Lactose), Powder (Livestock Feed Powder (Buttermilk; Cultured Buttermilk; Lactose)), Whey, Whey (Acid Dairy Whey), Whey (Dried Whey Powder), Whey (Livestock Feed Whey), Whey (Livestock Feed Whey Protein Conentrate WPC (45%; 80%)), Whey (Reduced Lactose Whey Powder), Whey (Sweet Dairy Whey (Powder; Concentrated; Condensed)), Whey (Whey permeate; WPC 80%; WPC 80% Lactose Free; WPI 90%), Whey (Whey permeate; WPC 80%; WPC 80% Lactose Free; WPI 90%; WPI), Whey (Whey Protein Concentrate (45%, 75%, 80%, 80% Agglomerated, 80% Lactose Free, 80% Lactose Free Agglomerated, Powder)), Whey (Whey Protein Concentrate 40%), Whey (Whey Protein Concentrate 80%), Whey (Whey Protein Hydrolsate), Whey (Whey Protein Isolate 90%), Whey (Whey Reduced Minerals Whey Powder 90%), Whey (Whey Sweet Cool Dairy Whey)</t>
  </si>
  <si>
    <t>Dairy: Cheese (A2 Brie), Cheese (A2 Camembert), Cheese (A2 Gouda), Cheese (A2 Grassfed Colby Jack Cheese), Cheese (A2 Grassfed Raw Medium Cheddar Cheese), Cheese (A2 Havarti), Cheese (A2 Mozzarella), Cheese (Chili Jack Cheese), Cheese (Classic Jack Cheese), Cheese (Extra Sharp Raw Cheddar), Cheese (Gouda Cheese), Cheese (Havarti Cheese), Cheese (Low Moisture Part Skim Mozzarella Cheese), Cheese (Raw Aged Medium Cheddar Cheese), Cheese (Raw Aged Mild Cheddar Cheese), Cheese (Raw Aged Sharp Cheddar Cheese), Cheese (Raw Aged Smoked Cheddar Cheese), Cheese (Smoked Gouda Cheese), Milk (Cream), Milk (Raw Milk)</t>
  </si>
  <si>
    <t>Other: Brown Sugar (Dark), Cane Sugar, Chocolate (Dairy Free Semi-Sweet Chocolate), Cinnamon (Ground), Cloves (Ground), Cocoa Powder (Cocoa Powder 10/12), Coconut Oil (Coconut Oil, RBD), Ginger (Ground), Misc Baking Mixes (Brownie Mix), Misc Baking Mixes (Cake Mix - Chocolate), Misc Baking Mixes (Cake Mix - Vanilla), Misc Baking Mixes (Chocolate Chip Cookie), Misc Baking Mixes (Pumpkin Bread &amp; Muffin Mix), Misc. (Pumpkin Powder), Misc. Toppings (Chocolate Frosting), Misc. Toppings (Confetti Pop Frosting), Misc. Toppings (Cream Cheese Flavored Frosting), Misc. Toppings (Vanilla Frosting), Nutmeg (Ground), Pastry Flour (Snowdrift Pastry Flour), Pastry Flour (Whole Wheat Pastry Flour), Shortening (Palm Fruit Shortening), Sugar (Powdered Sugar 6x), Tapioca Starch, Vanilla Flavor (Vanilla Flavor WONF, Natural)</t>
  </si>
  <si>
    <t>Other: Cinnamon WONF (nonretail), Cocoa Powder (nonretail), Coconut cream (nonretail), Coconut cream (nonretail) - 100% organic, Coconut Water, Coconut Water Concentrate (nonretail), Coconut Water Concentrate (nonretail) - 100% organic, Coconut Water No Sugar Added, Coconut Water No Sugar Added (COR equiv), Extra Coconut - Coconut Water, French Vanilla Flavor WONF, Modifier Flavor, Non Dairy Coconut Beverage, Non Dairy Coconut Beverage - Cinnamon, Non Dairy Coconut Beverage - Vanilla, Non Dairy Coconut Beverage Chocolate, Non Dairy Coconut Beverage Original, Pressed Coconut Water, Unsweetened Coconut Milk, Virgin Coconut Oil, Virgin Coconut Oil (nonretail), Virgin Coconut Oil (nonretail) - 100% organic</t>
  </si>
  <si>
    <t>Processed  Items: Coconut Ice Cream; Oils &amp; Oleoresins: Oils (Coconut Oil); Fruits/Vegetables: Coconut Fruit, IQF Coconut Meat; Beverage Related Products: Coconut Cream, Non-Dairy Milk (Coconut Milk), Pure Coconut Water / Coconut Water</t>
  </si>
  <si>
    <t>Animal Feed: Livestock Feed, Livestock Feed, Livestock Feed</t>
  </si>
  <si>
    <t>Other Grains, Pastas and Cereals: Barley (Barley, cleaned), Barley (Barley, sprouted); Nuts/Seeds: Golden Flaxseed; Dairy: Cream (Cream - Grass Fed Certified Organic), Milk (Milk - bulk raw), Milk (Milk - Grass-Fed Certified Organic Whole Raw Milk)</t>
  </si>
  <si>
    <t>Other: Broker (Client Profile Products only) (Broker of Dairy Products), Butter, Butter (Clarified Butter 99% butterfat), Butter (Clarified Butter Anhhydrous milk fat), Butter (Clarified Butter Ghee), Butter (Clarified Butter Salted 84% (Pasture Butter)), Butter (Clarified Butter Unsalted), Butter (Clarified Butter Unsalted 84%), Butter (European Style Butter Cultured Unsalted), Butter (Pasture Butter), Butter (Salted; Unsalted), Butter (Unsalted Butter), Butter (Unsalted Butter with Lactic Acid), Butter (Whipped Butter Salted), Buttermilk (Buttermilk Blend-001), Buttermilk (Buttermilk powder), Buttermilk (Buttermilk powder (cultured)), Buttermilk (Buttermilk Powder blend), Cheese, Cream (Cream; Cream Grassfed), Cream (Gercreme 40% Cream Powder), Milk, Milk (Livestock Feed Nonfat Milk), Milk (Livestock Feed Whole Milk), Milk (Dry) (Nonfat Dry Milk Powder (A2; Grassfed; Instant)), Milk (Dry) (Nonfat Dry Milk Powder; Nonfat Dry Milk Powder A2; Nonfat Dry Milk Powder Grassfed), Milk (Dry) (Organic Nonfat Dry Milk), Milk (Dry) (Whole Milk Powder), Milk (Dry) (Whole Milk Powder; Whole Milk Powder Instant), Milk Products (Milk Protein Concentrate (70%, 80%, 85%)), Powder (Lactose powder Edible Lactose), Powder (Livestock Feed Powder (Buttermilk; Cultured Buttermilk; Lactose)), Whey, Whey (Acid Dairy Whey), Whey (Livestock Feed Whey), Whey (Livestock Feed Whey Protein Conentrate WPC (45%; 80%)), Whey (Reduced Lactose Whey Powder), Whey (Sweet Dairy Whey (Powder; Concentrated; Condensed)), Whey (Whey permeate; WPC 80%; WPC 80% Lactose Free; WPI 90%), Whey (Whey permeate; WPC 80%; WPC 80% Lactose Free; WPI 90%; WPI), Whey (Whey Protein Concentrate (45%, 75%, 80%, 80% Agglomerated, 80% Lactose Free, 80% Lactose Free Agglomerated, Powder)), Whey (Whey Protein Concentrate 80%), Whey (Whey Protein Hydrolsate), Whey (Whey Protein Isolate 90%), Whey (Whey Reduced Minerals Whey Powder 90%), Whey (Whey Sweet Cool Dairy Whey)</t>
  </si>
  <si>
    <t>Other: Milk (Raw) (no current production)</t>
  </si>
  <si>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</si>
  <si>
    <t>Other: Cocoa/Chocolate - Chocolate Chunk, Cocoa/Chocolate - Chocolate Drops, Cocoa/Chocolate - Cocoa Butter, Cocoa/Chocolate - Cocoa Powder, Dairy Products - Butter, Dairy Products - Milk Protein Concentrate (MPC) 85%, Dairy Products - Whey Protein Concentrate (WPC) 80%, Flavoring / Extract - Lemon #3068889, Flavoring/Extract - Almond #2622291, Flavoring/Extract - Blackberry 15.48125, Flavoring/Extract - Blueberry #08.9721O, Flavoring/Extract - Cocoa #17.402O, Flavoring/Extract - Lemon #2923604, Flavoring/Extract - Peanut #2927037, Flavoring/Extract - Sweetness Enhancer, Flavoring/Extract - Vanilla #2622260, Flour - Amaranth, Flour - BakeArom, Flour - Barley, Flour - Brown Flax, Flour - Buckwheat, Flour - Millet, Flour - Oat, Flour - Oat Fiber, Flour - Peanut, Flour - Potato, Flour - Quinoa, Flour - Rice, Flour - Sesame, Flour - Sorghum, Flour - Soy, Flour - Wheat, Grain / Seed - Poppy, Grain/Seed - Amaranth, Grain/Seed - Barley, Grain/Seed - Buckwheat Groats, Grain/Seed - Caraway, Grain/Seed - Chia Seeds, Grain/Seed - Cornmeal, Grain/Seed - Flax, Grain/Seed - Millet, Grain/Seed - Oat Bran, Grain/Seed - Oat Flakes, Grain/Seed - Oats, Grain/Seed - Pumpkin, Grain/Seed - Quinoa, Grain/Seed - Sorghum, Grain/Seed - Sunflower, Grain/Seed - Wheat Gluten, Hydrocolloid - Locust Bean Gum, Juice Concentrate - Blueberry, Juice Concentrate - Mandarin, Juice Concentrate - Mixed Fruit, Juice Concentrate - Orange, Nuts/Nut Products - Almond Butter, Nuts/Nut Products - Almonds, Nuts/Nut Products - Coconut, Nuts/Nut Products - Peanut Butter, Nuts/Nut Products - Peanuts, Oil - Canola, Oil - Canola Lecithin, Oil - Coconut, Oil - Olive, Oil - Peanut, Oil - Safflower, Oil - Soybean, Oil - Sunflower, Oil - Sunflower Lecithin, Oil - Tocopherol, Protein - Hemp Seed, Protein - Pea, Protein - Rice, Shortening - Palm, Spice/Seasoning - Basil, Spice/Seasoning - Buffalo Style, Spice/Seasoning - Cinnamon, Spice/Seasoning - Garlic, Spice/Seasoning - Garlic Minced, Spice/Seasoning - Garlic Powder, Spice/Seasoning - Garlic Snack Seasoning, Spice/Seasoning - Italian, Spice/Seasoning - Nutmeg, Spice/Seasoning - Onion Chopped, Spice/Seasoning - Onion Granulated, Spice/Seasoning - Onion Powder, Spice/Seasoning - Onions, Starch - Corn, Starch - Potato, Starch - Rice, Starch - Tapioca, Starch - Tapioca Maltodextrin, Starch - Tapioca Solids, Starch - Wheat, Sweetener - Agave, Sweetener - Brown Sugar, Sweetener - Coconut Palm Sugar, Sweetener - Erythritol, Sweetener - Honey, Sweetener - Malt Extract, Sweetener - Molasses, Sweetener - Powdered Sugar, Sweetener - Rice Syrup, Sweetener - Sugar, Sweetener - Sugar Invert, Sweetener - Sugar Syrup, Sweetener - Tapioca Syurp, Tea - Yerba Mate, Vegetable/Fruit - Blueberries, Vegetable/Fruit - Carrot Powder, Vegetable/Fruit - Cranberries, Vegetable/Fruit - Mirepoix, Vegetable/Fruit - Parsley, Vegetable/Fruit - Raisin, Vegetable/Fruit - Spinach Powder, Vinegar - Apple Cider, Vinegar - White Distilled</t>
  </si>
  <si>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</si>
  <si>
    <t>Baby Food: Baby Food (Advanced Nutrition Blends (4 pack)), Baby Food (Apple &amp; Blueberry ), Baby Food (Apple &amp; Sweet Potato), Baby Food (Apple, Banana, Spinach &amp; Avocado ), Baby Food (Apple, Carrot, Beet &amp; Ginger ), Baby Food (Apple, Sweet Potato, Blueberry &amp; Coconut Milk ), Baby Food (Applesauce Apple Strawberry), Baby Food (Baby Blends - Butternut Squash (with Cinnamon)), Baby Food (Baby Blends-  Pear (with Ginger)), Baby Food (Baby Fruit &amp; Veggie Blend Apple, Banana &amp; Kale (with Flax Seed)), Baby Food (Coconut Milk Yogurt Alternative - Ba-nilla), Baby Food (Coconut Milk Yogurt Alternative - Mixed Berry), Baby Food (Coconut Milk Yogurt Alternative - Strawberry Banana), Baby Food (Dairy Free Smoothie - Berry Berry), Baby Food (Dairy Free Smoothie - Coco for Mangoes), Baby Food (Dairy Free Smoothie - Go-Go Greens), Baby Food (Dairy Free Smoothie - Peach Sunrise), Baby Food (Dairy Free Smoothie - Strawberry Banana Swirl), Baby Food (Farmer Jen &amp; the Giant Squash - Koginut Squash), Baby Food (Farmer Jen's Baby Fruit &amp; Veggie Blend Pumpkin Apple &amp; Carrot), Baby Food (Farmer Jen's Pumpkin Apple Pie), Baby Food (Farmer Jen's Sweet Potato Pie), Baby Food (Fruit &amp; Veggie Blend - Ancient Grains &amp; Greens), Baby Food (Fruit &amp; Veggie Blend - Cauliflower Fields), Baby Food (Fruit &amp; Veggie Blend - Farmer Jen's Blueberry Buckle ), Baby Food (Fruit &amp; Veggie Blend - Farmer Jen's Pumpkin Oatmeal Cookie), Baby Food (Fruit &amp; Veggie Blend - Oats &amp; Roots), Baby Food (Fruit &amp; Veggie Blend - Peach, Mango, Apple &amp; Squash), Baby Food (Fruit &amp; Veggie Blend - Power Bowl), Baby Food (Fruit and Veggie Blends Variety Packs (4, 8, 12 pouch packs)), Baby Food (Fruit Blend - Mango), Baby Food (Green Kale &amp; Apple / Apple, Banana, Kale with Hemp Seed), Baby Food (Immunity Blend - Blueberry, Banana, and Ginger), Baby Food (Immunity Blend (12 pack) - Apple Cherry Elderberry /Mango Banana Spirulina), Baby Food (Immunity Blends - Apple Cherry Elderberry), Baby Food (Immunity Blends - Mango Banana Spirulina), Baby Food (Immunity Blends - Pineapple Banana Dragon Fruit), Baby Food (Immunity Blends (4 Pack)), Baby Food (Mama Blueberry / Apple, Sweet Potato, Blueberry with Coconut Milk), Baby Food (Mango Coconut &amp; Carrot), Baby Food (Mango, Coconut &amp; Carrot ), Baby Food (Oatmeal Blend - Pear &amp; Blueberry), Baby Food (Oatmeal Blend- Apple), Baby Food (Oatmeal Blend-Banana), Baby Food (OhMyMega Veggie! / Apple, Carrot, Beet with Ginger &amp; Flax), Baby Food (Pineapple Banana &amp; Kale ), Baby Food (Pineapple, Banana &amp; Kale ), Baby Food (Pineapple, Banana, Avocado &amp; Mint ), Baby Food (Smart Blend - Bananas for Apples &amp; Greens), Baby Food (Smart Blend - Pine-Apple Berry Punch), Baby Food (Smart Blend (4 pack)), Baby Food (Smart Blend- Pear-y Blueberry &amp; Spinach), Baby Food (Smart Blend- Ras-Pear-y Kale), Baby Food (Strawberry Patch / Strawberry, Squash, Coconut with Date, Vanilla &amp; Chia), Baby Food (Strawberry, Butternut Squash &amp; Coconut ), Baby Food (Tropical Twirl), Baby Food (Wild Rumpus Avocado / Pineapple, Banana, Avocado with Mint); Other: Blend (Apple Cinnamon Applesauce), Blend (Baby Fruit &amp; Veggie Blend - Pear, Apple, Cranberry &amp; Beet), Blend (Belly Blend - Banana, Berry &amp; Acai), Blend (Belly Blend - Red Berries, Cherries &amp; Sweet Potato), Blend (Belly Blend 4 Pack - Red Berries, Cherries &amp; Sweet Potato and Banana Berry &amp; Acai), Blend (Fruit &amp; Veggie Blend - Cran-Berry Smash), Coconut (Frozen Coconut Milk), Dairy (A2/A2 Whole Milk Shake - Banana Creme), Dairy (A2/A2 Whole Milk Shake - Strawberry Creme), Dairy (A2/A2 Whole Milk Shake - Triple Berry), Dairy (Whole Milk Smoothie - Banana Berry Blast), Dairy (Whole Milk Smoothie - Mango Pear-adise), Dairy (Whole Milk Smoothie - Orange Squeeze), Oatmeal (Overnight Oats- Strawberry), Oatmeal (Overnight Oats-Apple Cinnamon), Oatmeal (Overnight Oats-Blueberry), Pasteurization (HPP)</t>
  </si>
  <si>
    <t>Dairy: Butter (Unsalted Butter), Butter (Salted Butter), Cheese (British Organic Dairy Co. - Cheesemaker's Reserve Cheddar Cheese), Cheese (British Organic Dairy Co. - Extra Sharp Cheddar Cheese), Cheese (British Organic Dairy Co. - Sharp Cheddar Cheese), Cheese (Cheddar Cheese), Cheese (Extra Mature Cheddar Cheese), Cheese (Grass Roots Dairy Co. Mild Cheddar Cheese), Cheese (Kingdom Organic Aged Cheddar Cheese (Block)), Cheese (Kingdom Organic Aged Cheddar Cheese (Wedge)), Cheese (Mature Cheddar Cheese), Cheese (Mild Cheddar Cheese), Cheese (Vintage Cheddar Cheese)</t>
  </si>
  <si>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</si>
  <si>
    <t>Other: Buckwheat Flour (Gluten Free, Light), Cane Sugar (Golden Granulated, Raw), Coconut Cream (Aseptic), Dairy Alternative (Extra Creamy Buckwheat Milk ), Dairy Alternative (Hint of Vanilla Buckwheat Milk), Dairy Alternative (Original Buckwheat Milk), Pea Protein (PURIS Pea 2.0), Vanilla Extract, Vanilla Extract (Pure Madagascar Bourbon Vanilla Extract 1-fold), Vanilla Extract (Pure Madagascar Bourbon Vanilla Extract 2-fold)</t>
  </si>
  <si>
    <t>Dairy: Cream (Pasteurized Cream), Yogurt (6% Milkfat Skyr - 8 pack (4 count Vanilla Bean and 4 count Meadow Berry Yogurts)), Yogurt (6% Milkfat Skyr Blueberry Lemon), Yogurt (6% Milkfat Skyr Meadow Berry), Yogurt (6% Milkfat Skyr Passion Fruit), Yogurt (6% Milkfat Skyr Plain), Yogurt (6% Milkfat Skyr Savannah's Peach), Yogurt (6% Milkfat Skyr Strawberry Fields), Yogurt (6% Milkfat Skyr Vanilla Bean), Yogurt (Greek Yogurt - Plain), Yogurt (Greek Yogurt - Vanilla), Yogurt (Non-fat Blueberry &amp; Lavender Skyr), Yogurt (Non-fat Elderflower &amp; Lemon Skyr), Yogurt (Non-fat Mixed Berry and Acai Skyr), Yogurt (Non-fat Plain Skyr), Yogurt (Non-fat Strawberry &amp; Rhubarb Skyr), Yogurt (Non-fat Vanilla Skyr), Yogurt (Whole Milk Black Currant &amp; Blood Orange Skyr), Yogurt (Whole Milk Mixed Berry and Acai Skyr), Yogurt (Whole Milk Plain Skyr), Yogurt (Whole Milk Raspberry &amp; Rosewater Skyr), Yogurt (Whole Milk Raspberry Skyr), Yogurt (Whole Milk Vanilla Skyr)</t>
  </si>
  <si>
    <t>Dairy: Cheese (Baby Swiss Cheese), Cheese (Cheddar Cheese), Cheese (Colby Cheese), Cheese (Fiery Sharp Cheese), Cheese (Flamin' Pepper Cheese), Cheese (Garlic &amp; Dill Cheese), Cheese (Garlic Dill Cheese Curds), Cheese (Gouda Cheese), Cheese (Horseradish Cheese Curds), Cheese (Mozzarella Cheese), Cheese (Plain Cheese Curds Cheese), Cheese (Sharp Cheddar Cheese), Cheese (Smoky Zest Cheese Curds), Yogurt (Blueberry Yogurt), Yogurt (Plain Yogurt), Yogurt (Raspberry Yogurt), Yogurt (Strawberry Yogurt), Yogurt (Vanilla Yogurt); Other: Labeling Dairy Products, Packaging Dairy Products, Processing Dairy Products</t>
  </si>
  <si>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</si>
  <si>
    <t>Oils &amp; Oleoresins: Oils (Mom's Organic Extra Virgin Olive Oil); Beverage Related Products: Non-Dairy Milk (Organic Almond Non-Dairy Beverage Original Unsweetened), Non-Dairy Milk (Organic Oat Non-Dairy Beverage Origianl)</t>
  </si>
  <si>
    <t>Other: Cream, Dairy Processing (Client Profile Products only), Milk (Dry) (Nonfat Dry Milk), Milk (Dry) (Nonfat Dry Milk A2), Milk (Dry) (Whole)</t>
  </si>
  <si>
    <t>Other: Dairy (Distribution), Distributing (Client Profile Products only) (Organic Produce, Eggs, Herbs, Meat, Grains, Dairy, Tortillas, Tofu Products, Juices, and Floral), Eggs (Distribution), Floral Items (Distribution), Fresh Herbs (Distribution), Grains (Distribution), Juice (Distribution), Meats (Distribution), Produce (Distribution), Tofu (Tofu products - Distribution)</t>
  </si>
  <si>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</si>
  <si>
    <t>Dairy: Cream (Half &amp; Half, Heavy Cream (Bulk/Wholesale)), Milk (Skim, 2% Reduced Fat, 8% Butterfat, Whole (Bulk/Wholesale))</t>
  </si>
  <si>
    <t>Nuts/Seeds: Nuts; Fruits/Vegetables: Berries (Blackberries, Raspberries, Strawberries, Blueberries), Fruits, Herbs, Vegetables, Spring Mix; Eggs: Eggs; Other: Dairy, Eggs, Fruit, Nuts, Vegetables</t>
  </si>
  <si>
    <t>Other: #Processing, handling, and private labeling of dairy products; Brokering and handling of butter., *Greek Yogurt: 2% Greek Watershed Yogurt #R-5320, *Yogurt: Reduced Fat Watershed Yogurt #R-6100, *Reduced Fat Watershed Yogurt-Reduced Sugar #R-6200, Butter, Cheese: Cheddar (White) #R-8020, Cheddar #R-8000, Colby Jack #R-8080, Yellow Cheddar #R-8030, Cottage Cheese: 2% Non-homogenized #R-1200, Cottage Cheese: 4% HW #R-1450, Cottage Cheese: 4% Non-homogenized #R-1400, Cottage Cheese: 5% POT Large Curd Cottage Cheese #R-1470, Cottage Cheese: Low-fat Classic Cottage Cheese (2%) #R-1410, Whole Milk Classic Cottage Cheese (4%) #R-1420, Double Cream Classic Cottage Cheese (6%) R#-1600, Strawberry Chia Cottage Cheese #R-1420-75, Blueberry Acai Chia Cottage Cheese #R-1420-74, #R-1420-78 Pineapple Cottage Cheese, Sour Cream with Probiotics R#-3220, Lactose Free Cottage Cheese #R-1430, Distribution and handling of raw milk and cream, French Onion Dip #R-4100, Greek Yogurt: 2% Greek Yogurt #R-5420, Greek Yogurt: Non Fat Greek Yogurt #R-5400, Greek Yogurt: Whole Milk base/Plain #R-5440, Green Valley Creamery Cottage Cheese #R-1480, Icelandic Yogurt: Whole Milk Base #R-5410, Sour Cream (stabilized) #R-3200, Sour Cream (un-stabilized) #R-3210, Yogurt: GFY Reduced Fat Yogurt #R-6750</t>
  </si>
  <si>
    <t>Dairy: Milk (on-farm collection of organic milk and transfer of organic fluid milk from one vehicle to another.)</t>
  </si>
  <si>
    <t>Other: Raw Dairy Milk, Fresh Cream, Milk</t>
  </si>
  <si>
    <t>Other: Almondmilk, Original, Almondmilk, Unsweetened, Almondmilk, Unsweetened Vanilla, Almondmilk, Vanilla, Dairy Creamer Sweet Cream, Dairy Creamer Vanilla Flavored, Heavy Whipping Cream, Milk, Fat Free Vitamins A&amp;D, Milk, Low Fat 1% Vitamins A&amp;D, Milk, Reduced Fat 2% Vitamins A&amp;D, Milk, Reduced Fat 2% Vitamins A&amp;D (California Standard), Milk, Reduced Fat 2% Vitamins A&amp;D (California Standard), Milk, Vitamin D, Milk, Vitamin D (California Standard), Milk, Vitamin D (California Standard)</t>
  </si>
  <si>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</si>
  <si>
    <t>Dairy: Yogurt (WHOLE MILK BULGARIAN YOGURT, NON-FAT MILK BULGARIAN YOGURT)</t>
  </si>
  <si>
    <t>Other: Chocolate Milk, Heavy Cream, Milk, Skim milk, Yogurt- Plain</t>
  </si>
  <si>
    <t>Other: Sheep: lamb retail meat cuts</t>
  </si>
  <si>
    <t>Other: Cultured Dairy Beverage, Original, Cultured Dairy Beverage, Plain, Cultured Dairy Beverage, Strawberry</t>
  </si>
  <si>
    <t>Other: Brokerage and Distribution of Organic Dairy Products</t>
  </si>
  <si>
    <t>Fruits/Vegetables: Beans (Peas, Black-Eyed), Beans (Pinto Beans); Eggs: Eggs (Chicken); Animal Feed: Livestock Feed (Developer Poultry Feed), Livestock Feed (OB Series- Poultry (with and without soyean oil and additives)), Livestock Feed (ODF -Dairy Feed), Livestock Feed (OHF Hog Feed), Livestock Feed (ORG Series - Poultry (with and without soybean oil and additives)), Livestock Feed (Transition Poultry Feed)</t>
  </si>
  <si>
    <t>Other: 17% Organic, Fertrell Blend 17%, Fertrell Blend 19%, Fertrell Blend 22%, Organic All Stock 17%, Organic Aroostook Broiler, Organic Aroostook Dairy, Organic Aroostook Layer, Organic Aroostook Swine, Organic Board Arrow Swine Lactation, Organic Broad Arrow Swine Finisher, Organic Broad Arrow Swine Grower, Organic Broad Arrrow swine gestation, Organic Broiler (peas) 18%, Organic Broiler (peas) 21%, Organic Broiler 18%, Organic Broiler 19%, Organic Broiler 22%, Organic Broiler RC 21%, Organic Custom Blend, Organic Dairy 14%, Organic Grace Pond Dairy, Organic Layer, Organic no soy layer, Organic Sheep, Organic soy free whole grain mix, Organic Tide Mill Dairy 16%, Organic Tide Mill Swine, Organic Turkey</t>
  </si>
  <si>
    <t>Other: Dairy Cream Type Flavor ZE46830, DriZoom NATURAL ALPHONSO MANGO FLAVOR WONF ZE75827, DriZoom Natural Lime Flavor ZE37253, DriZoom NATURAL PEACH FLAVOR WONF ZE76304, DriZoom® BOURBON VANILLA EXTRACT (4X) POWDER ZE92716, DriZoom® NATURAL LEMONADE TYPE FLAVOR ZE68290, DriZoom® NATURAL ORANGE MANGO FLAVOR WONF 083153, DriZoom® NATURAL STRAWBERRY FLAVOR WONF ZE68288, DriZoom® NATURAL WATERMELON LIME FLAVOR WONF 081445, Natural Chocolate Flavor WONF ZE54847, Natural Lemon Flavor WONF ZE51818, Natural Lime Flavor WONF ZE61652, Natural Lime Flavor WONF ZE61892, Natural Manadarin Flavor WONF ZE61651, Natural Strawberry Banana Flavor WONF ZE54379, Natural Vanilla Flavor WONF ZE51873, Natural Vanilla Flavor WONF ZE54371, Tart Cherry Juice Powder ZE50411, True Alphonso Mango ZE80733, True Berry Organic, True Grapefruit Organic ZE61433, True Lemon Organic, True Lime Organic, True Orange Organic, True Peach ZE80231, True Pineapple ZE50235, True Pomegranate Organic, True Strawberry Organic, True Sweet Cherry Organic, True Watermelon Organic, True White Grape Organic, Vanilla Powder ZE46917</t>
  </si>
  <si>
    <t>Other: AX003 Alexia Yukon Select Fries with a Touch of Sea Salt 15 oz., AX016 Alexia Oven Crinkles with Sea Salt, AX025 Alexia Yukon Select Fries with a Touch of Sea Salt 22 oz., AX100 Alexia Organic Yukon Select Puffs, Cadia Organic Vegan Buttery Spread, Full Circle Market Organic Plant Based Butter Spread with Coconut Oil, Full Circle Market Organic Plant Based Butter Sticks with Coconut Oil, Good &amp; Gather Plant Based Organic Non-Dairy Buttery Spread, Good &amp; Gather Plant Based Organic Non-Dairy Buttery Sticks, Melt Organic Cold Pressed Plant Butter Spread, Melt Organic Cold Pressed Plant Butter Sticks, Melt Organic Cold Pressed Plant Butter Unsalted Sticks, Natural Grocers Organic Plant Based Buttery Spread, Natural Grocers Organic Plant Based Buttery Sticks, Nature’s Basket Organic Plant Based Buttery Spread, Nature’s Basket Organic Plant Based Buttery Sticks, SP100 Sprouts Organics Shoestrings, SP203 Sprouts Organic Potato Bites Seasoned Shredded Potatoes, Trader Joes Organic Buttery Plant Based Spread, Wegmans Organic Plant Based Buttery Spread, Wegmans Organic Plant Based Buttery Sticks, Whole-some Pantry Organic Plant Based Buttery Spread, Whole-some Pantry Organic Plant Based Buttery Sticks, Yummy Butter Sticks Salted, Yummy Butter Sticks Unsalted, Hundy! Organic Pineapple Fruit Pops, Hundy! Organic Mango Fruit Pops</t>
  </si>
  <si>
    <t>Additional Certified Products Under HANDLING Scope</t>
  </si>
  <si>
    <t>Organic Coconut Curry Chickpeas, 10 Oz, Organic Coconut Flour, 14 Oz, Organic Coconut Milk, 13.5 Fl Oz, Organic Coconut Milk, 13.5 Fl Oz, Organic Coconut Milk, Lite, 13.5 Oz, Organic Coconut Milk, Regular, 13.5 Fl Oz, Organic Coconut Milk, Spicy, 13.5 Fl Oz, Organic Coconut Milk, Yellow Curry, 13.5 Fl Oz, Organic Coconut Palm Sugar, 16 Oz, Organic Coconut Smoothie Sample, Original, 10 Fl Oz, Organic Coconut Smoothie, Mocha, 10 Fl Oz, Organic Coconut Smoothie, Original, 10 Fl Oz, Organic Coconut Smoothie, Radiant Greens, 10 Fl Oz, Organic Coconut Smoothie, Strawberry Banana, 10 Fl Oz, Organic Coconut Smoothie, Vanilla Cinnamon, 10 Fl Oz, Organic Coconut Sugar, 1 Lb, Organic Coconut Water, 1 L, Organic Coconut Water, 11 Fl Oz, Organic Coconut Water, 12 Fl Oz, Organic Coconut Water, 12oz, Organic Coconut Water, 16 Fl Oz, Organic Coconut Water, 33.8 Fl Oz, Organic Coconut Water, 8.75 Fl Oz, Organic Coconut Water, Cucumber Mint, 12 Fl Oz, Organic Coconut Water, Pink Lady Apple, 12 Fl Oz, Organic Coconut Water, Strawberry Rose, 12 Fl Oz, Organic Coconut Water, Watermelon, 12 Fl Oz, Organic Coconut Water, With Pulp, 16 Fl Oz, Organic Coconut Whipping Cream, 13.5 Fl Oz, Organic Coconut Yogurt, Mango, 4.4 Oz, Organic Coconut Yogurt, Plain Unsweetened, 24 Oz, Organic Coconut Yogurt, Strawberry, 4.4 Oz, Organic Coconut Yogurt, Vanilla, 24 Oz, Organic Coconut Yogurt, Vanilla, 4.4 Oz, Organic Coffee Ecopods, Birchwood Breakfast Blend, 0.36 Oz (12 Ct), Organic Cold Brew &amp; MCT Protein Smoothie Mix, 8.4 Oz, Organic Cold Brew Coffee Concentrate, 32 Fl Oz, Organic Cold Brew Coffee On The Go, Mocha With Coconut Milk , 11 Fl Oz, Organic Cold Brew Coffee On The Go, Vanilla With Coconut Milk , 11 Fl Oz, Organic Cold Brew Coffee, Caramel, 32 Fl Oz, Organic Cold Brew Straight Black Coffee, 32 Fl Oz (1 Qt), Organic Cold Brew, Single Origin, 8 Fl Oz, Organic Cold Brew, Vanilla, 32 Oz, Organic Cold-Pressed Energy Juice Shot, Passionfruit, 1.7 Fl Oz, Organic Cold-Pressed Immunity Probiotic Juice Shot, Watermelon Strawberry, 1.7 Fl Oz, Organic Collards (ct), Organic Condensed Coconut Milk, Plain, 9.1 Oz, Organic Confectioners Stevia Blend, 1 Lb, Organic Cooked Red Beets, 8.8 Oz, Organic Cookie Bites, Chocolate Chip, 10.5 Oz (10 Ct), Organic Corn (ct), Organic Corn Chips with Sea Salt, 8.25 Oz, Organic Corn Flakes Cereal, 8.4 Oz, Organic Corn Tortillas, 9.33 Oz (8 Ct), Organic Cottage Cheese, Lowfat Classic, 16 Oz, Organic Cottage Cheese, Whole Milk Classic, 16 Oz, Organic Couscous and Quinoa, 8.8 Oz, Organic Crackers, Margherita Pizza, 4.4 Oz, Organic Crackers, Rosemary Garlic, 14 Oz, Organic Crackers, Sourdough Sea Salt, 4.4 Oz, Organic Crackers, Tomato Basil, 4 Oz, Organic Cranberry (8 oz), Organic Cream Cheese Bar, 8 Oz, Organic Cream of Cauliflower Condensed Soup, 10.5 Oz, Organic Creamy Butternut Squash Soup, 32 Fl Oz, Organic Creamy Garden Tomato Soup, 32 Fl Oz, Organic Creamy Peanut Butter, Salted, 16 Oz, Organic Creamy Peanut Butter, Salted, 16 Oz (1 Lb), Organic Creamy Plant-Based Broth, Herb and Roasted Garlic, 32 Fl Oz, Organic Creamy Tomato &amp; Bunny Pasta Soup, 14 Oz, Organic Creamy Tomato Basil Pasta Sauce, 16 Oz, Organic Creamy Tomato Basil Soup, 32 Fl Oz, Organic Crunchy Peanut Butter, 16 Oz, Organic Crunchy Snack Bites, Bold Buffalo, 7.2 Oz, Organic Crunchy Snack Bites, Epic Everything, 7.2 Oz, Organic Crunchy Snack Bites, PB &amp; Chocolate, 7.2 Oz, Organic Crunchy Snack Bites, Super Cinna Roll, 7.2 Oz, Organic Crunchy Snack Bites, Toasted Garlic, 7.2 Oz, Organic Crushed Tomatoes with Onion, Garlic and Basil, 14 Oz, Organic Crushed Tomatoes, 14 Oz, Organic Cucumber (ct), Organic Cucumber English (ct), Organic Cucumber Euro (ct), Organic Cucumber Mini Seedless (1 lb bag) (ct), Organic Cucumber Peppermint Tea, 15.9 Oz, Organic Cultured Coconut Yogurt, Strawberry Rhubarb, 4 Oz, Organic Cultured Coconut Yogurt, Vanilla &amp; Chamomile, 4 Oz, Organic Cultured Pure Coconut Yogurt, 16 Oz, Organic Cultured Sour Cream, 8 Oz, Organic Curry Sauce, Red Thai, 8.8 Oz, Organic Curry Sauce, Yellow Thai, 8.8 Oz, Organic Daikon Purple (ct), Organic Dairy-Free Gelato Pops, 13.5 Fl Oz (10 Ct), Organic Dairy-Free Smoothie Pouch, Berry Berry, 3.2 Oz, Organic Dairy-Free Smoothie Pouch, Strawberry Banana Swirl, 4 Oz, Organic Dairy-Free Tzatziki, 6 Oz, Organic Dairy-Free Unsweetened Plain Cashew Yogurt, 24 Oz, Organic Dandelion Greens (ct), Organic Dark Bark, Pumpkin Seed, 4.2 Oz, Organic Dark Chocolate 85% Cacao, Raspberry Blackout, 2.65 Oz, Organic Dark Chocolate Almond Butter Bombs, 3.8oz, Organic Dark Chocolate and Peanut Butter Granola, 11.5 Oz, Organic Dark Chocolate Baking Gems, 9 Oz, Organic Dark Chocolate Banana Bites, 3.5 Oz, Organic Dark Chocolate Chunks, 8 Oz, Organic Dark Chocolate Covered Cashews, Hazelnuts, &amp; Almonds, 4oz, Organic Dark Chocolate Covered Espresso Beans, 3.5 Oz, Organic Dark Chocolate Covered Macadamia Nuts, 3.5 Oz, Organic Dark Chocolate Dipped Banana Bites, 3.5 Oz, Organic Dark Chocolate Nut Pieces, 4 Oz, Organic Dark Chocolate Plant Protein Immunity Elixir, 12 Fl Oz, Organic Dark Chocolate Seed Bark, Celtic Sea Salt, 3.6 Oz, Organic Dark Chocolate Seed Bark, Raspberry Bliss, 3.6 Oz, Organic Dark Chocolate Snacking Squares, Blueberry, 3.28 Oz, Organic Dark Chocolate Snacking Squares, Extra Dark, 3.56 Oz, Organic Dark Chocolate Snacking Squares, Sea Salt, 3.56 Oz, Organic Dark Chocolate Snacking Squares, Tart Cherry, 3.28 Oz, Organic Dark Chocolate Wafer Bites, Almond Cream, 3.5 Oz, Organic Dark Chocolate Wafer Bites, Chocolate Cream, 3.5 Oz, Organic Dark Chocolate Wafer Bites, Hazelnut Cream, 3.5 Oz, Organic Dark Chocolate Wafer Bites, Peanut Butter Cream, 3.5 Oz, Organic Dark Chocolate Wafers with Peanut Butter Cream, 3.5 Oz, Organic Dark Hot Cocoa, 12 Oz, Organic Dark Maple Syrup, Pure 100% Grade A, Robust Flavor, 16 Fl Oz, Organic Dark Red Kidney Beans, 15 Oz, Organic Dark Robust Maple Syrup, 16 Oz (1 Pt), Organic Dates, Pitted, 4 Oz, Organic Deli Style Spicy Brown Mustard, 9 Oz, Organic Dia De Los Muertos Yellow Corn Tortilla Chips, 11 Oz, Organic Diced Tomatoes, 14.5 Oz, Organic Diced Tomatoes, 14.5 Oz, Organic Diced Tomatoes, 28 Oz, Organic Dill (0.5 oz clamshell), Organic Dill (0.75 oz clamshell), Organic Dill PurÃ©e, 2.8 Oz, Organic Dipped Granola Bars, Caramel, Value Size (10 Ct), Organic Ditalini Pasta, 1 Lb, Organic Domestic Unsalted Roasted Pumpkin Seeds, 1 Lb, Organic Double Concentrated Tomato Paste, 4.6 Oz, Organic Dried Banana, 2 Oz, Organic Dried Chili Mango, Regenerative Organic Certified, 3 Oz, Organic Dried Cranberries, 14 Oz, Organic Dried Cranberries, 14 Oz, Organic Dried Figs, 6oz, Organic Dried Goji Berries, 12 Oz, Organic Dried Kent Mango, Dark Chocolate, 2.12 Oz, Organic Dried Kent Mango, Enchilado, 2.12 Oz, Organic Dried Kent Mango, Matcha, 2.12 Oz, Organic Dried Kent Mango, Natural, 2.12 Oz, Organic Dried Mango Slices, 8 Oz, Organic Dried Mango, 1 Lb, Organic Dried Pineapple Pieces, 8 Oz (10 Ct), Organic Dried Pineapple Rings, 3.5 Oz, Organic Dried Pineapple, 10 Oz, Organic Dried Pineapple, 2 Oz, Organic Dried Turkish Apricots, 14 Oz, Organic Dried Turkish Apricots, 14 Oz, Organic Dried Turkish Figs, 8 Oz, Organic Drink &amp; Eat Coconut, 26.4 Oz, Organic Earl Grey Tea, 20 Ct, Organic Earth Greens Arugula (5 oz), Organic Earth Greens Baby Spinach (5 oz), Organic Earth Greens Lettuce Tender Greens (5 oz pack), Organic Earthbound Farms Baby Arugula (5oz clamshell), Organic Earthbound Farms Baby Spinach (5oz clamshell), Organic Earthbound Farms Spring Mix (5oz clamshell), Organic Easter Giggles, 5 Oz (10 Ct), Organic Easter Gummy Fruits, 10 Ct, Organic Easter Gummy Fruits, 7 Oz (10 Ct), Organic Easter Lollipops, 40 Ct, Organic Easter Lollipops, 8.7 Oz, Organic Edamame Spirulina Spaghetti, 8 Oz, Organic Eggnog, 32 Fl Oz, Organic Eggplant (ct), Organic Eggplant Graffiti (ct), Organic Elbows, 8 Oz, Organic Elderflower &amp; Rose Lemonade, 8.4 Fl Oz, Organic Elderflower Lemonade, 8.4 Fl Oz, Organic English Breakfast Tea, 20ct, Organic English Muffins, 6 Ct, Organic English Muffins, Rockin' Grains, 6 Ct, Organic Enriched Rice Milk, 32 Fl Oz, Organic Everything Puffed Kelp Chips, 2 Oz, Organic Extra Thick Rolled Oats, 32 Oz, Organic Extra Virgin Olive Oil Duo Gift Set, 17 Fl Oz, Organic Extra Virgin Olive Oil Spray, 5 Fl Oz, Organic Extra Virgin Olive Oil, 16 Fl Oz, Organic Extra Virgin Olive Oil, 17 Oz, Organic Extra Virgin Olive Oil, 32 Fl Oz, Organic Extra Virgin Olive Oil, Authentic Greek, 25.4 Oz, Organic Extra Virgin Olive Oil, Premium Everyday, 16.9 Fl Oz, Organic Extra Virgin Olive Oil, Premium, 16.9 Fl Oz, Organic Fair Trade Cocoa Chocolate Truffles, 5.3 Oz, Organic Fair Trade Whole Bean Coffee, Honduras, 12 Oz, Organic Farro, 16 Oz (1 Lb), Organic Fat Free Milk, 32 Fl Oz (1 Qt), Organic Fat Free Traditional Refried Beans, 16 Oz, Organic Fennel (ct), Organic Fettuccine, 17.6 Oz, Organic Finely Shredded Mozzarella Cheese, 6 Oz, Organic Finely Shredded Three Cheese Mexican Blend, 6 Oz, Organic Flax Mylk, Unsweetened Vanilla, 33.8 Fl Oz, Organic Flax Seed Crackers, Rosemary, 5 Oz, Organic Flax Seed Crackers, Savory, 5 Oz, Organic Flax Seed Crackers, Sea Salt, 5 Oz, Organic Flax Seeds, 1 Lb, Organic Flour Tortillas, 10.8 Oz (6 Ct), Organic Flour Tortillas, Burrito Size, 13.5 Oz (6 Ct), Organic Free Range Chicken Broth, 32 Fl Oz, Organic Free Range Low Sodium Chicken Broth, 32 Fl Oz, Organic Free Range Medium Eggs, 1 Dz, Organic Free-Range Brown Eggs, Large, 12 Ct (1 Dz), Organic Free-Range Brown Eggs, Medium, 1 Dz, Organic Free-Range Chicken Broth, 33.8 Fl Oz, Organic Freezer Pops, 30 Fl Oz (20 Ct), Organic French Style Winter Truffle Spread, 6.5 Oz, Organic Frisee (1 head), Organic Frosted Berry Strawberry Toaster Pastries, 22 Oz, Organic Fruit &amp; Nut Antioxidant Trail Mix, 16 Oz, Organic Fruit &amp; Nut Mix, 16 Oz, Organic Fruit &amp; Nut Trail Mix, 16 Oz (1 Lb), Organic Fruit &amp; Veggie Blend Pouch, Green Kale &amp; Apples, 3.2 Oz, Organic Fruit &amp; Veggie Blend Pouch, OhMyMega Veggie, 3.2 Oz, Organic Fruit &amp; Veggie Blend Pouch, Wild Rumpus Avocado, 3.2 Oz, Organic Fruit and Nut Granola, 13.5 Oz, Organic Fruit and Veggiez Variety Pack, 4 Ct, Organic Fruit Gummies, Mango Passionfruit, 2.5 Oz, Organic Fruit Jerky, Banana with Pecans, 0.8 Oz (12 Ct), Organic Fruit Jerky, Banana, 9.7 Oz (12 Ct), Organic Fruit Jerky, Mango with Cacao Drizzle, 0.8 Oz (12 Ct), Organic Fruit Jerky, Mango with Cacao Drizzle, 2.8 Oz, Organic Fruit Jerky, Mango with Chili and Salt, 0.8 Oz (12 Ct), Organic Fruit Jerky, Mango, 0.8 Oz (12 Ct), Organic Fruit Jerky, Pineapple Coconut with Cacao Drizzle, 12 Ct, Organic Fruit Jerky, Pineapple with Chili and Salt, 0.8 Oz (12 Ct), Organic Fruit Jerky, Pineapple with Coconut, 12 Ct, Organic Fruit Snacks Box, 10 Ct, Organic Fruit Snacks, 5 Oz, Organic Fruit Snacks, Building Blocks, 7 Oz, Organic Fruit Strips, Original Acai, 0.35 Oz, Organic Fruit Tape, Strawberry, 4.5 Oz (6 Ct), Organic Fruit Tape, Variety Pack, 9 Oz (12 Ct), Organic Fusilli Pasta, 16 Oz, Organic Fusilli Pasta, 16 Oz (1 Lb), Organic Fusilli, 17.6 Oz, Organic Garam Masala, 1 Oz, Organic Garbanzo Beans, 25 Oz, Organic Garlic (3 ct sleeve), Organic Garlic and Herb Cashews, 8 Oz, Organic Garlic and Herb Cashews, 8oz, Organic Garlic Herb Cashews, 8 Oz, Organic Ghee with Pink Himalayan Salt, 12 Oz, Organic Ghee, 13 Oz, Organic Ginger &amp; Turmeric Herbal Tea, 20 Ct, Organic Ginger (3 oz sleeve), Organic Ginger PurÃ©e, 2.8 Oz, Organic Ginger Tea, 1.4 Oz (20 Ct), Organic Ginger Turmeric Broth, 32 Fl Oz, Organic Gluten Free Almond SuperBites, 2.4 Oz, Organic Gluten Free Cashew Coconut SuperBites, 2.4 Oz, Organic Gluten Free Stroopwafel, Caramel, 1.16 Oz, Organic Gluten-Free Almond Dragonfruit SuperBites, 2.4 Oz, Organic Gluten-Free Brown Rice Flour, 24 Oz, Organic Gluten-Free Cereal, Mini Fruitfuls, 11.1 Oz, Organic Gluten-Free Elbow Pasta, 8 Oz, Organic Gluten-Free Linguine Pasta, 8 Oz, Organic Gluten-Free Overnight Oats, Apple Cinnamon, 8 Oz, Organic Gluten-Free Overnight Oats, Cinnamon Raisin, 8 Oz, Organic Gluten-Free Overnight Oats, Original, 8 Oz, Organic Gluten-Free Peanut Dark Chocolate SuperBites, 2.4 Oz, Organic Gluten-Free Peanut SuperBites, 2.4 Oz, Organic Gluten-Free Penne, 9.6 Oz, Organic Gluten-Free Restaurant Tortilla Chips, Sea Salt and Lime, 11 Oz, Organic Gluten-Free Spaghetti Pasta, 8 Oz, Organic Gluten-Free Steel Cut Oats, 24 Oz, Organic Gluten-Free Stroopwafel, Caramel, 1.16 Oz (4 Ct), Organic Gluten-Free Stroopwafel, Dark Chocolate Dipped, 1.16 Oz (4 Ct), Organic Gluten-Free Stroopwafel, French Vanilla, 1.16 Oz (4 Ct), Organic Goddess Dressing, Creamy Tahini &amp; Lemon, 8 Fl Oz, Organic Golden Cake Scratch Quality Baking Mix, Organic Golden Chai Tea Almond Latte, 11 Fl Oz, Organic Golden Mellow Mix, 7.05 Oz, Organic Gourmet Mushroom of the Week (8 oz clamshell), Organic Graham Sandwiches, Birthday Cake, 8 Oz, Organic Grain-Free Coconut Flour, 1 Lb, Organic Granny Smith Apple Chips, 3.0 Oz, Organic Granola Minis, Chocolate Chip, 4 Ct, Organic Granola Minis, Chocolate Chip, 4.25 Oz (5 Ct), Organic Granola Oats and Honey, 16 Oz, Organic Granola, Classic, 16 Oz, Organic Granola, Dark Chocolate Almond, 11 Oz, Organic Granola, Honey Oat, 16 Oz, Organic Granola, Oats &amp; Honey, 6 Oz, Organic Grape Champagne (1 lb clamshell), Organic Grape Green Seedless (2 lb clamshell), Organic Grape Red Seedless (2 lb clamshell), Organic Grape Thomcord (1 lb clamshell), Organic Grapefruit (ct), Organic Grass Fed Ground Beef, 16oz, Organic Grass-Fed Ground Beef 85/15, 1lb, Organic Grassfed Mighty Beef Jerky, Chipotle Lime, 2 Oz, Organic Grassfed Mighty Beef Jerky, Pineapple Chili, 2 Oz, Organic Grassfed Shelf Stable 2% Chocolate Milk, 8 Oz (4 Ct), Organic Gravy Mix, Roasted Turkey, 0.85 Oz, Organic Green Bean (1 lb bag), Organic Green Lentils, 16 Oz, Organic Green Onion (ct), Organic Green Split Lentils, 1 Lb, Organic Green Tea with Jasmine, 20 Ct, Organic Green Tea, 20 Ct, Organic Green Tea, 30 Teabags, Organic Ground Beef, Grass-Fed, 93% Lean, 75% Fat, 16 Oz (1 Lb), Organic Ground Cayenne Pepper, 1 Oz, Organic Ground Cinnamon, 1 Oz, Organic Ground Cloves, 2.82 Oz, Organic Ground Coffee, Birchwood Breakfast Blend, 12 Oz, Organic Ground Coffee, Blue Ox, 12 Oz, Organic Ground Coffee, French Roast Signature Blend, 12 Oz, Organic Ground Coffee, Guatemala Single Origin Dark Roast, 12 Oz, Organic Ground Coffee, Love Buzz, 10 Oz, Organic Ground Coffee, Mind Body &amp; Soul, 12 Oz, Organic Ground Coffee, Peru Single Origin, 12 Oz, Organic Ground Coffee, Think, 12 Oz, Organic Ground Coffee, Tree Hugger Signature Blend, 12 Oz, Organic Ground Coffee, Twin Cities Signature Blend, 12 Oz, Organic Ground Half Caf Coffee, Balance, 12 Oz, Organic Ground Nutmeg, 1 Oz, Organic Ground Nutmeg, 2.3 Oz, Organic Ground Turmeric, 1 Oz, Organic Gummy Fruits, 5 Oz, Organic Gummy Fruits, Halloween, 7 Oz (10 Ct), Organic Gummy Fruits, Halloween, 7.5 Oz (15 Ct), Organic Half &amp; Half, 16 Fl Oz, Organic Half and Half, 32 Fl Oz, Organic Half Tea &amp; Half Lemonade, 16 Fl Oz, Organic Halloween Candies Variety Pack, 50 Ct, Organic Halloween Giggles, Organic Halloween Gummy Fruits, 10 Ct, Organic Halloween Lollipops, 40 Ct, Organic Hard Candy, Variety, 1.94 Oz, Organic Hass Avocado Small (ct), Organic Hawaiian Style BBQ Sauce, 17.5 Oz, Organic Hearts of Palm Lasagna, 15.2oz, Organic Hearts of Palm Spaghetti, 15.2oz, Organic Hearty Oat Muffin Baking Mix, 14 oz, Organic Heirloom Tomato Pizza Sauce, 12 Oz, Organic Herbal Tea, Sweet &amp; Spicy, 4 Ct, Organic Hibiscus Berry Tea, 30 Teabags, Organic Himalaya Green Tea, 15 Ct, Organic Hint of Sea Salt Cultured Vegan Butter, 8 Oz, Organic Holiday Gummy Fruits, 7 Oz (10 Ct), Organic Honey &amp; Nuts Granola, 12 Oz, Organic Honey &amp; Nuts Granola, 12oz, Organic Honey Bunny Grahams, 7.5 Oz, Organic Honey Nut O's Cereal, 9.5 Oz, Organic Honey Roasted Sliced Turkey, 6 Oz, Organic Honey, 16 Oz, Organic Honeycrisp Apple Cider, 64 Fl Oz, Organic Honeycrisp Apple Sauce Jar, 24 Oz, Organic Honeydew Orange (ct), Organic Hot Cocoa Mix, 12 Oz, Organic Hummus, 8 Oz, Organic Hummus, Preserved Lemon, 8 Oz, Organic Ice Cream Shop Fruit Snack, 4 Oz (5 Ct), Organic Iced Green Tea, Unsweetened Passionfruit, 16 Fl Oz, Organic Iced Green Tea, Zero Calorie Raspberry, 16 Fl Oz, Organic Iced Tea, Easy Green, 12 Fl Oz, Organic Iced Tea, Giant Peach, 13.8 Fl Oz, Organic Iced Tea, Green Tea, 13.8 Fl Oz, Organic Iced Tea, Hibiscus Fusion, 12 Fl Oz, Organic Iced Tea, Watermelon Black, 12 Fl Oz (4 Ct), Organic Immunity Beverage, Blackberry &amp; Lemon &amp; Rosemary, 14.4 Fl Oz, Organic Immunity Beverage, Blood Orange &amp; Coconut, 14.4 Fl Oz, Organic Immunity Beverage, Grapefruit &amp; Mint &amp; Basil, 14.4 Fl Oz, Organic Immunity Boost Elderberry Juice Shots, 2 Fl Oz, Organic Immunity Boost Juice Shots, 2 Fl Oz, Organic Immunity Boost Shot, 4 Pack, Organic Indian Channa Masala, 10 Oz, Organic Indian Coconut Squash Dal, 10 Oz, Organic Instant Coffee, Fair Trade, 3.53 Oz, Organic Irish Moss Powder, 8 Oz, Organic Italian Herbs PurÃ©e, 2.8 Oz, Organic Jackfruit In Brine with Lime, 13.5 Oz, Organic Jackfruit, BBQ, 10.6 Oz, Organic Jackfruit, Chili &amp; Lime, 10.6 Oz, Organic Jackfruit, In Brine, 13.5 Oz, Organic Jackfruit, Original, 10.6 Oz, Organic Jackfruit, Shredded BBQ, 13.5 Oz, Organic Jalapeo Pure, 2.8 Oz, Organic Jasmine Rice Pouch, 8 Oz, Organic Jasmine Rice, 8.8 Oz, Organic Jasmine Rice, 90-Second, 8 Oz, Organic Jicama (ct), Organic Jodphur Lentils, 10 Oz, Organic Kalamata Olives, Pitted, 10.2 Oz, Organic Kale Green Curly (bunched), Organic Kale Lacinato (bunched), Organic Kale Red (bunched), Organic Kashmir Spinach, 10 Oz, Organic Kefir, Lowfat, Raspberry, 32 Fl Oz (1 Qt), Organic Kernza Baking Blend, 1 Lb, Organic Ketchup, 12 Fl Oz, Organic Ketchup, 24 Oz, Organic Keto Brownie Mix, 9.98oz, Organic Keto Cereal, Cinnamon Toast, 9 Oz, Organic Kids Cereal, Berry Super Loops, 9.5 Oz, Organic Kids Chocolate Bars, 5.2 Oz, Organic Kids Chocolate Cereal, 9.5 Oz, Organic Kids Whole Grain Bars, Strawberry, 5.2 Oz, Organic King Artichoke (ct), Organic Kiwi Gold (1 lb clamshell), Organic Kiwi Green (ct), Organic Koginut Squash, Organic Kombucha Lite, Orange Squeeze, 12 Fl Oz, Organic Kombucha Lite, Pineapple Ginger Ale, 12 Fl Oz, Organic Kombucha Lite, Pink Grapefruit, 12 Fl Oz, Organic Kombucha Lite, Strawberry Limeade, 12 Fl Oz, Organic Kombucha, Blood Orange Ginger, 14 Fl Oz, Organic Kombucha, Cherry Limeade, 14 Fl Oz, Organic Kombucha, Clear Mind, 12 Fl Oz (4 Ct), Organic Kombucha, Coastal Cranberry, 14 Fl Oz, Organic Kombucha, Crisp Apple, 14 Fl Oz, Organic Kombucha, Dark Cherry Vanilla, 14 Fl Oz, Organic Kombucha, Love Wins, 14 Fl Oz, Organic Kombucha, Peach Punch, 14 Fl Oz, Organic Kombucha, Pineapple Paradise, 12 Fl Oz (4 Ct), Organic Kombucha, Pink Lemonade, 14 Fl Oz, Organic Kombucha, Snickerdoodle, 14 Fl Oz, Organic Kombucha, Strawberry Fields, 12 Fl Oz (4 Ct), Organic Kombucha, Strawberry Fields, 14 Fl Oz, Organic Kombucha, Superberry, 14 Fl Oz, Organic Lactose-Free 1% Milk, Chocolate, 64 Fl Oz, Organic Large Ettinger Avocado, Organic Large Pasture-Raised Eggs, 1 Dz, Organic Leek (1 bunch), Organic Leek (ct), Organic Lemon &amp; Coconut Snack Bar, 1.1 Oz, Organic Lemon (2 lb bag), Organic Lemon Meyer (1 lb bag), Organic Lemongrass Herbal Tea, 30 Teabags, Organic Lentil Soup, 14.5 Oz, Organic Lentil Soup, No Salt, 15 Oz, Organic Lentil Vegetable Soup, 14.5 Oz, Organic Lentil Vegetable Soup, Low Sodium, 14.5 Oz, Organic Lettuce Green Leaf (ct), Organic Lettuce Iceberg (ct), Organic Lettuce Iceberg Baby (ct), Organic Lettuce Red Leaf (ct), Organic Lettuce Romaine (ct), Organic Lettuce Romaine Hearts (1 bag 3 ct), Organic Lettuce Spring Mix (5 oz clamshell), Organic Light Brown Sugar, 1.5 Lbs, Organic Lime Sweet (1 lb bag), Organic Limes Small (ct), Organic Lite Coconut Milk, 13.5 Fl Oz, Organic Low Sodium Chunky Tomato Bisque, 14.5 Oz, Organic Low Sodium Vegetable Broth, 32 Fl Oz, Organic Low Sodium Vegetarian No-Chicken Broth, 32 Fl Oz, Organic Lowfat Cottage Cheese, 16 Oz, Organic Low-Sodium Vegetable Broth, 32 Fl Oz, Organic Mac &amp; Cheese, Broccoli, 6 Oz, Organic Mac &amp; Cheese, Four Cheese, 6 Oz, Organic Mac &amp; Cheese, Kickin' Kale Cheddar, 6 Oz, Organic Mac &amp; Cheese, Southwest, 6 Oz, Organic Maca Powder, 8 Oz, Organic Macadamia Nuts, Roasted &amp; Salted, 4 Oz, Organic Madagascar Vanilla Extract, 1 Oz, Organic Madras Lentils 3 Bean, 10 Oz, Organic Madras Lentils, 10 Oz, Organic Madras Lentils, Hot and Spicy, 10 Oz, Organic Maitake Mushroom Powder, 4 Oz, Organic Mandarin (2 lb bag), Organic Mandarin Gold Nugget (ct), Organic Mango (ct), Organic Mango Bites, 6 Oz, Organic Mango Bites, 6 Oz, Organic Mango Fruit Strips, 12 Oz, Organic Mango Honey (ct), Organic Mango Slices, 8 Oz, Organic Maple Butter, 9.5 Oz, Organic Maple Roasted Cashews, 8 Oz, Organic Maple Syrup, 8 Fl Oz, Organic Maple Syrup, Golden Color, 8.5oz, Organic Maple Water, 16.9 Fl Oz, Organic Marinara Pasta Sauce, 25 Fl Oz, Organic Marinara Sauce, 25 Oz, Organic Matcha Green Tea Almond Milk Latte, 11 Fl Oz, Organic Mayo, Squeeze Bottle, 11.25 Oz, Organic Mayonnaise, 16oz, Organic Medium Brown Eggs, 1 Dz, Organic Medium Chili, 14.7 Oz, Organic Medjool Dates, 1 Lb, Organic Medjool Dates, 12 Oz, Organic Mega Beet (ct), Organic Melon Honeydew (ct), Organic Menthol Cough Drops, Throat Coat Eucalyptus Mint, 2.67 Oz (16 Ct), Organic Mesa Sunrise Cereal, 26.4 Oz, Organic Microwavable Quinoa with Chickpeas &amp; Garlic, 8 Oz, Organic Microwavable Quinoa with Sea Salt, 8 Oz, Organic Mild Taco Seasoning Mix, 1 Oz, Organic Minestrone Soup, 14.5 Oz, Organic Mini Bunny Fruit Snacks, 5 Pk, Organic Mini Yellow Rounds Tortilla Chips, 7.5 Oz, Organic Mint (0.75 oz clamshell), Organic Mint 1 clamshell (0.5 oz), Organic Mint Chocolate Pot de CrâˆšÂ®me, 3.5 Oz, Organic Mint Creme Truffle Thins, 2.96 Oz, Organic Miso Broth, 32 Fl Oz, Organic Mixed Berry Overnight Oats, 5.3 Oz, Organic Mocha Cold Brew Almond Milk Latte, 11 Fl Oz, Organic Moringa Spirulina Blend, 6 Oz, Organic Moroccan Mint Green Tea, 16 Fl Oz, Organic Moroccan Soup, 33.8 Oz, Organic Mulberries, 8 Oz, Organic Mung Bean Rotini, 8 Oz, Organic Mushroom Baby Bella (8 oz pack), Organic Mushroom Immune Blend Powder, 4 Oz, Organic Mushroom Lion's Mane (ct), Organic Mushroom Oyster (6oz clamshell), Organic Mushroom Oyster (ct), Organic Mushroom Portabella (6 oz pack), Organic Mushroom Portabello (8 oz tray), Organic Mushroom Shiitake (3.5 oz pack), Organic Mushroom Shiitake (6 oz pack), Organic Mushroom White (8 oz pack), Organic Nectarine (2 lb bag), Organic No Added Sugar Granola, Blueberry Vanilla, 11 Oz, Organic No Added Sugar Granola, Cinnamon Apple, 11 Oz, Organic No Salt Added Chicken Broth, 32 Fl Oz, Organic No Sugar Kombucha, Orange Splash, 11.2 Fl Oz (4 Ct), Organic No Sugar Kombucha, Raspberry Lemonade, 11.2 Fl Oz (4 Ct), Organic No Sugar Mixed Berry Kombucha, 11.2 Fl Oz (4 Ct), Organic No Sugar Peach Kombucha, 11.2 Fl Oz (4 Ct), Organic Non-Fat Skyr, Lemon Elderflower, 4.4 Oz, Organic Non-Fat Skyr, Plain, 16 Oz, Organic Non-Fat Skyr, Strawberry &amp; Rhubarb, 4.4 Oz, Organic Non-Fat Skyr, Vanilla, 4.4 Oz, Organic Nut Butter, Chocolate Power Fuel, 12oz, Organic Oat and Flax Mylk, Unsweetened, 33.8 Fl Oz, Organic Oat Bran Flakes, 12 Oz, Organic Oat Crackers, 8.8oz, Organic Oat Milk Latte, Vanilla, 7 Fl Oz, Organic Oat Milk, 1L, Organic Oat Milk, Chocolate, 28 Fl Oz, Organic Oat Milk, Chocolate, 32 Fl Oz, Organic Oat Milk, Original, 32 Fl Oz, Organic Oatmeal Chocolate Chunk Cookie Baking Mix, Organic Old Fashioned Oats, 18 Oz, Organic Olive Forest Loose Leaf Tea, 2.82 Oz, Organic Onion Red (2lb bag), Organic Onion Yellow (2lb bag), Organic Orange Blood (2 lb bag), Organic Orange Cara Cara (3 lb bag), Organic Orange Navel (ct), Organic Orange Valencia (3 lb bag), Organic Orange Valencia Small (ct), Organic Original Green Tea, 16 Fl Oz, Organic Original Paneer, 6 Oz, Organic Original Stuffing, 12 Oz, Organic Original Waffle &amp; Pancake Mix, 16 Oz (1 Lb), Organic Oven Baked Mac &amp; Cheese Shells, White Cheddar, 11.9 Oz, Organic Overnight Oat Bars, Dark Chocolate Cherry, 2 Oz (8 Ct), Organic Pancake/Waffle Mix, Apple Cider, 22 Oz, Organic Paneer, Turmeric Twist, 6 Oz, Organic Parmesan Cheese, Grated, 4 Oz, Organic Parmesan Cheese, Shredded, 4 Oz, Organic Parsley Italian (ct), Organic Parsley PurÃ©e, 2.8 Oz, Organic Pasta Sauce, Italian Herb, 23.5 Oz, Organic Pasta Sauce, Roasted Garlic, 24 Oz, Organic Pasta, Orecchiette, 16 Oz, Organic Pasture-Raised Eggs - Large, 24oz, Organic Peach (2 lb bag), Organic Peach Oolong Tea, 16 Fl Oz, Organic Peanut Butter Banana Brittle, 3.5 Oz, Organic Peanut Butter Cup, Milk Chocolate, 1.4 Oz, Organic Peanut Butter Dipped Banana Bites, 3.5 Oz, Organic Peanut Butter Puffs, Dark Chocolate, 3.5 Oz, Organic Peanut Butter Puffs, Strawberry PB&amp;J, 3.5 Oz, Organic Pear Autumn Bartlett (ct), Organic Pear Bartlett (2lb bag), Organic Pear Bartlett (ct), Organic Pear Bosc (2 lb bag), Organic Pear Bosc (ct), Organic Pear D'anjou Green (2 lb bag), Organic Pear Red Anjou (ct), Organic Penne Pasta, 16 Oz, Organic Penne Pasta, 16 Oz (1 Lb), Organic Penne, 17.6 Oz, Organic Pepper Hot Medley (12 oz bag), Organic Pepper Jalapeño (8 oz bag), Organic Pepper Jalapeno (ct), Organic Pepper Padron (1 pt clamshell), Organic Pepper Shishito (1 pt clamshell), Organic Pepper Shishito (ct), Organic Peppermint Tea, 1.42 Oz (20 Ct), Organic Peppermint Tea, 16 Ct, Organic Peppermint Tea, 20 Tea Bags, Organic Persimmon Fuyu (ct), Organic Persimmon Hachiya (ct), Organic Petit Toasts, 2.8 Oz, Organic Picked Beet Chips, 1.4 Oz, Organic Pineapple (ct), Organic Pineapple Rings, Dried, 5.5 Oz, Organic Pink Rice, 15 Oz, Organic Pistachio Pudding, 2 Ct, Organic Pitted Deglet Noor Dates, 8.8 Oz, Organic Plain Whole Milk Yogurt, 32 Oz (1 Qt), Organic Plantain Chips, Acapulco Lime, 5 Oz, Organic Plantain Chips, Spicy Mango Salsa, 5 Oz, Organic Plantain Crisps, Garlic, 4 Oz, Organic Plantain Crisps, Sea Salt, 4 Oz, Organic Plant-Based Chili Crisp Dip, 8 Oz, Organic Plant-Based Dark Chocolate Pudding, 3.5 Oz, Organic Plant-Based Oatmilk Pudding, Chocolate, 8 Oz, Organic Plant-Based Protein Powder, Creamy Chocolate Fudge, 16.3 Oz, Organic Plant-Based Protein Powder, Creamy Chocolate Fudge, 32.4 Oz, Organic Plant-Based Protein Powder, Vanilla Bean, 16.3 Oz, Organic Plant-Based Protein Powder, Vanilla Bean, 32.4 Oz, Organic Plant-Based Sambal Sweet Chili Dip, 8 Oz, Organic Plant-Based Sour Cream Alternative, 8.5 Oz, Organic Plant-Based Sour Cream, 12 Oz, Organic Plant-Based Vanilla Rice Pudding, 3.5 Oz, Organic Plum (2 lb bag), Organic Plum (lb), Organic Pomegranate Green Tea Sparkling Water 12 Fl Oz, 8 Pk, Organic Pomelo (ct), Organic Popcorn Snack Pack, Himalayan Gold, 3.68 Oz (8 Ct), Organic Popcorn, Avocado-licious, 5 Oz, Organic Popcorn, Halloween Multipack, 8.28 Oz (18 Ct), Organic Popcorn, Himalayan Gold, 4.6 Oz, Organic Popcorn, Himalayan Pink Salt, 5 Oz, Organic Popcorn, Himalayan Pink Salt, 6.75 Oz, Organic Popcorn, Himalayan Sweetness, 6.4 Oz, Organic Popcorn, Homer's Blend, 4.6 Oz, Organic Popcorn, Pumpkin Spice, 6.4 Oz, Organic Popcorn, Watermelon Hibiscus, 4.6 Oz, Organic Popcorn, White Cheddar, 5 Oz, Organic Potato Baby Mixed Medley (1.5 lb bag), Organic Potato Chips, Sea Salt &amp; Vinegar, 5oz, Organic Potato Chips, Sea Salt, 5oz, Organic Potato Gold Baby (1.5 lb bag), Organic Potato Red (3lb bag), Organic Potato Russet (3lb bag), Organic Potato Russet Jumbo Baker (ct), Organic Potato Yellow (3lb bag), Organic Potato Yellow Jumbo (ct), Organic Poultry Herb Mix 1 clamshell (1.5 oz), Organic Powdered Sugar, 1 Lb, Organic Powdered Sugar, 16 Oz (1 Lb), Organic Power Snacks, Blueberry Hemp, 8 Oz, Organic Power Snacks, Cacao Goji, 8 Oz, Organic Prebiotic Pop, Apple Snap, 12 Fl Oz, Organic Prebiotic Pop, Juicy Grape, 12 Fl Oz, Organic Private Select Extra Virgin Olive Oil, 500 mL, Organic Protein Chewy Bars, Peanut Butter Dark Chocolate Chip, 8.85 Oz (5 Ct), Organic Protein Drink, Dark Cocoa, 12 Fl Oz, Organic Protein Drink, Oatmeal Cookie, 12 Fl Oz, Organic Protein Drink, Strawberries &amp; Cream, 12 Fl Oz, Organic Protein Granola, Honey Cashew, 9 Oz, Organic Protein Rice Blend, 16 Oz, Organic Pumpkin Pie (ct), Organic Pumpkin Puree, 15 Oz, Organic Pumpkin Puree, 15 Oz, Organic Pumpkin Seeds, 12 Oz, Organic Pumpkin Spice Pudding, 3.5 Oz, Organic Pumpkin Spice, 1.94 Oz, Organic Pure Maple Syrup, Amber Rich, 16 Fl Oz, Organic Pure Vanilla Extract, 4 Fl Oz, Organic Quick Cook Steel Cut Oats, 24 Oz, Organic Quinoa Blend, Garlic &amp; Herb Entree, 5.5 Oz, Organic Quinoa, 14 Oz, Organic Quinoa, 16 Oz, Organic Quinoa, Antique White, 16 Oz, Organic Quinoa, Tri-Color Blend, 16oz, Organic Radicchio (ct), Organic Radicchio Castelfranco (ct), Organic Radicchio Mixed Variety (ct), Organic Radicchio Treviso (ct), Organic Radish Easter (ct), Organic Radish Red (ct), Organic Radish Red Watermelon (ct), Organic Rainbow Carrot Pieces, 2.2 Oz, Organic Ramen Broth, 32 Oz, Organic Raw Almonds, 16 Oz, Organic Raw Almonds, 16 Oz (1 Lb), Organic Raw and Unfiltered Honey, 16 Oz (1 Lb), Organic Raw Apple Cider Vinegar, 32 Fl Oz, Organic Raw Walnut Halves &amp; Pieces, 12 Oz, Organic Raw Walnut Halves &amp; Pieces, 12 Oz, Organic Red Lentil Everyday Dal, 10 Oz, Organic Red Lentils, 16 Oz, Organic Red Quinoa, 16 Oz, Organic Red Raspberry Breakfast Grains, 4.41 Oz, Organic Red Reishi Mushroom Powder, 4 Oz, Organic Red Split Lentils, 1 Lb, Organic Red Wine Vinegar, 16.9 Fl Oz, Organic Red Wine Vinegar, 16.9 Fl Oz, Organic Reduced Fat 2% Milk, 32 Fl Oz (1 Qt), Organic Reduced Fat 2% Milk, 64 Fl Oz, Organic Reduction with Balsamic Vinegar, 8.45 Oz, Organic Refried Beans With Vegan Chorizo, 10 Oz, Organic Refried Black Beans, 16 Oz, Organic Refried Pinto Beans, 10 Oz, Organic Regenerative Brown Rice, Short Grain, 32 Oz (2 Lbs), Organic Regenerative White Rice, Long Grain, 32 Oz (2 Lbs), Organic Rice Cakes, Dark Chocolate Topped, 3.5 Oz, Organic Rice Crisps Cereal, 8.4 Oz, Organic Rice Milk, 32 Fl Oz, Organic Rice Milk, Original, 32 Fl Oz, Organic Rice Pudding, 14 Oz (1 Pt), Organic Rice Pudding, 21 Oz (6 Ct), Organic Rigate-Lumache, 17.6 Oz, Organic Risotto, Creamy Parmesan, 5.5 Oz, Organic Risotto, Wild Porcini Mushroom, 5.9oz, Organic Roasted &amp; Salted Almonds, 14 Oz, Organic Roasted &amp; Salted Almonds, 14 Oz, Organic Roasted &amp; Salted Cashews, 14 Oz, Organic Roasted &amp; Salted Cashews, 14 Oz, Organic Roasted &amp; Salted Mixed Nuts, 14 Oz, Organic Roasted &amp; Salted Mixed Nuts, 14 Oz, Organic Roasted Chicken Breast With Rib Meat, 5 Oz, Organic Roasted Garlic Pasta Sauce, 16 Oz, Organic Roasted Red Pepper &amp; Tomato Soup, 32 Fl Oz, Organic Roasted Salted Cashews, 8 Oz, Organic Roasting Herb Mix (0.5 oz clamshell), Organic Rolled Oats, Quick Cooking, 16 Oz, Organic Romanesco (ct), Organic Rooibos Tea, 20 Ct, Organic Rosemary (0.5 oz clamshell), Organic Rye Flour, 20 Oz, Organic Salsa, Chipotle, 16 Oz, Organic Salsa, Medium, 15.5 Oz, Organic Salsa, Roja, 16 Oz, Organic Salsa, Verde, 16 Oz, Organic Salted Caramel Chocolate Truffles, 4.2 Oz, Organic Salted Caramel Granola, 11.5 Oz, Organic San Francisco Sourdough Bread, 22 Oz, Organic San Marzano Style Tomatoes, Diced, 14.5 Oz, Organic Sandwich Breakfast Biscuits, Hazelnut &amp; Cocoa, 5.3 Oz, Organic Santa Fe Chicken Soup, 17.6 Oz, Organic Savory Seaweed Cashews, 8 Oz, Organic Savory Seeds, Chipotle Lime, 1 Oz (12 Ct), Organic Savory Seeds, Classic Barbecue, 1 Oz (12 Ct), Organic Savory Seeds, Mellow Curry, 1 Oz (12 Ct), Organic Savory Seeds, Simply Salted, 1 Oz (12 Ct), Organic Sea Salt Puffed Kelp Chips, 2 Oz, Organic Seaweed Sheets, Avocado Oil Roasted Sea Salt , 0.92 Oz, Organic Seaweed Snacks, BBQ, 1.69 Oz (12 Ct), Organic Seaweed Snacks, Sea Salt, 1.69 Oz (12 Ct), Organic Sesame Blues Tortilla Chips, 7.5 Oz, Organic Sesame Ginger Vinaigrette, 8 Fl Oz, Organic Shallot (3oz bag), Organic Shallots 1 bag (1.5 lbs), Organic Sharp Cheddar Cheese, 6 Oz, Organic Sharp Cheddar Cheese, 8 Oz, Organic Shredded Beef Single-Serve Pouch, 3 Oz, Organic Shredded Beef Single-Serve Pouch, No Salt Added, 3 Oz, Organic Shredded Sharp Cheddar Cheese, 6 Oz, Organic Simply Banana Chips, 2.7 Oz, Organic Sirloin Steak, Boneless, 6 Oz, Organic Sliced American Cheese, 6 Oz, Organic Sliced Baby Swiss Cheese, 6 Oz, Organic Sliced Cheese, Smoky Cheddar, 6 Oz, Organic Sliced Turkey Breast, Herb Roasted, 6 Oz, Organic Sliced Turkey, Oven Roasted Sugar-Free, 6 Oz, Organic Slightly Sweetened Flax Mylk, 32 Fl Oz, Organic Small Artichoke (ct), Organic Small Eggplant, Organic Smoky BBQ Pinto Beans, 10 Oz, Organic Smoothie Baby Food, Pineapple Orange Banana, 4.2 Oz, Organic Snack Mix, Cheddar, 9 Oz, Organic Sour Cream, 8 Oz, Organic Sourdough Sea Salt Crackers, 4.4 Oz, Organic Spaghetti Pasta, 16 Oz, Organic Spaghetti, 10oz, Organic Spaghetti, 16 Oz, Organic Spaghetti, 16 Oz (1 Lb), Organic Spaghetti, 17.6 Oz</t>
  </si>
  <si>
    <t>Berbere Seasoning - 2.19 oz - Seasonings, Berry Blend - 32oz - Fruit Frozen, Berry Crisp Pillows - 10.6oz - Breakfast, Bing Cherries unsweetened - 8oz - Nuts and Seeds, Black Beans - 15oz - SS Vegetables, Black Beans - 16oz - Meals, Black Beans - 16oz - Meals/Pasta, Black Beans No Salt Added - 13.4 oz - SS Vegetables, Black Beans Spicy - 15 oz - SS Vegetables, Black Forest Uncured Ham-6oz-Deli Meat, Black Lentils - 16 oz - Packaged Beans, Grains &amp; Rice, Black Pepper Ground - 1.8 oz - Seasonings, Black Peppercorns - 1.87oz - Seasonings, Black Seed Oil - 8oz - Herbs, Black Tea - 4.9 oz - Breakfast, Black Tea-5.6 oz-Bulk &amp; Packaged Teas, Blackberry Conserve-17oz-Fruit Spreads, Blood Orange Italian Soda 4 pack - 44.8Fl oz - Sodas &amp; Sparkling Juices, Blue Cheese Dressing - 12oz - Condiments, Blue Cheese Dressing - 16fl oz - Condiments, Blue Corn Taco Shells - 5.5oz - Meals, Blueberries Sweetened - 8oz - Nuts and Seeds, Blueberries-32oz-Frozen Fruits, Blueberry Flax Granola - 25lb - Bulk, Blueberry Lavender Kombucha - 16fl oz - Refrigerated Functional Beverages, Blueberry Lemon Italian Sparkling Water - 750mL - Beverages, Blueberry Waffles - 7.4 oz - Frozen Breakfast, Blueberry Whole Milk Multipack Yogurt - 4x6oz - Yogurt, Bone Broth Chicken - 14.5fl oz - Broth Aseptic, Boneless Skinless Chicken Breast-0 LB-Meat, Boneless Skinless Chicken Thighs-0 LB-Meat, Bran Flakes - 15OZ - Cereals Cold, Bratwurst Chicken Sausage - 12oz - Sausage Cooked, Bread &amp; Butter Chips - 24 oz - Pickles, Olives, Peppers, Breakfast Blend City Roast Coffee, 12 Count Capsule - 4.66oz - Coffee, Breakfast Blend City Roast Coffee, 24 Count Capsule - 9.31oz - Coffee, Breakfast Blend Ground - 12oz- Coffee, Breakfast Blend Whole Bean - 12oz- Coffee, Brine and Seasoning Kit - 13.2oz - Seasonings, Broccoli Florets - 10oz - Frozen Vegetables - SO/FL, BROCCOLI FLORETS - 10oz - Produce, Broccoli Florets - 10oz - Vegetable Fresh, Broccoli Slaw - 12oz - Frozen Vegetables - SO/FL, BROCCOLI SLAW - 12oz - Produce, Broccoli Slaw - 12oz - Vegetable Fresh, Brown Basmati Rice - 8.8oz - Packaged Beans and Grains, Brown Large Grade A Eggs - 6ct - Dairy, Brown Medium Grade A Eggs - 30ct - Dairy, Brown Rice Crisps - 12 oz - Cereal Cold, Brown Whole Flaxseed - 16oz - Supplement, Brown Whole Flaxseed - CA only - 16oz - Supplement, Bucatini - 16oz - Pastas, Buffalo Wing Sauce - 12.5oz - Condiments, Bulgogi Marinade - 9FL OZ - Ethnic, Butternut Squash - 16 oz - Frozen Vegetables, Butternut Squash Ravioli - 8 oz - Frozen Entrees, Buttery Flavor Microwave Popcorn 6 pk - 21oz - Salty Snacks, Cacio E Pepe Pearled Couscous - 6.9oz - Entrees &amp; Mixes, Caesar Dressing - 16 oz - Condiments, Cafe La Duena Ground - 12oz- Coffee, Cafe La Duena Whole Bean - 12oz- Coffee, Cake Cones 12CT - 1.75oz - Baking Mixes, Ingredients and Flours, Calcium &amp; Vitamin D Orange Juice - 89 oz - Dairy Juices &amp; Functional Beverages, California Style Blend - 16 oz - Frozen Vegetables, Campfire Baked Beans - 15oz - SS Vegetables, Candy Canes - 10 pack - 5oz - Candy, Cane Sugar - 2 lb - Sweeteners, Cane Sugar - 4 lb - Sweeteners, Cannellini Beans - 15oz - SS Vegetables, Canola Oil - 16oz - Oils, Canola Oil Nonstick Cooking Spray - 5oz - Meals, Cape Cod Trail Mix - 25lb - Bulk, Caper Berries - 4oz - Pickles, Olives, Peppers, Capers Non-Pareil - 8.8oz - Pickles, Olives, Peppers, Caramel Coffee Ground - 12oz - Coffee, Caraway Seed - 1.76oz - Seasonings, Cardamom Whole - 2.36 oz - Seasonings, Carrot Sticks - 12oz - produce, Carrots - 16oz - Produce, Carrots - 32oz - Produce, Carrots - 5 lb - Produce, Carrots Chips - 16oz - Produce, Carrots Crinkle Cut - 16oz - Frozen Vegetables, Carrots Shredded - 10oz - Produce, Casarecce Italian Macaroni Product - 16 oz - Pastas, Cashews - Roasted &amp; Salted - 10oz - Functional Snacks, Cashews - Roasted &amp; Unsalted - 10oz - Functional Snacks, Cashews - Unroasted and Unsalted - 10oz - Functional Snacks, Cashews Unroasted and Unsalted - 10oz - Functional Snacks, Castelvetrano Olives - 4.6oz - Pickles, Olives, Peppers, Cauliflower - 16 oz - Frozen Vegetables, Cauliflower florets - 10oz - Frozen Vegetables - SO/FL, Cauliflower Florets - 10oz - Vegetable Fresh, CAULIFLOWER FLORETS - 12oz - Produce, Cauliflower Florets - 16oz - Frozen Vegetables, Cayenne Pepper - 1.69 oz - Seasonings, Celebration Blend Coffee - 12oz - Breakfast, Cheddar Chicks 8 Pack - 8oz - Crackers &amp; Crispbreads, Cheddar Square Crackers - 7oz - Crackers &amp; Crispbreads, Cheese Tortellini - 22 oz - Frozen Entrees, Cherry Lime, NF, Italian Soda - 25.4fl oz - Grocery/Sodas, Chicken Breast B/I Split OG Trayless PPK S3 - 0lbs - Chicken, Chicken Breast B/S OG Trayless PPK S3 - 0lbs - Chicken, Chicken Breast B/S VP OG S3 - 0lbs - Chicken, Chicken Breast, Oven Roasted - 6oz - Chicken, Chicken Broth - 32oz - Soups, Chicken Broth 6-pack - 192oz - Soups, Chicken Broth Low Sodium - 32oz - Soups, Chicken Broth Low Sodium 6-pack - 192oz - Soups, Chicken Broth Low Sodium-48oz- Soup, Chicken Broth-48oz-Soups, Chicken Leg Thigh B/S OG Trayless PPK S3 - 0lbs - Chicken, Chicken Leg Thigh B/S VP OG S3-0lbs-Chicken, Chicken Leg Thigh OG Trayless PPK S3 - 0lbs - Chicken, Chicken Noodle Soup - 17oz - Soups, Chicken Stock-32oz-Soups, Chicken Whole Fryer OG Trayless PPK S3 - 0lbs - Chicken, Chickpea Gluten Free Shells - 8oz - Pasta, Chili Beans - 15oz - SS Vegetables, Chili Powder Blend - 1.83 oz - Seasonings, Chimichurri Seasoning - 1.09 oz - Seasonings, Chocolate Almondmilk - 64oz - Dairy Non-Dairy Beverages, Chocolate Chip Animal Cookies - 11OZ - Cookies, Chocolate Chip Cookie Bites - 6 pack-1.05oz-Cookies, Chocolate Chip Cookies - 12 oz - Cookies, Chocolate Ice Cream - 16oz - Desserts, Chocolate Syrup-15.8oz-Baking Mixes, Ingredients &amp; Flours, Chocolate Truffles - 8.8 oz - Candy, Chopped Kale - 12oz - Produce, Chopped Kale-16 oz-Frozen Vegetable, Chopped Spinach - 16 oz - Frozen Vegetable, Cinnamon Ground - 1.90oz - Seasonings, Cinnamon Roll Flavored Ice Cream Sandwiches - 21.9oz - Frozen Desserts, Cinnamon Sticks - 1.28 oz - Seasonings, Citrus Blend Italian Sparkling Mineral Water - 33.8FL OZ - Water, Classic Caesar Salad Kit - 7.8oz - Salad, Classic Hamburger Buns 8 ct - 16OZ - Bread Regional NA, NE, MA, SO, FL, MW, Classic Hot Dog Buns - 16OZ - Bread Regional NA, NE, MA, SO, FL, MW, Classic Ranch Dressing &amp; Dip - 12 OZ - Condiments, Classic Ranch Dressing &amp; Dip - 22FL OZ - Condiments, Classic Sandwich Bread - 20OZ - Bread Regional NA, NE, MA, SO, FL, MW, Clear Acacia Fiber Powder - 12oz - Cleanse &amp; Detox, Clear Acacia Fiber Powder - California - 12oz - Cleanse &amp; Detox, Cloves Ground - 1.9 oz - Seasonings, Cloves Whole - 1.4 oz - Seasonings, Cocktail Sauce - 10 oz - Condiments, Cocktail Sauce - 8oz - Condiments, Cocoa Powder-8oz-Baking Mixes, Ingredients &amp; Flours, Cocoa Rice Crisps Cereal - 10oz - Cereal, Coconut Almond Granola - 25lb - Bulk, Coconut Cream - 13.50 OZ - Additional Ethnic, Coconut Flour - 16.00 OZ - Baking Mixes, Ingredients and Flours, Coconut Milk - 13.5 oz - Ethnic, Coconut Milk - 13.50 OZ - Additional Ethnic, Coconut Milk Unsweetened Original - 32FZ - SS Non-Dairy Beverages, Coconut Milk Unsweetened Original - 64FZ - SS Non-Dairy Beverages, Coconut Milk Unsweetened Vanilla - 32FZ - SS Non-Dairy Beverages, Coconut Milk Unsweetened Vanilla - 64FZ - SS Non-Dairy Beverages, Coconut Oil - 14oz - Meals, Coffee and Cream Ice Cream Bars - 10oz - Frozen Desserts, Coffee Chip Ice Cream - 16oz - Desserts, Colby Jack Cheese Slices - 6oz - Specialty, Coleslaw Mix - 12oz - Packaged Vegetables, Colombian Cup Vienna Roast Coffee, 12 count capsule - 4.66oz - Coffee, Concord Grape Jelly - 17.5 oz - Fruit Spread, Continental Blend Ground - 12oz- Coffee, Continental Blend Whole Bean - 12oz- Coffee, Cookies &amp; Cream - 16oz - Desserts, Cooking Spray - 5fl oz - Meals 1, Coriander Ground - 1.52 oz - Seasonings, Corn Chips Sea Salt - 9oz - Salty Snacks, Corn Flakes - 12 oz - Cereal Cold, Corn on the Cob - 6 CT - Frozen Vegetables, Cottage Cheese - 16.00 OZ - NOP, Cotton Balls - 100 count - Accessories, Cotton Rounds - 100Ct - Body Care, Couscous - Garlic and Olive Oil - 5.8 oz - Entrees &amp; Mixes, Couscous - Original - 10 oz - Entrees &amp; Mixes, Cracked Black Pepper Turkey Breast-6oz- Deli Meat, Cranberries - 1oz - Baking, Cranberries Sweetened - 8 oz - Prepack Snacks (Slatwall &amp; Tubs), Cranberry Flavored Apple Juice from Concentrate - 64oz - SS Juice, Cranberry Orange Sauce - 16oz - Freshpack, Cream Cheese - 8 oz - Milk Products, Cream Cheese - 8OZ - Grocery Dairy, Cream of Mushroom Condensed Soup-17oz-Soups, Creamy Peanut Butter Spread Unsweetened - 28oz - Nut Butters, Creamy Vodka Pasta Sauce-25oz-Pasta Sauce, Croutons Caesar - 4.5 oz - Condiments, Croutons Garlic and Butter Naturally Flavored - 4.5 oz - Condiments, Croutons Seasoned - 4.5 oz - Condiments, Crunchy Cinnamon Squares - 10OZ - Cereals Cold, Crunchy Peanut Butter - 16 oz - Nut Butters, Crushed tomato fire roasted - 28oz - SS Vegetables, Crushed tomato no salt added - 15oz - SS Vegetables, Crushed Tomatoes with Basil - 28 oz - SS Vegetables, Cumin Ground - 1.6 oz - Seasonings, Cumin Seed - 1.66 oz - Seasonings, Cut Green Beans - 16 oz - Frozen Vegetables, Cut Green Beans - NSA - 14.5oz - SS Vegetables, Dak Song Pepper Grinder - 2.01oz - Seasonings, Dark Chocolate - CA Only - 3oz - Candy, Dark Chocolate Bar - 3oz - Candy, Dark Chocolate Bar Almonds - 3oz - Candy, Dark Chocolate Bunny - 3.17 oz - Candy, Dark Chocolate Coconut - 3oz - Candy, Dark Chocolate Coconut- CA Only - 3oz - Candy, Dark Chocolate Nuts &amp; Berries Trail Mix - 12oz - Nuts and Seeds, Dark Chocolate Orange Peel Truffles - 7oz - Specialty, Dark Chocolate Peppermint Truffles - 7oz - Specialty, Dark Red Kidney Beans - 15oz - SS Vegetables, Decaf Peruvian Peak Vienna Roast Coffee, 12 count capsule - 4.66oz - Coffee, Decaffeinated Green Tea with Lemon Myrtle - 2.1 oz - Breakfast, Decaffeinated Green Tea with Lemon Myrtle - 40ct - Bulk &amp; Packaged Teas, Deluxe Macaroni &amp; Cheese with Shells - 12oz - Entrees, Deluxe White Cheddar Macaroni &amp; Cheese with Shells - 12oz - Entrees, Diced Fire Roasted Tomatoes - 15 oz - SS Vegetable, Diced Fire Roasted Tomatoes - 28 0z - SS Vegetable, Diced Pears in Pear Juice from Concentrate (4 4-oz bowls) - 16 oz - SS Fruits, Diced Tomatoes - 14.5 oz - SS Vegetables, Diced Tomatoes with Italian Herbs - 14.5 oz - SS Vegetables, Dijon Mustard - 8 oz - Condiments, Dijon Mustard [CAN only] - 237ml - Condiments, Dill Relish - 10 oz - Pickles, Olives, Peppers, Dill Weed - 0.46 oz - Seasonings, Dish Soap Foaming Unscented - 18fl oz - Household Cleaners, Distilled White Vinegar - 128oz - Vinegars, Distilled White Vinegar-32oz-Vinegars, Distilled White Vinegar-64oz-Vinegars, Double Chocolate Ice Cream Bars - 9oz - Frozen Desserts, Double Cocoa Peanut Pillow - 10.6oz - Cereals Cold, Dried Mango Bag in Bag (8 pack - 1.5 oz) - 12oz - Fruit Dried, Dried Mango Regenerative Organic Certified - 8oz - Functional Snacks, Dry Roasted &amp; Salted Almonds - 10oz - Functional Snacks, Dry Roasted &amp; Unsalted Almonds - 10oz - Functional Snacks, Dry Roasted Macadamia Nuts - 8oz - Functional Snacks, Early Bird Blend Ground - 12oz- Coffee, Early Bird Blend Whole Bean - 12oz- Coffee, Early Bird Multi-Seed Bread - CA Only - 20oz - Bread Regional PN, NC, SP, SW, RM, Early Bird Multi-Seed Bread-20oz-Bread, Edamame - 16 oz - Frozen Vegetables, Egg Whites - 16 oz - Eggs, Erythritol - 16oz - Sweeteners, Espresso Bel Canto Whole Bean - 12oz- Coffee, Evaporated Milk - 12oz - Baking Mixes, Ingredients &amp; Flours, Everything Bagels - 18oz - Bread Regional PN, NC, SP, SW, RM, Everything Bagels - CA Only - 18oz - Bread Regional PN, NC, SP, SW, RM, EVOO Spray - 10fl oz - Meals 1, Extra Large Brown Grade A Eggs [Regions: FL &amp; SW]-12ct-Eggs, Extra Large Brown Grade A Eggs [Regions: NA &amp; NE] - 12ct - Eggs, Extra Virgin Olive Oil 100% Mediterranean Blend-1L-Oils, Extra Virgin Olive Oil 100% Mediterranean Blend-500ml-Oils, Extra Virgin Olive Oil Nonstick Cooking Spray - 5oz - Meals, Extra Virgin Olive Oil Popcorn - 5oz - Salty Snacks, Extra Wide Egg Noodles - 16oz - Pastas, Fabric Softener Tangerine Zest - 32fl oz - Household Cleaners, Fair Trade Cacao Powder - 8oz - Baking Mixes, Ingredients &amp; Flours, Fair Trade Cashews - 8oz - Candy Snacks, Fair Trade Coconut Shreds Unsweetened - 8oz - Baking Mixes, Ingredients &amp; Flours, Fair Trade Vanilla Bean - 1 ea - Seasonings, Farfalle Italian Macaroni Product - 16 oz - Pastas, Fat Free Milk - 128fl oz - Milk - MW, RM, SW, Fat Free Milk - 128oz - Milk - MA, NA, Fat Free Milk - 128oz - Milk - MW, Fat Free Milk - 128oz - Milk - NE, Fat Free Milk - 128oz - Milk - PN, Fat Free Milk - 32fl oz - Milk - MW, RM, SW, Fat Free Milk - 64oz - Milk - MA, NA, Fat Free Milk - 64oz - Milk - MW, Fat Free Milk - 64oz - Milk - NE, Fat Free Milk - 64oz - Milk - PN, Fennel Seed - 1.02 oz - Seasonings, Feta &amp; Spinach Chicken Sausage - 12oz - Sausage, Fettuccine Italian Macaroni Product - 16 oz - Pastas, Fig Cream Soda Italian Soda - 750ml - Sodas &amp; Sparkling Juices, Fingerling Potatoes - 24oz - PN, RM, SP, SW, FINGERLING POTATOES - 24oz - Produce, Fire Roasted Corn - 16 oz - Frozen Vegetables, Flax Oil Filtered - 24fl oz - Supplements, Flax Oil Filtered - 8fl oz - Supplements, Flax Oil Unfiltered - 24fl oz - Supplements, Flax Oil Unfiltered - 8fl oz - Supplements, Flaxseed Ground - 14oz - Supplement, Flaxseed Ground - CA Only - 14oz - Supplement, Four Cheese Pasta Sauce - 25oz - Pasta Sauces, Four Cheese Ravioli - 22oz - Frozen Entrees, Frankincense &amp; Lemon Hydrosol - 3.89FL OZ - Aromatherapy, Freeka - 8.8oz - Entrees &amp; Mixes, French Lavender Hydrosol - 1.76FL OZ - Aromatherapy, French Lavender Hydrosol - 3.89FL OZ - Aromatherapy, French Roast Decaf Ground - 12oz- Coffee, French Roast Decaf Whole Bean - 12oz- Coffee, French Roast Ground - 12oz- Coffee, French Roast Whole Bean - 12oz- Coffee, French Style Green Beans - 16 oz - Frozen Vegetables, French Vanilla Almond Granola - 17oz- Cereal Cold, French Vanilla Almond Granola - 25lb - Bulk, Fresh Ground Chicken - 16oz - Chicken, Fresh Whole Chicken - 3 lb - Chicken, Fresh Young Turkey - 14/16lb - Meat, Fresh Young Turkey - 16/20 - lb - Meat, Fresh Young Turkey - 20/28lb - Meat, Fresh Young Turkey - 6/14lb - Meat, Frosted Flakes - 10 oz - Cereal Cold, FROZEN TURKEY WHOLE 14/18 - 1ct - Turkey - PN, NC, SP and RM, FROZEN TURKEY WHOLE 18/20 - 1ct - Turkey - PN, NC, SP and RM, FROZEN WHOLE TURKEY - 1ct - Turkey - MW, NA,NE,MA,SO, FL and SW, Fruit &amp; Grain Mixed Berry Cereal Bar (6 pack) - 7.8oz - Cereal/Granola Bars, Fruit &amp; Grain Strawberry Cereal Bar (6 pack) - 7.8oz - Cereal/Granola Bars, Fruit &amp; Nut Granola - 17oz - Cereal Cold, Fruit Punch - 64oz - SS Juice, Fruit Punch (8-pack) - 200ml - SS Juice, Fudge Bars - 10 oz - Frozen Desserts, Fuji Apples - 3lb - Fresh Fruit, Fuji Apples - 3lb - Regional RM, NC, SP, Fuji Apples - 3lb - SO, MA, FL, Gala Apples - 3lb - Fresh Fruit, Gala Apples - 3lb - Regional RM, NC, SP, Gala Apples - 3lb - SO, MA, FL, Garbanzo Beans - 15 oz - SS Vegetables, Garbanzo Beans - 16oz - Meals, Garlic - 3bulbs - Produce, Garlic &amp; Herb Goat Cheese - 4 oz - Fresh, Garlic &amp; Herb Rice Pilaf-6.1oz-Entrees &amp; Mixes, Garlic Granules - 2.57 oz - Seasonings, Garlic Powder - 2.33 oz - Seasonings, Garlic Stuffed Olives - 4.23oz - Pickles, Olives, Peppers, Garlic Teriyaki Sauce - 9oz - Condiments, German Mustard - 8 oz - Condiments, German Mustard [CAN only] - 237ml - Condiments, Ginger Ground - 1.52 oz - Seasonings, Ginger Lemon Kombucha - 16fl oz - Refrigerated Functional Beverages, Ginger Lemonade - 59FL OZ - Refrigerated Juice, Glaze Balsamic Vinegar of Modena - 8.45oz - Vinegars, Gluten Free Pasta Farm Shapes - 8.8oz - Pastas, Gluten-Free Pancake &amp; Waffle Mix - 18oz - Desserts and Toppings, Golden Milk - 6oz - Functional Foods, Grade A Maple Syrup - Amber Color - 12 oz - Sweeteners, Grade A Maple Syrup - Amber Color - 32 oz - Sweeteners, Grade A Maple Syrup - Dark Color - 12 oz - Sweeteners, Grade A Maple Syrup - Dark Color - 32 oz - Sweeteners, Grade A Maple Syrup - Golden Color - 8 oz - Sweeteners, Granny Smith Apples - 3lb - Fresh Fruit, Granny Smith Apples - 3lb - Regional RM, NC, SP, Granny Smith Apples - 3lb - SO, MA, FL, Grape Tomatoes - 10oz - Produce, Grapefruit Juice - 16oz - Produce, Grapefruit Juice - 32oz - Produce, Grapefruit Juice - 64oz - Produce, Grass Fed Beef Burgers - 1lb - Frozen Meat, Gravenstein Apple Juice - 32Fl oz - SS Juice, Gravenstein Apple Juice - 64 oz - SS Juices, Great Northern Beans - 15oz - SS Vegetables, Great Northern Beans - 16oz - Meals, Greek Nonfat Yogurt Plain - 32oz - Yogurt, Greek Whole Milk Yogurt Plain - 32oz - Yogurt, Greek Yogurt Blueberry Low Fat Dessert Bars - 2.5oz - Frozen Desserts, Green Beans - 12oz - Vegetable Fresh, Green Lentils - 16 oz - Packaged Beans, Grains &amp; Rice, Green Lentils - 16oz - Meals/Pasta, Green Olives - 8.8oz - Pickles, Olives, Peppers, Green Peas - 20 LB - Bulk, Green Peas No Salt Added - 16 oz - Frozen Vegetables, Green Split Peas - 16 oz - Packaged Beans, Grains &amp; Rice, Green Squeeze - 16oz - Produce, Green Tea - 4.9 oz - Breakfast, Green Tea- 5.6 oz-Bulk &amp; Packaged Teas, Grilled Chicken Breast Strips - 8oz - Sausage Cooked, Ground Cardamom - 1.8oz - Seasonings, Ground Cardamom - 53g - Seasonings, Ground Chicken - 16 oz - Chicken, Gut Refresher Shot Apple + Ginger - 2/12fl oz/pck - Supplements, Gut Refresher Shot Apple + Ginger - 2/6fl oz/pck - Supplements, Gut Refresher Shot Apple + Ginger - 2fl oz - Supplements, Half &amp; Half - 1 Pint - Dairy, Half &amp; Half - 1 Quart - Dairy, Half &amp; Half - 16fl oz - Creamers, Half &amp; Half - 32fl oz - Creamers, Haricot Verts - 16 oz - Frozen Vegetables, Harissa Seasoning - 1.94 oz - Seasonings, Hass Avocado - 4ct - Avocado, Havarti Cheese Slices - 6oz - Specialty, Hazelnut Cocoa Pillows - 10.6oz - Breakfast, Heavy Cream - 1 Pint - Dairy, Heavy Cream - 16fl oz - Creamers, Hemp Protein Unflavored Powder - 16oz - Protein Powders, Hemp Seed - CA-12oz-Supplements, Hemp Seed - CA-4oz-Supplements, Hemp Seed-12oz-Supplements, Hemp Seed-4oz-Supplements, Herb &amp; Garlic Water Crackers - 4.4 oz - Crackers &amp; Crispbreads, Herbes de Provence Vinaigrette - 12fl oz - Condiments, Hickory-Smoked Cheddar Slices - 6oz - Specialty, Homestyle Mini Waffles - 9 oz - Frozen Breakfast, Homestyle Waffles - 7.4 oz - Frozen Breakfast, Honey Cinnamon Whole Grain Animal Cookies - 11OZ - Cookies, Honey Flakes &amp; Oat Clusters - 12 oz - Cereals Cold, Honey Mustard - 8 oz - Condiments, Honey Mustard [CAN ONLY] - 237ml - Condiments, Honey Mustard Dressing - 16 oz - Condiments, Honeycrisp Apple Juice - 32 FZ - SS Juice, Honeycrisp Apples - 3lb - Regional RM, NC, SP, Honeycrisp Apples - 3lb - SO, MA, FL, Hot Cocoa Flavored Ice Cream Sandwiches - 21.9oz - Frozen Desserts, Hot Cocoa Milk Chocolate Flavor Mix - 10 oz - Baking Mixes, Ingredients &amp; Flours, Hot Cocoa Rich Chocolate Flavor Mix - 12 oz - Baking Mixes, Ingredients &amp; Flours, Ice Cream Sandwiches - 21.9 oz - Frozen Desserts, Ice Cream Sandwiches Pumpkin Pie - 21.9oz - Frozen Desserts, Iced Black Tea Ready to Brew Tea Bags - 4.6oz - Bulk &amp; Packaged Teas, Immune Refresher – Carrot &amp; Orange with Turmeric Juice Blend - 32oz - SS Juice, Immune Refresher – Purple Carrot, Beet &amp; Cherry with Elderberry &amp; Echinacea Juice Blend - 32 oz - SS Juice, Immune Refresher – Tropical Fruit Blend with Baobab Juice Blend - 32 oz - SS Juice, Immune Refresher Shot Elderby Pomegrante - 2/12fl oz/pck - Supplements, Immune Refresher Shot Elderby Pomegrante - 2/6fl oz/pck - Supplements, Immune Refresher Shot Elderby Pomegrante - 2fl oz - Supplements, Immune Refresher shot Ginger plus Turmeric plus Cayenne - 12pk - Dairy Juices &amp; Functional Beverages, Immune Refresher shot Ginger plus Turmeric plus Cayenne - 2oz - Dairy Juices &amp; Functional Beverages, Immune Refresher shot Ginger plus Turmeric plus Cayenne - 6pk - Dairy Juices &amp; Functional Beverages, Immune Refresher Shot Ginger Turmeric Cayenne - 2/6fl oz/pck - Supplements, Immune Refresher Shot Ginger Turmeric Cayenne - 2fl oz - Supplements, Immune Refresher Shot Ginger, Turmeric, Cayenne - 2/12fl oz/pck - Supplements, Immune Refresher Shot Pomegrante and Elderberry - 12pk - Dairy Juices &amp; Functional Beverages, Immune Refresher Shot Pomegrante and Elderberry - 2oz - Dairy Juices &amp; Functional Beverages, Immune Refresher Shot Pomegrante plus Elderberry - 6pk - Dairy Juices &amp; Functional Beverages, Indian Basamati Long Grain Brown Rice - 32oz - Grains &amp; Rice, Indian Basamati Long Grain White Rice - 32oz - Grains &amp; Rice, Indian Basmati White Rice - 20oz - Frozen Entrees, Instant Oatmeal Carrot Cake - 11.3oz - Cereals, Instant Oatmeal Cinnamon Roll - 11.3oz - Cereals, Instant Oatmeal Variety Pack - 11.3oz - Cereals, Instant Pudding Chocolate-3.7oz-Baking Mixes, Ingredients &amp; Flours, Instant Pudding Vanilla Flavored-3.7oz-Baking Mixes, Ingredients &amp; Flours, Italian Dressing - 16 oz - Condiments, Italian Herb Pasta Sauce - 25oz - Pasta Sauces, Italian Roast Ground - 12oz- Coffee, Italian Roast Whole Bean - 12oz- Coffee, Italian Romano Vinaigrette - 12fl oz - Condiments, Italian Salad - 10 oz - Produce, Italian Seasoning - 0.46oz - Seasonings, Italian-Style Blend Cheese Shreds - 6oz - Specialty, Jalapeno Monterey Jack Chicken Sausage - 12oz - Sausage Cooked, Jasmine Rice - 20 oz - Frozen Entrees, Jasmine Rice - 8.8oz - Packaged Beans and Grains, Jellied Cranberry Sauce - 14 oz - SS Fruits, Jojoba Oil - 4oz - Aromatherapy, Jumbo Blueberries - 1pt - Fruit, Kalamata Olives Pitted - 8.8oz - Pickles, Olives, Peppers, Kamut Khorasan Wheat - 8.8oz - Entrees &amp; Mixes, Kansas City Love Barbecue Sauce - 18oz - Condiments, Ketchup - 24 oz - Condiments, Kosher Baby Dills - 16 oz - Pickles, Olives, Peppers, Kosher Dill Pickles - 24 oz -Pickles, Olives, Peppers, Kosher Dill Pickles Reduced Sodium - 24 oz -Pickles, Olives, Peppers, Kung Pao Cooking Sauce - 9FL OZ - Ethnic, La Bailarina Spanish Roast Coffee, 12 count capsule - 4.66oz - Coffee, La Mesa Ground - 12oz- Coffee, La Mesa Whole Bean - 12oz- Coffee, Lactose Free Reduced Fat Milk - 64fl oz - Creamers, Lactose Free Whole Milk - 64fl oz - Creamers, Large Brown Grade A Eggs - 18ct - NA &amp; NE, Large Brown Grade A Eggs - 18ct - PN, SO &amp; RM, Large Brown Grade A Eggs - 18ct - SW &amp; FL, Large Brown Grade A Eggs [Region: NC]-12ct-Eggs, Large Brown Grade A Eggs [Regions: FL &amp; SW] - 12ct - Eggs, Large Brown Grade A Eggs [Regions: MA, PN, SO, RM]-12ct-Eggs, Large Brown Grade A Eggs [Regions: MW, SP, PN]-12ct-Eggs, Large Brown Grade A Eggs [Regions: NA &amp; NE] - 12ct - Eggs, Large Omega-3 Brown Grade A Eggs [Region: NC]-12ct-Eggs, Large Omega-3 Brown Grade A Eggs [Regions: FL &amp; SW]-12ct-Eggs, Large Omega-3 Brown Grade A Eggs [Regions: MA, PN, SO, RM]-12ct-Eggs, Large Omega-3 Brown Grade A Eggs [Regions: MW, SP, PN]-12ct-Eggs, Large Omega-3 Brown Grade A Eggs [Regions: NA &amp; NE] - 12ct - Eggs, Lasagne Italian Macaroni Product - 16 oz - Pastas, Lemon Elderflower Italian Soda - 25oz - Sodas &amp; Sparkling Juices, Lemon Italian Soda - 750ml - Sodas &amp; Sparkling Juices, Lemon Italian Sparkling Mineral Water - 16.9FL OZ - Water, Lemon Italian Sparkling Mineral Water 6-pack - 33.8oz - Water, Lemon Raspberry Italian Sparkling Mineral Water - 33.8FL OZ - Water, Lemon Thyme Italian Soda - 750ml - Sodas &amp; Sparkling Juices, Lemonade - 15.2oz - Dairy Juices &amp; Functional Beverages, Lemonade - 16oz - Produce, Lemonade - 32oz - Produce, Lemonade - 64 oz - SS Juices, Lemonade - 64oz - Produce, Lemonade (8-pack) - 200ml - SS Juice, Light Agave Nectar - 23.5 oz - Sweeteners, Light Balsamic Vinaigrette - 16oz - Condiments, Light Lemonade Sweetened with Sugar Cane &amp; Stevia - 64 oz - SS Juices, Light Mayo-11.2oz-Condiments, Light Orange - 59FL OZ - Refrigerated Juice, Light Ranch Dressing - 16 oz - Condiments, Light Sour Cream - 16 oz - Milk Products, Light String Cheese, 8-pack - 8oz - Cheese, Lime Italian Sparkling Mineral Water - 16.9FL OZ - Water, Lime Italian Sparkling Mineral Water 6-pack - 33.8oz - Water, Lime Mint Elderflower Italian Sparkling Mineral Water - 33.8FL OZ - Water, Linguine Italian Macaroni Product - 16 oz - Pastas, Long Grain &amp; Wild Rice Pilaf-6.1oz-Entrees &amp; Mixes, Long Grain Brown Rice - 32oz - Grains &amp; Rice, Long Grain White Rice - 32oz - Grains &amp; Rice, Low Fat Cottage Cheese - 16 oz - Milk Products, Lowfat (1%) Milk - 128oz - Milk - MA, NA, Lowfat (1%) Milk - 128oz - Milk - MW, Lowfat (1%) Milk - 128oz - Milk - NE, Lowfat (1%) Milk - 128oz - Milk - PN, Lowfat (1%) Milk - 64oz - Milk - MA, NA, Lowfat (1%) Milk - 64oz - Milk - MW, Lowfat (1%) Milk - 64oz - Milk - NE, Lowfat (1%) Milk - 64oz - Milk - PN, Lowfat Milk - 128fl oz - Milk - MW, RM, SW, Lowfat Milk - 32fl oz - Milk - MW, RM, SW, Lowfat Milk - 64fl oz - Milk - MW, RM, SW, Maca Powder - 8oz - Supplements, Maca Powder Gelatinized - 8oz - Supplements, Macaroni &amp; Cheese - 12 oz - Pastas, Macaroni &amp; Cheese - 6oz - Entrees, Macaroni and Cheese - 9oz - Entrees, Mango Apple Banana Avocado Kale Baby Food - 4oz - Baby Products, Mango Chunks-32oz-Frozen Fruits, Mango Fruit Strip - 30ct- Candy, MANGO GREEK YOGURT Low Fat Dessert Bars - 10oz - Frozen Desserts, Mango Habanero Coconut Sauce - 9oz - Condiments, Mango Lemonade - 64 oz - SS Juice, Mango Slices - 8oz - Prepack Snacks (Slatwall &amp; Tubs), Maple &amp; Brown Sugar Instant Oatmeal - 11.29oz - Breakfast, Maple &amp; Onion Baked Beans - 16oz - SS Vegetables, Marinara Pasta Sauce, Fat Free-25oz-Pasta Sauce, Marshmallow Galaxy Cereal - 10oz - Cereals Cold, Matcha Powder - 5oz - Functional Foods, Mayonnaise - 11.2oz - Condiments, Mayonnaise - 16FL OZ - Condiments, Mediterranean Blend - 16 oz - Frozen Vegetables, Memphis Madness Barbecue Sauce - 18oz - Condiments, Men's 40+ Multi Food-Sourced - 60TB - Supplements, Mexican Blend - 8oz - Shredded Cheese, Mexican-Style Blend Cheese Shreds - 6oz - Specialty, Microwave Popcorn Butter Flavor - 10.5 oz - Salty Snacks, Microwave Popcorn Light Butter Flavor - 9 oz - Salty Snacks, Microwave Popcorn No Oil or Salt Added - 9 oz -Salty Snacks, Mild Cheddar Cheese - 8 oz - Packaged Bars, Mild Cheddar Cheese Shreds - 6oz - Specialty, Mild Cheddar Cheese Slices - 6oz - Specialty, Mild Italian Chicken Sausage - 12oz - Sausage Cooked, Milk Chocolate Bar - 3oz - Candy, Milk Chocolate Bunny - 3.17oz - Candy, Milk Chocolate Crunchy Quinoa Bar - 3oz - Candy, Mini Cheddar Cheese Sandwich Crackers - 7oz - Crackers &amp; Crispbreads, Mini Peanut Butter Sandwich Crackers - 7oz - Crackers &amp; Crispbreads, Mini Pretzel Twists - 8 oz - Salty Snacks, Mini Pretzel Unsalted Twists - 8 oz - Salty Snacks, Mint Chip Ice Cream - 16oz - Desserts, Mixed Berry Conserve - 17 oz - Fruit Spread, Mixed Berry Fruit Spread - 375 ml - Fruit Spread, Mixed Mushrooms-10oz-Frozen Vegetables, Mixed Vegetables No Salt Added - 16 oz - Frozen Vegetables, Mocha Coffee Ground - 12oz - Coffee, Monterey Jack Cheese Shreds - 6oz - Specialty, Monterey Jack Cheese Slices - 6oz - Specialty, Morello Cherry Fruit Spread - 17OZ - Fruit Spreads, Morning Blend City Roast Coffee Capsule - 4.6oz - Coffee, Morning Blend City Roast Coffee Capsule - 9.3oz - Coffee, Morning O's - 14oz - Cereal Cold, Moroccan Rose Hydrosol - 1.76FL OZ - Aromatherapy, Moroccan Rose Hydrosol - 3.89FL OZ - Aromatherapy, Mozzarella Cheese Shreds - 6oz - Specialty, Mozzarella Cheese Slices - 6oz - Specialty, Muchi Curry Seasoning - 2.08 oz - Seasonings, Muenster Cheese Slices - 6oz - Specialty, Mulling Spice - 1.55oz - Seasonings, Multigrain Sandwich Bread - 20OZ - Bread Regional NA, NE, MA, SO, FL, MW, Multigrain Waffles - 7.4 oz - Frozen Breakfast, Multisurface Cleaner Lavender Lemon - 24fl oz - Household Cleaners, Multisurface Cleaner Unscented - 24fl oz - Household Cleaners, Mushroom Gravy - 12oz - Gravy, Mushroom Ravioli - 8oz - Frozen Entrees, Mustard Seed Ground - 1.69 oz - Seasonings, Navy Beans - 15oz - SS Vegetables, No Sugar Added Ketchup - 16.6oz - Meals, Nonfat Milk - 64fl oz - Milk - MW, RM, SW, Nutmeg Ground - 1.87 oz - Seasonings, Oat &amp; Honey Granola - 17 oz - Cereals Cold, Oatmeal Raisin Cookies-12oz-Cookies, Oats &amp; Flax Instant Oatmeal - 11.29 oz - Cereals Hot, Oats and Honey Granola - 25lb - Bulk, Old Fashioned Sauerkraut - 32 oz - Pickles, Olives, Peppers, Old School Vegetable Soup - 24oz - Prepared Foods, Old School Vegetable Soup - 6oz - Prepared Foods, Old-Fashioned Rolled Oats - 18oz - Cereals Hot, Old-Fashioned Rolled Oats - 42oz - Cereals Hot, Olive Tapenade - 8.1oz - Olives and Peppers, Omega-3 Trail Mix - 12oz - Nuts and Seeds, Onion Granules - 1.9oz - Seasonings, Onion Powder - 1.73 oz - Seasonings, Orange Hibiscus Italian Soda - 25.4FL OZ - Sodas &amp; Sparkling Juices, Orange Juice - 16fl oz - Produce, Orange Juice - 32fl oz - Produce, Orange Juice - 64fl oz - Produce, Orange Marmalade Fruit Spread - 17OZ - Fruit Spreads, Orange Peel Chocolate Truffle - 7oz - Candy, Orange Strawberry Banana Juice - 59 oz - Dairy Juices &amp; Functional Beverages, Orange Vanilla Creme Rooibos Tea - 40CT - Bulk &amp; Packaged Teas, Orecchiette Rigate Italian Macaroni Product - 16 oz - Pastas, Oregano - 0.35 oz - Seasonings, Original Almond Non-Dairy Beverage - 64oz - Dairy, Original Instant Oatmeal - 11.29 oz - Cereals Hot, Original Rice Pilaf-6.1oz-Entrees &amp; Mixes, Original Unsweetened Almond Milk 6 pk - 48oz - Dairy Non-Dairy Beverages, Orzo Italian Macaroni Product - 16 oz - Pastas, Outdoor Access Extra Large Brown Grade A Eggs 12 ct 15543, Outdoor Access Extra Large Brown Grade A Eggs 12 ct 15549, Papillon Italian Macaroni Product with Roots and Vegetables - 16oz - Pastas, Paprika-1.69oz-Seasonings, Parmesan &amp; Mushroom Chicken Sausage - 12oz - Sausage, Parsley - 0.24 oz - Seasonings, Pasta Rings in Tomato Sauce - 15 oz - Entrees &amp; Mixes, Peach Passion Fruit Kombucha - 16fl oz - Refrigerated Beverages, Peaches &amp; Pears in Pear Juice from Concentrate (4 4-oz bowls) - 16 oz - SS Fruits, Peanut Butter Balls - 10 oz - Cereal cold, Pear Carrot Broccoli Baby Food - 4oz - Baby Products, Pear Halves in Pear Juice from Concentrate - 15 oz - SS Fruits, Pear Strawberry Rhubarb Baby Food - 4oz - Baby Products, Pearled Couscous - Garlic and Olive Oil - 5.8 oz - Entrees &amp; Mixes, Pearled Couscous - Lemon and Herb - 5 oz - Entrees &amp; Mixes, Peas and Carrots No Salt Added - 16 oz - Frozen Vegetables, Pecan Halves - 30lb - Bulk, Pecans Chopped - 2.44oz - Baking, Pecans Halves and Pieces - 8oz - Functional Snacks, Peeled Garlic - 6oz - Garlic, Penne Rigate Italian Macaroni Product - 16 oz - Pastas, Pepper Jack Cheese - 8 oz - Packaged Bars, Pepper Jack Cheese Shreds - 6oz - Specialty, Pepper Jack Cheese Slices - 6oz - Specialty, Peppermint Lip Balm - 0.15 oz - Lip Care, Peppermint Tea - 1.8 oz - Breakfast, Peppermint Tea - 40ct - Bulk &amp; Packaged Tea, Peppermint Tea-1.83 oz-Bulk &amp; Packaged Teas, Peruvian Style - 2.93oz - Seasonings, Petite Carrots Peeled - 12oz - Produce, Petite Diced Tomatoes with Jalapeno &amp; Cilantro - 10 oz - SS Vegetable, Petite Green Peas No Salt Added - 16 oz - Frozen Vegetables, Pineapple Mango Sparkling Mineral Water - 33.8FL OZ - Water, Pineapple Slices - 8oz - Prepack Snacks (Slatwall &amp; Tubs), Pink Grapefruit Italian Soda - 750ml - Sodas &amp; Sparkling Juices, Pink Grapefruit Italian Soda 4 pack - 44.8Fl oz - Sodas &amp; Sparkling Juices, Pink Lady Apples © - 3lbs - RM, NC, SP, Pink Lady Apples © - 3lbs - SO, MA, FL, Pink Lady Apples © - 3lbs - SW, MW, PN, NA, NE, Pinto Beans - 15oz - SS Vegetables, Pinto Beans - 16oz - Meals, Pipe Rigate Italian Macaroni Product - 16 oz - Pastas, Pizza Sauce-14oz-Pasta Sauce, Plain Bagels - 18oz - Bread Regional PN, NC, SP, SW, RM, Plain Bagels - CA Only - 18oz - Bread Regional PN, NC, SP, SW, RM, Plain Bread Crumbs - 9oz - Baking Mixes, Ingredients and Flours, Plain Fresh Goat Cheese - 4 oz - Fresh, Plain Low Fat Yogurt - 32 oz - Yogurt, Plain Whole Milk Yogurt - 32 oz - Yogurt, Plant-Based Bolognese Pasta Sauce - 18oz - Pasta Sauces, Pomegranate Orange Lip Balm - 0.15 oz - Lip Care, Poppy Seed - 2.05 oz - Seasonings, Portobello Mushroom Pasta Sauce-25oz-Pasta Sauce, Portobello Mushroom Sliced - 6oz - Produce, Portobello Mushroom Whole - 6oz - Produce, Potato Chips Barbecue - 5 oz - Salty Snack, Potato Chips Sea Salt - 5 oz - Salty Snack, Potted Basil - 1EA - Floral, POWDERED MUSHROOM BLEND - 3.03oz - Supplements, POWDERED MUSHROOM BLEND - CA - 3.03oz - Supplements, Powdered Sugar - 24oz - Sweeteners, Prepared Yellow Mustard - 14oz - Meals 1, Pretzel Sticks - 8 oz - Salty Snacks, Prune Baby Food - 4oz - Baby Products, Pulp Free Orange Juice - 89 oz - Dairy Juices &amp; Functional Beverages, Pumpkin Pie Spice - 1.76oz - Seasonings, Pumpkin Puree - 15OZ - SS Vegetables, Pumpkin Seeds - 25lb - Bulk, Pumpkin Seeds - 8OZ - Prepack Snacks (Slatwall &amp; Tubs), Pumpkin Spice Apple Sauce - 24oz - SS Fruits, Pumpkin Spiced Apple Cider - 32oz - SS Juice</t>
  </si>
  <si>
    <t>Certificate Numbers for Certified Products Under HANDLING Scope</t>
  </si>
  <si>
    <t>US10047/25 subst. US9205/24</t>
  </si>
  <si>
    <t>C0518185-NOPHDLR-6</t>
  </si>
  <si>
    <t>C0030126-NOPHDLR-6</t>
  </si>
  <si>
    <t>C0031667-NOPHDLR-6</t>
  </si>
  <si>
    <t>C0039207-NOPHDLR-6</t>
  </si>
  <si>
    <t>C0030433-NOPHDLR-7</t>
  </si>
  <si>
    <t>C0030119-NOPHDLR-6</t>
  </si>
  <si>
    <t>C0030582-NOPHDLR-6</t>
  </si>
  <si>
    <t>C0030101-NOPHDLR-8</t>
  </si>
  <si>
    <t>C0031166-NOPHDLR-9</t>
  </si>
  <si>
    <t>C0030078-NOPHDLR-8</t>
  </si>
  <si>
    <t>C0031464-NOPHDLR-6</t>
  </si>
  <si>
    <t>24692</t>
  </si>
  <si>
    <t>NOP-009306-2024</t>
  </si>
  <si>
    <t>C0803920-NOPHDLR-1</t>
  </si>
  <si>
    <t>C0665594-NOPHDLR-6</t>
  </si>
  <si>
    <t>55,055</t>
  </si>
  <si>
    <t>24-0407</t>
  </si>
  <si>
    <t>C0030594-NOPHDLR-7</t>
  </si>
  <si>
    <t>C0029865-NOPHDLR-8</t>
  </si>
  <si>
    <t>C0195675-NOPHDLR-9</t>
  </si>
  <si>
    <t>US9332/24 subst US8958/24</t>
  </si>
  <si>
    <t>US8607/24</t>
  </si>
  <si>
    <t>NOP-009244-2024</t>
  </si>
  <si>
    <t>NOP-008988-2023</t>
  </si>
  <si>
    <t>25562</t>
  </si>
  <si>
    <t>NOP-009249-2024</t>
  </si>
  <si>
    <t>25566</t>
  </si>
  <si>
    <t>C0029825-NOPHDLR-9</t>
  </si>
  <si>
    <t>9730000064,9730000063</t>
  </si>
  <si>
    <t>NOP-009377-2024</t>
  </si>
  <si>
    <t>C0557151-NOPHDLR-5</t>
  </si>
  <si>
    <t>2116802,</t>
  </si>
  <si>
    <t>NOP-008802-2023</t>
  </si>
  <si>
    <t>NOP-009062-2024</t>
  </si>
  <si>
    <t>US9426/24</t>
  </si>
  <si>
    <t>26142</t>
  </si>
  <si>
    <t>C0263778-NOPHDLR-6</t>
  </si>
  <si>
    <t>25542</t>
  </si>
  <si>
    <t>C0506071-NOPHDLR-7</t>
  </si>
  <si>
    <t>US9173/24 subst</t>
  </si>
  <si>
    <t>842817,</t>
  </si>
  <si>
    <t>C0104556-NOPHDLR-6</t>
  </si>
  <si>
    <t>C0030614-NOPHDLR-7</t>
  </si>
  <si>
    <t>,2102802</t>
  </si>
  <si>
    <t>C0106855-NOPHDLR-5</t>
  </si>
  <si>
    <t>25503</t>
  </si>
  <si>
    <t>202449</t>
  </si>
  <si>
    <t>C0030742-NOPHDLR-7</t>
  </si>
  <si>
    <t>C0787352-NOPHDLR-2</t>
  </si>
  <si>
    <t>23810</t>
  </si>
  <si>
    <t>C0168321-NOPHDLR-5</t>
  </si>
  <si>
    <t>C0048410-NOPHDLR-5</t>
  </si>
  <si>
    <t>C0031278-NOPHDLR-9</t>
  </si>
  <si>
    <t>C0091662-NOPHDLR-6</t>
  </si>
  <si>
    <t>C0205939-NOPHDLR-6</t>
  </si>
  <si>
    <t>C0031241-NOPHDLR-7</t>
  </si>
  <si>
    <t>C0335903-NOPHDLR-5</t>
  </si>
  <si>
    <t>C0031649-NOPHDLR-7</t>
  </si>
  <si>
    <t>CMX-NOP-1132-2024-34</t>
  </si>
  <si>
    <t>25981</t>
  </si>
  <si>
    <t>C0030659-NOPHDLR-7</t>
  </si>
  <si>
    <t>C0031648-NOPHDLR-9</t>
  </si>
  <si>
    <t>C0078090-NOPHDLR-8</t>
  </si>
  <si>
    <t>C0548440-NOPHDLR-7</t>
  </si>
  <si>
    <t>,2209702</t>
  </si>
  <si>
    <t>25904</t>
  </si>
  <si>
    <t>C0811931-NOPHDLR-1</t>
  </si>
  <si>
    <t>NPU14OCC</t>
  </si>
  <si>
    <t>C0670392-NOPHDLR-6</t>
  </si>
  <si>
    <t>,2115505</t>
  </si>
  <si>
    <t>US9137/24</t>
  </si>
  <si>
    <t>MO0114-H-242184</t>
  </si>
  <si>
    <t>C0030030-NOPHDLR-8</t>
  </si>
  <si>
    <t>2422802</t>
  </si>
  <si>
    <t>US9801/25 subst. US8533/24</t>
  </si>
  <si>
    <t>C0164708-NOPHDLR-5</t>
  </si>
  <si>
    <t>NOP-009059-2024</t>
  </si>
  <si>
    <t>NOP-008556-2023</t>
  </si>
  <si>
    <t>25976</t>
  </si>
  <si>
    <t>NOP-008810-2023</t>
  </si>
  <si>
    <t>NOP-008816-2023</t>
  </si>
  <si>
    <t>C0048571-NOPHDLR-6</t>
  </si>
  <si>
    <t>24-0474</t>
  </si>
  <si>
    <t>NOP-008737-2023</t>
  </si>
  <si>
    <t>NOP-008965-2023</t>
  </si>
  <si>
    <t>26113</t>
  </si>
  <si>
    <t>CC/NO 02870</t>
  </si>
  <si>
    <t>NOP-008771-2023</t>
  </si>
  <si>
    <t>25687</t>
  </si>
  <si>
    <t>NPS64BCC</t>
  </si>
  <si>
    <t>C0238593-NOPHDLR-6</t>
  </si>
  <si>
    <t>C0196779-NOPHDLR-11</t>
  </si>
  <si>
    <t>NOP-008713-2023</t>
  </si>
  <si>
    <t>US9714/25 subst. 2230005787/24</t>
  </si>
  <si>
    <t>C0450067-NOPHDLR-8</t>
  </si>
  <si>
    <t>C0048292-NOPHDLR-8</t>
  </si>
  <si>
    <t>25872</t>
  </si>
  <si>
    <t>C0501360-NOPHDLR-7</t>
  </si>
  <si>
    <t>NOP-009010-2023</t>
  </si>
  <si>
    <t>C0813867-NOPHDLR-1</t>
  </si>
  <si>
    <t>C0031486-NOPHDLR-6</t>
  </si>
  <si>
    <t>CO-308137</t>
  </si>
  <si>
    <t>9730000065,</t>
  </si>
  <si>
    <t>C0029751-NOPHDLR-5</t>
  </si>
  <si>
    <t>C0030121-NOPHDLR-7</t>
  </si>
  <si>
    <t>C0362791-NOPHDLR-6</t>
  </si>
  <si>
    <t>WI0804-H-24-2181</t>
  </si>
  <si>
    <t>C0379439-NOPHDLR-9</t>
  </si>
  <si>
    <t>Physical Address: Street 1</t>
  </si>
  <si>
    <t>At least one of the two addresses (Physical or Mailing) is required</t>
  </si>
  <si>
    <t>Rodovia PA 481, KM 05, s/n - Zona Rural.</t>
  </si>
  <si>
    <t>1700 Stiles Road</t>
  </si>
  <si>
    <t>3247 Hwy 18</t>
  </si>
  <si>
    <t>6541 Turtle Road</t>
  </si>
  <si>
    <t>1387A C.R. 658</t>
  </si>
  <si>
    <t>2080 S 300 E</t>
  </si>
  <si>
    <t>21202 Keystone Rd</t>
  </si>
  <si>
    <t>355 Hopkins Mill Rd.</t>
  </si>
  <si>
    <t>10013 S 800 W</t>
  </si>
  <si>
    <t>3528 T.R. 606</t>
  </si>
  <si>
    <t>6820 Orangeville Kinsman Road</t>
  </si>
  <si>
    <t>7419-A Route 414</t>
  </si>
  <si>
    <t>1405 East Winter Road</t>
  </si>
  <si>
    <t>492 Marshville Rd</t>
  </si>
  <si>
    <t>3394 B Sutherland Road</t>
  </si>
  <si>
    <t>6955 County Road 77 Unit B</t>
  </si>
  <si>
    <t>8120 State Route 534</t>
  </si>
  <si>
    <t>8263 South Road</t>
  </si>
  <si>
    <t>3038 Old Philadelphia Pike</t>
  </si>
  <si>
    <t>13260 Hwy 126</t>
  </si>
  <si>
    <t>383 Cooper Dr.</t>
  </si>
  <si>
    <t>6770 NW 26th Street</t>
  </si>
  <si>
    <t>1024 State Hwy 51</t>
  </si>
  <si>
    <t>380 Pine Grove Road</t>
  </si>
  <si>
    <t>2060E 350N</t>
  </si>
  <si>
    <t>N4973 County Road B</t>
  </si>
  <si>
    <t>W354 26 Rd</t>
  </si>
  <si>
    <t>18 Spielman Road</t>
  </si>
  <si>
    <t>5145 County Road 172</t>
  </si>
  <si>
    <t>47650 Township Road 218</t>
  </si>
  <si>
    <t>20142 County Highway MM</t>
  </si>
  <si>
    <t>155 Cedarville Rd</t>
  </si>
  <si>
    <t>15503 County Highway D</t>
  </si>
  <si>
    <t>712 Old Pike Road, Apt 1</t>
  </si>
  <si>
    <t>1043 Bad Land Rd</t>
  </si>
  <si>
    <t>N7760 Hwy 110</t>
  </si>
  <si>
    <t>296 Phillip Rd</t>
  </si>
  <si>
    <t>74 Fausey Rd</t>
  </si>
  <si>
    <t>51 Ziegler Road</t>
  </si>
  <si>
    <t>369 Brown Farm Rd.</t>
  </si>
  <si>
    <t>5076 Lincklaen Road</t>
  </si>
  <si>
    <t>4557 South Lebanon Road</t>
  </si>
  <si>
    <t>1331 CR 168</t>
  </si>
  <si>
    <t>4722 CR 19</t>
  </si>
  <si>
    <t>33198 Evergreen Road</t>
  </si>
  <si>
    <t>208 Blanding Road</t>
  </si>
  <si>
    <t>2774 Schulte Road</t>
  </si>
  <si>
    <t>591 Doing Road</t>
  </si>
  <si>
    <t>5652 Nelson Road</t>
  </si>
  <si>
    <t>1125 Fairbank Amish Boulevard</t>
  </si>
  <si>
    <t>568 Argersinger Rd</t>
  </si>
  <si>
    <t>36617 St. Hwy 408</t>
  </si>
  <si>
    <t>210 Herman Road</t>
  </si>
  <si>
    <t>1000 N 30th Street</t>
  </si>
  <si>
    <t>243 Clemons Rd.</t>
  </si>
  <si>
    <t>1211 East Noble Avenue</t>
  </si>
  <si>
    <t>Upper Quinocol, Brgy. Darong</t>
  </si>
  <si>
    <t>620 N. Main St.</t>
  </si>
  <si>
    <t>Purok 4B, Brgy. Gumalang, Baguio District, Davao City</t>
  </si>
  <si>
    <t>2600 State Route 11B</t>
  </si>
  <si>
    <t>28992 County Road 177</t>
  </si>
  <si>
    <t>1414 W Main St</t>
  </si>
  <si>
    <t>16849 County Road 6</t>
  </si>
  <si>
    <t>1000 Eagle Ridge Drive</t>
  </si>
  <si>
    <t>578 L&amp;C Distribution Park</t>
  </si>
  <si>
    <t>71 Stow Drive</t>
  </si>
  <si>
    <t>6284 McIntosh Road</t>
  </si>
  <si>
    <t>14900 Meridian Parkway</t>
  </si>
  <si>
    <t>6511 Golden Gate Dr.</t>
  </si>
  <si>
    <t>41804 CO Rd 170</t>
  </si>
  <si>
    <t>4225 E. Milestrip Rd</t>
  </si>
  <si>
    <t>8371 Lower Lake Road</t>
  </si>
  <si>
    <t>8557 Wolfrey Rd</t>
  </si>
  <si>
    <t>120730 County Rd. A</t>
  </si>
  <si>
    <t>Alfred State College, Rte 244</t>
  </si>
  <si>
    <t>7649 Oboe Ave</t>
  </si>
  <si>
    <t>5710 County Rd H</t>
  </si>
  <si>
    <t>20915 County 36</t>
  </si>
  <si>
    <t>S1709 Woods Ridge Rd</t>
  </si>
  <si>
    <t>3845 E 550 S</t>
  </si>
  <si>
    <t>56766 CR 43</t>
  </si>
  <si>
    <t>8901 Thompson Road</t>
  </si>
  <si>
    <t>1004 Goldman Lane</t>
  </si>
  <si>
    <t>832 Searles Hill Road</t>
  </si>
  <si>
    <t>W914 County Road R</t>
  </si>
  <si>
    <t>E16295 State Hwy 82</t>
  </si>
  <si>
    <t>11861 Karnes Road</t>
  </si>
  <si>
    <t>36A Quarry Road</t>
  </si>
  <si>
    <t>19967 Bolivar Rd</t>
  </si>
  <si>
    <t>644 East Side Road</t>
  </si>
  <si>
    <t>334 Cty Rd 22</t>
  </si>
  <si>
    <t>7735 S 075 W</t>
  </si>
  <si>
    <t>25 Quarry Road</t>
  </si>
  <si>
    <t>N10621 State Road 110</t>
  </si>
  <si>
    <t>1550 River Road</t>
  </si>
  <si>
    <t>N661 Sunny Dr</t>
  </si>
  <si>
    <t>837 Darlington Rd</t>
  </si>
  <si>
    <t>0365 W 350 S</t>
  </si>
  <si>
    <t>6690 W 600 S</t>
  </si>
  <si>
    <t>1437 Voak Rd.</t>
  </si>
  <si>
    <t>2111 Huth-Sayer Rd</t>
  </si>
  <si>
    <t>2555 S 375 W</t>
  </si>
  <si>
    <t>W4540 Porter Road</t>
  </si>
  <si>
    <t>3236 Gates Road</t>
  </si>
  <si>
    <t>3380 Penwell Bridge Road</t>
  </si>
  <si>
    <t>CALLE LOS ALAMOS NRO. 547 (ALT. CDRA 8 DE BASADRE) SAN ISIDRO - LIMA - LIMA</t>
  </si>
  <si>
    <t>2880  N. 112th Street</t>
  </si>
  <si>
    <t>510 Gilmore Ave.</t>
  </si>
  <si>
    <t>1474 Woodland Dr</t>
  </si>
  <si>
    <t>N9140 Oak Lane</t>
  </si>
  <si>
    <t>413 Ebenezer Church Road</t>
  </si>
  <si>
    <t>1735 N. Chester Rd.</t>
  </si>
  <si>
    <t>6249 N 200 E</t>
  </si>
  <si>
    <t>658 Twp Rd 1451</t>
  </si>
  <si>
    <t>447 Walnut Run Road</t>
  </si>
  <si>
    <t>4370 S 100 W</t>
  </si>
  <si>
    <t>2789 US Hwy 11</t>
  </si>
  <si>
    <t>476 Cold Springs Rd</t>
  </si>
  <si>
    <t>26221 County Highway V</t>
  </si>
  <si>
    <t>330 Stony Hill Rd</t>
  </si>
  <si>
    <t>654 Mt. Vernon Rd</t>
  </si>
  <si>
    <t>N1404 South Rd</t>
  </si>
  <si>
    <t>2410 26th Ave</t>
  </si>
  <si>
    <t>2839 County Rt 55</t>
  </si>
  <si>
    <t>20870 Sunnydale Road</t>
  </si>
  <si>
    <t>314 A Lamparter Rd.</t>
  </si>
  <si>
    <t>6028 Meadville Rd</t>
  </si>
  <si>
    <t>2969 Route 14</t>
  </si>
  <si>
    <t>10066 We Oler Rd</t>
  </si>
  <si>
    <t>18-A Shady Rd</t>
  </si>
  <si>
    <t>2284 Snyder Road</t>
  </si>
  <si>
    <t>2571 Main Street</t>
  </si>
  <si>
    <t>1053 West Hill Road</t>
  </si>
  <si>
    <t>21336 Koppert Road</t>
  </si>
  <si>
    <t>1815 Fords Bush Spur Road</t>
  </si>
  <si>
    <t>3924 Ridge Rd.</t>
  </si>
  <si>
    <t>6919 Morgan Creek Road</t>
  </si>
  <si>
    <t>1536 W Todd Drive</t>
  </si>
  <si>
    <t>441 West Antelope Road</t>
  </si>
  <si>
    <t>2330 Northpoint Pkwy.</t>
  </si>
  <si>
    <t>19775 Mill Rd</t>
  </si>
  <si>
    <t>17567 Cty Rd 1 NW</t>
  </si>
  <si>
    <t>4563 State Route 247</t>
  </si>
  <si>
    <t>4991 TR 419</t>
  </si>
  <si>
    <t>55 Brittain Road</t>
  </si>
  <si>
    <t>21695 County Road G</t>
  </si>
  <si>
    <t>15981 County Road F</t>
  </si>
  <si>
    <t>1829 110th Street</t>
  </si>
  <si>
    <t>10572 County Road 18</t>
  </si>
  <si>
    <t>E10094 Andy Miller Road</t>
  </si>
  <si>
    <t>8040 Criswell Road</t>
  </si>
  <si>
    <t>27250 Call Road</t>
  </si>
  <si>
    <t>28231 Northland Ave</t>
  </si>
  <si>
    <t>190 E. Mahoney Road</t>
  </si>
  <si>
    <t>96 Lantry Road</t>
  </si>
  <si>
    <t>Purok 1, San Agustin,</t>
  </si>
  <si>
    <t>26469 Kiln Avenue</t>
  </si>
  <si>
    <t>242 Hickory Hill Road</t>
  </si>
  <si>
    <t>1889 County Rte 37</t>
  </si>
  <si>
    <t>397 Steam Mill Rd</t>
  </si>
  <si>
    <t>2836 Quarter Road</t>
  </si>
  <si>
    <t>267 West Rd</t>
  </si>
  <si>
    <t>421 Hickory Hill Road</t>
  </si>
  <si>
    <t>1994 Bradley Pond Road</t>
  </si>
  <si>
    <t>60 Lamb Rd</t>
  </si>
  <si>
    <t>1398 Parker Street</t>
  </si>
  <si>
    <t>9506 Duff Road</t>
  </si>
  <si>
    <t>4863 Meadow Dr</t>
  </si>
  <si>
    <t>3454 Mike Daley Drive</t>
  </si>
  <si>
    <t>1950 North County Road C</t>
  </si>
  <si>
    <t>35750 Line School Road</t>
  </si>
  <si>
    <t>14649 Emerson Rd.</t>
  </si>
  <si>
    <t>616 Bunker Creek Road</t>
  </si>
  <si>
    <t>4580 Pringle Road</t>
  </si>
  <si>
    <t>S2895 Pine Hill Rd.</t>
  </si>
  <si>
    <t>292 Strickersville Rd</t>
  </si>
  <si>
    <t>583 County Route 3</t>
  </si>
  <si>
    <t>County Road 347</t>
  </si>
  <si>
    <t>0615 W 700 S</t>
  </si>
  <si>
    <t>32979 Pier Ridge Road</t>
  </si>
  <si>
    <t>Lot EI-2, EI-3, EI-4, Giao Long Industrial Park, An Phuoc Commune</t>
  </si>
  <si>
    <t>65, 65/1 Moo 5 Rama II Rd.</t>
  </si>
  <si>
    <t>9400 W. Main St.</t>
  </si>
  <si>
    <t>168 Borden Road</t>
  </si>
  <si>
    <t>16600 Beech Rd.</t>
  </si>
  <si>
    <t>6472 Egan Rd</t>
  </si>
  <si>
    <t>702 West Main Street</t>
  </si>
  <si>
    <t>5490 County Rd. Y</t>
  </si>
  <si>
    <t>4519 County Rd. 340</t>
  </si>
  <si>
    <t>5490 County Rd Y</t>
  </si>
  <si>
    <t>28520 WCR 72</t>
  </si>
  <si>
    <t>26788 State Highway 66</t>
  </si>
  <si>
    <t>342 Greenmount-Etonvale Road</t>
  </si>
  <si>
    <t>56 Seavey Rd</t>
  </si>
  <si>
    <t>Km.106, National Highway</t>
  </si>
  <si>
    <t>5731 West Slauson Avenue, Suite 210</t>
  </si>
  <si>
    <t>22788 Clarke Rd</t>
  </si>
  <si>
    <t>9825 Steiner Road</t>
  </si>
  <si>
    <t>590 Spring Hill Road</t>
  </si>
  <si>
    <t>W3835 West Jefferson Road.</t>
  </si>
  <si>
    <t>891 Baer Lane</t>
  </si>
  <si>
    <t>W4192 Bristol Rd</t>
  </si>
  <si>
    <t>4639 E Ridge Rd</t>
  </si>
  <si>
    <t>2148 S. Childrens Home Road</t>
  </si>
  <si>
    <t>40673 St Rt 180</t>
  </si>
  <si>
    <t>11150 Serenbe Lane</t>
  </si>
  <si>
    <t>1011 Fifth Street</t>
  </si>
  <si>
    <t>104904 Holton Rd</t>
  </si>
  <si>
    <t>600 West Chicago Avenue</t>
  </si>
  <si>
    <t>1240 County Road E</t>
  </si>
  <si>
    <t>775 Belden Ave Suite A</t>
  </si>
  <si>
    <t>119 Factory Road</t>
  </si>
  <si>
    <t>5630 Bean Road</t>
  </si>
  <si>
    <t>24364 Hamlet Rd</t>
  </si>
  <si>
    <t>2500 Clarks Corner Road</t>
  </si>
  <si>
    <t>11418 County Road 41</t>
  </si>
  <si>
    <t>546 Warren Road</t>
  </si>
  <si>
    <t>825 W 450 S</t>
  </si>
  <si>
    <t>645 Cardinal Road</t>
  </si>
  <si>
    <t>500 Academy Drive</t>
  </si>
  <si>
    <t>2549 State Hwy 26</t>
  </si>
  <si>
    <t>N1405 Sauk Trail Road</t>
  </si>
  <si>
    <t>S8905 S Shale Ridge Rd</t>
  </si>
  <si>
    <t>11580 Cowman Road</t>
  </si>
  <si>
    <t>2157 Huth Sayer Road</t>
  </si>
  <si>
    <t>3092 State Hwy 37</t>
  </si>
  <si>
    <t>2477 Hickory Hill Road</t>
  </si>
  <si>
    <t>30312 Kirkwood Ave</t>
  </si>
  <si>
    <t>20362 Jupiter Road</t>
  </si>
  <si>
    <t>E 10816 Shortcut Rd</t>
  </si>
  <si>
    <t>8063 Evans Road</t>
  </si>
  <si>
    <t>1827 N. Ainger Rd.</t>
  </si>
  <si>
    <t>218 Schad Road</t>
  </si>
  <si>
    <t>N5462 Cty Rd J</t>
  </si>
  <si>
    <t>408 Wengerd Road</t>
  </si>
  <si>
    <t>20125 Sunny Lane</t>
  </si>
  <si>
    <t>37 Cotter Road</t>
  </si>
  <si>
    <t>732 Pyrites Russell Rd</t>
  </si>
  <si>
    <t>2457 Stumptown Road</t>
  </si>
  <si>
    <t>2941 23 3/4 St</t>
  </si>
  <si>
    <t>848 Hahnel Rd</t>
  </si>
  <si>
    <t>1910 Doran Rd</t>
  </si>
  <si>
    <t>356 Liberty Lane</t>
  </si>
  <si>
    <t>2570 Co Rt 37</t>
  </si>
  <si>
    <t>295 Lansingville Rd</t>
  </si>
  <si>
    <t>Lot K, Phong Nam Industrial Cluster - Cottage Industry</t>
  </si>
  <si>
    <t>340 Maple Shade Road</t>
  </si>
  <si>
    <t>340 Booker Rd</t>
  </si>
  <si>
    <t>316 Eden Road</t>
  </si>
  <si>
    <t>8040 Willow Grove Rd</t>
  </si>
  <si>
    <t>7484 Rice Rd</t>
  </si>
  <si>
    <t>792 Fords Bush Road</t>
  </si>
  <si>
    <t>118 Todd Rd.</t>
  </si>
  <si>
    <t>3215 Llano Road</t>
  </si>
  <si>
    <t>319 Beechwood Rd.</t>
  </si>
  <si>
    <t>W6260 County Road VV</t>
  </si>
  <si>
    <t>1762 West 20 South #100</t>
  </si>
  <si>
    <t>7981 Skeels Rd</t>
  </si>
  <si>
    <t>275 County Road 20</t>
  </si>
  <si>
    <t>18622 Dixie Drive</t>
  </si>
  <si>
    <t>12800 Highway 1</t>
  </si>
  <si>
    <t>6544 Paris Ave NE</t>
  </si>
  <si>
    <t>533 Hayes Rd</t>
  </si>
  <si>
    <t>1503 Kellogg Road</t>
  </si>
  <si>
    <t>S-769 Dell Rd</t>
  </si>
  <si>
    <t>636 Hagens Road</t>
  </si>
  <si>
    <t>1972 Highway 76</t>
  </si>
  <si>
    <t>22188 Highway 1</t>
  </si>
  <si>
    <t>W1799 County Road T</t>
  </si>
  <si>
    <t>5054 W Fountain City Pike</t>
  </si>
  <si>
    <t>2473 Vineyard Rd</t>
  </si>
  <si>
    <t>3308 County H</t>
  </si>
  <si>
    <t>13085 N. Elyria Rd.</t>
  </si>
  <si>
    <t>1565 280Th Street</t>
  </si>
  <si>
    <t>225 Sage Road</t>
  </si>
  <si>
    <t>601 Coveytown Road</t>
  </si>
  <si>
    <t>S 6520 County Rd J</t>
  </si>
  <si>
    <t>39736 275th St</t>
  </si>
  <si>
    <t>60 W 350 S</t>
  </si>
  <si>
    <t>15 Bouchard Rd</t>
  </si>
  <si>
    <t>2891 US Highway 12</t>
  </si>
  <si>
    <t>19659 Amberson Rd.</t>
  </si>
  <si>
    <t>3116 West Hill Road</t>
  </si>
  <si>
    <t>7772 Tater Rd</t>
  </si>
  <si>
    <t>3649 S. Hanover Saluda Road</t>
  </si>
  <si>
    <t>28040 Omega Rd.</t>
  </si>
  <si>
    <t>5400 Spencer Road</t>
  </si>
  <si>
    <t>1945 60th Avenue</t>
  </si>
  <si>
    <t>1013 SE 70th St.</t>
  </si>
  <si>
    <t>1219 Coddington Rd</t>
  </si>
  <si>
    <t>50250 Ray Duncan Road</t>
  </si>
  <si>
    <t>W669 Century Rd.</t>
  </si>
  <si>
    <t>5070 Twp Rd 629</t>
  </si>
  <si>
    <t>315 Heimann Road</t>
  </si>
  <si>
    <t>N7589 County Road K</t>
  </si>
  <si>
    <t>26700 Saint Peters Road</t>
  </si>
  <si>
    <t>399 Upper Road</t>
  </si>
  <si>
    <t>136 Howitt Rd.</t>
  </si>
  <si>
    <t>2608 MLK DR</t>
  </si>
  <si>
    <t>935 County Route 28</t>
  </si>
  <si>
    <t>2335 State Highway 23</t>
  </si>
  <si>
    <t>458 Royal Lane</t>
  </si>
  <si>
    <t>7758 Greenbush Road</t>
  </si>
  <si>
    <t>2700 W. 5th Ave.</t>
  </si>
  <si>
    <t>22184 285th Ave.</t>
  </si>
  <si>
    <t>230 Court Square</t>
  </si>
  <si>
    <t>W301 Buffalo Ridge Lane</t>
  </si>
  <si>
    <t>5821 Cheningo Rd</t>
  </si>
  <si>
    <t>8109 County Highway N</t>
  </si>
  <si>
    <t>1625  Collins Marsh Rd.</t>
  </si>
  <si>
    <t>3458 James Road</t>
  </si>
  <si>
    <t>N12737 Resewood Ave</t>
  </si>
  <si>
    <t>1002 Coveytown Rd</t>
  </si>
  <si>
    <t>421 Trumpass Road</t>
  </si>
  <si>
    <t>3379 Jackson Hill Road</t>
  </si>
  <si>
    <t>9383 West Waneta Lake Rd</t>
  </si>
  <si>
    <t>236 Critchfield Road</t>
  </si>
  <si>
    <t>10139 Church Hill Road</t>
  </si>
  <si>
    <t>6009 Dean Rd</t>
  </si>
  <si>
    <t>W12699 State Road 54</t>
  </si>
  <si>
    <t>W12308 St. Rd. 54</t>
  </si>
  <si>
    <t>975 Ayers Rd</t>
  </si>
  <si>
    <t>18041 Threlkeld Lane</t>
  </si>
  <si>
    <t>36,</t>
  </si>
  <si>
    <t>414 Sunset Drive</t>
  </si>
  <si>
    <t>1073 Fulmor Road</t>
  </si>
  <si>
    <t>1250 E. Lathrop Rd.</t>
  </si>
  <si>
    <t>1140 South Rockefeller Avenue</t>
  </si>
  <si>
    <t>100 Old Jaffrey Rd.</t>
  </si>
  <si>
    <t>129 Dyer Rd.</t>
  </si>
  <si>
    <t>4630 W 700 S</t>
  </si>
  <si>
    <t>2720 S 200 W</t>
  </si>
  <si>
    <t>S2899 Pine Hill Rd.</t>
  </si>
  <si>
    <t>13971 Bay Road</t>
  </si>
  <si>
    <t>03A Camino de Paz</t>
  </si>
  <si>
    <t>2954 Middle Sattre Rd</t>
  </si>
  <si>
    <t>3955 Johnson Road</t>
  </si>
  <si>
    <t>42067 HWY 226</t>
  </si>
  <si>
    <t>4905 Gravestein Hwy. South</t>
  </si>
  <si>
    <t>W 4861 Moore Road</t>
  </si>
  <si>
    <t>2320 Ducharme Rd.</t>
  </si>
  <si>
    <t>307 East Holl Rd</t>
  </si>
  <si>
    <t>2163 Hunter Hill Road</t>
  </si>
  <si>
    <t>3595 Pavonia N Road</t>
  </si>
  <si>
    <t>E6724 Echo Road</t>
  </si>
  <si>
    <t>300 State Hwy 27</t>
  </si>
  <si>
    <t>2245 Clinton St</t>
  </si>
  <si>
    <t>5816E Jefferson Pike</t>
  </si>
  <si>
    <t>39 Richmond Hill Rd</t>
  </si>
  <si>
    <t>269 Moo1</t>
  </si>
  <si>
    <t>5726 Landon Avenue South West</t>
  </si>
  <si>
    <t>E5904 Mill Road</t>
  </si>
  <si>
    <t>31654 Township Road 235</t>
  </si>
  <si>
    <t>1120 Holm Rd.</t>
  </si>
  <si>
    <t>8735 Wamble Road</t>
  </si>
  <si>
    <t>9620 132nd St. E</t>
  </si>
  <si>
    <t>200 S. Virginia St, Suite 800</t>
  </si>
  <si>
    <t>10570 Fountain School Road</t>
  </si>
  <si>
    <t>105 White Road</t>
  </si>
  <si>
    <t>860 Wright Rd</t>
  </si>
  <si>
    <t>2412 540th St SW</t>
  </si>
  <si>
    <t>170 Saner Road</t>
  </si>
  <si>
    <t>84 Creasey Ridge Road</t>
  </si>
  <si>
    <t>627 Salem Rd.</t>
  </si>
  <si>
    <t>74 Chase Hill Road</t>
  </si>
  <si>
    <t>115 Chase Road</t>
  </si>
  <si>
    <t>7253 Bowers Rd</t>
  </si>
  <si>
    <t>111 Business Park Drive</t>
  </si>
  <si>
    <t>8811 State Route 274</t>
  </si>
  <si>
    <t>W10351 County Road JJ</t>
  </si>
  <si>
    <t>3325 Howard Davis Road</t>
  </si>
  <si>
    <t>311 Nicholas C. Schouten Ln.</t>
  </si>
  <si>
    <t>1707 Beech Rd</t>
  </si>
  <si>
    <t>348 Niskayuna Road</t>
  </si>
  <si>
    <t>22 Phelps Rd</t>
  </si>
  <si>
    <t>10304 East Surrey Rd</t>
  </si>
  <si>
    <t>386 Mt. Pleasant Road</t>
  </si>
  <si>
    <t>128 Wild Rose Ln.</t>
  </si>
  <si>
    <t>5185 Triple Z Drive</t>
  </si>
  <si>
    <t>E11381 County Road D</t>
  </si>
  <si>
    <t>369 Roosevelt Road</t>
  </si>
  <si>
    <t>807 N. Church St.</t>
  </si>
  <si>
    <t>432 Haiti Road</t>
  </si>
  <si>
    <t>1367 Crosscut Rd</t>
  </si>
  <si>
    <t>2963 Miller Lane</t>
  </si>
  <si>
    <t>988 Coffee Creek Rd.</t>
  </si>
  <si>
    <t>2980 N 400 E</t>
  </si>
  <si>
    <t>172 Branch Road</t>
  </si>
  <si>
    <t>35843 Elm Ridge Road</t>
  </si>
  <si>
    <t>431 Russell Street</t>
  </si>
  <si>
    <t>5058 Route 11</t>
  </si>
  <si>
    <t>2506 Blue School Rd</t>
  </si>
  <si>
    <t>2675 E 150 N</t>
  </si>
  <si>
    <t>17838 25th Street SE</t>
  </si>
  <si>
    <t>3050 S. 200 W.</t>
  </si>
  <si>
    <t>Rodovia Rod. SP 197 Km 18, s/n – Rural</t>
  </si>
  <si>
    <t>67 New Schaefferstown Rd</t>
  </si>
  <si>
    <t>W7132 Popple River Rd</t>
  </si>
  <si>
    <t>10750 W 500 S</t>
  </si>
  <si>
    <t>692 County Route 17</t>
  </si>
  <si>
    <t>Quadra 3, Conjunto B, Lote 52 - Setor Laboratorial Experimental de Micro Indústria do Paranoá DF - Asa Norte</t>
  </si>
  <si>
    <t>2300 Edenville Road</t>
  </si>
  <si>
    <t>2590 Clear Creek Road</t>
  </si>
  <si>
    <t>48791 Elkhart Pl</t>
  </si>
  <si>
    <t>10244 State Rte 38</t>
  </si>
  <si>
    <t>485 Fordsbush Road</t>
  </si>
  <si>
    <t>87 Quarry Road</t>
  </si>
  <si>
    <t>159 Atkinson Rd.</t>
  </si>
  <si>
    <t>91 Lakeville St.</t>
  </si>
  <si>
    <t>11623 County Rd 78</t>
  </si>
  <si>
    <t>9001 Whiskey Bottom Rd.</t>
  </si>
  <si>
    <t>2023 Preble Rd</t>
  </si>
  <si>
    <t>10921 Reed Hartman Highway Suite 304A</t>
  </si>
  <si>
    <t>Barangay San Bartolome, San Pablo City</t>
  </si>
  <si>
    <t>218 South Birch Street</t>
  </si>
  <si>
    <t>200 Old Mountain Road</t>
  </si>
  <si>
    <t>515 280th St</t>
  </si>
  <si>
    <t>31127 100 Ave.</t>
  </si>
  <si>
    <t>7176 CR 101</t>
  </si>
  <si>
    <t>18700 Main Street</t>
  </si>
  <si>
    <t>12495 N Pleasant Hill Rd</t>
  </si>
  <si>
    <t>7530 S 075 W</t>
  </si>
  <si>
    <t>397 East 8500 South</t>
  </si>
  <si>
    <t>10771 Cook Road</t>
  </si>
  <si>
    <t>170 Truce Road</t>
  </si>
  <si>
    <t>4648 Otto Rd</t>
  </si>
  <si>
    <t>580 Hardin Rd</t>
  </si>
  <si>
    <t>500 CR 35</t>
  </si>
  <si>
    <t>1490 Cader Lane</t>
  </si>
  <si>
    <t>13431 KLAUS LN</t>
  </si>
  <si>
    <t>2751 Thompson Hill Rd</t>
  </si>
  <si>
    <t>2025 Christensen Lane</t>
  </si>
  <si>
    <t>3791 County Road 82</t>
  </si>
  <si>
    <t>918 Armstrong Road</t>
  </si>
  <si>
    <t>426 66th St.</t>
  </si>
  <si>
    <t>12570 North Davis Road</t>
  </si>
  <si>
    <t>5151 N. Bannock St. Ste. 12</t>
  </si>
  <si>
    <t>11917 Snug Harbor Lane</t>
  </si>
  <si>
    <t>9670 County Road 3</t>
  </si>
  <si>
    <t>428A Washingtonville Road</t>
  </si>
  <si>
    <t>502 Brown St.</t>
  </si>
  <si>
    <t>350 Patterson Rd</t>
  </si>
  <si>
    <t>1873 Route 26</t>
  </si>
  <si>
    <t>E16538 County Road V</t>
  </si>
  <si>
    <t>44301 Cross Island Rd</t>
  </si>
  <si>
    <t>8686 South Rio Vista</t>
  </si>
  <si>
    <t>2392 Rt 230</t>
  </si>
  <si>
    <t>415 Kansas Ave</t>
  </si>
  <si>
    <t>572 Highway 1</t>
  </si>
  <si>
    <t>80 Old Holtwood Rd</t>
  </si>
  <si>
    <t>439 North Creek Rd</t>
  </si>
  <si>
    <t>1688 178th Ave</t>
  </si>
  <si>
    <t>862 S 200 E</t>
  </si>
  <si>
    <t>17866 St Hwy 33</t>
  </si>
  <si>
    <t>W16663 County Road V</t>
  </si>
  <si>
    <t>3332 Havens Cr Rd</t>
  </si>
  <si>
    <t>2100 N Hwy 81</t>
  </si>
  <si>
    <t>W12555 Cutoff Rd</t>
  </si>
  <si>
    <t>2438 S. Bingham Street</t>
  </si>
  <si>
    <t>Desa Tangkisan, Kec. Mrebet</t>
  </si>
  <si>
    <t>W 3730 Freeborn Road</t>
  </si>
  <si>
    <t>2535 Third Street</t>
  </si>
  <si>
    <t>832 East Arthur Avenue</t>
  </si>
  <si>
    <t>305 W U.S. HWY 54</t>
  </si>
  <si>
    <t>453 Valley Dr.</t>
  </si>
  <si>
    <t>323 East Washington St</t>
  </si>
  <si>
    <t>9270 W 200 S</t>
  </si>
  <si>
    <t>389 Minots Corner Road</t>
  </si>
  <si>
    <t>2575 Ebenezer Road</t>
  </si>
  <si>
    <t>2090 St Hwy 37</t>
  </si>
  <si>
    <t>1375 Fairbank Amish Boulevard</t>
  </si>
  <si>
    <t>W1969 County Road N</t>
  </si>
  <si>
    <t>E17995 Western Rd</t>
  </si>
  <si>
    <t>603 Lititz Road</t>
  </si>
  <si>
    <t>6372 County Road 59</t>
  </si>
  <si>
    <t>0130 S 900 W</t>
  </si>
  <si>
    <t>720 County Highway 29</t>
  </si>
  <si>
    <t>626 County Rt. 2</t>
  </si>
  <si>
    <t>7334 Palmer Road</t>
  </si>
  <si>
    <t>106 Toy Cow Lane</t>
  </si>
  <si>
    <t>243749 Beaver Creek Rd.</t>
  </si>
  <si>
    <t>W1938 County H</t>
  </si>
  <si>
    <t>N2092 County Road B</t>
  </si>
  <si>
    <t>28279 Monarch Ave</t>
  </si>
  <si>
    <t>N3128 County Road W</t>
  </si>
  <si>
    <t>3201 Maple St. Rd.</t>
  </si>
  <si>
    <t>0250 S SR5</t>
  </si>
  <si>
    <t>661 Smith Road</t>
  </si>
  <si>
    <t>2527 TR 406</t>
  </si>
  <si>
    <t>45 Lamparter Road</t>
  </si>
  <si>
    <t>14188 County Road 34</t>
  </si>
  <si>
    <t>7732 St Rt 12</t>
  </si>
  <si>
    <t>4952 Township Road 117</t>
  </si>
  <si>
    <t>1348 State Hwy 80</t>
  </si>
  <si>
    <t>249 Reagen Flats Road</t>
  </si>
  <si>
    <t>30 Little River Road</t>
  </si>
  <si>
    <t>78 Locust Lane</t>
  </si>
  <si>
    <t>7751 State Route 534</t>
  </si>
  <si>
    <t>560 N Adams Rd</t>
  </si>
  <si>
    <t>6139 Township Road 605</t>
  </si>
  <si>
    <t>8002 Willow Grove Rd</t>
  </si>
  <si>
    <t>3825 Wing Street</t>
  </si>
  <si>
    <t>3270-B West Newport Rd</t>
  </si>
  <si>
    <t>14770 County Hwy 35</t>
  </si>
  <si>
    <t>61134 Wall Ridge Road</t>
  </si>
  <si>
    <t>S 9230 South Shale Ridge Rd</t>
  </si>
  <si>
    <t>7140 Gordon Road</t>
  </si>
  <si>
    <t>39 White Rock Rd</t>
  </si>
  <si>
    <t>5178 Mount Davis Road</t>
  </si>
  <si>
    <t>431 CR 2</t>
  </si>
  <si>
    <t>2704 Rockdale Rd</t>
  </si>
  <si>
    <t>814 Suplee Road</t>
  </si>
  <si>
    <t>W2231 Panther Creek Road</t>
  </si>
  <si>
    <t>1495 West Blaine Road</t>
  </si>
  <si>
    <t>8271 Ballard Road</t>
  </si>
  <si>
    <t>721 Siegfriedale Rd</t>
  </si>
  <si>
    <t>130 Staring Lane</t>
  </si>
  <si>
    <t>W9902 Czech Road</t>
  </si>
  <si>
    <t>95115 Hwy. 42 S</t>
  </si>
  <si>
    <t>597 West Hill Road</t>
  </si>
  <si>
    <t>157 Tacey Rd</t>
  </si>
  <si>
    <t>378 McKinley Rd</t>
  </si>
  <si>
    <t>305 Mahoney Rd</t>
  </si>
  <si>
    <t>676 West Hill Road</t>
  </si>
  <si>
    <t>6024 W Southern Ave</t>
  </si>
  <si>
    <t>S1309A Town Road 57</t>
  </si>
  <si>
    <t>6542 Cream City Road</t>
  </si>
  <si>
    <t>3784 Grizzly Bluff Rd.</t>
  </si>
  <si>
    <t>57571 Hwy 438</t>
  </si>
  <si>
    <t>346 Jorgensen Rd.</t>
  </si>
  <si>
    <t>16922 Footville Brodhead Road</t>
  </si>
  <si>
    <t>8076 W. E. Oler Rd</t>
  </si>
  <si>
    <t>2265 South 00 EW</t>
  </si>
  <si>
    <t>31833 County Road 343</t>
  </si>
  <si>
    <t>0795 S 375 W</t>
  </si>
  <si>
    <t>2261 TR 414</t>
  </si>
  <si>
    <t>2167 Countyline Road</t>
  </si>
  <si>
    <t>5905 E 300 S</t>
  </si>
  <si>
    <t>E16604A State Highway 82</t>
  </si>
  <si>
    <t>2866 Old Philadelphia Pike</t>
  </si>
  <si>
    <t>2675 N 100 E</t>
  </si>
  <si>
    <t>453 Brighton Road</t>
  </si>
  <si>
    <t>631 Cold Springs Road</t>
  </si>
  <si>
    <t>5770 Anderson Road</t>
  </si>
  <si>
    <t>25119 Hwy 53</t>
  </si>
  <si>
    <t>1961 East Winter Road</t>
  </si>
  <si>
    <t>369 Long Lane</t>
  </si>
  <si>
    <t>720 Ashville Rd</t>
  </si>
  <si>
    <t>142 Geywits Road</t>
  </si>
  <si>
    <t>5119 TR 613</t>
  </si>
  <si>
    <t>26804 Juneberry Ave</t>
  </si>
  <si>
    <t>179 Pavlus Road</t>
  </si>
  <si>
    <t>526 Maple Ridge Rd</t>
  </si>
  <si>
    <t>678 Sinking Creek Road</t>
  </si>
  <si>
    <t>19571 170th St</t>
  </si>
  <si>
    <t>490 Scanlon Road</t>
  </si>
  <si>
    <t>19053 Route 75 S</t>
  </si>
  <si>
    <t>9350 West 500 South</t>
  </si>
  <si>
    <t>1437 Crosscut Road</t>
  </si>
  <si>
    <t>5568 County Rd 59</t>
  </si>
  <si>
    <t>271 CR 25</t>
  </si>
  <si>
    <t>358 Fiery Hill Road</t>
  </si>
  <si>
    <t>S609 County Road D</t>
  </si>
  <si>
    <t>5020 TR 353</t>
  </si>
  <si>
    <t>1512 Burrel Rd</t>
  </si>
  <si>
    <t>4340 W 450 N</t>
  </si>
  <si>
    <t>4733 Root Rd</t>
  </si>
  <si>
    <t>55774 CR 43</t>
  </si>
  <si>
    <t>3375 S 150 W</t>
  </si>
  <si>
    <t>2497 McElwee Road</t>
  </si>
  <si>
    <t>3903A Arquint Rd</t>
  </si>
  <si>
    <t>1559 Stone Arabia Road</t>
  </si>
  <si>
    <t>3155 County Road 138</t>
  </si>
  <si>
    <t>543 Todd Road</t>
  </si>
  <si>
    <t>27482 Turkey Hill Rd</t>
  </si>
  <si>
    <t>5666 Anderson Rd</t>
  </si>
  <si>
    <t>5455 Fountain City Pike</t>
  </si>
  <si>
    <t>328 Bartville Road</t>
  </si>
  <si>
    <t>11786 Ted Davis Rd</t>
  </si>
  <si>
    <t>N6045 Romadka Road</t>
  </si>
  <si>
    <t>2380 South 375 West</t>
  </si>
  <si>
    <t>215 Sweet Grass Lane</t>
  </si>
  <si>
    <t>1840 Moore Hills Road</t>
  </si>
  <si>
    <t>2500 Zerbe Road</t>
  </si>
  <si>
    <t>1736 Furniss Road</t>
  </si>
  <si>
    <t>1598 Lapland Rd</t>
  </si>
  <si>
    <t>30200 Whipple Rd.</t>
  </si>
  <si>
    <t>850 Waterfall Rd.</t>
  </si>
  <si>
    <t>4831 Highway 42</t>
  </si>
  <si>
    <t>113 Powers Rd</t>
  </si>
  <si>
    <t>11734 CR 34</t>
  </si>
  <si>
    <t>11125 County Road 16</t>
  </si>
  <si>
    <t>1813 East 3100 South</t>
  </si>
  <si>
    <t>26348 CTY Road T</t>
  </si>
  <si>
    <t>3128 Blakley Rd</t>
  </si>
  <si>
    <t>4960 A Diamond Mountain Rd.</t>
  </si>
  <si>
    <t>1001 Brickell Bay Drive</t>
  </si>
  <si>
    <t>5061 South 7 Mile Road</t>
  </si>
  <si>
    <t>3155 CA-211</t>
  </si>
  <si>
    <t>12374 County Road 30</t>
  </si>
  <si>
    <t>4370 W 200 N</t>
  </si>
  <si>
    <t>7313 West 1050 South</t>
  </si>
  <si>
    <t>1842 State Route 169</t>
  </si>
  <si>
    <t>1656 Lafler Rd</t>
  </si>
  <si>
    <t>1491 State Hwy 37</t>
  </si>
  <si>
    <t>421 Sonoma Mountain Rd.</t>
  </si>
  <si>
    <t>583 County Route 6</t>
  </si>
  <si>
    <t>1731 560th St SW</t>
  </si>
  <si>
    <t>16569 County Highway 47</t>
  </si>
  <si>
    <t>12878 County Highway D</t>
  </si>
  <si>
    <t>15802 Elk Hollow Drive</t>
  </si>
  <si>
    <t>8370 W 300 S</t>
  </si>
  <si>
    <t>3365-W 100 N</t>
  </si>
  <si>
    <t>25117 County Road 50</t>
  </si>
  <si>
    <t>1053 Coveytown Rd</t>
  </si>
  <si>
    <t>29757 231st Lane</t>
  </si>
  <si>
    <t>646 Horningford Road</t>
  </si>
  <si>
    <t>N50666 Hogstad Rd</t>
  </si>
  <si>
    <t>6805 W 400 S</t>
  </si>
  <si>
    <t>2775 N 250 W</t>
  </si>
  <si>
    <t>5131 Swamp Road</t>
  </si>
  <si>
    <t>1275 N 925 W</t>
  </si>
  <si>
    <t>5855 W 100 S</t>
  </si>
  <si>
    <t>900 S G Ranch Rd.</t>
  </si>
  <si>
    <t>5857 State Route 10</t>
  </si>
  <si>
    <t>100 Price Creek Rd.</t>
  </si>
  <si>
    <t>5049 Flat Rock Rd</t>
  </si>
  <si>
    <t>9420 Valley Ford Road</t>
  </si>
  <si>
    <t>90 Chelan Ranch Road</t>
  </si>
  <si>
    <t>3390 Valley Road</t>
  </si>
  <si>
    <t>17349 Neumann Drive</t>
  </si>
  <si>
    <t>4576 State Road 23 N</t>
  </si>
  <si>
    <t>10049 Petaluma Point Reyes Rd.</t>
  </si>
  <si>
    <t>10049 Petaluma-Point Reyes Road</t>
  </si>
  <si>
    <t>2065 State Highway 12</t>
  </si>
  <si>
    <t>W 8112 Sylvester Rd</t>
  </si>
  <si>
    <t>38753 260th Ave</t>
  </si>
  <si>
    <t>5997 Sayles Corners Road</t>
  </si>
  <si>
    <t>21668 Jim Town Dr.</t>
  </si>
  <si>
    <t>8645 W 100 S</t>
  </si>
  <si>
    <t>1040 Irwin Ln.</t>
  </si>
  <si>
    <t>1375 W 500 South</t>
  </si>
  <si>
    <t>N 13382 Cty Rd E</t>
  </si>
  <si>
    <t>N7636 North Odeen Rd</t>
  </si>
  <si>
    <t>25680 Sir Francis Drake Blvd.</t>
  </si>
  <si>
    <t>W 7170 County N</t>
  </si>
  <si>
    <t>15516 295th Street</t>
  </si>
  <si>
    <t>4422 Dixon Rd</t>
  </si>
  <si>
    <t>2280 West Tyler St</t>
  </si>
  <si>
    <t>21000 Sir Francis Drake Blvd</t>
  </si>
  <si>
    <t>8877 Table Bluff Rd</t>
  </si>
  <si>
    <t>401 Broadway Suite 2201</t>
  </si>
  <si>
    <t>5880 W U.S. 20</t>
  </si>
  <si>
    <t>6215 N 37 Rd.</t>
  </si>
  <si>
    <t>134 Henderson Hill Rd.</t>
  </si>
  <si>
    <t>N3349 Hale Road</t>
  </si>
  <si>
    <t>29 Robert Pitt Drive</t>
  </si>
  <si>
    <t>1648 Pleasant Plain Rd</t>
  </si>
  <si>
    <t>469 VanAlstine Rd</t>
  </si>
  <si>
    <t>211 Castle Hill Rd.</t>
  </si>
  <si>
    <t>2063 Pulver Road</t>
  </si>
  <si>
    <t>5434 20th St</t>
  </si>
  <si>
    <t>15888 Sand Hill Dr</t>
  </si>
  <si>
    <t>140 Cass Street</t>
  </si>
  <si>
    <t>34928 183rd Ave.</t>
  </si>
  <si>
    <t>3173 N. 4900 E.</t>
  </si>
  <si>
    <t>842 Canton Point Rd</t>
  </si>
  <si>
    <t>4830 W. Lightening Road</t>
  </si>
  <si>
    <t>32793 173rd St.</t>
  </si>
  <si>
    <t>1060 Collier Center Way</t>
  </si>
  <si>
    <t>2143 SE Lafayette Street</t>
  </si>
  <si>
    <t>1381 Dairy Lane</t>
  </si>
  <si>
    <t>N 3767 Duncan Hill Road</t>
  </si>
  <si>
    <t>259 Eggleston Road</t>
  </si>
  <si>
    <t>10855 Hwy K South</t>
  </si>
  <si>
    <t>22324 436th SE</t>
  </si>
  <si>
    <t>6382 19th Rd</t>
  </si>
  <si>
    <t>701 Tecumseh Rd.</t>
  </si>
  <si>
    <t>12450 Dredge Road</t>
  </si>
  <si>
    <t>7906 Rte 62</t>
  </si>
  <si>
    <t>S14338 County Road M</t>
  </si>
  <si>
    <t>11927 255th St.</t>
  </si>
  <si>
    <t>6119 Meadville Road</t>
  </si>
  <si>
    <t>581 TWP Road 1451</t>
  </si>
  <si>
    <t>575 Maple Ridge Rd</t>
  </si>
  <si>
    <t>40 Johnny Cake Hill Rd</t>
  </si>
  <si>
    <t>140 310th St.</t>
  </si>
  <si>
    <t>27696 State Hwy. 23</t>
  </si>
  <si>
    <t>7736 Morgan Creek Rd</t>
  </si>
  <si>
    <t>7914 Hall Road</t>
  </si>
  <si>
    <t>237922 Silver Leaf Road</t>
  </si>
  <si>
    <t>166 Brungard Lane</t>
  </si>
  <si>
    <t>241 Brookman's Corner Road</t>
  </si>
  <si>
    <t>221 Springville Rd</t>
  </si>
  <si>
    <t>5214 Youngers Rd</t>
  </si>
  <si>
    <t>5120 State Route 96A</t>
  </si>
  <si>
    <t>13787 County Rd 701</t>
  </si>
  <si>
    <t>36167 County Road 89</t>
  </si>
  <si>
    <t>284 Zook's Lane</t>
  </si>
  <si>
    <t>5167 Township Road 117</t>
  </si>
  <si>
    <t>1398 County Road E</t>
  </si>
  <si>
    <t>27267 Mint Avenue</t>
  </si>
  <si>
    <t>545 McShane Rd</t>
  </si>
  <si>
    <t>224 England Rd</t>
  </si>
  <si>
    <t>3400 US Highway 11</t>
  </si>
  <si>
    <t>315 West Hill Road</t>
  </si>
  <si>
    <t>20386 Juneau Rd</t>
  </si>
  <si>
    <t>366 Summy Drive</t>
  </si>
  <si>
    <t>300 Forest Hill Road</t>
  </si>
  <si>
    <t>N4111 Beck Rd</t>
  </si>
  <si>
    <t>741 Lazy River Rd</t>
  </si>
  <si>
    <t>3896 Brokaw Rd</t>
  </si>
  <si>
    <t>224 Keenan Road</t>
  </si>
  <si>
    <t>6954 N. Edgerton Road</t>
  </si>
  <si>
    <t>N577 County Highway M</t>
  </si>
  <si>
    <t>384 Stone Arabia Rd</t>
  </si>
  <si>
    <t>1064 Maxon Rd</t>
  </si>
  <si>
    <t>191 Groff Road</t>
  </si>
  <si>
    <t>25946 County Road U</t>
  </si>
  <si>
    <t>97 Soft Run Lane</t>
  </si>
  <si>
    <t>2016 District Road</t>
  </si>
  <si>
    <t>1545 State Highway 37C</t>
  </si>
  <si>
    <t>9921 Wayne Center Rose Road</t>
  </si>
  <si>
    <t>3096 Township Road 110</t>
  </si>
  <si>
    <t>4013 Dundee Himrod Rd</t>
  </si>
  <si>
    <t>594-A Strasburg Road</t>
  </si>
  <si>
    <t>130 Bethel Road</t>
  </si>
  <si>
    <t>4610 North County Road 850 West</t>
  </si>
  <si>
    <t>814 Pleasant Hill School Road</t>
  </si>
  <si>
    <t>4045 CR 168</t>
  </si>
  <si>
    <t>1120 S. 250 W.</t>
  </si>
  <si>
    <t>540 Sawmill Rd</t>
  </si>
  <si>
    <t>27237 Turkey Hill Road</t>
  </si>
  <si>
    <t>9080 W 500 S</t>
  </si>
  <si>
    <t>7310 S 300 W</t>
  </si>
  <si>
    <t>4519 Stever Hill Road</t>
  </si>
  <si>
    <t>3892 County Highway H</t>
  </si>
  <si>
    <t>3658 Route 74W</t>
  </si>
  <si>
    <t>S 1811 Sandhill Road</t>
  </si>
  <si>
    <t>3090 Locust Run Road</t>
  </si>
  <si>
    <t>104092 Draper Road</t>
  </si>
  <si>
    <t>125 Reardon Rd</t>
  </si>
  <si>
    <t>11221 Fitch Farm Road</t>
  </si>
  <si>
    <t>120 Blow Rd</t>
  </si>
  <si>
    <t>2070 Swan Rd</t>
  </si>
  <si>
    <t>307 Townline Road</t>
  </si>
  <si>
    <t>E10413 ADM Lane</t>
  </si>
  <si>
    <t>1036 West Hill Rd</t>
  </si>
  <si>
    <t>4831 State Hwy 10</t>
  </si>
  <si>
    <t>9386 Bull Hill Rd</t>
  </si>
  <si>
    <t>12722 245th Street</t>
  </si>
  <si>
    <t>241784 Cty Rd M</t>
  </si>
  <si>
    <t>11274 County Rd 36</t>
  </si>
  <si>
    <t>2060 County Line Road</t>
  </si>
  <si>
    <t>1248 S. Roosevelt Rd. #4</t>
  </si>
  <si>
    <t>182 Sunnyside Road</t>
  </si>
  <si>
    <t>1963 Jordanville Road</t>
  </si>
  <si>
    <t>115 Hall Road</t>
  </si>
  <si>
    <t>135 County Route 9</t>
  </si>
  <si>
    <t>106 Cotter Road</t>
  </si>
  <si>
    <t>4508 W ROHR Rd</t>
  </si>
  <si>
    <t>238 Carey Rd</t>
  </si>
  <si>
    <t>4320 Holbrook Rd.</t>
  </si>
  <si>
    <t>N4328 County Road T</t>
  </si>
  <si>
    <t>8650 Upper Lake Road</t>
  </si>
  <si>
    <t>17607 Rte 75 S.</t>
  </si>
  <si>
    <t>1017 County Road J</t>
  </si>
  <si>
    <t>795 Willkow Rd</t>
  </si>
  <si>
    <t>339 Philips Rd.</t>
  </si>
  <si>
    <t>5184 E 100 N</t>
  </si>
  <si>
    <t>3407 Sutherland Rd</t>
  </si>
  <si>
    <t>14893 Woods Branch Rd</t>
  </si>
  <si>
    <t>997 County Hwy. 35</t>
  </si>
  <si>
    <t>2863 Stone Road</t>
  </si>
  <si>
    <t>4288 Friend Road</t>
  </si>
  <si>
    <t>7079 Lapperell Rd</t>
  </si>
  <si>
    <t>1720 Crum Road</t>
  </si>
  <si>
    <t>0170 S 300 E</t>
  </si>
  <si>
    <t>4215 W 150 S</t>
  </si>
  <si>
    <t>4525 W 100 S</t>
  </si>
  <si>
    <t>4715 W 300 N</t>
  </si>
  <si>
    <t>3990 S 100 E</t>
  </si>
  <si>
    <t>4770 18th B Rd</t>
  </si>
  <si>
    <t>1870 Helena-Bombay Rd</t>
  </si>
  <si>
    <t>3625 W 350 S</t>
  </si>
  <si>
    <t>324 County Route 4</t>
  </si>
  <si>
    <t>28602 County Highway U</t>
  </si>
  <si>
    <t>236565 Corlad Road</t>
  </si>
  <si>
    <t>170 Grubbs Corner Road</t>
  </si>
  <si>
    <t>6123 Lawyer Road</t>
  </si>
  <si>
    <t>5039 State Highway 23</t>
  </si>
  <si>
    <t>52554 Hell Street</t>
  </si>
  <si>
    <t>9659 Grayson Rd</t>
  </si>
  <si>
    <t>No 4, Doc Tan Thuong Street, Doai Village</t>
  </si>
  <si>
    <t>1505 S 200 E</t>
  </si>
  <si>
    <t>18841 180th Street</t>
  </si>
  <si>
    <t>14503 Route 333</t>
  </si>
  <si>
    <t>352 Bell Road</t>
  </si>
  <si>
    <t>28471 Marvin Rd</t>
  </si>
  <si>
    <t>92 Sunnyhill Lane</t>
  </si>
  <si>
    <t>2825 W 200 N</t>
  </si>
  <si>
    <t>1978 Business Parkway</t>
  </si>
  <si>
    <t>10118 Augustine Herman Hwy</t>
  </si>
  <si>
    <t>17 Borough Rd.</t>
  </si>
  <si>
    <t>N 13456 Alma Center Rd.</t>
  </si>
  <si>
    <t>1090 Kirkwood Pike</t>
  </si>
  <si>
    <t>1644 Cty. Hwy 39</t>
  </si>
  <si>
    <t>60 Triangle Blvd.</t>
  </si>
  <si>
    <t>425 Cocolamus Rd</t>
  </si>
  <si>
    <t>8161 Regent Pkwy</t>
  </si>
  <si>
    <t>104 Farmdale Rd</t>
  </si>
  <si>
    <t>1010 540th Street</t>
  </si>
  <si>
    <t>650 Harrington Rd</t>
  </si>
  <si>
    <t>E 17421A Watson Ln.</t>
  </si>
  <si>
    <t>83 Farnham Road</t>
  </si>
  <si>
    <t>12112 Encore At Ovation Way</t>
  </si>
  <si>
    <t>2257 Rt. 336</t>
  </si>
  <si>
    <t>122 Snyder Road</t>
  </si>
  <si>
    <t>650 Sunset St</t>
  </si>
  <si>
    <t>200 W. Carob St</t>
  </si>
  <si>
    <t>1356 Benedict Rd</t>
  </si>
  <si>
    <t>11090 W 300 S</t>
  </si>
  <si>
    <t>0330 South State Road 5</t>
  </si>
  <si>
    <t>4530 Lanphere Rd.</t>
  </si>
  <si>
    <t>1490 McGraw Marathon Road</t>
  </si>
  <si>
    <t>7676 18 Mile Road</t>
  </si>
  <si>
    <t>250 Plainsboro Road</t>
  </si>
  <si>
    <t>9820 N 750 E</t>
  </si>
  <si>
    <t>Rua Guaraí, Quadra 51, Lote 14, Vila Brasília</t>
  </si>
  <si>
    <t>15003 Katydid Ave</t>
  </si>
  <si>
    <t>11102 McCormick Road</t>
  </si>
  <si>
    <t>S2095 Volden Rd.</t>
  </si>
  <si>
    <t>1869 110th St</t>
  </si>
  <si>
    <t>3160 South 200 West</t>
  </si>
  <si>
    <t>674 Comptons Mill Rd Apt 1</t>
  </si>
  <si>
    <t>3265 S 100 E</t>
  </si>
  <si>
    <t>2205 W 700 S</t>
  </si>
  <si>
    <t>1577 CR 2000 N</t>
  </si>
  <si>
    <t>1102 D St. NE</t>
  </si>
  <si>
    <t>1470 W 050 N</t>
  </si>
  <si>
    <t>20991 Lanning Road</t>
  </si>
  <si>
    <t>10340 Daley Rd</t>
  </si>
  <si>
    <t>1900 Averill Road</t>
  </si>
  <si>
    <t>48020 144th St.</t>
  </si>
  <si>
    <t>82355 Market St.</t>
  </si>
  <si>
    <t>23727 CR 142</t>
  </si>
  <si>
    <t>1488 Ford Rd</t>
  </si>
  <si>
    <t>2709 Ridge Road</t>
  </si>
  <si>
    <t>505 Jefferson Ave</t>
  </si>
  <si>
    <t>Las Dos hermanas</t>
  </si>
  <si>
    <t>400 Wabash Road</t>
  </si>
  <si>
    <t>DADC Economic Zone, Darong</t>
  </si>
  <si>
    <t>4708 Weatherhead Hollow Rd.</t>
  </si>
  <si>
    <t>1028 Rt. 28</t>
  </si>
  <si>
    <t>217 Upper Deck Rd</t>
  </si>
  <si>
    <t>723 State Route 511</t>
  </si>
  <si>
    <t>E10347 East Salem Ridge Road</t>
  </si>
  <si>
    <t>5560 Gable Avenue SW</t>
  </si>
  <si>
    <t>11070W 050N</t>
  </si>
  <si>
    <t>1635 120th Street</t>
  </si>
  <si>
    <t>19662 45th Street</t>
  </si>
  <si>
    <t>E9842A Goplin Road</t>
  </si>
  <si>
    <t>28768 100th Avenue</t>
  </si>
  <si>
    <t>4618 Donley Road</t>
  </si>
  <si>
    <t>9412 Jackman Rd</t>
  </si>
  <si>
    <t>8801 Exchange Dr.</t>
  </si>
  <si>
    <t>740 Massman Drive</t>
  </si>
  <si>
    <t>30340 Whipple Rd.</t>
  </si>
  <si>
    <t>2300 NW 19th Street</t>
  </si>
  <si>
    <t>155 N Orange Ave.</t>
  </si>
  <si>
    <t>5445 Bonacker Dr.</t>
  </si>
  <si>
    <t>3451 South 2200 East</t>
  </si>
  <si>
    <t>2870 Stoner Court</t>
  </si>
  <si>
    <t>3021 78th St.</t>
  </si>
  <si>
    <t>16090 CR 43</t>
  </si>
  <si>
    <t>W9077 Schutz Rd</t>
  </si>
  <si>
    <t>6262 Glade Ave</t>
  </si>
  <si>
    <t>1209 Mann Hill Road</t>
  </si>
  <si>
    <t>W1142 Albany GG</t>
  </si>
  <si>
    <t>12866 Route 78</t>
  </si>
  <si>
    <t>17227 Hickory RD</t>
  </si>
  <si>
    <t>W10476 W Gilbert Rd.</t>
  </si>
  <si>
    <t>W2996 Harlow Rd</t>
  </si>
  <si>
    <t>3151 Pepper Rd.</t>
  </si>
  <si>
    <t>97 Swiss Hill Road</t>
  </si>
  <si>
    <t>31810 Co Rd 20</t>
  </si>
  <si>
    <t>992 Pleasant Point Rd.</t>
  </si>
  <si>
    <t>5127 Fountain City Pike</t>
  </si>
  <si>
    <t>26262 Merrimac Rd</t>
  </si>
  <si>
    <t>2575 County Route 37</t>
  </si>
  <si>
    <t>269 Brower Rd</t>
  </si>
  <si>
    <t>3440 Layton St. Rd.</t>
  </si>
  <si>
    <t>105 Windy Top Rd.</t>
  </si>
  <si>
    <t>33 South Ridge Lane</t>
  </si>
  <si>
    <t>3649 W County Road 1050 S</t>
  </si>
  <si>
    <t>16570 Medina Road</t>
  </si>
  <si>
    <t>2173 E. Francisco Blvd.</t>
  </si>
  <si>
    <t>15023 Gingerich Rd</t>
  </si>
  <si>
    <t>13752 SW 192nd St.</t>
  </si>
  <si>
    <t>2015 CR 1600 E</t>
  </si>
  <si>
    <t>1178 NY Rte 79</t>
  </si>
  <si>
    <t>6045 W 400 S</t>
  </si>
  <si>
    <t>0385 W 100 S</t>
  </si>
  <si>
    <t>W3042 Trout Ave</t>
  </si>
  <si>
    <t>5584 West Kinsil Highway</t>
  </si>
  <si>
    <t>2503 480th St</t>
  </si>
  <si>
    <t>10069 Aldrich Rd</t>
  </si>
  <si>
    <t>3249 Stiles Rd</t>
  </si>
  <si>
    <t>5010 Eucalyptus Avenue</t>
  </si>
  <si>
    <t>E3695 Johnson Lane</t>
  </si>
  <si>
    <t>N14501 Sterling Ave</t>
  </si>
  <si>
    <t>615 N Main St</t>
  </si>
  <si>
    <t>2859 Paces Ferry Road SE Suit 2100</t>
  </si>
  <si>
    <t>5212 Goodell Rd</t>
  </si>
  <si>
    <t>341 Cleveland Place, Suite 111</t>
  </si>
  <si>
    <t>3177 Township Road 406</t>
  </si>
  <si>
    <t>530 Main Street</t>
  </si>
  <si>
    <t>18133 Star School House Rd</t>
  </si>
  <si>
    <t>3654 E. Weidman Road</t>
  </si>
  <si>
    <t>2 Pittsburgh Ave, Unit 3</t>
  </si>
  <si>
    <t>W9972 Hixwood Road</t>
  </si>
  <si>
    <t>6350 Sparks Rd.</t>
  </si>
  <si>
    <t>18663 110th Street</t>
  </si>
  <si>
    <t>75 Lawrence Road</t>
  </si>
  <si>
    <t>1732 9th Ave</t>
  </si>
  <si>
    <t>3718 N 700 E</t>
  </si>
  <si>
    <t>10613 440th Ave</t>
  </si>
  <si>
    <t>15796 County Road 904</t>
  </si>
  <si>
    <t>W8698 Smock Valley Rd</t>
  </si>
  <si>
    <t>4872 E 2nd Street</t>
  </si>
  <si>
    <t>6935 Millbrook Road</t>
  </si>
  <si>
    <t>1710 Murdock Road</t>
  </si>
  <si>
    <t>3000W 050N</t>
  </si>
  <si>
    <t>65 Main Street</t>
  </si>
  <si>
    <t>N12651 County Road O</t>
  </si>
  <si>
    <t>14238 60th</t>
  </si>
  <si>
    <t>279 Maple Shade Rd.</t>
  </si>
  <si>
    <t>1345 Northrop Rd</t>
  </si>
  <si>
    <t>187 County Road F</t>
  </si>
  <si>
    <t>W6960 Popple River Rd</t>
  </si>
  <si>
    <t>S2421 River Road</t>
  </si>
  <si>
    <t>22 South Road</t>
  </si>
  <si>
    <t>49300 New London Eastern Road</t>
  </si>
  <si>
    <t>1867 170th Ave</t>
  </si>
  <si>
    <t>Carrera 9 No. 77-67, Oficina 701</t>
  </si>
  <si>
    <t>10 Guittard Rd.</t>
  </si>
  <si>
    <t>N130 W294 Bryn Drive</t>
  </si>
  <si>
    <t>13310 Hemlock Ridge Road</t>
  </si>
  <si>
    <t>450 NM 202</t>
  </si>
  <si>
    <t>2963 Avery Road</t>
  </si>
  <si>
    <t>221 River Street</t>
  </si>
  <si>
    <t>E17216 Levy Ln</t>
  </si>
  <si>
    <t>11600 Hale Lane</t>
  </si>
  <si>
    <t>1249 Turner Hill Road</t>
  </si>
  <si>
    <t>989 US Route 2</t>
  </si>
  <si>
    <t>N5385 Hwy 117</t>
  </si>
  <si>
    <t>W2507 Evergreen Dr</t>
  </si>
  <si>
    <t>N31919 Schansberg Rd.</t>
  </si>
  <si>
    <t>718 Aney Hill Rd</t>
  </si>
  <si>
    <t>360 Weeks Mills Rd.</t>
  </si>
  <si>
    <t>10965 South Street Road</t>
  </si>
  <si>
    <t>206 West Linden Street</t>
  </si>
  <si>
    <t>34571 Glacier Road</t>
  </si>
  <si>
    <t>3770 W 350 S</t>
  </si>
  <si>
    <t>7885 W 200 S</t>
  </si>
  <si>
    <t>0740 W 400 N</t>
  </si>
  <si>
    <t>3090 W 200 N</t>
  </si>
  <si>
    <t>0265 W 400 N</t>
  </si>
  <si>
    <t>18665 Flora Ave</t>
  </si>
  <si>
    <t>1501 GPF Witthayu Towers, Witthayu Road, Lumphini, Bangkok</t>
  </si>
  <si>
    <t>1814 Franklin St.</t>
  </si>
  <si>
    <t>169 Kreider Lane</t>
  </si>
  <si>
    <t>N 7151 County Line Rd</t>
  </si>
  <si>
    <t>N 3999 Hill Rd</t>
  </si>
  <si>
    <t>S13605 County Road D</t>
  </si>
  <si>
    <t>25593 County Highway T</t>
  </si>
  <si>
    <t>1439 Travis Road</t>
  </si>
  <si>
    <t>W2377 Cloverdale Road</t>
  </si>
  <si>
    <t>90 West Road</t>
  </si>
  <si>
    <t>288 Dygert Road</t>
  </si>
  <si>
    <t>736 Platman Road</t>
  </si>
  <si>
    <t>2320 Kaiser Run Rd.</t>
  </si>
  <si>
    <t>5060 W 100 N</t>
  </si>
  <si>
    <t>20 Scanlon Road</t>
  </si>
  <si>
    <t>2677 C.R. 55</t>
  </si>
  <si>
    <t>386 Keenan Road</t>
  </si>
  <si>
    <t>26307 Sumner Buckley Hwy</t>
  </si>
  <si>
    <t>1380 S Tallman</t>
  </si>
  <si>
    <t>34585 109th Avenue</t>
  </si>
  <si>
    <t>327 CR 21C</t>
  </si>
  <si>
    <t>W11629 Moriah Rd</t>
  </si>
  <si>
    <t>90 Hutton Road</t>
  </si>
  <si>
    <t>15115 Stears Road</t>
  </si>
  <si>
    <t>E13343 Stubbe Rd</t>
  </si>
  <si>
    <t>4627 Windfern Rd.</t>
  </si>
  <si>
    <t>5103 RITTIMAN RD</t>
  </si>
  <si>
    <t>4750 WENDLAND RD</t>
  </si>
  <si>
    <t>301 Main Street</t>
  </si>
  <si>
    <t>500 Military Rd</t>
  </si>
  <si>
    <t>8690 Hemlock Rd</t>
  </si>
  <si>
    <t>1314 Creek Road</t>
  </si>
  <si>
    <t>4955 Nelson Rd</t>
  </si>
  <si>
    <t>6636 West Rd</t>
  </si>
  <si>
    <t>11652 County Highway EE</t>
  </si>
  <si>
    <t>4939 TR 629</t>
  </si>
  <si>
    <t>7107 Gordon Rd</t>
  </si>
  <si>
    <t>239719B Hay Marsh Road</t>
  </si>
  <si>
    <t>5130 Rottamore Road</t>
  </si>
  <si>
    <t>131 Henry Rd</t>
  </si>
  <si>
    <t>1046 Willkow Rd.</t>
  </si>
  <si>
    <t>648 Cold Springs Road</t>
  </si>
  <si>
    <t>16752 Sandstone Drive</t>
  </si>
  <si>
    <t>1880 Georgetown Road</t>
  </si>
  <si>
    <t>11738 Gum Tree Rd</t>
  </si>
  <si>
    <t>186 Shaw Mines Road</t>
  </si>
  <si>
    <t>82 Little River Rd</t>
  </si>
  <si>
    <t>1355 W 100S</t>
  </si>
  <si>
    <t>1842 Route 96A</t>
  </si>
  <si>
    <t>43 Labombard Rd</t>
  </si>
  <si>
    <t>4506 TR 119</t>
  </si>
  <si>
    <t>13942 Dobbs Road</t>
  </si>
  <si>
    <t>9093 N Center Road</t>
  </si>
  <si>
    <t>351 Stricklerstown Road</t>
  </si>
  <si>
    <t>5759 James Ave SW</t>
  </si>
  <si>
    <t>3286 460th St</t>
  </si>
  <si>
    <t>6360 Macy Rd</t>
  </si>
  <si>
    <t>10667 Station Road</t>
  </si>
  <si>
    <t>0930 W 200 S</t>
  </si>
  <si>
    <t>3183 Lembke Road</t>
  </si>
  <si>
    <t>4866 Bedford Corners Road</t>
  </si>
  <si>
    <t>266 meters to the west of Luhua East Road and Luhua North Road intersection, Dingtao District</t>
  </si>
  <si>
    <t>78 Westchester Avenue</t>
  </si>
  <si>
    <t>631 Old Canton Rd</t>
  </si>
  <si>
    <t>W7312 Cty Rd M</t>
  </si>
  <si>
    <t>2759 Highland Rd</t>
  </si>
  <si>
    <t>23376 Harvest Rd</t>
  </si>
  <si>
    <t>1115 North 1650 West</t>
  </si>
  <si>
    <t>31824 Township Road 227</t>
  </si>
  <si>
    <t>187 Burgess Road</t>
  </si>
  <si>
    <t>827 East 270 South</t>
  </si>
  <si>
    <t>E7630 Rognstad Ridge Rd.</t>
  </si>
  <si>
    <t>N7676 Spur Rd</t>
  </si>
  <si>
    <t>2366 M-76</t>
  </si>
  <si>
    <t>5479 County Highway 18</t>
  </si>
  <si>
    <t>6539 Energy Road</t>
  </si>
  <si>
    <t>476 Pearl Road</t>
  </si>
  <si>
    <t>5281 Eagle Ave Sw</t>
  </si>
  <si>
    <t>1362 Curtis Rd</t>
  </si>
  <si>
    <t>W6987 Starks Road</t>
  </si>
  <si>
    <t>N3689 Riley Rd</t>
  </si>
  <si>
    <t>2303 Route 91</t>
  </si>
  <si>
    <t>523 Clay Wight Road</t>
  </si>
  <si>
    <t>27141 Willnow Ln</t>
  </si>
  <si>
    <t>690 CR 45</t>
  </si>
  <si>
    <t>2405 W 800 S</t>
  </si>
  <si>
    <t>20032 Sunny Lane</t>
  </si>
  <si>
    <t>20551 Jumbo Rd</t>
  </si>
  <si>
    <t>3378 East Beaverton Rd</t>
  </si>
  <si>
    <t>273 Ants Hill Rd</t>
  </si>
  <si>
    <t>11082 Ogden Ave</t>
  </si>
  <si>
    <t>3638 Taylor Valley Road</t>
  </si>
  <si>
    <t>554 Hoke Rd</t>
  </si>
  <si>
    <t>5903 Holter Rd</t>
  </si>
  <si>
    <t>5790 Garrett Highway</t>
  </si>
  <si>
    <t>E2408 County Road G</t>
  </si>
  <si>
    <t>20831 Eiss Rd</t>
  </si>
  <si>
    <t>3155 W 450 N</t>
  </si>
  <si>
    <t>1543 Union Grove Rd</t>
  </si>
  <si>
    <t>176 Whisman Rd</t>
  </si>
  <si>
    <t>6096 NY-8</t>
  </si>
  <si>
    <t>5442 Route 22A</t>
  </si>
  <si>
    <t>20293 County 38</t>
  </si>
  <si>
    <t>5246 Sharon Center Road Sw</t>
  </si>
  <si>
    <t>61 Hoyt Hill Road</t>
  </si>
  <si>
    <t>2870 Hardscrabble Rd</t>
  </si>
  <si>
    <t>16001 Bodega Highway</t>
  </si>
  <si>
    <t>232 Lighthall Rd</t>
  </si>
  <si>
    <t>526 Opera Alley</t>
  </si>
  <si>
    <t>1 Corporate Place South</t>
  </si>
  <si>
    <t>297 Post Road</t>
  </si>
  <si>
    <t>40928 County 18</t>
  </si>
  <si>
    <t>N5869 Skutley Rd</t>
  </si>
  <si>
    <t>638 Vita Plus Drive</t>
  </si>
  <si>
    <t>5720 Nicasio Valley Road</t>
  </si>
  <si>
    <t>1001 Middle Road</t>
  </si>
  <si>
    <t>575 Northwest Ave</t>
  </si>
  <si>
    <t>68845 CR 11</t>
  </si>
  <si>
    <t>1201 Centre St. Suite 2</t>
  </si>
  <si>
    <t>60674 Born Street</t>
  </si>
  <si>
    <t>869 Riverside Rd.</t>
  </si>
  <si>
    <t>700 S.Hathaway St.</t>
  </si>
  <si>
    <t>1123 Kirkwood Road</t>
  </si>
  <si>
    <t>1 Mercedes Drive</t>
  </si>
  <si>
    <t>4609 Richlynn Drive</t>
  </si>
  <si>
    <t>27831 Huntingdon Road</t>
  </si>
  <si>
    <t>909 Petaluma Blvd. N</t>
  </si>
  <si>
    <t>6082 Aviator Drive</t>
  </si>
  <si>
    <t>Calle Pueblo Nuevo No.3</t>
  </si>
  <si>
    <t>W 761 County E</t>
  </si>
  <si>
    <t>3928 Bath Road</t>
  </si>
  <si>
    <t>2489 Townline Rd</t>
  </si>
  <si>
    <t>4850 W Martinsburg Rd</t>
  </si>
  <si>
    <t>385 Sells Station Rd.</t>
  </si>
  <si>
    <t>564 Washingtonville Rd</t>
  </si>
  <si>
    <t>1267 Crosscut Rd</t>
  </si>
  <si>
    <t>120 Horst Rd.</t>
  </si>
  <si>
    <t>12584 Broadway Road</t>
  </si>
  <si>
    <t>10 Phillips Road</t>
  </si>
  <si>
    <t>890 Fairfield Rd</t>
  </si>
  <si>
    <t>18846 103rd Avenue Southwest</t>
  </si>
  <si>
    <t>661 Vintage Road</t>
  </si>
  <si>
    <t>105 Thomas Road</t>
  </si>
  <si>
    <t>N83 Hall Dr</t>
  </si>
  <si>
    <t>686 N. Stone Road</t>
  </si>
  <si>
    <t>210 Lyon Rd</t>
  </si>
  <si>
    <t>7739 County Road 189</t>
  </si>
  <si>
    <t>20269 County Road Z</t>
  </si>
  <si>
    <t>2100 N. Chester Rd.</t>
  </si>
  <si>
    <t>W2569 Pine Creek Road</t>
  </si>
  <si>
    <t>1514 West Back Mtn Road</t>
  </si>
  <si>
    <t>7701 South Carr Road</t>
  </si>
  <si>
    <t>323 North Line Drive</t>
  </si>
  <si>
    <t>W24252 State Road 121</t>
  </si>
  <si>
    <t>25466 County Highway U</t>
  </si>
  <si>
    <t>W4044-B County  Line Rd</t>
  </si>
  <si>
    <t>3401 A Tremley Point Road</t>
  </si>
  <si>
    <t>15963 Wilm Drive NW</t>
  </si>
  <si>
    <t>186 E Mahoney Rd</t>
  </si>
  <si>
    <t>3242 E Gordon Road</t>
  </si>
  <si>
    <t>2165 CR 70</t>
  </si>
  <si>
    <t>43404 165th Avenue</t>
  </si>
  <si>
    <t>43935 TR 50</t>
  </si>
  <si>
    <t>7923 Number Three Rd</t>
  </si>
  <si>
    <t>5682 Knoxbore Road</t>
  </si>
  <si>
    <t>180 Carey Rd</t>
  </si>
  <si>
    <t>555 Darrow Rd</t>
  </si>
  <si>
    <t>3696 Highway 18</t>
  </si>
  <si>
    <t>399 Hillside Road</t>
  </si>
  <si>
    <t>4008 Spore Road</t>
  </si>
  <si>
    <t>12574 Highway 126</t>
  </si>
  <si>
    <t>7576 Star Rd</t>
  </si>
  <si>
    <t>14896 Highway 61</t>
  </si>
  <si>
    <t>209 Haiti Road</t>
  </si>
  <si>
    <t>38 B. South Belmont Rd.</t>
  </si>
  <si>
    <t>7477 Rice Rd</t>
  </si>
  <si>
    <t>10580 Genesee Road</t>
  </si>
  <si>
    <t>3148 James St</t>
  </si>
  <si>
    <t>6101 Lebanon Rd</t>
  </si>
  <si>
    <t>296 Riverview Rd</t>
  </si>
  <si>
    <t>900 Specktown Rd</t>
  </si>
  <si>
    <t>4564 Lebanon Road</t>
  </si>
  <si>
    <t>7583 Randolph County Line Road</t>
  </si>
  <si>
    <t>19072 Earnest Rd.</t>
  </si>
  <si>
    <t>73 Hall Rd Extension</t>
  </si>
  <si>
    <t>9460 West State Road 120</t>
  </si>
  <si>
    <t>2518 County Highway 35</t>
  </si>
  <si>
    <t>5312 Scenic Road</t>
  </si>
  <si>
    <t>2071 County Route 37</t>
  </si>
  <si>
    <t>134 County Route 9</t>
  </si>
  <si>
    <t>11429 Mill Creek Road S.E.</t>
  </si>
  <si>
    <t>312 Ellenburg Center Rd</t>
  </si>
  <si>
    <t>2655 Van Zandt Hollow Rd</t>
  </si>
  <si>
    <t>101892 Chokecherry Road</t>
  </si>
  <si>
    <t>W634 26th Rd</t>
  </si>
  <si>
    <t>6350 Route 549</t>
  </si>
  <si>
    <t>1045 Route 14A</t>
  </si>
  <si>
    <t>365 Scrubby Hill Rd</t>
  </si>
  <si>
    <t>3939 Dover Road</t>
  </si>
  <si>
    <t>E17343 Kouba Valley Road</t>
  </si>
  <si>
    <t>4293 Lakemont Himrod Rd</t>
  </si>
  <si>
    <t>2271 County Hwy 29</t>
  </si>
  <si>
    <t>5570 County Rd 49</t>
  </si>
  <si>
    <t>2222 Austin Road</t>
  </si>
  <si>
    <t>E2593 Nash Road</t>
  </si>
  <si>
    <t>5738 Old County Road</t>
  </si>
  <si>
    <t>14460 Fremont Dr.</t>
  </si>
  <si>
    <t>5539 North State Hwy 103</t>
  </si>
  <si>
    <t>10202 State Route 9</t>
  </si>
  <si>
    <t>426 Hazen Road</t>
  </si>
  <si>
    <t>215 Moo 6</t>
  </si>
  <si>
    <t>3141 County Rd A</t>
  </si>
  <si>
    <t>5789 Kinsel HWY</t>
  </si>
  <si>
    <t>33751 Pulpit Rock Road</t>
  </si>
  <si>
    <t>8821 Chidsey Hill Road</t>
  </si>
  <si>
    <t>1000 Perry Rd</t>
  </si>
  <si>
    <t>31271 Crane Creek Road</t>
  </si>
  <si>
    <t>3877 E. 27th St.</t>
  </si>
  <si>
    <t>1520 County Road E</t>
  </si>
  <si>
    <t>5004 Lebanon Road</t>
  </si>
  <si>
    <t>Water Street</t>
  </si>
  <si>
    <t>831 Alburgh Springs Road</t>
  </si>
  <si>
    <t>5405 N Millcreek Rd</t>
  </si>
  <si>
    <t>208 Little Keen Road</t>
  </si>
  <si>
    <t>1033 County Route 36</t>
  </si>
  <si>
    <t>7528 Kirschnerville Rd.</t>
  </si>
  <si>
    <t>400 N. Dekora Woods Blvd.</t>
  </si>
  <si>
    <t>272 Depot St</t>
  </si>
  <si>
    <t>2840 N 400 W</t>
  </si>
  <si>
    <t>N5791 Murray Road</t>
  </si>
  <si>
    <t>187 Peet Rd</t>
  </si>
  <si>
    <t>1881 Clapper Hill Rd.</t>
  </si>
  <si>
    <t>9485 W. 200 S.</t>
  </si>
  <si>
    <t>2219 Gee Hill Rd.</t>
  </si>
  <si>
    <t>0395 W 300 S</t>
  </si>
  <si>
    <t>3805 Township Road 157</t>
  </si>
  <si>
    <t>26090 165th Avenue</t>
  </si>
  <si>
    <t>320 Rife Road</t>
  </si>
  <si>
    <t>11861 Center Road</t>
  </si>
  <si>
    <t>9398 William Penn Highway</t>
  </si>
  <si>
    <t>116208 County Road A</t>
  </si>
  <si>
    <t>W568 County Road E</t>
  </si>
  <si>
    <t>W415 Highway 33</t>
  </si>
  <si>
    <t>10148 Eby Road</t>
  </si>
  <si>
    <t>13626 Bliss Road</t>
  </si>
  <si>
    <t>8288 125th Ave</t>
  </si>
  <si>
    <t>295 Rainsville Rd.</t>
  </si>
  <si>
    <t>127121 Schnelle Rd</t>
  </si>
  <si>
    <t>949 Chileno Valley Road</t>
  </si>
  <si>
    <t>1031 Sanitarium Hill Rd</t>
  </si>
  <si>
    <t>2407 Brown Road</t>
  </si>
  <si>
    <t>601 Stage Gulch Road</t>
  </si>
  <si>
    <t>4855 Ethan Allen Hwy</t>
  </si>
  <si>
    <t>247606 Gad Road</t>
  </si>
  <si>
    <t>54532 Arago Road</t>
  </si>
  <si>
    <t>6450 E 850 N</t>
  </si>
  <si>
    <t>10607 Wonderly Rd</t>
  </si>
  <si>
    <t>15406 Cty Hwy X X</t>
  </si>
  <si>
    <t>10618 North Main Street Extended</t>
  </si>
  <si>
    <t>710 Coal Run Rd</t>
  </si>
  <si>
    <t>7928 County Road 235</t>
  </si>
  <si>
    <t>S619 Irish Ridge Rd</t>
  </si>
  <si>
    <t>S473 Oneida Road</t>
  </si>
  <si>
    <t>N7318 County Road G</t>
  </si>
  <si>
    <t>S1759 Lewis Valley Rd</t>
  </si>
  <si>
    <t>14731 Helm Court</t>
  </si>
  <si>
    <t>4142 Pacific Privado</t>
  </si>
  <si>
    <t>W12071 County Highway C</t>
  </si>
  <si>
    <t>11443 County Road 116</t>
  </si>
  <si>
    <t>7035 W 250 N</t>
  </si>
  <si>
    <t>2570 S 400 E</t>
  </si>
  <si>
    <t>378 Bunker Hill Road</t>
  </si>
  <si>
    <t>3219 Ming Road NE</t>
  </si>
  <si>
    <t>3181 Holley Road</t>
  </si>
  <si>
    <t>437 State Route 170A</t>
  </si>
  <si>
    <t>2550 S 1000 W</t>
  </si>
  <si>
    <t>4461 Phalen Road</t>
  </si>
  <si>
    <t>6332 East 850 North</t>
  </si>
  <si>
    <t>306 County Road 46</t>
  </si>
  <si>
    <t>3603 Barr Rd</t>
  </si>
  <si>
    <t>875 Fiery Hill Rd</t>
  </si>
  <si>
    <t>58 Earl Lane</t>
  </si>
  <si>
    <t>120 Mount Pleasant Road</t>
  </si>
  <si>
    <t>327 River Rd</t>
  </si>
  <si>
    <t>189 Reardon Rd</t>
  </si>
  <si>
    <t>394 Haiti Road</t>
  </si>
  <si>
    <t>4316 Bach Rd.</t>
  </si>
  <si>
    <t>5767 Durling Rd</t>
  </si>
  <si>
    <t>3088 Disinger Road</t>
  </si>
  <si>
    <t>128 California Road</t>
  </si>
  <si>
    <t>416 Dillenback Rd</t>
  </si>
  <si>
    <t>6212 E 100 N</t>
  </si>
  <si>
    <t>35029 Elm Ridge Rd</t>
  </si>
  <si>
    <t>437 Springville Rd.</t>
  </si>
  <si>
    <t>4485 East Milestrip Road</t>
  </si>
  <si>
    <t>372 Reagan Flat</t>
  </si>
  <si>
    <t>E16661 County Highway V</t>
  </si>
  <si>
    <t>1539 State Route 95</t>
  </si>
  <si>
    <t>23563 230th St</t>
  </si>
  <si>
    <t>1683 State RT 95</t>
  </si>
  <si>
    <t>435 Green Lane</t>
  </si>
  <si>
    <t>1324 Route 54</t>
  </si>
  <si>
    <t>263 North Rd</t>
  </si>
  <si>
    <t>4350 Yost Road</t>
  </si>
  <si>
    <t>23 Zehners Rohrsburg Rd.</t>
  </si>
  <si>
    <t>4355 W 350 S</t>
  </si>
  <si>
    <t>6987 State Route 26</t>
  </si>
  <si>
    <t>23993 County Highway XU</t>
  </si>
  <si>
    <t>5518 Nelson Road</t>
  </si>
  <si>
    <t>2606 500th St. SW</t>
  </si>
  <si>
    <t>130 Bricker Road</t>
  </si>
  <si>
    <t>6975 East Colonville Rd</t>
  </si>
  <si>
    <t>231815 County Road E</t>
  </si>
  <si>
    <t>14640 County Road 48</t>
  </si>
  <si>
    <t>255 Price Creek School Rd.</t>
  </si>
  <si>
    <t>254 Keenan Road</t>
  </si>
  <si>
    <t>20375 Butler Rd</t>
  </si>
  <si>
    <t>53 Hall Road Extension</t>
  </si>
  <si>
    <t>94 Trout River Road</t>
  </si>
  <si>
    <t>102 Cold Spring Rd</t>
  </si>
  <si>
    <t>243 County Road 29</t>
  </si>
  <si>
    <t>248 Villnave Rd</t>
  </si>
  <si>
    <t>5 Raffaelli Ave.</t>
  </si>
  <si>
    <t>952 10 1/2 Ave</t>
  </si>
  <si>
    <t>39 Force Road</t>
  </si>
  <si>
    <t>31642 St Rt 643</t>
  </si>
  <si>
    <t>10480 Small Road</t>
  </si>
  <si>
    <t>N3434 South Larkin Rd</t>
  </si>
  <si>
    <t>1884 Leader Rd</t>
  </si>
  <si>
    <t>4372 Patten Road</t>
  </si>
  <si>
    <t>5129 Brush Valley Rd.</t>
  </si>
  <si>
    <t>785 Strasburg Road</t>
  </si>
  <si>
    <t>20499 County Road Z</t>
  </si>
  <si>
    <t>N7364 County Road H</t>
  </si>
  <si>
    <t>S-501 Dell Rd</t>
  </si>
  <si>
    <t>6090 Elimsport Rd</t>
  </si>
  <si>
    <t>491 West Swamp Rd</t>
  </si>
  <si>
    <t>4275 Furnace Rd</t>
  </si>
  <si>
    <t>74 A South Ronks Rd</t>
  </si>
  <si>
    <t>5925 CR 207</t>
  </si>
  <si>
    <t>18441 Cooke Road</t>
  </si>
  <si>
    <t>2509 Maricle Rd</t>
  </si>
  <si>
    <t>2271 Italy Hill Rd</t>
  </si>
  <si>
    <t>575 Dix Rd</t>
  </si>
  <si>
    <t>6758 N 150 W</t>
  </si>
  <si>
    <t>17500 Peckham Lane</t>
  </si>
  <si>
    <t>5365 W 500 S</t>
  </si>
  <si>
    <t>881 Smyrna Center Rd.</t>
  </si>
  <si>
    <t>467 Murphy Rd</t>
  </si>
  <si>
    <t>5685 19th Road</t>
  </si>
  <si>
    <t>4540 S 900 W</t>
  </si>
  <si>
    <t>248 S Ilwaco Rd</t>
  </si>
  <si>
    <t>4709 Guenza Rd.</t>
  </si>
  <si>
    <t>380 Yankee St. Rd.</t>
  </si>
  <si>
    <t>2974 State Route 169</t>
  </si>
  <si>
    <t>12934 N Damascus</t>
  </si>
  <si>
    <t>161 Carr Road</t>
  </si>
  <si>
    <t>2210 Creek Hill Rd</t>
  </si>
  <si>
    <t>1604 Wheatland School Road</t>
  </si>
  <si>
    <t>N4329 Hill Road</t>
  </si>
  <si>
    <t>388 Meacham Rd.</t>
  </si>
  <si>
    <t>W4617 Porter Road</t>
  </si>
  <si>
    <t>15267 Hayes Road</t>
  </si>
  <si>
    <t>2892 RT 364</t>
  </si>
  <si>
    <t>856 Wesley Rd</t>
  </si>
  <si>
    <t>125 South Belmont Road</t>
  </si>
  <si>
    <t>2569 20 1/2 St</t>
  </si>
  <si>
    <t>36920 CR 22</t>
  </si>
  <si>
    <t>2705 N 400 W</t>
  </si>
  <si>
    <t>11036 E. Moreland Road</t>
  </si>
  <si>
    <t>0670 W 300 S</t>
  </si>
  <si>
    <t>4730 Jones Road</t>
  </si>
  <si>
    <t>W6562 Popple River Road</t>
  </si>
  <si>
    <t>2104 CR 600</t>
  </si>
  <si>
    <t>315 East Rd.</t>
  </si>
  <si>
    <t>9936 W 850 S</t>
  </si>
  <si>
    <t>2588 Hammertown Road</t>
  </si>
  <si>
    <t>3876 CR 168</t>
  </si>
  <si>
    <t>487 S Quarry St.</t>
  </si>
  <si>
    <t>12085 Annaton Road</t>
  </si>
  <si>
    <t>21934 N Liberty Road</t>
  </si>
  <si>
    <t>127334 Creekview Road</t>
  </si>
  <si>
    <t>25246 Military Rd.</t>
  </si>
  <si>
    <t>S2204 Yaeger Valley Road</t>
  </si>
  <si>
    <t>251 Garver Rd</t>
  </si>
  <si>
    <t>149 Dairy Lane</t>
  </si>
  <si>
    <t>157 Summer Hill Road</t>
  </si>
  <si>
    <t>41 Norwich - Westerly Rd.</t>
  </si>
  <si>
    <t>W1725 Faber Ln</t>
  </si>
  <si>
    <t>E5861 Old Town Hall Rd</t>
  </si>
  <si>
    <t>S1862 County Road U</t>
  </si>
  <si>
    <t>5968 State Hwy 199</t>
  </si>
  <si>
    <t>2206 540th St</t>
  </si>
  <si>
    <t>2206 540th Street</t>
  </si>
  <si>
    <t>5195 Farmers Avenue SW</t>
  </si>
  <si>
    <t>121 9th Street</t>
  </si>
  <si>
    <t>332 Minnesota Street</t>
  </si>
  <si>
    <t>338 County Highway 51</t>
  </si>
  <si>
    <t>0821 W 1200 N</t>
  </si>
  <si>
    <t>6009 Brown Road</t>
  </si>
  <si>
    <t>25511 County Highway A</t>
  </si>
  <si>
    <t>45 Broadway </t>
  </si>
  <si>
    <t>1750 14th Street</t>
  </si>
  <si>
    <t>6150 Pierce Point Road</t>
  </si>
  <si>
    <t>8494 Zachary Taylor Hwy</t>
  </si>
  <si>
    <t>1105 Travis Road</t>
  </si>
  <si>
    <t>20023 Rebel Ridge Rd</t>
  </si>
  <si>
    <t>215 Turnage Chapel Rd</t>
  </si>
  <si>
    <t>N6720 County Rd. B</t>
  </si>
  <si>
    <t>23678 Seven Mile Rd</t>
  </si>
  <si>
    <t>4396 County Road 121</t>
  </si>
  <si>
    <t>2952 County Rd Q</t>
  </si>
  <si>
    <t>19434 Elm Rd</t>
  </si>
  <si>
    <t>1919 County Rd 6</t>
  </si>
  <si>
    <t>N15856 Koser Avenue</t>
  </si>
  <si>
    <t>73 Kerith Lane</t>
  </si>
  <si>
    <t>393 Concord Circle Road</t>
  </si>
  <si>
    <t>8954 County Road 235</t>
  </si>
  <si>
    <t>6586 Bloom Rd</t>
  </si>
  <si>
    <t>15310 County Road 48</t>
  </si>
  <si>
    <t>8887 Larkin Rd</t>
  </si>
  <si>
    <t>6485 Cramer Lane</t>
  </si>
  <si>
    <t>340 - 70th Avenue</t>
  </si>
  <si>
    <t>N6774 Highway 55</t>
  </si>
  <si>
    <t>1828 Freedom Rd., Suite 101</t>
  </si>
  <si>
    <t>964 Price Rd.</t>
  </si>
  <si>
    <t>2248 Royalton Turnpike</t>
  </si>
  <si>
    <t>1443 Ridge Rd</t>
  </si>
  <si>
    <t>W15503 Kelly Rd</t>
  </si>
  <si>
    <t>S4993 Volden Lane</t>
  </si>
  <si>
    <t>28234 County Highway U</t>
  </si>
  <si>
    <t>35265 Amend Road</t>
  </si>
  <si>
    <t>S398A Knapp Valley Rd</t>
  </si>
  <si>
    <t>30 Todd Drive</t>
  </si>
  <si>
    <t>57 Cherry Lane</t>
  </si>
  <si>
    <t>6997 Yarnell Road</t>
  </si>
  <si>
    <t>859 US Hwy 11</t>
  </si>
  <si>
    <t>10382 county road 79</t>
  </si>
  <si>
    <t>215 Kreamer Ave.</t>
  </si>
  <si>
    <t>86 Krebs Road</t>
  </si>
  <si>
    <t>1093 State Route 12B</t>
  </si>
  <si>
    <t>567 Kringsbush Rd</t>
  </si>
  <si>
    <t>1750 Bathgate Avenue</t>
  </si>
  <si>
    <t>65/17 M.2</t>
  </si>
  <si>
    <t>N3445 S Larkin Rd</t>
  </si>
  <si>
    <t>2750 US Hwy 12</t>
  </si>
  <si>
    <t>N10760 350th St</t>
  </si>
  <si>
    <t>5171 SR 557</t>
  </si>
  <si>
    <t>4654 West 1100 North</t>
  </si>
  <si>
    <t>Degollado # 219 A, Tepatitlán de Morelos</t>
  </si>
  <si>
    <t>1672 VT Route 15W</t>
  </si>
  <si>
    <t>6290 Nicasio Valley Rd.</t>
  </si>
  <si>
    <t>9234 County Road B</t>
  </si>
  <si>
    <t>458 Western Blvd</t>
  </si>
  <si>
    <t>11331 Hodnett Rd</t>
  </si>
  <si>
    <t>1600 Gressel Dr.</t>
  </si>
  <si>
    <t>N9176 Oak Lane</t>
  </si>
  <si>
    <t>0875 W 100 S</t>
  </si>
  <si>
    <t>1883 State Route 11B</t>
  </si>
  <si>
    <t>1337 Carroll Rd.</t>
  </si>
  <si>
    <t>W6537 Center Road</t>
  </si>
  <si>
    <t>201 Running Pump Road</t>
  </si>
  <si>
    <t>186 E. Madison Street</t>
  </si>
  <si>
    <t>12648 Military Ridge Rd</t>
  </si>
  <si>
    <t>3760 Sheehan Rd</t>
  </si>
  <si>
    <t>605 Kearney Rd</t>
  </si>
  <si>
    <t>2715 S 050 W</t>
  </si>
  <si>
    <t>2236 Carlisle Road</t>
  </si>
  <si>
    <t>S1399 Lovaas Ridge Rd</t>
  </si>
  <si>
    <t>2358 560th Street SW</t>
  </si>
  <si>
    <t>4655 S 1125 W</t>
  </si>
  <si>
    <t>8765 W 200 S</t>
  </si>
  <si>
    <t>57029 East County Line Road</t>
  </si>
  <si>
    <t>1237 Walnut Avenue</t>
  </si>
  <si>
    <t>58588 Lepley Road</t>
  </si>
  <si>
    <t>5045 W 300 N</t>
  </si>
  <si>
    <t>4730S 300 W</t>
  </si>
  <si>
    <t>2615 McElwee Road</t>
  </si>
  <si>
    <t>372 County Route 20</t>
  </si>
  <si>
    <t>E12660 Hemstead Rd</t>
  </si>
  <si>
    <t>152 Royce Hill Road</t>
  </si>
  <si>
    <t>377 Taylor Road</t>
  </si>
  <si>
    <t>E5147 St Hwy 56</t>
  </si>
  <si>
    <t>8665 Township Road 601</t>
  </si>
  <si>
    <t>N1383 Lekie Drive</t>
  </si>
  <si>
    <t>W9198 Broek Rd</t>
  </si>
  <si>
    <t>24136 Leap Road</t>
  </si>
  <si>
    <t>19143 Mercury Ave</t>
  </si>
  <si>
    <t>19155 Mesa Ave.</t>
  </si>
  <si>
    <t>2405 W 300 S</t>
  </si>
  <si>
    <t>6725 W. 050 S.</t>
  </si>
  <si>
    <t>278 Truce Rd</t>
  </si>
  <si>
    <t>551 County Route 16</t>
  </si>
  <si>
    <t>0500 W 350 S</t>
  </si>
  <si>
    <t>31321 County Route 29</t>
  </si>
  <si>
    <t>1080 Sprout Hill Rd</t>
  </si>
  <si>
    <t>3349 CR 70</t>
  </si>
  <si>
    <t>3249 Township Road 414</t>
  </si>
  <si>
    <t>9400 Old Route 22</t>
  </si>
  <si>
    <t>1901 Christensen Ln.</t>
  </si>
  <si>
    <t>441 Purok 6, Liwayway</t>
  </si>
  <si>
    <t>3818 Fergusen Cr. Rd</t>
  </si>
  <si>
    <t>283 Paradise Road</t>
  </si>
  <si>
    <t>400 Furnace Road</t>
  </si>
  <si>
    <t>2116 CR 35</t>
  </si>
  <si>
    <t>3160 S 375 W</t>
  </si>
  <si>
    <t>3061 Edwards Rd.</t>
  </si>
  <si>
    <t>5236 Hazelwood Ave. SW</t>
  </si>
  <si>
    <t>0365 W 200 N</t>
  </si>
  <si>
    <t>3580 Osceola Rd</t>
  </si>
  <si>
    <t>1470 TR 661</t>
  </si>
  <si>
    <t>N16263 County T</t>
  </si>
  <si>
    <t>2792 Keech Rd</t>
  </si>
  <si>
    <t>6641 County Road 19</t>
  </si>
  <si>
    <t>4040 State Route 177</t>
  </si>
  <si>
    <t>1455 S 250 W</t>
  </si>
  <si>
    <t>4404 Township Rd 366</t>
  </si>
  <si>
    <t>166 South Belmont Road</t>
  </si>
  <si>
    <t>703 Brotherton Road</t>
  </si>
  <si>
    <t>181 River Road</t>
  </si>
  <si>
    <t>104 Boyea Rd</t>
  </si>
  <si>
    <t>1638 West Valley Road</t>
  </si>
  <si>
    <t>338 Gardner Road</t>
  </si>
  <si>
    <t>8781 Center Rd.</t>
  </si>
  <si>
    <t>1090 Monument Orviston Rd</t>
  </si>
  <si>
    <t>133 Colgrobe Road</t>
  </si>
  <si>
    <t>204 Soapstone Lane</t>
  </si>
  <si>
    <t>305 Mahoney Road</t>
  </si>
  <si>
    <t>2582 State Hwy 37</t>
  </si>
  <si>
    <t>1847  Susquehannock Drive</t>
  </si>
  <si>
    <t>6400 Lawson Road</t>
  </si>
  <si>
    <t>4227 Bach Rd</t>
  </si>
  <si>
    <t>450 Springhill Rd</t>
  </si>
  <si>
    <t>1414 Seaney Rd.</t>
  </si>
  <si>
    <t>490 County Road 37</t>
  </si>
  <si>
    <t>147 N Ramona Road</t>
  </si>
  <si>
    <t>0360 S. 1000 W.</t>
  </si>
  <si>
    <t>3749 O'Brien Rd</t>
  </si>
  <si>
    <t>565 McDowell Rd</t>
  </si>
  <si>
    <t>4249 Bath Rd.</t>
  </si>
  <si>
    <t>21241 Dutchmans Crossing Dr</t>
  </si>
  <si>
    <t>E 4078 Casco West Kewaunee Line Lane</t>
  </si>
  <si>
    <t>510 Conlon Rd</t>
  </si>
  <si>
    <t>8173 Hopkins Rd</t>
  </si>
  <si>
    <t>815 W. Whitney Rd.</t>
  </si>
  <si>
    <t>2427 Meridian Road</t>
  </si>
  <si>
    <t>264 Ames Hill Rd</t>
  </si>
  <si>
    <t>1325 Ivy Ave</t>
  </si>
  <si>
    <t>S3261 County Road B</t>
  </si>
  <si>
    <t>W7724 Center Rd.</t>
  </si>
  <si>
    <t>10018 Donald Lane</t>
  </si>
  <si>
    <t>8517 Leesburg Rd.</t>
  </si>
  <si>
    <t>4550 70th Ave</t>
  </si>
  <si>
    <t>1109 N Ella</t>
  </si>
  <si>
    <t>1400 Foreman Street</t>
  </si>
  <si>
    <t>239 North Old Highway 91</t>
  </si>
  <si>
    <t>145 Cane Creek Blvd</t>
  </si>
  <si>
    <t>2486 Anderson Rd</t>
  </si>
  <si>
    <t>207 W 6th St</t>
  </si>
  <si>
    <t>8978 County Road 142</t>
  </si>
  <si>
    <t>250 S. Garrard Blvd</t>
  </si>
  <si>
    <t>3632 Bench Road</t>
  </si>
  <si>
    <t>1750 State Rte 40</t>
  </si>
  <si>
    <t>4825 CR 96</t>
  </si>
  <si>
    <t>W1149 Pine Creek Rd</t>
  </si>
  <si>
    <t>1591 River Road</t>
  </si>
  <si>
    <t>6614 Coon Rock Rd</t>
  </si>
  <si>
    <t>1258 Maryland Ave</t>
  </si>
  <si>
    <t>10 Pine Creek Road</t>
  </si>
  <si>
    <t>11356 Rd. 5 1/2</t>
  </si>
  <si>
    <t>649 Ebenezer Road</t>
  </si>
  <si>
    <t>7633 US 27 North</t>
  </si>
  <si>
    <t>4696 Cody Rd</t>
  </si>
  <si>
    <t>2795 S 1000 W</t>
  </si>
  <si>
    <t>W7812 County Road O</t>
  </si>
  <si>
    <t>338 Oak Flat Rd</t>
  </si>
  <si>
    <t>199 Saottini Ln.</t>
  </si>
  <si>
    <t>29 Shady Pine Lane</t>
  </si>
  <si>
    <t>476 McQueen Road</t>
  </si>
  <si>
    <t>1706 State Route 230</t>
  </si>
  <si>
    <t>1486 Johnson Road</t>
  </si>
  <si>
    <t>Lot A36, A37, An Hiep Industrial Park, Thuan Dien Hamlet, Tuong Da Commune</t>
  </si>
  <si>
    <t>E 7150 County Road PF</t>
  </si>
  <si>
    <t>0475 N SR 5</t>
  </si>
  <si>
    <t>330 SE Kayak Street</t>
  </si>
  <si>
    <t>5617 Middle Road</t>
  </si>
  <si>
    <t>2385 500th St SW</t>
  </si>
  <si>
    <t>19383 Liv 204</t>
  </si>
  <si>
    <t>W 6317 County Road G</t>
  </si>
  <si>
    <t>1246 Cannibal Island Road</t>
  </si>
  <si>
    <t>3420 Guerneville Road</t>
  </si>
  <si>
    <t>5932 Waits Road</t>
  </si>
  <si>
    <t>N3605 County Road O</t>
  </si>
  <si>
    <t>353 Hobgood Rd</t>
  </si>
  <si>
    <t>1400 Van Buren St</t>
  </si>
  <si>
    <t>34717 St Hwy 64</t>
  </si>
  <si>
    <t>2711 Township Rd 166</t>
  </si>
  <si>
    <t>1051 Kiwi Ave</t>
  </si>
  <si>
    <t>5817 Geer Rd</t>
  </si>
  <si>
    <t>95 Brittany Lane</t>
  </si>
  <si>
    <t>32151 County Road 12</t>
  </si>
  <si>
    <t>406 Palmer Rd.</t>
  </si>
  <si>
    <t>W8714 W 2nd</t>
  </si>
  <si>
    <t>N3136 Pelsdorf Ave</t>
  </si>
  <si>
    <t>7330 Co Rd 97</t>
  </si>
  <si>
    <t>540 Lake Cook Rd</t>
  </si>
  <si>
    <t>20063 Juneau Rd</t>
  </si>
  <si>
    <t>4420 W 350S</t>
  </si>
  <si>
    <t>S447 Currier Rd</t>
  </si>
  <si>
    <t>2034 Louisburg Rd</t>
  </si>
  <si>
    <t>248 Blank Rd</t>
  </si>
  <si>
    <t>5415 W 100 N</t>
  </si>
  <si>
    <t>10341 Mill Road</t>
  </si>
  <si>
    <t>342 Wells Road</t>
  </si>
  <si>
    <t>2327 Tw Rd.</t>
  </si>
  <si>
    <t>1133 Knepp Rd.</t>
  </si>
  <si>
    <t>38 S. Maysville Road</t>
  </si>
  <si>
    <t>3378 Fruit Ave.</t>
  </si>
  <si>
    <t>255 Oldick Rd</t>
  </si>
  <si>
    <t>2560 S 375 W</t>
  </si>
  <si>
    <t>1370 US 62</t>
  </si>
  <si>
    <t>4340 Cody Road</t>
  </si>
  <si>
    <t>8740 W State Road 120</t>
  </si>
  <si>
    <t>W8186 Sunset Rd</t>
  </si>
  <si>
    <t>1325 Jefferson Road</t>
  </si>
  <si>
    <t>6401 Klein Rd.</t>
  </si>
  <si>
    <t>7708 County Highway F</t>
  </si>
  <si>
    <t>4836 Nelson Road</t>
  </si>
  <si>
    <t>S 7981 Peterson Ave</t>
  </si>
  <si>
    <t>1037 North Old 92 Road</t>
  </si>
  <si>
    <t>933 Aldrich Road</t>
  </si>
  <si>
    <t>14413 170th St</t>
  </si>
  <si>
    <t>103 Hinds Road</t>
  </si>
  <si>
    <t>4325 S 250 W</t>
  </si>
  <si>
    <t>10975 102nd Street</t>
  </si>
  <si>
    <t>1445 Voak Road</t>
  </si>
  <si>
    <t>7949 East Meinert Road</t>
  </si>
  <si>
    <t>309 Hillside Lane 1</t>
  </si>
  <si>
    <t>4145 S 675 W</t>
  </si>
  <si>
    <t>5746 Plymouth-Spring Mill Road</t>
  </si>
  <si>
    <t>3480 N 675 W</t>
  </si>
  <si>
    <t>0055 S 1100 W</t>
  </si>
  <si>
    <t>1724 Ridge Rd</t>
  </si>
  <si>
    <t>1025 CR 20</t>
  </si>
  <si>
    <t>2067 Bergholz Road NE</t>
  </si>
  <si>
    <t>5645 W. 500 S.</t>
  </si>
  <si>
    <t>1626 Baptist Street</t>
  </si>
  <si>
    <t>2967 East Sherman Hollow Rd</t>
  </si>
  <si>
    <t>W2476 County N</t>
  </si>
  <si>
    <t>6275 S. Mt. Eaton Rd.</t>
  </si>
  <si>
    <t>0745 S 1075 W</t>
  </si>
  <si>
    <t>34459 Carpenter Rd</t>
  </si>
  <si>
    <t>3119 TR 414</t>
  </si>
  <si>
    <t>638 Keller Road</t>
  </si>
  <si>
    <t>10244 S. Rodgers Ave.</t>
  </si>
  <si>
    <t>24421 Horseshoe Rd</t>
  </si>
  <si>
    <t>1457 Bradley Brook Road</t>
  </si>
  <si>
    <t>265 Skaneateles Tpke</t>
  </si>
  <si>
    <t>29579 Co Rt 6</t>
  </si>
  <si>
    <t>223 Masser Road</t>
  </si>
  <si>
    <t>14410 Hayes Rd</t>
  </si>
  <si>
    <t>7392 Zurich Road</t>
  </si>
  <si>
    <t>N 5815 HiLine Ave.</t>
  </si>
  <si>
    <t>110 Hill Road</t>
  </si>
  <si>
    <t>970 North State Route 934</t>
  </si>
  <si>
    <t>832 Geise Road</t>
  </si>
  <si>
    <t>16026 East O.N. Avenue</t>
  </si>
  <si>
    <t>1097 Robinson Road</t>
  </si>
  <si>
    <t>391 Sabin Rd</t>
  </si>
  <si>
    <t>526 Stoney Run Road</t>
  </si>
  <si>
    <t>16551 Merry Hill Rd</t>
  </si>
  <si>
    <t>1039 Hilltop Road</t>
  </si>
  <si>
    <t>2203 Italy Friend Road</t>
  </si>
  <si>
    <t>W4309 County Line Road</t>
  </si>
  <si>
    <t>16675 70th Ave</t>
  </si>
  <si>
    <t>9044 Township Road 657</t>
  </si>
  <si>
    <t>1120 N 1150W</t>
  </si>
  <si>
    <t>14626 Baumgartner Rd</t>
  </si>
  <si>
    <t>1798 Pepper Rd.</t>
  </si>
  <si>
    <t>426 Vincent road</t>
  </si>
  <si>
    <t>7311 Ethan Allen Hwy</t>
  </si>
  <si>
    <t>2754 Novato Blvd.</t>
  </si>
  <si>
    <t>440 Snow Hill Road</t>
  </si>
  <si>
    <t>180 Tom Brown Road</t>
  </si>
  <si>
    <t>100 North Valley Street</t>
  </si>
  <si>
    <t>24 Wheatsheaf Farm Rd</t>
  </si>
  <si>
    <t>866 Bartville Rd</t>
  </si>
  <si>
    <t>N14369 Sterling Ave</t>
  </si>
  <si>
    <t>2607 Birch Road</t>
  </si>
  <si>
    <t>72 Harper Road</t>
  </si>
  <si>
    <t>49982 ST HWY 15</t>
  </si>
  <si>
    <t>59 Forget Rd</t>
  </si>
  <si>
    <t>11-02 38th Avenue</t>
  </si>
  <si>
    <t>25793 Waddingham Road</t>
  </si>
  <si>
    <t>4863 Meadow Dr.</t>
  </si>
  <si>
    <t>2700 Llano Rd.</t>
  </si>
  <si>
    <t>525 White School Road</t>
  </si>
  <si>
    <t>3557 TR 406</t>
  </si>
  <si>
    <t>9147 Fraser Rd</t>
  </si>
  <si>
    <t>N14228 Catlin Avenue</t>
  </si>
  <si>
    <t>276 Beech Road</t>
  </si>
  <si>
    <t>267 Millwood Rd</t>
  </si>
  <si>
    <t>522 Phillip Rd.</t>
  </si>
  <si>
    <t>1887 7th Avenue</t>
  </si>
  <si>
    <t>355 County Route 2</t>
  </si>
  <si>
    <t>190 Church Lane</t>
  </si>
  <si>
    <t>3655 W 200 N</t>
  </si>
  <si>
    <t>22063 Pealer Mill Rd.</t>
  </si>
  <si>
    <t>145 McGillic Rd</t>
  </si>
  <si>
    <t>185 Truce Rd.</t>
  </si>
  <si>
    <t>311 Barker Rd</t>
  </si>
  <si>
    <t>4121 Gosline Rd</t>
  </si>
  <si>
    <t>N5025 Meridian Ave</t>
  </si>
  <si>
    <t>N8053 West River Road</t>
  </si>
  <si>
    <t>9430 Bull Hill Rd</t>
  </si>
  <si>
    <t>39/16M.3</t>
  </si>
  <si>
    <t>2096 560th Street SW</t>
  </si>
  <si>
    <t>10318 N 600 W</t>
  </si>
  <si>
    <t>1216 US 62</t>
  </si>
  <si>
    <t>4195 S. State Road 5</t>
  </si>
  <si>
    <t>4834 Nelson Road</t>
  </si>
  <si>
    <t>N4972 State Highway 117</t>
  </si>
  <si>
    <t>10782 Miller rd. SW</t>
  </si>
  <si>
    <t>5071 Pleasant Valley Road</t>
  </si>
  <si>
    <t>3570 E 200 S</t>
  </si>
  <si>
    <t>5115 Ray Crosby Rd.</t>
  </si>
  <si>
    <t>S4819 Fox Ridge Rd</t>
  </si>
  <si>
    <t>1735 W 300 S</t>
  </si>
  <si>
    <t>3350 W 200 N</t>
  </si>
  <si>
    <t>1726 CR 1240 N</t>
  </si>
  <si>
    <t>No. 286/1, Daraluwa Estate, Daraluwa, Makandura</t>
  </si>
  <si>
    <t>1560 French Road</t>
  </si>
  <si>
    <t>3792 Penrod Road NW</t>
  </si>
  <si>
    <t>2721 East 90th Street</t>
  </si>
  <si>
    <t>5685 W 1100 N</t>
  </si>
  <si>
    <t>1248 Route 39</t>
  </si>
  <si>
    <t>16579 County Road 9</t>
  </si>
  <si>
    <t>525 Cedar Hill Rd</t>
  </si>
  <si>
    <t>122 Willard Peterson Road</t>
  </si>
  <si>
    <t>5503 E Herrick Road</t>
  </si>
  <si>
    <t>20102 County 36</t>
  </si>
  <si>
    <t>4333 Lay Rd</t>
  </si>
  <si>
    <t>17784 County Road 7</t>
  </si>
  <si>
    <t>S2505A Tri-State Rd</t>
  </si>
  <si>
    <t>N1307 King Hill Rd</t>
  </si>
  <si>
    <t>2580 Angling Rd</t>
  </si>
  <si>
    <t>W8903 Lewis Road</t>
  </si>
  <si>
    <t>2375 540th Street SW</t>
  </si>
  <si>
    <t>220 Deaverview Road</t>
  </si>
  <si>
    <t>6671 Bailey Rd</t>
  </si>
  <si>
    <t>307 Aney Hill Road</t>
  </si>
  <si>
    <t>13449 County Road 35</t>
  </si>
  <si>
    <t>372 Hinman Road</t>
  </si>
  <si>
    <t>1732 Ft. Bridgman Road</t>
  </si>
  <si>
    <t>24252 HM Dr</t>
  </si>
  <si>
    <t>S2589 Jessop Road</t>
  </si>
  <si>
    <t>7907 Tucker Hill Rd</t>
  </si>
  <si>
    <t>S1306 B Calhoun Rd</t>
  </si>
  <si>
    <t>5935 Staley Road</t>
  </si>
  <si>
    <t>2510 W 550 S</t>
  </si>
  <si>
    <t>6130 S. AVALON BLVD, STE 807</t>
  </si>
  <si>
    <t>156 Bog Rd.</t>
  </si>
  <si>
    <t>2733 North Road</t>
  </si>
  <si>
    <t>5423 East Dover Rd</t>
  </si>
  <si>
    <t>858 Jorgensen Rd</t>
  </si>
  <si>
    <t>W2728 Wood Creek Avenue</t>
  </si>
  <si>
    <t>33915 County Rd 126</t>
  </si>
  <si>
    <t>65409 287th Avenue</t>
  </si>
  <si>
    <t>8554 County Road 47</t>
  </si>
  <si>
    <t>39 Cow Hill Road</t>
  </si>
  <si>
    <t>4304 State Route 93 NW</t>
  </si>
  <si>
    <t>18844 Carson Road</t>
  </si>
  <si>
    <t>5274 East Koy Rd</t>
  </si>
  <si>
    <t>2083 Moore Hill Rd</t>
  </si>
  <si>
    <t>4803 Cty Hwy M</t>
  </si>
  <si>
    <t>34 Butler Rd</t>
  </si>
  <si>
    <t>3000 Whitaker Bluff Road</t>
  </si>
  <si>
    <t>N3808 Duncan Hill Rd</t>
  </si>
  <si>
    <t>2942 Black Bear Road</t>
  </si>
  <si>
    <t>5157 Stony Point Rd.</t>
  </si>
  <si>
    <t>28 Creamery Lane</t>
  </si>
  <si>
    <t>W16141 County Road C</t>
  </si>
  <si>
    <t>34 Sabin Road</t>
  </si>
  <si>
    <t>272 Long Road</t>
  </si>
  <si>
    <t>110441 Township Rd</t>
  </si>
  <si>
    <t>237027 Silver Leaf Road</t>
  </si>
  <si>
    <t>10667 Station Rd</t>
  </si>
  <si>
    <t>504 Hensel Rd</t>
  </si>
  <si>
    <t>230 County Route 9</t>
  </si>
  <si>
    <t>3810 St HWY 812</t>
  </si>
  <si>
    <t>6696 Briery Branch Road</t>
  </si>
  <si>
    <t>220 Siberia Rd</t>
  </si>
  <si>
    <t>7815 State Rd 44</t>
  </si>
  <si>
    <t>291 Soules Hill Road</t>
  </si>
  <si>
    <t>211 Tabor Road</t>
  </si>
  <si>
    <t>PO Box 278</t>
  </si>
  <si>
    <t>5229 Cheningo Rd</t>
  </si>
  <si>
    <t>8203 125th St.</t>
  </si>
  <si>
    <t>28094 Nestle Road</t>
  </si>
  <si>
    <t>10855 CR 32</t>
  </si>
  <si>
    <t>895 E. Kneeland Rd</t>
  </si>
  <si>
    <t>No 93, Group 5 An My Hamlet, An
Dien Commune</t>
  </si>
  <si>
    <t>N4465 Townhall Rd</t>
  </si>
  <si>
    <t>S5428 Narrows Valley Road</t>
  </si>
  <si>
    <t>26706 Timber Ave</t>
  </si>
  <si>
    <t>N1584 Market Road</t>
  </si>
  <si>
    <t>3450 Turner Hill Rd</t>
  </si>
  <si>
    <t>10286 Mercersburg Road</t>
  </si>
  <si>
    <t>4250 N 750 W</t>
  </si>
  <si>
    <t>860 Kelly Hill Road</t>
  </si>
  <si>
    <t>4875 Swamp Rd</t>
  </si>
  <si>
    <t>E17590 Co. Rd. X</t>
  </si>
  <si>
    <t>3587 Rt. 364</t>
  </si>
  <si>
    <t>3578 Cody Road</t>
  </si>
  <si>
    <t>60311 Encino Road</t>
  </si>
  <si>
    <t>9030 PREMIER ROW</t>
  </si>
  <si>
    <t>316 Markus Court</t>
  </si>
  <si>
    <t>23520 Pioneer Hwy</t>
  </si>
  <si>
    <t>10250 US HWY 385</t>
  </si>
  <si>
    <t>31902 Northeast Lewisville Highway</t>
  </si>
  <si>
    <t>321 North Yale Road</t>
  </si>
  <si>
    <t>1675 James Parkway</t>
  </si>
  <si>
    <t>899 Northgate Drive, Suite 405</t>
  </si>
  <si>
    <t>29262 Wagner Road</t>
  </si>
  <si>
    <t>5570 Eagle Ave SW</t>
  </si>
  <si>
    <t>10341 Wang Ridge Rd</t>
  </si>
  <si>
    <t>1315 Tomales Road</t>
  </si>
  <si>
    <t>CARR.LIBRAMIENTO CUQUIO YAHUALICA KM 33 COL. L. CÁRDENAS</t>
  </si>
  <si>
    <t>5155 St Rt 13 S</t>
  </si>
  <si>
    <t>8601 TR 601</t>
  </si>
  <si>
    <t>1715 Evans Hollow Road</t>
  </si>
  <si>
    <t>7539 Township Road 524</t>
  </si>
  <si>
    <t>50726 State Hwy. 15</t>
  </si>
  <si>
    <t>773 Chester Arthur Road</t>
  </si>
  <si>
    <t>211 15th Street</t>
  </si>
  <si>
    <t>801 2nd Street,</t>
  </si>
  <si>
    <t>101 West Fulton St</t>
  </si>
  <si>
    <t>181 York St</t>
  </si>
  <si>
    <t>10192 Hwy 28 West</t>
  </si>
  <si>
    <t>N8304 Highway 73</t>
  </si>
  <si>
    <t>20141 State Highway 27</t>
  </si>
  <si>
    <t>2189 Co Road 600</t>
  </si>
  <si>
    <t>1444 Fairbank Amish Blvd</t>
  </si>
  <si>
    <t>2610 W. 050N.</t>
  </si>
  <si>
    <t>44 Brewer Rd</t>
  </si>
  <si>
    <t>676 County Road 37</t>
  </si>
  <si>
    <t>418 Kretchman Farm Road</t>
  </si>
  <si>
    <t>16 Kavanaugh Corners Road</t>
  </si>
  <si>
    <t>266 Little Briggs Street</t>
  </si>
  <si>
    <t>25708 CR 46</t>
  </si>
  <si>
    <t>118 Lepro Martin Road</t>
  </si>
  <si>
    <t>60687 CR 37</t>
  </si>
  <si>
    <t>229 Peaceful Valley Road</t>
  </si>
  <si>
    <t>48052 Township Road 218</t>
  </si>
  <si>
    <t>27455 County Road 37</t>
  </si>
  <si>
    <t>1468 Stone Arabia Road</t>
  </si>
  <si>
    <t>14275 County Road 35</t>
  </si>
  <si>
    <t>5380 West Swamp Rd</t>
  </si>
  <si>
    <t>432 22nd street units 401- 3/401/4</t>
  </si>
  <si>
    <t>601 Carlson Parkway</t>
  </si>
  <si>
    <t>10975 Millers Road</t>
  </si>
  <si>
    <t>3501 Hoxie Gorge-Freetown Road</t>
  </si>
  <si>
    <t>1124 W Carson St MRL</t>
  </si>
  <si>
    <t>5345 Bodega Ave.</t>
  </si>
  <si>
    <t>10808 County Road 65 NE</t>
  </si>
  <si>
    <t>17842 352nd St</t>
  </si>
  <si>
    <t>34601 Queensfield Rd</t>
  </si>
  <si>
    <t>60 North Ronks Road</t>
  </si>
  <si>
    <t>25413 Pink Schoolhouse Rd.</t>
  </si>
  <si>
    <t>NO. 5 MERCURY AVENUE, BAGUMBAYAN</t>
  </si>
  <si>
    <t>1390 120th Street</t>
  </si>
  <si>
    <t>6366 Fredrickson Road</t>
  </si>
  <si>
    <t>124 A West Cattail Rd</t>
  </si>
  <si>
    <t>272 East Rd.</t>
  </si>
  <si>
    <t>1330 S 00 EW</t>
  </si>
  <si>
    <t>1070 W Northport Road</t>
  </si>
  <si>
    <t>11673 Ivan Allen Road</t>
  </si>
  <si>
    <t>333 West Hill Rd</t>
  </si>
  <si>
    <t>950 Gilman Street</t>
  </si>
  <si>
    <t>Avenida Sete de Setembro, 758 - Machuca</t>
  </si>
  <si>
    <t>162 Malden Turnpike Building 5</t>
  </si>
  <si>
    <t>120 Liberty Street PO Box 238</t>
  </si>
  <si>
    <t>4189 S Croswell</t>
  </si>
  <si>
    <t>0525 W 800 S</t>
  </si>
  <si>
    <t>6303 S Baldwin Ave</t>
  </si>
  <si>
    <t>240 B N. County Road 275 East</t>
  </si>
  <si>
    <t>120 W. Main St Suite 200</t>
  </si>
  <si>
    <t>3458 Disinger Road</t>
  </si>
  <si>
    <t>694 Co. Rd #13</t>
  </si>
  <si>
    <t>40 Baker Hollow Road</t>
  </si>
  <si>
    <t>N11114 Hixton - Levis Rd</t>
  </si>
  <si>
    <t>7380 Highway 53</t>
  </si>
  <si>
    <t>32 Whitney Lyman Drive</t>
  </si>
  <si>
    <t>3209 Five Corners Road</t>
  </si>
  <si>
    <t>781 State Route 167</t>
  </si>
  <si>
    <t>59D N Broad Street</t>
  </si>
  <si>
    <t>2251 Wickwire Road</t>
  </si>
  <si>
    <t>125 First Street</t>
  </si>
  <si>
    <t>1000 Wild Iris Lane</t>
  </si>
  <si>
    <t>4650 West 5500 South</t>
  </si>
  <si>
    <t>W3443 County Road W</t>
  </si>
  <si>
    <t>10198 Aumock Rd</t>
  </si>
  <si>
    <t>W12478 Holmen Road</t>
  </si>
  <si>
    <t>110 Eagle Drive</t>
  </si>
  <si>
    <t>3063 State Rt 12B</t>
  </si>
  <si>
    <t>203824 Folz Road</t>
  </si>
  <si>
    <t>8062 #2 West Rd</t>
  </si>
  <si>
    <t>W1462 County  Road A</t>
  </si>
  <si>
    <t>5245 Patzer Lane</t>
  </si>
  <si>
    <t>10445 W 500 S</t>
  </si>
  <si>
    <t>W4683 West Slab City Road</t>
  </si>
  <si>
    <t>1572 TR 111</t>
  </si>
  <si>
    <t>1190 Hopeton Road</t>
  </si>
  <si>
    <t>5595 Township Rd 409</t>
  </si>
  <si>
    <t>1142 Chidsey Road</t>
  </si>
  <si>
    <t>10253 S Rogers Ave</t>
  </si>
  <si>
    <t>6016 E Clarabella Rd</t>
  </si>
  <si>
    <t>11012 Rt. 98</t>
  </si>
  <si>
    <t>2380 S. 300 W.</t>
  </si>
  <si>
    <t>13641 CR 22</t>
  </si>
  <si>
    <t>2148 Rohrersville Rd</t>
  </si>
  <si>
    <t>3892 Mutton Hill Rd</t>
  </si>
  <si>
    <t>N7271 Hwy 12</t>
  </si>
  <si>
    <t>7199 County Line Rd</t>
  </si>
  <si>
    <t>2231 St Rt 60</t>
  </si>
  <si>
    <t>1515 County Highway 5</t>
  </si>
  <si>
    <t>645 Broad St. Ext</t>
  </si>
  <si>
    <t>33507 S. Meridian Rd.</t>
  </si>
  <si>
    <t>0345 E 800 S</t>
  </si>
  <si>
    <t>29974 Klondike Ave</t>
  </si>
  <si>
    <t>11037 Cocker Drive</t>
  </si>
  <si>
    <t>S3865 Shreve Road</t>
  </si>
  <si>
    <t>16000 Bodega Highway</t>
  </si>
  <si>
    <t>84 Corona Road</t>
  </si>
  <si>
    <t>6800 Gericke Rd.</t>
  </si>
  <si>
    <t>51113 340th Street</t>
  </si>
  <si>
    <t>1979 Copenhagen Rd.</t>
  </si>
  <si>
    <t>W12530 Cutoff Rd</t>
  </si>
  <si>
    <t>314 E 1st Street</t>
  </si>
  <si>
    <t>E3085 South Ridge Rd.</t>
  </si>
  <si>
    <t>4740 CR 96</t>
  </si>
  <si>
    <t>159 Sarafin Road</t>
  </si>
  <si>
    <t>12939 Ira Station Rd</t>
  </si>
  <si>
    <t>63586 CR 35</t>
  </si>
  <si>
    <t>5438/5410 N Broadway St</t>
  </si>
  <si>
    <t>4721 S. Stone Road</t>
  </si>
  <si>
    <t>2113 26th St</t>
  </si>
  <si>
    <t>N7392 Hi Line Ave.</t>
  </si>
  <si>
    <t>W901 Thorson Road.</t>
  </si>
  <si>
    <t>26501 County Road 37</t>
  </si>
  <si>
    <t>536 Oldick Road</t>
  </si>
  <si>
    <t>2446 Pine Hill Road</t>
  </si>
  <si>
    <t>across from 318 Garland Rd.</t>
  </si>
  <si>
    <t>263 Dugan Rd</t>
  </si>
  <si>
    <t>46 Rynear Rd</t>
  </si>
  <si>
    <t>5915 Broadway</t>
  </si>
  <si>
    <t>699 Piezzi Rd.</t>
  </si>
  <si>
    <t>180 Rail Road Ave</t>
  </si>
  <si>
    <t>7019 West Sunnyview Ave</t>
  </si>
  <si>
    <t>9071 Fever Hill Rd</t>
  </si>
  <si>
    <t>26732 Harvest Ave</t>
  </si>
  <si>
    <t>S-453 County Road D</t>
  </si>
  <si>
    <t>Rodovia RN 313, 8000, Distrito de Pium</t>
  </si>
  <si>
    <t>22897 364th St</t>
  </si>
  <si>
    <t>3877 Java Road</t>
  </si>
  <si>
    <t>4161 Highway 57 S</t>
  </si>
  <si>
    <t>20271 Sunny Lane</t>
  </si>
  <si>
    <t>47522 Hwy 436</t>
  </si>
  <si>
    <t>1934 Lancaster Pike</t>
  </si>
  <si>
    <t>498 Bawden Rd</t>
  </si>
  <si>
    <t>203 Swiggum Rd</t>
  </si>
  <si>
    <t>N 13438 St Hwy 73</t>
  </si>
  <si>
    <t>19300 Trestle Dr.</t>
  </si>
  <si>
    <t>E8202A Cherry Grove Road</t>
  </si>
  <si>
    <t>W11245 Prindle Rd</t>
  </si>
  <si>
    <t>2365 Colebrook Rd.</t>
  </si>
  <si>
    <t>45/1 Moo1 Nongyasai</t>
  </si>
  <si>
    <t>967 B Transport Way</t>
  </si>
  <si>
    <t>399 South Hill Road</t>
  </si>
  <si>
    <t>343 Fortin Farm Road</t>
  </si>
  <si>
    <t>3785 River Road</t>
  </si>
  <si>
    <t>48 Cutting Road</t>
  </si>
  <si>
    <t>30 Tengren Ave</t>
  </si>
  <si>
    <t>312 Church Rd</t>
  </si>
  <si>
    <t>399 Bonneau Road</t>
  </si>
  <si>
    <t>5404 Vt Rt 100</t>
  </si>
  <si>
    <t>2137 Munger St</t>
  </si>
  <si>
    <t>1525 Kittell Rd</t>
  </si>
  <si>
    <t>101 Hemenway Hill Road</t>
  </si>
  <si>
    <t>1368 West Street</t>
  </si>
  <si>
    <t>2065 Ridge Road</t>
  </si>
  <si>
    <t>570 Lavender Road</t>
  </si>
  <si>
    <t>3050 Dodd Road</t>
  </si>
  <si>
    <t>223 Gilbert Road</t>
  </si>
  <si>
    <t>606 Pond Road</t>
  </si>
  <si>
    <t>2693 Mud City Loop</t>
  </si>
  <si>
    <t>4025 E Bethel Road</t>
  </si>
  <si>
    <t>486 Number 12 Road</t>
  </si>
  <si>
    <t>93 Godin Road</t>
  </si>
  <si>
    <t>1179 Covered Bridge Rd</t>
  </si>
  <si>
    <t>3944 Gore Rd</t>
  </si>
  <si>
    <t>4080 Macks Mountain Road</t>
  </si>
  <si>
    <t>160 Tucker Rd</t>
  </si>
  <si>
    <t>462 Lord Rd</t>
  </si>
  <si>
    <t>1072 Bridgman Hill Rd</t>
  </si>
  <si>
    <t>540 Lowery Road</t>
  </si>
  <si>
    <t>52 Cilley Hill Road</t>
  </si>
  <si>
    <t>195 Monarch Hill Rd</t>
  </si>
  <si>
    <t>225 Prechtl Rd</t>
  </si>
  <si>
    <t>3254 Georgia Shore Rd</t>
  </si>
  <si>
    <t>497 Olney Hill</t>
  </si>
  <si>
    <t>60 Cross Road</t>
  </si>
  <si>
    <t>24 Woodard Farm Rd - Loomis Hill</t>
  </si>
  <si>
    <t>1 N Hyde Park Rd</t>
  </si>
  <si>
    <t>3589 VT Route 108N</t>
  </si>
  <si>
    <t>581 Michaud Drive</t>
  </si>
  <si>
    <t>101 Corinth Road</t>
  </si>
  <si>
    <t>4477 North Road</t>
  </si>
  <si>
    <t>2478 Main St.</t>
  </si>
  <si>
    <t>522 Gratton Hill Road</t>
  </si>
  <si>
    <t>1467 Gilman Road</t>
  </si>
  <si>
    <t>1608 Churchill Road</t>
  </si>
  <si>
    <t>1506 Carpenter Rd, Apt. 2</t>
  </si>
  <si>
    <t>760 Alderbrook Rd</t>
  </si>
  <si>
    <t>202 Paquette Road</t>
  </si>
  <si>
    <t>111 Holyoke Farm Drive</t>
  </si>
  <si>
    <t>137 Gray Rd.</t>
  </si>
  <si>
    <t>249 Cadreact Road</t>
  </si>
  <si>
    <t>982 Tiffany Rd</t>
  </si>
  <si>
    <t>348 Beaver Meadow Road</t>
  </si>
  <si>
    <t>1547 Hardwick Street</t>
  </si>
  <si>
    <t>210 Bolkum Rd.</t>
  </si>
  <si>
    <t>1150 Niles Road</t>
  </si>
  <si>
    <t>341 Macintosh Hill Rd</t>
  </si>
  <si>
    <t>615 Branch Road</t>
  </si>
  <si>
    <t>1674 Holland Pond Road</t>
  </si>
  <si>
    <t>1245 Salem Derby Rd</t>
  </si>
  <si>
    <t>437 Mt Independence RD</t>
  </si>
  <si>
    <t>2445 Littleton Road</t>
  </si>
  <si>
    <t>11 Pond Rd</t>
  </si>
  <si>
    <t>209 Garney Road</t>
  </si>
  <si>
    <t>711 White Road</t>
  </si>
  <si>
    <t>1822 Creek Road</t>
  </si>
  <si>
    <t>35 North St</t>
  </si>
  <si>
    <t>435 Town House Road</t>
  </si>
  <si>
    <t>677 Route 14</t>
  </si>
  <si>
    <t>8180 Vermont Route 22a</t>
  </si>
  <si>
    <t>4343 St Armand Road</t>
  </si>
  <si>
    <t>785 Menard Road</t>
  </si>
  <si>
    <t>76 Roy Farm Rd</t>
  </si>
  <si>
    <t>2227 Highgate Road</t>
  </si>
  <si>
    <t>4051 VT Route 100</t>
  </si>
  <si>
    <t>661 South St</t>
  </si>
  <si>
    <t>350 Farnsworth Road</t>
  </si>
  <si>
    <t>30 Howe Ln</t>
  </si>
  <si>
    <t>1012 Hinman Settler Road</t>
  </si>
  <si>
    <t>258 N Main St</t>
  </si>
  <si>
    <t>5189 Route 22 A</t>
  </si>
  <si>
    <t>37 Hook RD</t>
  </si>
  <si>
    <t>3326 VT Route 100</t>
  </si>
  <si>
    <t>958 #12 Road</t>
  </si>
  <si>
    <t>4727 Mud City Loop</t>
  </si>
  <si>
    <t>3809 Vt Rt 100</t>
  </si>
  <si>
    <t>830 Mount Hunger Road</t>
  </si>
  <si>
    <t>224 Gulf Road</t>
  </si>
  <si>
    <t>2806 Collins Mill Road</t>
  </si>
  <si>
    <t>478 Tetreault Rd</t>
  </si>
  <si>
    <t>1184 Cross Road</t>
  </si>
  <si>
    <t>2921 Collins Mill Road &amp; Wright Road</t>
  </si>
  <si>
    <t>336 Emch Dr</t>
  </si>
  <si>
    <t>81 Horton Rd</t>
  </si>
  <si>
    <t>975 Rocky Rd</t>
  </si>
  <si>
    <t>2167 Route 100</t>
  </si>
  <si>
    <t>176 Houde Lane</t>
  </si>
  <si>
    <t>2346 Hwy 1 &amp; 92</t>
  </si>
  <si>
    <t>34445 Hwy 63</t>
  </si>
  <si>
    <t>816 West Bannock Street, Suite 202</t>
  </si>
  <si>
    <t>Jl. Asoka D1-D5 Bintan Industrial Estate, Lobam Bintan, Riau Island INDONESIA</t>
  </si>
  <si>
    <t>Jalan Gerilya Timur 289B Purwokerto</t>
  </si>
  <si>
    <t>Podomoro City, Ruko Garden Shopping, Arcade Blok B/8 DH JL. S. Parman Kel. Tanjung Duren Selatan Kec. Grogol-Petamburan</t>
  </si>
  <si>
    <t>Jl. Menteri Supeno. Karangnanas, Sokaraja</t>
  </si>
  <si>
    <t>Jl. Arak Arak 52</t>
  </si>
  <si>
    <t>JL. Raya Cijulang KM 06 No. 01,
Desa Sukaresik Kecamatan
Sidamulih</t>
  </si>
  <si>
    <t>Jl Raya Bakauheni Km. 16 Tarahan</t>
  </si>
  <si>
    <t>3045 New Tampa Highway</t>
  </si>
  <si>
    <t>445 Hurricane Trail</t>
  </si>
  <si>
    <t>N33049 State Road 93</t>
  </si>
  <si>
    <t>2355 Pulteney Rd</t>
  </si>
  <si>
    <t>267 Route 89 South</t>
  </si>
  <si>
    <t>72 Morgan Lane</t>
  </si>
  <si>
    <t>700 Santa Anita Drive. Ste. A</t>
  </si>
  <si>
    <t>9711 Irvine Center Drive</t>
  </si>
  <si>
    <t>63269 Shimmel Rd</t>
  </si>
  <si>
    <t>208 Old 71</t>
  </si>
  <si>
    <t>783 Quarry Road</t>
  </si>
  <si>
    <t>101 Hudson St</t>
  </si>
  <si>
    <t>5263 East Swamp Rd</t>
  </si>
  <si>
    <t>1706 County Road V</t>
  </si>
  <si>
    <t>5238 Crowe Road</t>
  </si>
  <si>
    <t>E10931 Carry Road</t>
  </si>
  <si>
    <t>W2552 Willow Avenue</t>
  </si>
  <si>
    <t>2001 Highway 211</t>
  </si>
  <si>
    <t>1745 Brookville Road</t>
  </si>
  <si>
    <t>198 Cinder Rd</t>
  </si>
  <si>
    <t>N6706 Crevice Rd.</t>
  </si>
  <si>
    <t>26 South Kinzer RD</t>
  </si>
  <si>
    <t>25037 Lake Rd.</t>
  </si>
  <si>
    <t>3535 W River Rd.</t>
  </si>
  <si>
    <t>3480 Hammond Rd</t>
  </si>
  <si>
    <t>4076 Fred Taylor Road</t>
  </si>
  <si>
    <t>1101 Railroad Lane</t>
  </si>
  <si>
    <t>N3858 County Road M</t>
  </si>
  <si>
    <t>627 Bonneau Road</t>
  </si>
  <si>
    <t>8841 Lewis Road</t>
  </si>
  <si>
    <t>38296 395th St</t>
  </si>
  <si>
    <t>870 N College St</t>
  </si>
  <si>
    <t>N2955 State Highway 54</t>
  </si>
  <si>
    <t>238 CR 36</t>
  </si>
  <si>
    <t>923 Coveytown Road</t>
  </si>
  <si>
    <t>0900 S 1075W</t>
  </si>
  <si>
    <t>440 Callahan Road</t>
  </si>
  <si>
    <t>5750 S Cornwell Ave</t>
  </si>
  <si>
    <t>N4290 County Road N</t>
  </si>
  <si>
    <t>4211 Township Road 178</t>
  </si>
  <si>
    <t>3225 S 950 W</t>
  </si>
  <si>
    <t>10804 Hoxie Road</t>
  </si>
  <si>
    <t>9955 Hardins Creek Rd</t>
  </si>
  <si>
    <t>7283 Edgerton Rd</t>
  </si>
  <si>
    <t>N3430 570th St</t>
  </si>
  <si>
    <t>104 Cannistra Ln</t>
  </si>
  <si>
    <t>290 NM 202</t>
  </si>
  <si>
    <t>2064 Gravenstein Hwy North</t>
  </si>
  <si>
    <t>1949 Lycurgus Rd</t>
  </si>
  <si>
    <t>525 Witman Ln.</t>
  </si>
  <si>
    <t>1591 Leitersburg Rd</t>
  </si>
  <si>
    <t>6294 Searsburg Rd</t>
  </si>
  <si>
    <t>4531 Vago Road</t>
  </si>
  <si>
    <t>810 FM 3269</t>
  </si>
  <si>
    <t>629 Metropolitan Road</t>
  </si>
  <si>
    <t>22719 293rd Ave</t>
  </si>
  <si>
    <t>1974 State Route 26</t>
  </si>
  <si>
    <t>5200 Davis Meyer Rd</t>
  </si>
  <si>
    <t>30455 County Highway S</t>
  </si>
  <si>
    <t>8385 20th Rd</t>
  </si>
  <si>
    <t>400 Diesel Drive</t>
  </si>
  <si>
    <t>1558 State Rte 11B</t>
  </si>
  <si>
    <t>5994 Lebanon Rd</t>
  </si>
  <si>
    <t>1270 Bradley Brook Road</t>
  </si>
  <si>
    <t>6525 North 200 East</t>
  </si>
  <si>
    <t>5743 Smithway Street</t>
  </si>
  <si>
    <t>1096 County Highway 25</t>
  </si>
  <si>
    <t>7461 Coca Cola Drive</t>
  </si>
  <si>
    <t>E3937A County Road KK</t>
  </si>
  <si>
    <t>128 Brumfield Rd</t>
  </si>
  <si>
    <t>14183 - 477th Avenue</t>
  </si>
  <si>
    <t>9348 WI-78</t>
  </si>
  <si>
    <t>292 Allegheny Rd.</t>
  </si>
  <si>
    <t>W 6174 Country Rd SS</t>
  </si>
  <si>
    <t>16148 Footville Brodhead Road</t>
  </si>
  <si>
    <t>7660 Townline Rd.</t>
  </si>
  <si>
    <t>3101 State Route 14</t>
  </si>
  <si>
    <t>6510 West 600 South</t>
  </si>
  <si>
    <t>30221 Nevada Rd</t>
  </si>
  <si>
    <t>12454 Matador Ave</t>
  </si>
  <si>
    <t>W10124 Co Highway S</t>
  </si>
  <si>
    <t>6242 US Route 11</t>
  </si>
  <si>
    <t>62 Merrills Mill Rd.</t>
  </si>
  <si>
    <t>4632 Valley Ave</t>
  </si>
  <si>
    <t>2919 Lincoln Hwy E</t>
  </si>
  <si>
    <t>7197 River Road</t>
  </si>
  <si>
    <t>1645 Gov. Chittenden Rd.</t>
  </si>
  <si>
    <t>300 Forest Street</t>
  </si>
  <si>
    <t>W3799 Hwy 67</t>
  </si>
  <si>
    <t>27004 - 122nd Avenue North</t>
  </si>
  <si>
    <t>2897 Maple St Rd</t>
  </si>
  <si>
    <t>N2287 Welsh Road</t>
  </si>
  <si>
    <t>39181 230th Avenue</t>
  </si>
  <si>
    <t>8266 County Route 74</t>
  </si>
  <si>
    <t>639 Jennings Road</t>
  </si>
  <si>
    <t>3144 Kennard Rd</t>
  </si>
  <si>
    <t>1157 County Hwy 24</t>
  </si>
  <si>
    <t>20 Campbell Rd</t>
  </si>
  <si>
    <t>9935 County Highway B</t>
  </si>
  <si>
    <t>53 Rock Bottom Rd</t>
  </si>
  <si>
    <t>49 Airline Hwy</t>
  </si>
  <si>
    <t>337 Stammer Rd</t>
  </si>
  <si>
    <t>3850 Nome St., Unit A</t>
  </si>
  <si>
    <t>W1731 Kiel Rd</t>
  </si>
  <si>
    <t>812 Plains Rd.</t>
  </si>
  <si>
    <t>1659 Quaker Hill Rd</t>
  </si>
  <si>
    <t>2767 Garland Road</t>
  </si>
  <si>
    <t>26889 County 9 Blvd</t>
  </si>
  <si>
    <t>934 Rowell Hill Rd</t>
  </si>
  <si>
    <t>18032 County 78</t>
  </si>
  <si>
    <t>13262 Hwy 126</t>
  </si>
  <si>
    <t>5166 Rottamore Rd</t>
  </si>
  <si>
    <t>4219 Timmerman Road</t>
  </si>
  <si>
    <t>1335 St Hwy 11B</t>
  </si>
  <si>
    <t>7635 W 200 S</t>
  </si>
  <si>
    <t>43157 County Road 184</t>
  </si>
  <si>
    <t>3675 Rowe Road</t>
  </si>
  <si>
    <t>4467 Philothea Rd</t>
  </si>
  <si>
    <t>188 Rooster Road</t>
  </si>
  <si>
    <t>3223 East Rosebush Rd</t>
  </si>
  <si>
    <t>60A N Westview Dr</t>
  </si>
  <si>
    <t>12795 N 500 W</t>
  </si>
  <si>
    <t>169 Rowen Road</t>
  </si>
  <si>
    <t>313 Rowley Rd</t>
  </si>
  <si>
    <t>Purok 10, Poblacion</t>
  </si>
  <si>
    <t>835 Harris Road</t>
  </si>
  <si>
    <t>8409 TR 604</t>
  </si>
  <si>
    <t>W 788 26th Rd</t>
  </si>
  <si>
    <t>620 Cold Springs Road</t>
  </si>
  <si>
    <t>14564 Wagonwheel Dr</t>
  </si>
  <si>
    <t>5140 Mount Davis Road</t>
  </si>
  <si>
    <t>237 Keenan Road</t>
  </si>
  <si>
    <t>242 Groff Road</t>
  </si>
  <si>
    <t>225 CR 25</t>
  </si>
  <si>
    <t>7761 TWP Rd 95</t>
  </si>
  <si>
    <t>139 Vanderbogart Rd</t>
  </si>
  <si>
    <t>51 Tomak Rd</t>
  </si>
  <si>
    <t>1450 Tittle Road</t>
  </si>
  <si>
    <t>5018 Townline Rd</t>
  </si>
  <si>
    <t>3370 Panthersville Rd.</t>
  </si>
  <si>
    <t>4801 Verona Rd</t>
  </si>
  <si>
    <t>5151 County Rd 229</t>
  </si>
  <si>
    <t>14304 Mangen Road</t>
  </si>
  <si>
    <t>3010 Saddle Creek Rd</t>
  </si>
  <si>
    <t>2140 State Route 11</t>
  </si>
  <si>
    <t>2222 South Johns Avenue</t>
  </si>
  <si>
    <t>38324 Co Rd 89</t>
  </si>
  <si>
    <t>13531 Cearfoss Pike</t>
  </si>
  <si>
    <t>1126 West Chestnut St</t>
  </si>
  <si>
    <t>18126 510th Ave</t>
  </si>
  <si>
    <t>183 Roberts Road</t>
  </si>
  <si>
    <t>4645 W 500 S</t>
  </si>
  <si>
    <t>117764 County Road A</t>
  </si>
  <si>
    <t>210 C.R. 12</t>
  </si>
  <si>
    <t>65 Old Mill Rd</t>
  </si>
  <si>
    <t>5700 Limeville Road</t>
  </si>
  <si>
    <t>1579 Bradley Brook Rd</t>
  </si>
  <si>
    <t>5528 Youngs Rd</t>
  </si>
  <si>
    <t>209 Brower Rd</t>
  </si>
  <si>
    <t>0410 W 100 S</t>
  </si>
  <si>
    <t>1980 County Rd 139</t>
  </si>
  <si>
    <t>287 Foy Eldred Rd</t>
  </si>
  <si>
    <t>7481 N Edgerton Rd</t>
  </si>
  <si>
    <t>2303 Leaman Road</t>
  </si>
  <si>
    <t>2589 W 1200 N 57</t>
  </si>
  <si>
    <t>5560 Youngs Rd</t>
  </si>
  <si>
    <t>321 Old Canton Road</t>
  </si>
  <si>
    <t>500 Country Tea Ln</t>
  </si>
  <si>
    <t>186 Geist Road</t>
  </si>
  <si>
    <t>153 Schuyler Rd</t>
  </si>
  <si>
    <t>47734 142nd Street</t>
  </si>
  <si>
    <t>801 Penns Creek Rd</t>
  </si>
  <si>
    <t>112 McIntyre Road</t>
  </si>
  <si>
    <t>243 Given Rd.</t>
  </si>
  <si>
    <t>426 B Beechdale Road</t>
  </si>
  <si>
    <t>124 Maxwell Hill Rd</t>
  </si>
  <si>
    <t>113 North Harvest Road</t>
  </si>
  <si>
    <t>5339 Old Philadelphia Pike</t>
  </si>
  <si>
    <t>6082 Spotts Road</t>
  </si>
  <si>
    <t>147 Michalik Drive</t>
  </si>
  <si>
    <t>W1011 US HWY 10</t>
  </si>
  <si>
    <t>43 Little Beaver Road</t>
  </si>
  <si>
    <t>W2690 Hill Road</t>
  </si>
  <si>
    <t>241 County Rd 28</t>
  </si>
  <si>
    <t>5187 Old Philadelphia Pike</t>
  </si>
  <si>
    <t>167 Wise Rd</t>
  </si>
  <si>
    <t>567 Hermosa Rd</t>
  </si>
  <si>
    <t>1245 Millertown Road</t>
  </si>
  <si>
    <t>270 Coon Trail Lane</t>
  </si>
  <si>
    <t>420 Furnace Road</t>
  </si>
  <si>
    <t>174 Flat Creek Road</t>
  </si>
  <si>
    <t>9708 Center Road.</t>
  </si>
  <si>
    <t>10616 North Henley Road</t>
  </si>
  <si>
    <t>170 West Rd</t>
  </si>
  <si>
    <t>36 Bald Hill Rd</t>
  </si>
  <si>
    <t>370 Scroggy Road</t>
  </si>
  <si>
    <t>1696 State Highway 37 C</t>
  </si>
  <si>
    <t>2386 CR 200</t>
  </si>
  <si>
    <t>1185 W 300 South</t>
  </si>
  <si>
    <t>1099 California Road</t>
  </si>
  <si>
    <t>0350 N 600 W</t>
  </si>
  <si>
    <t>26 Notch Rd</t>
  </si>
  <si>
    <t>1940 Northgate Blvd</t>
  </si>
  <si>
    <t>441 Dillon Rd.</t>
  </si>
  <si>
    <t>290 North Road</t>
  </si>
  <si>
    <t>3431-A Scenic Rd</t>
  </si>
  <si>
    <t>2547 Stape Road</t>
  </si>
  <si>
    <t>S1302 Calhoun Rd</t>
  </si>
  <si>
    <t>3134 Long Creek Rd</t>
  </si>
  <si>
    <t>6005 Unity Road</t>
  </si>
  <si>
    <t>5364 Andrews Hill Road</t>
  </si>
  <si>
    <t>8082 State Rte 7</t>
  </si>
  <si>
    <t>5341 Buyea Rd</t>
  </si>
  <si>
    <t>27118 Newport Road</t>
  </si>
  <si>
    <t>16818 850th Ave</t>
  </si>
  <si>
    <t>2182B 8th Ave</t>
  </si>
  <si>
    <t>24059 State Highway 27</t>
  </si>
  <si>
    <t>E4798 Stafslien Lane</t>
  </si>
  <si>
    <t>4982 Langes Corners Road</t>
  </si>
  <si>
    <t>6489 State Highway 68</t>
  </si>
  <si>
    <t>419 W Seven Stars Rd.</t>
  </si>
  <si>
    <t>4375 Pierce Ave</t>
  </si>
  <si>
    <t>6039 Rte 30</t>
  </si>
  <si>
    <t>6304 Shader Hill Rd</t>
  </si>
  <si>
    <t>7541 E US Hwy 36</t>
  </si>
  <si>
    <t>26343 Bernards Lane</t>
  </si>
  <si>
    <t>132990 Scotch Creek Rd</t>
  </si>
  <si>
    <t>15661 Shedd Road</t>
  </si>
  <si>
    <t>163 Townhouse Road</t>
  </si>
  <si>
    <t>74 Sheffer Road</t>
  </si>
  <si>
    <t>P.O. BOX 581</t>
  </si>
  <si>
    <t>12183 Trotter Rd</t>
  </si>
  <si>
    <t>2474 County Hwy 16</t>
  </si>
  <si>
    <t>345 S Van Buren Street</t>
  </si>
  <si>
    <t>5536 Wade Park Boulevard</t>
  </si>
  <si>
    <t>Dubai flower Center bldg., chamber 209 P.O. Box: 58331- Dubai- UAE</t>
  </si>
  <si>
    <t>4349 Lakeville Highway</t>
  </si>
  <si>
    <t>13300 Green Acres Dr.</t>
  </si>
  <si>
    <t>1089 Silloway Road</t>
  </si>
  <si>
    <t>1599 Cerini Road</t>
  </si>
  <si>
    <t>4628 County Rd. P</t>
  </si>
  <si>
    <t>41927 Long Lake Road</t>
  </si>
  <si>
    <t>597 Farmington Falls Road</t>
  </si>
  <si>
    <t>148/1 KYNSEY ROAD, COLOMBO 8</t>
  </si>
  <si>
    <t>4430 East 16 Road</t>
  </si>
  <si>
    <t>2801 Centerville Rd</t>
  </si>
  <si>
    <t>16524 Hirsbrunner Road</t>
  </si>
  <si>
    <t>S10145 County Road V</t>
  </si>
  <si>
    <t>1665 Stone Arabia Road</t>
  </si>
  <si>
    <t>6031 Tanner Rd</t>
  </si>
  <si>
    <t>81 Foy Eldred Rd</t>
  </si>
  <si>
    <t>1001 Coveytown Rd</t>
  </si>
  <si>
    <t>151 West Posey Rd</t>
  </si>
  <si>
    <t>2068 4th Ave</t>
  </si>
  <si>
    <t>210 R Dillenbeck Road</t>
  </si>
  <si>
    <t>16062 VanWormer Rd</t>
  </si>
  <si>
    <t>7178 Robinson Road</t>
  </si>
  <si>
    <t>5697 Eagle Ave SW</t>
  </si>
  <si>
    <t>102 E 7th Street, Unit 6</t>
  </si>
  <si>
    <t>26401 79th Avenue South</t>
  </si>
  <si>
    <t>N13018 688th St</t>
  </si>
  <si>
    <t>3092 St Hwy 80</t>
  </si>
  <si>
    <t>802 Mount Pleasant Road</t>
  </si>
  <si>
    <t>2375 South Park Ave</t>
  </si>
  <si>
    <t>N37121 Witt Hill Road</t>
  </si>
  <si>
    <t>2330 Molly Pitcher Highway</t>
  </si>
  <si>
    <t>2103 Thornton Rd</t>
  </si>
  <si>
    <t>22000 Sir Francis Drake Blvd.</t>
  </si>
  <si>
    <t>837 Chileno Valley Road</t>
  </si>
  <si>
    <t>59085 Gards Prairie Rd</t>
  </si>
  <si>
    <t>44676 330th St</t>
  </si>
  <si>
    <t>954 City Hill Rd</t>
  </si>
  <si>
    <t>3880 N. Church Street</t>
  </si>
  <si>
    <t>3632 Statler Road</t>
  </si>
  <si>
    <t>146 Spring Hill Road</t>
  </si>
  <si>
    <t>434 Briner Rd</t>
  </si>
  <si>
    <t>6005 Buyea Road</t>
  </si>
  <si>
    <t>1820 Jasmine Avenue</t>
  </si>
  <si>
    <t>68 Weatherby Road</t>
  </si>
  <si>
    <t>1143 Gap Road</t>
  </si>
  <si>
    <t>136 Holbrook Rd</t>
  </si>
  <si>
    <t>1416 Collins Marsh Road</t>
  </si>
  <si>
    <t>6767 Peachtree Industrial Boulevard Suite A</t>
  </si>
  <si>
    <t>899 Airport park rd Suite B</t>
  </si>
  <si>
    <t>1838 State Route 11</t>
  </si>
  <si>
    <t>58374 Highway 42</t>
  </si>
  <si>
    <t>11424 Eastside Rd.</t>
  </si>
  <si>
    <t>W1991 Zion Church Rd</t>
  </si>
  <si>
    <t>112 Engles Mill Road</t>
  </si>
  <si>
    <t>93 Ferris Lane</t>
  </si>
  <si>
    <t>50 Salt Lake Rd</t>
  </si>
  <si>
    <t>879 Pumping Station Road</t>
  </si>
  <si>
    <t>11261 Dunbarton Road</t>
  </si>
  <si>
    <t>3550 W 400 S</t>
  </si>
  <si>
    <t>5598 Fulton Rd</t>
  </si>
  <si>
    <t>W15840 County Road V</t>
  </si>
  <si>
    <t>W15307 Wilson Road</t>
  </si>
  <si>
    <t>4320 Eddy Road</t>
  </si>
  <si>
    <t>4933 Peterboro Road</t>
  </si>
  <si>
    <t>21353 170th St</t>
  </si>
  <si>
    <t>235 Myers Road</t>
  </si>
  <si>
    <t>245 Lafrancis Rd</t>
  </si>
  <si>
    <t>363-A Georgetown Rd</t>
  </si>
  <si>
    <t>4865 W 300 N</t>
  </si>
  <si>
    <t>11350 Economy Road</t>
  </si>
  <si>
    <t>2120 Hopewell Rd.</t>
  </si>
  <si>
    <t>62137 CR 33</t>
  </si>
  <si>
    <t>14239 County Road 34</t>
  </si>
  <si>
    <t>5759 TR 417</t>
  </si>
  <si>
    <t>9511 County Road E</t>
  </si>
  <si>
    <t>189 Hoover Rd</t>
  </si>
  <si>
    <t>212 Forrest Hill Road</t>
  </si>
  <si>
    <t>601 Goulds Rd</t>
  </si>
  <si>
    <t>10451 Eby Road</t>
  </si>
  <si>
    <t>13786 State Highway 171</t>
  </si>
  <si>
    <t>10222 W. Dobbs Road</t>
  </si>
  <si>
    <t>5625 Reservoir Rd</t>
  </si>
  <si>
    <t>13950 CR 25</t>
  </si>
  <si>
    <t>1800 Bordwell Road</t>
  </si>
  <si>
    <t>17475 Path Valley Road</t>
  </si>
  <si>
    <t>3115 Rte 78</t>
  </si>
  <si>
    <t>44100 Stornetta Drive</t>
  </si>
  <si>
    <t>2651 County Road 150</t>
  </si>
  <si>
    <t>2846 Stumptown Rd</t>
  </si>
  <si>
    <t>821 Pyrites Russell Rd</t>
  </si>
  <si>
    <t>1185 Wabash St.</t>
  </si>
  <si>
    <t>351, Sintanjin-ro, Daedeok-gu</t>
  </si>
  <si>
    <t>191-2 YEONSAN-RO MOKPO-SI</t>
  </si>
  <si>
    <t>4698 Pringle Road</t>
  </si>
  <si>
    <t>221 Wickham Road</t>
  </si>
  <si>
    <t>6810 Kelly Rd</t>
  </si>
  <si>
    <t>S15404 Williams Road</t>
  </si>
  <si>
    <t>211 Brunner Rd</t>
  </si>
  <si>
    <t>7824 Tucker Hill Rd</t>
  </si>
  <si>
    <t>555 Mariposa Road</t>
  </si>
  <si>
    <t>3915 Minnesota St.</t>
  </si>
  <si>
    <t>597 Travis Rd</t>
  </si>
  <si>
    <t>0065 S 1000W</t>
  </si>
  <si>
    <t>570 N Market Blvd</t>
  </si>
  <si>
    <t>5037 State Highway 23</t>
  </si>
  <si>
    <t>2484 County Route 102</t>
  </si>
  <si>
    <t>844 Hardscrabble Rd</t>
  </si>
  <si>
    <t>N5909 McKinley Valley Rd</t>
  </si>
  <si>
    <t>E10249 Lombard Lane</t>
  </si>
  <si>
    <t>5214 Township Road 419</t>
  </si>
  <si>
    <t>N 3503 Hwy 104</t>
  </si>
  <si>
    <t>Bugac, Maa,</t>
  </si>
  <si>
    <t>2600 Spengler Way</t>
  </si>
  <si>
    <t>2071 Superview Drive</t>
  </si>
  <si>
    <t>11846 Golf Course Rd</t>
  </si>
  <si>
    <t>S877A County Road D</t>
  </si>
  <si>
    <t>N11836 Resewood Ave.</t>
  </si>
  <si>
    <t>14550 HWY 152</t>
  </si>
  <si>
    <t>5707 Criswell Rd</t>
  </si>
  <si>
    <t>S 2237 County Road C</t>
  </si>
  <si>
    <t>7573 Co Rd 201</t>
  </si>
  <si>
    <t>433 Roller Road</t>
  </si>
  <si>
    <t>673 West Back Mountain Road</t>
  </si>
  <si>
    <t>Rua Dervile Gabriel Pereira, 310 - Lotemaneto Empresarial Tatuí I</t>
  </si>
  <si>
    <t>Avenida Terezinha Vieira de Camargo Barros, 170 - Loteamento Empresarial Tatuí I</t>
  </si>
  <si>
    <t>1500 Synergy Dr.</t>
  </si>
  <si>
    <t>227461  Cardinal Ln</t>
  </si>
  <si>
    <t>6939 Cty Rd 203</t>
  </si>
  <si>
    <t>14017 East 183rd Street</t>
  </si>
  <si>
    <t>1395 Leicester Whiting Rd</t>
  </si>
  <si>
    <t>19986 Maland Drive</t>
  </si>
  <si>
    <t>1342 County Highway 10</t>
  </si>
  <si>
    <t>2455 Pudding Hill Rd</t>
  </si>
  <si>
    <t>1410 Maple Street Extension</t>
  </si>
  <si>
    <t>via delle battaglie snc 25017 LONATO DEL GARDA BRESCIA</t>
  </si>
  <si>
    <t>1631 S. Prairie Drive</t>
  </si>
  <si>
    <t>3100 San Pablo Ave, Ste 170</t>
  </si>
  <si>
    <t>72335 Walnut Rd.</t>
  </si>
  <si>
    <t>366 FM 1760</t>
  </si>
  <si>
    <t>2011 E 58th ave</t>
  </si>
  <si>
    <t>1001 N E Loop 820 Ste. 500</t>
  </si>
  <si>
    <t>67 Moo 1, Nongklangna</t>
  </si>
  <si>
    <t>800 Ken Mar Industrial Parkway</t>
  </si>
  <si>
    <t>8116 Cazenovia Rd, BLDG #7</t>
  </si>
  <si>
    <t>2465 Gore Road</t>
  </si>
  <si>
    <t>1085 Corse Road</t>
  </si>
  <si>
    <t>225 Scott Street</t>
  </si>
  <si>
    <t>357 County Rt 12</t>
  </si>
  <si>
    <t>171 Mt. Tom Road</t>
  </si>
  <si>
    <t>6022 West Creek Rd</t>
  </si>
  <si>
    <t>445 South Monmouth Rd.</t>
  </si>
  <si>
    <t>116 Glacier Dr.</t>
  </si>
  <si>
    <t>16964 Woodleaf Rd</t>
  </si>
  <si>
    <t>741 County Highway 29</t>
  </si>
  <si>
    <t>250 Park Avenue South</t>
  </si>
  <si>
    <t>7330 E. 17th RD</t>
  </si>
  <si>
    <t>1644 County Hwy 39</t>
  </si>
  <si>
    <t>11247 Centerline Rd</t>
  </si>
  <si>
    <t>37594 Ore Bed Road</t>
  </si>
  <si>
    <t>N3391 County Rd C</t>
  </si>
  <si>
    <t>334 Long Hoa Hamlet</t>
  </si>
  <si>
    <t>1466 Quenan Rd</t>
  </si>
  <si>
    <t>9328 St Hwy 37</t>
  </si>
  <si>
    <t>8051 TR 658</t>
  </si>
  <si>
    <t>30433 Ct Rt 4</t>
  </si>
  <si>
    <t>13854 315th Street</t>
  </si>
  <si>
    <t>W 2251 Washington Rd</t>
  </si>
  <si>
    <t>3728 County Road 200</t>
  </si>
  <si>
    <t>236142 County Road F</t>
  </si>
  <si>
    <t>2066 Johnson-Washington Rd.</t>
  </si>
  <si>
    <t>44373 280th St</t>
  </si>
  <si>
    <t>5440 TR 618</t>
  </si>
  <si>
    <t>2650 State Route 364</t>
  </si>
  <si>
    <t>1272 Texas Valley Rd</t>
  </si>
  <si>
    <t>387 Fritz Rd</t>
  </si>
  <si>
    <t>6296 Stagecoach Road</t>
  </si>
  <si>
    <t>5670 Gable Avenue SW</t>
  </si>
  <si>
    <t>4663 East Boyer Road</t>
  </si>
  <si>
    <t>N3735 Schielke Rd</t>
  </si>
  <si>
    <t>4302 CR 96</t>
  </si>
  <si>
    <t>357 N Summit Rd</t>
  </si>
  <si>
    <t>116 Glacier Drive</t>
  </si>
  <si>
    <t>683 Hahnel Rd</t>
  </si>
  <si>
    <t>8205 St. Rt. 12</t>
  </si>
  <si>
    <t>7438 Garrett Hwy</t>
  </si>
  <si>
    <t>2129 110Th Street</t>
  </si>
  <si>
    <t>36278 Wilfred Bond Rd</t>
  </si>
  <si>
    <t>480 Meridian Rd.</t>
  </si>
  <si>
    <t>N7720 Sandy Hook Rd</t>
  </si>
  <si>
    <t>E8003 Upper Maple Dale Road</t>
  </si>
  <si>
    <t>5169 Piety Hill Road</t>
  </si>
  <si>
    <t>10255 W Higgins Road</t>
  </si>
  <si>
    <t>2849-C Lincoln Hwy East</t>
  </si>
  <si>
    <t>800 South Shamrock Ave.</t>
  </si>
  <si>
    <t>9101 Moore Road</t>
  </si>
  <si>
    <t>2231 Louisburg Rd</t>
  </si>
  <si>
    <t>1741 County Highway Z</t>
  </si>
  <si>
    <t>27487 358th Street</t>
  </si>
  <si>
    <t>3243 Spring Hill Rd</t>
  </si>
  <si>
    <t>401 River Road</t>
  </si>
  <si>
    <t>8183 US Route 20</t>
  </si>
  <si>
    <t>1170 Walker Rd</t>
  </si>
  <si>
    <t>996 State Route 247</t>
  </si>
  <si>
    <t>20 Triform Rd</t>
  </si>
  <si>
    <t>955 Parker Street</t>
  </si>
  <si>
    <t>2400 Pepper Road</t>
  </si>
  <si>
    <t>7387 Zanes Rd.</t>
  </si>
  <si>
    <t>219 Weeks Mills Rd.</t>
  </si>
  <si>
    <t>2192 Highway 18</t>
  </si>
  <si>
    <t>190 E CR 500 N</t>
  </si>
  <si>
    <t>3073 180th St</t>
  </si>
  <si>
    <t>77 Northrup Lane</t>
  </si>
  <si>
    <t>6535-B Caballero Boulevard</t>
  </si>
  <si>
    <t>40 New Dutch Lane</t>
  </si>
  <si>
    <t>57/8 Moo 8, Huay Yai, Banglamung</t>
  </si>
  <si>
    <t>1422 Center Rd</t>
  </si>
  <si>
    <t>2349 Stafford Rd</t>
  </si>
  <si>
    <t>1175 Dietz Rd.</t>
  </si>
  <si>
    <t>595 S. 350 W.</t>
  </si>
  <si>
    <t>3747 Pompey Hollow Rd</t>
  </si>
  <si>
    <t>3175 NYS Rte 13</t>
  </si>
  <si>
    <t>1995 Old Highway Rd.</t>
  </si>
  <si>
    <t>407 East Vassalboro Rd.</t>
  </si>
  <si>
    <t>287 Kearney Road</t>
  </si>
  <si>
    <t>N1079 O'Connor Road</t>
  </si>
  <si>
    <t>5656 Cheningo Rd</t>
  </si>
  <si>
    <t>W268 Jane Spur Road</t>
  </si>
  <si>
    <t>981 N. Little Britain Road</t>
  </si>
  <si>
    <t>125 Half Mile Road,</t>
  </si>
  <si>
    <t>8170 Beverly Blvd. Suite 111</t>
  </si>
  <si>
    <t>18398 Fields Rd</t>
  </si>
  <si>
    <t>8087 Star Road</t>
  </si>
  <si>
    <t>229 Muskrat Springs Road</t>
  </si>
  <si>
    <t>250 East Mahoney Road</t>
  </si>
  <si>
    <t>6438 Eberhart Ave</t>
  </si>
  <si>
    <t>W11850 Thomas Road</t>
  </si>
  <si>
    <t>2400 N 500 W</t>
  </si>
  <si>
    <t>400 N. Washington Rd.</t>
  </si>
  <si>
    <t>W7114 Starks Road</t>
  </si>
  <si>
    <t>480 Pepper Road</t>
  </si>
  <si>
    <t>2889 30th St  NW</t>
  </si>
  <si>
    <t>13692 Halverson Ridge Rd</t>
  </si>
  <si>
    <t>123 Polk Barron St</t>
  </si>
  <si>
    <t>284 Turner Center Road</t>
  </si>
  <si>
    <t>W3738 Brehm Ave</t>
  </si>
  <si>
    <t>448 Jacobs Rd</t>
  </si>
  <si>
    <t>1100 Cesar Chavez Street</t>
  </si>
  <si>
    <t>4005 S- 150W</t>
  </si>
  <si>
    <t>401 2B Rd.</t>
  </si>
  <si>
    <t>5440 E Moreland Rd.</t>
  </si>
  <si>
    <t>4840 S 400 W</t>
  </si>
  <si>
    <t>S 3665 Salem Ridge Rd</t>
  </si>
  <si>
    <t>N10405 State Road 110</t>
  </si>
  <si>
    <t>1650 Sulphur Springs Rd</t>
  </si>
  <si>
    <t>3721 Knowlesville Road</t>
  </si>
  <si>
    <t>1720 W 100 S</t>
  </si>
  <si>
    <t>2385 W. Nickleson Hill Road</t>
  </si>
  <si>
    <t>N 5878 County Road C</t>
  </si>
  <si>
    <t>81/3 Section 1, Tan Dinh Ward</t>
  </si>
  <si>
    <t>1932 Herford Road</t>
  </si>
  <si>
    <t>46 Springbrook Road</t>
  </si>
  <si>
    <t>15400 SH-36</t>
  </si>
  <si>
    <t>251 Common Rd.</t>
  </si>
  <si>
    <t>N5228 Cloverdale Rd</t>
  </si>
  <si>
    <t>120 Dillenbeck Rd</t>
  </si>
  <si>
    <t>2873 CR 55</t>
  </si>
  <si>
    <t>32616 Township Road 21</t>
  </si>
  <si>
    <t>11034 110th St</t>
  </si>
  <si>
    <t>N2444 Blackberry Rd</t>
  </si>
  <si>
    <t>22470 E Monte Vista</t>
  </si>
  <si>
    <t>W849 Deer Drive</t>
  </si>
  <si>
    <t>3563 Co Rd 16</t>
  </si>
  <si>
    <t>275 Kearney Street</t>
  </si>
  <si>
    <t>W852 Pronschinske Rd.</t>
  </si>
  <si>
    <t>88A Robinson Road</t>
  </si>
  <si>
    <t>7099 Massillon Road</t>
  </si>
  <si>
    <t>7375 W 650 S.</t>
  </si>
  <si>
    <t>295 Reynolds Rd</t>
  </si>
  <si>
    <t>9165 W. 200 S.</t>
  </si>
  <si>
    <t>5355 S 500 W</t>
  </si>
  <si>
    <t>Webb Rd.</t>
  </si>
  <si>
    <t>240 Barker Rd.</t>
  </si>
  <si>
    <t>51285 Redtail Road</t>
  </si>
  <si>
    <t>11210 Wedig Farm Lane</t>
  </si>
  <si>
    <t>692 Bagley Rd</t>
  </si>
  <si>
    <t>191 Tressler Rd</t>
  </si>
  <si>
    <t>46352 St Highway 329</t>
  </si>
  <si>
    <t>N20949 County Road T</t>
  </si>
  <si>
    <t>401 S. Main Street</t>
  </si>
  <si>
    <t>N1983 Sawmill Rd.</t>
  </si>
  <si>
    <t>913 Shelton Dr.</t>
  </si>
  <si>
    <t>997 N Airport Road</t>
  </si>
  <si>
    <t>550 Bowie St</t>
  </si>
  <si>
    <t>5469 Rte 76</t>
  </si>
  <si>
    <t>363 Fordsbush Rd</t>
  </si>
  <si>
    <t>W351 Tecumseh Rd</t>
  </si>
  <si>
    <t>S442 Dell Rd</t>
  </si>
  <si>
    <t>S3995 County Road A</t>
  </si>
  <si>
    <t>10016 Peters Rd</t>
  </si>
  <si>
    <t>255 Peru Street</t>
  </si>
  <si>
    <t>3301 E 5TH ST</t>
  </si>
  <si>
    <t>85 White Orchard Rd.</t>
  </si>
  <si>
    <t>7675 S 300 W</t>
  </si>
  <si>
    <t>308 S Main St</t>
  </si>
  <si>
    <t>0505 E 1000 N</t>
  </si>
  <si>
    <t>3574 Prosser Rd</t>
  </si>
  <si>
    <t>821 S Randolph Rd</t>
  </si>
  <si>
    <t>5238 Highway 42 North</t>
  </si>
  <si>
    <t>804 Bailey Hill Road</t>
  </si>
  <si>
    <t>20523 Edgeton Rd</t>
  </si>
  <si>
    <t>1307 Whittaker Road</t>
  </si>
  <si>
    <t>W1342 30th Ave</t>
  </si>
  <si>
    <t>271 Larchar Rd</t>
  </si>
  <si>
    <t>397 Aney Hill Rd</t>
  </si>
  <si>
    <t>1467 St Rte 95</t>
  </si>
  <si>
    <t>21858 Pealer Mill Rd</t>
  </si>
  <si>
    <t>2240 N 400 W</t>
  </si>
  <si>
    <t>18132 - 212th St</t>
  </si>
  <si>
    <t>17334 County Highway D</t>
  </si>
  <si>
    <t>265 Bailey Hill Rd</t>
  </si>
  <si>
    <t>27523 Military Rd.</t>
  </si>
  <si>
    <t>28832 County Highway S</t>
  </si>
  <si>
    <t>7642 State Route 516 NW</t>
  </si>
  <si>
    <t>11825 State Road 26</t>
  </si>
  <si>
    <t>4158 W 1100 N</t>
  </si>
  <si>
    <t>137 Monson Rd</t>
  </si>
  <si>
    <t>3161 State Route 244</t>
  </si>
  <si>
    <t>6525 Bloomfield Road</t>
  </si>
  <si>
    <t>736 Beidler Rd.</t>
  </si>
  <si>
    <t>19439 Muckshaw Rd</t>
  </si>
  <si>
    <t>524 Maze Road</t>
  </si>
  <si>
    <t>1872 Bordwell Rd</t>
  </si>
  <si>
    <t>10700 South Galena Rd</t>
  </si>
  <si>
    <t>4569 Firestone Blvd</t>
  </si>
  <si>
    <t>2682 Stape Rd</t>
  </si>
  <si>
    <t>20807 Leiters Mill Rd</t>
  </si>
  <si>
    <t>17199 Peckham Ln.</t>
  </si>
  <si>
    <t>15478 Patch Rd</t>
  </si>
  <si>
    <t>4542 County Road 123</t>
  </si>
  <si>
    <t>22990 County Hwy 39</t>
  </si>
  <si>
    <t>5295 Cole St.</t>
  </si>
  <si>
    <t>12132 120th St.</t>
  </si>
  <si>
    <t>7211 Cranberry Lake Road</t>
  </si>
  <si>
    <t>N4651 State Highway 26</t>
  </si>
  <si>
    <t>23912 Century Farm Road</t>
  </si>
  <si>
    <t>W2754 Konell Road</t>
  </si>
  <si>
    <t>42349 435th Ave</t>
  </si>
  <si>
    <t>184 Burnett Rd</t>
  </si>
  <si>
    <t>29271 County Highway U</t>
  </si>
  <si>
    <t>921 State Route 8</t>
  </si>
  <si>
    <t>2440 Middle Rd.</t>
  </si>
  <si>
    <t>8003 Number Three Road</t>
  </si>
  <si>
    <t>6533 Frankenmuth Road</t>
  </si>
  <si>
    <t>13900 Gardner Rd</t>
  </si>
  <si>
    <t>8984 Township Road 552</t>
  </si>
  <si>
    <t>1503 Austin Rd.</t>
  </si>
  <si>
    <t>2594 Murdock Rd</t>
  </si>
  <si>
    <t>18502 Highway 350</t>
  </si>
  <si>
    <t>N2150 Tower Rd</t>
  </si>
  <si>
    <t>50 Barret rd</t>
  </si>
  <si>
    <t>S5803 South Harrison Hollow Road</t>
  </si>
  <si>
    <t>7995 Mushroom Rd</t>
  </si>
  <si>
    <t>5635 Highland Lick Road</t>
  </si>
  <si>
    <t>1131 Victory Place</t>
  </si>
  <si>
    <t>20148 Monte Way</t>
  </si>
  <si>
    <t>5854 State Route 47 West</t>
  </si>
  <si>
    <t>25420 Natchez Ave</t>
  </si>
  <si>
    <t>Physical Address: Street 2</t>
  </si>
  <si>
    <t>T1N R5E Sec 19 Sec 1/4/3701 Spain Bridge Road/113 Painter Road/13000 Springhill Road</t>
  </si>
  <si>
    <t>Ste A 103</t>
  </si>
  <si>
    <t>Chau Thanh District</t>
  </si>
  <si>
    <t>Suite 860</t>
  </si>
  <si>
    <t>Phong Nam Commune</t>
  </si>
  <si>
    <t>D. R. Wijewardena Mawatha</t>
  </si>
  <si>
    <t>Phaeng Phuai District</t>
  </si>
  <si>
    <t>Suite 2700</t>
  </si>
  <si>
    <t>Ste 20</t>
  </si>
  <si>
    <t>Suite 201</t>
  </si>
  <si>
    <t>Phu Lo Commune</t>
  </si>
  <si>
    <t>Suite 103</t>
  </si>
  <si>
    <t>Suite A</t>
  </si>
  <si>
    <t>12th Floor</t>
  </si>
  <si>
    <t>Suite 1000</t>
  </si>
  <si>
    <t>Suite 001</t>
  </si>
  <si>
    <t>T.Kui Nuer</t>
  </si>
  <si>
    <t>Suite N110</t>
  </si>
  <si>
    <t>Room 2310</t>
  </si>
  <si>
    <t>NE #200</t>
  </si>
  <si>
    <t>Nongkangkok,</t>
  </si>
  <si>
    <t>Suite 400</t>
  </si>
  <si>
    <t>1124 W Carson St Building, 3rd FL</t>
  </si>
  <si>
    <t>Suite 100</t>
  </si>
  <si>
    <t>Telukan, Grogol</t>
  </si>
  <si>
    <t>Building B, Door 830</t>
  </si>
  <si>
    <t>21st floor, Unit 2137</t>
  </si>
  <si>
    <t>Building 1 Suite 130</t>
  </si>
  <si>
    <t>Ste. 105</t>
  </si>
  <si>
    <t>B4</t>
  </si>
  <si>
    <t>7th Floor</t>
  </si>
  <si>
    <t>Giao Long Commune</t>
  </si>
  <si>
    <t>Suite 500</t>
  </si>
  <si>
    <t>No. 200</t>
  </si>
  <si>
    <t>Physical Address: City</t>
  </si>
  <si>
    <t>Required (US)</t>
  </si>
  <si>
    <t>Abaetetuba</t>
  </si>
  <si>
    <t>Penn Yan</t>
  </si>
  <si>
    <t>Dodgeville</t>
  </si>
  <si>
    <t>Hartford</t>
  </si>
  <si>
    <t>Nova</t>
  </si>
  <si>
    <t>LaGrange</t>
  </si>
  <si>
    <t>Wilton</t>
  </si>
  <si>
    <t>Quarryville</t>
  </si>
  <si>
    <t>Waveland</t>
  </si>
  <si>
    <t>Fredericksburg</t>
  </si>
  <si>
    <t>Kinsman</t>
  </si>
  <si>
    <t>Ovid</t>
  </si>
  <si>
    <t>Loganton</t>
  </si>
  <si>
    <t>Canajoharie</t>
  </si>
  <si>
    <t>Millersburg</t>
  </si>
  <si>
    <t>Middlefield</t>
  </si>
  <si>
    <t>Gratiot</t>
  </si>
  <si>
    <t>Bird In Hand</t>
  </si>
  <si>
    <t>Belmont</t>
  </si>
  <si>
    <t>Kirkwood</t>
  </si>
  <si>
    <t>Owatonna</t>
  </si>
  <si>
    <t>Gilbertsville</t>
  </si>
  <si>
    <t>Nottingham</t>
  </si>
  <si>
    <t>Montello</t>
  </si>
  <si>
    <t>Fairfield</t>
  </si>
  <si>
    <t>Sugarcreek</t>
  </si>
  <si>
    <t>Ilion</t>
  </si>
  <si>
    <t>Darlington</t>
  </si>
  <si>
    <t>Rebersburg</t>
  </si>
  <si>
    <t>Platteville</t>
  </si>
  <si>
    <t>Manawa</t>
  </si>
  <si>
    <t>Fort Plain</t>
  </si>
  <si>
    <t>Orangeville</t>
  </si>
  <si>
    <t>Milton</t>
  </si>
  <si>
    <t>Hardwick</t>
  </si>
  <si>
    <t>Cuyler</t>
  </si>
  <si>
    <t>Earlville</t>
  </si>
  <si>
    <t>Dundee</t>
  </si>
  <si>
    <t>Strawberry Point</t>
  </si>
  <si>
    <t>Sherburne</t>
  </si>
  <si>
    <t>Dorchester</t>
  </si>
  <si>
    <t>Norwich</t>
  </si>
  <si>
    <t>Canastota</t>
  </si>
  <si>
    <t>Hazleton</t>
  </si>
  <si>
    <t>Fultonville</t>
  </si>
  <si>
    <t>Centerville</t>
  </si>
  <si>
    <t>Sprakers</t>
  </si>
  <si>
    <t>Quincy</t>
  </si>
  <si>
    <t>Frankfort</t>
  </si>
  <si>
    <t>Visalia</t>
  </si>
  <si>
    <t>Sta. Cruz</t>
  </si>
  <si>
    <t>Le Sueur</t>
  </si>
  <si>
    <t>Davao City</t>
  </si>
  <si>
    <t>North Bangor</t>
  </si>
  <si>
    <t>Paynesville</t>
  </si>
  <si>
    <t>Albert Lea</t>
  </si>
  <si>
    <t>Utica</t>
  </si>
  <si>
    <t>Prescott</t>
  </si>
  <si>
    <t>Richburg</t>
  </si>
  <si>
    <t>Chesterfield</t>
  </si>
  <si>
    <t>Sarasota</t>
  </si>
  <si>
    <t>Riverside</t>
  </si>
  <si>
    <t>Dublin</t>
  </si>
  <si>
    <t>Melrose</t>
  </si>
  <si>
    <t>Crescent City</t>
  </si>
  <si>
    <t>New Paris</t>
  </si>
  <si>
    <t>Athens</t>
  </si>
  <si>
    <t>Cashton</t>
  </si>
  <si>
    <t>Auburndale</t>
  </si>
  <si>
    <t>Long Prairie</t>
  </si>
  <si>
    <t>Wolcottville</t>
  </si>
  <si>
    <t>Middlebury</t>
  </si>
  <si>
    <t>Holland Patent</t>
  </si>
  <si>
    <t>Bainbridge</t>
  </si>
  <si>
    <t>Mondovi</t>
  </si>
  <si>
    <t>Hillsboro</t>
  </si>
  <si>
    <t>Greenfield</t>
  </si>
  <si>
    <t>Paradise</t>
  </si>
  <si>
    <t>Wellsville</t>
  </si>
  <si>
    <t>Morris</t>
  </si>
  <si>
    <t>Drumore</t>
  </si>
  <si>
    <t>Lagrange</t>
  </si>
  <si>
    <t>Topeka</t>
  </si>
  <si>
    <t>Oriskany Falls</t>
  </si>
  <si>
    <t>Bonduel</t>
  </si>
  <si>
    <t>Geneva</t>
  </si>
  <si>
    <t>Belgrade</t>
  </si>
  <si>
    <t>Milwaukee</t>
  </si>
  <si>
    <t>Stockton</t>
  </si>
  <si>
    <t>Saline</t>
  </si>
  <si>
    <t>Westfield</t>
  </si>
  <si>
    <t>Rising Sun</t>
  </si>
  <si>
    <t>Charlotte</t>
  </si>
  <si>
    <t>Shiloh</t>
  </si>
  <si>
    <t>Strasburg</t>
  </si>
  <si>
    <t>Richville</t>
  </si>
  <si>
    <t>Bombay</t>
  </si>
  <si>
    <t>Kendall</t>
  </si>
  <si>
    <t>Gap</t>
  </si>
  <si>
    <t>Rice Lake</t>
  </si>
  <si>
    <t>Brasher Falls</t>
  </si>
  <si>
    <t>Narvon</t>
  </si>
  <si>
    <t>Economy</t>
  </si>
  <si>
    <t>Christiana</t>
  </si>
  <si>
    <t>Watsontown</t>
  </si>
  <si>
    <t>Morgantown</t>
  </si>
  <si>
    <t>Lyon Mountain</t>
  </si>
  <si>
    <t>Gordonville</t>
  </si>
  <si>
    <t>Williamsburg</t>
  </si>
  <si>
    <t>Tempe</t>
  </si>
  <si>
    <t>White City</t>
  </si>
  <si>
    <t>Santa Rosa</t>
  </si>
  <si>
    <t>Galesville</t>
  </si>
  <si>
    <t>Evansville</t>
  </si>
  <si>
    <t>Stanley</t>
  </si>
  <si>
    <t>Bloomsburg</t>
  </si>
  <si>
    <t>Kalona</t>
  </si>
  <si>
    <t>Westby</t>
  </si>
  <si>
    <t>Evans Mills</t>
  </si>
  <si>
    <t>Elroy</t>
  </si>
  <si>
    <t>Tiaong</t>
  </si>
  <si>
    <t>Ellenburg Center</t>
  </si>
  <si>
    <t>Hopkinton</t>
  </si>
  <si>
    <t>Herman</t>
  </si>
  <si>
    <t>Churubusco</t>
  </si>
  <si>
    <t>Marathon</t>
  </si>
  <si>
    <t>Green Bay</t>
  </si>
  <si>
    <t>San Bernardino</t>
  </si>
  <si>
    <t>Exeland</t>
  </si>
  <si>
    <t>Carthage</t>
  </si>
  <si>
    <t>Dalton</t>
  </si>
  <si>
    <t>Chehalis</t>
  </si>
  <si>
    <t>Snover</t>
  </si>
  <si>
    <t>Landenberg</t>
  </si>
  <si>
    <t>Brushton</t>
  </si>
  <si>
    <t>La Crescent</t>
  </si>
  <si>
    <t>Ampawa</t>
  </si>
  <si>
    <t>Turlock</t>
  </si>
  <si>
    <t>Nappanee</t>
  </si>
  <si>
    <t>Auburn</t>
  </si>
  <si>
    <t>Stratford</t>
  </si>
  <si>
    <t>Gill</t>
  </si>
  <si>
    <t>Greenmount</t>
  </si>
  <si>
    <t>Gouverneur</t>
  </si>
  <si>
    <t>Medina</t>
  </si>
  <si>
    <t>Culver City</t>
  </si>
  <si>
    <t>Rittman</t>
  </si>
  <si>
    <t>Chilton</t>
  </si>
  <si>
    <t>Somerset</t>
  </si>
  <si>
    <t>Columbus</t>
  </si>
  <si>
    <t>Elsie</t>
  </si>
  <si>
    <t>Clayton</t>
  </si>
  <si>
    <t>Palmetto</t>
  </si>
  <si>
    <t>Abbotsford</t>
  </si>
  <si>
    <t>Chicago</t>
  </si>
  <si>
    <t>Rewey</t>
  </si>
  <si>
    <t>Addison</t>
  </si>
  <si>
    <t>Liberty</t>
  </si>
  <si>
    <t>Edgewood</t>
  </si>
  <si>
    <t>Altura</t>
  </si>
  <si>
    <t>Fort Ann</t>
  </si>
  <si>
    <t>Danville</t>
  </si>
  <si>
    <t>Northbrook</t>
  </si>
  <si>
    <t>Georgetown</t>
  </si>
  <si>
    <t>Oostburg</t>
  </si>
  <si>
    <t>Fall Creek</t>
  </si>
  <si>
    <t>Ogdensburg</t>
  </si>
  <si>
    <t>Oxford</t>
  </si>
  <si>
    <t>Tomah</t>
  </si>
  <si>
    <t>Alden</t>
  </si>
  <si>
    <t>Bangor</t>
  </si>
  <si>
    <t>Mifflintown</t>
  </si>
  <si>
    <t>Hermon</t>
  </si>
  <si>
    <t>Bird-in-Hand</t>
  </si>
  <si>
    <t>Birchwood</t>
  </si>
  <si>
    <t>Romulus</t>
  </si>
  <si>
    <t>Copenhagen</t>
  </si>
  <si>
    <t>Lansing</t>
  </si>
  <si>
    <t>Giong Trom District</t>
  </si>
  <si>
    <t>Delta</t>
  </si>
  <si>
    <t>Lowville</t>
  </si>
  <si>
    <t>Honey Brook</t>
  </si>
  <si>
    <t>Hoosick</t>
  </si>
  <si>
    <t>Sheldon</t>
  </si>
  <si>
    <t>Lindon</t>
  </si>
  <si>
    <t>Holton</t>
  </si>
  <si>
    <t>Rollingstone</t>
  </si>
  <si>
    <t>Point Reyes Station</t>
  </si>
  <si>
    <t>Louisville</t>
  </si>
  <si>
    <t>St. Albans</t>
  </si>
  <si>
    <t>Homer City</t>
  </si>
  <si>
    <t>Waukon</t>
  </si>
  <si>
    <t>Mt. Calvary</t>
  </si>
  <si>
    <t>Cuba City</t>
  </si>
  <si>
    <t>West Salem</t>
  </si>
  <si>
    <t>Webster City</t>
  </si>
  <si>
    <t>Ferndale</t>
  </si>
  <si>
    <t>Constable</t>
  </si>
  <si>
    <t>Spring Run</t>
  </si>
  <si>
    <t>Bliss</t>
  </si>
  <si>
    <t>Memphis</t>
  </si>
  <si>
    <t>Hanover</t>
  </si>
  <si>
    <t>Laredo</t>
  </si>
  <si>
    <t>Brooktondale</t>
  </si>
  <si>
    <t>Franklinton</t>
  </si>
  <si>
    <t>Latrobe</t>
  </si>
  <si>
    <t>Menomonie</t>
  </si>
  <si>
    <t>Plainfield</t>
  </si>
  <si>
    <t>LUFKIN</t>
  </si>
  <si>
    <t>South New Berlin</t>
  </si>
  <si>
    <t>South Plymouth</t>
  </si>
  <si>
    <t>Gillett</t>
  </si>
  <si>
    <t>Akron</t>
  </si>
  <si>
    <t>Pierz</t>
  </si>
  <si>
    <t>Charlottesville</t>
  </si>
  <si>
    <t>Fountain City</t>
  </si>
  <si>
    <t>Truxton</t>
  </si>
  <si>
    <t>Chippewa Falls</t>
  </si>
  <si>
    <t>Reedsville</t>
  </si>
  <si>
    <t>Montezuma</t>
  </si>
  <si>
    <t>Greenwood</t>
  </si>
  <si>
    <t>Burke</t>
  </si>
  <si>
    <t>Jasper</t>
  </si>
  <si>
    <t>Hammondsport</t>
  </si>
  <si>
    <t>Mercersburg</t>
  </si>
  <si>
    <t>Dewittville</t>
  </si>
  <si>
    <t>Ettrick</t>
  </si>
  <si>
    <t>Glade Hill</t>
  </si>
  <si>
    <t>Brandy Station</t>
  </si>
  <si>
    <t>Colombo 10</t>
  </si>
  <si>
    <t>Maxeys</t>
  </si>
  <si>
    <t>Lathrop</t>
  </si>
  <si>
    <t>Ontario</t>
  </si>
  <si>
    <t>Peterborough</t>
  </si>
  <si>
    <t>Atkinson</t>
  </si>
  <si>
    <t>Purdin</t>
  </si>
  <si>
    <t>Santa Cruz</t>
  </si>
  <si>
    <t>Decorah</t>
  </si>
  <si>
    <t>Boscobel</t>
  </si>
  <si>
    <t>Scio</t>
  </si>
  <si>
    <t>Sebastopol</t>
  </si>
  <si>
    <t>Hilbert</t>
  </si>
  <si>
    <t>Cabot</t>
  </si>
  <si>
    <t>Cortland</t>
  </si>
  <si>
    <t>Mansfield</t>
  </si>
  <si>
    <t>Aniwa</t>
  </si>
  <si>
    <t>Attica</t>
  </si>
  <si>
    <t>Livermore</t>
  </si>
  <si>
    <t>Damnoen Saduak</t>
  </si>
  <si>
    <t>Plain</t>
  </si>
  <si>
    <t>Fresno</t>
  </si>
  <si>
    <t>Petaluma</t>
  </si>
  <si>
    <t>Oakdale</t>
  </si>
  <si>
    <t>Hastings</t>
  </si>
  <si>
    <t>Reno</t>
  </si>
  <si>
    <t>Union Bridge</t>
  </si>
  <si>
    <t>Winthrop</t>
  </si>
  <si>
    <t>Mifflin</t>
  </si>
  <si>
    <t>Mapleton</t>
  </si>
  <si>
    <t>Kingfield</t>
  </si>
  <si>
    <t>Warwick</t>
  </si>
  <si>
    <t>Pine Plains</t>
  </si>
  <si>
    <t>Cassadaga</t>
  </si>
  <si>
    <t>Armonk</t>
  </si>
  <si>
    <t>Wautoma</t>
  </si>
  <si>
    <t>Bluff Point</t>
  </si>
  <si>
    <t>Chico</t>
  </si>
  <si>
    <t>Latham</t>
  </si>
  <si>
    <t>Moira</t>
  </si>
  <si>
    <t>Clare</t>
  </si>
  <si>
    <t>Dayton</t>
  </si>
  <si>
    <t>Massena</t>
  </si>
  <si>
    <t>Elizabethville</t>
  </si>
  <si>
    <t>Rockville</t>
  </si>
  <si>
    <t>Philadelphia</t>
  </si>
  <si>
    <t>Crown Point</t>
  </si>
  <si>
    <t>Ellenburg Depot</t>
  </si>
  <si>
    <t>Dover</t>
  </si>
  <si>
    <t>Torrinha</t>
  </si>
  <si>
    <t>Bernville</t>
  </si>
  <si>
    <t>Brasília</t>
  </si>
  <si>
    <t>Chambersburg</t>
  </si>
  <si>
    <t>Edina</t>
  </si>
  <si>
    <t>Port Byron</t>
  </si>
  <si>
    <t>Charleston</t>
  </si>
  <si>
    <t>Branchport</t>
  </si>
  <si>
    <t>Preble</t>
  </si>
  <si>
    <t>Cincinnati</t>
  </si>
  <si>
    <t>San Pablo City</t>
  </si>
  <si>
    <t>Jerome</t>
  </si>
  <si>
    <t>Hiddenite</t>
  </si>
  <si>
    <t>Osceola</t>
  </si>
  <si>
    <t>Onamia</t>
  </si>
  <si>
    <t>Belle Center</t>
  </si>
  <si>
    <t>Conway</t>
  </si>
  <si>
    <t>Wolcottvile</t>
  </si>
  <si>
    <t>Victor</t>
  </si>
  <si>
    <t>Pavilion</t>
  </si>
  <si>
    <t>New Providence</t>
  </si>
  <si>
    <t>Leitchfield</t>
  </si>
  <si>
    <t>Muleshoe</t>
  </si>
  <si>
    <t>ELGIN</t>
  </si>
  <si>
    <t>Woodhull</t>
  </si>
  <si>
    <t>Newport Center</t>
  </si>
  <si>
    <t>Denver</t>
  </si>
  <si>
    <t>Williamsport</t>
  </si>
  <si>
    <t>Freedom</t>
  </si>
  <si>
    <t>Ashton</t>
  </si>
  <si>
    <t>Richfield Springs</t>
  </si>
  <si>
    <t>Eaton</t>
  </si>
  <si>
    <t>Wellesley Island</t>
  </si>
  <si>
    <t>Reedley</t>
  </si>
  <si>
    <t>Modesto</t>
  </si>
  <si>
    <t>Fortuna</t>
  </si>
  <si>
    <t>Holtwood</t>
  </si>
  <si>
    <t>Little Falls</t>
  </si>
  <si>
    <t>Bloomer</t>
  </si>
  <si>
    <t>Morocco</t>
  </si>
  <si>
    <t>Norfolk</t>
  </si>
  <si>
    <t>Black River Falls</t>
  </si>
  <si>
    <t>West Cornwall</t>
  </si>
  <si>
    <t>Purbalingga</t>
  </si>
  <si>
    <t>San Francisco</t>
  </si>
  <si>
    <t>El Dorado Springs</t>
  </si>
  <si>
    <t>Brisbane</t>
  </si>
  <si>
    <t>Shipshewana</t>
  </si>
  <si>
    <t>Fennimore</t>
  </si>
  <si>
    <t>Rubicon</t>
  </si>
  <si>
    <t>Manheim</t>
  </si>
  <si>
    <t>Greensfork</t>
  </si>
  <si>
    <t>Aaronsburg</t>
  </si>
  <si>
    <t>Chili</t>
  </si>
  <si>
    <t>Hancock</t>
  </si>
  <si>
    <t>Granton</t>
  </si>
  <si>
    <t>Lyons</t>
  </si>
  <si>
    <t>Goshen</t>
  </si>
  <si>
    <t>Baltic</t>
  </si>
  <si>
    <t>Edmeston</t>
  </si>
  <si>
    <t>Canton</t>
  </si>
  <si>
    <t>Ronks</t>
  </si>
  <si>
    <t>Meyersdale</t>
  </si>
  <si>
    <t>Garrett</t>
  </si>
  <si>
    <t>Honeybrook</t>
  </si>
  <si>
    <t>Fillmore</t>
  </si>
  <si>
    <t>Kutztown</t>
  </si>
  <si>
    <t>Coquille</t>
  </si>
  <si>
    <t>Merrill</t>
  </si>
  <si>
    <t>Palatine Bridge</t>
  </si>
  <si>
    <t>Laveen</t>
  </si>
  <si>
    <t>Oconto</t>
  </si>
  <si>
    <t>Angie</t>
  </si>
  <si>
    <t>Onalaska</t>
  </si>
  <si>
    <t>Brodhead</t>
  </si>
  <si>
    <t>Coshocton</t>
  </si>
  <si>
    <t>Barker</t>
  </si>
  <si>
    <t>Saucier</t>
  </si>
  <si>
    <t>Coburn</t>
  </si>
  <si>
    <t>Richfield Spring</t>
  </si>
  <si>
    <t>Spring Mills</t>
  </si>
  <si>
    <t>Bloomfield</t>
  </si>
  <si>
    <t>Port Royal</t>
  </si>
  <si>
    <t>St. Johnsville</t>
  </si>
  <si>
    <t>Conneaut</t>
  </si>
  <si>
    <t>Vernon Center</t>
  </si>
  <si>
    <t>Tyrone</t>
  </si>
  <si>
    <t>Nichols</t>
  </si>
  <si>
    <t>East Fairfield</t>
  </si>
  <si>
    <t>Union City</t>
  </si>
  <si>
    <t>Sturgeon Bay</t>
  </si>
  <si>
    <t>Candor</t>
  </si>
  <si>
    <t>Wendell</t>
  </si>
  <si>
    <t>Norwalk</t>
  </si>
  <si>
    <t>Genoa</t>
  </si>
  <si>
    <t>Greenville</t>
  </si>
  <si>
    <t>Miami</t>
  </si>
  <si>
    <t>Falmouth</t>
  </si>
  <si>
    <t>Milroy</t>
  </si>
  <si>
    <t>Middlesex</t>
  </si>
  <si>
    <t>Battle Lake</t>
  </si>
  <si>
    <t>Boyd</t>
  </si>
  <si>
    <t>Viola</t>
  </si>
  <si>
    <t>Cold Spring</t>
  </si>
  <si>
    <t>Belle Plaine</t>
  </si>
  <si>
    <t>McVeytown</t>
  </si>
  <si>
    <t>Osseo</t>
  </si>
  <si>
    <t>Morrisville</t>
  </si>
  <si>
    <t>Amargosa Valley</t>
  </si>
  <si>
    <t>Cobleskill</t>
  </si>
  <si>
    <t>Chelan</t>
  </si>
  <si>
    <t>Holland</t>
  </si>
  <si>
    <t>Nicasio</t>
  </si>
  <si>
    <t>Greene</t>
  </si>
  <si>
    <t>Arkansaw</t>
  </si>
  <si>
    <t>Freeport</t>
  </si>
  <si>
    <t>Moravia</t>
  </si>
  <si>
    <t>Soldiers Grove</t>
  </si>
  <si>
    <t>Murtaugh</t>
  </si>
  <si>
    <t>Colby</t>
  </si>
  <si>
    <t>Withee</t>
  </si>
  <si>
    <t>Mannsville</t>
  </si>
  <si>
    <t>Point Reyes</t>
  </si>
  <si>
    <t>Cross Plains</t>
  </si>
  <si>
    <t>New York</t>
  </si>
  <si>
    <t>Manton</t>
  </si>
  <si>
    <t>Hodgdon</t>
  </si>
  <si>
    <t>Neosho</t>
  </si>
  <si>
    <t>Monsey</t>
  </si>
  <si>
    <t>Jordanville</t>
  </si>
  <si>
    <t>Holdingford</t>
  </si>
  <si>
    <t>Woodstock</t>
  </si>
  <si>
    <t>Dixfield</t>
  </si>
  <si>
    <t>Naples</t>
  </si>
  <si>
    <t>Portland</t>
  </si>
  <si>
    <t>Orrville</t>
  </si>
  <si>
    <t>Argyle</t>
  </si>
  <si>
    <t>Whitney Point</t>
  </si>
  <si>
    <t>Enumclaw</t>
  </si>
  <si>
    <t>Argos</t>
  </si>
  <si>
    <t>Clinton</t>
  </si>
  <si>
    <t>South Dayton</t>
  </si>
  <si>
    <t>Augusta</t>
  </si>
  <si>
    <t>Westerlo</t>
  </si>
  <si>
    <t>Stamford</t>
  </si>
  <si>
    <t>Interlaken</t>
  </si>
  <si>
    <t>Kinzers</t>
  </si>
  <si>
    <t>North Java</t>
  </si>
  <si>
    <t>Arbela</t>
  </si>
  <si>
    <t>Browerville</t>
  </si>
  <si>
    <t>Leola</t>
  </si>
  <si>
    <t>Fonda</t>
  </si>
  <si>
    <t>DeKalb Junction</t>
  </si>
  <si>
    <t>Salisbury</t>
  </si>
  <si>
    <t>Sarona</t>
  </si>
  <si>
    <t>Belleville</t>
  </si>
  <si>
    <t>Stoneboro</t>
  </si>
  <si>
    <t>Clyde</t>
  </si>
  <si>
    <t>Himrod</t>
  </si>
  <si>
    <t>Myersdale</t>
  </si>
  <si>
    <t>Shoreham</t>
  </si>
  <si>
    <t>La Farge</t>
  </si>
  <si>
    <t>Chateaugay</t>
  </si>
  <si>
    <t>Atglen</t>
  </si>
  <si>
    <t>Prattsburgh</t>
  </si>
  <si>
    <t>Portales</t>
  </si>
  <si>
    <t>Ubly</t>
  </si>
  <si>
    <t>Shawano</t>
  </si>
  <si>
    <t>Lodi</t>
  </si>
  <si>
    <t>Mineral Point</t>
  </si>
  <si>
    <t>Berlin</t>
  </si>
  <si>
    <t>Maryland</t>
  </si>
  <si>
    <t>McGraw</t>
  </si>
  <si>
    <t>Tippecanoe</t>
  </si>
  <si>
    <t>Peach Bottom</t>
  </si>
  <si>
    <t>Port Republic</t>
  </si>
  <si>
    <t>Cape Vincent</t>
  </si>
  <si>
    <t>Amherst Junction</t>
  </si>
  <si>
    <t>Hanoi city</t>
  </si>
  <si>
    <t>Centreville</t>
  </si>
  <si>
    <t>Merced</t>
  </si>
  <si>
    <t>Chestertown</t>
  </si>
  <si>
    <t>Searsmont</t>
  </si>
  <si>
    <t>Fairchild</t>
  </si>
  <si>
    <t>Worcester</t>
  </si>
  <si>
    <t>Carlstadt</t>
  </si>
  <si>
    <t>McAlisterville</t>
  </si>
  <si>
    <t>Fort Mill</t>
  </si>
  <si>
    <t>Wellman</t>
  </si>
  <si>
    <t>Williamstown</t>
  </si>
  <si>
    <t>Winter Garden</t>
  </si>
  <si>
    <t>Compton</t>
  </si>
  <si>
    <t>Arcata</t>
  </si>
  <si>
    <t>Plainsboro</t>
  </si>
  <si>
    <t>Aparecida de Goiânia</t>
  </si>
  <si>
    <t>Sparta</t>
  </si>
  <si>
    <t>Hunt Valley</t>
  </si>
  <si>
    <t>Arthur</t>
  </si>
  <si>
    <t>Fredericktown</t>
  </si>
  <si>
    <t>Big Stone City</t>
  </si>
  <si>
    <t>Indio</t>
  </si>
  <si>
    <t>Owego</t>
  </si>
  <si>
    <t>Rome</t>
  </si>
  <si>
    <t>Secaucus</t>
  </si>
  <si>
    <t>Zona Rural</t>
  </si>
  <si>
    <t>Ephrata</t>
  </si>
  <si>
    <t>Davao del Sur</t>
  </si>
  <si>
    <t>Guilford</t>
  </si>
  <si>
    <t>Mohawk</t>
  </si>
  <si>
    <t>Ashland</t>
  </si>
  <si>
    <t>Lime Springs</t>
  </si>
  <si>
    <t>Cadott</t>
  </si>
  <si>
    <t>Lynden</t>
  </si>
  <si>
    <t>Orlando</t>
  </si>
  <si>
    <t>Nashville</t>
  </si>
  <si>
    <t>Pompano Beach</t>
  </si>
  <si>
    <t>City of Industry</t>
  </si>
  <si>
    <t>Tampa</t>
  </si>
  <si>
    <t>North Liberty</t>
  </si>
  <si>
    <t>Norway</t>
  </si>
  <si>
    <t>Guinda</t>
  </si>
  <si>
    <t>Woodland Hills</t>
  </si>
  <si>
    <t>Pownal</t>
  </si>
  <si>
    <t>East Aurora</t>
  </si>
  <si>
    <t>Merrillan</t>
  </si>
  <si>
    <t>Holyoke</t>
  </si>
  <si>
    <t>Mill Hall</t>
  </si>
  <si>
    <t>Hudson</t>
  </si>
  <si>
    <t>San Rafael</t>
  </si>
  <si>
    <t>Windsor</t>
  </si>
  <si>
    <t>Rib Lake</t>
  </si>
  <si>
    <t>Iowa City</t>
  </si>
  <si>
    <t>Brown City</t>
  </si>
  <si>
    <t>Chino</t>
  </si>
  <si>
    <t>Atlanta</t>
  </si>
  <si>
    <t>Mantua</t>
  </si>
  <si>
    <t>Virginia Beach</t>
  </si>
  <si>
    <t>Thomaston</t>
  </si>
  <si>
    <t>Dexter</t>
  </si>
  <si>
    <t>Rosebush</t>
  </si>
  <si>
    <t>Nashua</t>
  </si>
  <si>
    <t>Thorp</t>
  </si>
  <si>
    <t>Shaftsbury</t>
  </si>
  <si>
    <t>Chetek</t>
  </si>
  <si>
    <t>Kokomo</t>
  </si>
  <si>
    <t>Frazee</t>
  </si>
  <si>
    <t>Browntown</t>
  </si>
  <si>
    <t>Benicia</t>
  </si>
  <si>
    <t>Margaretville</t>
  </si>
  <si>
    <t>Lyndonville</t>
  </si>
  <si>
    <t>Bethel</t>
  </si>
  <si>
    <t>Coopersville</t>
  </si>
  <si>
    <t>Enosburg Falls</t>
  </si>
  <si>
    <t>Blanchardville</t>
  </si>
  <si>
    <t>Arcadia</t>
  </si>
  <si>
    <t>Chilmark</t>
  </si>
  <si>
    <t>New London</t>
  </si>
  <si>
    <t>Bogotá D.C.</t>
  </si>
  <si>
    <t>BURLINGAME</t>
  </si>
  <si>
    <t>Waukesha</t>
  </si>
  <si>
    <t>Albion</t>
  </si>
  <si>
    <t>North Brookfield</t>
  </si>
  <si>
    <t>Hoboken</t>
  </si>
  <si>
    <t>East Dixfield</t>
  </si>
  <si>
    <t>Helenville</t>
  </si>
  <si>
    <t>Blair</t>
  </si>
  <si>
    <t>Farmington</t>
  </si>
  <si>
    <t>Richland</t>
  </si>
  <si>
    <t>Thailand</t>
  </si>
  <si>
    <t>Oakland</t>
  </si>
  <si>
    <t>Thompsontown</t>
  </si>
  <si>
    <t>Gleason</t>
  </si>
  <si>
    <t>Strum</t>
  </si>
  <si>
    <t>Millmont</t>
  </si>
  <si>
    <t>Buckley</t>
  </si>
  <si>
    <t>Fowler</t>
  </si>
  <si>
    <t>Menahga</t>
  </si>
  <si>
    <t>Ghent</t>
  </si>
  <si>
    <t>Constantine</t>
  </si>
  <si>
    <t>SAN ANTONIO</t>
  </si>
  <si>
    <t>TEMPLE</t>
  </si>
  <si>
    <t>Osco</t>
  </si>
  <si>
    <t>Dolgeville</t>
  </si>
  <si>
    <t>Avoca</t>
  </si>
  <si>
    <t>Mehoopany</t>
  </si>
  <si>
    <t>Cazenovia</t>
  </si>
  <si>
    <t>Munnsville</t>
  </si>
  <si>
    <t>Alburgh</t>
  </si>
  <si>
    <t>Brogue</t>
  </si>
  <si>
    <t>Newmanstown</t>
  </si>
  <si>
    <t>Riceville</t>
  </si>
  <si>
    <t>Heze</t>
  </si>
  <si>
    <t>Pound Ridge</t>
  </si>
  <si>
    <t>Ogema</t>
  </si>
  <si>
    <t>Hoosick Falls</t>
  </si>
  <si>
    <t>Dietrich</t>
  </si>
  <si>
    <t>Standish</t>
  </si>
  <si>
    <t>West Edmeston</t>
  </si>
  <si>
    <t>Ewing</t>
  </si>
  <si>
    <t>Randolph Center</t>
  </si>
  <si>
    <t>Catawba</t>
  </si>
  <si>
    <t>Fabius</t>
  </si>
  <si>
    <t>Earth</t>
  </si>
  <si>
    <t>Cincinnatus</t>
  </si>
  <si>
    <t>Jefferson</t>
  </si>
  <si>
    <t>LaValle</t>
  </si>
  <si>
    <t>LaFargeville</t>
  </si>
  <si>
    <t>East Earl</t>
  </si>
  <si>
    <t>Flemingsburg</t>
  </si>
  <si>
    <t>New Berlin</t>
  </si>
  <si>
    <t>Tunbridge</t>
  </si>
  <si>
    <t>Erieville</t>
  </si>
  <si>
    <t>Bodega</t>
  </si>
  <si>
    <t>Eureka</t>
  </si>
  <si>
    <t>Piscataway</t>
  </si>
  <si>
    <t>Mabel</t>
  </si>
  <si>
    <t>Fall River</t>
  </si>
  <si>
    <t>Valley Ford</t>
  </si>
  <si>
    <t>Northlake</t>
  </si>
  <si>
    <t>Easton</t>
  </si>
  <si>
    <t>Santa Ana</t>
  </si>
  <si>
    <t>Belcamp</t>
  </si>
  <si>
    <t>Hazelwood</t>
  </si>
  <si>
    <t>Miches</t>
  </si>
  <si>
    <t>Littlestown</t>
  </si>
  <si>
    <t>Myerstown</t>
  </si>
  <si>
    <t>Martville</t>
  </si>
  <si>
    <t>Vashon</t>
  </si>
  <si>
    <t>Stetsonville</t>
  </si>
  <si>
    <t>Holmesville</t>
  </si>
  <si>
    <t>Fredricksburg</t>
  </si>
  <si>
    <t>Independence</t>
  </si>
  <si>
    <t>Linden</t>
  </si>
  <si>
    <t>Zumbrota</t>
  </si>
  <si>
    <t>East Concord</t>
  </si>
  <si>
    <t>Towanda</t>
  </si>
  <si>
    <t>Lykens</t>
  </si>
  <si>
    <t>Schenevus</t>
  </si>
  <si>
    <t>Lancaster</t>
  </si>
  <si>
    <t>BomBay</t>
  </si>
  <si>
    <t>Chatfield</t>
  </si>
  <si>
    <t>Watkins Glen</t>
  </si>
  <si>
    <t>Unity</t>
  </si>
  <si>
    <t>Millerton</t>
  </si>
  <si>
    <t>Selinsgrove</t>
  </si>
  <si>
    <t>Huntsville</t>
  </si>
  <si>
    <t>Slocomb</t>
  </si>
  <si>
    <t>Chazy</t>
  </si>
  <si>
    <t>North Lawrence</t>
  </si>
  <si>
    <t>A. Kuiburi</t>
  </si>
  <si>
    <t>Strykersville</t>
  </si>
  <si>
    <t>Perkinston</t>
  </si>
  <si>
    <t>Joplin</t>
  </si>
  <si>
    <t>Bridgeport</t>
  </si>
  <si>
    <t>Scales Mound</t>
  </si>
  <si>
    <t>Waymart</t>
  </si>
  <si>
    <t>Croghan</t>
  </si>
  <si>
    <t>Saukville</t>
  </si>
  <si>
    <t>Laceyville</t>
  </si>
  <si>
    <t>Dryden</t>
  </si>
  <si>
    <t>Rockland</t>
  </si>
  <si>
    <t>Sterling</t>
  </si>
  <si>
    <t>Lake Odessa</t>
  </si>
  <si>
    <t>Edgar</t>
  </si>
  <si>
    <t>Columbia Cross Roads</t>
  </si>
  <si>
    <t>Corfu</t>
  </si>
  <si>
    <t>PETALUMA</t>
  </si>
  <si>
    <t>Georgia</t>
  </si>
  <si>
    <t>Medford</t>
  </si>
  <si>
    <t>Myrtle Point</t>
  </si>
  <si>
    <t>Mark Center</t>
  </si>
  <si>
    <t>Glen Rock</t>
  </si>
  <si>
    <t>Neillsville</t>
  </si>
  <si>
    <t>Plymouth</t>
  </si>
  <si>
    <t>Deerbrook</t>
  </si>
  <si>
    <t>Carrollton</t>
  </si>
  <si>
    <t>Oneida</t>
  </si>
  <si>
    <t>Cass City</t>
  </si>
  <si>
    <t>Waterloo</t>
  </si>
  <si>
    <t>Sigourney</t>
  </si>
  <si>
    <t>Hogansburg</t>
  </si>
  <si>
    <t>Kimball</t>
  </si>
  <si>
    <t>Barron</t>
  </si>
  <si>
    <t>Antwerp</t>
  </si>
  <si>
    <t>Montgomery</t>
  </si>
  <si>
    <t>Rushville</t>
  </si>
  <si>
    <t>Lewisburg</t>
  </si>
  <si>
    <t>Pleasant Mount</t>
  </si>
  <si>
    <t>Rochester</t>
  </si>
  <si>
    <t>Smyrna</t>
  </si>
  <si>
    <t>River Falls</t>
  </si>
  <si>
    <t>Winslow</t>
  </si>
  <si>
    <t>Jamestown</t>
  </si>
  <si>
    <t>Theresa</t>
  </si>
  <si>
    <t>Apple Creek</t>
  </si>
  <si>
    <t>Mount Pleasant</t>
  </si>
  <si>
    <t>Stitzer</t>
  </si>
  <si>
    <t>Cochrane</t>
  </si>
  <si>
    <t>Ulster</t>
  </si>
  <si>
    <t>North Stonington</t>
  </si>
  <si>
    <t>Reedsburg</t>
  </si>
  <si>
    <t>Carey</t>
  </si>
  <si>
    <t>St. Paul</t>
  </si>
  <si>
    <t>Boulder</t>
  </si>
  <si>
    <t>Inverness</t>
  </si>
  <si>
    <t>Unionville</t>
  </si>
  <si>
    <t>Richland Center</t>
  </si>
  <si>
    <t>Foxworth</t>
  </si>
  <si>
    <t>Phelps</t>
  </si>
  <si>
    <t>Beaver Falls</t>
  </si>
  <si>
    <t>Hubbardsville</t>
  </si>
  <si>
    <t>Keymar</t>
  </si>
  <si>
    <t>Menasha</t>
  </si>
  <si>
    <t>Honey Grove</t>
  </si>
  <si>
    <t>Barnard</t>
  </si>
  <si>
    <t>La Fargeville</t>
  </si>
  <si>
    <t>Burgettstown</t>
  </si>
  <si>
    <t>Parkers Prairie</t>
  </si>
  <si>
    <t>Kreamer</t>
  </si>
  <si>
    <t>Starks</t>
  </si>
  <si>
    <t>Hamilton</t>
  </si>
  <si>
    <t>Bronx</t>
  </si>
  <si>
    <t>Nongkangkok</t>
  </si>
  <si>
    <t>Boyceville</t>
  </si>
  <si>
    <t>Ligonier</t>
  </si>
  <si>
    <t>Jalisco</t>
  </si>
  <si>
    <t>Marshfield</t>
  </si>
  <si>
    <t>Turtle Lake</t>
  </si>
  <si>
    <t>Delphos</t>
  </si>
  <si>
    <t>Prairie Du Chien</t>
  </si>
  <si>
    <t>Taberg</t>
  </si>
  <si>
    <t>Transfer</t>
  </si>
  <si>
    <t>Brighton</t>
  </si>
  <si>
    <t>Colon</t>
  </si>
  <si>
    <t>Penn Yann</t>
  </si>
  <si>
    <t>Orwell</t>
  </si>
  <si>
    <t>Viroqua</t>
  </si>
  <si>
    <t>Sta. Rosa</t>
  </si>
  <si>
    <t>Greenwich</t>
  </si>
  <si>
    <t>West Leyden</t>
  </si>
  <si>
    <t>Burlington Flats</t>
  </si>
  <si>
    <t>Beech Creek</t>
  </si>
  <si>
    <t>Mayville</t>
  </si>
  <si>
    <t>Lewiston</t>
  </si>
  <si>
    <t>Kewaunee</t>
  </si>
  <si>
    <t>Fairport</t>
  </si>
  <si>
    <t>Brattleboro</t>
  </si>
  <si>
    <t>Fort Wayne</t>
  </si>
  <si>
    <t>Kenosha</t>
  </si>
  <si>
    <t>Sandpoint</t>
  </si>
  <si>
    <t>Lowell</t>
  </si>
  <si>
    <t>Hurricane</t>
  </si>
  <si>
    <t>Stevensville</t>
  </si>
  <si>
    <t>Richmond</t>
  </si>
  <si>
    <t>Montpelier</t>
  </si>
  <si>
    <t>Arena</t>
  </si>
  <si>
    <t>Hagerstown</t>
  </si>
  <si>
    <t>Hegins</t>
  </si>
  <si>
    <t>Firebaugh</t>
  </si>
  <si>
    <t>Montfort</t>
  </si>
  <si>
    <t>Newville</t>
  </si>
  <si>
    <t>Fort Covington</t>
  </si>
  <si>
    <t>North Freedom</t>
  </si>
  <si>
    <t>Chula</t>
  </si>
  <si>
    <t>Loleta</t>
  </si>
  <si>
    <t>Tylertown</t>
  </si>
  <si>
    <t>Minneapolis</t>
  </si>
  <si>
    <t>Gilman</t>
  </si>
  <si>
    <t>Sugar Creek</t>
  </si>
  <si>
    <t>Dillsburg</t>
  </si>
  <si>
    <t>Thorndike</t>
  </si>
  <si>
    <t>Pound</t>
  </si>
  <si>
    <t>Bellville</t>
  </si>
  <si>
    <t>Deerfield</t>
  </si>
  <si>
    <t>La Grange</t>
  </si>
  <si>
    <t>Fairview</t>
  </si>
  <si>
    <t>Wilmot</t>
  </si>
  <si>
    <t>Blanchard</t>
  </si>
  <si>
    <t>Hillman</t>
  </si>
  <si>
    <t>Hutchinson</t>
  </si>
  <si>
    <t>Springfield Center</t>
  </si>
  <si>
    <t>Cologne</t>
  </si>
  <si>
    <t>Fremont</t>
  </si>
  <si>
    <t>Mechanicstown</t>
  </si>
  <si>
    <t>West Winfield</t>
  </si>
  <si>
    <t>Allenwood</t>
  </si>
  <si>
    <t>Annville</t>
  </si>
  <si>
    <t>Climax</t>
  </si>
  <si>
    <t>Blairsville</t>
  </si>
  <si>
    <t>North Troy</t>
  </si>
  <si>
    <t>Novato</t>
  </si>
  <si>
    <t>East Montpelier</t>
  </si>
  <si>
    <t>Winchester</t>
  </si>
  <si>
    <t>New Ulm</t>
  </si>
  <si>
    <t>Morristown</t>
  </si>
  <si>
    <t>Corydon</t>
  </si>
  <si>
    <t>Lisbon</t>
  </si>
  <si>
    <t>Baring</t>
  </si>
  <si>
    <t>Hawley</t>
  </si>
  <si>
    <t>Long Island City</t>
  </si>
  <si>
    <t>Malone</t>
  </si>
  <si>
    <t>Marlette</t>
  </si>
  <si>
    <t>Muang</t>
  </si>
  <si>
    <t>Sullivan</t>
  </si>
  <si>
    <t>Cleveland</t>
  </si>
  <si>
    <t>Arcade</t>
  </si>
  <si>
    <t>Sebeka</t>
  </si>
  <si>
    <t>Birdsboro</t>
  </si>
  <si>
    <t>Poplarville</t>
  </si>
  <si>
    <t>Madison</t>
  </si>
  <si>
    <t>Verndale</t>
  </si>
  <si>
    <t>Chaseburg</t>
  </si>
  <si>
    <t>Asheville</t>
  </si>
  <si>
    <t>Saint Charles</t>
  </si>
  <si>
    <t>Houghton</t>
  </si>
  <si>
    <t>Cinccinatus</t>
  </si>
  <si>
    <t>Los Angeles</t>
  </si>
  <si>
    <t>Claire</t>
  </si>
  <si>
    <t>Lake City</t>
  </si>
  <si>
    <t>St. Cloud</t>
  </si>
  <si>
    <t>Portageville</t>
  </si>
  <si>
    <t>New Auburn</t>
  </si>
  <si>
    <t>Underhill</t>
  </si>
  <si>
    <t>Needmore</t>
  </si>
  <si>
    <t>Barnet</t>
  </si>
  <si>
    <t>Gratz</t>
  </si>
  <si>
    <t>Rensselaer Falls</t>
  </si>
  <si>
    <t>Stacyville</t>
  </si>
  <si>
    <t>New Holland</t>
  </si>
  <si>
    <t>Milaca</t>
  </si>
  <si>
    <t>Mio</t>
  </si>
  <si>
    <t>Ben Cat Town</t>
  </si>
  <si>
    <t>Loganville</t>
  </si>
  <si>
    <t>Pulaski</t>
  </si>
  <si>
    <t>Rutledge</t>
  </si>
  <si>
    <t>DALLAS</t>
  </si>
  <si>
    <t>Newark</t>
  </si>
  <si>
    <t>Stanwood</t>
  </si>
  <si>
    <t>CHANNING</t>
  </si>
  <si>
    <t>Battle Ground</t>
  </si>
  <si>
    <t>American Falls</t>
  </si>
  <si>
    <t>Heath</t>
  </si>
  <si>
    <t>Burr Oak</t>
  </si>
  <si>
    <t>Cuquío</t>
  </si>
  <si>
    <t>Frecericksburg</t>
  </si>
  <si>
    <t>Shreve</t>
  </si>
  <si>
    <t>Lubbock</t>
  </si>
  <si>
    <t>Waynesboro</t>
  </si>
  <si>
    <t>Hazlehurst</t>
  </si>
  <si>
    <t>Mt Upton</t>
  </si>
  <si>
    <t>Minnetonka</t>
  </si>
  <si>
    <t>Torrance</t>
  </si>
  <si>
    <t>Carlos</t>
  </si>
  <si>
    <t>Sauk Centre</t>
  </si>
  <si>
    <t>QUEZON CITY</t>
  </si>
  <si>
    <t>Lena</t>
  </si>
  <si>
    <t>New Sweden</t>
  </si>
  <si>
    <t>Rome City</t>
  </si>
  <si>
    <t>Bennington</t>
  </si>
  <si>
    <t>Berkeley</t>
  </si>
  <si>
    <t>Aquiraz</t>
  </si>
  <si>
    <t>Saugerties</t>
  </si>
  <si>
    <t>Newaygo</t>
  </si>
  <si>
    <t>Arcola</t>
  </si>
  <si>
    <t>Washington</t>
  </si>
  <si>
    <t>South Otselic</t>
  </si>
  <si>
    <t>Alma Center</t>
  </si>
  <si>
    <t>Eau Claire</t>
  </si>
  <si>
    <t>Chelsea</t>
  </si>
  <si>
    <t>Lititz</t>
  </si>
  <si>
    <t>Smith River</t>
  </si>
  <si>
    <t>Moscow</t>
  </si>
  <si>
    <t>Deansboro</t>
  </si>
  <si>
    <t>Manlius</t>
  </si>
  <si>
    <t>Durand</t>
  </si>
  <si>
    <t>Knoxville</t>
  </si>
  <si>
    <t>Winfield</t>
  </si>
  <si>
    <t>Loudonville</t>
  </si>
  <si>
    <t>Bovina Center</t>
  </si>
  <si>
    <t>Woodburn</t>
  </si>
  <si>
    <t>St. Charles</t>
  </si>
  <si>
    <t>New York Mills</t>
  </si>
  <si>
    <t>Mountain Grove</t>
  </si>
  <si>
    <t>South Range</t>
  </si>
  <si>
    <t>Falconer</t>
  </si>
  <si>
    <t>Slaton</t>
  </si>
  <si>
    <t>Wabasso</t>
  </si>
  <si>
    <t>Nisia Floresta</t>
  </si>
  <si>
    <t>Java</t>
  </si>
  <si>
    <t>Bronson</t>
  </si>
  <si>
    <t>Lebanon</t>
  </si>
  <si>
    <t>Nongyasai District</t>
  </si>
  <si>
    <t>Irasburg</t>
  </si>
  <si>
    <t>Claremont</t>
  </si>
  <si>
    <t>Cornwall</t>
  </si>
  <si>
    <t>Brookfield</t>
  </si>
  <si>
    <t>Hyde Park</t>
  </si>
  <si>
    <t>Highgate Center</t>
  </si>
  <si>
    <t>Peacham</t>
  </si>
  <si>
    <t>Orange</t>
  </si>
  <si>
    <t>Swanton</t>
  </si>
  <si>
    <t>Barre</t>
  </si>
  <si>
    <t>Jericho</t>
  </si>
  <si>
    <t>Walden</t>
  </si>
  <si>
    <t>Corinth</t>
  </si>
  <si>
    <t>Waterbury Center</t>
  </si>
  <si>
    <t>Jeffersonville</t>
  </si>
  <si>
    <t>Sutton</t>
  </si>
  <si>
    <t>Fairfax</t>
  </si>
  <si>
    <t>West Charleston</t>
  </si>
  <si>
    <t>Royalton</t>
  </si>
  <si>
    <t>Coventry</t>
  </si>
  <si>
    <t>Craftsbury</t>
  </si>
  <si>
    <t>East Hardwick</t>
  </si>
  <si>
    <t>Wells River</t>
  </si>
  <si>
    <t>West Halifax</t>
  </si>
  <si>
    <t>Derby</t>
  </si>
  <si>
    <t>West Danville</t>
  </si>
  <si>
    <t>Newport Ctr</t>
  </si>
  <si>
    <t>Wells</t>
  </si>
  <si>
    <t>Colchester</t>
  </si>
  <si>
    <t>Whiting</t>
  </si>
  <si>
    <t>Lyndon</t>
  </si>
  <si>
    <t>Middletown Springs</t>
  </si>
  <si>
    <t>East Johnson</t>
  </si>
  <si>
    <t>Saint Johnsbury</t>
  </si>
  <si>
    <t>Boise</t>
  </si>
  <si>
    <t>Binant</t>
  </si>
  <si>
    <t>Banyumas</t>
  </si>
  <si>
    <t>Jakarta Barat</t>
  </si>
  <si>
    <t>Sukoharjo</t>
  </si>
  <si>
    <t>Pangandaran</t>
  </si>
  <si>
    <t>Lampung Selatan</t>
  </si>
  <si>
    <t>Lakeland</t>
  </si>
  <si>
    <t>Dacula</t>
  </si>
  <si>
    <t>Savannah</t>
  </si>
  <si>
    <t>Elliottsburg</t>
  </si>
  <si>
    <t>Woodland</t>
  </si>
  <si>
    <t>Irvine</t>
  </si>
  <si>
    <t>Cedar Creek</t>
  </si>
  <si>
    <t>Jersey City</t>
  </si>
  <si>
    <t>Casco</t>
  </si>
  <si>
    <t>Garnavillo</t>
  </si>
  <si>
    <t>Pittsburg</t>
  </si>
  <si>
    <t>Remsen</t>
  </si>
  <si>
    <t>Leesburg</t>
  </si>
  <si>
    <t>Trumansburg</t>
  </si>
  <si>
    <t>Frankford</t>
  </si>
  <si>
    <t>FORTUNA</t>
  </si>
  <si>
    <t>Cornell</t>
  </si>
  <si>
    <t>Dickinson Center</t>
  </si>
  <si>
    <t>Commerce</t>
  </si>
  <si>
    <t>Milbank</t>
  </si>
  <si>
    <t>Random Lake</t>
  </si>
  <si>
    <t>Dover-Foxcroft</t>
  </si>
  <si>
    <t>Cresco</t>
  </si>
  <si>
    <t>Williston</t>
  </si>
  <si>
    <t>Campbellsport</t>
  </si>
  <si>
    <t>Watertown</t>
  </si>
  <si>
    <t>Goodhue</t>
  </si>
  <si>
    <t>Atlantic</t>
  </si>
  <si>
    <t>Strafford</t>
  </si>
  <si>
    <t>New Holstein</t>
  </si>
  <si>
    <t>Litchfield</t>
  </si>
  <si>
    <t>Vevay</t>
  </si>
  <si>
    <t>Eagle Bend</t>
  </si>
  <si>
    <t>Coldwater</t>
  </si>
  <si>
    <t>Tupi</t>
  </si>
  <si>
    <t>St Charles</t>
  </si>
  <si>
    <t>Middleburg</t>
  </si>
  <si>
    <t>Decatur</t>
  </si>
  <si>
    <t>Yorkshire</t>
  </si>
  <si>
    <t>Emmett</t>
  </si>
  <si>
    <t>Osage</t>
  </si>
  <si>
    <t>Bloomville</t>
  </si>
  <si>
    <t>Dekalb Junction</t>
  </si>
  <si>
    <t>New Freedom</t>
  </si>
  <si>
    <t>Bird-In-Hand</t>
  </si>
  <si>
    <t>Gretna</t>
  </si>
  <si>
    <t>Millville</t>
  </si>
  <si>
    <t>Skowhegan</t>
  </si>
  <si>
    <t>Peebles</t>
  </si>
  <si>
    <t>Sacred Heart</t>
  </si>
  <si>
    <t>Denmark</t>
  </si>
  <si>
    <t>Phoenixville</t>
  </si>
  <si>
    <t>Paullina</t>
  </si>
  <si>
    <t>Whitefield</t>
  </si>
  <si>
    <t>Delhi</t>
  </si>
  <si>
    <t>Raleigh</t>
  </si>
  <si>
    <t>Dubai</t>
  </si>
  <si>
    <t>Tomales</t>
  </si>
  <si>
    <t>Orland</t>
  </si>
  <si>
    <t>Ottertail</t>
  </si>
  <si>
    <t>New Sharon</t>
  </si>
  <si>
    <t>Airville</t>
  </si>
  <si>
    <t>Bath</t>
  </si>
  <si>
    <t>Ridgeland</t>
  </si>
  <si>
    <t>Buffalo</t>
  </si>
  <si>
    <t>Whitehall</t>
  </si>
  <si>
    <t>Sinclairville</t>
  </si>
  <si>
    <t>Cassopolis</t>
  </si>
  <si>
    <t>Gaylord</t>
  </si>
  <si>
    <t>Wernersville</t>
  </si>
  <si>
    <t>Maharishi Vedic City</t>
  </si>
  <si>
    <t>New Vineyard</t>
  </si>
  <si>
    <t>Norcross</t>
  </si>
  <si>
    <t>Glen Burnie</t>
  </si>
  <si>
    <t>Kellogg</t>
  </si>
  <si>
    <t>Fort Jones</t>
  </si>
  <si>
    <t>fawn grove</t>
  </si>
  <si>
    <t>Smithville</t>
  </si>
  <si>
    <t>Modoc</t>
  </si>
  <si>
    <t>Bird in Hand</t>
  </si>
  <si>
    <t>Muscoda</t>
  </si>
  <si>
    <t>Manchester</t>
  </si>
  <si>
    <t>Mokpo-si</t>
  </si>
  <si>
    <t>Cooperstown</t>
  </si>
  <si>
    <t>Grace</t>
  </si>
  <si>
    <t>MOBEETIE</t>
  </si>
  <si>
    <t>Tatuí</t>
  </si>
  <si>
    <t>Wauconda</t>
  </si>
  <si>
    <t>Cerritos</t>
  </si>
  <si>
    <t>Leicester</t>
  </si>
  <si>
    <t>Laurens</t>
  </si>
  <si>
    <t>Waltham</t>
  </si>
  <si>
    <t>Sycamore</t>
  </si>
  <si>
    <t>Walkerton</t>
  </si>
  <si>
    <t>Fort Worth</t>
  </si>
  <si>
    <t>Broadview Heights</t>
  </si>
  <si>
    <t>Whitingham</t>
  </si>
  <si>
    <t>Elk Grove Village</t>
  </si>
  <si>
    <t>Monmouth</t>
  </si>
  <si>
    <t>Lolo</t>
  </si>
  <si>
    <t>Strongsville</t>
  </si>
  <si>
    <t>South Wales, NY</t>
  </si>
  <si>
    <t>Oconomowoc</t>
  </si>
  <si>
    <t>MILLERSBURG</t>
  </si>
  <si>
    <t>Conesus</t>
  </si>
  <si>
    <t>Fenwick</t>
  </si>
  <si>
    <t>Brooklyn</t>
  </si>
  <si>
    <t>Rosemont</t>
  </si>
  <si>
    <t>Monrovia</t>
  </si>
  <si>
    <t>Zionsville</t>
  </si>
  <si>
    <t>Glenwood City</t>
  </si>
  <si>
    <t>Buena Park</t>
  </si>
  <si>
    <t>Chonburi</t>
  </si>
  <si>
    <t>Webberville</t>
  </si>
  <si>
    <t>Kieler</t>
  </si>
  <si>
    <t>South China</t>
  </si>
  <si>
    <t>Red Bank</t>
  </si>
  <si>
    <t>Maple Lake</t>
  </si>
  <si>
    <t>Clear Lake</t>
  </si>
  <si>
    <t>Ossineke</t>
  </si>
  <si>
    <t>Rosendale</t>
  </si>
  <si>
    <t>Ben Cat</t>
  </si>
  <si>
    <t>Little Suamico</t>
  </si>
  <si>
    <t>GUSTINE</t>
  </si>
  <si>
    <t>Waitsfield</t>
  </si>
  <si>
    <t>Villard</t>
  </si>
  <si>
    <t>Denair</t>
  </si>
  <si>
    <t>Hartwick</t>
  </si>
  <si>
    <t>Watsonville</t>
  </si>
  <si>
    <t>Navarre</t>
  </si>
  <si>
    <t>Pittston</t>
  </si>
  <si>
    <t>Gays Mills</t>
  </si>
  <si>
    <t>Loysville</t>
  </si>
  <si>
    <t>Cabool</t>
  </si>
  <si>
    <t>Cedar City</t>
  </si>
  <si>
    <t>Canaseraga</t>
  </si>
  <si>
    <t>AUSTIN</t>
  </si>
  <si>
    <t>Covington</t>
  </si>
  <si>
    <t>Beavertown</t>
  </si>
  <si>
    <t>Ava</t>
  </si>
  <si>
    <t>Mount Pleasant Mills</t>
  </si>
  <si>
    <t>South Gate</t>
  </si>
  <si>
    <t>Jonesville</t>
  </si>
  <si>
    <t>Waupun</t>
  </si>
  <si>
    <t>Porterfield</t>
  </si>
  <si>
    <t>Vassar</t>
  </si>
  <si>
    <t>Rodman</t>
  </si>
  <si>
    <t>Trinidad</t>
  </si>
  <si>
    <t>blaine</t>
  </si>
  <si>
    <t>Deford</t>
  </si>
  <si>
    <t>Sharon Grove</t>
  </si>
  <si>
    <t>Hebron</t>
  </si>
  <si>
    <t>Bellefontaine</t>
  </si>
  <si>
    <t>Elko</t>
  </si>
  <si>
    <t>Physical Address: State/Province</t>
  </si>
  <si>
    <t>Pará</t>
  </si>
  <si>
    <t>Wisconsin</t>
  </si>
  <si>
    <t>Ohio</t>
  </si>
  <si>
    <t>Indiana</t>
  </si>
  <si>
    <t>Pennsylvania</t>
  </si>
  <si>
    <t>Minnesota</t>
  </si>
  <si>
    <t>New Jersey</t>
  </si>
  <si>
    <t>Vermont</t>
  </si>
  <si>
    <t>Iowa</t>
  </si>
  <si>
    <t>Illinois</t>
  </si>
  <si>
    <t>California</t>
  </si>
  <si>
    <t>South Carolina</t>
  </si>
  <si>
    <t>New Hampshire</t>
  </si>
  <si>
    <t>Florida</t>
  </si>
  <si>
    <t>Montana</t>
  </si>
  <si>
    <t>Michigan</t>
  </si>
  <si>
    <t>Arizona</t>
  </si>
  <si>
    <t>Oregon</t>
  </si>
  <si>
    <t>Quezon</t>
  </si>
  <si>
    <t>Texas</t>
  </si>
  <si>
    <t>Ben Tre province</t>
  </si>
  <si>
    <t>Samutsongkhram</t>
  </si>
  <si>
    <t>Colorado</t>
  </si>
  <si>
    <t>Queensland</t>
  </si>
  <si>
    <t>Mississippi</t>
  </si>
  <si>
    <t>Ben Tre Province</t>
  </si>
  <si>
    <t>Utah</t>
  </si>
  <si>
    <t>Missouri</t>
  </si>
  <si>
    <t>Louisiana</t>
  </si>
  <si>
    <t>Maine</t>
  </si>
  <si>
    <t>New Mexico</t>
  </si>
  <si>
    <t>Ratchaburi</t>
  </si>
  <si>
    <t>Nevada</t>
  </si>
  <si>
    <t>Massachusetts</t>
  </si>
  <si>
    <t>São Paulo</t>
  </si>
  <si>
    <t>Distrito Federal</t>
  </si>
  <si>
    <t>Idaho</t>
  </si>
  <si>
    <t>North Carolina</t>
  </si>
  <si>
    <t>Kentucky</t>
  </si>
  <si>
    <t>Nebraska</t>
  </si>
  <si>
    <t>Central Java</t>
  </si>
  <si>
    <t>Soc Son District</t>
  </si>
  <si>
    <t>Goiás</t>
  </si>
  <si>
    <t>South Dakota</t>
  </si>
  <si>
    <t>Córdoba</t>
  </si>
  <si>
    <t>Tennessee</t>
  </si>
  <si>
    <t>Bogotá</t>
  </si>
  <si>
    <t>Shandong</t>
  </si>
  <si>
    <t>BC</t>
  </si>
  <si>
    <t>El Seibo</t>
  </si>
  <si>
    <t>Alabama</t>
  </si>
  <si>
    <t>Prachuap Khirikhan</t>
  </si>
  <si>
    <t>Connecticut</t>
  </si>
  <si>
    <t>Muang Chonburi</t>
  </si>
  <si>
    <t>Binh Duong Province</t>
  </si>
  <si>
    <t>Delaware</t>
  </si>
  <si>
    <t>Ceará</t>
  </si>
  <si>
    <t>Rio Grande do Norte</t>
  </si>
  <si>
    <t>Suphanburi</t>
  </si>
  <si>
    <t>Kepulauan Riau</t>
  </si>
  <si>
    <t>Jawa Tengah</t>
  </si>
  <si>
    <t>Jakarta</t>
  </si>
  <si>
    <t>Jawa Barat</t>
  </si>
  <si>
    <t>Lampung</t>
  </si>
  <si>
    <t>West Virginia</t>
  </si>
  <si>
    <t>Daejeon</t>
  </si>
  <si>
    <t>Binh Duong</t>
  </si>
  <si>
    <t>Physical Address: Country</t>
  </si>
  <si>
    <t>United States of America (the)</t>
  </si>
  <si>
    <t>Philippines (the)</t>
  </si>
  <si>
    <t>Peru</t>
  </si>
  <si>
    <t>Viet Nam</t>
  </si>
  <si>
    <t>Australia</t>
  </si>
  <si>
    <t>Sri Lanka</t>
  </si>
  <si>
    <t>Indonesia</t>
  </si>
  <si>
    <t>Argentina</t>
  </si>
  <si>
    <t>Colombia</t>
  </si>
  <si>
    <t>China</t>
  </si>
  <si>
    <t>United Kingdom of Great Britain and Northern Ireland (the)</t>
  </si>
  <si>
    <t>Canada</t>
  </si>
  <si>
    <t>Dominican Republic (the)</t>
  </si>
  <si>
    <t>Mexico</t>
  </si>
  <si>
    <t>United Arab Emirates (the)</t>
  </si>
  <si>
    <t>Korea (the Republic of)</t>
  </si>
  <si>
    <t>Italy</t>
  </si>
  <si>
    <t>Physical Address: ZIP/ Postal Code</t>
  </si>
  <si>
    <t>68440-000</t>
  </si>
  <si>
    <t>14527</t>
  </si>
  <si>
    <t>53533</t>
  </si>
  <si>
    <t>53027</t>
  </si>
  <si>
    <t>44859</t>
  </si>
  <si>
    <t>46761</t>
  </si>
  <si>
    <t>54670</t>
  </si>
  <si>
    <t>17566</t>
  </si>
  <si>
    <t>47989</t>
  </si>
  <si>
    <t>44627</t>
  </si>
  <si>
    <t>44428</t>
  </si>
  <si>
    <t>14521</t>
  </si>
  <si>
    <t>17747</t>
  </si>
  <si>
    <t>13317</t>
  </si>
  <si>
    <t>44654</t>
  </si>
  <si>
    <t>44062</t>
  </si>
  <si>
    <t>53541</t>
  </si>
  <si>
    <t>17505</t>
  </si>
  <si>
    <t>53510</t>
  </si>
  <si>
    <t>17536</t>
  </si>
  <si>
    <t>55060</t>
  </si>
  <si>
    <t>13776</t>
  </si>
  <si>
    <t>19362</t>
  </si>
  <si>
    <t>47859</t>
  </si>
  <si>
    <t>53949</t>
  </si>
  <si>
    <t>54479</t>
  </si>
  <si>
    <t>07004</t>
  </si>
  <si>
    <t>44681</t>
  </si>
  <si>
    <t>13357</t>
  </si>
  <si>
    <t>53530</t>
  </si>
  <si>
    <t>16872</t>
  </si>
  <si>
    <t>53818</t>
  </si>
  <si>
    <t>54949</t>
  </si>
  <si>
    <t>13339</t>
  </si>
  <si>
    <t>17859</t>
  </si>
  <si>
    <t>17847</t>
  </si>
  <si>
    <t>05843</t>
  </si>
  <si>
    <t>13158</t>
  </si>
  <si>
    <t>13332</t>
  </si>
  <si>
    <t>44624</t>
  </si>
  <si>
    <t>52076</t>
  </si>
  <si>
    <t>13460</t>
  </si>
  <si>
    <t>52140</t>
  </si>
  <si>
    <t>13815</t>
  </si>
  <si>
    <t>13032</t>
  </si>
  <si>
    <t>50641</t>
  </si>
  <si>
    <t>12072</t>
  </si>
  <si>
    <t>16404</t>
  </si>
  <si>
    <t>12166</t>
  </si>
  <si>
    <t>62305</t>
  </si>
  <si>
    <t>13340</t>
  </si>
  <si>
    <t>93292</t>
  </si>
  <si>
    <t>56058</t>
  </si>
  <si>
    <t>12966</t>
  </si>
  <si>
    <t>56362</t>
  </si>
  <si>
    <t>56007</t>
  </si>
  <si>
    <t>55979</t>
  </si>
  <si>
    <t>54021</t>
  </si>
  <si>
    <t>29729</t>
  </si>
  <si>
    <t>03443</t>
  </si>
  <si>
    <t>34238</t>
  </si>
  <si>
    <t>92518</t>
  </si>
  <si>
    <t>94568</t>
  </si>
  <si>
    <t>56352</t>
  </si>
  <si>
    <t>95531</t>
  </si>
  <si>
    <t>45347</t>
  </si>
  <si>
    <t>54411</t>
  </si>
  <si>
    <t>14802</t>
  </si>
  <si>
    <t>54619</t>
  </si>
  <si>
    <t>54112</t>
  </si>
  <si>
    <t>56347</t>
  </si>
  <si>
    <t>46795</t>
  </si>
  <si>
    <t>46540</t>
  </si>
  <si>
    <t>13354</t>
  </si>
  <si>
    <t>53554</t>
  </si>
  <si>
    <t>13733</t>
  </si>
  <si>
    <t>54755</t>
  </si>
  <si>
    <t>54634</t>
  </si>
  <si>
    <t>45123</t>
  </si>
  <si>
    <t>17562</t>
  </si>
  <si>
    <t>43968</t>
  </si>
  <si>
    <t>13808</t>
  </si>
  <si>
    <t>54950</t>
  </si>
  <si>
    <t>17518</t>
  </si>
  <si>
    <t>54642</t>
  </si>
  <si>
    <t>21034</t>
  </si>
  <si>
    <t>46571</t>
  </si>
  <si>
    <t>13425</t>
  </si>
  <si>
    <t>54107</t>
  </si>
  <si>
    <t>14456</t>
  </si>
  <si>
    <t>59714</t>
  </si>
  <si>
    <t>53222</t>
  </si>
  <si>
    <t>95203</t>
  </si>
  <si>
    <t>48176-1631</t>
  </si>
  <si>
    <t>53964</t>
  </si>
  <si>
    <t>21911</t>
  </si>
  <si>
    <t>48813</t>
  </si>
  <si>
    <t>44878</t>
  </si>
  <si>
    <t>17579</t>
  </si>
  <si>
    <t>13681</t>
  </si>
  <si>
    <t>12914</t>
  </si>
  <si>
    <t>54638</t>
  </si>
  <si>
    <t>17527</t>
  </si>
  <si>
    <t>54868</t>
  </si>
  <si>
    <t>13613</t>
  </si>
  <si>
    <t>17555</t>
  </si>
  <si>
    <t>47339</t>
  </si>
  <si>
    <t>17509</t>
  </si>
  <si>
    <t>17777</t>
  </si>
  <si>
    <t>19543</t>
  </si>
  <si>
    <t>12955</t>
  </si>
  <si>
    <t>44822</t>
  </si>
  <si>
    <t>17529</t>
  </si>
  <si>
    <t>47393</t>
  </si>
  <si>
    <t>85283</t>
  </si>
  <si>
    <t>97503</t>
  </si>
  <si>
    <t>95407</t>
  </si>
  <si>
    <t>54630</t>
  </si>
  <si>
    <t>56326</t>
  </si>
  <si>
    <t>14561</t>
  </si>
  <si>
    <t>17815</t>
  </si>
  <si>
    <t>52247</t>
  </si>
  <si>
    <t>54667</t>
  </si>
  <si>
    <t>13637</t>
  </si>
  <si>
    <t>53929</t>
  </si>
  <si>
    <t>4325</t>
  </si>
  <si>
    <t>12934</t>
  </si>
  <si>
    <t>52237</t>
  </si>
  <si>
    <t>13652</t>
  </si>
  <si>
    <t>12923</t>
  </si>
  <si>
    <t>45133</t>
  </si>
  <si>
    <t>54313</t>
  </si>
  <si>
    <t>92407</t>
  </si>
  <si>
    <t>54835</t>
  </si>
  <si>
    <t>13619</t>
  </si>
  <si>
    <t>44618</t>
  </si>
  <si>
    <t>98532</t>
  </si>
  <si>
    <t>48472</t>
  </si>
  <si>
    <t>19350</t>
  </si>
  <si>
    <t>12916</t>
  </si>
  <si>
    <t>76446</t>
  </si>
  <si>
    <t>55947</t>
  </si>
  <si>
    <t>75110</t>
  </si>
  <si>
    <t>95380</t>
  </si>
  <si>
    <t>46550</t>
  </si>
  <si>
    <t>98001</t>
  </si>
  <si>
    <t>79084</t>
  </si>
  <si>
    <t>80624</t>
  </si>
  <si>
    <t>80651</t>
  </si>
  <si>
    <t>4359</t>
  </si>
  <si>
    <t>13642</t>
  </si>
  <si>
    <t>90230</t>
  </si>
  <si>
    <t>94940</t>
  </si>
  <si>
    <t>44270</t>
  </si>
  <si>
    <t>53014</t>
  </si>
  <si>
    <t>15501</t>
  </si>
  <si>
    <t>53925</t>
  </si>
  <si>
    <t>48831</t>
  </si>
  <si>
    <t>45373</t>
  </si>
  <si>
    <t>13624</t>
  </si>
  <si>
    <t>30268</t>
  </si>
  <si>
    <t>95987</t>
  </si>
  <si>
    <t>54405</t>
  </si>
  <si>
    <t>60654</t>
  </si>
  <si>
    <t>53580</t>
  </si>
  <si>
    <t>60101</t>
  </si>
  <si>
    <t>13646</t>
  </si>
  <si>
    <t>39645</t>
  </si>
  <si>
    <t>52042</t>
  </si>
  <si>
    <t>55910</t>
  </si>
  <si>
    <t>12827</t>
  </si>
  <si>
    <t>17821</t>
  </si>
  <si>
    <t>60062</t>
  </si>
  <si>
    <t>13073</t>
  </si>
  <si>
    <t>53070</t>
  </si>
  <si>
    <t>54742</t>
  </si>
  <si>
    <t>13669</t>
  </si>
  <si>
    <t>19363</t>
  </si>
  <si>
    <t>54660</t>
  </si>
  <si>
    <t>14004</t>
  </si>
  <si>
    <t>54614</t>
  </si>
  <si>
    <t>17059</t>
  </si>
  <si>
    <t>54817</t>
  </si>
  <si>
    <t>14541</t>
  </si>
  <si>
    <t>13626</t>
  </si>
  <si>
    <t>14882</t>
  </si>
  <si>
    <t>930000</t>
  </si>
  <si>
    <t>17314</t>
  </si>
  <si>
    <t>13367</t>
  </si>
  <si>
    <t>19344</t>
  </si>
  <si>
    <t>12089</t>
  </si>
  <si>
    <t>54766</t>
  </si>
  <si>
    <t>84042</t>
  </si>
  <si>
    <t>49425</t>
  </si>
  <si>
    <t>55969</t>
  </si>
  <si>
    <t>94956</t>
  </si>
  <si>
    <t>44641</t>
  </si>
  <si>
    <t>14837</t>
  </si>
  <si>
    <t>05478</t>
  </si>
  <si>
    <t>15748</t>
  </si>
  <si>
    <t>52172</t>
  </si>
  <si>
    <t>53057</t>
  </si>
  <si>
    <t>53807</t>
  </si>
  <si>
    <t>44287</t>
  </si>
  <si>
    <t>50595</t>
  </si>
  <si>
    <t>95536</t>
  </si>
  <si>
    <t>12926</t>
  </si>
  <si>
    <t>56312</t>
  </si>
  <si>
    <t>05457</t>
  </si>
  <si>
    <t>54027</t>
  </si>
  <si>
    <t>17262</t>
  </si>
  <si>
    <t>14024</t>
  </si>
  <si>
    <t>13112</t>
  </si>
  <si>
    <t>47243</t>
  </si>
  <si>
    <t>54002</t>
  </si>
  <si>
    <t>64652</t>
  </si>
  <si>
    <t>14817</t>
  </si>
  <si>
    <t>70438</t>
  </si>
  <si>
    <t>15650</t>
  </si>
  <si>
    <t>54751</t>
  </si>
  <si>
    <t>05667</t>
  </si>
  <si>
    <t>75904</t>
  </si>
  <si>
    <t>13843</t>
  </si>
  <si>
    <t>13844</t>
  </si>
  <si>
    <t>16925</t>
  </si>
  <si>
    <t>46404</t>
  </si>
  <si>
    <t>56364</t>
  </si>
  <si>
    <t>22902</t>
  </si>
  <si>
    <t>54629</t>
  </si>
  <si>
    <t>54729</t>
  </si>
  <si>
    <t>54230</t>
  </si>
  <si>
    <t>31063</t>
  </si>
  <si>
    <t>12917</t>
  </si>
  <si>
    <t>05874</t>
  </si>
  <si>
    <t>14855</t>
  </si>
  <si>
    <t>14840</t>
  </si>
  <si>
    <t>17236</t>
  </si>
  <si>
    <t>14728</t>
  </si>
  <si>
    <t>54627</t>
  </si>
  <si>
    <t>24092</t>
  </si>
  <si>
    <t>22714</t>
  </si>
  <si>
    <t>30671</t>
  </si>
  <si>
    <t>95330</t>
  </si>
  <si>
    <t>91761</t>
  </si>
  <si>
    <t>03458</t>
  </si>
  <si>
    <t>04426</t>
  </si>
  <si>
    <t>64674</t>
  </si>
  <si>
    <t>87567</t>
  </si>
  <si>
    <t>52101</t>
  </si>
  <si>
    <t>53805</t>
  </si>
  <si>
    <t>97374</t>
  </si>
  <si>
    <t>95472</t>
  </si>
  <si>
    <t>54129</t>
  </si>
  <si>
    <t>05647</t>
  </si>
  <si>
    <t>13045</t>
  </si>
  <si>
    <t>44903</t>
  </si>
  <si>
    <t>54408</t>
  </si>
  <si>
    <t>14011</t>
  </si>
  <si>
    <t>21703</t>
  </si>
  <si>
    <t>04253</t>
  </si>
  <si>
    <t>52327</t>
  </si>
  <si>
    <t>53577</t>
  </si>
  <si>
    <t>43824</t>
  </si>
  <si>
    <t>94954</t>
  </si>
  <si>
    <t>95361</t>
  </si>
  <si>
    <t>55033</t>
  </si>
  <si>
    <t>89501</t>
  </si>
  <si>
    <t>21791</t>
  </si>
  <si>
    <t>13697</t>
  </si>
  <si>
    <t>17058</t>
  </si>
  <si>
    <t>04747</t>
  </si>
  <si>
    <t>04947</t>
  </si>
  <si>
    <t>01378</t>
  </si>
  <si>
    <t>12567</t>
  </si>
  <si>
    <t>14718</t>
  </si>
  <si>
    <t>10504</t>
  </si>
  <si>
    <t>54982</t>
  </si>
  <si>
    <t>14478</t>
  </si>
  <si>
    <t>95928</t>
  </si>
  <si>
    <t>12110</t>
  </si>
  <si>
    <t>12957</t>
  </si>
  <si>
    <t>48617</t>
  </si>
  <si>
    <t>22821</t>
  </si>
  <si>
    <t>17023</t>
  </si>
  <si>
    <t>47872</t>
  </si>
  <si>
    <t>13673</t>
  </si>
  <si>
    <t>12928</t>
  </si>
  <si>
    <t>12935</t>
  </si>
  <si>
    <t>13775</t>
  </si>
  <si>
    <t>55929</t>
  </si>
  <si>
    <t>17369-899</t>
  </si>
  <si>
    <t>19506</t>
  </si>
  <si>
    <t>46543</t>
  </si>
  <si>
    <t>71570-300</t>
  </si>
  <si>
    <t>17202</t>
  </si>
  <si>
    <t>63537</t>
  </si>
  <si>
    <t>13140</t>
  </si>
  <si>
    <t>04422</t>
  </si>
  <si>
    <t>94952</t>
  </si>
  <si>
    <t>14418</t>
  </si>
  <si>
    <t>20723</t>
  </si>
  <si>
    <t>13141</t>
  </si>
  <si>
    <t>45242</t>
  </si>
  <si>
    <t>83338</t>
  </si>
  <si>
    <t>28636</t>
  </si>
  <si>
    <t>54020</t>
  </si>
  <si>
    <t>56359</t>
  </si>
  <si>
    <t>43310</t>
  </si>
  <si>
    <t>98238</t>
  </si>
  <si>
    <t>61060</t>
  </si>
  <si>
    <t>83455</t>
  </si>
  <si>
    <t>14525</t>
  </si>
  <si>
    <t>17560</t>
  </si>
  <si>
    <t>42754</t>
  </si>
  <si>
    <t>79347</t>
  </si>
  <si>
    <t>78621</t>
  </si>
  <si>
    <t>14898</t>
  </si>
  <si>
    <t>05857</t>
  </si>
  <si>
    <t>56122</t>
  </si>
  <si>
    <t>61019</t>
  </si>
  <si>
    <t>80216</t>
  </si>
  <si>
    <t>21795</t>
  </si>
  <si>
    <t>14065</t>
  </si>
  <si>
    <t>61006</t>
  </si>
  <si>
    <t>13439</t>
  </si>
  <si>
    <t>13640</t>
  </si>
  <si>
    <t>93654</t>
  </si>
  <si>
    <t>95351</t>
  </si>
  <si>
    <t>95540</t>
  </si>
  <si>
    <t>17532</t>
  </si>
  <si>
    <t>13365</t>
  </si>
  <si>
    <t>54724</t>
  </si>
  <si>
    <t>47963</t>
  </si>
  <si>
    <t>54651</t>
  </si>
  <si>
    <t>68701</t>
  </si>
  <si>
    <t>54615</t>
  </si>
  <si>
    <t>05778</t>
  </si>
  <si>
    <t>54111</t>
  </si>
  <si>
    <t>94107</t>
  </si>
  <si>
    <t>54819</t>
  </si>
  <si>
    <t>64744</t>
  </si>
  <si>
    <t>94005</t>
  </si>
  <si>
    <t>46565</t>
  </si>
  <si>
    <t>53809</t>
  </si>
  <si>
    <t>53078</t>
  </si>
  <si>
    <t>17545</t>
  </si>
  <si>
    <t>47345</t>
  </si>
  <si>
    <t>16820</t>
  </si>
  <si>
    <t>54420</t>
  </si>
  <si>
    <t>54943</t>
  </si>
  <si>
    <t>54436</t>
  </si>
  <si>
    <t>14489</t>
  </si>
  <si>
    <t>46528</t>
  </si>
  <si>
    <t>43804</t>
  </si>
  <si>
    <t>13335</t>
  </si>
  <si>
    <t>13617</t>
  </si>
  <si>
    <t>17572</t>
  </si>
  <si>
    <t>54626</t>
  </si>
  <si>
    <t>15552</t>
  </si>
  <si>
    <t>15542</t>
  </si>
  <si>
    <t>14735</t>
  </si>
  <si>
    <t>19530</t>
  </si>
  <si>
    <t>97423</t>
  </si>
  <si>
    <t>13428</t>
  </si>
  <si>
    <t>85339</t>
  </si>
  <si>
    <t>54153</t>
  </si>
  <si>
    <t>70426</t>
  </si>
  <si>
    <t>98570</t>
  </si>
  <si>
    <t>53520</t>
  </si>
  <si>
    <t>43812</t>
  </si>
  <si>
    <t>14012</t>
  </si>
  <si>
    <t>39574</t>
  </si>
  <si>
    <t>16832</t>
  </si>
  <si>
    <t>16875</t>
  </si>
  <si>
    <t>52537</t>
  </si>
  <si>
    <t>17082</t>
  </si>
  <si>
    <t>13452</t>
  </si>
  <si>
    <t>44030</t>
  </si>
  <si>
    <t>13477</t>
  </si>
  <si>
    <t>16686</t>
  </si>
  <si>
    <t>05448</t>
  </si>
  <si>
    <t>94587</t>
  </si>
  <si>
    <t>54235</t>
  </si>
  <si>
    <t>13743</t>
  </si>
  <si>
    <t>83355</t>
  </si>
  <si>
    <t>54648</t>
  </si>
  <si>
    <t>13071</t>
  </si>
  <si>
    <t>95947</t>
  </si>
  <si>
    <t>33131</t>
  </si>
  <si>
    <t>49632</t>
  </si>
  <si>
    <t>46156</t>
  </si>
  <si>
    <t>14507</t>
  </si>
  <si>
    <t>56515</t>
  </si>
  <si>
    <t>54726</t>
  </si>
  <si>
    <t>54664</t>
  </si>
  <si>
    <t>56320</t>
  </si>
  <si>
    <t>56011</t>
  </si>
  <si>
    <t>17051</t>
  </si>
  <si>
    <t>54758</t>
  </si>
  <si>
    <t>13408</t>
  </si>
  <si>
    <t>89020</t>
  </si>
  <si>
    <t>12043</t>
  </si>
  <si>
    <t>98816</t>
  </si>
  <si>
    <t>05830</t>
  </si>
  <si>
    <t>94946</t>
  </si>
  <si>
    <t>13778</t>
  </si>
  <si>
    <t>54721</t>
  </si>
  <si>
    <t>56331</t>
  </si>
  <si>
    <t>13118</t>
  </si>
  <si>
    <t>54655</t>
  </si>
  <si>
    <t>95401</t>
  </si>
  <si>
    <t>83344</t>
  </si>
  <si>
    <t>54421</t>
  </si>
  <si>
    <t>54498</t>
  </si>
  <si>
    <t>13661</t>
  </si>
  <si>
    <t>52556</t>
  </si>
  <si>
    <t>53528</t>
  </si>
  <si>
    <t>10013</t>
  </si>
  <si>
    <t>49663</t>
  </si>
  <si>
    <t>04730</t>
  </si>
  <si>
    <t>53059</t>
  </si>
  <si>
    <t>10952</t>
  </si>
  <si>
    <t>13361</t>
  </si>
  <si>
    <t>56340</t>
  </si>
  <si>
    <t>60098</t>
  </si>
  <si>
    <t>56440</t>
  </si>
  <si>
    <t>04224</t>
  </si>
  <si>
    <t>34110</t>
  </si>
  <si>
    <t>97202</t>
  </si>
  <si>
    <t>44667</t>
  </si>
  <si>
    <t>53504</t>
  </si>
  <si>
    <t>13862</t>
  </si>
  <si>
    <t>54452</t>
  </si>
  <si>
    <t>98022</t>
  </si>
  <si>
    <t>46501</t>
  </si>
  <si>
    <t>49236</t>
  </si>
  <si>
    <t>54722</t>
  </si>
  <si>
    <t>52570</t>
  </si>
  <si>
    <t>12193</t>
  </si>
  <si>
    <t>12167</t>
  </si>
  <si>
    <t>14847</t>
  </si>
  <si>
    <t>17535</t>
  </si>
  <si>
    <t>63432</t>
  </si>
  <si>
    <t>56438</t>
  </si>
  <si>
    <t>17540</t>
  </si>
  <si>
    <t>12068</t>
  </si>
  <si>
    <t>15558</t>
  </si>
  <si>
    <t>54659</t>
  </si>
  <si>
    <t>54870</t>
  </si>
  <si>
    <t>17004</t>
  </si>
  <si>
    <t>16153</t>
  </si>
  <si>
    <t>14433</t>
  </si>
  <si>
    <t>14842</t>
  </si>
  <si>
    <t>54768</t>
  </si>
  <si>
    <t>05770</t>
  </si>
  <si>
    <t>54639</t>
  </si>
  <si>
    <t>54425</t>
  </si>
  <si>
    <t>12920</t>
  </si>
  <si>
    <t>19310</t>
  </si>
  <si>
    <t>14873</t>
  </si>
  <si>
    <t>52572</t>
  </si>
  <si>
    <t>16125</t>
  </si>
  <si>
    <t>88130</t>
  </si>
  <si>
    <t>47862</t>
  </si>
  <si>
    <t>48475</t>
  </si>
  <si>
    <t>54166</t>
  </si>
  <si>
    <t>14860</t>
  </si>
  <si>
    <t>53065</t>
  </si>
  <si>
    <t>15530</t>
  </si>
  <si>
    <t>12116</t>
  </si>
  <si>
    <t>13101</t>
  </si>
  <si>
    <t>45612</t>
  </si>
  <si>
    <t>46570</t>
  </si>
  <si>
    <t>17563</t>
  </si>
  <si>
    <t>24471</t>
  </si>
  <si>
    <t>13618</t>
  </si>
  <si>
    <t>54407</t>
  </si>
  <si>
    <t>49032</t>
  </si>
  <si>
    <t>95348</t>
  </si>
  <si>
    <t>21620</t>
  </si>
  <si>
    <t>04973</t>
  </si>
  <si>
    <t>54741</t>
  </si>
  <si>
    <t>12197</t>
  </si>
  <si>
    <t>07072</t>
  </si>
  <si>
    <t>17049</t>
  </si>
  <si>
    <t>29715</t>
  </si>
  <si>
    <t>52356</t>
  </si>
  <si>
    <t>05679</t>
  </si>
  <si>
    <t>74787</t>
  </si>
  <si>
    <t>69131</t>
  </si>
  <si>
    <t>90220</t>
  </si>
  <si>
    <t>95521</t>
  </si>
  <si>
    <t>49665</t>
  </si>
  <si>
    <t>08536</t>
  </si>
  <si>
    <t>74905-330</t>
  </si>
  <si>
    <t>54656</t>
  </si>
  <si>
    <t>21031</t>
  </si>
  <si>
    <t>61911</t>
  </si>
  <si>
    <t>98002</t>
  </si>
  <si>
    <t>43019</t>
  </si>
  <si>
    <t>60134</t>
  </si>
  <si>
    <t>57216</t>
  </si>
  <si>
    <t>92201</t>
  </si>
  <si>
    <t>46526</t>
  </si>
  <si>
    <t>13827</t>
  </si>
  <si>
    <t>18837</t>
  </si>
  <si>
    <t>07094</t>
  </si>
  <si>
    <t>2624</t>
  </si>
  <si>
    <t>17522</t>
  </si>
  <si>
    <t>8001</t>
  </si>
  <si>
    <t>05301</t>
  </si>
  <si>
    <t>13407</t>
  </si>
  <si>
    <t>44805</t>
  </si>
  <si>
    <t>52155</t>
  </si>
  <si>
    <t>54727</t>
  </si>
  <si>
    <t>98264</t>
  </si>
  <si>
    <t>32809</t>
  </si>
  <si>
    <t>37210</t>
  </si>
  <si>
    <t>33069</t>
  </si>
  <si>
    <t>91744</t>
  </si>
  <si>
    <t>33610</t>
  </si>
  <si>
    <t>52317</t>
  </si>
  <si>
    <t>52318</t>
  </si>
  <si>
    <t>95637</t>
  </si>
  <si>
    <t>53555</t>
  </si>
  <si>
    <t>91367</t>
  </si>
  <si>
    <t>05261</t>
  </si>
  <si>
    <t>14052</t>
  </si>
  <si>
    <t>54754</t>
  </si>
  <si>
    <t>80734</t>
  </si>
  <si>
    <t>17751</t>
  </si>
  <si>
    <t>49247</t>
  </si>
  <si>
    <t>94901</t>
  </si>
  <si>
    <t>33177</t>
  </si>
  <si>
    <t>13865</t>
  </si>
  <si>
    <t>54470</t>
  </si>
  <si>
    <t>52240</t>
  </si>
  <si>
    <t>48416</t>
  </si>
  <si>
    <t>91710</t>
  </si>
  <si>
    <t>54632</t>
  </si>
  <si>
    <t>30339</t>
  </si>
  <si>
    <t>44255</t>
  </si>
  <si>
    <t>23462</t>
  </si>
  <si>
    <t>04861</t>
  </si>
  <si>
    <t>13634</t>
  </si>
  <si>
    <t>48878</t>
  </si>
  <si>
    <t>03062</t>
  </si>
  <si>
    <t>54771</t>
  </si>
  <si>
    <t>50655</t>
  </si>
  <si>
    <t>05262</t>
  </si>
  <si>
    <t>54728</t>
  </si>
  <si>
    <t>46901</t>
  </si>
  <si>
    <t>56544</t>
  </si>
  <si>
    <t>63555</t>
  </si>
  <si>
    <t>53522</t>
  </si>
  <si>
    <t>94510</t>
  </si>
  <si>
    <t>12455</t>
  </si>
  <si>
    <t>14098</t>
  </si>
  <si>
    <t>05032</t>
  </si>
  <si>
    <t>49404</t>
  </si>
  <si>
    <t>05450</t>
  </si>
  <si>
    <t>53516</t>
  </si>
  <si>
    <t>54612</t>
  </si>
  <si>
    <t>02535</t>
  </si>
  <si>
    <t>44851</t>
  </si>
  <si>
    <t>56139</t>
  </si>
  <si>
    <t>94010</t>
  </si>
  <si>
    <t>53188</t>
  </si>
  <si>
    <t>14411</t>
  </si>
  <si>
    <t>13418</t>
  </si>
  <si>
    <t>07030</t>
  </si>
  <si>
    <t>04227</t>
  </si>
  <si>
    <t>53137</t>
  </si>
  <si>
    <t>54616</t>
  </si>
  <si>
    <t>04938</t>
  </si>
  <si>
    <t>17087</t>
  </si>
  <si>
    <t>46746</t>
  </si>
  <si>
    <t>94612</t>
  </si>
  <si>
    <t>17094</t>
  </si>
  <si>
    <t>54435</t>
  </si>
  <si>
    <t>54770</t>
  </si>
  <si>
    <t>17845</t>
  </si>
  <si>
    <t>98321</t>
  </si>
  <si>
    <t>48835</t>
  </si>
  <si>
    <t>56464</t>
  </si>
  <si>
    <t>12075</t>
  </si>
  <si>
    <t>49042-9716</t>
  </si>
  <si>
    <t>77041</t>
  </si>
  <si>
    <t>78218</t>
  </si>
  <si>
    <t>76504</t>
  </si>
  <si>
    <t>61274</t>
  </si>
  <si>
    <t>13329</t>
  </si>
  <si>
    <t>14809</t>
  </si>
  <si>
    <t>18629</t>
  </si>
  <si>
    <t>13035</t>
  </si>
  <si>
    <t>13409</t>
  </si>
  <si>
    <t>05440</t>
  </si>
  <si>
    <t>17309</t>
  </si>
  <si>
    <t>17073</t>
  </si>
  <si>
    <t>50466</t>
  </si>
  <si>
    <t>274100</t>
  </si>
  <si>
    <t>10576</t>
  </si>
  <si>
    <t>54459</t>
  </si>
  <si>
    <t>83347</t>
  </si>
  <si>
    <t>12090</t>
  </si>
  <si>
    <t>83324</t>
  </si>
  <si>
    <t>54619-7146</t>
  </si>
  <si>
    <t>48658</t>
  </si>
  <si>
    <t>13485</t>
  </si>
  <si>
    <t>41039</t>
  </si>
  <si>
    <t>05828</t>
  </si>
  <si>
    <t>05061</t>
  </si>
  <si>
    <t>54515</t>
  </si>
  <si>
    <t>13063</t>
  </si>
  <si>
    <t>79031</t>
  </si>
  <si>
    <t>13040</t>
  </si>
  <si>
    <t>21755</t>
  </si>
  <si>
    <t>21550</t>
  </si>
  <si>
    <t>53941</t>
  </si>
  <si>
    <t>13656</t>
  </si>
  <si>
    <t>17519</t>
  </si>
  <si>
    <t>41041</t>
  </si>
  <si>
    <t>13411</t>
  </si>
  <si>
    <t>05743</t>
  </si>
  <si>
    <t>05077</t>
  </si>
  <si>
    <t>13061</t>
  </si>
  <si>
    <t>94922</t>
  </si>
  <si>
    <t>95501</t>
  </si>
  <si>
    <t>08854</t>
  </si>
  <si>
    <t>55954</t>
  </si>
  <si>
    <t>53932</t>
  </si>
  <si>
    <t>94972</t>
  </si>
  <si>
    <t>60164</t>
  </si>
  <si>
    <t>18042</t>
  </si>
  <si>
    <t>49061</t>
  </si>
  <si>
    <t>92705</t>
  </si>
  <si>
    <t>21017</t>
  </si>
  <si>
    <t>V4X 1B6</t>
  </si>
  <si>
    <t>63042</t>
  </si>
  <si>
    <t>17340</t>
  </si>
  <si>
    <t>17067</t>
  </si>
  <si>
    <t>13111</t>
  </si>
  <si>
    <t>98070</t>
  </si>
  <si>
    <t>54480</t>
  </si>
  <si>
    <t>17061</t>
  </si>
  <si>
    <t>44633</t>
  </si>
  <si>
    <t>54747</t>
  </si>
  <si>
    <t>07036</t>
  </si>
  <si>
    <t>56315</t>
  </si>
  <si>
    <t>55992</t>
  </si>
  <si>
    <t>14055</t>
  </si>
  <si>
    <t>18848</t>
  </si>
  <si>
    <t>17048</t>
  </si>
  <si>
    <t>12155</t>
  </si>
  <si>
    <t>53813</t>
  </si>
  <si>
    <t>55923-2717</t>
  </si>
  <si>
    <t>14891</t>
  </si>
  <si>
    <t>54488</t>
  </si>
  <si>
    <t>16936</t>
  </si>
  <si>
    <t>17870</t>
  </si>
  <si>
    <t>43324</t>
  </si>
  <si>
    <t>36375</t>
  </si>
  <si>
    <t>12921</t>
  </si>
  <si>
    <t>12967</t>
  </si>
  <si>
    <t>14145</t>
  </si>
  <si>
    <t>39573</t>
  </si>
  <si>
    <t>64804</t>
  </si>
  <si>
    <t>19405</t>
  </si>
  <si>
    <t>61075</t>
  </si>
  <si>
    <t>18472</t>
  </si>
  <si>
    <t>13327</t>
  </si>
  <si>
    <t>53080-1673</t>
  </si>
  <si>
    <t>04239</t>
  </si>
  <si>
    <t>54962</t>
  </si>
  <si>
    <t>18623</t>
  </si>
  <si>
    <t>13053</t>
  </si>
  <si>
    <t>44276</t>
  </si>
  <si>
    <t>48849</t>
  </si>
  <si>
    <t>54426</t>
  </si>
  <si>
    <t>16914</t>
  </si>
  <si>
    <t>14036</t>
  </si>
  <si>
    <t>54451</t>
  </si>
  <si>
    <t>97458</t>
  </si>
  <si>
    <t>43536</t>
  </si>
  <si>
    <t>17327</t>
  </si>
  <si>
    <t>54456</t>
  </si>
  <si>
    <t>48170</t>
  </si>
  <si>
    <t>54424</t>
  </si>
  <si>
    <t>44615</t>
  </si>
  <si>
    <t>13421</t>
  </si>
  <si>
    <t>48726</t>
  </si>
  <si>
    <t>13165</t>
  </si>
  <si>
    <t>52591</t>
  </si>
  <si>
    <t>13655</t>
  </si>
  <si>
    <t>55353</t>
  </si>
  <si>
    <t>54812</t>
  </si>
  <si>
    <t>13608</t>
  </si>
  <si>
    <t>17752</t>
  </si>
  <si>
    <t>14544</t>
  </si>
  <si>
    <t>17837</t>
  </si>
  <si>
    <t>18453</t>
  </si>
  <si>
    <t>46975</t>
  </si>
  <si>
    <t>04780</t>
  </si>
  <si>
    <t>54022</t>
  </si>
  <si>
    <t>95404-9733</t>
  </si>
  <si>
    <t>61089</t>
  </si>
  <si>
    <t>16134</t>
  </si>
  <si>
    <t>17601</t>
  </si>
  <si>
    <t>17602</t>
  </si>
  <si>
    <t>13691</t>
  </si>
  <si>
    <t>44606</t>
  </si>
  <si>
    <t>15666</t>
  </si>
  <si>
    <t>53825</t>
  </si>
  <si>
    <t>54622</t>
  </si>
  <si>
    <t>18850</t>
  </si>
  <si>
    <t>06359</t>
  </si>
  <si>
    <t>53959</t>
  </si>
  <si>
    <t>43316</t>
  </si>
  <si>
    <t>55101</t>
  </si>
  <si>
    <t>10006</t>
  </si>
  <si>
    <t>80302</t>
  </si>
  <si>
    <t>94937</t>
  </si>
  <si>
    <t>22567</t>
  </si>
  <si>
    <t>53581</t>
  </si>
  <si>
    <t>39483</t>
  </si>
  <si>
    <t>14532</t>
  </si>
  <si>
    <t>15010</t>
  </si>
  <si>
    <t>13355</t>
  </si>
  <si>
    <t>21757</t>
  </si>
  <si>
    <t>54004-3226</t>
  </si>
  <si>
    <t>54952</t>
  </si>
  <si>
    <t>17035</t>
  </si>
  <si>
    <t>05031</t>
  </si>
  <si>
    <t>15021</t>
  </si>
  <si>
    <t>56361</t>
  </si>
  <si>
    <t>17833</t>
  </si>
  <si>
    <t>04911</t>
  </si>
  <si>
    <t>13346</t>
  </si>
  <si>
    <t>10457</t>
  </si>
  <si>
    <t>20000</t>
  </si>
  <si>
    <t>54725</t>
  </si>
  <si>
    <t>46767</t>
  </si>
  <si>
    <t>47700</t>
  </si>
  <si>
    <t>54449</t>
  </si>
  <si>
    <t>54889</t>
  </si>
  <si>
    <t>45833</t>
  </si>
  <si>
    <t>17603</t>
  </si>
  <si>
    <t>53821</t>
  </si>
  <si>
    <t>16154</t>
  </si>
  <si>
    <t>52540</t>
  </si>
  <si>
    <t>49040</t>
  </si>
  <si>
    <t>05760</t>
  </si>
  <si>
    <t>54665</t>
  </si>
  <si>
    <t>19507</t>
  </si>
  <si>
    <t>44837</t>
  </si>
  <si>
    <t>13489</t>
  </si>
  <si>
    <t>13315</t>
  </si>
  <si>
    <t>16822</t>
  </si>
  <si>
    <t>14757</t>
  </si>
  <si>
    <t>47341</t>
  </si>
  <si>
    <t>13780</t>
  </si>
  <si>
    <t>55952</t>
  </si>
  <si>
    <t>54216</t>
  </si>
  <si>
    <t>14450</t>
  </si>
  <si>
    <t>59875</t>
  </si>
  <si>
    <t>46818</t>
  </si>
  <si>
    <t>53144</t>
  </si>
  <si>
    <t>83864</t>
  </si>
  <si>
    <t>49331</t>
  </si>
  <si>
    <t>84737</t>
  </si>
  <si>
    <t>18845</t>
  </si>
  <si>
    <t>56475</t>
  </si>
  <si>
    <t>94801</t>
  </si>
  <si>
    <t>83254</t>
  </si>
  <si>
    <t>12834</t>
  </si>
  <si>
    <t>53503</t>
  </si>
  <si>
    <t>21740</t>
  </si>
  <si>
    <t>17938</t>
  </si>
  <si>
    <t>93622</t>
  </si>
  <si>
    <t>53569</t>
  </si>
  <si>
    <t>17241</t>
  </si>
  <si>
    <t>12937</t>
  </si>
  <si>
    <t>53951</t>
  </si>
  <si>
    <t>32059</t>
  </si>
  <si>
    <t>64635</t>
  </si>
  <si>
    <t>95551</t>
  </si>
  <si>
    <t>39667</t>
  </si>
  <si>
    <t>55413</t>
  </si>
  <si>
    <t>54433</t>
  </si>
  <si>
    <t>17019</t>
  </si>
  <si>
    <t>04986</t>
  </si>
  <si>
    <t>54161</t>
  </si>
  <si>
    <t>44813</t>
  </si>
  <si>
    <t>60015</t>
  </si>
  <si>
    <t>48621</t>
  </si>
  <si>
    <t>44689</t>
  </si>
  <si>
    <t>49310</t>
  </si>
  <si>
    <t>49746</t>
  </si>
  <si>
    <t>55350</t>
  </si>
  <si>
    <t>13468</t>
  </si>
  <si>
    <t>55322</t>
  </si>
  <si>
    <t>49412</t>
  </si>
  <si>
    <t>44875</t>
  </si>
  <si>
    <t>44651</t>
  </si>
  <si>
    <t>13491</t>
  </si>
  <si>
    <t>17810</t>
  </si>
  <si>
    <t>17003</t>
  </si>
  <si>
    <t>49034</t>
  </si>
  <si>
    <t>14883</t>
  </si>
  <si>
    <t>15717</t>
  </si>
  <si>
    <t>54460</t>
  </si>
  <si>
    <t>05859</t>
  </si>
  <si>
    <t>94947</t>
  </si>
  <si>
    <t>05651</t>
  </si>
  <si>
    <t>45697</t>
  </si>
  <si>
    <t>56073</t>
  </si>
  <si>
    <t>07960</t>
  </si>
  <si>
    <t>50060</t>
  </si>
  <si>
    <t>13658</t>
  </si>
  <si>
    <t>63531</t>
  </si>
  <si>
    <t>01339</t>
  </si>
  <si>
    <t>11101</t>
  </si>
  <si>
    <t>54303</t>
  </si>
  <si>
    <t>54422</t>
  </si>
  <si>
    <t>12953</t>
  </si>
  <si>
    <t>48453</t>
  </si>
  <si>
    <t>61951</t>
  </si>
  <si>
    <t>44104</t>
  </si>
  <si>
    <t>14009</t>
  </si>
  <si>
    <t>56477</t>
  </si>
  <si>
    <t>19508</t>
  </si>
  <si>
    <t>39470</t>
  </si>
  <si>
    <t>13402</t>
  </si>
  <si>
    <t>56481</t>
  </si>
  <si>
    <t>54621</t>
  </si>
  <si>
    <t>53566</t>
  </si>
  <si>
    <t>28806</t>
  </si>
  <si>
    <t>55972</t>
  </si>
  <si>
    <t>05354</t>
  </si>
  <si>
    <t>14744</t>
  </si>
  <si>
    <t>90003</t>
  </si>
  <si>
    <t>04910</t>
  </si>
  <si>
    <t>05455</t>
  </si>
  <si>
    <t>55041</t>
  </si>
  <si>
    <t>56301</t>
  </si>
  <si>
    <t>14536</t>
  </si>
  <si>
    <t>54757</t>
  </si>
  <si>
    <t>05489</t>
  </si>
  <si>
    <t>17238</t>
  </si>
  <si>
    <t>05821</t>
  </si>
  <si>
    <t>17030</t>
  </si>
  <si>
    <t>13680</t>
  </si>
  <si>
    <t>04777</t>
  </si>
  <si>
    <t>17702</t>
  </si>
  <si>
    <t>17557</t>
  </si>
  <si>
    <t>56353</t>
  </si>
  <si>
    <t>48647</t>
  </si>
  <si>
    <t>53943</t>
  </si>
  <si>
    <t>52584</t>
  </si>
  <si>
    <t>63563</t>
  </si>
  <si>
    <t>75247</t>
  </si>
  <si>
    <t>19713</t>
  </si>
  <si>
    <t>98292</t>
  </si>
  <si>
    <t>79018</t>
  </si>
  <si>
    <t>98604</t>
  </si>
  <si>
    <t>83211</t>
  </si>
  <si>
    <t>43056</t>
  </si>
  <si>
    <t>94903</t>
  </si>
  <si>
    <t>49030</t>
  </si>
  <si>
    <t>52247-9144</t>
  </si>
  <si>
    <t>45480</t>
  </si>
  <si>
    <t>44676</t>
  </si>
  <si>
    <t>79401</t>
  </si>
  <si>
    <t>22980</t>
  </si>
  <si>
    <t>13021</t>
  </si>
  <si>
    <t>39083</t>
  </si>
  <si>
    <t>13809</t>
  </si>
  <si>
    <t>18465</t>
  </si>
  <si>
    <t>55305</t>
  </si>
  <si>
    <t>90502</t>
  </si>
  <si>
    <t>56319</t>
  </si>
  <si>
    <t>56378</t>
  </si>
  <si>
    <t>1110</t>
  </si>
  <si>
    <t>54139</t>
  </si>
  <si>
    <t>04762</t>
  </si>
  <si>
    <t>46784</t>
  </si>
  <si>
    <t>47011</t>
  </si>
  <si>
    <t>94702</t>
  </si>
  <si>
    <t>61700-000</t>
  </si>
  <si>
    <t>12477</t>
  </si>
  <si>
    <t>49337</t>
  </si>
  <si>
    <t>61910</t>
  </si>
  <si>
    <t>63090</t>
  </si>
  <si>
    <t>13155</t>
  </si>
  <si>
    <t>06095</t>
  </si>
  <si>
    <t>54611</t>
  </si>
  <si>
    <t>54701</t>
  </si>
  <si>
    <t>05038</t>
  </si>
  <si>
    <t>17543</t>
  </si>
  <si>
    <t>95567</t>
  </si>
  <si>
    <t>83843</t>
  </si>
  <si>
    <t>53508</t>
  </si>
  <si>
    <t>13328</t>
  </si>
  <si>
    <t>54484</t>
  </si>
  <si>
    <t>13104</t>
  </si>
  <si>
    <t>54736</t>
  </si>
  <si>
    <t>54124</t>
  </si>
  <si>
    <t>21758</t>
  </si>
  <si>
    <t>17889</t>
  </si>
  <si>
    <t>44842</t>
  </si>
  <si>
    <t>13740</t>
  </si>
  <si>
    <t>97071</t>
  </si>
  <si>
    <t>56567</t>
  </si>
  <si>
    <t>65711</t>
  </si>
  <si>
    <t>60640-1704</t>
  </si>
  <si>
    <t>54874</t>
  </si>
  <si>
    <t>14733</t>
  </si>
  <si>
    <t>04901</t>
  </si>
  <si>
    <t>79364</t>
  </si>
  <si>
    <t>93291</t>
  </si>
  <si>
    <t>56293</t>
  </si>
  <si>
    <t>59164-000</t>
  </si>
  <si>
    <t>24565</t>
  </si>
  <si>
    <t>53518</t>
  </si>
  <si>
    <t>49028</t>
  </si>
  <si>
    <t>17042</t>
  </si>
  <si>
    <t>72240</t>
  </si>
  <si>
    <t>05845</t>
  </si>
  <si>
    <t>03743</t>
  </si>
  <si>
    <t>05868</t>
  </si>
  <si>
    <t>05753</t>
  </si>
  <si>
    <t>05036</t>
  </si>
  <si>
    <t>05661</t>
  </si>
  <si>
    <t>05655</t>
  </si>
  <si>
    <t>05459</t>
  </si>
  <si>
    <t>05862</t>
  </si>
  <si>
    <t>05641</t>
  </si>
  <si>
    <t>05488</t>
  </si>
  <si>
    <t>05465</t>
  </si>
  <si>
    <t>05649</t>
  </si>
  <si>
    <t>05039</t>
  </si>
  <si>
    <t>05677</t>
  </si>
  <si>
    <t>05464</t>
  </si>
  <si>
    <t>05867</t>
  </si>
  <si>
    <t>05454</t>
  </si>
  <si>
    <t>05872</t>
  </si>
  <si>
    <t>05068</t>
  </si>
  <si>
    <t>05445</t>
  </si>
  <si>
    <t>05825</t>
  </si>
  <si>
    <t>05826</t>
  </si>
  <si>
    <t>05468</t>
  </si>
  <si>
    <t>05836</t>
  </si>
  <si>
    <t>05081</t>
  </si>
  <si>
    <t>05060</t>
  </si>
  <si>
    <t>05358</t>
  </si>
  <si>
    <t>05829</t>
  </si>
  <si>
    <t>03771</t>
  </si>
  <si>
    <t>05873</t>
  </si>
  <si>
    <t>05491</t>
  </si>
  <si>
    <t>05774</t>
  </si>
  <si>
    <t>05446</t>
  </si>
  <si>
    <t>05832</t>
  </si>
  <si>
    <t>05757</t>
  </si>
  <si>
    <t>05656</t>
  </si>
  <si>
    <t>05819</t>
  </si>
  <si>
    <t>52353</t>
  </si>
  <si>
    <t>80720</t>
  </si>
  <si>
    <t>83702</t>
  </si>
  <si>
    <t>53147</t>
  </si>
  <si>
    <t>11470</t>
  </si>
  <si>
    <t>57552</t>
  </si>
  <si>
    <t>35453</t>
  </si>
  <si>
    <t>33815</t>
  </si>
  <si>
    <t>30019</t>
  </si>
  <si>
    <t>13146</t>
  </si>
  <si>
    <t>17024</t>
  </si>
  <si>
    <t>95776</t>
  </si>
  <si>
    <t>92618</t>
  </si>
  <si>
    <t>78612</t>
  </si>
  <si>
    <t>07302</t>
  </si>
  <si>
    <t>52566</t>
  </si>
  <si>
    <t>54205</t>
  </si>
  <si>
    <t>52049</t>
  </si>
  <si>
    <t>04330</t>
  </si>
  <si>
    <t>94565</t>
  </si>
  <si>
    <t>13438</t>
  </si>
  <si>
    <t>56459</t>
  </si>
  <si>
    <t>45135</t>
  </si>
  <si>
    <t>17268</t>
  </si>
  <si>
    <t>14886</t>
  </si>
  <si>
    <t>24938</t>
  </si>
  <si>
    <t>54732</t>
  </si>
  <si>
    <t>12930</t>
  </si>
  <si>
    <t>90040</t>
  </si>
  <si>
    <t>21076</t>
  </si>
  <si>
    <t>39643</t>
  </si>
  <si>
    <t>57252</t>
  </si>
  <si>
    <t>53075</t>
  </si>
  <si>
    <t>13077</t>
  </si>
  <si>
    <t>52136</t>
  </si>
  <si>
    <t>05495</t>
  </si>
  <si>
    <t>53010</t>
  </si>
  <si>
    <t>61275</t>
  </si>
  <si>
    <t>53098</t>
  </si>
  <si>
    <t>55027</t>
  </si>
  <si>
    <t>17724</t>
  </si>
  <si>
    <t>16111</t>
  </si>
  <si>
    <t>05072</t>
  </si>
  <si>
    <t>80239</t>
  </si>
  <si>
    <t>53061</t>
  </si>
  <si>
    <t>04350</t>
  </si>
  <si>
    <t>13355-9617</t>
  </si>
  <si>
    <t>47043</t>
  </si>
  <si>
    <t>05602</t>
  </si>
  <si>
    <t>56446</t>
  </si>
  <si>
    <t>45828</t>
  </si>
  <si>
    <t>46542</t>
  </si>
  <si>
    <t>14895</t>
  </si>
  <si>
    <t>17842</t>
  </si>
  <si>
    <t>30034</t>
  </si>
  <si>
    <t>45388</t>
  </si>
  <si>
    <t>33801</t>
  </si>
  <si>
    <t>83617</t>
  </si>
  <si>
    <t>60642</t>
  </si>
  <si>
    <t>56570</t>
  </si>
  <si>
    <t>13739</t>
  </si>
  <si>
    <t>13476</t>
  </si>
  <si>
    <t>17349</t>
  </si>
  <si>
    <t>24557</t>
  </si>
  <si>
    <t>17846</t>
  </si>
  <si>
    <t>04976</t>
  </si>
  <si>
    <t>34234</t>
  </si>
  <si>
    <t>03584</t>
  </si>
  <si>
    <t>45660</t>
  </si>
  <si>
    <t>56285</t>
  </si>
  <si>
    <t>54208</t>
  </si>
  <si>
    <t>19460</t>
  </si>
  <si>
    <t>51046</t>
  </si>
  <si>
    <t>54448</t>
  </si>
  <si>
    <t>04353</t>
  </si>
  <si>
    <t>13753</t>
  </si>
  <si>
    <t>27607</t>
  </si>
  <si>
    <t>58331</t>
  </si>
  <si>
    <t>94971</t>
  </si>
  <si>
    <t>95963</t>
  </si>
  <si>
    <t>56571</t>
  </si>
  <si>
    <t>04955</t>
  </si>
  <si>
    <t>17302</t>
  </si>
  <si>
    <t>14810</t>
  </si>
  <si>
    <t>10009</t>
  </si>
  <si>
    <t>98032</t>
  </si>
  <si>
    <t>54763</t>
  </si>
  <si>
    <t>14220</t>
  </si>
  <si>
    <t>54773</t>
  </si>
  <si>
    <t>14782</t>
  </si>
  <si>
    <t>49031</t>
  </si>
  <si>
    <t>55334</t>
  </si>
  <si>
    <t>19565</t>
  </si>
  <si>
    <t>04956</t>
  </si>
  <si>
    <t>30092</t>
  </si>
  <si>
    <t>21061</t>
  </si>
  <si>
    <t>55945</t>
  </si>
  <si>
    <t>96032</t>
  </si>
  <si>
    <t>53050</t>
  </si>
  <si>
    <t>17321</t>
  </si>
  <si>
    <t>44677</t>
  </si>
  <si>
    <t>47358</t>
  </si>
  <si>
    <t>53573</t>
  </si>
  <si>
    <t>95459</t>
  </si>
  <si>
    <t>80220</t>
  </si>
  <si>
    <t>34357</t>
  </si>
  <si>
    <t>.</t>
  </si>
  <si>
    <t>48472-9399</t>
  </si>
  <si>
    <t>13326</t>
  </si>
  <si>
    <t>95354</t>
  </si>
  <si>
    <t>56308</t>
  </si>
  <si>
    <t>14801</t>
  </si>
  <si>
    <t>54669</t>
  </si>
  <si>
    <t>83241</t>
  </si>
  <si>
    <t>54174</t>
  </si>
  <si>
    <t>79061</t>
  </si>
  <si>
    <t>18280-614</t>
  </si>
  <si>
    <t>18280-632</t>
  </si>
  <si>
    <t>60084</t>
  </si>
  <si>
    <t>90703</t>
  </si>
  <si>
    <t>05733</t>
  </si>
  <si>
    <t>55962</t>
  </si>
  <si>
    <t>13796</t>
  </si>
  <si>
    <t>05851</t>
  </si>
  <si>
    <t>60178</t>
  </si>
  <si>
    <t>46574</t>
  </si>
  <si>
    <t>76131</t>
  </si>
  <si>
    <t>70000</t>
  </si>
  <si>
    <t>44147</t>
  </si>
  <si>
    <t>05361</t>
  </si>
  <si>
    <t>60007</t>
  </si>
  <si>
    <t>12534</t>
  </si>
  <si>
    <t>04259</t>
  </si>
  <si>
    <t>59847</t>
  </si>
  <si>
    <t>44136</t>
  </si>
  <si>
    <t>10003</t>
  </si>
  <si>
    <t>14139</t>
  </si>
  <si>
    <t>53066</t>
  </si>
  <si>
    <t>57043</t>
  </si>
  <si>
    <t>14435</t>
  </si>
  <si>
    <t>48834</t>
  </si>
  <si>
    <t>53521</t>
  </si>
  <si>
    <t>60018</t>
  </si>
  <si>
    <t>91016</t>
  </si>
  <si>
    <t>46077</t>
  </si>
  <si>
    <t>13667</t>
  </si>
  <si>
    <t>95503</t>
  </si>
  <si>
    <t>55923</t>
  </si>
  <si>
    <t>54013</t>
  </si>
  <si>
    <t>90620</t>
  </si>
  <si>
    <t>20150</t>
  </si>
  <si>
    <t>48892</t>
  </si>
  <si>
    <t>53812</t>
  </si>
  <si>
    <t>04358</t>
  </si>
  <si>
    <t>07701</t>
  </si>
  <si>
    <t>90048</t>
  </si>
  <si>
    <t>13601</t>
  </si>
  <si>
    <t>55358</t>
  </si>
  <si>
    <t>54005</t>
  </si>
  <si>
    <t>04282</t>
  </si>
  <si>
    <t>94124</t>
  </si>
  <si>
    <t>46751</t>
  </si>
  <si>
    <t>49766</t>
  </si>
  <si>
    <t>54974</t>
  </si>
  <si>
    <t>54141</t>
  </si>
  <si>
    <t>13142</t>
  </si>
  <si>
    <t>76455</t>
  </si>
  <si>
    <t>05673</t>
  </si>
  <si>
    <t>56385</t>
  </si>
  <si>
    <t>95316</t>
  </si>
  <si>
    <t>54162</t>
  </si>
  <si>
    <t>13348</t>
  </si>
  <si>
    <t>95076</t>
  </si>
  <si>
    <t>44662</t>
  </si>
  <si>
    <t>04345</t>
  </si>
  <si>
    <t>54631</t>
  </si>
  <si>
    <t>17047</t>
  </si>
  <si>
    <t>56267</t>
  </si>
  <si>
    <t>65689</t>
  </si>
  <si>
    <t>84721</t>
  </si>
  <si>
    <t>78703</t>
  </si>
  <si>
    <t>14775</t>
  </si>
  <si>
    <t>14822</t>
  </si>
  <si>
    <t>78702</t>
  </si>
  <si>
    <t>04438</t>
  </si>
  <si>
    <t>56368</t>
  </si>
  <si>
    <t>16917</t>
  </si>
  <si>
    <t>17813</t>
  </si>
  <si>
    <t>13303</t>
  </si>
  <si>
    <t>14813</t>
  </si>
  <si>
    <t>17853</t>
  </si>
  <si>
    <t>90280</t>
  </si>
  <si>
    <t>21742</t>
  </si>
  <si>
    <t>49250</t>
  </si>
  <si>
    <t>53963</t>
  </si>
  <si>
    <t>54159</t>
  </si>
  <si>
    <t>04032</t>
  </si>
  <si>
    <t>48768</t>
  </si>
  <si>
    <t>81082</t>
  </si>
  <si>
    <t>04734</t>
  </si>
  <si>
    <t>48729</t>
  </si>
  <si>
    <t>42280</t>
  </si>
  <si>
    <t>41048</t>
  </si>
  <si>
    <t>83607</t>
  </si>
  <si>
    <t>43311</t>
  </si>
  <si>
    <t>55020</t>
  </si>
  <si>
    <t>County Code</t>
  </si>
  <si>
    <t>123</t>
  </si>
  <si>
    <t>049</t>
  </si>
  <si>
    <t>005</t>
  </si>
  <si>
    <t>087</t>
  </si>
  <si>
    <t>081</t>
  </si>
  <si>
    <t>071</t>
  </si>
  <si>
    <t>075</t>
  </si>
  <si>
    <t>155</t>
  </si>
  <si>
    <t>099</t>
  </si>
  <si>
    <t>065</t>
  </si>
  <si>
    <t>147</t>
  </si>
  <si>
    <t>077</t>
  </si>
  <si>
    <t>019</t>
  </si>
  <si>
    <t>031</t>
  </si>
  <si>
    <t>027</t>
  </si>
  <si>
    <t>057</t>
  </si>
  <si>
    <t>093</t>
  </si>
  <si>
    <t>023</t>
  </si>
  <si>
    <t>053</t>
  </si>
  <si>
    <t>017</t>
  </si>
  <si>
    <t>039</t>
  </si>
  <si>
    <t>001</t>
  </si>
  <si>
    <t>079</t>
  </si>
  <si>
    <t>033</t>
  </si>
  <si>
    <t>145</t>
  </si>
  <si>
    <t>047</t>
  </si>
  <si>
    <t>015</t>
  </si>
  <si>
    <t>073</t>
  </si>
  <si>
    <t>003</t>
  </si>
  <si>
    <t>153</t>
  </si>
  <si>
    <t>091</t>
  </si>
  <si>
    <t>029</t>
  </si>
  <si>
    <t>135</t>
  </si>
  <si>
    <t>069</t>
  </si>
  <si>
    <t>161</t>
  </si>
  <si>
    <t>045</t>
  </si>
  <si>
    <t>089</t>
  </si>
  <si>
    <t>177</t>
  </si>
  <si>
    <t>097</t>
  </si>
  <si>
    <t>083</t>
  </si>
  <si>
    <t>041</t>
  </si>
  <si>
    <t>183</t>
  </si>
  <si>
    <t>169</t>
  </si>
  <si>
    <t>009</t>
  </si>
  <si>
    <t>113</t>
  </si>
  <si>
    <t>421</t>
  </si>
  <si>
    <t>143</t>
  </si>
  <si>
    <t>111</t>
  </si>
  <si>
    <t>021</t>
  </si>
  <si>
    <t>011</t>
  </si>
  <si>
    <t>117</t>
  </si>
  <si>
    <t>063</t>
  </si>
  <si>
    <t>067</t>
  </si>
  <si>
    <t>129</t>
  </si>
  <si>
    <t>193</t>
  </si>
  <si>
    <t>191</t>
  </si>
  <si>
    <t>103</t>
  </si>
  <si>
    <t>141</t>
  </si>
  <si>
    <t>007</t>
  </si>
  <si>
    <t>013</t>
  </si>
  <si>
    <t>137</t>
  </si>
  <si>
    <t>165</t>
  </si>
  <si>
    <t>025</t>
  </si>
  <si>
    <t>095</t>
  </si>
  <si>
    <t>085</t>
  </si>
  <si>
    <t>453</t>
  </si>
  <si>
    <t>061</t>
  </si>
  <si>
    <t>199</t>
  </si>
  <si>
    <t>133</t>
  </si>
  <si>
    <t>086</t>
  </si>
  <si>
    <t>059</t>
  </si>
  <si>
    <t>159</t>
  </si>
  <si>
    <t>127</t>
  </si>
  <si>
    <t>157</t>
  </si>
  <si>
    <t>163</t>
  </si>
  <si>
    <t>175</t>
  </si>
  <si>
    <t>590</t>
  </si>
  <si>
    <t>185</t>
  </si>
  <si>
    <t>205</t>
  </si>
  <si>
    <t>303</t>
  </si>
  <si>
    <t>820</t>
  </si>
  <si>
    <t>483</t>
  </si>
  <si>
    <t>439</t>
  </si>
  <si>
    <t>219</t>
  </si>
  <si>
    <t>County</t>
  </si>
  <si>
    <t>Yates County</t>
  </si>
  <si>
    <t>Iowa County</t>
  </si>
  <si>
    <t>Washington County</t>
  </si>
  <si>
    <t>Ashland County</t>
  </si>
  <si>
    <t>LaGrange County</t>
  </si>
  <si>
    <t>Monroe County</t>
  </si>
  <si>
    <t>Lancaster County</t>
  </si>
  <si>
    <t>Holmes County</t>
  </si>
  <si>
    <t>Trumbull County</t>
  </si>
  <si>
    <t>Seneca County</t>
  </si>
  <si>
    <t>Clinton County</t>
  </si>
  <si>
    <t>Lafayette County</t>
  </si>
  <si>
    <t>Steele County</t>
  </si>
  <si>
    <t>Marquette County</t>
  </si>
  <si>
    <t>Clark County</t>
  </si>
  <si>
    <t>Coshocton County</t>
  </si>
  <si>
    <t>Herkimer County</t>
  </si>
  <si>
    <t>Centre County</t>
  </si>
  <si>
    <t>Grant County</t>
  </si>
  <si>
    <t>Montgomery County</t>
  </si>
  <si>
    <t>Montour County</t>
  </si>
  <si>
    <t>Caledonia County</t>
  </si>
  <si>
    <t>Cortland County</t>
  </si>
  <si>
    <t>Madison County</t>
  </si>
  <si>
    <t>Clayton County</t>
  </si>
  <si>
    <t>Chenango County</t>
  </si>
  <si>
    <t>Allamakee County</t>
  </si>
  <si>
    <t>Buchanan County</t>
  </si>
  <si>
    <t>Crawford County</t>
  </si>
  <si>
    <t>Adams County</t>
  </si>
  <si>
    <t>Tulare County</t>
  </si>
  <si>
    <t>Le Sueur County</t>
  </si>
  <si>
    <t>Franklin County</t>
  </si>
  <si>
    <t>Stearns County</t>
  </si>
  <si>
    <t>Freeborn County</t>
  </si>
  <si>
    <t>Pierce County</t>
  </si>
  <si>
    <t>Chester County</t>
  </si>
  <si>
    <t>Cheshire County</t>
  </si>
  <si>
    <t>Sarasota County</t>
  </si>
  <si>
    <t>Riverside County</t>
  </si>
  <si>
    <t>Alameda County</t>
  </si>
  <si>
    <t>Del Norte County</t>
  </si>
  <si>
    <t>Marathon County</t>
  </si>
  <si>
    <t>Allegany County</t>
  </si>
  <si>
    <t>Todd County</t>
  </si>
  <si>
    <t>Vernon County</t>
  </si>
  <si>
    <t>Elkhart County</t>
  </si>
  <si>
    <t>Oneida County</t>
  </si>
  <si>
    <t>Pepin County</t>
  </si>
  <si>
    <t>Highland County</t>
  </si>
  <si>
    <t>Columbiana County</t>
  </si>
  <si>
    <t>Otsego County</t>
  </si>
  <si>
    <t>Waupaca County</t>
  </si>
  <si>
    <t>Jackson County</t>
  </si>
  <si>
    <t>Shawano County</t>
  </si>
  <si>
    <t>Ontario County</t>
  </si>
  <si>
    <t>Gallatin County</t>
  </si>
  <si>
    <t>Milwaukee County</t>
  </si>
  <si>
    <t>San Joaquin County</t>
  </si>
  <si>
    <t>Washtenaw County</t>
  </si>
  <si>
    <t>Cecil County</t>
  </si>
  <si>
    <t>Eaton County</t>
  </si>
  <si>
    <t>Parke County</t>
  </si>
  <si>
    <t>St. Lawrence County</t>
  </si>
  <si>
    <t>Barron County</t>
  </si>
  <si>
    <t>Wayne County</t>
  </si>
  <si>
    <t>Northumberland County</t>
  </si>
  <si>
    <t>Knox County</t>
  </si>
  <si>
    <t>Sonoma County</t>
  </si>
  <si>
    <t>Trempealeau County</t>
  </si>
  <si>
    <t>Douglas County</t>
  </si>
  <si>
    <t>Jefferson County</t>
  </si>
  <si>
    <t>Delaware County</t>
  </si>
  <si>
    <t>Brown County</t>
  </si>
  <si>
    <t>San Bernardino County</t>
  </si>
  <si>
    <t>Sawyer County</t>
  </si>
  <si>
    <t>Lewis County</t>
  </si>
  <si>
    <t>Sanilac County</t>
  </si>
  <si>
    <t>Winona County</t>
  </si>
  <si>
    <t>Stanislaus County</t>
  </si>
  <si>
    <t>Marshall County</t>
  </si>
  <si>
    <t>Sherman County</t>
  </si>
  <si>
    <t>Erath County</t>
  </si>
  <si>
    <t>Los Angeles County</t>
  </si>
  <si>
    <t>Marin County</t>
  </si>
  <si>
    <t>Calumet County</t>
  </si>
  <si>
    <t>Somerset County</t>
  </si>
  <si>
    <t>Columbia County</t>
  </si>
  <si>
    <t>Miami County</t>
  </si>
  <si>
    <t>Fulton County</t>
  </si>
  <si>
    <t>Colusa County</t>
  </si>
  <si>
    <t>DuPage County</t>
  </si>
  <si>
    <t>Amite County</t>
  </si>
  <si>
    <t>Cook County</t>
  </si>
  <si>
    <t>Sheboygan County</t>
  </si>
  <si>
    <t>Eau Claire County</t>
  </si>
  <si>
    <t>Wyoming County</t>
  </si>
  <si>
    <t>La Crosse County</t>
  </si>
  <si>
    <t>Juniata County</t>
  </si>
  <si>
    <t>Tompkins County</t>
  </si>
  <si>
    <t>Rensselaer County</t>
  </si>
  <si>
    <t>Utah County</t>
  </si>
  <si>
    <t>Muskegon County</t>
  </si>
  <si>
    <t>Stark County</t>
  </si>
  <si>
    <t>Indiana County</t>
  </si>
  <si>
    <t>Fond du Lac County</t>
  </si>
  <si>
    <t>Hamilton County</t>
  </si>
  <si>
    <t>St. Croix County</t>
  </si>
  <si>
    <t>Onondaga County</t>
  </si>
  <si>
    <t>Grundy County</t>
  </si>
  <si>
    <t>Washington Parish</t>
  </si>
  <si>
    <t>Westmoreland County</t>
  </si>
  <si>
    <t>Dunn County</t>
  </si>
  <si>
    <t>York County</t>
  </si>
  <si>
    <t>Bradford County</t>
  </si>
  <si>
    <t>Erie County</t>
  </si>
  <si>
    <t>Lake County</t>
  </si>
  <si>
    <t>Morrison County</t>
  </si>
  <si>
    <t>Buffalo County</t>
  </si>
  <si>
    <t>Chippewa County</t>
  </si>
  <si>
    <t>Manitowoc County</t>
  </si>
  <si>
    <t>Macon County</t>
  </si>
  <si>
    <t>Orleans County</t>
  </si>
  <si>
    <t>Steuben County</t>
  </si>
  <si>
    <t>Culpeper County</t>
  </si>
  <si>
    <t>Hillsborough County</t>
  </si>
  <si>
    <t>Piscataquis County</t>
  </si>
  <si>
    <t>Linn County</t>
  </si>
  <si>
    <t>Santa Fe County</t>
  </si>
  <si>
    <t>Winneshiek County</t>
  </si>
  <si>
    <t>Richland County</t>
  </si>
  <si>
    <t>Frederick County</t>
  </si>
  <si>
    <t>Androscoggin County</t>
  </si>
  <si>
    <t>Johnson County</t>
  </si>
  <si>
    <t>Sauk County</t>
  </si>
  <si>
    <t>Dakota County</t>
  </si>
  <si>
    <t>Ross County</t>
  </si>
  <si>
    <t>Aroostook County</t>
  </si>
  <si>
    <t>Dutchess County</t>
  </si>
  <si>
    <t>Chautauqua County</t>
  </si>
  <si>
    <t>Waushara County</t>
  </si>
  <si>
    <t>Butte County</t>
  </si>
  <si>
    <t>Albany County</t>
  </si>
  <si>
    <t>Rockingham County</t>
  </si>
  <si>
    <t>Dauphin County</t>
  </si>
  <si>
    <t>Humboldt County</t>
  </si>
  <si>
    <t>Essex County</t>
  </si>
  <si>
    <t>Olmsted County</t>
  </si>
  <si>
    <t>Berks County</t>
  </si>
  <si>
    <t>Cayuga County</t>
  </si>
  <si>
    <t>Penobscot County</t>
  </si>
  <si>
    <t>Howard County</t>
  </si>
  <si>
    <t>Jerome County</t>
  </si>
  <si>
    <t>Polk County</t>
  </si>
  <si>
    <t>Mille Lacs County</t>
  </si>
  <si>
    <t>Logan County</t>
  </si>
  <si>
    <t>Stephenson County</t>
  </si>
  <si>
    <t>Teton County</t>
  </si>
  <si>
    <t>Genesee County</t>
  </si>
  <si>
    <t>Grayson County</t>
  </si>
  <si>
    <t>Travis County</t>
  </si>
  <si>
    <t>Murray County</t>
  </si>
  <si>
    <t>Denver County</t>
  </si>
  <si>
    <t>Lee County</t>
  </si>
  <si>
    <t>Fresno County</t>
  </si>
  <si>
    <t>Newton County</t>
  </si>
  <si>
    <t>Taylor County</t>
  </si>
  <si>
    <t>Addison County</t>
  </si>
  <si>
    <t>Rusk County</t>
  </si>
  <si>
    <t>Cedar County</t>
  </si>
  <si>
    <t>Dodge County</t>
  </si>
  <si>
    <t>Coos County</t>
  </si>
  <si>
    <t>Oconto County</t>
  </si>
  <si>
    <t>Rock County</t>
  </si>
  <si>
    <t>Harrison County</t>
  </si>
  <si>
    <t>Davis County</t>
  </si>
  <si>
    <t>Ashtabula County</t>
  </si>
  <si>
    <t>Blair County</t>
  </si>
  <si>
    <t>Tioga County</t>
  </si>
  <si>
    <t>Door County</t>
  </si>
  <si>
    <t>Gooding County</t>
  </si>
  <si>
    <t>Plumas County</t>
  </si>
  <si>
    <t>Missaukee County</t>
  </si>
  <si>
    <t>Rush County</t>
  </si>
  <si>
    <t>Otter Tail County</t>
  </si>
  <si>
    <t>Mifflin County</t>
  </si>
  <si>
    <t>Nye County</t>
  </si>
  <si>
    <t>Twin Falls County</t>
  </si>
  <si>
    <t>Dane County</t>
  </si>
  <si>
    <t>New York County</t>
  </si>
  <si>
    <t>Wexford County</t>
  </si>
  <si>
    <t>Oxford County</t>
  </si>
  <si>
    <t>Collier County</t>
  </si>
  <si>
    <t>Multnomah County</t>
  </si>
  <si>
    <t>Green County</t>
  </si>
  <si>
    <t>King County</t>
  </si>
  <si>
    <t>Lenawee County</t>
  </si>
  <si>
    <t>Cattaraugus County</t>
  </si>
  <si>
    <t>Van Buren County</t>
  </si>
  <si>
    <t>Scotland County</t>
  </si>
  <si>
    <t>Washburn County</t>
  </si>
  <si>
    <t>Mercer County</t>
  </si>
  <si>
    <t>Roosevelt County</t>
  </si>
  <si>
    <t>Pike County</t>
  </si>
  <si>
    <t>Portage County</t>
  </si>
  <si>
    <t>St. Joseph County</t>
  </si>
  <si>
    <t>Merced County</t>
  </si>
  <si>
    <t>Kent County</t>
  </si>
  <si>
    <t>Waldo County</t>
  </si>
  <si>
    <t>Orange County</t>
  </si>
  <si>
    <t>Cheyenne County</t>
  </si>
  <si>
    <t>Osceola County</t>
  </si>
  <si>
    <t>Middlesex County</t>
  </si>
  <si>
    <t>Baltimore County</t>
  </si>
  <si>
    <t>Moultrie County</t>
  </si>
  <si>
    <t>Kane County</t>
  </si>
  <si>
    <t>Windham County</t>
  </si>
  <si>
    <t>Davidson County</t>
  </si>
  <si>
    <t>Broward County</t>
  </si>
  <si>
    <t>Benton County</t>
  </si>
  <si>
    <t>Yolo County</t>
  </si>
  <si>
    <t>Bennington County</t>
  </si>
  <si>
    <t>Phillips County</t>
  </si>
  <si>
    <t>Randolph County</t>
  </si>
  <si>
    <t>Geauga County</t>
  </si>
  <si>
    <t>Miami-Dade County</t>
  </si>
  <si>
    <t>Broome County</t>
  </si>
  <si>
    <t>Cobb County</t>
  </si>
  <si>
    <t>Isabella County</t>
  </si>
  <si>
    <t>Fayette County</t>
  </si>
  <si>
    <t>Becker County</t>
  </si>
  <si>
    <t>Solano County</t>
  </si>
  <si>
    <t>Ulster County</t>
  </si>
  <si>
    <t>Windsor County</t>
  </si>
  <si>
    <t>Ottawa County</t>
  </si>
  <si>
    <t>Dukes County</t>
  </si>
  <si>
    <t>Lorain County</t>
  </si>
  <si>
    <t>Pipestone County</t>
  </si>
  <si>
    <t>Waukesha County</t>
  </si>
  <si>
    <t>Lebanon County</t>
  </si>
  <si>
    <t>Langlade County</t>
  </si>
  <si>
    <t>Union County</t>
  </si>
  <si>
    <t>Wadena County</t>
  </si>
  <si>
    <t>Henry County</t>
  </si>
  <si>
    <t>Grand Isle County</t>
  </si>
  <si>
    <t>Mitchell County</t>
  </si>
  <si>
    <t>Westchester County</t>
  </si>
  <si>
    <t>Price County</t>
  </si>
  <si>
    <t>Lincoln County</t>
  </si>
  <si>
    <t>Arenac County</t>
  </si>
  <si>
    <t>Fleming County</t>
  </si>
  <si>
    <t>Clare County</t>
  </si>
  <si>
    <t>Garrett County</t>
  </si>
  <si>
    <t>Fillmore County</t>
  </si>
  <si>
    <t>Cass County</t>
  </si>
  <si>
    <t>Harford County</t>
  </si>
  <si>
    <t>St. Louis County</t>
  </si>
  <si>
    <t>Goodhue County</t>
  </si>
  <si>
    <t>Schuyler County</t>
  </si>
  <si>
    <t>Snyder County</t>
  </si>
  <si>
    <t>Geneva County</t>
  </si>
  <si>
    <t>Hancock County</t>
  </si>
  <si>
    <t>Jasper County</t>
  </si>
  <si>
    <t>Jo Daviess County</t>
  </si>
  <si>
    <t>Ozaukee County</t>
  </si>
  <si>
    <t>Ionia County</t>
  </si>
  <si>
    <t>Defiance County</t>
  </si>
  <si>
    <t>Carroll County</t>
  </si>
  <si>
    <t>Huron County</t>
  </si>
  <si>
    <t>Keokuk County</t>
  </si>
  <si>
    <t>Wyandot County</t>
  </si>
  <si>
    <t>Ramsey County</t>
  </si>
  <si>
    <t>Boulder County</t>
  </si>
  <si>
    <t>Walthall County</t>
  </si>
  <si>
    <t>Beaver County</t>
  </si>
  <si>
    <t>Noble County</t>
  </si>
  <si>
    <t>Wood County</t>
  </si>
  <si>
    <t>Kewaunee County</t>
  </si>
  <si>
    <t>Ravalli County</t>
  </si>
  <si>
    <t>Allen County</t>
  </si>
  <si>
    <t>Bonner County</t>
  </si>
  <si>
    <t>Danville city</t>
  </si>
  <si>
    <t>Contra Costa County</t>
  </si>
  <si>
    <t>Bear Lake County</t>
  </si>
  <si>
    <t>Schuylkill County</t>
  </si>
  <si>
    <t>Madera County</t>
  </si>
  <si>
    <t>Livingston County</t>
  </si>
  <si>
    <t>Marinette County</t>
  </si>
  <si>
    <t>Morrow County</t>
  </si>
  <si>
    <t>Oscoda County</t>
  </si>
  <si>
    <t>Mecosta County</t>
  </si>
  <si>
    <t>McLeod County</t>
  </si>
  <si>
    <t>Carver County</t>
  </si>
  <si>
    <t>Kalamazoo County</t>
  </si>
  <si>
    <t>Tuscarawas County</t>
  </si>
  <si>
    <t>Cuyahoga County</t>
  </si>
  <si>
    <t>Pearl River County</t>
  </si>
  <si>
    <t>Buncombe County</t>
  </si>
  <si>
    <t>Kennebec County</t>
  </si>
  <si>
    <t>Wabasha County</t>
  </si>
  <si>
    <t>Chittenden County</t>
  </si>
  <si>
    <t>Lycoming County</t>
  </si>
  <si>
    <t>Dallas County</t>
  </si>
  <si>
    <t>New Castle County</t>
  </si>
  <si>
    <t>Snohomish County</t>
  </si>
  <si>
    <t>Hartley County</t>
  </si>
  <si>
    <t>Power County</t>
  </si>
  <si>
    <t>Licking County</t>
  </si>
  <si>
    <t>Lubbock County</t>
  </si>
  <si>
    <t>Waynesboro city</t>
  </si>
  <si>
    <t>Copiah County</t>
  </si>
  <si>
    <t>Queens County</t>
  </si>
  <si>
    <t>Switzerland County</t>
  </si>
  <si>
    <t>Newaygo County</t>
  </si>
  <si>
    <t>Latah County</t>
  </si>
  <si>
    <t>Clackamas County</t>
  </si>
  <si>
    <t>Wright County</t>
  </si>
  <si>
    <t>Redwood County</t>
  </si>
  <si>
    <t>Branch County</t>
  </si>
  <si>
    <t>Sullivan County</t>
  </si>
  <si>
    <t>Lamoille County</t>
  </si>
  <si>
    <t>Grafton County</t>
  </si>
  <si>
    <t>Rutland County</t>
  </si>
  <si>
    <t>Ada County</t>
  </si>
  <si>
    <t>Gwinnett County</t>
  </si>
  <si>
    <t>Bastrop County</t>
  </si>
  <si>
    <t>Greenbrier County</t>
  </si>
  <si>
    <t>Marion County</t>
  </si>
  <si>
    <t>Roberts County</t>
  </si>
  <si>
    <t>Juneau County</t>
  </si>
  <si>
    <t>Rock Island County</t>
  </si>
  <si>
    <t>Kosciusko County</t>
  </si>
  <si>
    <t>DeKalb County</t>
  </si>
  <si>
    <t>Darke County</t>
  </si>
  <si>
    <t>Gem County</t>
  </si>
  <si>
    <t>Renville County</t>
  </si>
  <si>
    <t>O'Brien County</t>
  </si>
  <si>
    <t>Glenn County</t>
  </si>
  <si>
    <t>Sibley County</t>
  </si>
  <si>
    <t>Perry County</t>
  </si>
  <si>
    <t>Siskiyou County</t>
  </si>
  <si>
    <t>Mendocino County</t>
  </si>
  <si>
    <t>Tuscola County</t>
  </si>
  <si>
    <t>Caribou County</t>
  </si>
  <si>
    <t>Wheeler County</t>
  </si>
  <si>
    <t>Bailey County</t>
  </si>
  <si>
    <t>Tarrant County</t>
  </si>
  <si>
    <t>Missoula County</t>
  </si>
  <si>
    <t>Turner County</t>
  </si>
  <si>
    <t>Montcalm County</t>
  </si>
  <si>
    <t>Cumberland County</t>
  </si>
  <si>
    <t>Ingham County</t>
  </si>
  <si>
    <t>San Francisco County</t>
  </si>
  <si>
    <t>Alpena County</t>
  </si>
  <si>
    <t>Oswego County</t>
  </si>
  <si>
    <t>Comanche County</t>
  </si>
  <si>
    <t>Pope County</t>
  </si>
  <si>
    <t>Stevens County</t>
  </si>
  <si>
    <t>Texas County</t>
  </si>
  <si>
    <t>Iron County</t>
  </si>
  <si>
    <t>Hillsdale County</t>
  </si>
  <si>
    <t>Las Animas County</t>
  </si>
  <si>
    <t>Boone County</t>
  </si>
  <si>
    <t>Canyon County</t>
  </si>
  <si>
    <t>Scott County</t>
  </si>
  <si>
    <t>Mailing Address: Street 1</t>
  </si>
  <si>
    <t>2060 E 350 N</t>
  </si>
  <si>
    <t>5101 Lincklaen Road</t>
  </si>
  <si>
    <t>730 2nd Avenue</t>
  </si>
  <si>
    <t>514 Division St</t>
  </si>
  <si>
    <t>PO Box 443</t>
  </si>
  <si>
    <t>PO Box 127</t>
  </si>
  <si>
    <t>250 E Park Center Blvd.</t>
  </si>
  <si>
    <t>PO BOX 601</t>
  </si>
  <si>
    <t>10 Upper College Dr, Dairy Farm</t>
  </si>
  <si>
    <t>1501 2nd St. SE</t>
  </si>
  <si>
    <t>5710 County Road H</t>
  </si>
  <si>
    <t>3121 Wall Street</t>
  </si>
  <si>
    <t>W4552 Porter Road</t>
  </si>
  <si>
    <t>8066 Fulton Street East</t>
  </si>
  <si>
    <t>2675 N. Mayfair Road STE 680</t>
  </si>
  <si>
    <t>P.O. Box 4452</t>
  </si>
  <si>
    <t>12917 Rt. 333</t>
  </si>
  <si>
    <t>109 Kentucky Street</t>
  </si>
  <si>
    <t>P.O.  Box 98</t>
  </si>
  <si>
    <t>5390 Glendale Ave</t>
  </si>
  <si>
    <t>PO BOX 2</t>
  </si>
  <si>
    <t>0585 W 700 S</t>
  </si>
  <si>
    <t>1526-1540 Soi Phatthanakan 48</t>
  </si>
  <si>
    <t>1919 14th Street, Suite 300</t>
  </si>
  <si>
    <t>22799 Shoreline Hwy</t>
  </si>
  <si>
    <t>N417 County Road N</t>
  </si>
  <si>
    <t>2403 S. Children's Home Rd</t>
  </si>
  <si>
    <t>40656 State Rte 180</t>
  </si>
  <si>
    <t>P.O. Box 699</t>
  </si>
  <si>
    <t>590 Warren Road</t>
  </si>
  <si>
    <t>532 Schad Rd</t>
  </si>
  <si>
    <t>N5470 Cty Rd J</t>
  </si>
  <si>
    <t>3233 LLano Rd.</t>
  </si>
  <si>
    <t>24855 Corbit Place</t>
  </si>
  <si>
    <t>887 Kellogg Rd</t>
  </si>
  <si>
    <t>PO Box 94</t>
  </si>
  <si>
    <t>753 Springdale Drive</t>
  </si>
  <si>
    <t>P.O. Box 288</t>
  </si>
  <si>
    <t>4721 Harpold Rd</t>
  </si>
  <si>
    <t>27308 US Hwy 71</t>
  </si>
  <si>
    <t>16838 Mill Road</t>
  </si>
  <si>
    <t>5736 Grizzly Bluff Road</t>
  </si>
  <si>
    <t>212 South Hill Terr.</t>
  </si>
  <si>
    <t>2144 Alfred Rd</t>
  </si>
  <si>
    <t>1201 ELLEN TROUT DRIVE</t>
  </si>
  <si>
    <t>3400 W Segerstrom Ave</t>
  </si>
  <si>
    <t>2330 Chicory Road</t>
  </si>
  <si>
    <t>PO Box 250</t>
  </si>
  <si>
    <t>W12409 State RD 54</t>
  </si>
  <si>
    <t>424 W. Duck St.</t>
  </si>
  <si>
    <t>PO Box 710071</t>
  </si>
  <si>
    <t>1837 Home Avenue</t>
  </si>
  <si>
    <t>P.O. Box 669</t>
  </si>
  <si>
    <t>P.O. Box 93</t>
  </si>
  <si>
    <t>308 East Holl Rd</t>
  </si>
  <si>
    <t>236050 Eau Claire River Rd</t>
  </si>
  <si>
    <t>PO Box 31001-4259</t>
  </si>
  <si>
    <t>39 Richmond Hill Rd.</t>
  </si>
  <si>
    <t>283/98, 20th Floor, Homeplace Office Building, Soi Sukhumvit 55 (Thonglor ), Sukhumvit Rd</t>
  </si>
  <si>
    <t>PO Box 185</t>
  </si>
  <si>
    <t>5707 Langworth Rd.</t>
  </si>
  <si>
    <t>46 Pines St.</t>
  </si>
  <si>
    <t>3940 Hardt Rd</t>
  </si>
  <si>
    <t>1461 White Church Rd</t>
  </si>
  <si>
    <t>2861 Coe Hill Road</t>
  </si>
  <si>
    <t>815 S 2nd St</t>
  </si>
  <si>
    <t>1407 New Rd</t>
  </si>
  <si>
    <t>1800 South McDowell Blvd 100</t>
  </si>
  <si>
    <t>PO Box 121</t>
  </si>
  <si>
    <t>159 South Cedar Street</t>
  </si>
  <si>
    <t>P.O. Box 100</t>
  </si>
  <si>
    <t>517 280th St.</t>
  </si>
  <si>
    <t>PO Box 576</t>
  </si>
  <si>
    <t>720 Coppini Lane</t>
  </si>
  <si>
    <t>P.O. Box 968</t>
  </si>
  <si>
    <t>160 E Birch St</t>
  </si>
  <si>
    <t>13817 KLAUS LN</t>
  </si>
  <si>
    <t>1748 Xavier Court</t>
  </si>
  <si>
    <t>12426 North Davis Road</t>
  </si>
  <si>
    <t>502 Brown Street</t>
  </si>
  <si>
    <t>One Organic Way</t>
  </si>
  <si>
    <t>11178 CA 41, Suite 103</t>
  </si>
  <si>
    <t>5431 E 600 N</t>
  </si>
  <si>
    <t>PO Box 613</t>
  </si>
  <si>
    <t>Jl. Soekarno Hatta No. 1, RT.003/RW.001, Kel. Kalikabong, Kec. Kalimanah</t>
  </si>
  <si>
    <t>656 Minots Corner Road</t>
  </si>
  <si>
    <t>7781 State Route 534</t>
  </si>
  <si>
    <t>94912 Hwy 42 S</t>
  </si>
  <si>
    <t>12002 Airport Way</t>
  </si>
  <si>
    <t>530 Harber's Ln.</t>
  </si>
  <si>
    <t>31377 Ray Stogner Rd.</t>
  </si>
  <si>
    <t>3877 Java Rd</t>
  </si>
  <si>
    <t>381 Stratton Rd</t>
  </si>
  <si>
    <t>203 South Garden St.</t>
  </si>
  <si>
    <t>P.O. Box 87</t>
  </si>
  <si>
    <t>P.O. Box 73</t>
  </si>
  <si>
    <t>P.O. Box 70</t>
  </si>
  <si>
    <t>1312 Pleasant Point Road</t>
  </si>
  <si>
    <t>130 Boyd Loop Rd</t>
  </si>
  <si>
    <t>3390 Valley Rd</t>
  </si>
  <si>
    <t>P.O. Box 556</t>
  </si>
  <si>
    <t>5396 Elk River Road</t>
  </si>
  <si>
    <t>3173 N 4900 E</t>
  </si>
  <si>
    <t>103 S 11th St Apt 206</t>
  </si>
  <si>
    <t>525 White Settlement Rd.</t>
  </si>
  <si>
    <t>300 Frank West Burr Blvd</t>
  </si>
  <si>
    <t>3913 Backmeyer Road</t>
  </si>
  <si>
    <t>1362 Dutch American Way</t>
  </si>
  <si>
    <t>298 Echo Lake Road</t>
  </si>
  <si>
    <t>3940 Hardt Road</t>
  </si>
  <si>
    <t>3940 Hardt. Rd</t>
  </si>
  <si>
    <t>125 310th St.</t>
  </si>
  <si>
    <t>E12296 Dutch Hollow Road</t>
  </si>
  <si>
    <t>11274 County Route 36</t>
  </si>
  <si>
    <t>142 Linley Ave</t>
  </si>
  <si>
    <t>P.O. Box 1001</t>
  </si>
  <si>
    <t>50 United Drive</t>
  </si>
  <si>
    <t>3299 McGraw Marathon Road</t>
  </si>
  <si>
    <t>1870 County Route 37</t>
  </si>
  <si>
    <t>236555 Corlad Road</t>
  </si>
  <si>
    <t>5899 Lawyer Road</t>
  </si>
  <si>
    <t>478 Wells Rd</t>
  </si>
  <si>
    <t>6492 Favret Road</t>
  </si>
  <si>
    <t>35855 SE Kelso Road</t>
  </si>
  <si>
    <t>Harvest Tower, 12 Le Thanh Ton Street</t>
  </si>
  <si>
    <t>P.O. Box 2717</t>
  </si>
  <si>
    <t>1617 N. Plaza Drive</t>
  </si>
  <si>
    <t>5195 Farmers Avenue</t>
  </si>
  <si>
    <t>684 Rd 111</t>
  </si>
  <si>
    <t>5700 West Adams Blvd</t>
  </si>
  <si>
    <t>4438 Lebanon Rd</t>
  </si>
  <si>
    <t>4337 Eel River Drive</t>
  </si>
  <si>
    <t>24 Schilling Road</t>
  </si>
  <si>
    <t>9501 W Liam St</t>
  </si>
  <si>
    <t>235 Montgomery Street</t>
  </si>
  <si>
    <t>1845 Ford Rd</t>
  </si>
  <si>
    <t>5801 SE Bansen Lane</t>
  </si>
  <si>
    <t>19664 45th Street</t>
  </si>
  <si>
    <t>P.O. Box 251</t>
  </si>
  <si>
    <t>1252 Bell Valley Road, Suite 220</t>
  </si>
  <si>
    <t>7149 Old Lakeville Road 3</t>
  </si>
  <si>
    <t>1517 Mount Anthony Road</t>
  </si>
  <si>
    <t>1 General Mills Blvd</t>
  </si>
  <si>
    <t>P.O. Box 751030</t>
  </si>
  <si>
    <t>1919 14th St. STE 300</t>
  </si>
  <si>
    <t>W2663 Co. Road 00</t>
  </si>
  <si>
    <t>15043 Gingerich Road</t>
  </si>
  <si>
    <t>19300 S.W. 137th Ave.</t>
  </si>
  <si>
    <t>N5649 Tamarack Drive</t>
  </si>
  <si>
    <t>22 Corporate Park 250</t>
  </si>
  <si>
    <t>4141 Church Point Road</t>
  </si>
  <si>
    <t>2179 CR 308</t>
  </si>
  <si>
    <t>7700 Crater Lake HWY</t>
  </si>
  <si>
    <t>Accounting: PO Box 68</t>
  </si>
  <si>
    <t>14500 E 14th St.</t>
  </si>
  <si>
    <t>6998 Millbrook Road</t>
  </si>
  <si>
    <t>P.O. Box 505</t>
  </si>
  <si>
    <t>PO Box 42</t>
  </si>
  <si>
    <t>N29255 County Rd S</t>
  </si>
  <si>
    <t>25593 County Hwy T</t>
  </si>
  <si>
    <t>15115 Stears Rd</t>
  </si>
  <si>
    <t>5105 RITTIMAN RD</t>
  </si>
  <si>
    <t>3038 Bingley Rd</t>
  </si>
  <si>
    <t>1940 Municipal Way</t>
  </si>
  <si>
    <t>382 Tate Road</t>
  </si>
  <si>
    <t>6978 Route 80</t>
  </si>
  <si>
    <t>2557 Cty Hwy 31</t>
  </si>
  <si>
    <t>5231 Tompkins Hill Road</t>
  </si>
  <si>
    <t>5619A Holter Road</t>
  </si>
  <si>
    <t>2450 W US 20</t>
  </si>
  <si>
    <t>6071 NY-8</t>
  </si>
  <si>
    <t>109 Taylor Road</t>
  </si>
  <si>
    <t>345 E 48th St</t>
  </si>
  <si>
    <t>420 Post Road</t>
  </si>
  <si>
    <t>P.O. Box 758</t>
  </si>
  <si>
    <t>P.O. Box 500</t>
  </si>
  <si>
    <t>P.O. Box 698</t>
  </si>
  <si>
    <t>5 Westbrook Corporate Center</t>
  </si>
  <si>
    <t>2911 Pepper Rd</t>
  </si>
  <si>
    <t>150 Larkin Williams Industrial Court</t>
  </si>
  <si>
    <t>S 1969 Waters Road</t>
  </si>
  <si>
    <t>P.O. Box 747</t>
  </si>
  <si>
    <t>43374 165th Ave</t>
  </si>
  <si>
    <t>401 Hillside Rd</t>
  </si>
  <si>
    <t>220545 St Hwy 13</t>
  </si>
  <si>
    <t>14526 Fremont Dr.</t>
  </si>
  <si>
    <t>92 Moo 4</t>
  </si>
  <si>
    <t>5019 Lebanon Road</t>
  </si>
  <si>
    <t>PO Box 23092</t>
  </si>
  <si>
    <t>483 Big Hills Rd</t>
  </si>
  <si>
    <t>1399 Franklin Rd.</t>
  </si>
  <si>
    <t>100 Rural Hill Rd</t>
  </si>
  <si>
    <t>6999 State Route 26</t>
  </si>
  <si>
    <t>3276 Peterboro Road</t>
  </si>
  <si>
    <t>125 S Belmont Rd</t>
  </si>
  <si>
    <t>217 Rudy Lane</t>
  </si>
  <si>
    <t>63083 Main Street</t>
  </si>
  <si>
    <t>7148 State Hwy. 199</t>
  </si>
  <si>
    <t>5195 Farmers Ave</t>
  </si>
  <si>
    <t>8306 Everona Rd.</t>
  </si>
  <si>
    <t>28519 Hwy 62</t>
  </si>
  <si>
    <t>992 Walker Hill Rd</t>
  </si>
  <si>
    <t>28234 County Hwy U</t>
  </si>
  <si>
    <t>PO Box 38</t>
  </si>
  <si>
    <t>136 E Broadway St</t>
  </si>
  <si>
    <t>P.O. Box 98</t>
  </si>
  <si>
    <t>201 Running Pump Rd</t>
  </si>
  <si>
    <t>4001 Lexington Avenue North MS-2350</t>
  </si>
  <si>
    <t>N 13559 Bruce Mound Ave</t>
  </si>
  <si>
    <t>2611 County Road Z</t>
  </si>
  <si>
    <t>4400 Township Road 366</t>
  </si>
  <si>
    <t>23 Reagan Flats Road</t>
  </si>
  <si>
    <t>P.O.758</t>
  </si>
  <si>
    <t>100 Litehouse Drive</t>
  </si>
  <si>
    <t>7817 Rock Jim Road</t>
  </si>
  <si>
    <t>14180 Dallas Pkwy</t>
  </si>
  <si>
    <t>W7724 Center Road</t>
  </si>
  <si>
    <t>P.O. BOX 770</t>
  </si>
  <si>
    <t>5819 Geer Rd</t>
  </si>
  <si>
    <t>2501 Henkle Dr</t>
  </si>
  <si>
    <t>285 Allendale Road West</t>
  </si>
  <si>
    <t>5 Hudson Street</t>
  </si>
  <si>
    <t>W8903 Lewis Rd</t>
  </si>
  <si>
    <t>P.O. Box 276</t>
  </si>
  <si>
    <t>30324 Burnt Rock Road</t>
  </si>
  <si>
    <t>815 Riverside Road</t>
  </si>
  <si>
    <t>2188 Baldwin Road</t>
  </si>
  <si>
    <t>393 Sabin Rd</t>
  </si>
  <si>
    <t>8133 18 Mile Road</t>
  </si>
  <si>
    <t>540 Anderson Lane</t>
  </si>
  <si>
    <t>P.O. Box 143</t>
  </si>
  <si>
    <t>7311 Ethan Allen Highway</t>
  </si>
  <si>
    <t>199 Tom Brown Rd</t>
  </si>
  <si>
    <t>219 Main St.</t>
  </si>
  <si>
    <t>483 Security Blvd Unit 12</t>
  </si>
  <si>
    <t>521 White School Road</t>
  </si>
  <si>
    <t>2096 560th St. SW</t>
  </si>
  <si>
    <t>1725 Gillespie Way Suite 105</t>
  </si>
  <si>
    <t>13 Miami Lane</t>
  </si>
  <si>
    <t>19604 180TH ST</t>
  </si>
  <si>
    <t>3989 Middle Road</t>
  </si>
  <si>
    <t>201 East State St</t>
  </si>
  <si>
    <t>5116 State Highway 41</t>
  </si>
  <si>
    <t>965 Waddington Road</t>
  </si>
  <si>
    <t>2584 North Rd</t>
  </si>
  <si>
    <t>PO Box 67</t>
  </si>
  <si>
    <t>PO Box A</t>
  </si>
  <si>
    <t>65409 287th Ave</t>
  </si>
  <si>
    <t>18920 Carson Road</t>
  </si>
  <si>
    <t>28 Mullen Rd</t>
  </si>
  <si>
    <t>P.O. Box 149</t>
  </si>
  <si>
    <t>10707 Station Rd</t>
  </si>
  <si>
    <t>15000 Hwy 1</t>
  </si>
  <si>
    <t>6000 Cheningo Solon Pond Rd</t>
  </si>
  <si>
    <t>8482 120th Street.</t>
  </si>
  <si>
    <t>No. 994/1C, Nguyen Thi Minh Khai Street, Tan Thang Quarter</t>
  </si>
  <si>
    <t>2305 Norman Rd.</t>
  </si>
  <si>
    <t>PO BOX 659</t>
  </si>
  <si>
    <t>13813 Northeast 371st Street</t>
  </si>
  <si>
    <t>2958 East 300 North</t>
  </si>
  <si>
    <t>1675 James Pkwy</t>
  </si>
  <si>
    <t>PO Box 96</t>
  </si>
  <si>
    <t>4431 Grizzly Bluff Road</t>
  </si>
  <si>
    <t>34596 Queensfield Rd</t>
  </si>
  <si>
    <t>2445 S Fred Haight Dr</t>
  </si>
  <si>
    <t>2111 San Pablo Ave.</t>
  </si>
  <si>
    <t>885 Grant Street</t>
  </si>
  <si>
    <t>PO Box 158</t>
  </si>
  <si>
    <t>PO Box 238</t>
  </si>
  <si>
    <t>PO Box 743</t>
  </si>
  <si>
    <t>19480 SW 97th Avenue</t>
  </si>
  <si>
    <t>PO BOX 130</t>
  </si>
  <si>
    <t>N8702 Schilt Road</t>
  </si>
  <si>
    <t>6950 Peck Rd.</t>
  </si>
  <si>
    <t>11129 Gandt Road</t>
  </si>
  <si>
    <t>1671 Ridge Road</t>
  </si>
  <si>
    <t>PO Box 750115</t>
  </si>
  <si>
    <t>4849 S. Stone Road</t>
  </si>
  <si>
    <t>475 Garland Rd.</t>
  </si>
  <si>
    <t>P.O. Box 5611</t>
  </si>
  <si>
    <t>9071 Fever Hill Rd.</t>
  </si>
  <si>
    <t>47580 Hwy 436</t>
  </si>
  <si>
    <t>1212 SE Powell Blvd, Suite B</t>
  </si>
  <si>
    <t>PO Box 15</t>
  </si>
  <si>
    <t>PO Box 27</t>
  </si>
  <si>
    <t>PO Box 306</t>
  </si>
  <si>
    <t>E8134 Cherry Grove Road</t>
  </si>
  <si>
    <t>P.O. Box 750881</t>
  </si>
  <si>
    <t>163 upper quarry rd</t>
  </si>
  <si>
    <t>279 Coventry Heights</t>
  </si>
  <si>
    <t>500 Connor Rd</t>
  </si>
  <si>
    <t>5404 VT Rt 100</t>
  </si>
  <si>
    <t>1392 East Street</t>
  </si>
  <si>
    <t>1196 Kittell Rd</t>
  </si>
  <si>
    <t>4362 Maquam Road</t>
  </si>
  <si>
    <t>408 Lowery rd</t>
  </si>
  <si>
    <t>225 Prechtl Road</t>
  </si>
  <si>
    <t>288 Hardscrabble Road</t>
  </si>
  <si>
    <t>567 Wanzer Rd</t>
  </si>
  <si>
    <t>PO Box 47</t>
  </si>
  <si>
    <t>1245 Salem Derby Road</t>
  </si>
  <si>
    <t>386 labounty dr</t>
  </si>
  <si>
    <t>8042 Vermont Route 22a</t>
  </si>
  <si>
    <t>76 roy farm road</t>
  </si>
  <si>
    <t>350B Farnsworth Road</t>
  </si>
  <si>
    <t>1097 Weybridge Rd</t>
  </si>
  <si>
    <t>525 Ashley Road</t>
  </si>
  <si>
    <t>3255 Collins Mill Road</t>
  </si>
  <si>
    <t>3237 Route 14</t>
  </si>
  <si>
    <t>900 Cobb road</t>
  </si>
  <si>
    <t>45010 County Rd</t>
  </si>
  <si>
    <t>Jl. HOS Notosuwiryo No. 40, Teluk, Purwokerto</t>
  </si>
  <si>
    <t>JL. Boulevard Gajah Mada No 2138, Lippo Village</t>
  </si>
  <si>
    <t>8851 Lewis Road</t>
  </si>
  <si>
    <t>7092 Sockwell Road</t>
  </si>
  <si>
    <t>1915 Lycurgus RD</t>
  </si>
  <si>
    <t>PO Box 391</t>
  </si>
  <si>
    <t>225567 Silver Maple Lane</t>
  </si>
  <si>
    <t>725 Aspen Dr.</t>
  </si>
  <si>
    <t>PO Box 668</t>
  </si>
  <si>
    <t>69 Toxie Summers Rd</t>
  </si>
  <si>
    <t>W6174 County Road SS</t>
  </si>
  <si>
    <t>N5155 Brown Rd</t>
  </si>
  <si>
    <t>PO Box 411</t>
  </si>
  <si>
    <t>P.O. Box 275</t>
  </si>
  <si>
    <t>42 Airline Hwy</t>
  </si>
  <si>
    <t>5560 Carroll Road</t>
  </si>
  <si>
    <t>839 Harris Road</t>
  </si>
  <si>
    <t>P.O. Box 305</t>
  </si>
  <si>
    <t>13 Somerville Road</t>
  </si>
  <si>
    <t>PO Box 461</t>
  </si>
  <si>
    <t>7038 West Country Club Drive North</t>
  </si>
  <si>
    <t>18689 County Highway F</t>
  </si>
  <si>
    <t>24389 State Highway 27</t>
  </si>
  <si>
    <t>200 Metropolitan Road</t>
  </si>
  <si>
    <t>E5052 Ember Lane</t>
  </si>
  <si>
    <t>5524 W Highway 290</t>
  </si>
  <si>
    <t>132990 SCOTCH CREEK RD</t>
  </si>
  <si>
    <t>4012 Limestone Lane</t>
  </si>
  <si>
    <t>2474 County Highway 16</t>
  </si>
  <si>
    <t>42087 Long Lake Road</t>
  </si>
  <si>
    <t>209 Mason Rd.</t>
  </si>
  <si>
    <t>12841 CR 6</t>
  </si>
  <si>
    <t>151 Hains Mill Road</t>
  </si>
  <si>
    <t>577 Anson Valley Rd.</t>
  </si>
  <si>
    <t>8538 Spring Breeze Terrace</t>
  </si>
  <si>
    <t>50 Salt Lake Rd.</t>
  </si>
  <si>
    <t>11290 Miller Rd</t>
  </si>
  <si>
    <t>1185 Wabash St</t>
  </si>
  <si>
    <t>7078 Shady Oak Road</t>
  </si>
  <si>
    <t>597 Travis Road</t>
  </si>
  <si>
    <t>214 Jorgensen Road</t>
  </si>
  <si>
    <t>E10297 Lombard Road</t>
  </si>
  <si>
    <t>300 Hwy 27</t>
  </si>
  <si>
    <t>237 Superview Drive</t>
  </si>
  <si>
    <t>11858 Golf Course Rd</t>
  </si>
  <si>
    <t>PO BOX 2255</t>
  </si>
  <si>
    <t>S2237 County Road C</t>
  </si>
  <si>
    <t>7559 County Road 201</t>
  </si>
  <si>
    <t>2586 Pudding Hill Rd.</t>
  </si>
  <si>
    <t>1200 Route 66</t>
  </si>
  <si>
    <t>7 Del Mar Drive</t>
  </si>
  <si>
    <t>5450 Prairie Stone Parkway</t>
  </si>
  <si>
    <t>5368 Stoney Point Road</t>
  </si>
  <si>
    <t>500 Tamal Plaza, Ste 524</t>
  </si>
  <si>
    <t>30341 Ebony Ave</t>
  </si>
  <si>
    <t>5509 TR 618</t>
  </si>
  <si>
    <t>10255 W Higgins Road Suite 300</t>
  </si>
  <si>
    <t>148 Weeks Mills Rd.</t>
  </si>
  <si>
    <t>11130 Mill Creek Road SE</t>
  </si>
  <si>
    <t>6535 B. Caballero Blvd</t>
  </si>
  <si>
    <t>2240 Encinitas Blvd.</t>
  </si>
  <si>
    <t>P.O. Box 44</t>
  </si>
  <si>
    <t>715 West Park Avenue,</t>
  </si>
  <si>
    <t>8023 Beverly Blvd.</t>
  </si>
  <si>
    <t>Sa Duphamlet, Phuoc Sang Commune</t>
  </si>
  <si>
    <t>99 Webb Rd.</t>
  </si>
  <si>
    <t>N21671 County Road T</t>
  </si>
  <si>
    <t>615 N. Main St</t>
  </si>
  <si>
    <t>PO Box 590</t>
  </si>
  <si>
    <t>542 Jerome Avenue</t>
  </si>
  <si>
    <t>29979 BACK RD</t>
  </si>
  <si>
    <t>N4623 State Road 26</t>
  </si>
  <si>
    <t>2444 Middle Rd.</t>
  </si>
  <si>
    <t>331 East Blaine Rd.</t>
  </si>
  <si>
    <t>Mailing Address: Street 2</t>
  </si>
  <si>
    <t>STE 700</t>
  </si>
  <si>
    <t>Phatthanakan Road</t>
  </si>
  <si>
    <t>Klongton Nua</t>
  </si>
  <si>
    <t>suite 68</t>
  </si>
  <si>
    <t>Ben Nghe Ward, District 1</t>
  </si>
  <si>
    <t>Suite 1</t>
  </si>
  <si>
    <t>Suite 420</t>
  </si>
  <si>
    <t>PO Box 299</t>
  </si>
  <si>
    <t>#3608</t>
  </si>
  <si>
    <t>#1081</t>
  </si>
  <si>
    <t>T. Kui Nuea</t>
  </si>
  <si>
    <t>North Tower, Suite 510</t>
  </si>
  <si>
    <t>Ste B PO Box 37</t>
  </si>
  <si>
    <t>Tan Binh Ward</t>
  </si>
  <si>
    <t>Suite 2216</t>
  </si>
  <si>
    <t>2Z</t>
  </si>
  <si>
    <t>#D 467</t>
  </si>
  <si>
    <t>No. 222</t>
  </si>
  <si>
    <t>Suite 1104</t>
  </si>
  <si>
    <t>Mailing Address: City</t>
  </si>
  <si>
    <t>Waseca</t>
  </si>
  <si>
    <t>AUBURNDALE</t>
  </si>
  <si>
    <t>Lexington</t>
  </si>
  <si>
    <t>Ada</t>
  </si>
  <si>
    <t>El Dorado Hills</t>
  </si>
  <si>
    <t>Bangkok</t>
  </si>
  <si>
    <t>Yorba Linda</t>
  </si>
  <si>
    <t>St Albans</t>
  </si>
  <si>
    <t>Armagh</t>
  </si>
  <si>
    <t>Exton</t>
  </si>
  <si>
    <t>EUGENE</t>
  </si>
  <si>
    <t>Bonanza</t>
  </si>
  <si>
    <t>FERNDALE</t>
  </si>
  <si>
    <t>Ithaca</t>
  </si>
  <si>
    <t>Racine</t>
  </si>
  <si>
    <t>Front Royal</t>
  </si>
  <si>
    <t>Pasadena</t>
  </si>
  <si>
    <t>Wattana</t>
  </si>
  <si>
    <t>Eden</t>
  </si>
  <si>
    <t>Oneonta</t>
  </si>
  <si>
    <t>Harrisburg</t>
  </si>
  <si>
    <t>Linwood</t>
  </si>
  <si>
    <t>Spokane</t>
  </si>
  <si>
    <t>Madera</t>
  </si>
  <si>
    <t>Fair Oaks</t>
  </si>
  <si>
    <t>BROOMFIELD</t>
  </si>
  <si>
    <t>Taylorsville</t>
  </si>
  <si>
    <t>Derby Line</t>
  </si>
  <si>
    <t>Teaneck</t>
  </si>
  <si>
    <t>Empire</t>
  </si>
  <si>
    <t>West Bridgewater</t>
  </si>
  <si>
    <t>Boring</t>
  </si>
  <si>
    <t>Ho Chi Minh</t>
  </si>
  <si>
    <t>Sioux Falls</t>
  </si>
  <si>
    <t>Rockford</t>
  </si>
  <si>
    <t>N POWNAL</t>
  </si>
  <si>
    <t>Sheboygan Falls</t>
  </si>
  <si>
    <t>Irving</t>
  </si>
  <si>
    <t>San Leandro</t>
  </si>
  <si>
    <t>E Dixfield</t>
  </si>
  <si>
    <t>Round Lake</t>
  </si>
  <si>
    <t>Tully</t>
  </si>
  <si>
    <t>Cherry Valley</t>
  </si>
  <si>
    <t>LOLETA</t>
  </si>
  <si>
    <t>Westchester</t>
  </si>
  <si>
    <t>Fenton</t>
  </si>
  <si>
    <t>A. Kui Buri</t>
  </si>
  <si>
    <t>Lake Ariel</t>
  </si>
  <si>
    <t>Northville</t>
  </si>
  <si>
    <t>Upper Sandusky</t>
  </si>
  <si>
    <t>South Royalton</t>
  </si>
  <si>
    <t>Missoula</t>
  </si>
  <si>
    <t>Arden Hills</t>
  </si>
  <si>
    <t>Stewartstown</t>
  </si>
  <si>
    <t>Stuyvesant</t>
  </si>
  <si>
    <t>Kinderhook</t>
  </si>
  <si>
    <t>Hinesburg</t>
  </si>
  <si>
    <t>Saint Albans</t>
  </si>
  <si>
    <t>Chatham</t>
  </si>
  <si>
    <t>El Cajon</t>
  </si>
  <si>
    <t>Picaynue</t>
  </si>
  <si>
    <t>VERNDALE</t>
  </si>
  <si>
    <t>Salkum</t>
  </si>
  <si>
    <t>VALLEY FORD</t>
  </si>
  <si>
    <t>Di An City</t>
  </si>
  <si>
    <t>HARTLEY</t>
  </si>
  <si>
    <t>La Center</t>
  </si>
  <si>
    <t>Malden On Hudson</t>
  </si>
  <si>
    <t>Tualatin</t>
  </si>
  <si>
    <t>newport</t>
  </si>
  <si>
    <t>Newport</t>
  </si>
  <si>
    <t>New Haven</t>
  </si>
  <si>
    <t>E Barre</t>
  </si>
  <si>
    <t>Randolph</t>
  </si>
  <si>
    <t>Halifax</t>
  </si>
  <si>
    <t>Weybridge</t>
  </si>
  <si>
    <t>North Ferrisburgh</t>
  </si>
  <si>
    <t>East Burke</t>
  </si>
  <si>
    <t>Arriba</t>
  </si>
  <si>
    <t>Tangerang</t>
  </si>
  <si>
    <t>Elon</t>
  </si>
  <si>
    <t>Downey</t>
  </si>
  <si>
    <t>Smoketown</t>
  </si>
  <si>
    <t>Elbridge</t>
  </si>
  <si>
    <t>CRESCENT CITY</t>
  </si>
  <si>
    <t>Perkasie</t>
  </si>
  <si>
    <t>MARATHON</t>
  </si>
  <si>
    <t>Killbuck</t>
  </si>
  <si>
    <t>Suwanee</t>
  </si>
  <si>
    <t>Fawn Grove</t>
  </si>
  <si>
    <t>Eden Prairie</t>
  </si>
  <si>
    <t>PAMPA</t>
  </si>
  <si>
    <t>Hoffman Estates</t>
  </si>
  <si>
    <t>Corte Madera</t>
  </si>
  <si>
    <t>Encinitas</t>
  </si>
  <si>
    <t>Oakhurst</t>
  </si>
  <si>
    <t>Phu Giao</t>
  </si>
  <si>
    <t>Bristol</t>
  </si>
  <si>
    <t>Blaine</t>
  </si>
  <si>
    <t>Mailing Address: State/Province</t>
  </si>
  <si>
    <t>Banten</t>
  </si>
  <si>
    <t>Mailing Address: Country</t>
  </si>
  <si>
    <t>Mailing Address: ZIP/ Postal Code</t>
  </si>
  <si>
    <t>55402</t>
  </si>
  <si>
    <t>53704</t>
  </si>
  <si>
    <t>83706</t>
  </si>
  <si>
    <t>56093</t>
  </si>
  <si>
    <t>54412</t>
  </si>
  <si>
    <t>40513</t>
  </si>
  <si>
    <t>49301</t>
  </si>
  <si>
    <t>53226</t>
  </si>
  <si>
    <t>95762</t>
  </si>
  <si>
    <t>10250</t>
  </si>
  <si>
    <t>45373-1624</t>
  </si>
  <si>
    <t>13354-3702</t>
  </si>
  <si>
    <t>92887</t>
  </si>
  <si>
    <t>15920</t>
  </si>
  <si>
    <t>19341</t>
  </si>
  <si>
    <t>97440</t>
  </si>
  <si>
    <t>97623</t>
  </si>
  <si>
    <t>13112-8755</t>
  </si>
  <si>
    <t>14850-5606</t>
  </si>
  <si>
    <t>92704</t>
  </si>
  <si>
    <t>53403</t>
  </si>
  <si>
    <t>22630</t>
  </si>
  <si>
    <t>91110</t>
  </si>
  <si>
    <t>10110</t>
  </si>
  <si>
    <t>04757</t>
  </si>
  <si>
    <t>14057</t>
  </si>
  <si>
    <t>13820</t>
  </si>
  <si>
    <t>97446</t>
  </si>
  <si>
    <t>08221</t>
  </si>
  <si>
    <t>99201</t>
  </si>
  <si>
    <t>93636</t>
  </si>
  <si>
    <t>47943</t>
  </si>
  <si>
    <t>68702-0613</t>
  </si>
  <si>
    <t>533321</t>
  </si>
  <si>
    <t>12934-2601</t>
  </si>
  <si>
    <t>80021</t>
  </si>
  <si>
    <t>95983</t>
  </si>
  <si>
    <t>07666</t>
  </si>
  <si>
    <t>47374</t>
  </si>
  <si>
    <t>60401</t>
  </si>
  <si>
    <t>14065-9514</t>
  </si>
  <si>
    <t>95319</t>
  </si>
  <si>
    <t>02379</t>
  </si>
  <si>
    <t>97009</t>
  </si>
  <si>
    <t>95344</t>
  </si>
  <si>
    <t>69162</t>
  </si>
  <si>
    <t>90016</t>
  </si>
  <si>
    <t>57106</t>
  </si>
  <si>
    <t>94104</t>
  </si>
  <si>
    <t>97114</t>
  </si>
  <si>
    <t>61108</t>
  </si>
  <si>
    <t>05620</t>
  </si>
  <si>
    <t>55426</t>
  </si>
  <si>
    <t>94975</t>
  </si>
  <si>
    <t>53085</t>
  </si>
  <si>
    <t>92606</t>
  </si>
  <si>
    <t>23455</t>
  </si>
  <si>
    <t>94578</t>
  </si>
  <si>
    <t>13407-9526</t>
  </si>
  <si>
    <t>49042</t>
  </si>
  <si>
    <t>60073</t>
  </si>
  <si>
    <t>13159</t>
  </si>
  <si>
    <t>13320</t>
  </si>
  <si>
    <t>21755-8508</t>
  </si>
  <si>
    <t>49423</t>
  </si>
  <si>
    <t>60154</t>
  </si>
  <si>
    <t>63026</t>
  </si>
  <si>
    <t>77150</t>
  </si>
  <si>
    <t>19124</t>
  </si>
  <si>
    <t>18436</t>
  </si>
  <si>
    <t>48167</t>
  </si>
  <si>
    <t>43351</t>
  </si>
  <si>
    <t>13452-2316</t>
  </si>
  <si>
    <t>59802</t>
  </si>
  <si>
    <t>55126</t>
  </si>
  <si>
    <t>17363</t>
  </si>
  <si>
    <t>75254</t>
  </si>
  <si>
    <t>54771-7213</t>
  </si>
  <si>
    <t>45036</t>
  </si>
  <si>
    <t>12173</t>
  </si>
  <si>
    <t>12106</t>
  </si>
  <si>
    <t>05461</t>
  </si>
  <si>
    <t>07928</t>
  </si>
  <si>
    <t>14873-9445</t>
  </si>
  <si>
    <t>92020</t>
  </si>
  <si>
    <t>39466</t>
  </si>
  <si>
    <t>13439-3008</t>
  </si>
  <si>
    <t>98582</t>
  </si>
  <si>
    <t>75312</t>
  </si>
  <si>
    <t>79044</t>
  </si>
  <si>
    <t>98629</t>
  </si>
  <si>
    <t>97402</t>
  </si>
  <si>
    <t>12453</t>
  </si>
  <si>
    <t>97062</t>
  </si>
  <si>
    <t>13111-9801</t>
  </si>
  <si>
    <t>05855</t>
  </si>
  <si>
    <t>05472</t>
  </si>
  <si>
    <t>05473</t>
  </si>
  <si>
    <t>05857-9208</t>
  </si>
  <si>
    <t>80804</t>
  </si>
  <si>
    <t>15811</t>
  </si>
  <si>
    <t>27244</t>
  </si>
  <si>
    <t>55355</t>
  </si>
  <si>
    <t>17576</t>
  </si>
  <si>
    <t>13060</t>
  </si>
  <si>
    <t>18944</t>
  </si>
  <si>
    <t>34243</t>
  </si>
  <si>
    <t>54684</t>
  </si>
  <si>
    <t>78735</t>
  </si>
  <si>
    <t>44637</t>
  </si>
  <si>
    <t>30024</t>
  </si>
  <si>
    <t>14024-9768</t>
  </si>
  <si>
    <t>55344</t>
  </si>
  <si>
    <t>79066</t>
  </si>
  <si>
    <t>06804</t>
  </si>
  <si>
    <t>60192</t>
  </si>
  <si>
    <t>94925</t>
  </si>
  <si>
    <t>92024</t>
  </si>
  <si>
    <t>13158-3107</t>
  </si>
  <si>
    <t>07755</t>
  </si>
  <si>
    <t>06010</t>
  </si>
  <si>
    <t>14813-9538</t>
  </si>
  <si>
    <t>14527-9321</t>
  </si>
  <si>
    <t>279</t>
  </si>
  <si>
    <t>014</t>
  </si>
  <si>
    <t>197</t>
  </si>
  <si>
    <t>Waseca County</t>
  </si>
  <si>
    <t>Lane County</t>
  </si>
  <si>
    <t>Lamb County</t>
  </si>
  <si>
    <t>Klamath County</t>
  </si>
  <si>
    <t>Racine County</t>
  </si>
  <si>
    <t>Atlantic County</t>
  </si>
  <si>
    <t>Skagit County</t>
  </si>
  <si>
    <t>Broomfield County</t>
  </si>
  <si>
    <t>Will County</t>
  </si>
  <si>
    <t>Plymouth County</t>
  </si>
  <si>
    <t>Yamhill County</t>
  </si>
  <si>
    <t>Whatcom County</t>
  </si>
  <si>
    <t>Hennepin County</t>
  </si>
  <si>
    <t>Baylor County</t>
  </si>
  <si>
    <t>Minidoka County</t>
  </si>
  <si>
    <t>Allegan County</t>
  </si>
  <si>
    <t>Warren County</t>
  </si>
  <si>
    <t>San Diego County</t>
  </si>
  <si>
    <t>Guilford County</t>
  </si>
  <si>
    <t>Meeker County</t>
  </si>
  <si>
    <t>Bucks County</t>
  </si>
  <si>
    <t>Phone</t>
  </si>
  <si>
    <t>(91) 3223-3060</t>
  </si>
  <si>
    <t>315-694-1263</t>
  </si>
  <si>
    <t>(262) 224-2972</t>
  </si>
  <si>
    <t>419-962-1722</t>
  </si>
  <si>
    <t>260-463-2118</t>
  </si>
  <si>
    <t>(717) 786-8877</t>
  </si>
  <si>
    <t>765-435-2251</t>
  </si>
  <si>
    <t>330-275-5397</t>
  </si>
  <si>
    <t>(330) 397-4529</t>
  </si>
  <si>
    <t>607-869-2276</t>
  </si>
  <si>
    <t>570-725-2114</t>
  </si>
  <si>
    <t>518-673-3565</t>
  </si>
  <si>
    <t>315-536-5910</t>
  </si>
  <si>
    <t>330-674-1405</t>
  </si>
  <si>
    <t>(440) 693-4170</t>
  </si>
  <si>
    <t>717-224-1666</t>
  </si>
  <si>
    <t>(717) 529-2273</t>
  </si>
  <si>
    <t>(507) 456-1468</t>
  </si>
  <si>
    <t>607-783-2389</t>
  </si>
  <si>
    <t>(717) 529-2282</t>
  </si>
  <si>
    <t>862-210-8150</t>
  </si>
  <si>
    <t>(330) 365-7637</t>
  </si>
  <si>
    <t>(330) 674-2045</t>
  </si>
  <si>
    <t>315-822-5799</t>
  </si>
  <si>
    <t>(814) 349-8046</t>
  </si>
  <si>
    <t>518-993-2714</t>
  </si>
  <si>
    <t>(570) 412-3094</t>
  </si>
  <si>
    <t>(802) 793-0274</t>
  </si>
  <si>
    <t>(607)423-9348</t>
  </si>
  <si>
    <t>(330) 275-0939</t>
  </si>
  <si>
    <t>330-231-4226</t>
  </si>
  <si>
    <t>(563) 920-7892</t>
  </si>
  <si>
    <t>563-568-1974</t>
  </si>
  <si>
    <t>(607) 316-4470</t>
  </si>
  <si>
    <t>315-655-5519</t>
  </si>
  <si>
    <t>(319) 271-0483</t>
  </si>
  <si>
    <t>(814) 282-9871</t>
  </si>
  <si>
    <t>518-573-8201</t>
  </si>
  <si>
    <t>515-418-8707</t>
  </si>
  <si>
    <t>315-580-9673</t>
  </si>
  <si>
    <t>(858)792-3531</t>
  </si>
  <si>
    <t>(612) 486-3859</t>
  </si>
  <si>
    <t>09999975372</t>
  </si>
  <si>
    <t>(507)665-8861</t>
  </si>
  <si>
    <t>+639162652911</t>
  </si>
  <si>
    <t>(608) 866-0834</t>
  </si>
  <si>
    <t>518-521-3496</t>
  </si>
  <si>
    <t>800-352-5247, Fax 507-373-7032</t>
  </si>
  <si>
    <t>(925)951-4115</t>
  </si>
  <si>
    <t>707-496-0073</t>
  </si>
  <si>
    <t>315-684-3391</t>
  </si>
  <si>
    <t>707-487-1000</t>
  </si>
  <si>
    <t>937-437-0414</t>
  </si>
  <si>
    <t>(715) 351-9846</t>
  </si>
  <si>
    <t>607-587-4510</t>
  </si>
  <si>
    <t>(507) 387-6480</t>
  </si>
  <si>
    <t>608-797-6247</t>
  </si>
  <si>
    <t>9209210005</t>
  </si>
  <si>
    <t>(859) 255-3644</t>
  </si>
  <si>
    <t>320-808-6227 (Al); 320-533-0628 (Ann)</t>
  </si>
  <si>
    <t>260-854-2258</t>
  </si>
  <si>
    <t>574-822-7077</t>
  </si>
  <si>
    <t>607-967-8336</t>
  </si>
  <si>
    <t>(715) 926-3768</t>
  </si>
  <si>
    <t>(937) 365-1224</t>
  </si>
  <si>
    <t>(717) 847-3291</t>
  </si>
  <si>
    <t>607-263-5051</t>
  </si>
  <si>
    <t>260-854-2504</t>
  </si>
  <si>
    <t>(717) 847-3397</t>
  </si>
  <si>
    <t>717-951-6395</t>
  </si>
  <si>
    <t>717-786-2873</t>
  </si>
  <si>
    <t>260-463-8614</t>
  </si>
  <si>
    <t>260-593-0067</t>
  </si>
  <si>
    <t>315-531-8231</t>
  </si>
  <si>
    <t>260-463-3308</t>
  </si>
  <si>
    <t>315-781-1189</t>
  </si>
  <si>
    <t>(406) 388-0569</t>
  </si>
  <si>
    <t>988083717</t>
  </si>
  <si>
    <t>(616) 974-9093</t>
  </si>
  <si>
    <t>414-982-2340</t>
  </si>
  <si>
    <t>734-429-2310</t>
  </si>
  <si>
    <t>(608) 296-2008</t>
  </si>
  <si>
    <t>443-947-0659</t>
  </si>
  <si>
    <t>517-543-2758</t>
  </si>
  <si>
    <t>419-962-4293</t>
  </si>
  <si>
    <t>717-803-6604</t>
  </si>
  <si>
    <t>260-463-3077</t>
  </si>
  <si>
    <t>717-806-0189</t>
  </si>
  <si>
    <t>484-748-1588</t>
  </si>
  <si>
    <t>(609) 762-5517</t>
  </si>
  <si>
    <t>717-786-3364</t>
  </si>
  <si>
    <t>(717) 354-3177</t>
  </si>
  <si>
    <t>(607) 243-8810</t>
  </si>
  <si>
    <t>(717) 529-7027</t>
  </si>
  <si>
    <t>(570) 649-6720</t>
  </si>
  <si>
    <t>(610) 913-6423</t>
  </si>
  <si>
    <t>518-478-3593</t>
  </si>
  <si>
    <t>7177683916</t>
  </si>
  <si>
    <t>765-886-5567</t>
  </si>
  <si>
    <t>480-557-7060</t>
  </si>
  <si>
    <t>(451)830-0053</t>
  </si>
  <si>
    <t>(707)568-4672</t>
  </si>
  <si>
    <t>608-582-2595</t>
  </si>
  <si>
    <t>(585) 554-3818</t>
  </si>
  <si>
    <t>330-852-0647</t>
  </si>
  <si>
    <t>(608) 762-5222</t>
  </si>
  <si>
    <t>234-249-9684</t>
  </si>
  <si>
    <t>(315) 771-0874</t>
  </si>
  <si>
    <t>+639454399717</t>
  </si>
  <si>
    <t>(319) 975-6400</t>
  </si>
  <si>
    <t>(937) 780-6169</t>
  </si>
  <si>
    <t>(715) 943-2576</t>
  </si>
  <si>
    <t>(315) 224-1699</t>
  </si>
  <si>
    <t>330-857-0280</t>
  </si>
  <si>
    <t>(360)508-3468</t>
  </si>
  <si>
    <t>(989) 872-4379</t>
  </si>
  <si>
    <t>(518) 358-4265</t>
  </si>
  <si>
    <t>707-486-9457</t>
  </si>
  <si>
    <t>260-214-1955</t>
  </si>
  <si>
    <t>(507) 643-6246</t>
  </si>
  <si>
    <t>+84934040959</t>
  </si>
  <si>
    <t>6620730977</t>
  </si>
  <si>
    <t>209-664-3323</t>
  </si>
  <si>
    <t>574-301-1260</t>
  </si>
  <si>
    <t>253-833-3400</t>
  </si>
  <si>
    <t>617 4697 0300</t>
  </si>
  <si>
    <t>315-569-7674</t>
  </si>
  <si>
    <t>09173113044</t>
  </si>
  <si>
    <t>800-711-3587</t>
  </si>
  <si>
    <t>415-663-8559</t>
  </si>
  <si>
    <t>330-439-3149</t>
  </si>
  <si>
    <t>814-445-3290</t>
  </si>
  <si>
    <t>608-837-7766</t>
  </si>
  <si>
    <t>989-666-3637</t>
  </si>
  <si>
    <t>315-816-7088</t>
  </si>
  <si>
    <t>678-884-5000</t>
  </si>
  <si>
    <t>530-473-3333</t>
  </si>
  <si>
    <t>(579)225-6134</t>
  </si>
  <si>
    <t>708-865-2600</t>
  </si>
  <si>
    <t>315-324-6926</t>
  </si>
  <si>
    <t>563-255-1034</t>
  </si>
  <si>
    <t>518-632-5288</t>
  </si>
  <si>
    <t>(847)412-6643</t>
  </si>
  <si>
    <t>607-244-7575</t>
  </si>
  <si>
    <t>(920) 377-0101</t>
  </si>
  <si>
    <t>937-205-7098</t>
  </si>
  <si>
    <t>(610) 806-3177</t>
  </si>
  <si>
    <t>517-541-0963</t>
  </si>
  <si>
    <t>716-474-1941</t>
  </si>
  <si>
    <t>(717) 535-9925</t>
  </si>
  <si>
    <t>717-656-1251</t>
  </si>
  <si>
    <t>315-585-6761</t>
  </si>
  <si>
    <t>717-529-1044</t>
  </si>
  <si>
    <t>607-229-2099</t>
  </si>
  <si>
    <t>(+84) 969 186 816</t>
  </si>
  <si>
    <t>717-529-8664</t>
  </si>
  <si>
    <t>717-456-5170</t>
  </si>
  <si>
    <t>717-786-8975</t>
  </si>
  <si>
    <t>518-568-5684</t>
  </si>
  <si>
    <t>610-401-7387</t>
  </si>
  <si>
    <t>707-484-1898</t>
  </si>
  <si>
    <t>(518) 686-3249</t>
  </si>
  <si>
    <t>801-673-3278</t>
  </si>
  <si>
    <t>231-924-6272</t>
  </si>
  <si>
    <t>(607) 316-1498</t>
  </si>
  <si>
    <t>(949) 566-8226</t>
  </si>
  <si>
    <t>(507) 523-1029</t>
  </si>
  <si>
    <t>(415) 663-8343</t>
  </si>
  <si>
    <t>(330) 875-3381 ext. 3007</t>
  </si>
  <si>
    <t>607-243-5890</t>
  </si>
  <si>
    <t>(802) 309-1684</t>
  </si>
  <si>
    <t>412-309-0062</t>
  </si>
  <si>
    <t>(415) 663-5464</t>
  </si>
  <si>
    <t>(484) 631-2005</t>
  </si>
  <si>
    <t>(541) 345-0020</t>
  </si>
  <si>
    <t>607-869-9950</t>
  </si>
  <si>
    <t>330-235-3953</t>
  </si>
  <si>
    <t>(515) 832-2992</t>
  </si>
  <si>
    <t>8069652447</t>
  </si>
  <si>
    <t>707-407-6900</t>
  </si>
  <si>
    <t>(541) 545-6173</t>
  </si>
  <si>
    <t>518-483-0343</t>
  </si>
  <si>
    <t>(802) 782-5944</t>
  </si>
  <si>
    <t>715-271-9756</t>
  </si>
  <si>
    <t>717-977-0656</t>
  </si>
  <si>
    <t>585-261-5284</t>
  </si>
  <si>
    <t>315-635-6800</t>
  </si>
  <si>
    <t>812-599-0750</t>
  </si>
  <si>
    <t>707-786-4649</t>
  </si>
  <si>
    <t>607-279-9206</t>
  </si>
  <si>
    <t>724-331-5558</t>
  </si>
  <si>
    <t>(715) 665-2520</t>
  </si>
  <si>
    <t>(802) 595-3498</t>
  </si>
  <si>
    <t>207-324-6221</t>
  </si>
  <si>
    <t>936-707-5491</t>
  </si>
  <si>
    <t>(949) 655-0080</t>
  </si>
  <si>
    <t>607-847-9388</t>
  </si>
  <si>
    <t>607-334-5334</t>
  </si>
  <si>
    <t>570-537-2447</t>
  </si>
  <si>
    <t>716-574-9648</t>
  </si>
  <si>
    <t>219-883-5126</t>
  </si>
  <si>
    <t>434-466-7110</t>
  </si>
  <si>
    <t>607-842-6463</t>
  </si>
  <si>
    <t>715-229-4782</t>
  </si>
  <si>
    <t>(262) 598-9900</t>
  </si>
  <si>
    <t>518-534-1799</t>
  </si>
  <si>
    <t>(802) 744-6023</t>
  </si>
  <si>
    <t>607-698-4360</t>
  </si>
  <si>
    <t>607-769-8175</t>
  </si>
  <si>
    <t>814-701-5850</t>
  </si>
  <si>
    <t>(223) 205-8171</t>
  </si>
  <si>
    <t>608-582-4517</t>
  </si>
  <si>
    <t>540-488-2879</t>
  </si>
  <si>
    <t>(540) 718-4936</t>
  </si>
  <si>
    <t>94 11 2324762</t>
  </si>
  <si>
    <t>7075995111</t>
  </si>
  <si>
    <t>(909)974-0223</t>
  </si>
  <si>
    <t>603-547-7246</t>
  </si>
  <si>
    <t>207-717-6141</t>
  </si>
  <si>
    <t>260-585-7518</t>
  </si>
  <si>
    <t>260-463-3729</t>
  </si>
  <si>
    <t>(660) 244-5376</t>
  </si>
  <si>
    <t>505-747-9717</t>
  </si>
  <si>
    <t>563-419-6006</t>
  </si>
  <si>
    <t>503-394-2330</t>
  </si>
  <si>
    <t>707-795-7052</t>
  </si>
  <si>
    <t>920-209-7029</t>
  </si>
  <si>
    <t>(802) 426-3331</t>
  </si>
  <si>
    <t>607-756-6990</t>
  </si>
  <si>
    <t>607-792-3871</t>
  </si>
  <si>
    <t>419-774-0889</t>
  </si>
  <si>
    <t>(561) 935-3815</t>
  </si>
  <si>
    <t>800-822-6671</t>
  </si>
  <si>
    <t>585-591-1416</t>
  </si>
  <si>
    <t>301-695-0260</t>
  </si>
  <si>
    <t>207-897-3724</t>
  </si>
  <si>
    <t>097-1180088</t>
  </si>
  <si>
    <t>319-646-1153</t>
  </si>
  <si>
    <t>608-546-5482</t>
  </si>
  <si>
    <t>707-778-1073</t>
  </si>
  <si>
    <t>209-795-1721</t>
  </si>
  <si>
    <t>818-731-9525</t>
  </si>
  <si>
    <t>410-775-7649</t>
  </si>
  <si>
    <t>315-250-1740</t>
  </si>
  <si>
    <t>(937) 981-2030</t>
  </si>
  <si>
    <t>319-683-3925</t>
  </si>
  <si>
    <t>(717) 436-9142</t>
  </si>
  <si>
    <t>207-764-3993</t>
  </si>
  <si>
    <t>(413)-588-8600</t>
  </si>
  <si>
    <t>(518) 339-2071</t>
  </si>
  <si>
    <t>(716) 783-4548</t>
  </si>
  <si>
    <t>914-730-1933</t>
  </si>
  <si>
    <t>(715) 228-3719</t>
  </si>
  <si>
    <t>315-563-3007</t>
  </si>
  <si>
    <t>530-898-6280</t>
  </si>
  <si>
    <t>574-773-0182</t>
  </si>
  <si>
    <t>(518)452-5995</t>
  </si>
  <si>
    <t>717-826-1621</t>
  </si>
  <si>
    <t>814-349-5957</t>
  </si>
  <si>
    <t>540-879-3292</t>
  </si>
  <si>
    <t>(715) 877-1827</t>
  </si>
  <si>
    <t>(717) 362-9038</t>
  </si>
  <si>
    <t>707-496-8018</t>
  </si>
  <si>
    <t>765-569-5897</t>
  </si>
  <si>
    <t>518-586-6240</t>
  </si>
  <si>
    <t>518-594-3118</t>
  </si>
  <si>
    <t>607-435-9343</t>
  </si>
  <si>
    <t>(541) 995-6384</t>
  </si>
  <si>
    <t>(507) 269-3619</t>
  </si>
  <si>
    <t>260-463-3331</t>
  </si>
  <si>
    <t>(14) 3656-9900</t>
  </si>
  <si>
    <t>(610) 488-0164</t>
  </si>
  <si>
    <t>(260) 593-0885</t>
  </si>
  <si>
    <t>518-529-7369</t>
  </si>
  <si>
    <t>61 992977849</t>
  </si>
  <si>
    <t>717-263-9577</t>
  </si>
  <si>
    <t>419-908-8028</t>
  </si>
  <si>
    <t>660-956-5038</t>
  </si>
  <si>
    <t>(609) 289-1998</t>
  </si>
  <si>
    <t>315-776-8287</t>
  </si>
  <si>
    <t>518-568-2680</t>
  </si>
  <si>
    <t>717-440-4931</t>
  </si>
  <si>
    <t>207-944-3083</t>
  </si>
  <si>
    <t>707-769-3264</t>
  </si>
  <si>
    <t>607-868-5519</t>
  </si>
  <si>
    <t>410-799-9900</t>
  </si>
  <si>
    <t>607-591-9607</t>
  </si>
  <si>
    <t>513-939-9033</t>
  </si>
  <si>
    <t>+639178378537</t>
  </si>
  <si>
    <t>509-747-4131</t>
  </si>
  <si>
    <t>508-776-0412</t>
  </si>
  <si>
    <t>320-532-3584</t>
  </si>
  <si>
    <t>937-464-9930</t>
  </si>
  <si>
    <t>360-445-5211</t>
  </si>
  <si>
    <t>707-267-5091</t>
  </si>
  <si>
    <t>815-315-0592</t>
  </si>
  <si>
    <t>260-854-4433</t>
  </si>
  <si>
    <t>707-499-0720</t>
  </si>
  <si>
    <t>208-787-2082</t>
  </si>
  <si>
    <t>585-584-3904</t>
  </si>
  <si>
    <t>517-543-1019</t>
  </si>
  <si>
    <t>707-971-8275</t>
  </si>
  <si>
    <t>512-285-2556</t>
  </si>
  <si>
    <t>570-637-9324</t>
  </si>
  <si>
    <t>707-617-2431</t>
  </si>
  <si>
    <t>(607) 525-6482</t>
  </si>
  <si>
    <t>(802) 334-8041</t>
  </si>
  <si>
    <t>303-412-6232</t>
  </si>
  <si>
    <t>301-988-3681</t>
  </si>
  <si>
    <t>585-567-2817</t>
  </si>
  <si>
    <t>(815)453-7411</t>
  </si>
  <si>
    <t>315-717-3945</t>
  </si>
  <si>
    <t>(608) 625-3897</t>
  </si>
  <si>
    <t>315-482-3663</t>
  </si>
  <si>
    <t>818-699-6381</t>
  </si>
  <si>
    <t>607-243-8997</t>
  </si>
  <si>
    <t>209-576-3400</t>
  </si>
  <si>
    <t>707-725-6182</t>
  </si>
  <si>
    <t>717-284-2334</t>
  </si>
  <si>
    <t>315-867-5750</t>
  </si>
  <si>
    <t>219-964-4977</t>
  </si>
  <si>
    <t>(682) 412-9546</t>
  </si>
  <si>
    <t>315-536-9409</t>
  </si>
  <si>
    <t>6033596504</t>
  </si>
  <si>
    <t>0281 6580100</t>
  </si>
  <si>
    <t>715-851-6332</t>
  </si>
  <si>
    <t>415-244-3179</t>
  </si>
  <si>
    <t>913-304-4392</t>
  </si>
  <si>
    <t>415-559-2140</t>
  </si>
  <si>
    <t>707-763-1585</t>
  </si>
  <si>
    <t>260-768-4650</t>
  </si>
  <si>
    <t>315-717-2819</t>
  </si>
  <si>
    <t>(319) 238-0994</t>
  </si>
  <si>
    <t>(920) 392-4406</t>
  </si>
  <si>
    <t>(717) 627-7840</t>
  </si>
  <si>
    <t>(330) 600-4592</t>
  </si>
  <si>
    <t>680-213-0129</t>
  </si>
  <si>
    <t>765-238-7397</t>
  </si>
  <si>
    <t>(814) 349-5675</t>
  </si>
  <si>
    <t>(715) 228-3515</t>
  </si>
  <si>
    <t>260-768-7468</t>
  </si>
  <si>
    <t>330-275-6910</t>
  </si>
  <si>
    <t>(574) 642-3398</t>
  </si>
  <si>
    <t>(330) 458-9519</t>
  </si>
  <si>
    <t>(717) 786-0158</t>
  </si>
  <si>
    <t>(440) 693-4560</t>
  </si>
  <si>
    <t>(765) 569-5442</t>
  </si>
  <si>
    <t>(330) 674-1387</t>
  </si>
  <si>
    <t>585-322-7168</t>
  </si>
  <si>
    <t>717-669-1240</t>
  </si>
  <si>
    <t>(608) 874-4645</t>
  </si>
  <si>
    <t>814-662-2859</t>
  </si>
  <si>
    <t>814-634-0427</t>
  </si>
  <si>
    <t>(610) 273-2161</t>
  </si>
  <si>
    <t>315-360-2581</t>
  </si>
  <si>
    <t>610-683-3578</t>
  </si>
  <si>
    <t>(315) 527-4903</t>
  </si>
  <si>
    <t>(920) 787-3313</t>
  </si>
  <si>
    <t>541-396-5116</t>
  </si>
  <si>
    <t>303-635-4611</t>
  </si>
  <si>
    <t>623-478-9494</t>
  </si>
  <si>
    <t>(920) 396-1259</t>
  </si>
  <si>
    <t>707-845-2131</t>
  </si>
  <si>
    <t>360-880-2377</t>
  </si>
  <si>
    <t>(608) 897-2624</t>
  </si>
  <si>
    <t>765-886-5674</t>
  </si>
  <si>
    <t>(740) 502-2834</t>
  </si>
  <si>
    <t>260-499-4694</t>
  </si>
  <si>
    <t>330-763-3958</t>
  </si>
  <si>
    <t>(585) 765-9275</t>
  </si>
  <si>
    <t>(260) 585-7018</t>
  </si>
  <si>
    <t>(717) 768-7523</t>
  </si>
  <si>
    <t>903-268-3339</t>
  </si>
  <si>
    <t>570-725-2405</t>
  </si>
  <si>
    <t>814-349-2275</t>
  </si>
  <si>
    <t>330-695-2080</t>
  </si>
  <si>
    <t>814-656-3829</t>
  </si>
  <si>
    <t>641-664-2581 ext. 1</t>
  </si>
  <si>
    <t>(717) 527-2343</t>
  </si>
  <si>
    <t>260-593-0979</t>
  </si>
  <si>
    <t>330-275-0723</t>
  </si>
  <si>
    <t>315-823-1261</t>
  </si>
  <si>
    <t>330-674-2915</t>
  </si>
  <si>
    <t>260-562-2284</t>
  </si>
  <si>
    <t>(440) 224-0376</t>
  </si>
  <si>
    <t>574-825-4268</t>
  </si>
  <si>
    <t>260-499-4799</t>
  </si>
  <si>
    <t>315-536-7024</t>
  </si>
  <si>
    <t>610-273-7362</t>
  </si>
  <si>
    <t>507-932-5468</t>
  </si>
  <si>
    <t>(717) 201-8017</t>
  </si>
  <si>
    <t>765-478-9842</t>
  </si>
  <si>
    <t>260-243-0653</t>
  </si>
  <si>
    <t>(607) 699-3560</t>
  </si>
  <si>
    <t>717-445-5994</t>
  </si>
  <si>
    <t>(717) 548-3772</t>
  </si>
  <si>
    <t>8023099588</t>
  </si>
  <si>
    <t>510-931-4207</t>
  </si>
  <si>
    <t>607-372-1227</t>
  </si>
  <si>
    <t>574-642-3421</t>
  </si>
  <si>
    <t>(574) 825-4267</t>
  </si>
  <si>
    <t>208-316-3678</t>
  </si>
  <si>
    <t>608-487-0213</t>
  </si>
  <si>
    <t>315-246-0689</t>
  </si>
  <si>
    <t>530-251-6820</t>
  </si>
  <si>
    <t>305-322-8355</t>
  </si>
  <si>
    <t>707-845-7399</t>
  </si>
  <si>
    <t>260-350-1457</t>
  </si>
  <si>
    <t>765-525-9377</t>
  </si>
  <si>
    <t>315-276-5086</t>
  </si>
  <si>
    <t>707-478-8256</t>
  </si>
  <si>
    <t>(315) 324-5602</t>
  </si>
  <si>
    <t>319-461-8217</t>
  </si>
  <si>
    <t>(608) 627-1519</t>
  </si>
  <si>
    <t>260-593-0131</t>
  </si>
  <si>
    <t>260-499-5390</t>
  </si>
  <si>
    <t>518-806-9300</t>
  </si>
  <si>
    <t>612-845-0124</t>
  </si>
  <si>
    <t>(717) 222-4843</t>
  </si>
  <si>
    <t>7155336673</t>
  </si>
  <si>
    <t>260-593-2235</t>
  </si>
  <si>
    <t>260-499-0229</t>
  </si>
  <si>
    <t>260-768-7078</t>
  </si>
  <si>
    <t>(260) 768-7618</t>
  </si>
  <si>
    <t>702-672-4882</t>
  </si>
  <si>
    <t>518-248-9721</t>
  </si>
  <si>
    <t>707-725-9739</t>
  </si>
  <si>
    <t>7603482275</t>
  </si>
  <si>
    <t>315-376-4579</t>
  </si>
  <si>
    <t>(707) 795-5971</t>
  </si>
  <si>
    <t>509-881-7868</t>
  </si>
  <si>
    <t>540-680-1282</t>
  </si>
  <si>
    <t>415-662-2123</t>
  </si>
  <si>
    <t>(415) 662-2123</t>
  </si>
  <si>
    <t>607-656-8244</t>
  </si>
  <si>
    <t>3092569606</t>
  </si>
  <si>
    <t>260-768-3222</t>
  </si>
  <si>
    <t>707-291-0951</t>
  </si>
  <si>
    <t>415-669-1363</t>
  </si>
  <si>
    <t>641-929-3099</t>
  </si>
  <si>
    <t>315 465-6151</t>
  </si>
  <si>
    <t>(310)963-1694</t>
  </si>
  <si>
    <t>707-779-9947</t>
  </si>
  <si>
    <t>260-463-0123</t>
  </si>
  <si>
    <t>231-824-3181</t>
  </si>
  <si>
    <t>207-532-3843</t>
  </si>
  <si>
    <t>(920) 567-8627</t>
  </si>
  <si>
    <t>845-232-0255</t>
  </si>
  <si>
    <t>(708) 300-8314</t>
  </si>
  <si>
    <t>607-766-1813</t>
  </si>
  <si>
    <t>607-522-6529</t>
  </si>
  <si>
    <t>815-678-0320</t>
  </si>
  <si>
    <t>207-562-8532</t>
  </si>
  <si>
    <t>(315) 536-0536</t>
  </si>
  <si>
    <t>239-598-5088</t>
  </si>
  <si>
    <t>503-853-3110</t>
  </si>
  <si>
    <t>(330) 683-8710</t>
  </si>
  <si>
    <t>608-482-3027</t>
  </si>
  <si>
    <t>315-237-1913</t>
  </si>
  <si>
    <t>574-892-6976</t>
  </si>
  <si>
    <t>517-456-7424</t>
  </si>
  <si>
    <t>(716)481-1634</t>
  </si>
  <si>
    <t>716-992-2457</t>
  </si>
  <si>
    <t>(717) 354-5777</t>
  </si>
  <si>
    <t>419-709-4855</t>
  </si>
  <si>
    <t>548-649-0950</t>
  </si>
  <si>
    <t>607-435-2441</t>
  </si>
  <si>
    <t>765-238-4959</t>
  </si>
  <si>
    <t>(607) 532-3420</t>
  </si>
  <si>
    <t>(715) 257-1939</t>
  </si>
  <si>
    <t>518-993-5502</t>
  </si>
  <si>
    <t>717-799-9616</t>
  </si>
  <si>
    <t>716-560-1035</t>
  </si>
  <si>
    <t>315-496-2030</t>
  </si>
  <si>
    <t>(660) 216-7723</t>
  </si>
  <si>
    <t>(717) 656-2469</t>
  </si>
  <si>
    <t>(330) 418-5605</t>
  </si>
  <si>
    <t>315-858-9151</t>
  </si>
  <si>
    <t>814-662-2555</t>
  </si>
  <si>
    <t>419-883-2045</t>
  </si>
  <si>
    <t>(608) 350-6174</t>
  </si>
  <si>
    <t>607-243-5165</t>
  </si>
  <si>
    <t>717-687-6567</t>
  </si>
  <si>
    <t>610-932-5612</t>
  </si>
  <si>
    <t>(260) 535-5058</t>
  </si>
  <si>
    <t>814-634-0810</t>
  </si>
  <si>
    <t>330-893-2598</t>
  </si>
  <si>
    <t>260-463-2482</t>
  </si>
  <si>
    <t>814-662-2397</t>
  </si>
  <si>
    <t>260-593-3456</t>
  </si>
  <si>
    <t>260-593-0595</t>
  </si>
  <si>
    <t>(802) 989-3849</t>
  </si>
  <si>
    <t>717-463-3108</t>
  </si>
  <si>
    <t>585-567-4312</t>
  </si>
  <si>
    <t>(717) 442-4177</t>
  </si>
  <si>
    <t>(641) 929-3381</t>
  </si>
  <si>
    <t>716-904-2348</t>
  </si>
  <si>
    <t>(209) 523-9167</t>
  </si>
  <si>
    <t>(607) 725-9787</t>
  </si>
  <si>
    <t>315-558-3358</t>
  </si>
  <si>
    <t>Byrne Dairy 1-315-382-2782</t>
  </si>
  <si>
    <t>765-245-2399</t>
  </si>
  <si>
    <t>989-658-2199</t>
  </si>
  <si>
    <t>(715) 758-6282</t>
  </si>
  <si>
    <t>(607) 582-7462</t>
  </si>
  <si>
    <t>717-527-2212</t>
  </si>
  <si>
    <t>(814) 267-9932</t>
  </si>
  <si>
    <t>765-569-6585</t>
  </si>
  <si>
    <t>315-531-8072</t>
  </si>
  <si>
    <t>(774) 776-7400</t>
  </si>
  <si>
    <t>(607) 286-7126</t>
  </si>
  <si>
    <t>607-591-5336</t>
  </si>
  <si>
    <t>(315) 536-3512</t>
  </si>
  <si>
    <t>(740) 634-2473</t>
  </si>
  <si>
    <t>419-895-1182</t>
  </si>
  <si>
    <t>260-463-7541</t>
  </si>
  <si>
    <t>260-383-1333</t>
  </si>
  <si>
    <t>260-463-3516</t>
  </si>
  <si>
    <t>260-768-7544</t>
  </si>
  <si>
    <t>260-499-4856</t>
  </si>
  <si>
    <t>574-498-6340</t>
  </si>
  <si>
    <t>260-350-9635</t>
  </si>
  <si>
    <t>717 548 2128</t>
  </si>
  <si>
    <t>607-244-6968</t>
  </si>
  <si>
    <t>315-767-2608</t>
  </si>
  <si>
    <t>(503) 802-1643</t>
  </si>
  <si>
    <t>+84 909921947</t>
  </si>
  <si>
    <t>260-499-4401</t>
  </si>
  <si>
    <t>(641) 664-2751</t>
  </si>
  <si>
    <t>(717) 527-2615</t>
  </si>
  <si>
    <t>269-432-4255</t>
  </si>
  <si>
    <t>717-247-6987</t>
  </si>
  <si>
    <t>260-463-8114</t>
  </si>
  <si>
    <t>209-383-6020</t>
  </si>
  <si>
    <t>410-778-2372</t>
  </si>
  <si>
    <t>207-342-4677</t>
  </si>
  <si>
    <t>607-643-5084</t>
  </si>
  <si>
    <t>201-933-6200</t>
  </si>
  <si>
    <t>717-463-3157</t>
  </si>
  <si>
    <t>(559) 651-0550</t>
  </si>
  <si>
    <t>803-970-9013</t>
  </si>
  <si>
    <t>(319) 646-2004</t>
  </si>
  <si>
    <t>410-658-2429</t>
  </si>
  <si>
    <t>802 249-8183</t>
  </si>
  <si>
    <t>3057938388</t>
  </si>
  <si>
    <t>717-344-2284</t>
  </si>
  <si>
    <t>308-354-3330</t>
  </si>
  <si>
    <t>323-936-5266 x.102</t>
  </si>
  <si>
    <t>260-593-0591</t>
  </si>
  <si>
    <t>260-768-7064</t>
  </si>
  <si>
    <t>2096082697</t>
  </si>
  <si>
    <t>707-822-2277</t>
  </si>
  <si>
    <t>607-237-8763</t>
  </si>
  <si>
    <t>231-743-9429</t>
  </si>
  <si>
    <t>609-580-4873</t>
  </si>
  <si>
    <t>608-633-1696</t>
  </si>
  <si>
    <t>(410)771-7036</t>
  </si>
  <si>
    <t>260-463-3693</t>
  </si>
  <si>
    <t>814-662-2936</t>
  </si>
  <si>
    <t>260-499-3099</t>
  </si>
  <si>
    <t>260-350-0685</t>
  </si>
  <si>
    <t>217-543-2982</t>
  </si>
  <si>
    <t>800-735-0313</t>
  </si>
  <si>
    <t>585-567-2257</t>
  </si>
  <si>
    <t>(603)578-8600</t>
  </si>
  <si>
    <t>415-402-0009</t>
  </si>
  <si>
    <t>574-831-4337</t>
  </si>
  <si>
    <t>607-757-9351</t>
  </si>
  <si>
    <t>570-250-5283</t>
  </si>
  <si>
    <t>(503) 560-4238</t>
  </si>
  <si>
    <t>973-521-5561</t>
  </si>
  <si>
    <t>717-721-2716</t>
  </si>
  <si>
    <t>(802) 251-0663</t>
  </si>
  <si>
    <t>717-327-5269</t>
  </si>
  <si>
    <t>315-868-2231</t>
  </si>
  <si>
    <t>330-464-2118</t>
  </si>
  <si>
    <t>260-585-6429</t>
  </si>
  <si>
    <t>(319) 238-1662</t>
  </si>
  <si>
    <t>(440) 693-4114</t>
  </si>
  <si>
    <t>360-410-0293</t>
  </si>
  <si>
    <t>407-812-6810</t>
  </si>
  <si>
    <t>615-496-0185</t>
  </si>
  <si>
    <t>510-476-5900</t>
  </si>
  <si>
    <t>(954) 917-7272</t>
  </si>
  <si>
    <t>626-855-1400</t>
  </si>
  <si>
    <t>813-316-4500</t>
  </si>
  <si>
    <t>208-934-6196</t>
  </si>
  <si>
    <t>530-796-2214</t>
  </si>
  <si>
    <t>619-781-2240</t>
  </si>
  <si>
    <t>707-338-0220</t>
  </si>
  <si>
    <t>(802) 375-5695</t>
  </si>
  <si>
    <t>715-875-4438</t>
  </si>
  <si>
    <t>716-655-4486</t>
  </si>
  <si>
    <t>574-892-5436</t>
  </si>
  <si>
    <t>(510) 558-7500</t>
  </si>
  <si>
    <t>707-762-0446</t>
  </si>
  <si>
    <t>6196064508</t>
  </si>
  <si>
    <t>315-287-0179</t>
  </si>
  <si>
    <t>707-845-7335</t>
  </si>
  <si>
    <t>(920) 564-3242</t>
  </si>
  <si>
    <t>315-665-0029</t>
  </si>
  <si>
    <t>717-529-6442</t>
  </si>
  <si>
    <t>570-367-1234</t>
  </si>
  <si>
    <t>517-403-2811</t>
  </si>
  <si>
    <t>305-238-7747</t>
  </si>
  <si>
    <t>217-543-3016</t>
  </si>
  <si>
    <t>607-655-1241</t>
  </si>
  <si>
    <t>260-593-1646</t>
  </si>
  <si>
    <t>260-463-2868</t>
  </si>
  <si>
    <t>315-730-5614</t>
  </si>
  <si>
    <t>909-823-8230</t>
  </si>
  <si>
    <t>715-321-3270</t>
  </si>
  <si>
    <t>7152500827</t>
  </si>
  <si>
    <t>(330) 322-3725</t>
  </si>
  <si>
    <t>347-933-0007</t>
  </si>
  <si>
    <t>207 263-4819</t>
  </si>
  <si>
    <t>315-782-6226</t>
  </si>
  <si>
    <t>(989) 433-5900</t>
  </si>
  <si>
    <t>254-434-7977</t>
  </si>
  <si>
    <t>(541) 664-7088</t>
  </si>
  <si>
    <t>978-399-4239</t>
  </si>
  <si>
    <t>715-828-2759</t>
  </si>
  <si>
    <t>8027538227</t>
  </si>
  <si>
    <t>765-513-0308</t>
  </si>
  <si>
    <t>510-754-7604</t>
  </si>
  <si>
    <t>845-586-3529</t>
  </si>
  <si>
    <t>(585) 735-6106</t>
  </si>
  <si>
    <t>260-463-1543</t>
  </si>
  <si>
    <t>(802) 234-6278</t>
  </si>
  <si>
    <t>616-634-3308</t>
  </si>
  <si>
    <t>802-933-4592</t>
  </si>
  <si>
    <t>(508)-645-4854</t>
  </si>
  <si>
    <t>419-929-1125</t>
  </si>
  <si>
    <t>+57 1 3174700</t>
  </si>
  <si>
    <t>650-697-4427</t>
  </si>
  <si>
    <t>262-366-4622</t>
  </si>
  <si>
    <t>585-590-9982</t>
  </si>
  <si>
    <t>315-219-7129</t>
  </si>
  <si>
    <t>(516)587-5204</t>
  </si>
  <si>
    <t>607-849-3555</t>
  </si>
  <si>
    <t>207-860-8431</t>
  </si>
  <si>
    <t>2623545693</t>
  </si>
  <si>
    <t>315-823-1189</t>
  </si>
  <si>
    <t>207-491-6789</t>
  </si>
  <si>
    <t>(585) 739-2264</t>
  </si>
  <si>
    <t>260-463-3276</t>
  </si>
  <si>
    <t>260-768-4749</t>
  </si>
  <si>
    <t>260-365-8081</t>
  </si>
  <si>
    <t>(260) 463-8110 ext. 1</t>
  </si>
  <si>
    <t>260-562-2919</t>
  </si>
  <si>
    <t>641-722-3645</t>
  </si>
  <si>
    <t>(858)414-5239</t>
  </si>
  <si>
    <t>(717) 535-5729</t>
  </si>
  <si>
    <t>(315) 405-1466</t>
  </si>
  <si>
    <t>608-633-3186</t>
  </si>
  <si>
    <t>(315) 823-9169</t>
  </si>
  <si>
    <t>315-536-6745</t>
  </si>
  <si>
    <t>(570) 922-1549</t>
  </si>
  <si>
    <t>260-768-4578</t>
  </si>
  <si>
    <t>(253)334-0061</t>
  </si>
  <si>
    <t>(218) 564-5570</t>
  </si>
  <si>
    <t>518-672-7500</t>
  </si>
  <si>
    <t>9203822056</t>
  </si>
  <si>
    <t>315-528-4430</t>
  </si>
  <si>
    <t>269-435-1132</t>
  </si>
  <si>
    <t>512-619-1388</t>
  </si>
  <si>
    <t>521-619-1388</t>
  </si>
  <si>
    <t>(512) 619-1388</t>
  </si>
  <si>
    <t>800-373-5971</t>
  </si>
  <si>
    <t>315-360-1864</t>
  </si>
  <si>
    <t>607-346-4455</t>
  </si>
  <si>
    <t>570-240-0409</t>
  </si>
  <si>
    <t>315-383-0627</t>
  </si>
  <si>
    <t>330-893-4604</t>
  </si>
  <si>
    <t>(802) 796-3237</t>
  </si>
  <si>
    <t>717-725-3433</t>
  </si>
  <si>
    <t>717-927-6369</t>
  </si>
  <si>
    <t>(814) 634-0810</t>
  </si>
  <si>
    <t>260-463-8382</t>
  </si>
  <si>
    <t>607-869-4847</t>
  </si>
  <si>
    <t>330-260-4676</t>
  </si>
  <si>
    <t>(717) 949-8409</t>
  </si>
  <si>
    <t>(419) 883-2146</t>
  </si>
  <si>
    <t>(708) 603-7873</t>
  </si>
  <si>
    <t>315-654-3134</t>
  </si>
  <si>
    <t>13791476060</t>
  </si>
  <si>
    <t>914-764-8111</t>
  </si>
  <si>
    <t>715-922-0150</t>
  </si>
  <si>
    <t>(518)-859-4742</t>
  </si>
  <si>
    <t>208-431-8946</t>
  </si>
  <si>
    <t>989-737-6032</t>
  </si>
  <si>
    <t>(802) 535-9409</t>
  </si>
  <si>
    <t>802-359-3198</t>
  </si>
  <si>
    <t>315-420-7449</t>
  </si>
  <si>
    <t>802-522-8706</t>
  </si>
  <si>
    <t>608-762-6126 (booth)</t>
  </si>
  <si>
    <t>989-386-9141</t>
  </si>
  <si>
    <t>607-863-4485</t>
  </si>
  <si>
    <t>989-305-2173</t>
  </si>
  <si>
    <t>7604683370</t>
  </si>
  <si>
    <t>240-529-4000</t>
  </si>
  <si>
    <t>301-616-4381</t>
  </si>
  <si>
    <t>315-778-3605</t>
  </si>
  <si>
    <t>260-463-7586</t>
  </si>
  <si>
    <t>717-445-0281</t>
  </si>
  <si>
    <t>(606) 267-6156</t>
  </si>
  <si>
    <t>607-972-1771</t>
  </si>
  <si>
    <t>(802) 2491019</t>
  </si>
  <si>
    <t>(802) 889-5616</t>
  </si>
  <si>
    <t>(616) 540-6880</t>
  </si>
  <si>
    <t>315-575-1056</t>
  </si>
  <si>
    <t>(707) 876-3434</t>
  </si>
  <si>
    <t>518-993-4337</t>
  </si>
  <si>
    <t>707-444-3969</t>
  </si>
  <si>
    <t>732-805-0808</t>
  </si>
  <si>
    <t>315-323-1116</t>
  </si>
  <si>
    <t>(507) 493-5564</t>
  </si>
  <si>
    <t>920-484-3317</t>
  </si>
  <si>
    <t>707-876-3566</t>
  </si>
  <si>
    <t>574-596-5618</t>
  </si>
  <si>
    <t>610-438-2998</t>
  </si>
  <si>
    <t>269-587-0115</t>
  </si>
  <si>
    <t>707-601-9566</t>
  </si>
  <si>
    <t>949-645-1365</t>
  </si>
  <si>
    <t>(410)273-7300</t>
  </si>
  <si>
    <t>604-857-5781</t>
  </si>
  <si>
    <t>707-249-4749</t>
  </si>
  <si>
    <t>(314) 824-5024</t>
  </si>
  <si>
    <t>809-299-5170</t>
  </si>
  <si>
    <t>(585) 765-2658</t>
  </si>
  <si>
    <t>717-688-4592</t>
  </si>
  <si>
    <t>717-949-8319</t>
  </si>
  <si>
    <t>315-243-2059</t>
  </si>
  <si>
    <t>607-659-4009</t>
  </si>
  <si>
    <t>206-605-9529</t>
  </si>
  <si>
    <t>(610) 762-1516</t>
  </si>
  <si>
    <t>717-682-9496</t>
  </si>
  <si>
    <t>(330) 600-1977</t>
  </si>
  <si>
    <t>517-543-8110</t>
  </si>
  <si>
    <t>(717) 483-0076</t>
  </si>
  <si>
    <t>(908) 862-4866</t>
  </si>
  <si>
    <t>717-768-7269</t>
  </si>
  <si>
    <t>330-852-3892</t>
  </si>
  <si>
    <t>507-271-3751</t>
  </si>
  <si>
    <t>740-824-4882</t>
  </si>
  <si>
    <t>518-925-0453</t>
  </si>
  <si>
    <t>(608) 543-9554</t>
  </si>
  <si>
    <t>717-687-5265</t>
  </si>
  <si>
    <t>716-592-2401</t>
  </si>
  <si>
    <t>717-548-1369</t>
  </si>
  <si>
    <t>(717) 365-3380</t>
  </si>
  <si>
    <t>740-392-3187</t>
  </si>
  <si>
    <t>443-350-0599</t>
  </si>
  <si>
    <t>608-723-7863</t>
  </si>
  <si>
    <t>315-719-2050</t>
  </si>
  <si>
    <t>570-549-2168</t>
  </si>
  <si>
    <t>315-694-7951</t>
  </si>
  <si>
    <t>607-243-5907</t>
  </si>
  <si>
    <t>607-278-6848</t>
  </si>
  <si>
    <t>(937) 464-2148</t>
  </si>
  <si>
    <t>585-526-7029</t>
  </si>
  <si>
    <t>315-684-7464</t>
  </si>
  <si>
    <t>334-886-3839</t>
  </si>
  <si>
    <t>518-298-8559</t>
  </si>
  <si>
    <t>518-529-0117</t>
  </si>
  <si>
    <t>062-7499789</t>
  </si>
  <si>
    <t>517-541-2818</t>
  </si>
  <si>
    <t>315-767-2007</t>
  </si>
  <si>
    <t>(607) 868-4639</t>
  </si>
  <si>
    <t>716-698-8141</t>
  </si>
  <si>
    <t>(417)206-1323</t>
  </si>
  <si>
    <t>3157508292</t>
  </si>
  <si>
    <t>319-800-9947</t>
  </si>
  <si>
    <t>8027827991</t>
  </si>
  <si>
    <t>570-614-3701</t>
  </si>
  <si>
    <t>(607) 434-6988</t>
  </si>
  <si>
    <t>315-346-9911</t>
  </si>
  <si>
    <t>262-268-6815</t>
  </si>
  <si>
    <t>260-768-4550</t>
  </si>
  <si>
    <t>(920) 213-1776</t>
  </si>
  <si>
    <t>607-263-5674</t>
  </si>
  <si>
    <t>(570) 721-3031</t>
  </si>
  <si>
    <t>260-768-7803</t>
  </si>
  <si>
    <t>607-844-8289</t>
  </si>
  <si>
    <t>260-463-2410</t>
  </si>
  <si>
    <t>330-473-3256</t>
  </si>
  <si>
    <t>717-362-1935</t>
  </si>
  <si>
    <t>717-517-6583</t>
  </si>
  <si>
    <t>(608) 323-2331</t>
  </si>
  <si>
    <t>330-464-1430</t>
  </si>
  <si>
    <t>616-299-4921</t>
  </si>
  <si>
    <t>715-288-6985</t>
  </si>
  <si>
    <t>707-953-8962</t>
  </si>
  <si>
    <t>715-573-8023</t>
  </si>
  <si>
    <t>707-479-3324</t>
  </si>
  <si>
    <t>585-762-7412</t>
  </si>
  <si>
    <t>707-778-1007</t>
  </si>
  <si>
    <t>(802) 527-2116</t>
  </si>
  <si>
    <t>(715) 748-9816</t>
  </si>
  <si>
    <t>541-290-0699</t>
  </si>
  <si>
    <t>765-435-7231</t>
  </si>
  <si>
    <t>419-542-8936</t>
  </si>
  <si>
    <t>608-487-0742</t>
  </si>
  <si>
    <t>(717) 235-2509</t>
  </si>
  <si>
    <t>814-662-2548</t>
  </si>
  <si>
    <t>330-466-1318</t>
  </si>
  <si>
    <t>507-226-3405; 218-355-0740</t>
  </si>
  <si>
    <t>(734)416-2162</t>
  </si>
  <si>
    <t>(909)605-0000</t>
  </si>
  <si>
    <t>(715) 623-5914</t>
  </si>
  <si>
    <t>(507) 534-3660</t>
  </si>
  <si>
    <t>260-768-7491</t>
  </si>
  <si>
    <t>260-463-2336</t>
  </si>
  <si>
    <t>717-844-0720</t>
  </si>
  <si>
    <t>(330) 627-5637</t>
  </si>
  <si>
    <t>717-235-5896</t>
  </si>
  <si>
    <t>315-823-0866</t>
  </si>
  <si>
    <t>607-849-6478</t>
  </si>
  <si>
    <t>315-823-4323</t>
  </si>
  <si>
    <t>570-726-3077</t>
  </si>
  <si>
    <t>(717) 826-1655</t>
  </si>
  <si>
    <t>518-993-4852</t>
  </si>
  <si>
    <t>717-286-7485</t>
  </si>
  <si>
    <t>315-651-7335</t>
  </si>
  <si>
    <t>610-913-6757</t>
  </si>
  <si>
    <t>765-344-0027</t>
  </si>
  <si>
    <t>(717) 806-0173</t>
  </si>
  <si>
    <t>(315) 684-3714</t>
  </si>
  <si>
    <t>641-622-2960</t>
  </si>
  <si>
    <t>717-548-3098</t>
  </si>
  <si>
    <t>(315) 536-4945</t>
  </si>
  <si>
    <t>(315) 620-0605</t>
  </si>
  <si>
    <t>260-350-0404</t>
  </si>
  <si>
    <t>315-775-3864</t>
  </si>
  <si>
    <t>(315) 655-0346</t>
  </si>
  <si>
    <t>(610) 488-7673</t>
  </si>
  <si>
    <t>715-223-1471 (phone booth)</t>
  </si>
  <si>
    <t>707-786-9387</t>
  </si>
  <si>
    <t>419-512-1911</t>
  </si>
  <si>
    <t>(518) 483-4982</t>
  </si>
  <si>
    <t>518-483-0150</t>
  </si>
  <si>
    <t>707-845-8361</t>
  </si>
  <si>
    <t>715-296-5031</t>
  </si>
  <si>
    <t>330-897-0343</t>
  </si>
  <si>
    <t>(937) 509-9652</t>
  </si>
  <si>
    <t>315-549-8776</t>
  </si>
  <si>
    <t>814-470-3409</t>
  </si>
  <si>
    <t>717-442-4580</t>
  </si>
  <si>
    <t>(715) 926-4607</t>
  </si>
  <si>
    <t>(570) 547-1801</t>
  </si>
  <si>
    <t>585-554-6414</t>
  </si>
  <si>
    <t>570-524-7009</t>
  </si>
  <si>
    <t>330-674-3783</t>
  </si>
  <si>
    <t>(740) 694-1504</t>
  </si>
  <si>
    <t>607-849-9674</t>
  </si>
  <si>
    <t>607-522-5522</t>
  </si>
  <si>
    <t>570-448-5263</t>
  </si>
  <si>
    <t>574-223-6713</t>
  </si>
  <si>
    <t>260-593-0627</t>
  </si>
  <si>
    <t>207-757-7268</t>
  </si>
  <si>
    <t>315-823-0256</t>
  </si>
  <si>
    <t>260-593-2333</t>
  </si>
  <si>
    <t>715-821-5442</t>
  </si>
  <si>
    <t>315-891-3002</t>
  </si>
  <si>
    <t>724-932-3425</t>
  </si>
  <si>
    <t>717-925-9941</t>
  </si>
  <si>
    <t>717-740-0208</t>
  </si>
  <si>
    <t>(715) 758-6564</t>
  </si>
  <si>
    <t>707-795-5561</t>
  </si>
  <si>
    <t>(715) 758-8116</t>
  </si>
  <si>
    <t>315-536-8803</t>
  </si>
  <si>
    <t>717-529-6110</t>
  </si>
  <si>
    <t>(717) 687-8133 ext. 2</t>
  </si>
  <si>
    <t>330-600-0560</t>
  </si>
  <si>
    <t>585-554-3754</t>
  </si>
  <si>
    <t>330-275-7151</t>
  </si>
  <si>
    <t>518 497 3249</t>
  </si>
  <si>
    <t>765-401-0195</t>
  </si>
  <si>
    <t>(610) 286-3709</t>
  </si>
  <si>
    <t>330-893-0469</t>
  </si>
  <si>
    <t>(724) 433-6463</t>
  </si>
  <si>
    <t>(608) 943-6160</t>
  </si>
  <si>
    <t>419-883-2026</t>
  </si>
  <si>
    <t>715-257-7950</t>
  </si>
  <si>
    <t>(608) 626-2025</t>
  </si>
  <si>
    <t>570-637-1297</t>
  </si>
  <si>
    <t>717-675-3362</t>
  </si>
  <si>
    <t>(860)535-0494</t>
  </si>
  <si>
    <t>(608) 626-2130</t>
  </si>
  <si>
    <t>(419) 294-3838</t>
  </si>
  <si>
    <t>319-430-1942</t>
  </si>
  <si>
    <t>319-800-9128</t>
  </si>
  <si>
    <t>319-656-2222</t>
  </si>
  <si>
    <t>(507)456-9822</t>
  </si>
  <si>
    <t>607-263-2530</t>
  </si>
  <si>
    <t>260-593-1131</t>
  </si>
  <si>
    <t>917-796-2378</t>
  </si>
  <si>
    <t>(630)228-9029</t>
  </si>
  <si>
    <t>(415) 669-1696</t>
  </si>
  <si>
    <t>540-604-4794</t>
  </si>
  <si>
    <t>315-521-1488</t>
  </si>
  <si>
    <t>574-498-6185</t>
  </si>
  <si>
    <t>315-374-3396</t>
  </si>
  <si>
    <t>484-334-3674</t>
  </si>
  <si>
    <t>724-761-4801</t>
  </si>
  <si>
    <t>(330) 600-0452</t>
  </si>
  <si>
    <t>419-896-2171</t>
  </si>
  <si>
    <t>320-398-6370; Cell 320-266-6078</t>
  </si>
  <si>
    <t>315-825-1736</t>
  </si>
  <si>
    <t>(717) 687-6224</t>
  </si>
  <si>
    <t>(802) 763-3921</t>
  </si>
  <si>
    <t>315-658-2605</t>
  </si>
  <si>
    <t>412-741-1771</t>
  </si>
  <si>
    <t>607-869-2384</t>
  </si>
  <si>
    <t>315-487-2621</t>
  </si>
  <si>
    <t>570-374-8148</t>
  </si>
  <si>
    <t>207-779-7656</t>
  </si>
  <si>
    <t>315-825-5529</t>
  </si>
  <si>
    <t>518-568-7873</t>
  </si>
  <si>
    <t>718-729-9000 x104</t>
  </si>
  <si>
    <t>+66 86 3799103, 104</t>
  </si>
  <si>
    <t>715-977-1031</t>
  </si>
  <si>
    <t>330-521-1368</t>
  </si>
  <si>
    <t>260-593-2871</t>
  </si>
  <si>
    <t>378 885 3515</t>
  </si>
  <si>
    <t>(802) 498-8065</t>
  </si>
  <si>
    <t>415-662-2599</t>
  </si>
  <si>
    <t>7156763996</t>
  </si>
  <si>
    <t>715-986-2893</t>
  </si>
  <si>
    <t>(406) 926-1038</t>
  </si>
  <si>
    <t>585-567-2744</t>
  </si>
  <si>
    <t>419-695-9925 ext. 313</t>
  </si>
  <si>
    <t>(608) 296-4857</t>
  </si>
  <si>
    <t>260-463-3144</t>
  </si>
  <si>
    <t>518-483-4027</t>
  </si>
  <si>
    <t>315-536-0795</t>
  </si>
  <si>
    <t>715-229-9395</t>
  </si>
  <si>
    <t>717-656-3533</t>
  </si>
  <si>
    <t>651-375-3871</t>
  </si>
  <si>
    <t>608-988-0150</t>
  </si>
  <si>
    <t>(315) 339-0263</t>
  </si>
  <si>
    <t>(315) 535-7260</t>
  </si>
  <si>
    <t>724-646-0368</t>
  </si>
  <si>
    <t>(319) 646-1104</t>
  </si>
  <si>
    <t>574-642-3069</t>
  </si>
  <si>
    <t>(260) 768-7698</t>
  </si>
  <si>
    <t>(574) 349-5333</t>
  </si>
  <si>
    <t>(269) 432-4140</t>
  </si>
  <si>
    <t>260 768-7997</t>
  </si>
  <si>
    <t>260-593-2520</t>
  </si>
  <si>
    <t>315-536-2105</t>
  </si>
  <si>
    <t>(518) 358-9910</t>
  </si>
  <si>
    <t>(802) 948-2565</t>
  </si>
  <si>
    <t>518-483-7168</t>
  </si>
  <si>
    <t>260-499-4481</t>
  </si>
  <si>
    <t>(260) 768-3292 ext. 1</t>
  </si>
  <si>
    <t>717-786-3851</t>
  </si>
  <si>
    <t>518-483-2451</t>
  </si>
  <si>
    <t>260-463-3245</t>
  </si>
  <si>
    <t>315-642-5053</t>
  </si>
  <si>
    <t>607-243-8850</t>
  </si>
  <si>
    <t>330-473-5240</t>
  </si>
  <si>
    <t>(330) 893-1918</t>
  </si>
  <si>
    <t>717-933-8870</t>
  </si>
  <si>
    <t>707-725-6005</t>
  </si>
  <si>
    <t>9985847547</t>
  </si>
  <si>
    <t>585-554-6929</t>
  </si>
  <si>
    <t>607-895-6100</t>
  </si>
  <si>
    <t>260-463-3883</t>
  </si>
  <si>
    <t>419-752-8491</t>
  </si>
  <si>
    <t>260-499-4140</t>
  </si>
  <si>
    <t>330-359-5915</t>
  </si>
  <si>
    <t>(330) 674-1160</t>
  </si>
  <si>
    <t>260-499-3277</t>
  </si>
  <si>
    <t>330-275-5593</t>
  </si>
  <si>
    <t>(717) 687-7319</t>
  </si>
  <si>
    <t>570-962-3110</t>
  </si>
  <si>
    <t>717-548-4251</t>
  </si>
  <si>
    <t>765-847-1729</t>
  </si>
  <si>
    <t>(607) 764-8205</t>
  </si>
  <si>
    <t>(717) 304-1000</t>
  </si>
  <si>
    <t>260-768-4585</t>
  </si>
  <si>
    <t>(802) 748-8461</t>
  </si>
  <si>
    <t>507-523-2112</t>
  </si>
  <si>
    <t>920-388-1116</t>
  </si>
  <si>
    <t>607-553-4229</t>
  </si>
  <si>
    <t>716-331-2779</t>
  </si>
  <si>
    <t>585-270-2728</t>
  </si>
  <si>
    <t>406-642-9717</t>
  </si>
  <si>
    <t>8023804363</t>
  </si>
  <si>
    <t>(608) 304-6046</t>
  </si>
  <si>
    <t>260-609-7035</t>
  </si>
  <si>
    <t>(262) 205-0850</t>
  </si>
  <si>
    <t>(616)897-5911</t>
  </si>
  <si>
    <t>(435)635-7799</t>
  </si>
  <si>
    <t>570-746-3631</t>
  </si>
  <si>
    <t>(607) 793 1317</t>
  </si>
  <si>
    <t>208-540-0634</t>
  </si>
  <si>
    <t>518-727-1712</t>
  </si>
  <si>
    <t>937-464-7505</t>
  </si>
  <si>
    <t>717-577-8809</t>
  </si>
  <si>
    <t>254-727-9308</t>
  </si>
  <si>
    <t>717-275-5727</t>
  </si>
  <si>
    <t>559-694-0017</t>
  </si>
  <si>
    <t>315-684-3517</t>
  </si>
  <si>
    <t>260-768-4851</t>
  </si>
  <si>
    <t>717-776-4417</t>
  </si>
  <si>
    <t>707-845-5189</t>
  </si>
  <si>
    <t>(518) 358-2473</t>
  </si>
  <si>
    <t>607-243-8175</t>
  </si>
  <si>
    <t>(315) 536-4818</t>
  </si>
  <si>
    <t>(+84) 2753626319</t>
  </si>
  <si>
    <t>260-768-7453</t>
  </si>
  <si>
    <t>570-765-1916</t>
  </si>
  <si>
    <t>315-413-1668</t>
  </si>
  <si>
    <t>319-646-1145</t>
  </si>
  <si>
    <t>660-639-3447</t>
  </si>
  <si>
    <t>707-496-6372</t>
  </si>
  <si>
    <t>707-319-1556</t>
  </si>
  <si>
    <t>607-744-9939</t>
  </si>
  <si>
    <t>(651)402-4210</t>
  </si>
  <si>
    <t>715-512-0254</t>
  </si>
  <si>
    <t>717-773-1844</t>
  </si>
  <si>
    <t>(740) 622-1654</t>
  </si>
  <si>
    <t>207-948-1980</t>
  </si>
  <si>
    <t>(513) 248-9876</t>
  </si>
  <si>
    <t>715-937-0210</t>
  </si>
  <si>
    <t>630-430-2612</t>
  </si>
  <si>
    <t>260-350-9654</t>
  </si>
  <si>
    <t>717-768-0996</t>
  </si>
  <si>
    <t>(585) 735-3291</t>
  </si>
  <si>
    <t>(607) 263-5499</t>
  </si>
  <si>
    <t>937-686-3801</t>
  </si>
  <si>
    <t>989-848-5152</t>
  </si>
  <si>
    <t>724-588-1807</t>
  </si>
  <si>
    <t>585-798-4321</t>
  </si>
  <si>
    <t>518-816-9246</t>
  </si>
  <si>
    <t>260-777-7228</t>
  </si>
  <si>
    <t>234-799-0253</t>
  </si>
  <si>
    <t>(315) 684-7186</t>
  </si>
  <si>
    <t>608-482-4193</t>
  </si>
  <si>
    <t>(989) 289-4402</t>
  </si>
  <si>
    <t>989-742-7770</t>
  </si>
  <si>
    <t>(715) 456-9396</t>
  </si>
  <si>
    <t>(315) 655-4395</t>
  </si>
  <si>
    <t>(608) 897-8775</t>
  </si>
  <si>
    <t>(570) 549-4731</t>
  </si>
  <si>
    <t>(607) 264-3495</t>
  </si>
  <si>
    <t>260-593-0438</t>
  </si>
  <si>
    <t>(952) 797-6099</t>
  </si>
  <si>
    <t>(315) 536-5445</t>
  </si>
  <si>
    <t>(231) 924-4556</t>
  </si>
  <si>
    <t>(717) 734-2099</t>
  </si>
  <si>
    <t>260-593-0509</t>
  </si>
  <si>
    <t>(419) 347-8651</t>
  </si>
  <si>
    <t>260-768-7865</t>
  </si>
  <si>
    <t>574-825-4373</t>
  </si>
  <si>
    <t>315-536-6614</t>
  </si>
  <si>
    <t>518-483-2423</t>
  </si>
  <si>
    <t>(330) 738-3035</t>
  </si>
  <si>
    <t>260-593-3639</t>
  </si>
  <si>
    <t>8024772043</t>
  </si>
  <si>
    <t>315-536-0769</t>
  </si>
  <si>
    <t>330-621-4799</t>
  </si>
  <si>
    <t>(608) 855-5966</t>
  </si>
  <si>
    <t>574-825-4569</t>
  </si>
  <si>
    <t>315-767-3875</t>
  </si>
  <si>
    <t>330-763-0382</t>
  </si>
  <si>
    <t>315-867-7493</t>
  </si>
  <si>
    <t>563-920-0280 Driver Cell</t>
  </si>
  <si>
    <t>315-822-6152</t>
  </si>
  <si>
    <t>570-538-9055</t>
  </si>
  <si>
    <t>715-683-2525</t>
  </si>
  <si>
    <t>717-222-0059</t>
  </si>
  <si>
    <t>707-834-1142</t>
  </si>
  <si>
    <t>585-813-8055</t>
  </si>
  <si>
    <t>269-213-7968</t>
  </si>
  <si>
    <t>802-238-8804</t>
  </si>
  <si>
    <t>(607) 229-4493</t>
  </si>
  <si>
    <t>724-309-1990</t>
  </si>
  <si>
    <t>608-604-8767</t>
  </si>
  <si>
    <t>724-588-1247</t>
  </si>
  <si>
    <t>(315) 536-6378</t>
  </si>
  <si>
    <t>(715) 229-4491</t>
  </si>
  <si>
    <t>231-743-2885</t>
  </si>
  <si>
    <t>(330) 473-8883</t>
  </si>
  <si>
    <t>574-825-1596</t>
  </si>
  <si>
    <t>330-465-5835</t>
  </si>
  <si>
    <t>707-762-7088</t>
  </si>
  <si>
    <t>707-845-7330</t>
  </si>
  <si>
    <t>18023238623</t>
  </si>
  <si>
    <t>(802)524-2991</t>
  </si>
  <si>
    <t>8053402842</t>
  </si>
  <si>
    <t>(802) 223-1370</t>
  </si>
  <si>
    <t>507-766-4165</t>
  </si>
  <si>
    <t>347-628-1717</t>
  </si>
  <si>
    <t>717-529-6444</t>
  </si>
  <si>
    <t>315-323-7147</t>
  </si>
  <si>
    <t>(660) 299-0409</t>
  </si>
  <si>
    <t>413-412-3543</t>
  </si>
  <si>
    <t>(203) 600-5151</t>
  </si>
  <si>
    <t>315-778-3626</t>
  </si>
  <si>
    <t>920-915-0787</t>
  </si>
  <si>
    <t>707-526-4219</t>
  </si>
  <si>
    <t>717-803-1661</t>
  </si>
  <si>
    <t>330-893-2585</t>
  </si>
  <si>
    <t>(715) 223-0319</t>
  </si>
  <si>
    <t>574-773-7717</t>
  </si>
  <si>
    <t>717-442-3027</t>
  </si>
  <si>
    <t>518-709-6335</t>
  </si>
  <si>
    <t>(717) 483-9911</t>
  </si>
  <si>
    <t>260-499-3334</t>
  </si>
  <si>
    <t>740-398-9107</t>
  </si>
  <si>
    <t>518-483-0160</t>
  </si>
  <si>
    <t>(717) 786-4018</t>
  </si>
  <si>
    <t>(920) 538-6407</t>
  </si>
  <si>
    <t>66 38 799 101</t>
  </si>
  <si>
    <t>319-430-6968</t>
  </si>
  <si>
    <t>260-350-2396</t>
  </si>
  <si>
    <t>330-407-7282</t>
  </si>
  <si>
    <t>260-593-0476</t>
  </si>
  <si>
    <t>315-655-4395</t>
  </si>
  <si>
    <t>(715) 758-2155</t>
  </si>
  <si>
    <t>330-432-2194</t>
  </si>
  <si>
    <t>315-684-3621</t>
  </si>
  <si>
    <t>260-463-1527</t>
  </si>
  <si>
    <t>260-463-3329</t>
  </si>
  <si>
    <t>217-234-2208</t>
  </si>
  <si>
    <t>(619) 449-0299</t>
  </si>
  <si>
    <t>94312298633</t>
  </si>
  <si>
    <t>585-591-0551</t>
  </si>
  <si>
    <t>(330) 852-0648</t>
  </si>
  <si>
    <t>216-791-6222</t>
  </si>
  <si>
    <t>260-350-5444</t>
  </si>
  <si>
    <t>585-307-9616</t>
  </si>
  <si>
    <t>608-479-0836</t>
  </si>
  <si>
    <t>218-640-1669</t>
  </si>
  <si>
    <t>5597316210</t>
  </si>
  <si>
    <t>608-634-3760</t>
  </si>
  <si>
    <t>585-330-3267</t>
  </si>
  <si>
    <t>(608) 966-1115</t>
  </si>
  <si>
    <t>315-823-8857</t>
  </si>
  <si>
    <t>646-369-2653</t>
  </si>
  <si>
    <t>(802) 380-3862</t>
  </si>
  <si>
    <t>315-858-2728</t>
  </si>
  <si>
    <t>804-852-2464</t>
  </si>
  <si>
    <t>260-593-0102</t>
  </si>
  <si>
    <t>207-437-4719</t>
  </si>
  <si>
    <t>(802) 782-9452</t>
  </si>
  <si>
    <t>989-386-7463</t>
  </si>
  <si>
    <t>360-985-2910</t>
  </si>
  <si>
    <t>(715) 965-4163</t>
  </si>
  <si>
    <t>330-674-0820</t>
  </si>
  <si>
    <t>802-563-2413</t>
  </si>
  <si>
    <t>(330) 852-1522</t>
  </si>
  <si>
    <t>(740) 398-1788</t>
  </si>
  <si>
    <t>585-590-2054</t>
  </si>
  <si>
    <t>715-237-2455</t>
  </si>
  <si>
    <t>(802) 734-5678</t>
  </si>
  <si>
    <t>(707) 878-2010</t>
  </si>
  <si>
    <t>717-485-4927</t>
  </si>
  <si>
    <t>707-975-2702</t>
  </si>
  <si>
    <t>(802) 633-4387</t>
  </si>
  <si>
    <t>315-577-2802</t>
  </si>
  <si>
    <t>(717) 365-3427</t>
  </si>
  <si>
    <t>(540) 828-1859</t>
  </si>
  <si>
    <t>207-365-4019</t>
  </si>
  <si>
    <t>570-745-3660</t>
  </si>
  <si>
    <t>207-645-4735</t>
  </si>
  <si>
    <t>(330) 852-4681</t>
  </si>
  <si>
    <t>607-591-3223</t>
  </si>
  <si>
    <t>260-768-7571</t>
  </si>
  <si>
    <t>989-619-6599</t>
  </si>
  <si>
    <t>0973290088</t>
  </si>
  <si>
    <t>(641) 242-0330</t>
  </si>
  <si>
    <t>(715) 452-5222</t>
  </si>
  <si>
    <t>(717) 372-6079</t>
  </si>
  <si>
    <t>260-768-4667</t>
  </si>
  <si>
    <t>607-583-2313</t>
  </si>
  <si>
    <t>(315) 536-4124</t>
  </si>
  <si>
    <t>315-655-9937</t>
  </si>
  <si>
    <t>660-619-1096</t>
  </si>
  <si>
    <t>214-905-9700</t>
  </si>
  <si>
    <t>302-455-1261</t>
  </si>
  <si>
    <t>360-410-8888</t>
  </si>
  <si>
    <t>806-365-4189</t>
  </si>
  <si>
    <t>360-901-4340</t>
  </si>
  <si>
    <t>208-261-3379</t>
  </si>
  <si>
    <t>(740)657-6452</t>
  </si>
  <si>
    <t>415-491-4944</t>
  </si>
  <si>
    <t>(269) 659-5971</t>
  </si>
  <si>
    <t>319-646-1107</t>
  </si>
  <si>
    <t>(707) 762-0334</t>
  </si>
  <si>
    <t>333 826 9484</t>
  </si>
  <si>
    <t>419-752-1200</t>
  </si>
  <si>
    <t>330-695-2506</t>
  </si>
  <si>
    <t>717-944-3972</t>
  </si>
  <si>
    <t>660-341-0674</t>
  </si>
  <si>
    <t>(802) 827-3673</t>
  </si>
  <si>
    <t>(717) 354-4341</t>
  </si>
  <si>
    <t>315-252-2676</t>
  </si>
  <si>
    <t>601-748-2050</t>
  </si>
  <si>
    <t>(715) 668-5242</t>
  </si>
  <si>
    <t>707-499-6157</t>
  </si>
  <si>
    <t>(320) 874-0048</t>
  </si>
  <si>
    <t>319-238-2586</t>
  </si>
  <si>
    <t>260-463-2440</t>
  </si>
  <si>
    <t>330-674-1000</t>
  </si>
  <si>
    <t>(607) 867-4028</t>
  </si>
  <si>
    <t>814-634-0850</t>
  </si>
  <si>
    <t>518-358-2057</t>
  </si>
  <si>
    <t>574-773-0320</t>
  </si>
  <si>
    <t>570-604-2486</t>
  </si>
  <si>
    <t>574-825-3259</t>
  </si>
  <si>
    <t>814-267-3580</t>
  </si>
  <si>
    <t>(330) 674-1154</t>
  </si>
  <si>
    <t>(507) 932-6848</t>
  </si>
  <si>
    <t>(507) 932-6883</t>
  </si>
  <si>
    <t>585-526-6602</t>
  </si>
  <si>
    <t>952-449-0885</t>
  </si>
  <si>
    <t>585-765-9029</t>
  </si>
  <si>
    <t>607-849-4442</t>
  </si>
  <si>
    <t>512-415-9284</t>
  </si>
  <si>
    <t>707-217-2848</t>
  </si>
  <si>
    <t>717-288-2154</t>
  </si>
  <si>
    <t>7079541268</t>
  </si>
  <si>
    <t>(315) 921-2865</t>
  </si>
  <si>
    <t>8-709-65-36</t>
  </si>
  <si>
    <t>717-768-3115</t>
  </si>
  <si>
    <t>207-896-5494</t>
  </si>
  <si>
    <t>260-463-3368</t>
  </si>
  <si>
    <t>260-303-5030</t>
  </si>
  <si>
    <t>812-427-2326</t>
  </si>
  <si>
    <t>607-226-4900</t>
  </si>
  <si>
    <t>559-301-6670</t>
  </si>
  <si>
    <t>(85) 98828.1019</t>
  </si>
  <si>
    <t>1-360-713-6800 x3000</t>
  </si>
  <si>
    <t>845-246-0506</t>
  </si>
  <si>
    <t>610-593-2995</t>
  </si>
  <si>
    <t>231-924-2315</t>
  </si>
  <si>
    <t>260-854-2299</t>
  </si>
  <si>
    <t>231-924-9396</t>
  </si>
  <si>
    <t>(608) 606-3580</t>
  </si>
  <si>
    <t>315-651-1291</t>
  </si>
  <si>
    <t>607-293-6641</t>
  </si>
  <si>
    <t>(860)298-8350</t>
  </si>
  <si>
    <t>(802) 685-3350</t>
  </si>
  <si>
    <t>315-523-0122</t>
  </si>
  <si>
    <t>(856) 342-4800</t>
  </si>
  <si>
    <t>518-229-6689</t>
  </si>
  <si>
    <t>315-272-9201</t>
  </si>
  <si>
    <t>707-218-7588</t>
  </si>
  <si>
    <t>208-874-7734</t>
  </si>
  <si>
    <t>208-354-8024</t>
  </si>
  <si>
    <t>6084381632</t>
  </si>
  <si>
    <t>608-606-3772</t>
  </si>
  <si>
    <t>315-520-9025</t>
  </si>
  <si>
    <t>315-416-3375</t>
  </si>
  <si>
    <t>715-491-9690</t>
  </si>
  <si>
    <t>330-600-0862</t>
  </si>
  <si>
    <t>(315) 536-6692</t>
  </si>
  <si>
    <t>315-536-1120</t>
  </si>
  <si>
    <t>989-386-4189</t>
  </si>
  <si>
    <t>585-591-1149</t>
  </si>
  <si>
    <t>260-499-4949</t>
  </si>
  <si>
    <t>574-825-8800</t>
  </si>
  <si>
    <t>301-491-0202</t>
  </si>
  <si>
    <t>315-684-1194</t>
  </si>
  <si>
    <t>570-524-7700</t>
  </si>
  <si>
    <t>(330) 465-9562</t>
  </si>
  <si>
    <t>607-832-4308</t>
  </si>
  <si>
    <t>717-456-5102</t>
  </si>
  <si>
    <t>503-961-5542</t>
  </si>
  <si>
    <t>260-854-3083</t>
  </si>
  <si>
    <t>707-664-1887</t>
  </si>
  <si>
    <t>(707)762-7855</t>
  </si>
  <si>
    <t>707-876-1825</t>
  </si>
  <si>
    <t>707-733-5937</t>
  </si>
  <si>
    <t>512-525-7546</t>
  </si>
  <si>
    <t>937-464-6352</t>
  </si>
  <si>
    <t>315-717-8544</t>
  </si>
  <si>
    <t>315-626-6265</t>
  </si>
  <si>
    <t>574-642-3643</t>
  </si>
  <si>
    <t>773-784-2503</t>
  </si>
  <si>
    <t>518-775-7110</t>
  </si>
  <si>
    <t>207-314-7168</t>
  </si>
  <si>
    <t>315-858-2089</t>
  </si>
  <si>
    <t>707-334-3497</t>
  </si>
  <si>
    <t>916-941-9288</t>
  </si>
  <si>
    <t>559-302-5952</t>
  </si>
  <si>
    <t>608-330-0946</t>
  </si>
  <si>
    <t>507-342-5474</t>
  </si>
  <si>
    <t>8430811113 - 84999549768</t>
  </si>
  <si>
    <t>608-762-5683 (no ans service)</t>
  </si>
  <si>
    <t>(503) 913-3367</t>
  </si>
  <si>
    <t>717-825-1207</t>
  </si>
  <si>
    <t>269-213-7061</t>
  </si>
  <si>
    <t>608-634-3184</t>
  </si>
  <si>
    <t>715-229-2500</t>
  </si>
  <si>
    <t>5075232048</t>
  </si>
  <si>
    <t>(608) 606-3744</t>
  </si>
  <si>
    <t>717-685-1352</t>
  </si>
  <si>
    <t>66-35-440616</t>
  </si>
  <si>
    <t>707-217-8059</t>
  </si>
  <si>
    <t>(802) 433-6080</t>
  </si>
  <si>
    <t>802-323-4103</t>
  </si>
  <si>
    <t>802 988 2900</t>
  </si>
  <si>
    <t>(802) 754-2278</t>
  </si>
  <si>
    <t>(802) 291-2815</t>
  </si>
  <si>
    <t>(802) 7823865</t>
  </si>
  <si>
    <t>(802) 744-2363</t>
  </si>
  <si>
    <t>8023490847</t>
  </si>
  <si>
    <t>(802) 782-4816</t>
  </si>
  <si>
    <t>(802) 377-1786</t>
  </si>
  <si>
    <t>(802) 462-3759</t>
  </si>
  <si>
    <t>(802) 279-3276</t>
  </si>
  <si>
    <t>(805) 440-1709</t>
  </si>
  <si>
    <t>(802) 782-4028</t>
  </si>
  <si>
    <t>(802) 917-2326</t>
  </si>
  <si>
    <t>(802) 827-3762</t>
  </si>
  <si>
    <t>(802) 888-2729</t>
  </si>
  <si>
    <t>(802) 522-2586</t>
  </si>
  <si>
    <t>(802) 334-0285</t>
  </si>
  <si>
    <t>(802) 730-2810</t>
  </si>
  <si>
    <t>(802) 754-6820</t>
  </si>
  <si>
    <t>(802)868-2356</t>
  </si>
  <si>
    <t>(802) 563-2025</t>
  </si>
  <si>
    <t>(802) 839-0057</t>
  </si>
  <si>
    <t>(802) 393 9117</t>
  </si>
  <si>
    <t>(802) 397-2140</t>
  </si>
  <si>
    <t>8022797876</t>
  </si>
  <si>
    <t>(802) 598-7591</t>
  </si>
  <si>
    <t>(802) 889-3323</t>
  </si>
  <si>
    <t>(802) 479-1733</t>
  </si>
  <si>
    <t>(802) 734-8049</t>
  </si>
  <si>
    <t>(802) 472-5383</t>
  </si>
  <si>
    <t>(802) 685-3243</t>
  </si>
  <si>
    <t>(802) 244-1571</t>
  </si>
  <si>
    <t>(802) 888-4552</t>
  </si>
  <si>
    <t>(802) 644-2128</t>
  </si>
  <si>
    <t>(802) 535-7987</t>
  </si>
  <si>
    <t>(802) 685-4408</t>
  </si>
  <si>
    <t>(802) 827-9710</t>
  </si>
  <si>
    <t>(802) 249-7444</t>
  </si>
  <si>
    <t>(802) 895-4168</t>
  </si>
  <si>
    <t>(802) 457-4848, (802) 855 3546</t>
  </si>
  <si>
    <t>(802) 563-2075</t>
  </si>
  <si>
    <t>(802) 425-4528</t>
  </si>
  <si>
    <t>(802) 272-0702</t>
  </si>
  <si>
    <t>802-586-9609</t>
  </si>
  <si>
    <t>(802) 527-0611</t>
  </si>
  <si>
    <t>612-803-9087</t>
  </si>
  <si>
    <t>802-316-1123</t>
  </si>
  <si>
    <t>(802) 370-5304</t>
  </si>
  <si>
    <t>(802) 285-2272</t>
  </si>
  <si>
    <t>802-595-3607</t>
  </si>
  <si>
    <t>(802) 249-8694</t>
  </si>
  <si>
    <t>(802) 334-7305</t>
  </si>
  <si>
    <t>(802) 234-5524</t>
  </si>
  <si>
    <t>(802) 368-2484</t>
  </si>
  <si>
    <t>(802) 895-4242</t>
  </si>
  <si>
    <t>(802) 624-0777</t>
  </si>
  <si>
    <t>(802) 948-2635</t>
  </si>
  <si>
    <t>603-638-8006</t>
  </si>
  <si>
    <t>8023932733</t>
  </si>
  <si>
    <t>(802) 563-2243</t>
  </si>
  <si>
    <t>(802) 563-2156</t>
  </si>
  <si>
    <t>8026739369</t>
  </si>
  <si>
    <t>(802) 393-7328</t>
  </si>
  <si>
    <t>(802) 759-2764</t>
  </si>
  <si>
    <t>(802)249-3779</t>
  </si>
  <si>
    <t>8027592605</t>
  </si>
  <si>
    <t>(802) 868-7881</t>
  </si>
  <si>
    <t>(802) 563-2646</t>
  </si>
  <si>
    <t>802-323-2717</t>
  </si>
  <si>
    <t>(802) 309 9152</t>
  </si>
  <si>
    <t>1-802-645-1957</t>
  </si>
  <si>
    <t>(802) 881-4865</t>
  </si>
  <si>
    <t>(802) 889-3348</t>
  </si>
  <si>
    <t>(802) 766-9295</t>
  </si>
  <si>
    <t>802-989-4137</t>
  </si>
  <si>
    <t>802-343-3750</t>
  </si>
  <si>
    <t>(802) 685-2166</t>
  </si>
  <si>
    <t>000-000-0000</t>
  </si>
  <si>
    <t>(802) 673-5974</t>
  </si>
  <si>
    <t>802-730-2336</t>
  </si>
  <si>
    <t>802 673 3810</t>
  </si>
  <si>
    <t>8026263258</t>
  </si>
  <si>
    <t>(802) 235-1323</t>
  </si>
  <si>
    <t>802-673-6844</t>
  </si>
  <si>
    <t>(802) 334-2081</t>
  </si>
  <si>
    <t>(802) 744-2444</t>
  </si>
  <si>
    <t>(802) 827-3693</t>
  </si>
  <si>
    <t>(802) 989-1232</t>
  </si>
  <si>
    <t>(802) 730-7915</t>
  </si>
  <si>
    <t>(802) 744-4055</t>
  </si>
  <si>
    <t>802-371-7704</t>
  </si>
  <si>
    <t>(319) 653-6541</t>
  </si>
  <si>
    <t>719-393-2983</t>
  </si>
  <si>
    <t>0770-696126/696727</t>
  </si>
  <si>
    <t>0281 634333</t>
  </si>
  <si>
    <t>021-54331467</t>
  </si>
  <si>
    <t>+62 271641277</t>
  </si>
  <si>
    <t>+62 21 55792188</t>
  </si>
  <si>
    <t>(+62-721) 31271, 31541</t>
  </si>
  <si>
    <t>863-688-1188</t>
  </si>
  <si>
    <t>770-995-0073</t>
  </si>
  <si>
    <t>315-294-0733</t>
  </si>
  <si>
    <t>717-275-3001</t>
  </si>
  <si>
    <t>269-467-4359</t>
  </si>
  <si>
    <t>832-382-0250</t>
  </si>
  <si>
    <t>(802) 388-7802</t>
  </si>
  <si>
    <t>201-893-0142</t>
  </si>
  <si>
    <t>585-526-5633</t>
  </si>
  <si>
    <t>608-825-0168</t>
  </si>
  <si>
    <t>585-557-1837</t>
  </si>
  <si>
    <t>707-845-4623</t>
  </si>
  <si>
    <t>(641) 472-8554</t>
  </si>
  <si>
    <t>717-786-0568</t>
  </si>
  <si>
    <t>717-201-0825</t>
  </si>
  <si>
    <t>207-547-3814</t>
  </si>
  <si>
    <t>315-536-7964</t>
  </si>
  <si>
    <t>315-536-4078</t>
  </si>
  <si>
    <t>925-401-7480</t>
  </si>
  <si>
    <t>(608) 426-1388</t>
  </si>
  <si>
    <t>(802) 744-2417</t>
  </si>
  <si>
    <t>315-865-5757</t>
  </si>
  <si>
    <t>607-226-9077</t>
  </si>
  <si>
    <t>518-483-4760</t>
  </si>
  <si>
    <t>574-825-5858</t>
  </si>
  <si>
    <t>518-483-4635</t>
  </si>
  <si>
    <t>607-967-4838</t>
  </si>
  <si>
    <t>707-823-8250</t>
  </si>
  <si>
    <t>(336) 449-4888</t>
  </si>
  <si>
    <t>707-496-9066</t>
  </si>
  <si>
    <t>301-302-5197</t>
  </si>
  <si>
    <t>607-227-4650</t>
  </si>
  <si>
    <t>(304) 497-3529</t>
  </si>
  <si>
    <t>806-965-2447</t>
  </si>
  <si>
    <t>707-599-8015</t>
  </si>
  <si>
    <t>574-892-5508</t>
  </si>
  <si>
    <t>518-529-7470</t>
  </si>
  <si>
    <t>765-597-2003</t>
  </si>
  <si>
    <t>(715) 223-2874</t>
  </si>
  <si>
    <t>(320) 693-7211</t>
  </si>
  <si>
    <t>(562)927-5511</t>
  </si>
  <si>
    <t>315-858-0599</t>
  </si>
  <si>
    <t>443-490-7569</t>
  </si>
  <si>
    <t>(608) 632-9425</t>
  </si>
  <si>
    <t>(605) 432-4470</t>
  </si>
  <si>
    <t>(814) 289-5807</t>
  </si>
  <si>
    <t>612-501-4004</t>
  </si>
  <si>
    <t>(608) 904-5700</t>
  </si>
  <si>
    <t>419-895-1232</t>
  </si>
  <si>
    <t>607-243-9687</t>
  </si>
  <si>
    <t>260-593-2342</t>
  </si>
  <si>
    <t>631-804-8237</t>
  </si>
  <si>
    <t>207-564-0563</t>
  </si>
  <si>
    <t>717-823-3412</t>
  </si>
  <si>
    <t>315-708-2454</t>
  </si>
  <si>
    <t>(802) 735-5895</t>
  </si>
  <si>
    <t>641-985-2494</t>
  </si>
  <si>
    <t>920-948-5306</t>
  </si>
  <si>
    <t>(309) 737-9379</t>
  </si>
  <si>
    <t>607-522-7733</t>
  </si>
  <si>
    <t>315-858-0542</t>
  </si>
  <si>
    <t>315-322-5466</t>
  </si>
  <si>
    <t>(715) 456-0849</t>
  </si>
  <si>
    <t>(802) 765-4180</t>
  </si>
  <si>
    <t>315-276-6950</t>
  </si>
  <si>
    <t>303-308-8066</t>
  </si>
  <si>
    <t>207-522-7757</t>
  </si>
  <si>
    <t>315-899-8907</t>
  </si>
  <si>
    <t>812-427-3411</t>
  </si>
  <si>
    <t>(802) 371-5098</t>
  </si>
  <si>
    <t>(315) 697-2588</t>
  </si>
  <si>
    <t>260-585-2345</t>
  </si>
  <si>
    <t>(419) 678-2951</t>
  </si>
  <si>
    <t>9093627658</t>
  </si>
  <si>
    <t>814-443-4834</t>
  </si>
  <si>
    <t>989-423-4178</t>
  </si>
  <si>
    <t>717-875-2635</t>
  </si>
  <si>
    <t>574-274-2454</t>
  </si>
  <si>
    <t>315-854-0743</t>
  </si>
  <si>
    <t>330-600-4995</t>
  </si>
  <si>
    <t>607-659-3261</t>
  </si>
  <si>
    <t>570-837-1260</t>
  </si>
  <si>
    <t>585-554-3906</t>
  </si>
  <si>
    <t>7074651535</t>
  </si>
  <si>
    <t>404-954-7624</t>
  </si>
  <si>
    <t>989-975-1246</t>
  </si>
  <si>
    <t>330-695-2151</t>
  </si>
  <si>
    <t>419-336-6279</t>
  </si>
  <si>
    <t>518-260-0883</t>
  </si>
  <si>
    <t>301-739-1206</t>
  </si>
  <si>
    <t>(847) 322-0549</t>
  </si>
  <si>
    <t>607-538-9535</t>
  </si>
  <si>
    <t>260-593-0377</t>
  </si>
  <si>
    <t>(715) 257-1399</t>
  </si>
  <si>
    <t>315-375-4491</t>
  </si>
  <si>
    <t>(717) 442-1166</t>
  </si>
  <si>
    <t>(607) 869-2030</t>
  </si>
  <si>
    <t>717-687-9522</t>
  </si>
  <si>
    <t>260-593-9141</t>
  </si>
  <si>
    <t>717-719-1667</t>
  </si>
  <si>
    <t>717-656-3371</t>
  </si>
  <si>
    <t>(605) 467-3889</t>
  </si>
  <si>
    <t>814-321-4715</t>
  </si>
  <si>
    <t>610-273-7876</t>
  </si>
  <si>
    <t>(717) 299-6230</t>
  </si>
  <si>
    <t>(717) 768-7341</t>
  </si>
  <si>
    <t>717-475-7256</t>
  </si>
  <si>
    <t>518-993-5063</t>
  </si>
  <si>
    <t>518-483-2638</t>
  </si>
  <si>
    <t>717-768-7925</t>
  </si>
  <si>
    <t>724-588-7031</t>
  </si>
  <si>
    <t>717-686-6176</t>
  </si>
  <si>
    <t>717-405-2732</t>
  </si>
  <si>
    <t>518-650-4423</t>
  </si>
  <si>
    <t>765-597-2332</t>
  </si>
  <si>
    <t>(717) 529-0000</t>
  </si>
  <si>
    <t>(330) 600-0098</t>
  </si>
  <si>
    <t>315-408-2485</t>
  </si>
  <si>
    <t>260-243-3838</t>
  </si>
  <si>
    <t>(267) 337-5416</t>
  </si>
  <si>
    <t>207-474-5745</t>
  </si>
  <si>
    <t>941-914-6222</t>
  </si>
  <si>
    <t>707-786-9240</t>
  </si>
  <si>
    <t>603-631-4423 (Bruce)</t>
  </si>
  <si>
    <t>717-768-8487</t>
  </si>
  <si>
    <t>315-536-8535</t>
  </si>
  <si>
    <t>607-223-4427</t>
  </si>
  <si>
    <t>(937) 386-1712</t>
  </si>
  <si>
    <t>607-243-3785</t>
  </si>
  <si>
    <t>607-638-8091</t>
  </si>
  <si>
    <t>315-684-7096</t>
  </si>
  <si>
    <t>320-212-7327</t>
  </si>
  <si>
    <t>707-496-3428</t>
  </si>
  <si>
    <t>315-393-4702</t>
  </si>
  <si>
    <t>(512) 730-1105</t>
  </si>
  <si>
    <t>610-935-1949</t>
  </si>
  <si>
    <t>802-999-0025</t>
  </si>
  <si>
    <t>765-344-0079</t>
  </si>
  <si>
    <t>715-470-1941</t>
  </si>
  <si>
    <t>207-549-0011</t>
  </si>
  <si>
    <t>518-859-6034</t>
  </si>
  <si>
    <t>(540) 879-2446</t>
  </si>
  <si>
    <t>608-558-4616</t>
  </si>
  <si>
    <t>607-746-2328</t>
  </si>
  <si>
    <t>301-712-7487</t>
  </si>
  <si>
    <t>00971 50567 6651</t>
  </si>
  <si>
    <t>802-522-8798</t>
  </si>
  <si>
    <t>(707) 775-8755</t>
  </si>
  <si>
    <t>530-624-3631</t>
  </si>
  <si>
    <t>207-491-5225</t>
  </si>
  <si>
    <t>0117389375</t>
  </si>
  <si>
    <t>(231) 824-3059</t>
  </si>
  <si>
    <t>(330) 567-2355</t>
  </si>
  <si>
    <t>518-481-0220</t>
  </si>
  <si>
    <t>717-862-3597</t>
  </si>
  <si>
    <t>(607) 264-3675</t>
  </si>
  <si>
    <t>315-804-4849</t>
  </si>
  <si>
    <t>607-857-0922</t>
  </si>
  <si>
    <t>319-321-7751</t>
  </si>
  <si>
    <t>917-324-7933</t>
  </si>
  <si>
    <t>253-478-5944</t>
  </si>
  <si>
    <t>320-232-5244</t>
  </si>
  <si>
    <t>518-993-2997</t>
  </si>
  <si>
    <t>330-447-4261</t>
  </si>
  <si>
    <t>716-783-4548</t>
  </si>
  <si>
    <t>415-699-8836</t>
  </si>
  <si>
    <t>701 595 2666</t>
  </si>
  <si>
    <t>315-536-6962</t>
  </si>
  <si>
    <t>(610) 678-7629</t>
  </si>
  <si>
    <t>419-883-2129</t>
  </si>
  <si>
    <t>717-582-2768</t>
  </si>
  <si>
    <t>315-697-9143</t>
  </si>
  <si>
    <t>(641) 209-2209</t>
  </si>
  <si>
    <t>607-273-0683</t>
  </si>
  <si>
    <t>(610) 593-5965</t>
  </si>
  <si>
    <t>207-652-2375</t>
  </si>
  <si>
    <t>770-310-2730</t>
  </si>
  <si>
    <t>(612) 868-3911</t>
  </si>
  <si>
    <t>518-481-6666</t>
  </si>
  <si>
    <t>541-210-2835</t>
  </si>
  <si>
    <t>920-387-5090</t>
  </si>
  <si>
    <t>(814) 634-0395</t>
  </si>
  <si>
    <t>570-725-2451</t>
  </si>
  <si>
    <t>(717) 481-3324</t>
  </si>
  <si>
    <t>260-593-0333</t>
  </si>
  <si>
    <t>(330) 669-2366</t>
  </si>
  <si>
    <t>(715) 662-5053</t>
  </si>
  <si>
    <t>315-697-9589</t>
  </si>
  <si>
    <t>315-684-3228</t>
  </si>
  <si>
    <t>(641) 722-3279</t>
  </si>
  <si>
    <t>(570) 547-2659</t>
  </si>
  <si>
    <t>717-406-7040</t>
  </si>
  <si>
    <t>260-768-4815</t>
  </si>
  <si>
    <t>574-534-0455</t>
  </si>
  <si>
    <t>(574) 642-0223</t>
  </si>
  <si>
    <t>330-600-8899</t>
  </si>
  <si>
    <t>518-949-6365</t>
  </si>
  <si>
    <t>(330) 621-3515</t>
  </si>
  <si>
    <t>315-837-4145</t>
  </si>
  <si>
    <t>315-347-4604 (Neighbor's Phone)</t>
  </si>
  <si>
    <t>315-536-2319</t>
  </si>
  <si>
    <t>582-689-5241</t>
  </si>
  <si>
    <t>707-882-2051</t>
  </si>
  <si>
    <t>(330) 674-5103</t>
  </si>
  <si>
    <t>717-847-8488</t>
  </si>
  <si>
    <t>516-662-1169</t>
  </si>
  <si>
    <t>+82-042-628-0725</t>
  </si>
  <si>
    <t>+82-61-273-6750</t>
  </si>
  <si>
    <t>845-337-0371</t>
  </si>
  <si>
    <t>607 547-8686</t>
  </si>
  <si>
    <t>585-562-2332 (Phone booth)</t>
  </si>
  <si>
    <t>(209)450-6443</t>
  </si>
  <si>
    <t>(320)763-9820</t>
  </si>
  <si>
    <t>315-823-4969</t>
  </si>
  <si>
    <t>260-768-9133</t>
  </si>
  <si>
    <t>206-390-2977</t>
  </si>
  <si>
    <t>607-334-5339 X 104</t>
  </si>
  <si>
    <t>315-823-0687</t>
  </si>
  <si>
    <t>6087928230</t>
  </si>
  <si>
    <t>888-897-2114</t>
  </si>
  <si>
    <t>209-707-6531</t>
  </si>
  <si>
    <t>208-221-6630</t>
  </si>
  <si>
    <t>920-590-2945</t>
  </si>
  <si>
    <t>806-665-5225</t>
  </si>
  <si>
    <t>608-863-1625</t>
  </si>
  <si>
    <t>(717) 362-3579</t>
  </si>
  <si>
    <t>15 99847-6524</t>
  </si>
  <si>
    <t>847-487-1011</t>
  </si>
  <si>
    <t>(802) 247-3979</t>
  </si>
  <si>
    <t>507-429-4888</t>
  </si>
  <si>
    <t>607-263-5774</t>
  </si>
  <si>
    <t>(802) 626-3265</t>
  </si>
  <si>
    <t>(802) 877-0038</t>
  </si>
  <si>
    <t>(757) 947-0517</t>
  </si>
  <si>
    <t>(815)895-6300</t>
  </si>
  <si>
    <t>574-310-3455</t>
  </si>
  <si>
    <t>303-292-1577</t>
  </si>
  <si>
    <t>817-590-9407</t>
  </si>
  <si>
    <t>8054522892</t>
  </si>
  <si>
    <t>+66 2 661 5392</t>
  </si>
  <si>
    <t>440-838-4400</t>
  </si>
  <si>
    <t>315-682-6479</t>
  </si>
  <si>
    <t>(802) 868-2131</t>
  </si>
  <si>
    <t>(802) 368-7192</t>
  </si>
  <si>
    <t>(847)631-6729</t>
  </si>
  <si>
    <t>(484) 874-4291</t>
  </si>
  <si>
    <t>518-851-2042</t>
  </si>
  <si>
    <t>518-231-3264</t>
  </si>
  <si>
    <t>607-566-3312</t>
  </si>
  <si>
    <t>207-877-1705</t>
  </si>
  <si>
    <t>406-542-7373</t>
  </si>
  <si>
    <t>435-770-9262</t>
  </si>
  <si>
    <t>413-348-9024</t>
  </si>
  <si>
    <t>(831) 235-4701</t>
  </si>
  <si>
    <t>201-233-0606</t>
  </si>
  <si>
    <t>574-892-9265</t>
  </si>
  <si>
    <t>(607) 397-4054</t>
  </si>
  <si>
    <t>716-913-1864</t>
  </si>
  <si>
    <t>315-418-5257</t>
  </si>
  <si>
    <t>+84 913879177</t>
  </si>
  <si>
    <t>315-374-0513</t>
  </si>
  <si>
    <t>315-323-1591</t>
  </si>
  <si>
    <t>620-200-1777</t>
  </si>
  <si>
    <t>315-783-8737</t>
  </si>
  <si>
    <t>641-929-3674</t>
  </si>
  <si>
    <t>920-342-8951</t>
  </si>
  <si>
    <t>330-600-2183</t>
  </si>
  <si>
    <t>(715) 654-6316</t>
  </si>
  <si>
    <t>330-473-5642</t>
  </si>
  <si>
    <t>(315) 536-4502</t>
  </si>
  <si>
    <t>607-849-3071</t>
  </si>
  <si>
    <t>608-636-6895</t>
  </si>
  <si>
    <t>585-346-0068</t>
  </si>
  <si>
    <t>(989) 261-3191</t>
  </si>
  <si>
    <t>937-464-2031</t>
  </si>
  <si>
    <t>724-718-7451</t>
  </si>
  <si>
    <t>301-616-2580</t>
  </si>
  <si>
    <t>707-786-4079</t>
  </si>
  <si>
    <t>608-316-0243</t>
  </si>
  <si>
    <t>607-345-0047</t>
  </si>
  <si>
    <t>(847)299-7993</t>
  </si>
  <si>
    <t>717-208-0173</t>
  </si>
  <si>
    <t>(626)599-3773</t>
  </si>
  <si>
    <t>317-205-7037</t>
  </si>
  <si>
    <t>608-778-5567</t>
  </si>
  <si>
    <t>(707)338-4653</t>
  </si>
  <si>
    <t>315-244-7740</t>
  </si>
  <si>
    <t>315-682-9315</t>
  </si>
  <si>
    <t>(707) 762-7952</t>
  </si>
  <si>
    <t>585-554-3097</t>
  </si>
  <si>
    <t>518-755-1502</t>
  </si>
  <si>
    <t>607-591-0562</t>
  </si>
  <si>
    <t>(707) 921-8098</t>
  </si>
  <si>
    <t>707-445-3616</t>
  </si>
  <si>
    <t>207-779-7103</t>
  </si>
  <si>
    <t>217-543-2444</t>
  </si>
  <si>
    <t>518-361-3112</t>
  </si>
  <si>
    <t>949-922-8801</t>
  </si>
  <si>
    <t>715-252-1483</t>
  </si>
  <si>
    <t>66 819136596</t>
  </si>
  <si>
    <t>(619) 335-5525</t>
  </si>
  <si>
    <t>717-776-9373</t>
  </si>
  <si>
    <t>607-345-2855</t>
  </si>
  <si>
    <t>517-420-0414</t>
  </si>
  <si>
    <t>(765) 344-4500</t>
  </si>
  <si>
    <t>315-655-5974</t>
  </si>
  <si>
    <t>607-842-6631</t>
  </si>
  <si>
    <t>207-441-4169</t>
  </si>
  <si>
    <t>315-286-0846</t>
  </si>
  <si>
    <t>607-842-6220</t>
  </si>
  <si>
    <t>(715) 218-7150</t>
  </si>
  <si>
    <t>+1 (888) 551-7403</t>
  </si>
  <si>
    <t>(323) 592 3077</t>
  </si>
  <si>
    <t>315-748-1594</t>
  </si>
  <si>
    <t>717.535.5926</t>
  </si>
  <si>
    <t>989-386-9151</t>
  </si>
  <si>
    <t>260-768-7575</t>
  </si>
  <si>
    <t>209-410-6701</t>
  </si>
  <si>
    <t>707-479-0378</t>
  </si>
  <si>
    <t>(207)-225-3231</t>
  </si>
  <si>
    <t>717-940-0054</t>
  </si>
  <si>
    <t>415-641-3500</t>
  </si>
  <si>
    <t>574-773-0090</t>
  </si>
  <si>
    <t>330-600-1530</t>
  </si>
  <si>
    <t>260-593-0575</t>
  </si>
  <si>
    <t>715-754-5329</t>
  </si>
  <si>
    <t>607-205-4598</t>
  </si>
  <si>
    <t>585-357-5111</t>
  </si>
  <si>
    <t>(260) 463-1617</t>
  </si>
  <si>
    <t>0934183180</t>
  </si>
  <si>
    <t>315-529-1508</t>
  </si>
  <si>
    <t>325-330-2922</t>
  </si>
  <si>
    <t>(802) 496-3964, 802-793-9874</t>
  </si>
  <si>
    <t>(920) 822-5112</t>
  </si>
  <si>
    <t>518-332-0158</t>
  </si>
  <si>
    <t>831-722-3851</t>
  </si>
  <si>
    <t>(315) 287-2452</t>
  </si>
  <si>
    <t>(330) 359-0184</t>
  </si>
  <si>
    <t>260-977-8963</t>
  </si>
  <si>
    <t>585-554-4286</t>
  </si>
  <si>
    <t>(260) 585-7779</t>
  </si>
  <si>
    <t>207-592-0548</t>
  </si>
  <si>
    <t>207-491-7535</t>
  </si>
  <si>
    <t>(608) 606-4430</t>
  </si>
  <si>
    <t>585-554-4468</t>
  </si>
  <si>
    <t>717-789-3140</t>
  </si>
  <si>
    <t>608-634-3181</t>
  </si>
  <si>
    <t>(417) 962-2300</t>
  </si>
  <si>
    <t>707-298-8793</t>
  </si>
  <si>
    <t>(435)586-6577</t>
  </si>
  <si>
    <t>(512)542-0505</t>
  </si>
  <si>
    <t>716-736-2491</t>
  </si>
  <si>
    <t>518-603-2857</t>
  </si>
  <si>
    <t>920-377-1713</t>
  </si>
  <si>
    <t>607-545-6577</t>
  </si>
  <si>
    <t>860-582-2292</t>
  </si>
  <si>
    <t>512-385-4711</t>
  </si>
  <si>
    <t>207-223-5525</t>
  </si>
  <si>
    <t>260-593-2383</t>
  </si>
  <si>
    <t>(802) 989-1948</t>
  </si>
  <si>
    <t>(260) 463-6325</t>
  </si>
  <si>
    <t>315-595-2875</t>
  </si>
  <si>
    <t>8024316026</t>
  </si>
  <si>
    <t>(207) 778-2452</t>
  </si>
  <si>
    <t>570-404-0065</t>
  </si>
  <si>
    <t>770-871-5287</t>
  </si>
  <si>
    <t>607-264-8158</t>
  </si>
  <si>
    <t>740-599-2650</t>
  </si>
  <si>
    <t>260-768-7312 x6</t>
  </si>
  <si>
    <t>641-664-2160</t>
  </si>
  <si>
    <t>(608) 625-2412</t>
  </si>
  <si>
    <t>570-658-7481</t>
  </si>
  <si>
    <t>(330) 852-7421</t>
  </si>
  <si>
    <t>260-593-0707</t>
  </si>
  <si>
    <t>607-965-8876</t>
  </si>
  <si>
    <t>585-610-7276</t>
  </si>
  <si>
    <t>570-541-9112</t>
  </si>
  <si>
    <t>574-892-5161</t>
  </si>
  <si>
    <t>(717) 463-2142</t>
  </si>
  <si>
    <t>585-554-6906</t>
  </si>
  <si>
    <t>608-778-0320</t>
  </si>
  <si>
    <t>(323)564-5070</t>
  </si>
  <si>
    <t>315-536-7535</t>
  </si>
  <si>
    <t>301-739-5258</t>
  </si>
  <si>
    <t>315-723-2129, 315-723-3691</t>
  </si>
  <si>
    <t>(608) 604-0481</t>
  </si>
  <si>
    <t>(715) 923-3662</t>
  </si>
  <si>
    <t>2074170052</t>
  </si>
  <si>
    <t>315-717-8089</t>
  </si>
  <si>
    <t>207-547-3647</t>
  </si>
  <si>
    <t>989-884-1967</t>
  </si>
  <si>
    <t>315-232-4326</t>
  </si>
  <si>
    <t>(330) 464-6600</t>
  </si>
  <si>
    <t>585-798-6762</t>
  </si>
  <si>
    <t>719-680-3904</t>
  </si>
  <si>
    <t>207-551-5620</t>
  </si>
  <si>
    <t>(608) 606-2211</t>
  </si>
  <si>
    <t>989-670-0409</t>
  </si>
  <si>
    <t>(270) 277-0057</t>
  </si>
  <si>
    <t>(513)417-6959</t>
  </si>
  <si>
    <t>208-475-1864</t>
  </si>
  <si>
    <t>(937) 539-0588</t>
  </si>
  <si>
    <t>952-461-3428</t>
  </si>
  <si>
    <t>Email</t>
  </si>
  <si>
    <t>raquel@100amazonia.com</t>
  </si>
  <si>
    <t>cry_1@hotmail.com</t>
  </si>
  <si>
    <t>harmonyridge@ibyfax.com</t>
  </si>
  <si>
    <t>aaronschroht@icloud.com</t>
  </si>
  <si>
    <t>awachmilkman@gmail.com</t>
  </si>
  <si>
    <t>jrobinson@abbeyspecialty.com</t>
  </si>
  <si>
    <t>burrowsrockyacresfarm@gmail.com</t>
  </si>
  <si>
    <t>adamcriniker@icloud.com</t>
  </si>
  <si>
    <t>arusweiler@twcny.rr.com</t>
  </si>
  <si>
    <t>alexsandra71012@yahoo.com</t>
  </si>
  <si>
    <t>erin.casey@adm.com</t>
  </si>
  <si>
    <t>Aeschlimannfarm@gmail.com</t>
  </si>
  <si>
    <t>renae.holmes@savencia.com</t>
  </si>
  <si>
    <t>speterson@agmotion.com</t>
  </si>
  <si>
    <t>rohit.dhawan@agrieximfze.com</t>
  </si>
  <si>
    <t>jordan.mcshane@agropur.com</t>
  </si>
  <si>
    <t>luanroldan@ahyacoco.com</t>
  </si>
  <si>
    <t>mching@brothersdesserts.com</t>
  </si>
  <si>
    <t>springcreekdairy14@gmail.com</t>
  </si>
  <si>
    <t>seedhouse@alseed.com</t>
  </si>
  <si>
    <t>rwhite@unfi.com</t>
  </si>
  <si>
    <t>timo.soeganda@albertsons.com</t>
  </si>
  <si>
    <t>albinlivestock@gmail.com</t>
  </si>
  <si>
    <t>hellermannalex@gmail.com</t>
  </si>
  <si>
    <t>stephanie@alexandrefamilyfarm.com</t>
  </si>
  <si>
    <t>bulcherbless@protonmail.com</t>
  </si>
  <si>
    <t>chamberlainvirginia@gmail.com</t>
  </si>
  <si>
    <t>lab@aafoods.com</t>
  </si>
  <si>
    <t>grtbck@yahoo.com</t>
  </si>
  <si>
    <t>wyatt@allstarcheese.com</t>
  </si>
  <si>
    <t>joel@allstarpurchasing.com</t>
  </si>
  <si>
    <t>middendorf.ann.1110@gmail.com</t>
  </si>
  <si>
    <t>alpineheritage@gmail.com</t>
  </si>
  <si>
    <t>alvin.fisher@outlook.com</t>
  </si>
  <si>
    <t>g.nathanbrown@gmail.com</t>
  </si>
  <si>
    <t>OPERACIONES@CACAOLIFE.PE</t>
  </si>
  <si>
    <t>chrism@americaninternationalfoods.com</t>
  </si>
  <si>
    <t>eschaefer@amerpastco.com</t>
  </si>
  <si>
    <t>mbejleri@morganfoods.com</t>
  </si>
  <si>
    <t>anfarms@norcell.us</t>
  </si>
  <si>
    <t>chad.stevens@boxedgreens.com</t>
  </si>
  <si>
    <t>lindsay.quick@amys.com</t>
  </si>
  <si>
    <t>andersenfeeds@centurylink.net</t>
  </si>
  <si>
    <t>naomijanderson@gmail.com</t>
  </si>
  <si>
    <t>andy.albao@cocowonder.com.ph</t>
  </si>
  <si>
    <t>andyfarms3@gmail.com</t>
  </si>
  <si>
    <t>marcelaa@lareinainc.com; lucyc@anitas-snacks.com</t>
  </si>
  <si>
    <t>kormanns@bevcomm.net</t>
  </si>
  <si>
    <t>asschlabach@norcell.us</t>
  </si>
  <si>
    <t>suntonfarms@gmail.com</t>
  </si>
  <si>
    <t>farmstead@armaghcreamery.com</t>
  </si>
  <si>
    <t>ajthicke@acegroup.cc</t>
  </si>
  <si>
    <t>anhtuan@acp.com.vn</t>
  </si>
  <si>
    <t>naratch-orn@qfca.com</t>
  </si>
  <si>
    <t>lvieira@associatedfeed.com</t>
  </si>
  <si>
    <t>trasmussen@auburndairy.com</t>
  </si>
  <si>
    <t>compliance@aodmilk.com</t>
  </si>
  <si>
    <t>info@ausorganicfeeds.com.au</t>
  </si>
  <si>
    <t>macario.pelaez@axelum.com.ph</t>
  </si>
  <si>
    <t>celine@axiomfoods.com</t>
  </si>
  <si>
    <t>sharonzimmerman14@msn.com</t>
  </si>
  <si>
    <t>gregbachman@rocketmail.com</t>
  </si>
  <si>
    <t>badgerhillfarm@aol.com</t>
  </si>
  <si>
    <t>james@sassycowcreamery.com</t>
  </si>
  <si>
    <t>baeseangus@msn.com</t>
  </si>
  <si>
    <t>baltzybear@gmail.com</t>
  </si>
  <si>
    <t>emileann@bamboojuices.com</t>
  </si>
  <si>
    <t>sdavis@baraleinc.com</t>
  </si>
  <si>
    <t>swissmeadoworganics@gmail.com</t>
  </si>
  <si>
    <t>zineddine_belhouchet@barry-callebaut.com</t>
  </si>
  <si>
    <t>adam24barth@yahoo.com</t>
  </si>
  <si>
    <t>apaz@baudererpackaging.com</t>
  </si>
  <si>
    <t>bawden@cit-tele.com</t>
  </si>
  <si>
    <t>amyjbean@gmail.com</t>
  </si>
  <si>
    <t>bearcreek601@hotmail.com</t>
  </si>
  <si>
    <t>bedtkefamilyfarms@gmail.com</t>
  </si>
  <si>
    <t>barbarabeecher@yahoo.com</t>
  </si>
  <si>
    <t>benclaerbaut@gmail.com</t>
  </si>
  <si>
    <t>bensvue@gmail.com</t>
  </si>
  <si>
    <t>phuongptb@betrimex.com.vn</t>
  </si>
  <si>
    <t>bdcowsmilk@comcast.net</t>
  </si>
  <si>
    <t>berlefarm@gmail.com</t>
  </si>
  <si>
    <t>dirvin@betterbodyfoods.com</t>
  </si>
  <si>
    <t>ccsupply@ibyfax.com</t>
  </si>
  <si>
    <t>poorfarmer1277@yahoo.com</t>
  </si>
  <si>
    <t>organic@beveragevisions.com</t>
  </si>
  <si>
    <t>rbeyeris@gmail.com</t>
  </si>
  <si>
    <t>bivalvedairy@gmail.com</t>
  </si>
  <si>
    <t>egatta@bierycheese.com</t>
  </si>
  <si>
    <t>cw@everclearvalleyfarms.com</t>
  </si>
  <si>
    <t>francis.blakeorganicfarms@gmail.com</t>
  </si>
  <si>
    <t>albert@strausmilk.com</t>
  </si>
  <si>
    <t>gblatz832@gmail.com</t>
  </si>
  <si>
    <t>alexandriaa@foodsourceinc.com</t>
  </si>
  <si>
    <t>megan@cosmicbliss.com</t>
  </si>
  <si>
    <t>tvosberg42@icloud.com</t>
  </si>
  <si>
    <t>crocco1@neo.rr.com</t>
  </si>
  <si>
    <t>boehninggroup@gmail.com</t>
  </si>
  <si>
    <t>fk6900@yahoo.com</t>
  </si>
  <si>
    <t>jenneke@windyridge.net</t>
  </si>
  <si>
    <t>booksrainbow07@hotmail.com</t>
  </si>
  <si>
    <t>townside@baldwin-telecom.net</t>
  </si>
  <si>
    <t>willievarner10@gmail.com</t>
  </si>
  <si>
    <t>bhdf81@yahoo.com</t>
  </si>
  <si>
    <t>gtbrawner@gmail.com</t>
  </si>
  <si>
    <t>mikebrazil23@gmail.com</t>
  </si>
  <si>
    <t>dillan7120@yahoo.com</t>
  </si>
  <si>
    <t>richthefarmer14@gmail.com</t>
  </si>
  <si>
    <t>moranch@ibyfax.com</t>
  </si>
  <si>
    <t>wylybj@gmail.com</t>
  </si>
  <si>
    <t>duncanacres@icloud.com</t>
  </si>
  <si>
    <t>plowboymiz79@gmail.com</t>
  </si>
  <si>
    <t>bvoelker2520@outlook.com</t>
  </si>
  <si>
    <t>brookridgefarmorganicdairy@gmail.com</t>
  </si>
  <si>
    <t>KHOLMES@BROOKSHIREBROS.COM</t>
  </si>
  <si>
    <t>bruce@borderdriveheating.com</t>
  </si>
  <si>
    <t>bread@breadofheaven.com</t>
  </si>
  <si>
    <t>alejandro@bufcreamery.com</t>
  </si>
  <si>
    <t>cecelmurr@aol.com</t>
  </si>
  <si>
    <t>esbuntz@gmail.com</t>
  </si>
  <si>
    <t>christianw3458@gmail.com</t>
  </si>
  <si>
    <t>mlewis@bbuds.com</t>
  </si>
  <si>
    <t>willardstain@gmail.com</t>
  </si>
  <si>
    <t>mjplaisted@gmail.com</t>
  </si>
  <si>
    <t>byersorganicdairyllc@outlook.com</t>
  </si>
  <si>
    <t>sethbyomfarms@gmail.com</t>
  </si>
  <si>
    <t>byomtim@gmail.com</t>
  </si>
  <si>
    <t>brbrooksfarm@gmail.com</t>
  </si>
  <si>
    <t>c.r.farm38@gmail.com</t>
  </si>
  <si>
    <t>nalin@export.cwmackie.com</t>
  </si>
  <si>
    <t>cabanissdairy@gmail.com</t>
  </si>
  <si>
    <t>leacahill@msn.com</t>
  </si>
  <si>
    <t>connie.gutierrez@cnp.com</t>
  </si>
  <si>
    <t>ghayes@calpack.com</t>
  </si>
  <si>
    <t>geirobin@aol.com</t>
  </si>
  <si>
    <t>loretta.nuite@gmail.com</t>
  </si>
  <si>
    <t>gregn@caminodepaz.net</t>
  </si>
  <si>
    <t>estherandparkerb@gmail.com</t>
  </si>
  <si>
    <t>milkcowseveryday@att.net</t>
  </si>
  <si>
    <t>27lovemoo27@gmail.com</t>
  </si>
  <si>
    <t>scarlson5495@gmail.com</t>
  </si>
  <si>
    <t>cvwade@frontier.com</t>
  </si>
  <si>
    <t>t.cartledge@icloud.com</t>
  </si>
  <si>
    <t>daria@foodguys.com</t>
  </si>
  <si>
    <t>jerri@cfspecial.com</t>
  </si>
  <si>
    <t>ctrybuskiewicz@rochester.rr.com</t>
  </si>
  <si>
    <t>marycastonguay@hotmail.com</t>
  </si>
  <si>
    <t>p.surawit@coprawater.com</t>
  </si>
  <si>
    <t>dbyrne@cedargrovecheese.com</t>
  </si>
  <si>
    <t>victoria@kgbakerysupply.com</t>
  </si>
  <si>
    <t>jeff@cv-ag.com</t>
  </si>
  <si>
    <t>nnewsom@certifiedorganicdirect.com</t>
  </si>
  <si>
    <t>bernard.annchambers@yahoo.com</t>
  </si>
  <si>
    <t>jeselgroth@hotmail.com</t>
  </si>
  <si>
    <t>ericjranck@gmail.com</t>
  </si>
  <si>
    <t>ruger66vc@gmail.com</t>
  </si>
  <si>
    <t>chasefarm2005@gmail.com</t>
  </si>
  <si>
    <t>chasehillfarm@gmail.com</t>
  </si>
  <si>
    <t>chaseholmfarm@gmail.com</t>
  </si>
  <si>
    <t>kelsey.mfarmsinc@yahoo.com</t>
  </si>
  <si>
    <t>lisa@wbcheese.com</t>
  </si>
  <si>
    <t>dheffner@csuchico.edu</t>
  </si>
  <si>
    <t>lcferndale@yahoo.com</t>
  </si>
  <si>
    <t>cloverblissfarm@gmail.com</t>
  </si>
  <si>
    <t>cks529@icloud.com</t>
  </si>
  <si>
    <t>cwboning81@gmail.com</t>
  </si>
  <si>
    <t>tom.parker@chsinc.com</t>
  </si>
  <si>
    <t>suehenry11@gmail.com</t>
  </si>
  <si>
    <t>mmartinelli@citroleogroup.com</t>
  </si>
  <si>
    <t>clairwenger@emypeople.net</t>
  </si>
  <si>
    <t>clemenschocoart@gmail.com; mjgisi@gmail.com</t>
  </si>
  <si>
    <t>clifford.hawbaker@gmail.com</t>
  </si>
  <si>
    <t>rbernisky@clofinedairy.com</t>
  </si>
  <si>
    <t>smccrest@gmail.com</t>
  </si>
  <si>
    <t>julia.lowry@cloversonoma.com</t>
  </si>
  <si>
    <t>annie.church@sysco.com</t>
  </si>
  <si>
    <t>cvfarm@icloud.com</t>
  </si>
  <si>
    <t>support@coconutcountryliving.com</t>
  </si>
  <si>
    <t>cocoplusaquarian@gmail.com</t>
  </si>
  <si>
    <t>jamie@cheesepowder.com</t>
  </si>
  <si>
    <t>joe@community-foods.com</t>
  </si>
  <si>
    <t>srk48@pitt.edu</t>
  </si>
  <si>
    <t>dena@conwayfeedinc.com</t>
  </si>
  <si>
    <t>sarahandmichaelcoppini@gmail.com</t>
  </si>
  <si>
    <t>david.luebker@corefxingredients.com</t>
  </si>
  <si>
    <t>rochafamilyfarm5@hotmail.com</t>
  </si>
  <si>
    <t>jed@cosmicapple.com</t>
  </si>
  <si>
    <t>tillotson228@gmail.com</t>
  </si>
  <si>
    <t>steve@tennes.com</t>
  </si>
  <si>
    <t>jgoldsmith@cowgirlcreamery.com</t>
  </si>
  <si>
    <t>jenny@coyotecreekfarm.com</t>
  </si>
  <si>
    <t>harky1@empireaccess.net</t>
  </si>
  <si>
    <t>kcg999@msn.com</t>
  </si>
  <si>
    <t>nlvi2002@yahoo.com</t>
  </si>
  <si>
    <t>deere5010@hotmail.com</t>
  </si>
  <si>
    <t>foodsafetyteam@creationgardens.com</t>
  </si>
  <si>
    <t>cbdfarm@gmail.com</t>
  </si>
  <si>
    <t>squinton@crestfoods.com</t>
  </si>
  <si>
    <t>dpoldick@yahoo.com</t>
  </si>
  <si>
    <t>mike.crotser@organicvalley.coop</t>
  </si>
  <si>
    <t>organic@crossislandfarms.com</t>
  </si>
  <si>
    <t>manny.leal@crushprovisions.com</t>
  </si>
  <si>
    <t>jwelch@crystalcreamery.com</t>
  </si>
  <si>
    <t>tvictorine@humboldtcreamery.com</t>
  </si>
  <si>
    <t>challiar@ccdairy.net</t>
  </si>
  <si>
    <t>newelldairy@gmail.com</t>
  </si>
  <si>
    <t>phil@customfeedservice.com</t>
  </si>
  <si>
    <t>cvbungapalm@gmail.com</t>
  </si>
  <si>
    <t>dbhillf@yahoo.com</t>
  </si>
  <si>
    <t>tamara@dailydriver.com</t>
  </si>
  <si>
    <t>jescobar@greenleafsf.com</t>
  </si>
  <si>
    <t>svosseler.dfs@gmail.com</t>
  </si>
  <si>
    <t>windeckerfarm@gmail.com</t>
  </si>
  <si>
    <t>pmlaskowski@mwt.net</t>
  </si>
  <si>
    <t>dandafarms@yahoo.com</t>
  </si>
  <si>
    <t>hwengerd@hlbc.com</t>
  </si>
  <si>
    <t>joyce12141@yahoo.com</t>
  </si>
  <si>
    <t>dwb@abcmailbox.net</t>
  </si>
  <si>
    <t>dcasler525@gmail.com</t>
  </si>
  <si>
    <t>mjackson@1791.com</t>
  </si>
  <si>
    <t>sarah.markowski@danone.com</t>
  </si>
  <si>
    <t>janie@1836farms.com</t>
  </si>
  <si>
    <t>bvr12101@gmail.com</t>
  </si>
  <si>
    <t>eby2013@norcell.us</t>
  </si>
  <si>
    <t>dkdndairy@gmail.com</t>
  </si>
  <si>
    <t>darron.kennedy67@yahoo.com</t>
  </si>
  <si>
    <t>germann@tds.net</t>
  </si>
  <si>
    <t>caseihcummins84@gmail.com</t>
  </si>
  <si>
    <t>davidfazzio53@gmail.com</t>
  </si>
  <si>
    <t>daveandamy@embarqmail.com</t>
  </si>
  <si>
    <t>shilohacresdairy@windstream.net</t>
  </si>
  <si>
    <t>davidb@daylightfoods.com</t>
  </si>
  <si>
    <t>deferelen@gmail.com</t>
  </si>
  <si>
    <t>pndeelstra@hotmail.com</t>
  </si>
  <si>
    <t>sbhavlik@yahoo.com</t>
  </si>
  <si>
    <t>northarm5@frontiernet.net</t>
  </si>
  <si>
    <t>dario@cocoone.net</t>
  </si>
  <si>
    <t>ddekamdairy@gmail.com</t>
  </si>
  <si>
    <t>jdelbiaggio5@yahoo.com</t>
  </si>
  <si>
    <t>gademick@yahoo.com</t>
  </si>
  <si>
    <t>zendifarms@aol.com</t>
  </si>
  <si>
    <t>bourgetfarms@gmail.com</t>
  </si>
  <si>
    <t>ginnyhatfield87@gmail.com</t>
  </si>
  <si>
    <t>derrydalefarm@gmail.com</t>
  </si>
  <si>
    <t>ajdeutsch@gmail.com</t>
  </si>
  <si>
    <t>billie@ponderosadairy.com</t>
  </si>
  <si>
    <t>dharmalea@gmail.com</t>
  </si>
  <si>
    <t>diamondr100@gmail.com</t>
  </si>
  <si>
    <t>dave.l.renner@gmail.com</t>
  </si>
  <si>
    <t>kdiamondw@aol.com</t>
  </si>
  <si>
    <t>phil@diamondbackacres.com</t>
  </si>
  <si>
    <t>dooverdairy@gmail.com</t>
  </si>
  <si>
    <t>ddolan1122@gmail.com</t>
  </si>
  <si>
    <t>jens4x4@comcast.net</t>
  </si>
  <si>
    <t>fandfrace@gmail.com</t>
  </si>
  <si>
    <t>krisanibas@yahoo.com</t>
  </si>
  <si>
    <t>dpdairy@aol.com</t>
  </si>
  <si>
    <t>bdschmidt@albanytel.com</t>
  </si>
  <si>
    <t>dorinsmal@yahoo.com</t>
  </si>
  <si>
    <t>dottibrothers@yahoo.com</t>
  </si>
  <si>
    <t>abby@dedairy.com</t>
  </si>
  <si>
    <t>doubleldairy2023@gmail.com</t>
  </si>
  <si>
    <t>doublemdairyllc@gmail.com</t>
  </si>
  <si>
    <t>dmorse1962@gmail.com</t>
  </si>
  <si>
    <t>jackdownd@cadoicecream.com</t>
  </si>
  <si>
    <t>drakesviewdairy@gmail.com</t>
  </si>
  <si>
    <t>diana@dreamfarm.biz</t>
  </si>
  <si>
    <t>fhc@cocojune.co</t>
  </si>
  <si>
    <t>duff.farms@yahoo.com</t>
  </si>
  <si>
    <t>cherry@dunhillcorporation.com</t>
  </si>
  <si>
    <t>nnovitski@dutchamerican.us</t>
  </si>
  <si>
    <t>jonathanmiedema@gmail.com</t>
  </si>
  <si>
    <t>sassyjade1960@gmail.com</t>
  </si>
  <si>
    <t>michael@etherealconfections.com</t>
  </si>
  <si>
    <t>doubleeagledairy@outlook.com</t>
  </si>
  <si>
    <t>darlbrann@vahoo.com</t>
  </si>
  <si>
    <t>pboncelet@espllc.us</t>
  </si>
  <si>
    <t>heman@earthlygourmet.com</t>
  </si>
  <si>
    <t>corakeener@smithfoods.com</t>
  </si>
  <si>
    <t>echolakefarms@gmail.com</t>
  </si>
  <si>
    <t>michael.eckardt@frontier.com</t>
  </si>
  <si>
    <t>jtempleton@edenfoods.com</t>
  </si>
  <si>
    <t>emilysmith@edenvalleycreamery.com</t>
  </si>
  <si>
    <t>eightmilecreekfarm@gmail.com</t>
  </si>
  <si>
    <t>efm3097@hotmail.com</t>
  </si>
  <si>
    <t>elberthoffman@gmail.com</t>
  </si>
  <si>
    <t>farmsupply@mailprint.net</t>
  </si>
  <si>
    <t>lesliez@teamaginc.com</t>
  </si>
  <si>
    <t>ejzimmerman@norcell.us</t>
  </si>
  <si>
    <t>dmparr@mwt.net</t>
  </si>
  <si>
    <t>sarahatch1980@gmail.com</t>
  </si>
  <si>
    <t>jpenfold@modestomilling.com</t>
  </si>
  <si>
    <t>info@epdairy.com</t>
  </si>
  <si>
    <t>tcaspersen@equalexchange.coop</t>
  </si>
  <si>
    <t>ej.nick@yahoo.com</t>
  </si>
  <si>
    <t>portwoodacres@gmail.com</t>
  </si>
  <si>
    <t>paulaubertine@gmail.com</t>
  </si>
  <si>
    <t>regulatory@everfreshfruit.com</t>
  </si>
  <si>
    <t>corby@hiddenacresjerseys.com</t>
  </si>
  <si>
    <t>abdul@expodmcc.com</t>
  </si>
  <si>
    <t>amacias@fagundesdairy.com</t>
  </si>
  <si>
    <t>fairhillfarms@gmail.com</t>
  </si>
  <si>
    <t>faithfulventurefarm@gmail.com</t>
  </si>
  <si>
    <t>falfa-divide@juno.com</t>
  </si>
  <si>
    <t>liam@familyfarmsteaddairy.com</t>
  </si>
  <si>
    <t>george@fantisfoods.com</t>
  </si>
  <si>
    <t>lavina@farwestdistributors.com</t>
  </si>
  <si>
    <t>adriana@farmfreshcarolinas.com</t>
  </si>
  <si>
    <t>emily.bates@opengatesgroup.com</t>
  </si>
  <si>
    <t>arthur.meulenberg@yahoo.com</t>
  </si>
  <si>
    <t>rodrigohpsa@gmail.com</t>
  </si>
  <si>
    <t>fehringerfeeds@gmail.com</t>
  </si>
  <si>
    <t>qa@felbro.com</t>
  </si>
  <si>
    <t>fernvalleefarms@aol.com</t>
  </si>
  <si>
    <t>darinferreira60@gmail.com</t>
  </si>
  <si>
    <t>atokad09@yahoo.com</t>
  </si>
  <si>
    <t>corinne.agins@dsm-firmenich.com</t>
  </si>
  <si>
    <t>flaig_mx@hotmail.com</t>
  </si>
  <si>
    <t>marie_anzalone@mccormick.com</t>
  </si>
  <si>
    <t>jeradfleming52@gmail.com</t>
  </si>
  <si>
    <t>kellyb@petersoncheese.com</t>
  </si>
  <si>
    <t>jvonschnase@fona.com</t>
  </si>
  <si>
    <t>stevefonder@yahoo.com</t>
  </si>
  <si>
    <t>rob@foragerproject.com</t>
  </si>
  <si>
    <t>firefighterengine28@yahoo.com</t>
  </si>
  <si>
    <t>siennaf@aol.com</t>
  </si>
  <si>
    <t>jjford07@frontiernet.net</t>
  </si>
  <si>
    <t>robertkircherfg@gmail.com</t>
  </si>
  <si>
    <t>compliance@forevercheese.com</t>
  </si>
  <si>
    <t>admlasdoshermanas@gmail.com</t>
  </si>
  <si>
    <t>jessicab@fsproduce.com</t>
  </si>
  <si>
    <t>berfinne.requierme@franklinbaker.ph</t>
  </si>
  <si>
    <t>conniefrasier@gmail.com</t>
  </si>
  <si>
    <t>fredhartzler@gmail.com</t>
  </si>
  <si>
    <t>freshbreezeorganicdairy@gmail.com</t>
  </si>
  <si>
    <t>hernan.martinez@freshpoint.com</t>
  </si>
  <si>
    <t>jamie.hays@freshpoint.com</t>
  </si>
  <si>
    <t>robert.sereno@freshpoint.com</t>
  </si>
  <si>
    <t>daniella.tejeda@freshpoint.com</t>
  </si>
  <si>
    <t>dominic.liu@freshpoint.com</t>
  </si>
  <si>
    <t>frisianfarm@outlook.com</t>
  </si>
  <si>
    <t>customercare@frontiercoop.com</t>
  </si>
  <si>
    <t>andrew@fullbellyfarm.com</t>
  </si>
  <si>
    <t>adam.gorski@mcness.com</t>
  </si>
  <si>
    <t>info@vegankingz.com</t>
  </si>
  <si>
    <t>gamlakedairy@gmail.com</t>
  </si>
  <si>
    <t>thorpesfarm2022@gmail.com</t>
  </si>
  <si>
    <t>gearing_dj@yahoo.com</t>
  </si>
  <si>
    <t>hannah.vanalst@genmills.com</t>
  </si>
  <si>
    <t>bianchi.ap@outlook.com</t>
  </si>
  <si>
    <t>kspaletta22@gmail.com</t>
  </si>
  <si>
    <t>ghiddy@frontiernet.net</t>
  </si>
  <si>
    <t>sales@gibbsvillecheese.com</t>
  </si>
  <si>
    <t>alyssa.dulin@gimmeseaweed.com</t>
  </si>
  <si>
    <t>alonso@glaserorganicfarms.com</t>
  </si>
  <si>
    <t>kmorales@gff-mfg.com</t>
  </si>
  <si>
    <t>wurzel3020@gmail.com</t>
  </si>
  <si>
    <t>derek@goodculture.com</t>
  </si>
  <si>
    <t>jeremy.obritsch@good2grow.com</t>
  </si>
  <si>
    <t>nathan@goodellfamilyfarm.com</t>
  </si>
  <si>
    <t>pernille@goodforyou.llc</t>
  </si>
  <si>
    <t>gracepondeatlocal@gmail.com</t>
  </si>
  <si>
    <t>matt@grahamsorganics.com</t>
  </si>
  <si>
    <t>mirdairy@gmail.com</t>
  </si>
  <si>
    <t>dlafond@grangecoop.com</t>
  </si>
  <si>
    <t>mike@rarebreedcoffee.com</t>
  </si>
  <si>
    <t>grassfieldorganics@icloud.com</t>
  </si>
  <si>
    <t>btillots@rochester.rr.com</t>
  </si>
  <si>
    <t>grasswayfarmia@gmail.com</t>
  </si>
  <si>
    <t>ckfarm71@gmail.com</t>
  </si>
  <si>
    <t>tjshanson@hotmail.com</t>
  </si>
  <si>
    <t>objgreen@icloud.com</t>
  </si>
  <si>
    <t>lisa@greengirlbakeshop.com</t>
  </si>
  <si>
    <t>donaldhillriegel@gmail.com</t>
  </si>
  <si>
    <t>greenpasturesfarm@ibyfax.com</t>
  </si>
  <si>
    <t>isaii@juno.com</t>
  </si>
  <si>
    <t>gruenenfelderjason@yahoo.com</t>
  </si>
  <si>
    <t>83thomasgreg@gmail.com</t>
  </si>
  <si>
    <t>eric@thegreybarnandfarm.com</t>
  </si>
  <si>
    <t>grimdairy746@outlook.com</t>
  </si>
  <si>
    <t>rhl@guaicaramo.com</t>
  </si>
  <si>
    <t>abudhiraja@guittard.com</t>
  </si>
  <si>
    <t>brian.randall@gwenynhill.com</t>
  </si>
  <si>
    <t>dburrows@exceldairynutrition.com</t>
  </si>
  <si>
    <t>vanessa.dyckman@hain.com</t>
  </si>
  <si>
    <t>ronibryan@gmail.com</t>
  </si>
  <si>
    <t>edfdchief@hotmail.com</t>
  </si>
  <si>
    <t>vhhfarm@gmail.com</t>
  </si>
  <si>
    <t>hardie.claudia2@gmail.com</t>
  </si>
  <si>
    <t>ayrshiresr1@gmail.com</t>
  </si>
  <si>
    <t>hargofarms@gmail.com</t>
  </si>
  <si>
    <t>raveepat@harmlessharvest.com</t>
  </si>
  <si>
    <t>mkthart1901@yahoo.com</t>
  </si>
  <si>
    <t>harveymenn@gmail.com</t>
  </si>
  <si>
    <t>bhaugen66@hotmail.com</t>
  </si>
  <si>
    <t>brianfk13@yahoo.com</t>
  </si>
  <si>
    <t>hmhaverinen@gmail.com</t>
  </si>
  <si>
    <t>dairy@hawthornevalleyfarm.org</t>
  </si>
  <si>
    <t>hayesacres6@gmail.com</t>
  </si>
  <si>
    <t>ghays39@yahoo.com</t>
  </si>
  <si>
    <t>barb@michianafeed.farm</t>
  </si>
  <si>
    <t>DIVINE.MICHAEL@HEB.COM</t>
  </si>
  <si>
    <t>jgh@a-b-c-plus.com</t>
  </si>
  <si>
    <t>hemlockridgefarm@gmail.com</t>
  </si>
  <si>
    <t>cowsnmore@epix.net</t>
  </si>
  <si>
    <t>hwstroker@aol.com</t>
  </si>
  <si>
    <t>mary@heritageproteins.com</t>
  </si>
  <si>
    <t>hester.m.chase@gmail.com</t>
  </si>
  <si>
    <t>644307085@qq.com</t>
  </si>
  <si>
    <t>todd.j.cummings@gmail.com</t>
  </si>
  <si>
    <t>office@hvorganic.com</t>
  </si>
  <si>
    <t>ericziehm@gmail.com</t>
  </si>
  <si>
    <t>benjamin_pulsipher@hotmail.com</t>
  </si>
  <si>
    <t>matthewacanter@gmail.com</t>
  </si>
  <si>
    <t>mastergrazer72@gmail.com</t>
  </si>
  <si>
    <t>hillhighdairy@gmail.com</t>
  </si>
  <si>
    <t>hillsidedairyfarm@yahoo.com</t>
  </si>
  <si>
    <t>vanerden@gmail.com</t>
  </si>
  <si>
    <t>cnhoellerer@yahoo.com</t>
  </si>
  <si>
    <t>holgieville1@msn.com</t>
  </si>
  <si>
    <t>ronholter@comcast.net</t>
  </si>
  <si>
    <t>cva@ibyfax.com</t>
  </si>
  <si>
    <t>sales@hoskingsales.com</t>
  </si>
  <si>
    <t>aanderson@hudsonvilleicecream.com</t>
  </si>
  <si>
    <t>huftalenfarms@aol.com</t>
  </si>
  <si>
    <t>rmjersey@sonic.net</t>
  </si>
  <si>
    <t>luci@humboldtcoffee.com</t>
  </si>
  <si>
    <t>peterl@hunterwalton.com</t>
  </si>
  <si>
    <t>dhuntley2@hotmail.com</t>
  </si>
  <si>
    <t>hyview@hyviewfeeds.com</t>
  </si>
  <si>
    <t>kevin@idofeed.com</t>
  </si>
  <si>
    <t>4moody1s@gmail.com</t>
  </si>
  <si>
    <t>brian.farinha@misfitsmarket.com</t>
  </si>
  <si>
    <t>imsdairy9600@gmail.com</t>
  </si>
  <si>
    <t>shannon@independentdairy.com</t>
  </si>
  <si>
    <t>dlchupp@gmail.com</t>
  </si>
  <si>
    <t>gmregli11@gmail.com</t>
  </si>
  <si>
    <t>taylor@ingardiabros.com</t>
  </si>
  <si>
    <t>rkingersoll@yahoo.com</t>
  </si>
  <si>
    <t>organicfeed@shawbiz.ca</t>
  </si>
  <si>
    <t>rocco@integritytradingllc.com</t>
  </si>
  <si>
    <t>bbollinger@ifpc.com</t>
  </si>
  <si>
    <t>kbencosme@cisneros.com</t>
  </si>
  <si>
    <t>jmwaters59@gmail.com</t>
  </si>
  <si>
    <t>lois@islandspringorganics.com</t>
  </si>
  <si>
    <t>jpeakefarm@yahoo.com</t>
  </si>
  <si>
    <t>nickjhalama1997@gmail.com</t>
  </si>
  <si>
    <t>nathanhemmersbach8@gmail.com</t>
  </si>
  <si>
    <t>lbraunsberg@milanoscheese.com</t>
  </si>
  <si>
    <t>jjschouweiler4@gmail.com</t>
  </si>
  <si>
    <t>baackdairy@gmail.com</t>
  </si>
  <si>
    <t>moyerscountrysidekitchen@gmail.com</t>
  </si>
  <si>
    <t>yonky5312@gmail.com</t>
  </si>
  <si>
    <t>glenviewfarm1@gmail.com</t>
  </si>
  <si>
    <t>jbloome_40@live.com</t>
  </si>
  <si>
    <t>jhowe5268@gmail.com</t>
  </si>
  <si>
    <t>jlwest1522@yahoo.com</t>
  </si>
  <si>
    <t>mundtamy@yahoo.com</t>
  </si>
  <si>
    <t>rinske@workingcowsdairy.com</t>
  </si>
  <si>
    <t>nittayasuethao@gmail.com</t>
  </si>
  <si>
    <t>schellholly@yahoo.com</t>
  </si>
  <si>
    <t>jljdairy31271@gmail.com</t>
  </si>
  <si>
    <t>marty.scabarozi@jasperproducts.com</t>
  </si>
  <si>
    <t>ojcampbell@yousq.net</t>
  </si>
  <si>
    <t>jdfarms.ny@gmail.com</t>
  </si>
  <si>
    <t>ama-lurra@ama-lurra-acres.com</t>
  </si>
  <si>
    <t>ellenenslin5@gmail.com</t>
  </si>
  <si>
    <t>molly2724@yahoo.com</t>
  </si>
  <si>
    <t>r.bub@jeneilbiotech.com</t>
  </si>
  <si>
    <t>jbailey7304@gmail.com</t>
  </si>
  <si>
    <t>nennigj@yahoo.com</t>
  </si>
  <si>
    <t>jerrydelloffice@gmail.com</t>
  </si>
  <si>
    <t>tschaub@centurytel.net</t>
  </si>
  <si>
    <t>jjgasser88@gmail.com</t>
  </si>
  <si>
    <t>zookjt@gmail.com</t>
  </si>
  <si>
    <t>jm.blum@yahoo.com</t>
  </si>
  <si>
    <t>jimrieblidairy@gmail.com</t>
  </si>
  <si>
    <t>jimmydairy@gmail.com</t>
  </si>
  <si>
    <t>lspaletta@aol.com</t>
  </si>
  <si>
    <t>katwoman2@rochester.rr.com</t>
  </si>
  <si>
    <t>lmgoose@hotmail.com</t>
  </si>
  <si>
    <t>joetomandl@gmail.com</t>
  </si>
  <si>
    <t>ficherdairy@gmail.com</t>
  </si>
  <si>
    <t>hammonorganic@gmail.com</t>
  </si>
  <si>
    <t>jd15406@hotmail.com</t>
  </si>
  <si>
    <t>dattu@jogue.com</t>
  </si>
  <si>
    <t>yghfarm@yahoo.com</t>
  </si>
  <si>
    <t>mikebedtke@gmail.com</t>
  </si>
  <si>
    <t>mhwkoaks@gmail.com</t>
  </si>
  <si>
    <t>mjschwartzy69@gmail.com</t>
  </si>
  <si>
    <t>vevodak@aol.com</t>
  </si>
  <si>
    <t>laurel-johnson@hotmail.com</t>
  </si>
  <si>
    <t>johnsongrassdairy17@gmail.com</t>
  </si>
  <si>
    <t>awaltz@cc.cnyric.org</t>
  </si>
  <si>
    <t>travisjones54023@yahoo.com</t>
  </si>
  <si>
    <t>bjordan4540@gmail.com</t>
  </si>
  <si>
    <t>jcdairy@aol.com</t>
  </si>
  <si>
    <t>jseal0591@gmail.com</t>
  </si>
  <si>
    <t>wolfe614@mwt.net</t>
  </si>
  <si>
    <t>josiahmartin320@gmail.com</t>
  </si>
  <si>
    <t>danielle@bionaturae.com</t>
  </si>
  <si>
    <t>jwolfe@mwt.net</t>
  </si>
  <si>
    <t>brad.johnson@kalmbachfeeds.com</t>
  </si>
  <si>
    <t>michael.drahozal@opengatesgroup.com</t>
  </si>
  <si>
    <t>ksbauc@kalonasalesbarn.com</t>
  </si>
  <si>
    <t>pilgrimsprogress.kb@gmail.com</t>
  </si>
  <si>
    <t>inoue@kawasho-foods.com</t>
  </si>
  <si>
    <t>guyneth.outsen@kehe.com; pam.simich@kehe.com</t>
  </si>
  <si>
    <t>tjkehoe50@gmail.com</t>
  </si>
  <si>
    <t>marshallfarms@comcast.net</t>
  </si>
  <si>
    <t>kammes07@gmail.com</t>
  </si>
  <si>
    <t>kturnagefarm@yahoo.com</t>
  </si>
  <si>
    <t>bk7676@hotmail.com</t>
  </si>
  <si>
    <t>ttemples1976@gmail.com</t>
  </si>
  <si>
    <t>kennethrhorst@gmail.com</t>
  </si>
  <si>
    <t>kenrose@emypeople.net</t>
  </si>
  <si>
    <t>trbolton21@yahoo.com</t>
  </si>
  <si>
    <t>broadrunfarms6gen@gmail.com</t>
  </si>
  <si>
    <t>kevinober@ibyfax.com</t>
  </si>
  <si>
    <t>kdonnay@hotmail.com</t>
  </si>
  <si>
    <t>danpen84@gmail.com</t>
  </si>
  <si>
    <t>taylorfritz@kingsagriseeds.com</t>
  </si>
  <si>
    <t>info@coulterfarms.net</t>
  </si>
  <si>
    <t>kandmhfarm@lakevieworganicgrain.com</t>
  </si>
  <si>
    <t>travisklinkner@gmail.com</t>
  </si>
  <si>
    <t>benjamin.klinkner@outlook.com</t>
  </si>
  <si>
    <t>hkaur@komalherbals.com</t>
  </si>
  <si>
    <t>koristay1982@gmail.com</t>
  </si>
  <si>
    <t>scottkorkowski@icloud.com</t>
  </si>
  <si>
    <t>jarbogast@kreamerfeed.com</t>
  </si>
  <si>
    <t>milklover19932000@yahoo.com</t>
  </si>
  <si>
    <t>kriemhilddairy@gmail.com</t>
  </si>
  <si>
    <t>tdmof@frontier.com</t>
  </si>
  <si>
    <t>nathanr@krinos.com</t>
  </si>
  <si>
    <t>Sales6@meritfood.co.th</t>
  </si>
  <si>
    <t>springfieldjersey@gmail.com</t>
  </si>
  <si>
    <t>administracion@lactocondensed.com</t>
  </si>
  <si>
    <t>lafranchidairy@earthlink.net</t>
  </si>
  <si>
    <t>lag@tds.net</t>
  </si>
  <si>
    <t>lgosda@schumancheese.com</t>
  </si>
  <si>
    <t>cniese@lakeviewfarms.com</t>
  </si>
  <si>
    <t>jeff@lancasterfarmfresh.com</t>
  </si>
  <si>
    <t>kacasey@landolakes.com</t>
  </si>
  <si>
    <t>jslangmeierdairy1@gmail.com</t>
  </si>
  <si>
    <t>happyfarmersam@gmail.com</t>
  </si>
  <si>
    <t>finnertyfarm@gmail.com</t>
  </si>
  <si>
    <t>hemstead.just@gmail.com</t>
  </si>
  <si>
    <t>hendenjacinta@gmail.com</t>
  </si>
  <si>
    <t>leisgl@centurytel.net</t>
  </si>
  <si>
    <t>benjaminleis12@hotmail.com</t>
  </si>
  <si>
    <t>cows@frontiernet.net</t>
  </si>
  <si>
    <t>ffestoesta@leonieagricorp.com.ph</t>
  </si>
  <si>
    <t>lewisandkarenm@icloud.com</t>
  </si>
  <si>
    <t>lewistonsalesinc@embarqmail.com</t>
  </si>
  <si>
    <t>kenkinstetter@gmail.com</t>
  </si>
  <si>
    <t>larryanddenisemoore@gmail.com</t>
  </si>
  <si>
    <t>sarahs@lidestrifoods.com</t>
  </si>
  <si>
    <t>lifelinefarm@msn.com</t>
  </si>
  <si>
    <t>hannahstolpa@fidei.email</t>
  </si>
  <si>
    <t>marbru72@upwardprint.com</t>
  </si>
  <si>
    <t>woodworthfarm@gmail.com</t>
  </si>
  <si>
    <t>linnemeier53@yahoo.com</t>
  </si>
  <si>
    <t>lexis_stefani@thedelisource.com</t>
  </si>
  <si>
    <t>jlubner@litehouseinc.com</t>
  </si>
  <si>
    <t>meglich@frontiernet.net</t>
  </si>
  <si>
    <t>mdalquist89@gmail.com</t>
  </si>
  <si>
    <t>pete@livelyrun.com</t>
  </si>
  <si>
    <t>joshua@livingintentions.com</t>
  </si>
  <si>
    <t>laynekeetch@icloud.com</t>
  </si>
  <si>
    <t>disneytam89@gmail.com</t>
  </si>
  <si>
    <t>larsens.locust.farm@gmail.com</t>
  </si>
  <si>
    <t>t4seth@gmail.com</t>
  </si>
  <si>
    <t>jmccleary@lancopennland.com</t>
  </si>
  <si>
    <t>jhoffman@lonestarorganicdairy.com</t>
  </si>
  <si>
    <t>lonewillow@aol.com</t>
  </si>
  <si>
    <t>11farm@gmail.com</t>
  </si>
  <si>
    <t>lorenbru97@icloud.com</t>
  </si>
  <si>
    <t>losadairy@gmail.com</t>
  </si>
  <si>
    <t>luongquoi@luongquoi.vn</t>
  </si>
  <si>
    <t>lwdairyfarms@gmail.com</t>
  </si>
  <si>
    <t>kevin.folk@live.com</t>
  </si>
  <si>
    <t>miranda596@gmail.com</t>
  </si>
  <si>
    <t>amosbrosdairy@hotmail.com</t>
  </si>
  <si>
    <t>mkdairyllc@gmail.com</t>
  </si>
  <si>
    <t>macholl@centurytel.net</t>
  </si>
  <si>
    <t>delene45@yahoo.com</t>
  </si>
  <si>
    <t>lizzie.ekeberg@madmarkets.com</t>
  </si>
  <si>
    <t>kevin.mahalko@yahoo.com</t>
  </si>
  <si>
    <t>maleckifarm@yahoo.com</t>
  </si>
  <si>
    <t>jeff.hayes@mane.com</t>
  </si>
  <si>
    <t>maplebeeacres@gmail.com</t>
  </si>
  <si>
    <t>tim@maplehillcreamery.com; paul@maplehillcreamery.com; brianna@maplehillcreamery.com</t>
  </si>
  <si>
    <t>amit.shah@maplehillcreamery.com</t>
  </si>
  <si>
    <t>karmil@ibyfax.com</t>
  </si>
  <si>
    <t>mark.irani29@gmail.com</t>
  </si>
  <si>
    <t>petermcdonalddd@gmail.com</t>
  </si>
  <si>
    <t>yorkshire@mwt.net</t>
  </si>
  <si>
    <t>polzin.d789@hotmail.com</t>
  </si>
  <si>
    <t>mjspicher75@gmail.com</t>
  </si>
  <si>
    <t>toddh@martinmilk.com</t>
  </si>
  <si>
    <t>turnersimons@yahoo.com</t>
  </si>
  <si>
    <t>spencermason2030@gmail.com</t>
  </si>
  <si>
    <t>bomgardner8@hotmail.com</t>
  </si>
  <si>
    <t>mattboynton99@yahoo.com</t>
  </si>
  <si>
    <t>mattdebbie7800@hotmail.com</t>
  </si>
  <si>
    <t>vtfarmer7@aol.com</t>
  </si>
  <si>
    <t>bastfamilyfarm@gmail.com</t>
  </si>
  <si>
    <t>borbonusfarm@yahoo.com</t>
  </si>
  <si>
    <t>martinsmoojuice@gmail.com</t>
  </si>
  <si>
    <t>mattturner974@gmail.com</t>
  </si>
  <si>
    <t>mazzettadairy@gmail.com</t>
  </si>
  <si>
    <t>lukemccanless19@hotmail.com</t>
  </si>
  <si>
    <t>mcisaacdairy@hotmail.com</t>
  </si>
  <si>
    <t>stephanie.preston@dsm-firmenich.com</t>
  </si>
  <si>
    <t>greg@mctdairies.com</t>
  </si>
  <si>
    <t>33264knight@gmail.com</t>
  </si>
  <si>
    <t>meadowlark@ibyfax.com</t>
  </si>
  <si>
    <t>meadowsweetdairy@gmail.com</t>
  </si>
  <si>
    <t>haccp690@yahoo.com</t>
  </si>
  <si>
    <t>melissa.weyland23@gmail.com</t>
  </si>
  <si>
    <t>mellodairy@aol.com</t>
  </si>
  <si>
    <t>sales6@meritfood.co.th</t>
  </si>
  <si>
    <t>mandrmanure@gmail.com</t>
  </si>
  <si>
    <t>lauren.siegel@metaromusa.com</t>
  </si>
  <si>
    <t>metshuexporters@gmail.com</t>
  </si>
  <si>
    <t>bwest@miceli-dairy.com</t>
  </si>
  <si>
    <t>showgrassdairy@gmail.com</t>
  </si>
  <si>
    <t>rmpeterson11182@yahoo.com</t>
  </si>
  <si>
    <t>middendorf.carolyn@gmail.com</t>
  </si>
  <si>
    <t>djmidden@wcta.net</t>
  </si>
  <si>
    <t>mikemccalldairy1931@gmail.com</t>
  </si>
  <si>
    <t>msebion@mwt.net</t>
  </si>
  <si>
    <t>mike73@mwt.net</t>
  </si>
  <si>
    <t>ploomis@milkco.com</t>
  </si>
  <si>
    <t>merrymilkmama@gmail.com</t>
  </si>
  <si>
    <t>millsfarmsupply@hotmail.com</t>
  </si>
  <si>
    <t>mistybrookorganicfarm@yahoo.com</t>
  </si>
  <si>
    <t>animal_71@hotmail.com</t>
  </si>
  <si>
    <t>tommolitor@outlook.com</t>
  </si>
  <si>
    <t>moolandllc@gmail.com</t>
  </si>
  <si>
    <t>moohillfarm@verizon.net</t>
  </si>
  <si>
    <t>tmmoos@yahoo.com</t>
  </si>
  <si>
    <t>morettifamilydairy@gmail.com</t>
  </si>
  <si>
    <t>frei@tds.net</t>
  </si>
  <si>
    <t>chuck@chuckscows.com</t>
  </si>
  <si>
    <t>doniswilligar@gmail.com</t>
  </si>
  <si>
    <t>stevepbianchi@gmail.com</t>
  </si>
  <si>
    <t>sleddog@adelphia.net</t>
  </si>
  <si>
    <t>tmkfeed@outlook.com</t>
  </si>
  <si>
    <t>fliessy@yahoo.com</t>
  </si>
  <si>
    <t>lori@vinut.com.vn</t>
  </si>
  <si>
    <t>klwissell@yahoo.com</t>
  </si>
  <si>
    <t>klee@national-foods.com</t>
  </si>
  <si>
    <t>stephm@ndpc.net</t>
  </si>
  <si>
    <t>virtualmilkman@gmail.com</t>
  </si>
  <si>
    <t>dejongc@agrivisionfm.com</t>
  </si>
  <si>
    <t>nate@naturenatesllc.com</t>
  </si>
  <si>
    <t>natureridgeorganicdairy@gmail.com</t>
  </si>
  <si>
    <t>valerie@naturessungrown.com</t>
  </si>
  <si>
    <t>pasturefresheggs@gmail.com</t>
  </si>
  <si>
    <t>mcruz@alior.com</t>
  </si>
  <si>
    <t>ezrakreider@icloud.com</t>
  </si>
  <si>
    <t>taylor@nemofeed.com</t>
  </si>
  <si>
    <t>jim@newcountryorganics.com</t>
  </si>
  <si>
    <t>qa@newhopemills.com</t>
  </si>
  <si>
    <t>snewell15@yahoo.com</t>
  </si>
  <si>
    <t>dallasford95@yahoo.com</t>
  </si>
  <si>
    <t>cody@foggybottomsboys.com</t>
  </si>
  <si>
    <t>osetfarm@gmail.com</t>
  </si>
  <si>
    <t>accounting@penwoodllc.com</t>
  </si>
  <si>
    <t>noahmartin@ibyfax.com</t>
  </si>
  <si>
    <t>noahworobey@gmail.com</t>
  </si>
  <si>
    <t>pierre@norrorganic.com</t>
  </si>
  <si>
    <t>jreidy@northcentralco.com</t>
  </si>
  <si>
    <t>tripletree@frontier.net</t>
  </si>
  <si>
    <t>sakiko@nomosu.com</t>
  </si>
  <si>
    <t>dinon1952@yahoo.com</t>
  </si>
  <si>
    <t>elrosasaint34@gmail.com</t>
  </si>
  <si>
    <t>sales@oasisbih.com</t>
  </si>
  <si>
    <t>oceanviewbeef@hotmail.com</t>
  </si>
  <si>
    <t>kistlerdiane@gmail.com</t>
  </si>
  <si>
    <t>ablibanan@oleofats.com</t>
  </si>
  <si>
    <t>norskfarm@gmail.com</t>
  </si>
  <si>
    <t>dairy4you@gmail.com</t>
  </si>
  <si>
    <t>onabrook333@yahoo.com</t>
  </si>
  <si>
    <t>miguel@uponafarm.com</t>
  </si>
  <si>
    <t>comercial@onvit.com.br</t>
  </si>
  <si>
    <t>amber.everly@oregonicecream.com</t>
  </si>
  <si>
    <t>lprotter@organicnectars.com</t>
  </si>
  <si>
    <t>eweidman@organicfeedmill.com</t>
  </si>
  <si>
    <t>documents@osagefood.com</t>
  </si>
  <si>
    <t>osagemeadowfarms@gmail.com</t>
  </si>
  <si>
    <t>renrock46@aol.com</t>
  </si>
  <si>
    <t>sdaluz@osfflavors.com</t>
  </si>
  <si>
    <t>pineconelodge2@gmail.com</t>
  </si>
  <si>
    <t>3rd_party_certification_requests@campbells.com</t>
  </si>
  <si>
    <t>rosemary@painterlandsisters.com</t>
  </si>
  <si>
    <t>jkpalmer@frontiernet.net</t>
  </si>
  <si>
    <t>pwincranches@yahoo.com</t>
  </si>
  <si>
    <t>maryjane@paradisefarmorganics.com</t>
  </si>
  <si>
    <t>paradisespringsfarm@gmail.com</t>
  </si>
  <si>
    <t>pasturelandcoop@gmail.com</t>
  </si>
  <si>
    <t>mrparker@mwt.net</t>
  </si>
  <si>
    <t>donnadh85@gmail.com</t>
  </si>
  <si>
    <t>525rayann@ibyfax.com</t>
  </si>
  <si>
    <t>adankscott@gmail.com</t>
  </si>
  <si>
    <t>mapstonepeter@yahoo.com</t>
  </si>
  <si>
    <t>bethedp@nelson-tel.net</t>
  </si>
  <si>
    <t>patzerfarm@gmail.com</t>
  </si>
  <si>
    <t>mell2foryou@gmail.com</t>
  </si>
  <si>
    <t>paul.onmark@upwardprint.com</t>
  </si>
  <si>
    <t>myjan@copper.net</t>
  </si>
  <si>
    <t>peasleyfarm@gmail.com</t>
  </si>
  <si>
    <t>laura@penndairy.com</t>
  </si>
  <si>
    <t>penner1961@gmail.com</t>
  </si>
  <si>
    <t>pepacton@yahoo.com</t>
  </si>
  <si>
    <t>perrinfarms@monitorcoop.com</t>
  </si>
  <si>
    <t>bodegasp@comcast.net</t>
  </si>
  <si>
    <t>petalumalivestock@gmail.com</t>
  </si>
  <si>
    <t>leporib@msn.com</t>
  </si>
  <si>
    <t>ahelzer74@gmail.com</t>
  </si>
  <si>
    <t>petersonorganicfeeds@gmail.com</t>
  </si>
  <si>
    <t>smart-beagle@hotmail.com</t>
  </si>
  <si>
    <t>jenny.yang@phoenixbean.com</t>
  </si>
  <si>
    <t>johnstadn@ci.superior.wi.us</t>
  </si>
  <si>
    <t>bradleychandler101@gmail.com</t>
  </si>
  <si>
    <t>glschmidtknecht@gmail.com</t>
  </si>
  <si>
    <t>barrett.russ09@gmail.com</t>
  </si>
  <si>
    <t>spencer@pinemelon.com</t>
  </si>
  <si>
    <t>cowreia3@gmail.com</t>
  </si>
  <si>
    <t>john@americanriverag.com</t>
  </si>
  <si>
    <t>ecrampton@pinnaclepremix.com</t>
  </si>
  <si>
    <t>kellyplacke@gmail.com</t>
  </si>
  <si>
    <t>zelita@plantus.net</t>
  </si>
  <si>
    <t>polichfarm@yahoo.com</t>
  </si>
  <si>
    <t>popedairy@yahoo.com</t>
  </si>
  <si>
    <t>operations@portlandjuiceco.com</t>
  </si>
  <si>
    <t>hessdeidrec@gmail.com</t>
  </si>
  <si>
    <t>allisonj@premiercooperative.com</t>
  </si>
  <si>
    <t>premierlivestock@gmail.com</t>
  </si>
  <si>
    <t>kimolson04@gmail.com</t>
  </si>
  <si>
    <t>primmerbl87@gmail.com</t>
  </si>
  <si>
    <t>jon@proagpremix.com</t>
  </si>
  <si>
    <t>qmr@pnf.co.th</t>
  </si>
  <si>
    <t>adam@probioticproductions.com</t>
  </si>
  <si>
    <t>jessica.sauer@prosperfarms.farm</t>
  </si>
  <si>
    <t>richard@meltorganic.com</t>
  </si>
  <si>
    <t>setiawan@bionesia.net</t>
  </si>
  <si>
    <t>yanti@cocosugar.com</t>
  </si>
  <si>
    <t>elly@organic-coconut-sugar.com</t>
  </si>
  <si>
    <t>info@intrafood.net</t>
  </si>
  <si>
    <t>andy.marendra@pecucoconut.com</t>
  </si>
  <si>
    <t>hendrajaya.diningrat@sarisegarhusada.com</t>
  </si>
  <si>
    <t>david.guilhaus@publix.com</t>
  </si>
  <si>
    <t>carrie.fugiel@publix.com</t>
  </si>
  <si>
    <t>puchallafarm@gmail.com</t>
  </si>
  <si>
    <t>dale@purefunctionalfoods.com</t>
  </si>
  <si>
    <t>mreyna@westernfoodsco.com</t>
  </si>
  <si>
    <t>tina@puredia.com</t>
  </si>
  <si>
    <t>sharon.w@hushmail.com</t>
  </si>
  <si>
    <t>volkan@quartetusa.com</t>
  </si>
  <si>
    <t>millerinc@frontier.com</t>
  </si>
  <si>
    <t>radelfingerdairy@gmail.com</t>
  </si>
  <si>
    <t>radiancedairy@gmail.com</t>
  </si>
  <si>
    <t>jacobbragg@proton.me</t>
  </si>
  <si>
    <t>gemac@ramarfoods.com</t>
  </si>
  <si>
    <t>bctillman@hotmail.com</t>
  </si>
  <si>
    <t>adraganski@dareybrands.com</t>
  </si>
  <si>
    <t>george@reedyforkfarm.com</t>
  </si>
  <si>
    <t>danny.regan1971@gmail.com</t>
  </si>
  <si>
    <t>jim.reglijerseys@gmail.com</t>
  </si>
  <si>
    <t>russelh@daystar.io</t>
  </si>
  <si>
    <t>remembrancefarm@gmail.com</t>
  </si>
  <si>
    <t>perkjerseys@hotmail.com</t>
  </si>
  <si>
    <t>boehningdairy@gmail.com</t>
  </si>
  <si>
    <t>johnkarenrenner@aol.com</t>
  </si>
  <si>
    <t>mikeelmhorst@gmail.com</t>
  </si>
  <si>
    <t>73e.qadocs@adm.com</t>
  </si>
  <si>
    <t>jeff.sinthaberg@revelafoods.com</t>
  </si>
  <si>
    <t>briant@rockviewfarms.com</t>
  </si>
  <si>
    <t>anelson@rheebros.com</t>
  </si>
  <si>
    <t>rhondarach7@gmail.com_x000d_</t>
  </si>
  <si>
    <t>rialsdairy@gmail.com</t>
  </si>
  <si>
    <t>uffdafarm@gmail.com</t>
  </si>
  <si>
    <t>windyvalley52@yahoo.com</t>
  </si>
  <si>
    <t>bossiecowfarm@gmail.com</t>
  </si>
  <si>
    <t>wcfarm@norcell.us</t>
  </si>
  <si>
    <t>theblackyak@aol.com</t>
  </si>
  <si>
    <t>gene@ripleyorganicfarm.com</t>
  </si>
  <si>
    <t>office@rivernutritionllc.com</t>
  </si>
  <si>
    <t>james@riversidefeeds.net</t>
  </si>
  <si>
    <t>ptwiedmeyer@yahoo.com</t>
  </si>
  <si>
    <t>depauwfarm@gmail.com</t>
  </si>
  <si>
    <t>fiedlersorganic@hotmail.com</t>
  </si>
  <si>
    <t>rwh@sleepyeyetel.net</t>
  </si>
  <si>
    <t>bobbondi@empacc.net</t>
  </si>
  <si>
    <t>rlzufall@yahoo.com</t>
  </si>
  <si>
    <t>wcaconstructioninc@gmail.com</t>
  </si>
  <si>
    <t>blakeryals2775@aol.com</t>
  </si>
  <si>
    <t>qc@rockymountainspice.com</t>
  </si>
  <si>
    <t>jdbeal86@gmail.com</t>
  </si>
  <si>
    <t>rockytopacres@frontiernet.net</t>
  </si>
  <si>
    <t>rwgarland1@gmail.com</t>
  </si>
  <si>
    <t>rmbenrud@sleepyeyetel.net</t>
  </si>
  <si>
    <t>r5011@frontier.com</t>
  </si>
  <si>
    <t>romarfarms@yahoo.com</t>
  </si>
  <si>
    <t>renatidairy3@gmail.com</t>
  </si>
  <si>
    <t>steve.organicdairy@icloud.com</t>
  </si>
  <si>
    <t>aaronstoltzfus99@gmail.com</t>
  </si>
  <si>
    <t>markdhostetler@gmail.com</t>
  </si>
  <si>
    <t>wheelsr2fn2@yahoo.com</t>
  </si>
  <si>
    <t>rowleycattle@gmail.com</t>
  </si>
  <si>
    <t>capistrano.dr@roxassigmaagri.com</t>
  </si>
  <si>
    <t>joby@rumianocheese.com</t>
  </si>
  <si>
    <t>mdunhem@gfifoods.com</t>
  </si>
  <si>
    <t>lm_rutkowski@hotmail.com</t>
  </si>
  <si>
    <t>rweaver600@gmail.com</t>
  </si>
  <si>
    <t>debscott3@frontier.com</t>
  </si>
  <si>
    <t>chris.bolen@sclogistics.com</t>
  </si>
  <si>
    <t>saintjohnsorganicfarm@gmail.com</t>
  </si>
  <si>
    <t>msalber@eaglevalleytel.net</t>
  </si>
  <si>
    <t>gavin@salmans.com</t>
  </si>
  <si>
    <t>samuelfonder@gmail.com</t>
  </si>
  <si>
    <t>samandsusanesh@gmail.com</t>
  </si>
  <si>
    <t>scott.anderson@sani-test.com</t>
  </si>
  <si>
    <t>santyfarm@gmail.com</t>
  </si>
  <si>
    <t>fabio@saporedellavita.com</t>
  </si>
  <si>
    <t>gsarvinski@gmail.com</t>
  </si>
  <si>
    <t>bsavage62@yahoo.com</t>
  </si>
  <si>
    <t>schenevuscreek@yahoo.com</t>
  </si>
  <si>
    <t>milkman24_7@hotmail.com</t>
  </si>
  <si>
    <t>schwarz.jnl@gmail.com</t>
  </si>
  <si>
    <t>bryanscilacci@gmail.com</t>
  </si>
  <si>
    <t>seestafs@mwt.net</t>
  </si>
  <si>
    <t>cattle@seidldairycattle.com</t>
  </si>
  <si>
    <t>serenityacresfarm@live.com</t>
  </si>
  <si>
    <t>carina@myserenitykids.com</t>
  </si>
  <si>
    <t>sevenstarsfarm@verizon.net</t>
  </si>
  <si>
    <t>wilsonee3@gmail.com</t>
  </si>
  <si>
    <t>shszymanski@gmail.com</t>
  </si>
  <si>
    <t>sheepscotvalleyfarm@gmail.com</t>
  </si>
  <si>
    <t>sheffersgrasslanddairy@gmail.com</t>
  </si>
  <si>
    <t>candwent@ibyfax.com</t>
  </si>
  <si>
    <t>dvvoegeli@gmail.com</t>
  </si>
  <si>
    <t>julie@sibusura.com</t>
  </si>
  <si>
    <t>jshammaa@gmail.com</t>
  </si>
  <si>
    <t>l.silvadairy1@yahoo.com</t>
  </si>
  <si>
    <t>aguiar0519@yahoo.com</t>
  </si>
  <si>
    <t>silver.valley.farm.jd@gmail.com</t>
  </si>
  <si>
    <t>docs2@silvermillgroup.com</t>
  </si>
  <si>
    <t>slaytoncrest@gmail.com</t>
  </si>
  <si>
    <t>andy@steveandandys.com</t>
  </si>
  <si>
    <t>jcerar@smithbrothersfarms.com</t>
  </si>
  <si>
    <t>mbluemetalspecial@yahoo.com</t>
  </si>
  <si>
    <t>amy.hornberger@us.lactalis.com</t>
  </si>
  <si>
    <t>crsosalla@gmail.com</t>
  </si>
  <si>
    <t>tom@hilandnaturals.com</t>
  </si>
  <si>
    <t>nspaletta@gmail.com</t>
  </si>
  <si>
    <t>lspalettaa@aol.com</t>
  </si>
  <si>
    <t>danielbsparks@gmail.com</t>
  </si>
  <si>
    <t>mhusfeldt@hotmail.com</t>
  </si>
  <si>
    <t>greg@springcreekstrickerfarms.com</t>
  </si>
  <si>
    <t>glenn@martinent.net</t>
  </si>
  <si>
    <t>springweather68@gmail.com</t>
  </si>
  <si>
    <t>info@springwooddairy.com</t>
  </si>
  <si>
    <t>bates@tdstelme.net</t>
  </si>
  <si>
    <t>herbertmast@ibyfax.com</t>
  </si>
  <si>
    <t>murugesan.perumal@gmail.com</t>
  </si>
  <si>
    <t>sneha.b@srisritattva.com</t>
  </si>
  <si>
    <t>stmarycattleco@yahoo.com</t>
  </si>
  <si>
    <t>midwaymx@aol.com</t>
  </si>
  <si>
    <t>starwalkerfarms@sisqtel.net</t>
  </si>
  <si>
    <t>sntgmarty@gmail.com</t>
  </si>
  <si>
    <t>moozers@centurytel.net</t>
  </si>
  <si>
    <t>doylenaomi2011@gmail.com</t>
  </si>
  <si>
    <t>lance.stornetta@gmail.com</t>
  </si>
  <si>
    <t>ssmlpast@aol.com</t>
  </si>
  <si>
    <t>hello@sungheekitchen.com</t>
  </si>
  <si>
    <t>skflgg71@sgfoods.co.kr</t>
  </si>
  <si>
    <t>sunillaver@naver.cm</t>
  </si>
  <si>
    <t>rudifarm@gmail.com</t>
  </si>
  <si>
    <t>sunnyslope1883@aol.com</t>
  </si>
  <si>
    <t>sonya.ferry@sunopta.com</t>
  </si>
  <si>
    <t>sunrisecreameryllc@gmail.com</t>
  </si>
  <si>
    <t>sandyg@sunrisefamilyfarms.com</t>
  </si>
  <si>
    <t>jcmills824@gmail.com</t>
  </si>
  <si>
    <t>sunsetridge11@gmail.com</t>
  </si>
  <si>
    <t>organic@cfspecial.com</t>
  </si>
  <si>
    <t>licup@superstarcoconut.com</t>
  </si>
  <si>
    <t>cmaldonado@ssica.com</t>
  </si>
  <si>
    <t>marlowemickelson@gmail.com</t>
  </si>
  <si>
    <t>sweetwatercreekdairy@gmail.com</t>
  </si>
  <si>
    <t>fberg67@gmail.com</t>
  </si>
  <si>
    <t>alansylvestre@sylvestre.ind.br</t>
  </si>
  <si>
    <t>bsiurek@synergytaste.com</t>
  </si>
  <si>
    <t>jeffski2497@gmail.com</t>
  </si>
  <si>
    <t>tmatsuoka@thasegawa.com</t>
  </si>
  <si>
    <t>tmellinghuysen@gmail.com</t>
  </si>
  <si>
    <t>tafelam@gmail.com</t>
  </si>
  <si>
    <t>taursby@targetflavors.com</t>
  </si>
  <si>
    <t>aileen@tcho.com</t>
  </si>
  <si>
    <t>info@tddairy.com</t>
  </si>
  <si>
    <t>qa@tempteeco.com</t>
  </si>
  <si>
    <t>dennis@terrasoul.com</t>
  </si>
  <si>
    <t>sjp51046@juno.com</t>
  </si>
  <si>
    <t>qms04@thaicoconut.com</t>
  </si>
  <si>
    <t>aminnich@forbeschocolate.com</t>
  </si>
  <si>
    <t>documents@stubeco.com</t>
  </si>
  <si>
    <t>ppatel@edlong.com</t>
  </si>
  <si>
    <t>sues@foodsourceinc.com</t>
  </si>
  <si>
    <t>info@churchtowndairy.org</t>
  </si>
  <si>
    <t>lea6486@gmail.com</t>
  </si>
  <si>
    <t>mainemilkhouse@gmail.com</t>
  </si>
  <si>
    <t>christy@themilkywhey.com</t>
  </si>
  <si>
    <t>michael@originmilk.com</t>
  </si>
  <si>
    <t>gregdortensi@gmail.com</t>
  </si>
  <si>
    <t>adam@missjones.co</t>
  </si>
  <si>
    <t>scheung@vitacoco.com</t>
  </si>
  <si>
    <t>choosemilk@gmail.com</t>
  </si>
  <si>
    <t>uteggt@yahoo.com</t>
  </si>
  <si>
    <t>duonghh@thuan-phong.vn</t>
  </si>
  <si>
    <t>townridgefarms@gmail.com</t>
  </si>
  <si>
    <t>meanderingcreek@ibyfax.com</t>
  </si>
  <si>
    <t>timknapp8@gmail.com</t>
  </si>
  <si>
    <t>tmmaibach@gmail.com</t>
  </si>
  <si>
    <t>neu.tim99@yahoo.com</t>
  </si>
  <si>
    <t>heatheraheilman@gmail.com</t>
  </si>
  <si>
    <t>ateisen@gwtc.net</t>
  </si>
  <si>
    <t>eltimar.tim@gmail.com</t>
  </si>
  <si>
    <t>tcpauli@frontier.com</t>
  </si>
  <si>
    <t>godsjuice629@gmail.com</t>
  </si>
  <si>
    <t>bondtodd@ymail.com</t>
  </si>
  <si>
    <t>tomrayl1280@gmx.com</t>
  </si>
  <si>
    <t>chrisccovelli@gmail.com</t>
  </si>
  <si>
    <t>brenda@mwt.net</t>
  </si>
  <si>
    <t>shelby.mudge@gmail.com</t>
  </si>
  <si>
    <t>rrobinson@batoryfoods.com</t>
  </si>
  <si>
    <t>hstrowman@traderjoes.com</t>
  </si>
  <si>
    <t>bcarpenter@bcfoodconsulting.com</t>
  </si>
  <si>
    <t>ttranel@lagrant.net</t>
  </si>
  <si>
    <t>angstud@yahoo.com</t>
  </si>
  <si>
    <t>travismoreda@yahoo.com; dairywoman1@aol.com; 707.tmd@gmail.com</t>
  </si>
  <si>
    <t>villnave1@gmail.com</t>
  </si>
  <si>
    <t>tregfarms@gmail.com</t>
  </si>
  <si>
    <t>kathy.tresch@gmail.com</t>
  </si>
  <si>
    <t>brent@triform.org</t>
  </si>
  <si>
    <t>runin3jerseys@gmail.com</t>
  </si>
  <si>
    <t>jestevo@aol.com</t>
  </si>
  <si>
    <t>sierradonald77@gmail.com</t>
  </si>
  <si>
    <t>tripletorganics@gmail.com</t>
  </si>
  <si>
    <t>farmchickfitness@gmail.com</t>
  </si>
  <si>
    <t>maryam.nojoumi@hppfs.com</t>
  </si>
  <si>
    <t>jnorton@schumancheese.com</t>
  </si>
  <si>
    <t>warren@truly-organics.com</t>
  </si>
  <si>
    <t>hello@bamisbetter.com</t>
  </si>
  <si>
    <t>jeff@reykjavikcreamery.com</t>
  </si>
  <si>
    <t>chaffeefarm@gmail.com</t>
  </si>
  <si>
    <t>farmfreshorders@yahoo.com</t>
  </si>
  <si>
    <t>rich@rlspencer.com</t>
  </si>
  <si>
    <t>kathieyarnold@gmail.com</t>
  </si>
  <si>
    <t>twnhllworganic@tds.net</t>
  </si>
  <si>
    <t>taperrigo4@gmail.com</t>
  </si>
  <si>
    <t>charlesjueb@gmail.com</t>
  </si>
  <si>
    <t>homefarm03@gmail.com</t>
  </si>
  <si>
    <t>joshulrich97@norcell.us</t>
  </si>
  <si>
    <t>nop@unitedsafetyagents.com</t>
  </si>
  <si>
    <t>majid@usfus.net</t>
  </si>
  <si>
    <t>urbanedge18398@gmail.com</t>
  </si>
  <si>
    <t>daveolson58@yahoo.com</t>
  </si>
  <si>
    <t>asorisho@valleymilkca.com</t>
  </si>
  <si>
    <t>eccamozzi@att.net</t>
  </si>
  <si>
    <t>dan4320@hotmail.com</t>
  </si>
  <si>
    <t>vvod.bieber@protonmail.com</t>
  </si>
  <si>
    <t>vickirvangsness@gmail.com</t>
  </si>
  <si>
    <t>gloria@nezinscotfarm.com; nvarney207@gmail.com</t>
  </si>
  <si>
    <t>venturagrassfarm@outlook.com</t>
  </si>
  <si>
    <t>akearns@veritablevegetable.com</t>
  </si>
  <si>
    <t>ddviewpoint@yahoo.com</t>
  </si>
  <si>
    <t>vien.n@vinamit.com.vn</t>
  </si>
  <si>
    <t>tcbono5@gmail.com</t>
  </si>
  <si>
    <t>andrew@vollemansdairy.com</t>
  </si>
  <si>
    <t>clvrvly@centurytel.net</t>
  </si>
  <si>
    <t>ward@burroughsfamilyfarms.com</t>
  </si>
  <si>
    <t>trico@coastpro.com</t>
  </si>
  <si>
    <t>debsicecream@yahoo.com</t>
  </si>
  <si>
    <t>seth.webber616@gmail.com</t>
  </si>
  <si>
    <t>jake.wedeberg@gmail.com</t>
  </si>
  <si>
    <t>wedigorganicfarms@yahoo.com</t>
  </si>
  <si>
    <t>hein0106@umn.edu</t>
  </si>
  <si>
    <t>westroaddairy@gmail.com</t>
  </si>
  <si>
    <t>jlevendoski@westbycreamery.com</t>
  </si>
  <si>
    <t>dorice.miranda@woffcoop.com</t>
  </si>
  <si>
    <t>certifications@wholefoods.com</t>
  </si>
  <si>
    <t>saxtonforlife@gmail.com</t>
  </si>
  <si>
    <t>wpodllc@gmail.com</t>
  </si>
  <si>
    <t>eqwks@aol.com</t>
  </si>
  <si>
    <t>ben@whitemountainfoods.com</t>
  </si>
  <si>
    <t>12browncows@gmail.com</t>
  </si>
  <si>
    <t>osbornesandra48411@yahoo.com</t>
  </si>
  <si>
    <t>2bluesilos@gmail.com</t>
  </si>
  <si>
    <t>larcharag@gmail.com</t>
  </si>
  <si>
    <t>bayliewilliams21@gmail.com</t>
  </si>
  <si>
    <t>deichmann.chuck@gmail.com</t>
  </si>
  <si>
    <t>wilmerober524@gmail.com</t>
  </si>
  <si>
    <t>wilsonorganicfarms@gmail.com</t>
  </si>
  <si>
    <t>james@winsoonepoca.com</t>
  </si>
  <si>
    <t>bjsrms@gmail.com</t>
  </si>
  <si>
    <t>wrf@ibyfax.com</t>
  </si>
  <si>
    <t>windyhildairy@gmail.com</t>
  </si>
  <si>
    <t>ronandsusanrusk@gmail.com</t>
  </si>
  <si>
    <t>jeff.kragt@wiowafoods.com</t>
  </si>
  <si>
    <t>wojciehowskifarm@hotmail.com</t>
  </si>
  <si>
    <t>tprohl@wolfesneck.org</t>
  </si>
  <si>
    <t>conniedowning5350@gmail.com</t>
  </si>
  <si>
    <t>joelpbates@yahoo.com</t>
  </si>
  <si>
    <t>huronmeadowsfarm@hotmail.com</t>
  </si>
  <si>
    <t>wyoder@emypeople.net</t>
  </si>
  <si>
    <t>michael@yoderfamilyfarms.net</t>
  </si>
  <si>
    <t>yostfarms4230@gmail.com</t>
  </si>
  <si>
    <t>zhansen@bethelhome.org</t>
  </si>
  <si>
    <t>mzimba734@gmail.com</t>
  </si>
  <si>
    <t>ageiser@zoomessence.com</t>
  </si>
  <si>
    <t>cgarcia@zorocopackaging.com</t>
  </si>
  <si>
    <t>mdz2008@embarqmail.com</t>
  </si>
  <si>
    <t>zweb0024@gmail.com</t>
  </si>
  <si>
    <t>Website URL</t>
  </si>
  <si>
    <t>www.afpllc.com</t>
  </si>
  <si>
    <t>www.alseed.com</t>
  </si>
  <si>
    <t>alexandrefamilyfarm.com</t>
  </si>
  <si>
    <t>www.alfredstate.edu</t>
  </si>
  <si>
    <t>www.allstarcheese.com</t>
  </si>
  <si>
    <t>https://www.amaltheiadairy.com</t>
  </si>
  <si>
    <t>www.americansoy.com</t>
  </si>
  <si>
    <t>www.boxedgreens.com</t>
  </si>
  <si>
    <t>https://www.andersenfeedsinc.com/</t>
  </si>
  <si>
    <t>www.associatedfeed.com</t>
  </si>
  <si>
    <t>www.yamiyogurt.com</t>
  </si>
  <si>
    <t>www.axiomfoods.com</t>
  </si>
  <si>
    <t>sassycowcreamery.com/</t>
  </si>
  <si>
    <t>https://bamboojuices.com/</t>
  </si>
  <si>
    <t>www.baraleinc.com</t>
  </si>
  <si>
    <t>https://www.barry-callebaut.com/fr-ca/bccom-contact/location/country/us</t>
  </si>
  <si>
    <t>baudererpackaging.com</t>
  </si>
  <si>
    <t>www.bearcreekacresdairy.com</t>
  </si>
  <si>
    <t>www.berlefarm.com</t>
  </si>
  <si>
    <t>https://betterbodyfoods.com/</t>
  </si>
  <si>
    <t>www.blueloonfarm.com</t>
  </si>
  <si>
    <t>www.gracewylyfarm.com</t>
  </si>
  <si>
    <t>www.brunosbreads.com</t>
  </si>
  <si>
    <t>www.bufcreamery.com</t>
  </si>
  <si>
    <t>https://butterfield4.wordpress.com</t>
  </si>
  <si>
    <t>www.butterworksfarm.com</t>
  </si>
  <si>
    <t>www.cnp.com</t>
  </si>
  <si>
    <t>calliescreamery.com</t>
  </si>
  <si>
    <t>caminodepaz.net</t>
  </si>
  <si>
    <t>www.cfspecial.com</t>
  </si>
  <si>
    <t>www.centralmilling.com</t>
  </si>
  <si>
    <t>www.cv-ag.com</t>
  </si>
  <si>
    <t>https://certifiedorganicdirect.com/</t>
  </si>
  <si>
    <t>chasefamilyfarms.com</t>
  </si>
  <si>
    <t>chasehillfarm.com</t>
  </si>
  <si>
    <t>chris@chriscoffee.com</t>
  </si>
  <si>
    <t>http://www.clofinedairy.com</t>
  </si>
  <si>
    <t>www.maineorganicbeefco.com</t>
  </si>
  <si>
    <t>www.eastcoastfresh.com</t>
  </si>
  <si>
    <t>www.cobblestonevalley.com</t>
  </si>
  <si>
    <t>www.cheesepowder.com</t>
  </si>
  <si>
    <t>www.communityhomestead.org</t>
  </si>
  <si>
    <t>www.conwayfeedinc.com</t>
  </si>
  <si>
    <t>corefxingredients.com</t>
  </si>
  <si>
    <t>www.cosmicapple.com</t>
  </si>
  <si>
    <t>www.cowgirlcreamery.com</t>
  </si>
  <si>
    <t>www.crestfoods.com</t>
  </si>
  <si>
    <t>http://www.organicvalley.coop</t>
  </si>
  <si>
    <t>www.crossislandfarms.com</t>
  </si>
  <si>
    <t>crushprovisions.com</t>
  </si>
  <si>
    <t>www.crystalcreamery.com</t>
  </si>
  <si>
    <t>www.humboldtcreamery.com</t>
  </si>
  <si>
    <t>www.cuttinghillbeef.com</t>
  </si>
  <si>
    <t>https://dailydriver.com/</t>
  </si>
  <si>
    <t>www.windeckerfarm.com</t>
  </si>
  <si>
    <t>www.daybreakmaple.com</t>
  </si>
  <si>
    <t>www.daylightfoods.com</t>
  </si>
  <si>
    <t>www.cocoone.net</t>
  </si>
  <si>
    <t>http://denizdairy.com/contact/</t>
  </si>
  <si>
    <t>www.derrydalefarm.com</t>
  </si>
  <si>
    <t>www.deutschfamilyfarm.com</t>
  </si>
  <si>
    <t>www.dreamfarm.biz</t>
  </si>
  <si>
    <t>http://www.dutchamerican.com</t>
  </si>
  <si>
    <t>https://earthsuppliedproducts.com/</t>
  </si>
  <si>
    <t>https://earthlygourmet.com</t>
  </si>
  <si>
    <t>www.edenfoods.com</t>
  </si>
  <si>
    <t>eightmilecreekfarm.com</t>
  </si>
  <si>
    <t>www.engelbertfarms.com</t>
  </si>
  <si>
    <t>http://www.equalexchange.com</t>
  </si>
  <si>
    <t>http://www.everfreshfruit.com</t>
  </si>
  <si>
    <t>www.farmfreshcarolinas.com</t>
  </si>
  <si>
    <t>www.facebook.com/finchfamilyfarmny</t>
  </si>
  <si>
    <t>www.mccormick.com</t>
  </si>
  <si>
    <t>www.petersoncheese.com</t>
  </si>
  <si>
    <t>www.fona.com</t>
  </si>
  <si>
    <t>www.foragerproject.com</t>
  </si>
  <si>
    <t>https://franklinfamilyfarm.com/</t>
  </si>
  <si>
    <t>ww.freshpoint.com/centralflorida/</t>
  </si>
  <si>
    <t>www.sanfrancisco.freshpoint.com</t>
  </si>
  <si>
    <t>www.freshpoint.com/southflorida/</t>
  </si>
  <si>
    <t>www.socal.freshpoint.com</t>
  </si>
  <si>
    <t>www.freshpoint.com/westcoastflorida</t>
  </si>
  <si>
    <t>www.frontiercoop.com</t>
  </si>
  <si>
    <t>www.fullbellyfarm.com</t>
  </si>
  <si>
    <t>hilltopfarmvt.eatfromfarms.com</t>
  </si>
  <si>
    <t>www.thorpesorganicfamilyfarm.com</t>
  </si>
  <si>
    <t>www.generalmills.com</t>
  </si>
  <si>
    <t>http://www.gibbsvillecheese.com</t>
  </si>
  <si>
    <t>https://gimmeseaweed.com</t>
  </si>
  <si>
    <t>https://glaserorganicfarms.com/</t>
  </si>
  <si>
    <t>goodculture.com</t>
  </si>
  <si>
    <t>www.gracepondfarm.com</t>
  </si>
  <si>
    <t>https://rarebreedcoffee.com</t>
  </si>
  <si>
    <t>www.gratefulmorningfarm.com</t>
  </si>
  <si>
    <t>www.greengirlbakeshop.com</t>
  </si>
  <si>
    <t>www.greenmountainfeeds.com</t>
  </si>
  <si>
    <t>https://thegreybarnandfarm.com</t>
  </si>
  <si>
    <t>gwenynhillfarm.com</t>
  </si>
  <si>
    <t>hallfarms.com</t>
  </si>
  <si>
    <t>www.lawnviewfarm.com</t>
  </si>
  <si>
    <t>https://farm.hawthornevalley.org/</t>
  </si>
  <si>
    <t>www.heartlandorganics.farm</t>
  </si>
  <si>
    <t>https://www.heb.com/</t>
  </si>
  <si>
    <t>http://www.abcplus.biz</t>
  </si>
  <si>
    <t>www.hemlockridgefarm.com</t>
  </si>
  <si>
    <t>www.123dough.com</t>
  </si>
  <si>
    <t>www.holterholmfarms.com</t>
  </si>
  <si>
    <t>https://www.hoskingsales.com/</t>
  </si>
  <si>
    <t>www.humboldtcoffee.com</t>
  </si>
  <si>
    <t>www.hunterwalton.com</t>
  </si>
  <si>
    <t>https://www.imperfectfoods.com/</t>
  </si>
  <si>
    <t>www.ingardiabros.com</t>
  </si>
  <si>
    <t>www.islandspringorganics.com</t>
  </si>
  <si>
    <t>milanoscheese.com</t>
  </si>
  <si>
    <t>www.workingcowsdairy.com</t>
  </si>
  <si>
    <t>www.ama-lurra-acres.com</t>
  </si>
  <si>
    <t>www.provisioningredients.com</t>
  </si>
  <si>
    <t>http://www.kalonasalesbarn.com</t>
  </si>
  <si>
    <t>www.kehe.com</t>
  </si>
  <si>
    <t>www.coulterfarms.net</t>
  </si>
  <si>
    <t>www.kissthecowfarm.com</t>
  </si>
  <si>
    <t>www.cloverpetaluma.com/lafranchi-dairy</t>
  </si>
  <si>
    <t>lakeviewfarms.com</t>
  </si>
  <si>
    <t>www.lancasterfarmfresh.com</t>
  </si>
  <si>
    <t>www.landolakes.com</t>
  </si>
  <si>
    <t>badgerbrookmeats.com</t>
  </si>
  <si>
    <t>lewistonsales.com</t>
  </si>
  <si>
    <t>www.lidestrifoods.com</t>
  </si>
  <si>
    <t>https://lifelinefarm.com/</t>
  </si>
  <si>
    <t>woodworthorganicfarms.com</t>
  </si>
  <si>
    <t>www.littleelkorganicfarm.com</t>
  </si>
  <si>
    <t>www.livelyrun.com</t>
  </si>
  <si>
    <t>www.madmarkets.com</t>
  </si>
  <si>
    <t>http://www.mane.com</t>
  </si>
  <si>
    <t>maplehill.com</t>
  </si>
  <si>
    <t>mcknightfarmvt.com</t>
  </si>
  <si>
    <t>www.eastridgefarm.org</t>
  </si>
  <si>
    <t>vtmillerfarm.com</t>
  </si>
  <si>
    <t>www.mistybrook.com</t>
  </si>
  <si>
    <t>http://www.modestomilling.com</t>
  </si>
  <si>
    <t>mollybrookfarm@gmail.com</t>
  </si>
  <si>
    <t>www.moosemountainmaple.com</t>
  </si>
  <si>
    <t>www.morrisonsfeeds.com</t>
  </si>
  <si>
    <t>www.naturenatesllc.com</t>
  </si>
  <si>
    <t>naturesone.com</t>
  </si>
  <si>
    <t>www.naturessungrown.com</t>
  </si>
  <si>
    <t>http://nemofeed.com</t>
  </si>
  <si>
    <t>https://www.newcountryorganics.com/</t>
  </si>
  <si>
    <t>www.newhopemills.com</t>
  </si>
  <si>
    <t>www.northcentralco.com</t>
  </si>
  <si>
    <t>www.northlandsheepdairy.com</t>
  </si>
  <si>
    <t>www.nomosu.com</t>
  </si>
  <si>
    <t>https://www.norskfarm.com/</t>
  </si>
  <si>
    <t>onceuponafarmorganics.com</t>
  </si>
  <si>
    <t>http://www.organicnectars.com</t>
  </si>
  <si>
    <t>https://www.organicunlimitedinc.com/</t>
  </si>
  <si>
    <t>https://osagefood.com/</t>
  </si>
  <si>
    <t>http://www.pacificfoods.com/</t>
  </si>
  <si>
    <t>www.painterlandsisters.com</t>
  </si>
  <si>
    <t>maryjanesfarm.org</t>
  </si>
  <si>
    <t>www.parkerfarmstead.com</t>
  </si>
  <si>
    <t>wpeasley@gmail.com</t>
  </si>
  <si>
    <t>www.petalumalivestock.com</t>
  </si>
  <si>
    <t>www.phoenixbean.com</t>
  </si>
  <si>
    <t>www.pinnaclepremix.com</t>
  </si>
  <si>
    <t>https://www.facebook.com/plackeorganicmilksoap/</t>
  </si>
  <si>
    <t>https://www.premiercooperative.com/</t>
  </si>
  <si>
    <t>www.premierlivestockandauctions.com</t>
  </si>
  <si>
    <t>probioticproductions.com</t>
  </si>
  <si>
    <t>jrockfm@aol.com</t>
  </si>
  <si>
    <t>www.davisfarmvermont.com</t>
  </si>
  <si>
    <t>www.woodardsfarm.com</t>
  </si>
  <si>
    <t>www.doneganfamilyfarm.com</t>
  </si>
  <si>
    <t>www.earthwisefarmandforest.com</t>
  </si>
  <si>
    <t>maplelanefarmvt.com</t>
  </si>
  <si>
    <t>larsonfarmvt.com</t>
  </si>
  <si>
    <t>www.howvalefarm.com</t>
  </si>
  <si>
    <t>www.stonypondfarm.com</t>
  </si>
  <si>
    <t>burkewitz14@comcast.net</t>
  </si>
  <si>
    <t>www.meltorganic.com</t>
  </si>
  <si>
    <t>https://bionesia.net/</t>
  </si>
  <si>
    <t>www.purefunctionalfoods.com</t>
  </si>
  <si>
    <t>https://purenaturefoodsco.com/</t>
  </si>
  <si>
    <t>www.rgmillerfarms.com</t>
  </si>
  <si>
    <t>http://www.reedyforkfarm.com</t>
  </si>
  <si>
    <t>www.remembrancefarm.org</t>
  </si>
  <si>
    <t>www.bossiecowfarm.com/</t>
  </si>
  <si>
    <t>http://www.ripleyorganicfarm.com/</t>
  </si>
  <si>
    <t>www.rivernutritionllc.com</t>
  </si>
  <si>
    <t>www.riversidefeeds.net</t>
  </si>
  <si>
    <t>www.rogersfarmstead.com</t>
  </si>
  <si>
    <t>saintjohnsorganicfarm.com</t>
  </si>
  <si>
    <t>https://www.saporedellavita.com</t>
  </si>
  <si>
    <t>www.facebook.com/serenity-acres-farm-inc-252977068109114/</t>
  </si>
  <si>
    <t>www.sevenstarsfarm.com</t>
  </si>
  <si>
    <t>www.sevenwfarm.com</t>
  </si>
  <si>
    <t>www.shipshewanatradingplace.com</t>
  </si>
  <si>
    <t>https://www.siha-afia.com/</t>
  </si>
  <si>
    <t>www.steveandandys.com</t>
  </si>
  <si>
    <t>www.smithbrothersfarms.com</t>
  </si>
  <si>
    <t>https://www.srisritattvausa.com/products/golden-monkey-ghee</t>
  </si>
  <si>
    <t>starwalkerorganicfarms.com</t>
  </si>
  <si>
    <t>www.stornettaranch.com</t>
  </si>
  <si>
    <t>www.sungheekitchen.com</t>
  </si>
  <si>
    <t>http://sgkim.co.kr/</t>
  </si>
  <si>
    <t>www.sunopta.com</t>
  </si>
  <si>
    <t>www.synergytaste.com</t>
  </si>
  <si>
    <t>www.thelyndonfreighthouse.com</t>
  </si>
  <si>
    <t>www.tcho.com</t>
  </si>
  <si>
    <t>www.terrasoul.com</t>
  </si>
  <si>
    <t>www.stubeco.com</t>
  </si>
  <si>
    <t>https://choinierefamilyfar.wixsite.com/choinierefamilyfarm</t>
  </si>
  <si>
    <t>thecorsefarmdairy.com</t>
  </si>
  <si>
    <t>www.edlong.com</t>
  </si>
  <si>
    <t>www.churchtowndairy.org</t>
  </si>
  <si>
    <t>www.mainemilkhouse.com</t>
  </si>
  <si>
    <t>themilkywhey.com</t>
  </si>
  <si>
    <t>www.originmilk.com</t>
  </si>
  <si>
    <t>www.ortensifarm.com</t>
  </si>
  <si>
    <t>tomatomountain.csaware.com/store/</t>
  </si>
  <si>
    <t>www.batoryfoods.com</t>
  </si>
  <si>
    <t>triform.org</t>
  </si>
  <si>
    <t>www.triple3livestock.com</t>
  </si>
  <si>
    <t>www.twinoaksdairy.net</t>
  </si>
  <si>
    <t>www.3sistersfarm.net</t>
  </si>
  <si>
    <t>www.valleymilkca.com</t>
  </si>
  <si>
    <t>nezinscotfarm.com</t>
  </si>
  <si>
    <t>www.veritablevegetable.com</t>
  </si>
  <si>
    <t>vontrappfarmstead.com</t>
  </si>
  <si>
    <t>https://www.facebook.com/walterorganicfamilyfarm/</t>
  </si>
  <si>
    <t>coastpro.com</t>
  </si>
  <si>
    <t>https://wcroc.cfans.umn.edu/</t>
  </si>
  <si>
    <t>www.westbycreamery.com</t>
  </si>
  <si>
    <t>www.whitemountainfoods.com</t>
  </si>
  <si>
    <t>grassfedvermont.com</t>
  </si>
  <si>
    <t>www.winsoonepoca.com</t>
  </si>
  <si>
    <t>www.wolfesneck.org</t>
  </si>
  <si>
    <t>www.zoomessence.com</t>
  </si>
  <si>
    <t>www.zorocopackaging.com</t>
  </si>
  <si>
    <t>www.zweberfarms.com</t>
  </si>
  <si>
    <t xml:space="preserve">Additional Information </t>
  </si>
  <si>
    <t>Free text</t>
  </si>
  <si>
    <t>All products/services listed are certified in accordance with the terms of the US-Canada Organic Equivalency Arrangement.</t>
  </si>
  <si>
    <t>*Certified in accordance with the terms of the US-Canada Organic Equivalency Arrangement</t>
  </si>
  <si>
    <t>* Certified in accordance with the terms of the U.S.-Canada Organic Equivalency Arrangement</t>
  </si>
  <si>
    <t>See addendum page(s) for list of specific products and brands, organic labeling categories, and Equivalencies</t>
  </si>
  <si>
    <t>Pasture based organic A2/A2 dairy, pork, and grass-fed beef on our regenerative farms. We are strong proponents of holistic organic farm practices, nutritional education and environmental stewardship. Our coastal farms are green grass and living soil all thru the year.
Visit the CCOF Member Directory to learn more: ccof.org/directory</t>
  </si>
  <si>
    <t>Products/services indicated with an asterisk (*) are certified in accordance with the terms of the US-Canada Organic Equivalency Arrangement.</t>
  </si>
  <si>
    <t>Certified in accordance with the terms of the US-Canada Organic Equivalency Arrangement</t>
  </si>
  <si>
    <t>Superficie en hectáreas = 1.50 Ha.</t>
  </si>
  <si>
    <t>Visit the CCOF Member Directory to learn more: ccof.org/directory</t>
  </si>
  <si>
    <t>Learn more: www.aco.net.au</t>
  </si>
  <si>
    <t>As awareness has grown regarding the benefits of organic food, Associated Feed recognized the need for a quality provider of organic livestock feed. Devoting one of our processing facilities entirely to producing USDA certified organic feed OrganIQ was established in 2006 and has grown into the largest certified organic feed mill in central California.
Our feed originates from ingredients grown under conditions that ensure only natural amendments are incorporated into the soil. Weed and pest control is accomplished through natural methods; no synthetic fertilizers or sprays are applied.
We process these natural organic ingredients into feeds for your livestock and poultry in a method that doesn’t compromise their nutrient value, thus providing our customers with feed that is organic in an intelligent way. Feeding OrganIQ to their livestock gives our customers the edge with a smarter way of thinking about livestock diets.
Visit the CCOF Member Directory to learn more: ccof.org/directory</t>
  </si>
  <si>
    <t>Learn More: www.aco.net.au</t>
  </si>
  <si>
    <t>Our focus is in providing value added feed products to the commercial industry including horse, sheep, cattle and other livestock. Our products include premium feeds as well as high quality simple grains. All of our feeds are formulated to supply the optimal nutrients and vitamins that your animals require.
Visit the CCOF Member Directory to learn more: ccof.org/directory</t>
  </si>
  <si>
    <t>At Beretta Dairy we believe in keeping cows off concrete and creating less stressful environments for livestock for better breeding. In order to achieve the maximum level of quality, we grow our own feed to guarantee that our livestock are of the highest quality.
Visit the CCOF Member Directory to learn more: ccof.org/directory</t>
  </si>
  <si>
    <t>This operation was certified by MOCA. MOCA reduced its scopes of accreditation, and therefore this operation is transitioning to a new certifier.</t>
  </si>
  <si>
    <t>We want to be the first 100% organic bakery in Indiana. We eat totally organic and wish to give the best organic bread to our customers.
Visit the CCOF Member Directory to learn more: ccof.org/directory</t>
  </si>
  <si>
    <t>Previously certified by PCO 8210001269</t>
  </si>
  <si>
    <t>Additional Facilities: 
W12699 State Road 54, Ettrick, WI 54627 
Products/services indicated with an asterisk (*) are certified in accordance with the terms of the US-Canada Organic Equivalency Arrangement.</t>
  </si>
  <si>
    <t>US-COEA - Certified in accordance with the terms of the U.S. – Canada Organic Equivalency Arrangement</t>
  </si>
  <si>
    <t>Camino de Paz is a produce and dairy farm with bakery and processed foods divisions and an affiliated Montessori Seconday School.
Visit the CCOF Member Directory to learn more: ccof.org/directory</t>
  </si>
  <si>
    <t>Central Milling is the oldest operating company in Utah that has continually been providing the finest quality flour to homes and bakeries across the United States. Even though we have experience in farming, milling and baking, we still have a lot to learn about our business and our customers.
Visit the CCOF Member Directory to learn more: ccof.org/directory</t>
  </si>
  <si>
    <t>Certified Organic Direct is a Nation Wide provider of organic and clean label ingredients to food manufacturers, copackers, and meal kit companies.
Visit the CCOF Member Directory to learn more: ccof.org/directory</t>
  </si>
  <si>
    <t>Agriculture can’t be learned solely from a textbook. That’s why our 800-acre Paul L. Byrne Agricultural Teaching and Research Center, more commonly known as the University Farm, is so important to our educational program. It’s the place where our students literally get their hands dirty putting into practice the concepts they learn in the classroom.
Whether participating in class labs or working as part-time employees, thousands of students have benefited from the University Farm at CSU Chico. Farmers and ranchers also benefit from research conducted on the farm, and the farm’s produce and meat sales have long been popular in the Chico community.
Visit the CCOF Member Directory to learn more: ccof.org/directory</t>
  </si>
  <si>
    <t>East Coast Fresh is not just our name, it is our identity. All our products are natural, never cooked, made with no preservatives or enhancers, and delivered with all the goodness nature intended.
Visit the CCOF Member Directory to learn more: ccof.org/directory</t>
  </si>
  <si>
    <t>Crush is an all-natural way to cook fresh with big flavor, providing a quick and easy way to add spices and herbs to any dish. Our cubes last a long time in the freezer, so you'll have them when you're ready to "POP" them into next your culinary creation!
Visit the CCOF Member Directory to learn more: ccof.org/directory</t>
  </si>
  <si>
    <t>Not all milk is the same. At Crystal Creamery our milk is delivered fresh daily from our local, family-run farms. That’s why you can count on Crystal Creamery when you want the best tasting, highest quality milk for your family. After all, we have been delivering quality products to California consumers since 1901. Our cows are never treated with the growth hormone rBST and our local farmers are committed to animal welfare and environmental stewardship. In addition to milk we offer a full line of delicious, local dairy products including sour cream, cottage cheese, ice cream, butter and more. That’s why when it comes to feeding your family the choice is clear.
Visit the CCOF Member Directory to learn more: ccof.org/directory</t>
  </si>
  <si>
    <t>Quality and care you can taste.
There are no shortcuts in making great tasting dairy products. Our certified organic products are the result of more than 85 years of sustainable farming practices, a deep respect for the health and welfare of our cows, and a commitment to quality in everything we do.
Visit the CCOF Member Directory to learn more: ccof.org/directory</t>
  </si>
  <si>
    <t>Additional Facilities: 
862 S 200 E, Morocco, IN 47943 
All products/services listed are certified in accordance with the terms of the US-Canada Organic Equivalency Arrangement.</t>
  </si>
  <si>
    <t>This operation was certified by MOCA. MOCA reduced its certification services, and therefore this operation is transitioning to a new certifier.</t>
  </si>
  <si>
    <t>This operation was certified by ASCO. ASCO surrendered its accreditation as of March 16, 2025. Therefore, this operation is transferring to a new certifier.</t>
  </si>
  <si>
    <t>Previously Certified by PCO 8210005642</t>
  </si>
  <si>
    <t>Starting as a small fruit stand based in San Jose grounded with roots in family and hard work, we have grown to focus not on produce, but rather on providing a large range of products for a variety of food service operators. By keeping our roots strong, we have been able to expand and keep our processing rooms, coolers, warehouses and office space up to date and ready to serve our customers.
Visit the CCOF Member Directory to learn more: ccof.org/directory</t>
  </si>
  <si>
    <t>The following products are certified in accordance with the terms of the U.S.-Canada Organic Equivalency Arrangement: Dairy Cow - Transitioned, Dairy Cows - Slaughter Eligible, Dairy Heifer - Slaughter Eligible, Dairy Calves - Slaughter Eligible, Milk</t>
  </si>
  <si>
    <t>At Defanti Ranch we believe that great tasting and healthy meat is made through strict animal husbandry, humane treatment, and the absence of antibiotics or hormones. We look at every detail and aspect of our livestock and make sure that they are only fed organically produced hay and grass from stream-fed meadows and clean mountain water free of pesticides or herbicides.
Visit the CCOF Member Directory to learn more: ccof.org/directory</t>
  </si>
  <si>
    <t>Previously Certified by: Kentucky Department of Agriculture</t>
  </si>
  <si>
    <t>Certified in accordance with the terms of the US-Canada Organic Equivalency Arrangement. COR equivalent products are identified on the client Addenda</t>
  </si>
  <si>
    <t>We are a family-owned and operated food importer and distributor based in Auburn, WA. From our Auburn warehouse we direct-deliver along the I-5 corridor, from the Canadian border south to Eugene, OR. Through cooperative relationships with a number of distribution partners we also cover geographic areas outside of our direct delivery region, including the West Coast, Alaska, Hawaii, Idaho, Montana, and northern Wyoming. Our second warehouse, located in Moonachie, NJ, serves as a storage, cutting, and distribution facility for regional and national accounts across the US.
Visit the CCOF Member Directory to learn more: ccof.org/directory</t>
  </si>
  <si>
    <t>At Forager Project, our mission is to make delicious, organic, plant-based foods from Nature’s finest ingredients to improve human health, as well as the health of our planet. We will always be 100% organic and plant-based because our food choices matter. Come forage with us.
Visit the CCOF Member Directory to learn more: ccof.org/directory</t>
  </si>
  <si>
    <t>Ensuring Success Through Excellence in Service
People, Passion, Produce
Visit the CCOF Member Directory to learn more: ccof.org/directory</t>
  </si>
  <si>
    <t>Delivering an exceptional customer experience every time everywhere
Visit the CCOF Member Directory to learn more: ccof.org/directory</t>
  </si>
  <si>
    <t>Full Belly Farm is a certified organic farm located in the beautiful Capay Valley of northern California. We are committed to fostering sustainability on all levels, from fertility in our soil and care for the environment, to stable employment for our farm workers. We strive to be good stewards of this farm, so that this generation and future generations may continue to be nourished by the healthy and vibrant food that we produce. Our farm has been certified organic since 1985, and we strive to continue to support local food systems and create a strong local food economy.
Visit the CCOF Member Directory to learn more: ccof.org/directory</t>
  </si>
  <si>
    <t>Create allergy friendly desserts that taste great, use whole, nutrient-dense ingredients and supports the wellness and vitality of all living beings. We consciously choose to use ingredients that pack a punch nutritionally speaking, making for a delicious ice cream alternative. Each of our flavors are lovingly made from scratch, in small batches, which makes for the perfect sweet treat to be enjoyed by all. We are passionate about using the best, all natural, gluten-free and dairy-free ingredients.
Visit the CCOF Member Directory to learn more: ccof.org/directory</t>
  </si>
  <si>
    <t>Infinity Dairy strives for excellence as a team through producing high quality milk, caring for the environment, and prioritizing animal welfare.
Visit the CCOF Member Directory to learn more: ccof.org/directory</t>
  </si>
  <si>
    <t>Certified in accordance with the terms of the US-Canada Organic Equivalency Arrangement.
        All products listed are USCOEA verified.</t>
  </si>
  <si>
    <t>At Working Cows Dairy, we take it upon ourselves to produce healthy organic milk. Our mission is to distribute it to the general public at an affordable price while maintaining a Grade A product that brings back the taste of the old-fashioned, cream-rising milk.
Visit the CCOF Member Directory to learn more: ccof.org/directory</t>
  </si>
  <si>
    <t>* = Certified in accordance with the terms of the U.S.-Canada Organic Equivalency Arrangement</t>
  </si>
  <si>
    <t>Additional Facilities: 
8385 20th Road, Argos, IN 46501 
Products/services indicated with an asterisk (*) are certified in accordance with the terms of the US-Canada Organic Equivalency Arrangement.</t>
  </si>
  <si>
    <t>*Certified in accordance with the terms of the US-Canada Organic Equivalency</t>
  </si>
  <si>
    <t>Our Swiss family-run dairy has been producing milk for over 90 years. Now we are producing fine Swiss cheeses for Whole Foods, Oliver’s Market, and other upscale markets throughout the California Bay Area. Our award-winning cheeses can also be found at farmers’ markets. We have been traveling to Switzerland to perfect our technique with a master Swiss cheesemaker. Lafranchi Dairy cheese is unique in both style and flavor.
Visit the CCOF Member Directory to learn more: ccof.org/directory</t>
  </si>
  <si>
    <t>Additional Facilities: 
N30321 River Valley Road, Arcadia, WI 54612</t>
  </si>
  <si>
    <t>At LiDestri Foods we utilize over 35 years of experience to be the premier manufacturer of sauce, dips, and salsa in the United States. From coast to coast, we use multiple manufacturing locations to produce more than two million jars of sauces and dips per day.
Visit the CCOF Member Directory to learn more: ccof.org/directory</t>
  </si>
  <si>
    <t>All products listed are certified in accordance with the terms of the EU Organic Equivalency Arrangement.
All products/services listed are certified in accordance with the terms of the US-Canada Organic Equivalency Arrangement.</t>
  </si>
  <si>
    <t>Previously Certified by: OEFFA 2007</t>
  </si>
  <si>
    <t>In the 1980’s we grew our first crop of organic cotton. Since then, our passion for organic farming grew and we have now expanded to grow fruit trees, a variety of vegetables, and raise breeds of turkeys. Our ranch is devoted to growing and raising healthy crops, livestock, and seeds for our families, community, and region.
Visit the CCOF Member Directory to learn more: ccof.org/directory</t>
  </si>
  <si>
    <t>Previously Certified by: OEFFA, 2005.</t>
  </si>
  <si>
    <t>Mazzetta Dairy is home to 170 milking cows that spreads over 495 acres of rolling hills. We do not use any chemical fertilizers or pesticides on our land and use over 50 years of experience to supply the best dairy products we can.
Visit the CCOF Member Directory to learn more: ccof.org/directory</t>
  </si>
  <si>
    <t>At Morrison Brothers Dairy, we see farming as a family affair. My brother and I both grew up on the farm our father began and started our current farm together. We find that pasture-fed cows are healthier and don’t have as much stress as conventionally raised cows. Although it is hard work, it allows us to get to know our cows better which help makes our cows that much happier.
Visit the CCOF Member Directory to learn more: ccof.org/directory</t>
  </si>
  <si>
    <t>The following products are certified in accordance with the terms of the U.S.-Canada Organic Equivalency Arrangement: Soybeans</t>
  </si>
  <si>
    <t>North Central Companies is a reliable ingredient supplier, aiding buyers of all sizes in the agriculture, animal feed, pet food, and food processing industries. For two generations, we've provided product manufacturers with responsive and friendly support through every step of the ingredient supply chain process.
Visit the CCOF Member Directory to learn more: ccof.org/directory</t>
  </si>
  <si>
    <t>*Certified in compliance with the terms of the US-Canada Organic Equivalency Arrangement</t>
  </si>
  <si>
    <t>Previously Certified by: KDA 2009-2012</t>
  </si>
  <si>
    <t>Pink Rose Organix, LLC (PRO) is a custom milling and feed processing facility. Specializing in organic calf pellets, flaked grains, roasted beans/grain &amp; bulk organic poultry feed.
Visit the CCOF Member Directory to learn more: ccof.org/directory</t>
  </si>
  <si>
    <t>Certified in Accordance with the terms of the US-Canada Organic Equivalency Arrangement</t>
  </si>
  <si>
    <t>Processor : Baking, food preserves ( sauce, and tomato derivatives, ) repackaging, butter</t>
  </si>
  <si>
    <t>Previously Certified by Pro-Cert Organic Systems, Ltd. NOP ID 6431364200 Crop &amp; Livestock Scopes 10/18/2013</t>
  </si>
  <si>
    <t>We are a fifth generation family owned locally operated business. Our dairy only produces organic milk and milks three different breeds of dairy cows including Holsteins, Jerseys and cross-breeds. We care about the environment and the community in which we live. We practice sustainable farming methods to preserve our precious environment for ourselves, our community, and as a legacy for generations to come.
Visit the CCOF Member Directory to learn more: ccof.org/directory</t>
  </si>
  <si>
    <t>All products are certified in accordance with the terms of the US-Canada Organic Equivalency Arrangement</t>
  </si>
  <si>
    <t>At Synergy Flavors, we are committed to sustainability and are actively taking steps to reduce the carbon footprint of every stage of our business activities – from the raw materials we source, to the end use of our ingredients.
Visit the CCOF Member Directory to learn more: ccof.org/directory</t>
  </si>
  <si>
    <t>TCHO is a new kind of chocolate company for a new generation of chocolate enthusiasts.
TCHO is where technology meets chocolate; where Silicon Valley start-up meets San Francisco Bay Area food culture.
TCHO is obsessively good dark chocolate.
TCHO is direct, transparent connection between the farmers and the consumers, from the pod to the palate, from high concept to sensual experience.
TCHO is an innovative method for you to discover the chocolate you like best.
TCHO is a new way to discover your chocolate. TCHO has developed a new method (taxonomy) to help you find the chocolate you like, using common sense descriptors like ""Chocolatey", "Fruity", "Nutty", and "Bright".
Visit the CCOF Member Directory to learn more: ccof.org/directory</t>
  </si>
  <si>
    <t>We are a small, family-run business located in Fort Worth, Texas. Terrasoul Superfoods was born out of our desire to find reliable and affordable sources of certified organic, fair trade, and sustainably-grown, nutrient-dense foods.
Visit the CCOF Member Directory to learn more: ccof.org/directory</t>
  </si>
  <si>
    <t>The following products are certified in accordance with the terms of the U.S.-Canada Organic Equivalency Arrangement: Distributing Pre-Packaged Natural Cocoa Powder ON01, Distributing Pre-Packaged Alkalized Cocoa Powder OA01, Alkalized Cocoa Powder &amp; PF800A, Black Cocoa Powder, Chocolate Dairy/Milk Powder: Seneca, Somerset, Splash 14. Natural Cocoa Powder &amp; PF500N, Mexican Hot Chocolate Flavored Dairy Powder, PF900A, Strawberry 7OG</t>
  </si>
  <si>
    <t>Additional Facilities: 
5681 Howard Street, Niles, IL 60714</t>
  </si>
  <si>
    <t>Chris &amp; Nora Bontrager, Kenny &amp; Tressie Bontrager</t>
  </si>
  <si>
    <t>Mission Statement: 
To be a world class dairy ingredient processor and marketer of premium milk powders with emphasis on quality, food, safety, and profitability.
Visit the CCOF Member Directory to learn more: ccof.org/directory</t>
  </si>
  <si>
    <t>With forty years of leadership, Veritable Vegetable (VV) distributes high quality, organic produce to independent cooperatives, retailers, restaurants, schools, corporate campuses and wholesalers. VV supports small to mid-sized organic growers by providing broader access to the marketplace and maximizing the return farmers receive for their product. Based in San Francisco, their distribution area includes California, Arizona, Colorado, Hawaii, Nevada and New Mexico. 
As a social enterprise, Veritable Vegetable lives its values and serves as a model for other businesses. Their award winning green fleet and 99% waste diversion program demonstrate a deep commitment to reducing energy consumption and waste. Veritable Vegetable strengthens communities through strong collaborations and deep relationships with their customers, growers, and community partners. They honor labor by paying workers above living wage, offering an extensive benefits package, and cultivating a fair and dynamic workplace. VV contributes over 10% of annual profits to community organizations and schools to build awareness of, and support for, a sustainable food system. Veritable Vegetable is a women-owned business that uses the power of business to solve social and environmental challenges. 
Visit the CCOF Member Directory to learn more: ccof.org/directory</t>
  </si>
  <si>
    <t>Additional Facilities: 
2350 Nicholson Hill Rd, Ossineke, MI 49766 
All products/services listed are certified in accordance with the terms of the US-Canada Organic Equivalency Arrangement.</t>
  </si>
  <si>
    <t>Certified in accordance with the terms of the US-Canada Organic Equivalency Arrangement.
    Not all certified products have USCOEA verification. For details, request a copy of the OneCert Annex.</t>
  </si>
  <si>
    <t>Total Certified Acres</t>
  </si>
  <si>
    <t>Number of acres certified organic.</t>
  </si>
  <si>
    <t>Broker</t>
  </si>
  <si>
    <t>Yes as applicable</t>
  </si>
  <si>
    <t>Yes</t>
  </si>
  <si>
    <t>Community Supported Agriculture (CSA)</t>
  </si>
  <si>
    <t>Co-Packer</t>
  </si>
  <si>
    <t>Dairy</t>
  </si>
  <si>
    <t>Distributor</t>
  </si>
  <si>
    <t>Marketer/Trader</t>
  </si>
  <si>
    <t>Restaurant</t>
  </si>
  <si>
    <t>Retail Food Establishment</t>
  </si>
  <si>
    <t>Poultry</t>
  </si>
  <si>
    <t>Private Labeler</t>
  </si>
  <si>
    <t>Slaughterhouse</t>
  </si>
  <si>
    <t>Storage</t>
  </si>
  <si>
    <t>Grower Group</t>
  </si>
  <si>
    <t>Data as of Date</t>
  </si>
  <si>
    <t>Date of last update by certifier. MM/DD/YYYY</t>
  </si>
  <si>
    <t>Organic Certificate</t>
  </si>
  <si>
    <t>Certificates are available for certified operations if the Certifier has selected to use INTEGRITY Certificate Module.</t>
  </si>
</sst>
</file>

<file path=xl/styles.xml><?xml version="1.0" encoding="utf-8"?>
<styleSheet xmlns="http://schemas.openxmlformats.org/spreadsheetml/2006/main">
  <numFmts count="3">
    <numFmt formatCode="m/d/yyyy;@" numFmtId="196"/>
    <numFmt formatCode="mm/dd/yyyy" numFmtId="197"/>
    <numFmt formatCode="mm/dd/yy;@" numFmtId="198"/>
  </numFmts>
  <fonts count="5">
    <font>
      <b val="false"/>
      <i val="false"/>
      <u val="none"/>
      <sz val="11"/>
      <color theme="1"/>
      <name val="Calibri"/>
      <scheme val="minor"/>
    </font>
    <font>
      <b val="false"/>
      <i val="false"/>
      <u val="single"/>
      <sz val="11"/>
      <color theme="10"/>
      <name val="Calibri"/>
      <scheme val="minor"/>
    </font>
    <font>
      <b val="true"/>
      <i val="false"/>
      <u val="none"/>
      <sz val="11"/>
      <color theme="1"/>
      <name val="Calibri"/>
      <scheme val="minor"/>
    </font>
    <font>
      <b val="false"/>
      <i val="true"/>
      <u val="none"/>
      <sz val="11"/>
      <color theme="1"/>
      <name val="Calibri"/>
      <scheme val="minor"/>
    </font>
    <font>
      <b val="false"/>
      <i val="false"/>
      <u val="single"/>
      <sz val="11"/>
      <color rgb="050563C1"/>
      <name val="Calibri"/>
      <scheme val="minor"/>
    </font>
  </fonts>
  <fills count="10">
    <fill>
      <patternFill patternType="none"/>
    </fill>
    <fill>
      <patternFill patternType="gray125"/>
    </fill>
    <fill>
      <patternFill patternType="solid">
        <fgColor theme="7" tint="0.6"/>
        <bgColor rgb="FF000000"/>
      </patternFill>
    </fill>
    <fill>
      <patternFill patternType="solid">
        <fgColor rgb="00FFFFFF"/>
        <bgColor rgb="FF000000"/>
      </patternFill>
    </fill>
    <fill>
      <patternFill patternType="solid">
        <fgColor theme="9" tint="0.8"/>
        <bgColor rgb="FF000000"/>
      </patternFill>
    </fill>
    <fill>
      <patternFill patternType="solid">
        <fgColor theme="9" tint="0.6"/>
        <bgColor rgb="FF000000"/>
      </patternFill>
    </fill>
    <fill>
      <patternFill patternType="solid">
        <fgColor theme="8" tint="0.8"/>
        <bgColor rgb="FF000000"/>
      </patternFill>
    </fill>
    <fill>
      <patternFill patternType="solid">
        <fgColor theme="9" tint="0.4"/>
        <bgColor rgb="FF000000"/>
      </patternFill>
    </fill>
    <fill>
      <patternFill patternType="solid">
        <fgColor theme="5" tint="0.8"/>
        <bgColor rgb="FF000000"/>
      </patternFill>
    </fill>
    <fill>
      <patternFill patternType="solid">
        <fgColor rgb="FFFFFF99"/>
        <bgColor rgb="FF000000"/>
      </patternFill>
    </fill>
  </fills>
  <borders count="3">
    <border>
      <left style="none"/>
      <right style="none"/>
      <top style="none"/>
      <bottom style="none"/>
    </border>
    <border>
      <left style="none"/>
      <right style="none"/>
      <top style="none"/>
      <bottom style="thin">
        <color rgb="FF000000"/>
      </bottom>
    </border>
    <border>
      <left style="none"/>
      <right style="none"/>
      <top style="none"/>
      <bottom style="double">
        <color rgb="FF000000"/>
      </bottom>
    </border>
  </borders>
  <cellStyleXfs count="2">
    <xf numFmtId="0" fontId="0" borderId="0" xfId="0" applyNumberFormat="true" applyFont="true" applyFill="true" applyBorder="true" applyAlignment="true" applyProtection="true"/>
    <xf numFmtId="0" fontId="1" borderId="0" xfId="0" applyNumberFormat="false" applyFont="true" applyFill="false" applyBorder="false" applyAlignment="false" applyProtection="false"/>
  </cellStyleXfs>
  <cellXfs count="33">
    <xf numFmtId="0" fontId="0" borderId="0" xfId="0" applyNumberFormat="true" applyFont="true" applyFill="true" applyBorder="true" applyAlignment="true" applyProtection="true"/>
    <xf numFmtId="0" fontId="1" borderId="0" xfId="1" applyNumberFormat="false" applyFont="true" applyFill="false" applyBorder="false" applyAlignment="false" applyProtection="false"/>
    <xf numFmtId="0" fontId="2" fillId="2" borderId="1" xfId="0" applyFont="true" applyFill="true" applyBorder="true">
      <alignment horizontal="left" vertical="top" wrapText="true"/>
    </xf>
    <xf numFmtId="0" fontId="0" borderId="2" xfId="0" applyBorder="true"/>
    <xf numFmtId="0" fontId="3" borderId="2" xfId="0" applyFont="true" applyBorder="true">
      <alignment horizontal="left" vertical="top" wrapText="true"/>
    </xf>
    <xf numFmtId="0" fontId="0" borderId="2" xfId="0" applyBorder="true">
      <alignment horizontal="left" vertical="top" wrapText="true"/>
    </xf>
    <xf numFmtId="0" fontId="0" borderId="0" xfId="0">
      <alignment vertical="top"/>
    </xf>
    <xf numFmtId="49" fontId="2" fillId="4" borderId="1" xfId="0" applyNumberFormat="true" applyFont="true" applyFill="true" applyBorder="true">
      <alignment horizontal="left" vertical="top" wrapText="true"/>
    </xf>
    <xf numFmtId="49" fontId="0" borderId="2" xfId="0" applyNumberFormat="true" applyBorder="true">
      <alignment horizontal="left" vertical="top" wrapText="true"/>
    </xf>
    <xf numFmtId="49" fontId="3" borderId="2" xfId="0" applyNumberFormat="true" applyFont="true" applyBorder="true">
      <alignment horizontal="left" vertical="top" wrapText="true"/>
    </xf>
    <xf numFmtId="49" fontId="0" borderId="0" xfId="0" applyNumberFormat="true">
      <alignment vertical="top"/>
    </xf>
    <xf numFmtId="0" fontId="2" fillId="4" borderId="1" xfId="0" applyFont="true" applyFill="true" applyBorder="true">
      <alignment horizontal="left" vertical="top" wrapText="true"/>
    </xf>
    <xf numFmtId="0" fontId="2" fillId="5" borderId="1" xfId="0" applyFont="true" applyFill="true" applyBorder="true">
      <alignment horizontal="left" vertical="top" wrapText="true"/>
    </xf>
    <xf numFmtId="196" fontId="2" fillId="5" borderId="1" xfId="0" applyNumberFormat="true" applyFont="true" applyFill="true" applyBorder="true">
      <alignment horizontal="left" vertical="top" wrapText="true"/>
    </xf>
    <xf numFmtId="196" fontId="0" borderId="2" xfId="0" applyNumberFormat="true" applyBorder="true">
      <alignment horizontal="left" vertical="top" wrapText="true"/>
    </xf>
    <xf numFmtId="196" fontId="3" borderId="2" xfId="0" applyNumberFormat="true" applyFont="true" applyBorder="true">
      <alignment horizontal="left" vertical="top" wrapText="true"/>
    </xf>
    <xf numFmtId="197" fontId="0" borderId="0" xfId="0" applyNumberFormat="true">
      <alignment horizontal="center" vertical="top"/>
    </xf>
    <xf numFmtId="198" fontId="3" borderId="2" xfId="0" applyNumberFormat="true" applyFont="true" applyBorder="true">
      <alignment vertical="top" wrapText="true"/>
    </xf>
    <xf numFmtId="198" fontId="0" borderId="0" xfId="0" applyNumberFormat="true">
      <alignment vertical="top"/>
    </xf>
    <xf numFmtId="0" fontId="2" fillId="6" borderId="1" xfId="0" applyFont="true" applyFill="true" applyBorder="true">
      <alignment horizontal="left" vertical="top" wrapText="true"/>
    </xf>
    <xf numFmtId="196" fontId="2" fillId="6" borderId="1" xfId="0" applyNumberFormat="true" applyFont="true" applyFill="true" applyBorder="true">
      <alignment horizontal="left" vertical="top" wrapText="true"/>
    </xf>
    <xf numFmtId="14" fontId="0" borderId="0" xfId="0" applyNumberFormat="true">
      <alignment vertical="top"/>
    </xf>
    <xf numFmtId="0" fontId="2" fillId="7" borderId="1" xfId="0" applyFont="true" applyFill="true" applyBorder="true">
      <alignment horizontal="left" vertical="top" wrapText="true"/>
    </xf>
    <xf numFmtId="0" fontId="2" fillId="8" borderId="1" xfId="0" applyFont="true" applyFill="true" applyBorder="true">
      <alignment horizontal="left" vertical="top" wrapText="true"/>
    </xf>
    <xf numFmtId="2" fontId="0" borderId="0" xfId="0" applyNumberFormat="true">
      <alignment vertical="top"/>
    </xf>
    <xf numFmtId="0" fontId="2" fillId="9" borderId="1" xfId="0" applyFont="true" applyFill="true" applyBorder="true">
      <alignment horizontal="left" vertical="top" wrapText="true"/>
    </xf>
    <xf numFmtId="0" fontId="0" borderId="0" xfId="0">
      <alignment horizontal="center" vertical="top"/>
    </xf>
    <xf numFmtId="196" fontId="2" fillId="2" borderId="1" xfId="0" applyNumberFormat="true" applyFont="true" applyFill="true" applyBorder="true">
      <alignment horizontal="left" vertical="top" wrapText="true"/>
    </xf>
    <xf fontId="4" xfId="1" applyFont="true"/>
    <xf numFmtId="0" fontId="2" borderId="1" xfId="0" applyFont="true" applyBorder="true">
      <alignment horizontal="left" vertical="top" wrapText="true"/>
    </xf>
    <xf numFmtId="0" fontId="2" borderId="1" xfId="0" applyFont="true" applyBorder="true">
      <alignment horizontal="left" vertical="top"/>
    </xf>
    <xf numFmtId="0" fontId="3" borderId="2" xfId="0" applyFont="true" applyBorder="true">
      <alignment vertical="top"/>
    </xf>
    <xf fontId="1" xfId="1" applyFont="true"/>
  </cellXfs>
  <cellStyles count="2">
    <cellStyle name="Normal" xfId="0" builtinId="0"/>
    <cellStyle name="Hyperlink" xfId="1" builtinId="8"/>
  </cellStyles>
  <dxfs count="0"/>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majorFont>
      <a:minorFont>
        <a:latin typeface="Calibri"/>
        <a:ea typeface=""/>
        <a:cs typeface=""/>
      </a:minorFont>
    </a:fontScheme>
    <a:fmtScheme name="Office Theme">
      <a:fillStyleLst>
        <a:solidFill>
          <a:schemeClr val="phClr"/>
        </a:solidFill>
        <a:solidFill>
          <a:schemeClr val="phClr"/>
        </a:solidFill>
        <a:solidFill>
          <a:schemeClr val="phClr"/>
        </a:solidFill>
      </a:fillStyleLst>
      <a:lnStyleLst>
        <a:ln>
          <a:solidFill>
            <a:schemeClr val="phClr"/>
          </a:solidFill>
        </a:ln>
        <a:ln>
          <a:solidFill>
            <a:schemeClr val="phClr"/>
          </a:solidFill>
        </a:ln>
        <a:ln>
          <a:solidFill>
            <a:schemeClr val="phClr"/>
          </a:solidFill>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r="http://schemas.openxmlformats.org/officeDocument/2006/relationships" xmlns="http://schemas.openxmlformats.org/spreadsheetml/2006/main">
  <dimension ref="A1:BR2740"/>
  <sheetViews>
    <sheetView zoomScale="100" topLeftCell="AQ1" workbookViewId="0" showGridLines="true" showRowColHeaders="true" view="normal">
      <pane xSplit="0" ySplit="3" topLeftCell="A4" activePane="bottomLeft" state="frozen"/>
      <selection activeCell="BA15" sqref="BA15:BA15" pane="bottomLeft"/>
    </sheetView>
  </sheetViews>
  <sheetFormatPr customHeight="false" defaultColWidth="9.140625" defaultRowHeight="15"/>
  <cols>
    <col min="1" max="1" bestFit="false" customWidth="true" width="17.421875" hidden="false" outlineLevel="0"/>
    <col min="2" max="4" bestFit="false" customWidth="true" style="6" width="27.7109375" hidden="false" outlineLevel="0"/>
    <col min="5" max="5" bestFit="false" customWidth="true" style="10" width="22.7109375" hidden="false" outlineLevel="0"/>
    <col min="6" max="7" bestFit="false" customWidth="true" style="6" width="27.7109375" hidden="false" outlineLevel="0"/>
    <col min="8" max="8" bestFit="false" customWidth="true" style="6" width="22.7109375" hidden="false" outlineLevel="0"/>
    <col min="9" max="9" bestFit="false" customWidth="true" style="6" width="16.7109375" hidden="false" outlineLevel="0"/>
    <col min="10" max="10" bestFit="false" customWidth="true" style="6" width="22.7109375" hidden="false" outlineLevel="0"/>
    <col min="11" max="11" bestFit="false" customWidth="true" style="6" width="16.7109375" hidden="false" outlineLevel="0"/>
    <col min="12" max="12" bestFit="false" customWidth="true" style="21" width="39.7109375" hidden="false" outlineLevel="0"/>
    <col min="13" max="13" bestFit="false" customWidth="true" style="18" width="24.7109375" hidden="false" outlineLevel="0"/>
    <col min="14" max="14" bestFit="false" customWidth="true" style="6" width="20.7109375" hidden="false" outlineLevel="0"/>
    <col min="15" max="15" bestFit="false" customWidth="true" style="21" width="24.7109375" hidden="false" outlineLevel="0"/>
    <col min="16" max="16" bestFit="false" customWidth="true" style="6" width="22.7109375" hidden="false" outlineLevel="0"/>
    <col min="17" max="17" bestFit="false" customWidth="true" style="6" width="16.7109375" hidden="false" outlineLevel="0"/>
    <col min="18" max="18" bestFit="false" customWidth="true" style="6" width="39.7109375" hidden="false" outlineLevel="0"/>
    <col min="19" max="19" bestFit="false" customWidth="true" style="6" width="20.7109375" hidden="false" outlineLevel="0"/>
    <col min="20" max="20" bestFit="false" customWidth="true" style="21" width="24.7109375" hidden="false" outlineLevel="0"/>
    <col min="21" max="21" bestFit="false" customWidth="true" style="6" width="22.7109375" hidden="false" outlineLevel="0"/>
    <col min="22" max="22" bestFit="false" customWidth="true" style="6" width="16.7109375" hidden="false" outlineLevel="0"/>
    <col min="23" max="23" bestFit="false" customWidth="true" style="6" width="39.7109375" hidden="false" outlineLevel="0"/>
    <col min="24" max="24" bestFit="false" customWidth="true" style="6" width="20.7109375" hidden="false" outlineLevel="0"/>
    <col min="25" max="25" bestFit="false" customWidth="true" style="21" width="24.7109375" hidden="false" outlineLevel="0"/>
    <col min="26" max="26" bestFit="false" customWidth="true" style="6" width="22.7109375" hidden="false" outlineLevel="0"/>
    <col min="27" max="27" bestFit="false" customWidth="true" style="6" width="16.7109375" hidden="false" outlineLevel="0"/>
    <col min="28" max="28" bestFit="false" customWidth="true" style="6" width="39.7109375" hidden="false" outlineLevel="0"/>
    <col min="29" max="29" bestFit="false" customWidth="true" style="6" width="20.7109375" hidden="false" outlineLevel="0"/>
    <col min="30" max="30" bestFit="false" customWidth="true" style="21" width="24.7109375" hidden="false" outlineLevel="0"/>
    <col min="31" max="31" bestFit="false" customWidth="true" style="6" width="30.7109375" hidden="false" outlineLevel="0"/>
    <col min="32" max="32" bestFit="false" customWidth="true" style="6" width="20.7109375" hidden="false" outlineLevel="0"/>
    <col min="33" max="34" bestFit="false" customWidth="true" style="6" width="17.7109375" hidden="false" outlineLevel="0"/>
    <col min="35" max="35" bestFit="false" customWidth="true" style="6" width="18.7109375" hidden="false" outlineLevel="0"/>
    <col min="36" max="36" bestFit="false" customWidth="true" style="6" width="13.7109375" hidden="false" outlineLevel="0"/>
    <col min="37" max="37" bestFit="false" customWidth="true" style="6" width="30.7109375" hidden="false" outlineLevel="0"/>
    <col min="38" max="38" bestFit="false" customWidth="true" style="6" width="20.7109375" hidden="false" outlineLevel="0"/>
    <col min="39" max="42" bestFit="false" customWidth="true" style="6" width="17.7109375" hidden="false" outlineLevel="0"/>
    <col min="43" max="43" bestFit="false" customWidth="true" style="6" width="18.7109375" hidden="false" outlineLevel="0"/>
    <col min="44" max="45" bestFit="false" customWidth="true" style="6" width="13.7109375" hidden="false" outlineLevel="0"/>
    <col min="46" max="49" bestFit="false" customWidth="true" style="6" width="20.7109375" hidden="false" outlineLevel="0"/>
    <col min="50" max="50" bestFit="false" customWidth="true" style="6" width="13.7109375" hidden="false" outlineLevel="0"/>
    <col min="51" max="52" bestFit="false" customWidth="true" style="6" width="20.7109375" hidden="false" outlineLevel="0"/>
    <col min="53" max="53" bestFit="false" customWidth="true" style="6" width="25.7109375" hidden="false" outlineLevel="0"/>
    <col min="54" max="54" bestFit="false" customWidth="true" style="6" width="11.7109375" hidden="false" outlineLevel="0"/>
    <col min="55" max="67" bestFit="false" customWidth="true" style="6" width="16.00390625" hidden="false" outlineLevel="0"/>
    <col min="68" max="68" bestFit="false" customWidth="true" style="21" width="16.00390625" hidden="false" outlineLevel="0"/>
    <col min="69" max="69" bestFit="false" customWidth="true" style="32" width="27.7109375" hidden="false" outlineLevel="0"/>
  </cols>
  <sheetData>
    <row r="1" ht="47.25" s="30" customFormat="true" customHeight="true">
      <c r="A1" s="2" t="s">
        <v>0</v>
      </c>
      <c r="B1" s="2" t="s">
        <v>4</v>
      </c>
      <c r="C1" s="2" t="s">
        <v>51</v>
      </c>
      <c r="D1" s="2" t="s">
        <v>98</v>
      </c>
      <c r="E1" s="7" t="s">
        <v>143</v>
      </c>
      <c r="F1" s="11" t="s">
        <v>2882</v>
      </c>
      <c r="G1" s="11" t="s">
        <v>5585</v>
      </c>
      <c r="H1" s="11" t="s">
        <v>5892</v>
      </c>
      <c r="I1" s="11" t="s">
        <v>8381</v>
      </c>
      <c r="J1" s="11" t="s">
        <v>9660</v>
      </c>
      <c r="K1" s="12" t="s">
        <v>10884</v>
      </c>
      <c r="L1" s="13" t="s">
        <v>10887</v>
      </c>
      <c r="M1" s="13" t="s">
        <v>10889</v>
      </c>
      <c r="N1" s="19" t="s">
        <v>10891</v>
      </c>
      <c r="O1" s="20" t="s">
        <v>10894</v>
      </c>
      <c r="P1" s="19" t="s">
        <v>10896</v>
      </c>
      <c r="Q1" s="19" t="s">
        <v>12423</v>
      </c>
      <c r="R1" s="19" t="s">
        <v>12424</v>
      </c>
      <c r="S1" s="19" t="s">
        <v>13157</v>
      </c>
      <c r="T1" s="20" t="s">
        <v>13158</v>
      </c>
      <c r="U1" s="19" t="s">
        <v>13159</v>
      </c>
      <c r="V1" s="19" t="s">
        <v>13965</v>
      </c>
      <c r="W1" s="19" t="s">
        <v>13966</v>
      </c>
      <c r="X1" s="19" t="s">
        <v>13984</v>
      </c>
      <c r="Y1" s="20" t="s">
        <v>13985</v>
      </c>
      <c r="Z1" s="19" t="s">
        <v>13986</v>
      </c>
      <c r="AA1" s="19" t="s">
        <v>13991</v>
      </c>
      <c r="AB1" s="19" t="s">
        <v>13992</v>
      </c>
      <c r="AC1" s="19" t="s">
        <v>13993</v>
      </c>
      <c r="AD1" s="19" t="s">
        <v>13994</v>
      </c>
      <c r="AE1" s="19" t="s">
        <v>13995</v>
      </c>
      <c r="AF1" s="19" t="s">
        <v>14503</v>
      </c>
      <c r="AG1" s="19" t="s">
        <v>14506</v>
      </c>
      <c r="AH1" s="11" t="s">
        <v>14616</v>
      </c>
      <c r="AI1" s="11" t="s">
        <v>17273</v>
      </c>
      <c r="AJ1" s="11" t="s">
        <v>17308</v>
      </c>
      <c r="AK1" s="11" t="s">
        <v>18375</v>
      </c>
      <c r="AL1" s="11" t="s">
        <v>18443</v>
      </c>
      <c r="AM1" s="11" t="s">
        <v>18461</v>
      </c>
      <c r="AN1" s="11" t="s">
        <v>19633</v>
      </c>
      <c r="AO1" s="11" t="s">
        <v>19718</v>
      </c>
      <c r="AP1" s="22" t="s">
        <v>20084</v>
      </c>
      <c r="AQ1" s="22" t="s">
        <v>20470</v>
      </c>
      <c r="AR1" s="22" t="s">
        <v>20490</v>
      </c>
      <c r="AS1" s="22" t="s">
        <v>20590</v>
      </c>
      <c r="AT1" s="22" t="s">
        <v>20592</v>
      </c>
      <c r="AU1" s="22" t="s">
        <v>20593</v>
      </c>
      <c r="AV1" s="22" t="s">
        <v>19633</v>
      </c>
      <c r="AW1" s="22" t="s">
        <v>19718</v>
      </c>
      <c r="AX1" s="11" t="s">
        <v>20741</v>
      </c>
      <c r="AY1" s="11" t="s">
        <v>22550</v>
      </c>
      <c r="AZ1" s="11" t="s">
        <v>23576</v>
      </c>
      <c r="BA1" s="11" t="s">
        <v>23817</v>
      </c>
      <c r="BB1" s="23" t="s">
        <v>23896</v>
      </c>
      <c r="BC1" s="25" t="s">
        <v>23898</v>
      </c>
      <c r="BD1" s="25" t="s">
        <v>23901</v>
      </c>
      <c r="BE1" s="25" t="s">
        <v>23902</v>
      </c>
      <c r="BF1" s="25" t="s">
        <v>23903</v>
      </c>
      <c r="BG1" s="25" t="s">
        <v>23904</v>
      </c>
      <c r="BH1" s="25" t="s">
        <v>23905</v>
      </c>
      <c r="BI1" s="25" t="s">
        <v>23906</v>
      </c>
      <c r="BJ1" s="25" t="s">
        <v>23907</v>
      </c>
      <c r="BK1" s="25" t="s">
        <v>23908</v>
      </c>
      <c r="BL1" s="25" t="s">
        <v>23909</v>
      </c>
      <c r="BM1" s="25" t="s">
        <v>23910</v>
      </c>
      <c r="BN1" s="25" t="s">
        <v>23911</v>
      </c>
      <c r="BO1" s="25" t="s">
        <v>23912</v>
      </c>
      <c r="BP1" s="27" t="s">
        <v>23913</v>
      </c>
      <c r="BQ1" s="27" t="s">
        <v>23915</v>
      </c>
      <c r="BR1" s="29"/>
    </row>
    <row r="2" ht="15.75" s="3" customFormat="true" customHeight="true">
      <c r="A2" s="3" t="s">
        <v>1</v>
      </c>
      <c r="B2" s="5" t="s">
        <v>1</v>
      </c>
      <c r="C2" s="5" t="s">
        <v>1</v>
      </c>
      <c r="D2" s="5" t="s">
        <v>1</v>
      </c>
      <c r="E2" s="8" t="s">
        <v>1</v>
      </c>
      <c r="F2" s="5" t="s">
        <v>1</v>
      </c>
      <c r="G2" s="5" t="s">
        <v>5586</v>
      </c>
      <c r="H2" s="5" t="s">
        <v>5893</v>
      </c>
      <c r="I2" s="5" t="s">
        <v>5893</v>
      </c>
      <c r="J2" s="5" t="s">
        <v>5893</v>
      </c>
      <c r="K2" s="5" t="s">
        <v>1</v>
      </c>
      <c r="L2" s="14" t="s">
        <v>1</v>
      </c>
      <c r="M2" s="5" t="s">
        <v>5893</v>
      </c>
      <c r="N2" s="5" t="s">
        <v>5893</v>
      </c>
      <c r="O2" s="14" t="s">
        <v>5893</v>
      </c>
      <c r="P2" s="5" t="s">
        <v>1</v>
      </c>
      <c r="Q2" s="5"/>
      <c r="R2" s="5" t="s">
        <v>5893</v>
      </c>
      <c r="S2" s="5" t="s">
        <v>5893</v>
      </c>
      <c r="T2" s="14" t="s">
        <v>5893</v>
      </c>
      <c r="U2" s="5"/>
      <c r="V2" s="5"/>
      <c r="W2" s="5"/>
      <c r="X2" s="5" t="s">
        <v>5893</v>
      </c>
      <c r="Y2" s="14" t="s">
        <v>5893</v>
      </c>
      <c r="Z2" s="5"/>
      <c r="AA2" s="5"/>
      <c r="AB2" s="5"/>
      <c r="AC2" s="5" t="s">
        <v>5893</v>
      </c>
      <c r="AD2" s="5" t="s">
        <v>5893</v>
      </c>
      <c r="AE2" s="5"/>
      <c r="AF2" s="5"/>
      <c r="AG2" s="5"/>
      <c r="AH2" s="5" t="s">
        <v>1</v>
      </c>
      <c r="AI2" s="5" t="s">
        <v>5893</v>
      </c>
      <c r="AJ2" s="5" t="s">
        <v>17309</v>
      </c>
      <c r="AK2" s="5" t="s">
        <v>17309</v>
      </c>
      <c r="AL2" s="5" t="s">
        <v>1</v>
      </c>
      <c r="AM2" s="5" t="s">
        <v>17309</v>
      </c>
      <c r="AN2" s="5" t="s">
        <v>5893</v>
      </c>
      <c r="AO2" s="5" t="s">
        <v>5893</v>
      </c>
      <c r="AP2" s="5" t="s">
        <v>1</v>
      </c>
      <c r="AQ2" s="5" t="s">
        <v>5893</v>
      </c>
      <c r="AR2" s="5" t="s">
        <v>17309</v>
      </c>
      <c r="AS2" s="5" t="s">
        <v>17309</v>
      </c>
      <c r="AT2" s="5" t="s">
        <v>1</v>
      </c>
      <c r="AU2" s="5" t="s">
        <v>17309</v>
      </c>
      <c r="AV2" s="5" t="s">
        <v>5893</v>
      </c>
      <c r="AW2" s="5" t="s">
        <v>5893</v>
      </c>
      <c r="AX2" s="5" t="s">
        <v>5893</v>
      </c>
      <c r="AY2" s="5" t="s">
        <v>5893</v>
      </c>
      <c r="AZ2" s="5" t="s">
        <v>5893</v>
      </c>
      <c r="BA2" s="5" t="s">
        <v>5893</v>
      </c>
      <c r="BB2" s="5" t="s">
        <v>5893</v>
      </c>
      <c r="BC2" s="5" t="s">
        <v>5893</v>
      </c>
      <c r="BD2" s="5" t="s">
        <v>5893</v>
      </c>
      <c r="BE2" s="5" t="s">
        <v>5893</v>
      </c>
      <c r="BF2" s="5" t="s">
        <v>5893</v>
      </c>
      <c r="BG2" s="5" t="s">
        <v>5893</v>
      </c>
      <c r="BH2" s="5" t="s">
        <v>5893</v>
      </c>
      <c r="BI2" s="5" t="s">
        <v>5893</v>
      </c>
      <c r="BJ2" s="5" t="s">
        <v>5893</v>
      </c>
      <c r="BK2" s="5" t="s">
        <v>5893</v>
      </c>
      <c r="BL2" s="5" t="s">
        <v>5893</v>
      </c>
      <c r="BM2" s="5" t="s">
        <v>5893</v>
      </c>
      <c r="BN2" s="5" t="s">
        <v>5893</v>
      </c>
      <c r="BO2" s="5" t="s">
        <v>5893</v>
      </c>
      <c r="BP2" s="14" t="s">
        <v>1</v>
      </c>
      <c r="BQ2" s="5" t="s">
        <v>5893</v>
      </c>
    </row>
    <row r="3" ht="92.25" s="31" customFormat="true" customHeight="true">
      <c r="A3" s="4" t="s">
        <v>2</v>
      </c>
      <c r="B3" s="4" t="s">
        <v>5</v>
      </c>
      <c r="C3" s="4" t="s">
        <v>52</v>
      </c>
      <c r="D3" s="4" t="s">
        <v>52</v>
      </c>
      <c r="E3" s="9" t="s">
        <v>144</v>
      </c>
      <c r="F3" s="4" t="s">
        <v>2883</v>
      </c>
      <c r="G3" s="4" t="s">
        <v>5587</v>
      </c>
      <c r="H3" s="9" t="s">
        <v>5894</v>
      </c>
      <c r="I3" s="4"/>
      <c r="J3" s="4"/>
      <c r="K3" s="4" t="s">
        <v>10885</v>
      </c>
      <c r="L3" s="15" t="s">
        <v>10888</v>
      </c>
      <c r="M3" s="17" t="s">
        <v>10890</v>
      </c>
      <c r="N3" s="4" t="s">
        <v>10892</v>
      </c>
      <c r="O3" s="15" t="s">
        <v>10895</v>
      </c>
      <c r="P3" s="4" t="s">
        <v>10897</v>
      </c>
      <c r="Q3" s="4" t="s">
        <v>10897</v>
      </c>
      <c r="R3" s="9" t="s">
        <v>12425</v>
      </c>
      <c r="S3" s="4" t="s">
        <v>10892</v>
      </c>
      <c r="T3" s="15" t="s">
        <v>10895</v>
      </c>
      <c r="U3" s="4" t="s">
        <v>10897</v>
      </c>
      <c r="V3" s="4" t="s">
        <v>10897</v>
      </c>
      <c r="W3" s="9" t="s">
        <v>12425</v>
      </c>
      <c r="X3" s="4" t="s">
        <v>10892</v>
      </c>
      <c r="Y3" s="15" t="s">
        <v>10895</v>
      </c>
      <c r="Z3" s="4" t="s">
        <v>10897</v>
      </c>
      <c r="AA3" s="4" t="s">
        <v>10897</v>
      </c>
      <c r="AB3" s="9" t="s">
        <v>12425</v>
      </c>
      <c r="AC3" s="4" t="s">
        <v>10892</v>
      </c>
      <c r="AD3" s="4" t="s">
        <v>10895</v>
      </c>
      <c r="AE3" s="4" t="s">
        <v>10897</v>
      </c>
      <c r="AF3" s="4" t="s">
        <v>10897</v>
      </c>
      <c r="AG3" s="9" t="s">
        <v>12425</v>
      </c>
      <c r="AH3" s="4" t="s">
        <v>14617</v>
      </c>
      <c r="AI3" s="4"/>
      <c r="AJ3" s="4"/>
      <c r="AK3" s="4"/>
      <c r="AL3" s="4"/>
      <c r="AM3" s="9"/>
      <c r="AN3" s="9"/>
      <c r="AO3" s="9"/>
      <c r="AP3" s="4" t="s">
        <v>14617</v>
      </c>
      <c r="AQ3" s="4"/>
      <c r="AR3" s="4"/>
      <c r="AS3" s="4"/>
      <c r="AT3" s="4"/>
      <c r="AU3" s="9"/>
      <c r="AV3" s="9"/>
      <c r="AW3" s="9"/>
      <c r="AX3" s="9"/>
      <c r="AY3" s="4"/>
      <c r="AZ3" s="4"/>
      <c r="BA3" s="4" t="s">
        <v>23818</v>
      </c>
      <c r="BB3" s="4" t="s">
        <v>23897</v>
      </c>
      <c r="BC3" s="4" t="s">
        <v>23899</v>
      </c>
      <c r="BD3" s="4" t="s">
        <v>23899</v>
      </c>
      <c r="BE3" s="4" t="s">
        <v>23899</v>
      </c>
      <c r="BF3" s="4" t="s">
        <v>23899</v>
      </c>
      <c r="BG3" s="4" t="s">
        <v>23899</v>
      </c>
      <c r="BH3" s="4" t="s">
        <v>23899</v>
      </c>
      <c r="BI3" s="4" t="s">
        <v>23899</v>
      </c>
      <c r="BJ3" s="4" t="s">
        <v>23899</v>
      </c>
      <c r="BK3" s="4" t="s">
        <v>23899</v>
      </c>
      <c r="BL3" s="4" t="s">
        <v>23899</v>
      </c>
      <c r="BM3" s="4" t="s">
        <v>23899</v>
      </c>
      <c r="BN3" s="4" t="s">
        <v>23899</v>
      </c>
      <c r="BO3" s="4" t="s">
        <v>23899</v>
      </c>
      <c r="BP3" s="15" t="s">
        <v>23914</v>
      </c>
      <c r="BQ3" s="17" t="s">
        <v>23916</v>
      </c>
    </row>
    <row r="4" ht="15.75" customHeight="true">
      <c r="A4" t="s">
        <v>3</v>
      </c>
      <c r="B4" s="6" t="s">
        <v>6</v>
      </c>
      <c r="C4" s="6" t="s">
        <v>53</v>
      </c>
      <c r="D4" s="6" t="s">
        <v>99</v>
      </c>
      <c r="E4" s="10" t="s">
        <v>145</v>
      </c>
      <c r="F4" s="6" t="s">
        <v>2884</v>
      </c>
      <c r="G4" s="6" t="s">
        <v>81</v>
      </c>
      <c r="H4" s="6" t="s">
        <v>5895</v>
      </c>
      <c r="I4" s="6" t="s">
        <v>8382</v>
      </c>
      <c r="J4" s="6" t="s">
        <v>9661</v>
      </c>
      <c r="K4" s="6" t="s">
        <v>10886</v>
      </c>
      <c r="L4" s="16" t="n">
        <v>45539</v>
      </c>
      <c r="M4" s="16" t="n">
        <v>45793</v>
      </c>
      <c r="N4" s="6" t="s">
        <v>81</v>
      </c>
      <c r="O4" s="21" t="s">
        <v>81</v>
      </c>
      <c r="P4" s="6" t="s">
        <v>81</v>
      </c>
      <c r="Q4" s="6" t="s">
        <v>81</v>
      </c>
      <c r="R4" s="6" t="s">
        <v>81</v>
      </c>
      <c r="S4" s="6" t="s">
        <v>81</v>
      </c>
      <c r="T4" s="21" t="s">
        <v>81</v>
      </c>
      <c r="U4" s="6" t="s">
        <v>81</v>
      </c>
      <c r="V4" s="6" t="s">
        <v>81</v>
      </c>
      <c r="W4" s="6" t="s">
        <v>81</v>
      </c>
      <c r="X4" s="6" t="s">
        <v>81</v>
      </c>
      <c r="Y4" s="21" t="s">
        <v>81</v>
      </c>
      <c r="Z4" s="6" t="s">
        <v>81</v>
      </c>
      <c r="AA4" s="6" t="s">
        <v>81</v>
      </c>
      <c r="AB4" s="6" t="s">
        <v>81</v>
      </c>
      <c r="AC4" s="6" t="s">
        <v>10886</v>
      </c>
      <c r="AD4" s="16" t="n">
        <v>45539</v>
      </c>
      <c r="AE4" s="6" t="s">
        <v>13996</v>
      </c>
      <c r="AF4" s="6" t="s">
        <v>81</v>
      </c>
      <c r="AG4" s="6" t="s">
        <v>14507</v>
      </c>
      <c r="AH4" s="6" t="s">
        <v>14618</v>
      </c>
      <c r="AI4" s="6" t="s">
        <v>81</v>
      </c>
      <c r="AJ4" s="6" t="s">
        <v>17310</v>
      </c>
      <c r="AK4" s="6" t="s">
        <v>18376</v>
      </c>
      <c r="AL4" s="6" t="s">
        <v>9834</v>
      </c>
      <c r="AM4" s="6" t="s">
        <v>18462</v>
      </c>
      <c r="AN4" s="6" t="s">
        <v>81</v>
      </c>
      <c r="AO4" s="6" t="s">
        <v>81</v>
      </c>
      <c r="AP4" s="6" t="s">
        <v>81</v>
      </c>
      <c r="AQ4" s="6" t="s">
        <v>81</v>
      </c>
      <c r="AR4" s="6" t="s">
        <v>81</v>
      </c>
      <c r="AS4" s="6" t="s">
        <v>81</v>
      </c>
      <c r="AT4" s="6" t="s">
        <v>81</v>
      </c>
      <c r="AU4" s="6" t="s">
        <v>81</v>
      </c>
      <c r="AV4" s="6" t="s">
        <v>81</v>
      </c>
      <c r="AW4" s="6" t="s">
        <v>81</v>
      </c>
      <c r="AX4" s="6" t="s">
        <v>20742</v>
      </c>
      <c r="AY4" s="6" t="s">
        <v>22551</v>
      </c>
      <c r="AZ4" s="6" t="s">
        <v>81</v>
      </c>
      <c r="BA4" s="6" t="s">
        <v>81</v>
      </c>
      <c r="BB4" s="6" t="s">
        <v>81</v>
      </c>
      <c r="BC4" s="26"/>
      <c r="BD4" s="26"/>
      <c r="BE4" s="26"/>
      <c r="BF4" s="26"/>
      <c r="BG4" s="26"/>
      <c r="BH4" s="26"/>
      <c r="BI4" s="26"/>
      <c r="BJ4" s="26"/>
      <c r="BK4" s="26"/>
      <c r="BL4" s="26"/>
      <c r="BM4" s="26"/>
      <c r="BN4" s="26"/>
      <c r="BO4" s="26"/>
      <c r="BP4" s="16" t="n">
        <v>45737</v>
      </c>
      <c r="BQ4" s="28" t="str">
        <f>HYPERLINK("https://organic.ams.usda.gov/Integrity/Certificate.aspx?cid=32&amp;nopid=2233010850")</f>
        <v>https://organic.ams.usda.gov/Integrity/Certificate.aspx?cid=32&amp;nopid=2233010850</v>
      </c>
    </row>
    <row r="5">
      <c r="A5" t="s">
        <v>3</v>
      </c>
      <c r="B5" s="6" t="s">
        <v>7</v>
      </c>
      <c r="C5" s="6" t="s">
        <v>54</v>
      </c>
      <c r="D5" s="6" t="s">
        <v>100</v>
      </c>
      <c r="E5" s="10" t="s">
        <v>146</v>
      </c>
      <c r="F5" s="6" t="s">
        <v>2885</v>
      </c>
      <c r="G5" s="6" t="s">
        <v>81</v>
      </c>
      <c r="H5" s="6" t="s">
        <v>5896</v>
      </c>
      <c r="I5" s="6" t="s">
        <v>8383</v>
      </c>
      <c r="J5" s="6" t="s">
        <v>9662</v>
      </c>
      <c r="K5" s="6" t="s">
        <v>10886</v>
      </c>
      <c r="L5" s="16" t="n">
        <v>42243</v>
      </c>
      <c r="M5" s="16" t="n">
        <v>45716</v>
      </c>
      <c r="N5" s="6" t="s">
        <v>10886</v>
      </c>
      <c r="O5" s="16" t="n">
        <v>42243</v>
      </c>
      <c r="P5" s="6" t="s">
        <v>10898</v>
      </c>
      <c r="Q5" s="6" t="s">
        <v>81</v>
      </c>
      <c r="R5" s="6" t="s">
        <v>81</v>
      </c>
      <c r="S5" s="6" t="s">
        <v>10886</v>
      </c>
      <c r="T5" s="16" t="n">
        <v>42243</v>
      </c>
      <c r="U5" s="6" t="s">
        <v>13160</v>
      </c>
      <c r="V5" s="6" t="s">
        <v>81</v>
      </c>
      <c r="W5" s="6" t="s">
        <v>81</v>
      </c>
      <c r="X5" s="6" t="s">
        <v>81</v>
      </c>
      <c r="Y5" s="21" t="s">
        <v>81</v>
      </c>
      <c r="Z5" s="6" t="s">
        <v>81</v>
      </c>
      <c r="AA5" s="6" t="s">
        <v>81</v>
      </c>
      <c r="AB5" s="6" t="s">
        <v>81</v>
      </c>
      <c r="AC5" s="6" t="s">
        <v>81</v>
      </c>
      <c r="AD5" s="21" t="s">
        <v>81</v>
      </c>
      <c r="AE5" s="6" t="s">
        <v>81</v>
      </c>
      <c r="AF5" s="6" t="s">
        <v>81</v>
      </c>
      <c r="AG5" s="6" t="s">
        <v>81</v>
      </c>
      <c r="AH5" s="6" t="s">
        <v>14619</v>
      </c>
      <c r="AI5" s="6" t="s">
        <v>81</v>
      </c>
      <c r="AJ5" s="6" t="s">
        <v>17311</v>
      </c>
      <c r="AK5" s="6" t="s">
        <v>17712</v>
      </c>
      <c r="AL5" s="6" t="s">
        <v>18444</v>
      </c>
      <c r="AM5" s="6" t="s">
        <v>18463</v>
      </c>
      <c r="AN5" s="6" t="s">
        <v>19634</v>
      </c>
      <c r="AO5" s="6" t="s">
        <v>19719</v>
      </c>
      <c r="AP5" s="6" t="s">
        <v>14619</v>
      </c>
      <c r="AQ5" s="6" t="s">
        <v>81</v>
      </c>
      <c r="AR5" s="6" t="s">
        <v>17311</v>
      </c>
      <c r="AS5" s="6" t="s">
        <v>17712</v>
      </c>
      <c r="AT5" s="6" t="s">
        <v>18444</v>
      </c>
      <c r="AU5" s="6" t="s">
        <v>18463</v>
      </c>
      <c r="AV5" s="6" t="s">
        <v>81</v>
      </c>
      <c r="AW5" s="6" t="s">
        <v>81</v>
      </c>
      <c r="AX5" s="6" t="s">
        <v>20743</v>
      </c>
      <c r="AY5" s="6" t="s">
        <v>81</v>
      </c>
      <c r="AZ5" s="6" t="s">
        <v>81</v>
      </c>
      <c r="BA5" s="6" t="s">
        <v>81</v>
      </c>
      <c r="BB5" s="24" t="n">
        <v>52</v>
      </c>
      <c r="BC5" s="26"/>
      <c r="BD5" s="26"/>
      <c r="BE5" s="26"/>
      <c r="BF5" s="26" t="s">
        <v>23900</v>
      </c>
      <c r="BG5" s="26"/>
      <c r="BH5" s="26"/>
      <c r="BI5" s="26"/>
      <c r="BJ5" s="26"/>
      <c r="BK5" s="26"/>
      <c r="BL5" s="26"/>
      <c r="BM5" s="26"/>
      <c r="BN5" s="26"/>
      <c r="BO5" s="26"/>
      <c r="BP5" s="16" t="n">
        <v>45595</v>
      </c>
      <c r="BQ5" s="28" t="str">
        <f>HYPERLINK("https://organic.ams.usda.gov/Integrity/Certificate.aspx?cid=57&amp;nopid=3252015101")</f>
        <v>https://organic.ams.usda.gov/Integrity/Certificate.aspx?cid=57&amp;nopid=3252015101</v>
      </c>
    </row>
    <row r="6">
      <c r="A6" t="s">
        <v>3</v>
      </c>
      <c r="B6" s="6" t="s">
        <v>8</v>
      </c>
      <c r="C6" s="6" t="s">
        <v>55</v>
      </c>
      <c r="D6" s="6" t="s">
        <v>101</v>
      </c>
      <c r="E6" s="10" t="s">
        <v>147</v>
      </c>
      <c r="F6" s="6" t="s">
        <v>2886</v>
      </c>
      <c r="G6" s="6" t="s">
        <v>81</v>
      </c>
      <c r="H6" s="6" t="s">
        <v>5897</v>
      </c>
      <c r="I6" s="6" t="s">
        <v>8384</v>
      </c>
      <c r="J6" s="6" t="s">
        <v>9663</v>
      </c>
      <c r="K6" s="6" t="s">
        <v>10886</v>
      </c>
      <c r="L6" s="16" t="n">
        <v>40907</v>
      </c>
      <c r="M6" s="16" t="n">
        <v>45689</v>
      </c>
      <c r="N6" s="6" t="s">
        <v>10886</v>
      </c>
      <c r="O6" s="16" t="n">
        <v>40907</v>
      </c>
      <c r="P6" s="6" t="s">
        <v>10899</v>
      </c>
      <c r="Q6" s="6" t="s">
        <v>81</v>
      </c>
      <c r="R6" s="6" t="s">
        <v>5897</v>
      </c>
      <c r="S6" s="6" t="s">
        <v>10886</v>
      </c>
      <c r="T6" s="16" t="n">
        <v>40907</v>
      </c>
      <c r="U6" s="6" t="s">
        <v>13161</v>
      </c>
      <c r="V6" s="6" t="s">
        <v>81</v>
      </c>
      <c r="W6" s="6" t="s">
        <v>5897</v>
      </c>
      <c r="X6" s="6" t="s">
        <v>81</v>
      </c>
      <c r="Y6" s="21" t="s">
        <v>81</v>
      </c>
      <c r="Z6" s="6" t="s">
        <v>81</v>
      </c>
      <c r="AA6" s="6" t="s">
        <v>81</v>
      </c>
      <c r="AB6" s="6" t="s">
        <v>81</v>
      </c>
      <c r="AC6" s="6" t="s">
        <v>81</v>
      </c>
      <c r="AD6" s="21" t="s">
        <v>81</v>
      </c>
      <c r="AE6" s="6" t="s">
        <v>81</v>
      </c>
      <c r="AF6" s="6" t="s">
        <v>81</v>
      </c>
      <c r="AG6" s="6" t="s">
        <v>81</v>
      </c>
      <c r="AH6" s="6" t="s">
        <v>14620</v>
      </c>
      <c r="AI6" s="6" t="s">
        <v>81</v>
      </c>
      <c r="AJ6" s="6" t="s">
        <v>17312</v>
      </c>
      <c r="AK6" s="6" t="s">
        <v>18377</v>
      </c>
      <c r="AL6" s="6" t="s">
        <v>18444</v>
      </c>
      <c r="AM6" s="6" t="s">
        <v>18464</v>
      </c>
      <c r="AN6" s="6" t="s">
        <v>19635</v>
      </c>
      <c r="AO6" s="6" t="s">
        <v>19720</v>
      </c>
      <c r="AP6" s="6" t="s">
        <v>81</v>
      </c>
      <c r="AQ6" s="6" t="s">
        <v>81</v>
      </c>
      <c r="AR6" s="6" t="s">
        <v>81</v>
      </c>
      <c r="AS6" s="6" t="s">
        <v>81</v>
      </c>
      <c r="AT6" s="6" t="s">
        <v>81</v>
      </c>
      <c r="AU6" s="6" t="s">
        <v>81</v>
      </c>
      <c r="AV6" s="6" t="s">
        <v>81</v>
      </c>
      <c r="AW6" s="6" t="s">
        <v>81</v>
      </c>
      <c r="AX6" s="6" t="s">
        <v>81</v>
      </c>
      <c r="AY6" s="6" t="s">
        <v>81</v>
      </c>
      <c r="AZ6" s="6" t="s">
        <v>81</v>
      </c>
      <c r="BA6" s="6" t="s">
        <v>23819</v>
      </c>
      <c r="BB6" s="24" t="n">
        <v>183</v>
      </c>
      <c r="BC6" s="26"/>
      <c r="BD6" s="26"/>
      <c r="BE6" s="26"/>
      <c r="BF6" s="26"/>
      <c r="BG6" s="26"/>
      <c r="BH6" s="26"/>
      <c r="BI6" s="26"/>
      <c r="BJ6" s="26"/>
      <c r="BK6" s="26"/>
      <c r="BL6" s="26"/>
      <c r="BM6" s="26"/>
      <c r="BN6" s="26"/>
      <c r="BO6" s="26"/>
      <c r="BP6" s="16" t="n">
        <v>45695</v>
      </c>
      <c r="BQ6" s="28" t="str">
        <f>HYPERLINK("https://organic.ams.usda.gov/Integrity/Certificate.aspx?cid=45&amp;nopid=9950004710")</f>
        <v>https://organic.ams.usda.gov/Integrity/Certificate.aspx?cid=45&amp;nopid=9950004710</v>
      </c>
    </row>
    <row r="7">
      <c r="A7" t="s">
        <v>3</v>
      </c>
      <c r="B7" s="6" t="s">
        <v>9</v>
      </c>
      <c r="C7" s="6" t="s">
        <v>56</v>
      </c>
      <c r="D7" s="6" t="s">
        <v>102</v>
      </c>
      <c r="E7" s="10" t="s">
        <v>148</v>
      </c>
      <c r="F7" s="6" t="s">
        <v>2887</v>
      </c>
      <c r="G7" s="6" t="s">
        <v>81</v>
      </c>
      <c r="H7" s="6" t="s">
        <v>5898</v>
      </c>
      <c r="I7" s="6" t="s">
        <v>81</v>
      </c>
      <c r="J7" s="6" t="s">
        <v>81</v>
      </c>
      <c r="K7" s="6" t="s">
        <v>10886</v>
      </c>
      <c r="L7" s="16" t="n">
        <v>41477</v>
      </c>
      <c r="M7" s="16" t="n">
        <v>45748</v>
      </c>
      <c r="N7" s="6" t="s">
        <v>10886</v>
      </c>
      <c r="O7" s="16" t="n">
        <v>41477</v>
      </c>
      <c r="P7" s="6" t="s">
        <v>10900</v>
      </c>
      <c r="Q7" s="6" t="s">
        <v>81</v>
      </c>
      <c r="R7" s="6" t="s">
        <v>12426</v>
      </c>
      <c r="S7" s="6" t="s">
        <v>10886</v>
      </c>
      <c r="T7" s="16" t="n">
        <v>41477</v>
      </c>
      <c r="U7" s="6" t="s">
        <v>13162</v>
      </c>
      <c r="V7" s="6" t="s">
        <v>81</v>
      </c>
      <c r="W7" s="6" t="s">
        <v>12426</v>
      </c>
      <c r="X7" s="6" t="s">
        <v>81</v>
      </c>
      <c r="Y7" s="21" t="s">
        <v>81</v>
      </c>
      <c r="Z7" s="6" t="s">
        <v>81</v>
      </c>
      <c r="AA7" s="6" t="s">
        <v>81</v>
      </c>
      <c r="AB7" s="6" t="s">
        <v>81</v>
      </c>
      <c r="AC7" s="6" t="s">
        <v>81</v>
      </c>
      <c r="AD7" s="21" t="s">
        <v>81</v>
      </c>
      <c r="AE7" s="6" t="s">
        <v>81</v>
      </c>
      <c r="AF7" s="6" t="s">
        <v>81</v>
      </c>
      <c r="AG7" s="6" t="s">
        <v>81</v>
      </c>
      <c r="AH7" s="6" t="s">
        <v>14621</v>
      </c>
      <c r="AI7" s="6" t="s">
        <v>81</v>
      </c>
      <c r="AJ7" s="6" t="s">
        <v>17313</v>
      </c>
      <c r="AK7" s="6" t="s">
        <v>18377</v>
      </c>
      <c r="AL7" s="6" t="s">
        <v>18444</v>
      </c>
      <c r="AM7" s="6" t="s">
        <v>18465</v>
      </c>
      <c r="AN7" s="6" t="s">
        <v>6505</v>
      </c>
      <c r="AO7" s="6" t="s">
        <v>19721</v>
      </c>
      <c r="AP7" s="6" t="s">
        <v>81</v>
      </c>
      <c r="AQ7" s="6" t="s">
        <v>81</v>
      </c>
      <c r="AR7" s="6" t="s">
        <v>81</v>
      </c>
      <c r="AS7" s="6" t="s">
        <v>81</v>
      </c>
      <c r="AT7" s="6" t="s">
        <v>81</v>
      </c>
      <c r="AU7" s="6" t="s">
        <v>81</v>
      </c>
      <c r="AV7" s="6" t="s">
        <v>81</v>
      </c>
      <c r="AW7" s="6" t="s">
        <v>81</v>
      </c>
      <c r="AX7" s="6" t="s">
        <v>20744</v>
      </c>
      <c r="AY7" s="6" t="s">
        <v>22552</v>
      </c>
      <c r="AZ7" s="6" t="s">
        <v>81</v>
      </c>
      <c r="BA7" s="6" t="s">
        <v>81</v>
      </c>
      <c r="BB7" s="24" t="n">
        <v>352</v>
      </c>
      <c r="BC7" s="26"/>
      <c r="BD7" s="26"/>
      <c r="BE7" s="26"/>
      <c r="BF7" s="26"/>
      <c r="BG7" s="26"/>
      <c r="BH7" s="26"/>
      <c r="BI7" s="26"/>
      <c r="BJ7" s="26"/>
      <c r="BK7" s="26"/>
      <c r="BL7" s="26"/>
      <c r="BM7" s="26"/>
      <c r="BN7" s="26"/>
      <c r="BO7" s="26"/>
      <c r="BP7" s="16" t="n">
        <v>45738</v>
      </c>
      <c r="BQ7" s="28" t="str">
        <f>HYPERLINK("https://organic.ams.usda.gov/Integrity/Certificate.aspx?cid=52&amp;nopid=8431300500")</f>
        <v>https://organic.ams.usda.gov/Integrity/Certificate.aspx?cid=52&amp;nopid=8431300500</v>
      </c>
    </row>
    <row r="8">
      <c r="A8" t="s">
        <v>3</v>
      </c>
      <c r="B8" s="6" t="s">
        <v>10</v>
      </c>
      <c r="C8" s="6" t="s">
        <v>57</v>
      </c>
      <c r="D8" s="6" t="s">
        <v>103</v>
      </c>
      <c r="E8" s="10" t="s">
        <v>149</v>
      </c>
      <c r="F8" s="6" t="s">
        <v>2888</v>
      </c>
      <c r="G8" s="6" t="s">
        <v>81</v>
      </c>
      <c r="H8" s="6" t="s">
        <v>5899</v>
      </c>
      <c r="I8" s="6" t="s">
        <v>8385</v>
      </c>
      <c r="J8" s="6" t="s">
        <v>9664</v>
      </c>
      <c r="K8" s="6" t="s">
        <v>10886</v>
      </c>
      <c r="L8" s="16" t="n">
        <v>39965</v>
      </c>
      <c r="M8" s="16" t="n">
        <v>45748</v>
      </c>
      <c r="N8" s="6" t="s">
        <v>10886</v>
      </c>
      <c r="O8" s="16" t="n">
        <v>39965</v>
      </c>
      <c r="P8" s="6" t="s">
        <v>10901</v>
      </c>
      <c r="Q8" s="6" t="s">
        <v>81</v>
      </c>
      <c r="R8" s="6" t="s">
        <v>12427</v>
      </c>
      <c r="S8" s="6" t="s">
        <v>10886</v>
      </c>
      <c r="T8" s="16" t="n">
        <v>44562</v>
      </c>
      <c r="U8" s="6" t="s">
        <v>13163</v>
      </c>
      <c r="V8" s="6" t="s">
        <v>81</v>
      </c>
      <c r="W8" s="6" t="s">
        <v>81</v>
      </c>
      <c r="X8" s="6" t="s">
        <v>81</v>
      </c>
      <c r="Y8" s="21" t="s">
        <v>81</v>
      </c>
      <c r="Z8" s="6" t="s">
        <v>81</v>
      </c>
      <c r="AA8" s="6" t="s">
        <v>81</v>
      </c>
      <c r="AB8" s="6" t="s">
        <v>81</v>
      </c>
      <c r="AC8" s="6" t="s">
        <v>81</v>
      </c>
      <c r="AD8" s="21" t="s">
        <v>81</v>
      </c>
      <c r="AE8" s="6" t="s">
        <v>81</v>
      </c>
      <c r="AF8" s="6" t="s">
        <v>81</v>
      </c>
      <c r="AG8" s="6" t="s">
        <v>81</v>
      </c>
      <c r="AH8" s="6" t="s">
        <v>14622</v>
      </c>
      <c r="AI8" s="6" t="s">
        <v>81</v>
      </c>
      <c r="AJ8" s="6" t="s">
        <v>17314</v>
      </c>
      <c r="AK8" s="6" t="s">
        <v>18378</v>
      </c>
      <c r="AL8" s="6" t="s">
        <v>18444</v>
      </c>
      <c r="AM8" s="6" t="s">
        <v>18466</v>
      </c>
      <c r="AN8" s="6" t="s">
        <v>19636</v>
      </c>
      <c r="AO8" s="6" t="s">
        <v>19722</v>
      </c>
      <c r="AP8" s="6" t="s">
        <v>14622</v>
      </c>
      <c r="AQ8" s="6" t="s">
        <v>81</v>
      </c>
      <c r="AR8" s="6" t="s">
        <v>17314</v>
      </c>
      <c r="AS8" s="6" t="s">
        <v>18378</v>
      </c>
      <c r="AT8" s="6" t="s">
        <v>18444</v>
      </c>
      <c r="AU8" s="6" t="s">
        <v>18466</v>
      </c>
      <c r="AV8" s="6" t="s">
        <v>81</v>
      </c>
      <c r="AW8" s="6" t="s">
        <v>81</v>
      </c>
      <c r="AX8" s="6" t="s">
        <v>20745</v>
      </c>
      <c r="AY8" s="6" t="s">
        <v>81</v>
      </c>
      <c r="AZ8" s="6" t="s">
        <v>81</v>
      </c>
      <c r="BA8" s="6" t="s">
        <v>81</v>
      </c>
      <c r="BB8" s="24" t="n">
        <v>129</v>
      </c>
      <c r="BC8" s="26"/>
      <c r="BD8" s="26"/>
      <c r="BE8" s="26"/>
      <c r="BF8" s="26"/>
      <c r="BG8" s="26"/>
      <c r="BH8" s="26"/>
      <c r="BI8" s="26"/>
      <c r="BJ8" s="26"/>
      <c r="BK8" s="26"/>
      <c r="BL8" s="26"/>
      <c r="BM8" s="26"/>
      <c r="BN8" s="26"/>
      <c r="BO8" s="26"/>
      <c r="BP8" s="16" t="n">
        <v>45730</v>
      </c>
      <c r="BQ8" s="28" t="str">
        <f>HYPERLINK("https://organic.ams.usda.gov/Integrity/Certificate.aspx?cid=90&amp;nopid=7170220445")</f>
        <v>https://organic.ams.usda.gov/Integrity/Certificate.aspx?cid=90&amp;nopid=7170220445</v>
      </c>
    </row>
    <row r="9">
      <c r="A9" t="s">
        <v>3</v>
      </c>
      <c r="B9" s="6" t="s">
        <v>10</v>
      </c>
      <c r="C9" s="6" t="s">
        <v>57</v>
      </c>
      <c r="D9" s="6" t="s">
        <v>103</v>
      </c>
      <c r="E9" s="10" t="s">
        <v>150</v>
      </c>
      <c r="F9" s="6" t="s">
        <v>2889</v>
      </c>
      <c r="G9" s="6" t="s">
        <v>81</v>
      </c>
      <c r="H9" s="6" t="s">
        <v>5900</v>
      </c>
      <c r="I9" s="6" t="s">
        <v>8386</v>
      </c>
      <c r="J9" s="6" t="s">
        <v>9665</v>
      </c>
      <c r="K9" s="6" t="s">
        <v>10886</v>
      </c>
      <c r="L9" s="16" t="n">
        <v>42875</v>
      </c>
      <c r="M9" s="16" t="n">
        <v>45748</v>
      </c>
      <c r="N9" s="6" t="s">
        <v>10886</v>
      </c>
      <c r="O9" s="16" t="n">
        <v>42875</v>
      </c>
      <c r="P9" s="6" t="s">
        <v>10902</v>
      </c>
      <c r="Q9" s="6" t="s">
        <v>81</v>
      </c>
      <c r="R9" s="6" t="s">
        <v>12428</v>
      </c>
      <c r="S9" s="6" t="s">
        <v>10886</v>
      </c>
      <c r="T9" s="16" t="n">
        <v>42875</v>
      </c>
      <c r="U9" s="6" t="s">
        <v>13164</v>
      </c>
      <c r="V9" s="6" t="s">
        <v>81</v>
      </c>
      <c r="W9" s="6" t="s">
        <v>81</v>
      </c>
      <c r="X9" s="6" t="s">
        <v>81</v>
      </c>
      <c r="Y9" s="21" t="s">
        <v>81</v>
      </c>
      <c r="Z9" s="6" t="s">
        <v>81</v>
      </c>
      <c r="AA9" s="6" t="s">
        <v>81</v>
      </c>
      <c r="AB9" s="6" t="s">
        <v>81</v>
      </c>
      <c r="AC9" s="6" t="s">
        <v>81</v>
      </c>
      <c r="AD9" s="21" t="s">
        <v>81</v>
      </c>
      <c r="AE9" s="6" t="s">
        <v>81</v>
      </c>
      <c r="AF9" s="6" t="s">
        <v>81</v>
      </c>
      <c r="AG9" s="6" t="s">
        <v>81</v>
      </c>
      <c r="AH9" s="6" t="s">
        <v>14623</v>
      </c>
      <c r="AI9" s="6" t="s">
        <v>81</v>
      </c>
      <c r="AJ9" s="6" t="s">
        <v>17315</v>
      </c>
      <c r="AK9" s="6" t="s">
        <v>18379</v>
      </c>
      <c r="AL9" s="6" t="s">
        <v>18444</v>
      </c>
      <c r="AM9" s="6" t="s">
        <v>18467</v>
      </c>
      <c r="AN9" s="6" t="s">
        <v>19637</v>
      </c>
      <c r="AO9" s="6" t="s">
        <v>19723</v>
      </c>
      <c r="AP9" s="6" t="s">
        <v>14623</v>
      </c>
      <c r="AQ9" s="6" t="s">
        <v>81</v>
      </c>
      <c r="AR9" s="6" t="s">
        <v>17315</v>
      </c>
      <c r="AS9" s="6" t="s">
        <v>18379</v>
      </c>
      <c r="AT9" s="6" t="s">
        <v>18444</v>
      </c>
      <c r="AU9" s="6" t="s">
        <v>18467</v>
      </c>
      <c r="AV9" s="6" t="s">
        <v>81</v>
      </c>
      <c r="AW9" s="6" t="s">
        <v>81</v>
      </c>
      <c r="AX9" s="6" t="s">
        <v>20746</v>
      </c>
      <c r="AY9" s="6" t="s">
        <v>81</v>
      </c>
      <c r="AZ9" s="6" t="s">
        <v>81</v>
      </c>
      <c r="BA9" s="6" t="s">
        <v>81</v>
      </c>
      <c r="BB9" s="24" t="n">
        <v>64</v>
      </c>
      <c r="BC9" s="26"/>
      <c r="BD9" s="26"/>
      <c r="BE9" s="26"/>
      <c r="BF9" s="26"/>
      <c r="BG9" s="26"/>
      <c r="BH9" s="26"/>
      <c r="BI9" s="26"/>
      <c r="BJ9" s="26"/>
      <c r="BK9" s="26"/>
      <c r="BL9" s="26"/>
      <c r="BM9" s="26"/>
      <c r="BN9" s="26"/>
      <c r="BO9" s="26"/>
      <c r="BP9" s="16" t="n">
        <v>45730</v>
      </c>
      <c r="BQ9" s="28" t="str">
        <f>HYPERLINK("https://organic.ams.usda.gov/Integrity/Certificate.aspx?cid=90&amp;nopid=7170019015")</f>
        <v>https://organic.ams.usda.gov/Integrity/Certificate.aspx?cid=90&amp;nopid=7170019015</v>
      </c>
    </row>
    <row r="10">
      <c r="A10" t="s">
        <v>3</v>
      </c>
      <c r="B10" s="6" t="s">
        <v>11</v>
      </c>
      <c r="C10" s="6" t="s">
        <v>58</v>
      </c>
      <c r="D10" s="6" t="s">
        <v>104</v>
      </c>
      <c r="E10" s="10" t="s">
        <v>151</v>
      </c>
      <c r="F10" s="6" t="s">
        <v>2890</v>
      </c>
      <c r="G10" s="6" t="s">
        <v>81</v>
      </c>
      <c r="H10" s="6" t="s">
        <v>81</v>
      </c>
      <c r="I10" s="6" t="s">
        <v>8387</v>
      </c>
      <c r="J10" s="6" t="s">
        <v>9666</v>
      </c>
      <c r="K10" s="6" t="s">
        <v>10886</v>
      </c>
      <c r="L10" s="16" t="n">
        <v>41809</v>
      </c>
      <c r="M10" s="16" t="n">
        <v>45748</v>
      </c>
      <c r="N10" s="6" t="s">
        <v>10886</v>
      </c>
      <c r="O10" s="16" t="n">
        <v>41809</v>
      </c>
      <c r="P10" s="6" t="s">
        <v>10903</v>
      </c>
      <c r="Q10" s="6" t="s">
        <v>81</v>
      </c>
      <c r="R10" s="6" t="s">
        <v>81</v>
      </c>
      <c r="S10" s="6" t="s">
        <v>10886</v>
      </c>
      <c r="T10" s="16" t="n">
        <v>44468</v>
      </c>
      <c r="U10" s="6" t="s">
        <v>13165</v>
      </c>
      <c r="V10" s="6" t="s">
        <v>81</v>
      </c>
      <c r="W10" s="6" t="s">
        <v>81</v>
      </c>
      <c r="X10" s="6" t="s">
        <v>81</v>
      </c>
      <c r="Y10" s="21" t="s">
        <v>81</v>
      </c>
      <c r="Z10" s="6" t="s">
        <v>81</v>
      </c>
      <c r="AA10" s="6" t="s">
        <v>81</v>
      </c>
      <c r="AB10" s="6" t="s">
        <v>81</v>
      </c>
      <c r="AC10" s="6" t="s">
        <v>81</v>
      </c>
      <c r="AD10" s="21" t="s">
        <v>81</v>
      </c>
      <c r="AE10" s="6" t="s">
        <v>81</v>
      </c>
      <c r="AF10" s="6" t="s">
        <v>81</v>
      </c>
      <c r="AG10" s="6" t="s">
        <v>81</v>
      </c>
      <c r="AH10" s="6" t="s">
        <v>14624</v>
      </c>
      <c r="AI10" s="6" t="s">
        <v>81</v>
      </c>
      <c r="AJ10" s="6" t="s">
        <v>17316</v>
      </c>
      <c r="AK10" s="6" t="s">
        <v>18377</v>
      </c>
      <c r="AL10" s="6" t="s">
        <v>18444</v>
      </c>
      <c r="AM10" s="6" t="s">
        <v>18468</v>
      </c>
      <c r="AN10" s="6" t="s">
        <v>19638</v>
      </c>
      <c r="AO10" s="6" t="s">
        <v>19724</v>
      </c>
      <c r="AP10" s="6" t="s">
        <v>14624</v>
      </c>
      <c r="AQ10" s="6" t="s">
        <v>81</v>
      </c>
      <c r="AR10" s="6" t="s">
        <v>17316</v>
      </c>
      <c r="AS10" s="6" t="s">
        <v>18377</v>
      </c>
      <c r="AT10" s="6" t="s">
        <v>18444</v>
      </c>
      <c r="AU10" s="6" t="s">
        <v>18468</v>
      </c>
      <c r="AV10" s="6" t="s">
        <v>81</v>
      </c>
      <c r="AW10" s="6" t="s">
        <v>81</v>
      </c>
      <c r="AX10" s="6" t="s">
        <v>81</v>
      </c>
      <c r="AY10" s="6" t="s">
        <v>81</v>
      </c>
      <c r="AZ10" s="6" t="s">
        <v>81</v>
      </c>
      <c r="BA10" s="6" t="s">
        <v>23820</v>
      </c>
      <c r="BB10" s="24" t="n">
        <v>84</v>
      </c>
      <c r="BC10" s="26"/>
      <c r="BD10" s="26"/>
      <c r="BE10" s="26"/>
      <c r="BF10" s="26"/>
      <c r="BG10" s="26"/>
      <c r="BH10" s="26"/>
      <c r="BI10" s="26"/>
      <c r="BJ10" s="26"/>
      <c r="BK10" s="26"/>
      <c r="BL10" s="26"/>
      <c r="BM10" s="26"/>
      <c r="BN10" s="26"/>
      <c r="BO10" s="26"/>
      <c r="BP10" s="16" t="n">
        <v>45706</v>
      </c>
      <c r="BQ10" s="28" t="str">
        <f>HYPERLINK("https://organic.ams.usda.gov/Integrity/Certificate.aspx?cid=46&amp;nopid=3671400012")</f>
        <v>https://organic.ams.usda.gov/Integrity/Certificate.aspx?cid=46&amp;nopid=3671400012</v>
      </c>
    </row>
    <row r="11">
      <c r="A11" t="s">
        <v>3</v>
      </c>
      <c r="B11" s="6" t="s">
        <v>12</v>
      </c>
      <c r="C11" s="6" t="s">
        <v>59</v>
      </c>
      <c r="D11" s="6" t="s">
        <v>105</v>
      </c>
      <c r="E11" s="10" t="s">
        <v>152</v>
      </c>
      <c r="F11" s="6" t="s">
        <v>2891</v>
      </c>
      <c r="G11" s="6" t="s">
        <v>81</v>
      </c>
      <c r="H11" s="6" t="s">
        <v>5901</v>
      </c>
      <c r="I11" s="6" t="s">
        <v>8388</v>
      </c>
      <c r="J11" s="6" t="s">
        <v>9667</v>
      </c>
      <c r="K11" s="6" t="s">
        <v>10886</v>
      </c>
      <c r="L11" s="16" t="n">
        <v>37764</v>
      </c>
      <c r="M11" s="16" t="n">
        <v>45717</v>
      </c>
      <c r="N11" s="6" t="s">
        <v>10886</v>
      </c>
      <c r="O11" s="16" t="n">
        <v>37764</v>
      </c>
      <c r="P11" s="6" t="s">
        <v>10904</v>
      </c>
      <c r="Q11" s="6" t="s">
        <v>81</v>
      </c>
      <c r="R11" s="6" t="s">
        <v>81</v>
      </c>
      <c r="S11" s="6" t="s">
        <v>10886</v>
      </c>
      <c r="T11" s="16" t="n">
        <v>37764</v>
      </c>
      <c r="U11" s="6" t="s">
        <v>13166</v>
      </c>
      <c r="V11" s="6" t="s">
        <v>81</v>
      </c>
      <c r="W11" s="6" t="s">
        <v>81</v>
      </c>
      <c r="X11" s="6" t="s">
        <v>81</v>
      </c>
      <c r="Y11" s="21" t="s">
        <v>81</v>
      </c>
      <c r="Z11" s="6" t="s">
        <v>81</v>
      </c>
      <c r="AA11" s="6" t="s">
        <v>81</v>
      </c>
      <c r="AB11" s="6" t="s">
        <v>81</v>
      </c>
      <c r="AC11" s="6" t="s">
        <v>81</v>
      </c>
      <c r="AD11" s="21" t="s">
        <v>81</v>
      </c>
      <c r="AE11" s="6" t="s">
        <v>81</v>
      </c>
      <c r="AF11" s="6" t="s">
        <v>81</v>
      </c>
      <c r="AG11" s="6" t="s">
        <v>81</v>
      </c>
      <c r="AH11" s="6" t="s">
        <v>14625</v>
      </c>
      <c r="AI11" s="6" t="s">
        <v>81</v>
      </c>
      <c r="AJ11" s="6" t="s">
        <v>17317</v>
      </c>
      <c r="AK11" s="6" t="s">
        <v>18380</v>
      </c>
      <c r="AL11" s="6" t="s">
        <v>18444</v>
      </c>
      <c r="AM11" s="6" t="s">
        <v>18469</v>
      </c>
      <c r="AN11" s="6" t="s">
        <v>19639</v>
      </c>
      <c r="AO11" s="6" t="s">
        <v>19725</v>
      </c>
      <c r="AP11" s="6" t="s">
        <v>14625</v>
      </c>
      <c r="AQ11" s="6" t="s">
        <v>81</v>
      </c>
      <c r="AR11" s="6" t="s">
        <v>17317</v>
      </c>
      <c r="AS11" s="6" t="s">
        <v>18380</v>
      </c>
      <c r="AT11" s="6" t="s">
        <v>18444</v>
      </c>
      <c r="AU11" s="6" t="s">
        <v>18469</v>
      </c>
      <c r="AV11" s="6" t="s">
        <v>81</v>
      </c>
      <c r="AW11" s="6" t="s">
        <v>81</v>
      </c>
      <c r="AX11" s="6" t="s">
        <v>20747</v>
      </c>
      <c r="AY11" s="6" t="s">
        <v>81</v>
      </c>
      <c r="AZ11" s="6" t="s">
        <v>81</v>
      </c>
      <c r="BA11" s="6" t="s">
        <v>81</v>
      </c>
      <c r="BB11" s="24" t="n">
        <v>98</v>
      </c>
      <c r="BC11" s="26"/>
      <c r="BD11" s="26"/>
      <c r="BE11" s="26"/>
      <c r="BF11" s="26"/>
      <c r="BG11" s="26"/>
      <c r="BH11" s="26"/>
      <c r="BI11" s="26"/>
      <c r="BJ11" s="26"/>
      <c r="BK11" s="26"/>
      <c r="BL11" s="26"/>
      <c r="BM11" s="26"/>
      <c r="BN11" s="26"/>
      <c r="BO11" s="26"/>
      <c r="BP11" s="16" t="n">
        <v>45684</v>
      </c>
      <c r="BQ11" s="28" t="str">
        <f>HYPERLINK("https://organic.ams.usda.gov/Integrity/Certificate.aspx?cid=68&amp;nopid=8210002144")</f>
        <v>https://organic.ams.usda.gov/Integrity/Certificate.aspx?cid=68&amp;nopid=8210002144</v>
      </c>
    </row>
    <row r="12">
      <c r="A12" t="s">
        <v>3</v>
      </c>
      <c r="B12" s="6" t="s">
        <v>10</v>
      </c>
      <c r="C12" s="6" t="s">
        <v>57</v>
      </c>
      <c r="D12" s="6" t="s">
        <v>103</v>
      </c>
      <c r="E12" s="10" t="s">
        <v>153</v>
      </c>
      <c r="F12" s="6" t="s">
        <v>2892</v>
      </c>
      <c r="G12" s="6" t="s">
        <v>81</v>
      </c>
      <c r="H12" s="6" t="s">
        <v>5902</v>
      </c>
      <c r="I12" s="6" t="s">
        <v>8385</v>
      </c>
      <c r="J12" s="6" t="s">
        <v>9668</v>
      </c>
      <c r="K12" s="6" t="s">
        <v>10886</v>
      </c>
      <c r="L12" s="16" t="n">
        <v>45384</v>
      </c>
      <c r="M12" s="16" t="n">
        <v>45748</v>
      </c>
      <c r="N12" s="6" t="s">
        <v>10886</v>
      </c>
      <c r="O12" s="16" t="n">
        <v>43537</v>
      </c>
      <c r="P12" s="6" t="s">
        <v>10905</v>
      </c>
      <c r="Q12" s="6" t="s">
        <v>81</v>
      </c>
      <c r="R12" s="6" t="s">
        <v>12429</v>
      </c>
      <c r="S12" s="6" t="s">
        <v>10886</v>
      </c>
      <c r="T12" s="16" t="n">
        <v>43537</v>
      </c>
      <c r="U12" s="6" t="s">
        <v>13163</v>
      </c>
      <c r="V12" s="6" t="s">
        <v>81</v>
      </c>
      <c r="W12" s="6" t="s">
        <v>81</v>
      </c>
      <c r="X12" s="6" t="s">
        <v>81</v>
      </c>
      <c r="Y12" s="21" t="s">
        <v>81</v>
      </c>
      <c r="Z12" s="6" t="s">
        <v>81</v>
      </c>
      <c r="AA12" s="6" t="s">
        <v>81</v>
      </c>
      <c r="AB12" s="6" t="s">
        <v>81</v>
      </c>
      <c r="AC12" s="6" t="s">
        <v>81</v>
      </c>
      <c r="AD12" s="21" t="s">
        <v>81</v>
      </c>
      <c r="AE12" s="6" t="s">
        <v>81</v>
      </c>
      <c r="AF12" s="6" t="s">
        <v>81</v>
      </c>
      <c r="AG12" s="6" t="s">
        <v>81</v>
      </c>
      <c r="AH12" s="6" t="s">
        <v>14626</v>
      </c>
      <c r="AI12" s="6" t="s">
        <v>81</v>
      </c>
      <c r="AJ12" s="6" t="s">
        <v>17318</v>
      </c>
      <c r="AK12" s="6" t="s">
        <v>18379</v>
      </c>
      <c r="AL12" s="6" t="s">
        <v>18444</v>
      </c>
      <c r="AM12" s="6" t="s">
        <v>18470</v>
      </c>
      <c r="AN12" s="6" t="s">
        <v>81</v>
      </c>
      <c r="AO12" s="6" t="s">
        <v>81</v>
      </c>
      <c r="AP12" s="6" t="s">
        <v>14626</v>
      </c>
      <c r="AQ12" s="6" t="s">
        <v>81</v>
      </c>
      <c r="AR12" s="6" t="s">
        <v>17318</v>
      </c>
      <c r="AS12" s="6" t="s">
        <v>18379</v>
      </c>
      <c r="AT12" s="6" t="s">
        <v>18444</v>
      </c>
      <c r="AU12" s="6" t="s">
        <v>18470</v>
      </c>
      <c r="AV12" s="6" t="s">
        <v>81</v>
      </c>
      <c r="AW12" s="6" t="s">
        <v>81</v>
      </c>
      <c r="AX12" s="6" t="s">
        <v>20748</v>
      </c>
      <c r="AY12" s="6" t="s">
        <v>81</v>
      </c>
      <c r="AZ12" s="6" t="s">
        <v>81</v>
      </c>
      <c r="BA12" s="6" t="s">
        <v>81</v>
      </c>
      <c r="BB12" s="24" t="n">
        <v>60</v>
      </c>
      <c r="BC12" s="26"/>
      <c r="BD12" s="26"/>
      <c r="BE12" s="26"/>
      <c r="BF12" s="26"/>
      <c r="BG12" s="26"/>
      <c r="BH12" s="26"/>
      <c r="BI12" s="26"/>
      <c r="BJ12" s="26"/>
      <c r="BK12" s="26"/>
      <c r="BL12" s="26"/>
      <c r="BM12" s="26"/>
      <c r="BN12" s="26"/>
      <c r="BO12" s="26"/>
      <c r="BP12" s="16" t="n">
        <v>45730</v>
      </c>
      <c r="BQ12" s="28" t="str">
        <f>HYPERLINK("https://organic.ams.usda.gov/Integrity/Certificate.aspx?cid=90&amp;nopid=7170240757")</f>
        <v>https://organic.ams.usda.gov/Integrity/Certificate.aspx?cid=90&amp;nopid=7170240757</v>
      </c>
    </row>
    <row r="13">
      <c r="A13" t="s">
        <v>3</v>
      </c>
      <c r="B13" s="6" t="s">
        <v>13</v>
      </c>
      <c r="C13" s="6" t="s">
        <v>60</v>
      </c>
      <c r="D13" s="6" t="s">
        <v>106</v>
      </c>
      <c r="E13" s="10" t="s">
        <v>154</v>
      </c>
      <c r="F13" s="6" t="s">
        <v>2893</v>
      </c>
      <c r="G13" s="6" t="s">
        <v>81</v>
      </c>
      <c r="H13" s="6" t="s">
        <v>5903</v>
      </c>
      <c r="I13" s="6" t="s">
        <v>8385</v>
      </c>
      <c r="J13" s="6" t="s">
        <v>9669</v>
      </c>
      <c r="K13" s="6" t="s">
        <v>10886</v>
      </c>
      <c r="L13" s="16" t="n">
        <v>42688</v>
      </c>
      <c r="M13" s="16" t="n">
        <v>45748</v>
      </c>
      <c r="N13" s="6" t="s">
        <v>10886</v>
      </c>
      <c r="O13" s="16" t="n">
        <v>42688</v>
      </c>
      <c r="P13" s="6" t="s">
        <v>10906</v>
      </c>
      <c r="Q13" s="6" t="s">
        <v>81</v>
      </c>
      <c r="R13" s="6" t="s">
        <v>12430</v>
      </c>
      <c r="S13" s="6" t="s">
        <v>10886</v>
      </c>
      <c r="T13" s="16" t="n">
        <v>42809</v>
      </c>
      <c r="U13" s="6" t="s">
        <v>13167</v>
      </c>
      <c r="V13" s="6" t="s">
        <v>81</v>
      </c>
      <c r="W13" s="6" t="s">
        <v>12430</v>
      </c>
      <c r="X13" s="6" t="s">
        <v>81</v>
      </c>
      <c r="Y13" s="21" t="s">
        <v>81</v>
      </c>
      <c r="Z13" s="6" t="s">
        <v>81</v>
      </c>
      <c r="AA13" s="6" t="s">
        <v>81</v>
      </c>
      <c r="AB13" s="6" t="s">
        <v>81</v>
      </c>
      <c r="AC13" s="6" t="s">
        <v>81</v>
      </c>
      <c r="AD13" s="21" t="s">
        <v>81</v>
      </c>
      <c r="AE13" s="6" t="s">
        <v>81</v>
      </c>
      <c r="AF13" s="6" t="s">
        <v>81</v>
      </c>
      <c r="AG13" s="6" t="s">
        <v>81</v>
      </c>
      <c r="AH13" s="6" t="s">
        <v>14627</v>
      </c>
      <c r="AI13" s="6" t="s">
        <v>81</v>
      </c>
      <c r="AJ13" s="6" t="s">
        <v>17319</v>
      </c>
      <c r="AK13" s="6" t="s">
        <v>18378</v>
      </c>
      <c r="AL13" s="6" t="s">
        <v>18444</v>
      </c>
      <c r="AM13" s="6" t="s">
        <v>18471</v>
      </c>
      <c r="AN13" s="6" t="s">
        <v>19640</v>
      </c>
      <c r="AO13" s="6" t="s">
        <v>19726</v>
      </c>
      <c r="AP13" s="6" t="s">
        <v>14627</v>
      </c>
      <c r="AQ13" s="6" t="s">
        <v>81</v>
      </c>
      <c r="AR13" s="6" t="s">
        <v>17319</v>
      </c>
      <c r="AS13" s="6" t="s">
        <v>18378</v>
      </c>
      <c r="AT13" s="6" t="s">
        <v>18444</v>
      </c>
      <c r="AU13" s="6" t="s">
        <v>18471</v>
      </c>
      <c r="AV13" s="6" t="s">
        <v>81</v>
      </c>
      <c r="AW13" s="6" t="s">
        <v>81</v>
      </c>
      <c r="AX13" s="6" t="s">
        <v>20749</v>
      </c>
      <c r="AY13" s="6" t="s">
        <v>81</v>
      </c>
      <c r="AZ13" s="6" t="s">
        <v>81</v>
      </c>
      <c r="BA13" s="6" t="s">
        <v>81</v>
      </c>
      <c r="BB13" s="24" t="n">
        <v>180</v>
      </c>
      <c r="BC13" s="26"/>
      <c r="BD13" s="26"/>
      <c r="BE13" s="26"/>
      <c r="BF13" s="26" t="s">
        <v>23900</v>
      </c>
      <c r="BG13" s="26"/>
      <c r="BH13" s="26"/>
      <c r="BI13" s="26"/>
      <c r="BJ13" s="26"/>
      <c r="BK13" s="26"/>
      <c r="BL13" s="26"/>
      <c r="BM13" s="26"/>
      <c r="BN13" s="26"/>
      <c r="BO13" s="26"/>
      <c r="BP13" s="16" t="n">
        <v>45663</v>
      </c>
      <c r="BQ13" s="28" t="str">
        <f>HYPERLINK("https://organic.ams.usda.gov/Integrity/Certificate.aspx?cid=72&amp;nopid=5870002553")</f>
        <v>https://organic.ams.usda.gov/Integrity/Certificate.aspx?cid=72&amp;nopid=5870002553</v>
      </c>
    </row>
    <row r="14">
      <c r="A14" t="s">
        <v>3</v>
      </c>
      <c r="B14" s="6" t="s">
        <v>9</v>
      </c>
      <c r="C14" s="6" t="s">
        <v>56</v>
      </c>
      <c r="D14" s="6" t="s">
        <v>102</v>
      </c>
      <c r="E14" s="10" t="s">
        <v>155</v>
      </c>
      <c r="F14" s="6" t="s">
        <v>2894</v>
      </c>
      <c r="G14" s="6" t="s">
        <v>81</v>
      </c>
      <c r="H14" s="6" t="s">
        <v>5904</v>
      </c>
      <c r="I14" s="6" t="s">
        <v>8385</v>
      </c>
      <c r="J14" s="6" t="s">
        <v>9670</v>
      </c>
      <c r="K14" s="6" t="s">
        <v>10886</v>
      </c>
      <c r="L14" s="16" t="n">
        <v>44218</v>
      </c>
      <c r="M14" s="16" t="n">
        <v>45748</v>
      </c>
      <c r="N14" s="6" t="s">
        <v>10886</v>
      </c>
      <c r="O14" s="16" t="n">
        <v>44218</v>
      </c>
      <c r="P14" s="6" t="s">
        <v>10907</v>
      </c>
      <c r="Q14" s="6" t="s">
        <v>81</v>
      </c>
      <c r="R14" s="6" t="s">
        <v>12431</v>
      </c>
      <c r="S14" s="6" t="s">
        <v>10886</v>
      </c>
      <c r="T14" s="16" t="n">
        <v>44218</v>
      </c>
      <c r="U14" s="6" t="s">
        <v>13168</v>
      </c>
      <c r="V14" s="6" t="s">
        <v>81</v>
      </c>
      <c r="W14" s="6" t="s">
        <v>12431</v>
      </c>
      <c r="X14" s="6" t="s">
        <v>81</v>
      </c>
      <c r="Y14" s="21" t="s">
        <v>81</v>
      </c>
      <c r="Z14" s="6" t="s">
        <v>81</v>
      </c>
      <c r="AA14" s="6" t="s">
        <v>81</v>
      </c>
      <c r="AB14" s="6" t="s">
        <v>81</v>
      </c>
      <c r="AC14" s="6" t="s">
        <v>81</v>
      </c>
      <c r="AD14" s="21" t="s">
        <v>81</v>
      </c>
      <c r="AE14" s="6" t="s">
        <v>81</v>
      </c>
      <c r="AF14" s="6" t="s">
        <v>81</v>
      </c>
      <c r="AG14" s="6" t="s">
        <v>81</v>
      </c>
      <c r="AH14" s="6" t="s">
        <v>14628</v>
      </c>
      <c r="AI14" s="6" t="s">
        <v>81</v>
      </c>
      <c r="AJ14" s="6" t="s">
        <v>17320</v>
      </c>
      <c r="AK14" s="6" t="s">
        <v>18378</v>
      </c>
      <c r="AL14" s="6" t="s">
        <v>18444</v>
      </c>
      <c r="AM14" s="6" t="s">
        <v>18472</v>
      </c>
      <c r="AN14" s="6" t="s">
        <v>19641</v>
      </c>
      <c r="AO14" s="6" t="s">
        <v>19727</v>
      </c>
      <c r="AP14" s="6" t="s">
        <v>81</v>
      </c>
      <c r="AQ14" s="6" t="s">
        <v>81</v>
      </c>
      <c r="AR14" s="6" t="s">
        <v>81</v>
      </c>
      <c r="AS14" s="6" t="s">
        <v>81</v>
      </c>
      <c r="AT14" s="6" t="s">
        <v>81</v>
      </c>
      <c r="AU14" s="6" t="s">
        <v>81</v>
      </c>
      <c r="AV14" s="6" t="s">
        <v>81</v>
      </c>
      <c r="AW14" s="6" t="s">
        <v>81</v>
      </c>
      <c r="AX14" s="6" t="s">
        <v>20750</v>
      </c>
      <c r="AY14" s="6" t="s">
        <v>81</v>
      </c>
      <c r="AZ14" s="6" t="s">
        <v>81</v>
      </c>
      <c r="BA14" s="6" t="s">
        <v>81</v>
      </c>
      <c r="BB14" s="24" t="n">
        <v>242</v>
      </c>
      <c r="BC14" s="26"/>
      <c r="BD14" s="26"/>
      <c r="BE14" s="26"/>
      <c r="BF14" s="26"/>
      <c r="BG14" s="26"/>
      <c r="BH14" s="26"/>
      <c r="BI14" s="26"/>
      <c r="BJ14" s="26"/>
      <c r="BK14" s="26"/>
      <c r="BL14" s="26"/>
      <c r="BM14" s="26"/>
      <c r="BN14" s="26"/>
      <c r="BO14" s="26"/>
      <c r="BP14" s="16" t="n">
        <v>45738</v>
      </c>
      <c r="BQ14" s="28" t="str">
        <f>HYPERLINK("https://organic.ams.usda.gov/Integrity/Certificate.aspx?cid=52&amp;nopid=8432001921")</f>
        <v>https://organic.ams.usda.gov/Integrity/Certificate.aspx?cid=52&amp;nopid=8432001921</v>
      </c>
    </row>
    <row r="15">
      <c r="A15" t="s">
        <v>3</v>
      </c>
      <c r="B15" s="6" t="s">
        <v>7</v>
      </c>
      <c r="C15" s="6" t="s">
        <v>54</v>
      </c>
      <c r="D15" s="6" t="s">
        <v>100</v>
      </c>
      <c r="E15" s="10" t="s">
        <v>156</v>
      </c>
      <c r="F15" s="6" t="s">
        <v>2895</v>
      </c>
      <c r="G15" s="6" t="s">
        <v>81</v>
      </c>
      <c r="H15" s="6" t="s">
        <v>5905</v>
      </c>
      <c r="I15" s="6" t="s">
        <v>8385</v>
      </c>
      <c r="J15" s="6" t="s">
        <v>9671</v>
      </c>
      <c r="K15" s="6" t="s">
        <v>10886</v>
      </c>
      <c r="L15" s="16" t="n">
        <v>42916</v>
      </c>
      <c r="M15" s="16" t="n">
        <v>45716</v>
      </c>
      <c r="N15" s="6" t="s">
        <v>10886</v>
      </c>
      <c r="O15" s="16" t="n">
        <v>42916</v>
      </c>
      <c r="P15" s="6" t="s">
        <v>10908</v>
      </c>
      <c r="Q15" s="6" t="s">
        <v>81</v>
      </c>
      <c r="R15" s="6" t="s">
        <v>81</v>
      </c>
      <c r="S15" s="6" t="s">
        <v>10886</v>
      </c>
      <c r="T15" s="16" t="n">
        <v>42916</v>
      </c>
      <c r="U15" s="6" t="s">
        <v>13169</v>
      </c>
      <c r="V15" s="6" t="s">
        <v>81</v>
      </c>
      <c r="W15" s="6" t="s">
        <v>81</v>
      </c>
      <c r="X15" s="6" t="s">
        <v>81</v>
      </c>
      <c r="Y15" s="21" t="s">
        <v>81</v>
      </c>
      <c r="Z15" s="6" t="s">
        <v>81</v>
      </c>
      <c r="AA15" s="6" t="s">
        <v>81</v>
      </c>
      <c r="AB15" s="6" t="s">
        <v>81</v>
      </c>
      <c r="AC15" s="6" t="s">
        <v>81</v>
      </c>
      <c r="AD15" s="21" t="s">
        <v>81</v>
      </c>
      <c r="AE15" s="6" t="s">
        <v>81</v>
      </c>
      <c r="AF15" s="6" t="s">
        <v>81</v>
      </c>
      <c r="AG15" s="6" t="s">
        <v>81</v>
      </c>
      <c r="AH15" s="6" t="s">
        <v>14629</v>
      </c>
      <c r="AI15" s="6" t="s">
        <v>81</v>
      </c>
      <c r="AJ15" s="6" t="s">
        <v>17321</v>
      </c>
      <c r="AK15" s="6" t="s">
        <v>17712</v>
      </c>
      <c r="AL15" s="6" t="s">
        <v>18444</v>
      </c>
      <c r="AM15" s="6" t="s">
        <v>18473</v>
      </c>
      <c r="AN15" s="6" t="s">
        <v>19642</v>
      </c>
      <c r="AO15" s="6" t="s">
        <v>19728</v>
      </c>
      <c r="AP15" s="6" t="s">
        <v>14629</v>
      </c>
      <c r="AQ15" s="6" t="s">
        <v>81</v>
      </c>
      <c r="AR15" s="6" t="s">
        <v>17321</v>
      </c>
      <c r="AS15" s="6" t="s">
        <v>17712</v>
      </c>
      <c r="AT15" s="6" t="s">
        <v>18444</v>
      </c>
      <c r="AU15" s="6" t="s">
        <v>18473</v>
      </c>
      <c r="AV15" s="6" t="s">
        <v>81</v>
      </c>
      <c r="AW15" s="6" t="s">
        <v>81</v>
      </c>
      <c r="AX15" s="6" t="s">
        <v>20751</v>
      </c>
      <c r="AY15" s="6" t="s">
        <v>81</v>
      </c>
      <c r="AZ15" s="6" t="s">
        <v>81</v>
      </c>
      <c r="BA15" s="6" t="s">
        <v>81</v>
      </c>
      <c r="BB15" s="24" t="n">
        <v>128</v>
      </c>
      <c r="BC15" s="26"/>
      <c r="BD15" s="26"/>
      <c r="BE15" s="26"/>
      <c r="BF15" s="26" t="s">
        <v>23900</v>
      </c>
      <c r="BG15" s="26"/>
      <c r="BH15" s="26"/>
      <c r="BI15" s="26"/>
      <c r="BJ15" s="26"/>
      <c r="BK15" s="26"/>
      <c r="BL15" s="26"/>
      <c r="BM15" s="26"/>
      <c r="BN15" s="26"/>
      <c r="BO15" s="26"/>
      <c r="BP15" s="16" t="n">
        <v>45595</v>
      </c>
      <c r="BQ15" s="28" t="str">
        <f>HYPERLINK("https://organic.ams.usda.gov/Integrity/Certificate.aspx?cid=57&amp;nopid=3252017101")</f>
        <v>https://organic.ams.usda.gov/Integrity/Certificate.aspx?cid=57&amp;nopid=3252017101</v>
      </c>
    </row>
    <row r="16">
      <c r="A16" t="s">
        <v>3</v>
      </c>
      <c r="B16" s="6" t="s">
        <v>12</v>
      </c>
      <c r="C16" s="6" t="s">
        <v>59</v>
      </c>
      <c r="D16" s="6" t="s">
        <v>105</v>
      </c>
      <c r="E16" s="10" t="s">
        <v>157</v>
      </c>
      <c r="F16" s="6" t="s">
        <v>2896</v>
      </c>
      <c r="G16" s="6" t="s">
        <v>81</v>
      </c>
      <c r="H16" s="6" t="s">
        <v>5906</v>
      </c>
      <c r="I16" s="6" t="s">
        <v>8385</v>
      </c>
      <c r="J16" s="6" t="s">
        <v>9672</v>
      </c>
      <c r="K16" s="6" t="s">
        <v>10886</v>
      </c>
      <c r="L16" s="16" t="n">
        <v>42874</v>
      </c>
      <c r="M16" s="16" t="n">
        <v>46082</v>
      </c>
      <c r="N16" s="6" t="s">
        <v>10886</v>
      </c>
      <c r="O16" s="16" t="n">
        <v>42874</v>
      </c>
      <c r="P16" s="6" t="s">
        <v>10909</v>
      </c>
      <c r="Q16" s="6" t="s">
        <v>81</v>
      </c>
      <c r="R16" s="6" t="s">
        <v>81</v>
      </c>
      <c r="S16" s="6" t="s">
        <v>10886</v>
      </c>
      <c r="T16" s="16" t="n">
        <v>42874</v>
      </c>
      <c r="U16" s="6" t="s">
        <v>13170</v>
      </c>
      <c r="V16" s="6" t="s">
        <v>81</v>
      </c>
      <c r="W16" s="6" t="s">
        <v>81</v>
      </c>
      <c r="X16" s="6" t="s">
        <v>81</v>
      </c>
      <c r="Y16" s="21" t="s">
        <v>81</v>
      </c>
      <c r="Z16" s="6" t="s">
        <v>81</v>
      </c>
      <c r="AA16" s="6" t="s">
        <v>81</v>
      </c>
      <c r="AB16" s="6" t="s">
        <v>81</v>
      </c>
      <c r="AC16" s="6" t="s">
        <v>81</v>
      </c>
      <c r="AD16" s="21" t="s">
        <v>81</v>
      </c>
      <c r="AE16" s="6" t="s">
        <v>81</v>
      </c>
      <c r="AF16" s="6" t="s">
        <v>81</v>
      </c>
      <c r="AG16" s="6" t="s">
        <v>81</v>
      </c>
      <c r="AH16" s="6" t="s">
        <v>14630</v>
      </c>
      <c r="AI16" s="6" t="s">
        <v>81</v>
      </c>
      <c r="AJ16" s="6" t="s">
        <v>17322</v>
      </c>
      <c r="AK16" s="6" t="s">
        <v>18380</v>
      </c>
      <c r="AL16" s="6" t="s">
        <v>18444</v>
      </c>
      <c r="AM16" s="6" t="s">
        <v>18474</v>
      </c>
      <c r="AN16" s="6" t="s">
        <v>6139</v>
      </c>
      <c r="AO16" s="6" t="s">
        <v>19729</v>
      </c>
      <c r="AP16" s="6" t="s">
        <v>14630</v>
      </c>
      <c r="AQ16" s="6" t="s">
        <v>81</v>
      </c>
      <c r="AR16" s="6" t="s">
        <v>17322</v>
      </c>
      <c r="AS16" s="6" t="s">
        <v>18380</v>
      </c>
      <c r="AT16" s="6" t="s">
        <v>18444</v>
      </c>
      <c r="AU16" s="6" t="s">
        <v>18474</v>
      </c>
      <c r="AV16" s="6" t="s">
        <v>81</v>
      </c>
      <c r="AW16" s="6" t="s">
        <v>81</v>
      </c>
      <c r="AX16" s="6" t="s">
        <v>20752</v>
      </c>
      <c r="AY16" s="6" t="s">
        <v>81</v>
      </c>
      <c r="AZ16" s="6" t="s">
        <v>81</v>
      </c>
      <c r="BA16" s="6" t="s">
        <v>81</v>
      </c>
      <c r="BB16" s="24" t="n">
        <v>94</v>
      </c>
      <c r="BC16" s="26"/>
      <c r="BD16" s="26"/>
      <c r="BE16" s="26"/>
      <c r="BF16" s="26" t="s">
        <v>23900</v>
      </c>
      <c r="BG16" s="26"/>
      <c r="BH16" s="26"/>
      <c r="BI16" s="26"/>
      <c r="BJ16" s="26"/>
      <c r="BK16" s="26"/>
      <c r="BL16" s="26"/>
      <c r="BM16" s="26"/>
      <c r="BN16" s="26"/>
      <c r="BO16" s="26"/>
      <c r="BP16" s="16" t="n">
        <v>45736</v>
      </c>
      <c r="BQ16" s="28" t="str">
        <f>HYPERLINK("https://organic.ams.usda.gov/Integrity/Certificate.aspx?cid=68&amp;nopid=8210004352")</f>
        <v>https://organic.ams.usda.gov/Integrity/Certificate.aspx?cid=68&amp;nopid=8210004352</v>
      </c>
    </row>
    <row r="17">
      <c r="A17" t="s">
        <v>3</v>
      </c>
      <c r="B17" s="6" t="s">
        <v>7</v>
      </c>
      <c r="C17" s="6" t="s">
        <v>54</v>
      </c>
      <c r="D17" s="6" t="s">
        <v>100</v>
      </c>
      <c r="E17" s="10" t="s">
        <v>158</v>
      </c>
      <c r="F17" s="6" t="s">
        <v>2897</v>
      </c>
      <c r="G17" s="6" t="s">
        <v>81</v>
      </c>
      <c r="H17" s="6" t="s">
        <v>5907</v>
      </c>
      <c r="I17" s="6" t="s">
        <v>8385</v>
      </c>
      <c r="J17" s="6" t="s">
        <v>9673</v>
      </c>
      <c r="K17" s="6" t="s">
        <v>10886</v>
      </c>
      <c r="L17" s="16" t="n">
        <v>42874</v>
      </c>
      <c r="M17" s="16" t="n">
        <v>45716</v>
      </c>
      <c r="N17" s="6" t="s">
        <v>10886</v>
      </c>
      <c r="O17" s="16" t="n">
        <v>45490</v>
      </c>
      <c r="P17" s="6" t="s">
        <v>10910</v>
      </c>
      <c r="Q17" s="6" t="s">
        <v>81</v>
      </c>
      <c r="R17" s="6" t="s">
        <v>81</v>
      </c>
      <c r="S17" s="6" t="s">
        <v>10886</v>
      </c>
      <c r="T17" s="16" t="n">
        <v>45490</v>
      </c>
      <c r="U17" s="6" t="s">
        <v>13169</v>
      </c>
      <c r="V17" s="6" t="s">
        <v>81</v>
      </c>
      <c r="W17" s="6" t="s">
        <v>81</v>
      </c>
      <c r="X17" s="6" t="s">
        <v>81</v>
      </c>
      <c r="Y17" s="21" t="s">
        <v>81</v>
      </c>
      <c r="Z17" s="6" t="s">
        <v>81</v>
      </c>
      <c r="AA17" s="6" t="s">
        <v>81</v>
      </c>
      <c r="AB17" s="6" t="s">
        <v>81</v>
      </c>
      <c r="AC17" s="6" t="s">
        <v>81</v>
      </c>
      <c r="AD17" s="21" t="s">
        <v>81</v>
      </c>
      <c r="AE17" s="6" t="s">
        <v>81</v>
      </c>
      <c r="AF17" s="6" t="s">
        <v>81</v>
      </c>
      <c r="AG17" s="6" t="s">
        <v>81</v>
      </c>
      <c r="AH17" s="6" t="s">
        <v>14631</v>
      </c>
      <c r="AI17" s="6" t="s">
        <v>81</v>
      </c>
      <c r="AJ17" s="6" t="s">
        <v>17323</v>
      </c>
      <c r="AK17" s="6" t="s">
        <v>17712</v>
      </c>
      <c r="AL17" s="6" t="s">
        <v>18444</v>
      </c>
      <c r="AM17" s="6" t="s">
        <v>18475</v>
      </c>
      <c r="AN17" s="6" t="s">
        <v>81</v>
      </c>
      <c r="AO17" s="6" t="s">
        <v>81</v>
      </c>
      <c r="AP17" s="6" t="s">
        <v>14631</v>
      </c>
      <c r="AQ17" s="6" t="s">
        <v>81</v>
      </c>
      <c r="AR17" s="6" t="s">
        <v>17323</v>
      </c>
      <c r="AS17" s="6" t="s">
        <v>17712</v>
      </c>
      <c r="AT17" s="6" t="s">
        <v>18444</v>
      </c>
      <c r="AU17" s="6" t="s">
        <v>18475</v>
      </c>
      <c r="AV17" s="6" t="s">
        <v>81</v>
      </c>
      <c r="AW17" s="6" t="s">
        <v>81</v>
      </c>
      <c r="AX17" s="6" t="s">
        <v>20753</v>
      </c>
      <c r="AY17" s="6" t="s">
        <v>81</v>
      </c>
      <c r="AZ17" s="6" t="s">
        <v>81</v>
      </c>
      <c r="BA17" s="6" t="s">
        <v>81</v>
      </c>
      <c r="BB17" s="24" t="n">
        <v>296</v>
      </c>
      <c r="BC17" s="26"/>
      <c r="BD17" s="26"/>
      <c r="BE17" s="26"/>
      <c r="BF17" s="26"/>
      <c r="BG17" s="26"/>
      <c r="BH17" s="26"/>
      <c r="BI17" s="26"/>
      <c r="BJ17" s="26"/>
      <c r="BK17" s="26"/>
      <c r="BL17" s="26"/>
      <c r="BM17" s="26"/>
      <c r="BN17" s="26"/>
      <c r="BO17" s="26"/>
      <c r="BP17" s="16" t="n">
        <v>45595</v>
      </c>
      <c r="BQ17" s="28" t="str">
        <f>HYPERLINK("https://organic.ams.usda.gov/Integrity/Certificate.aspx?cid=57&amp;nopid=3252024038")</f>
        <v>https://organic.ams.usda.gov/Integrity/Certificate.aspx?cid=57&amp;nopid=3252024038</v>
      </c>
    </row>
    <row r="18">
      <c r="A18" t="s">
        <v>3</v>
      </c>
      <c r="B18" s="6" t="s">
        <v>12</v>
      </c>
      <c r="C18" s="6" t="s">
        <v>59</v>
      </c>
      <c r="D18" s="6" t="s">
        <v>105</v>
      </c>
      <c r="E18" s="10" t="s">
        <v>159</v>
      </c>
      <c r="F18" s="6" t="s">
        <v>2898</v>
      </c>
      <c r="G18" s="6" t="s">
        <v>81</v>
      </c>
      <c r="H18" s="6" t="s">
        <v>5908</v>
      </c>
      <c r="I18" s="6" t="s">
        <v>8389</v>
      </c>
      <c r="J18" s="6" t="s">
        <v>9674</v>
      </c>
      <c r="K18" s="6" t="s">
        <v>10886</v>
      </c>
      <c r="L18" s="16" t="n">
        <v>42641</v>
      </c>
      <c r="M18" s="16" t="n">
        <v>45717</v>
      </c>
      <c r="N18" s="6" t="s">
        <v>10886</v>
      </c>
      <c r="O18" s="16" t="n">
        <v>42641</v>
      </c>
      <c r="P18" s="6" t="s">
        <v>10910</v>
      </c>
      <c r="Q18" s="6" t="s">
        <v>81</v>
      </c>
      <c r="R18" s="6" t="s">
        <v>81</v>
      </c>
      <c r="S18" s="6" t="s">
        <v>10886</v>
      </c>
      <c r="T18" s="16" t="n">
        <v>42641</v>
      </c>
      <c r="U18" s="6" t="s">
        <v>13171</v>
      </c>
      <c r="V18" s="6" t="s">
        <v>81</v>
      </c>
      <c r="W18" s="6" t="s">
        <v>81</v>
      </c>
      <c r="X18" s="6" t="s">
        <v>81</v>
      </c>
      <c r="Y18" s="21" t="s">
        <v>81</v>
      </c>
      <c r="Z18" s="6" t="s">
        <v>81</v>
      </c>
      <c r="AA18" s="6" t="s">
        <v>81</v>
      </c>
      <c r="AB18" s="6" t="s">
        <v>81</v>
      </c>
      <c r="AC18" s="6" t="s">
        <v>81</v>
      </c>
      <c r="AD18" s="21" t="s">
        <v>81</v>
      </c>
      <c r="AE18" s="6" t="s">
        <v>81</v>
      </c>
      <c r="AF18" s="6" t="s">
        <v>81</v>
      </c>
      <c r="AG18" s="6" t="s">
        <v>81</v>
      </c>
      <c r="AH18" s="6" t="s">
        <v>14632</v>
      </c>
      <c r="AI18" s="6" t="s">
        <v>81</v>
      </c>
      <c r="AJ18" s="6" t="s">
        <v>17311</v>
      </c>
      <c r="AK18" s="6" t="s">
        <v>17712</v>
      </c>
      <c r="AL18" s="6" t="s">
        <v>18444</v>
      </c>
      <c r="AM18" s="6" t="s">
        <v>18463</v>
      </c>
      <c r="AN18" s="6" t="s">
        <v>19634</v>
      </c>
      <c r="AO18" s="6" t="s">
        <v>19719</v>
      </c>
      <c r="AP18" s="6" t="s">
        <v>14632</v>
      </c>
      <c r="AQ18" s="6" t="s">
        <v>81</v>
      </c>
      <c r="AR18" s="6" t="s">
        <v>17311</v>
      </c>
      <c r="AS18" s="6" t="s">
        <v>17712</v>
      </c>
      <c r="AT18" s="6" t="s">
        <v>18444</v>
      </c>
      <c r="AU18" s="6" t="s">
        <v>18463</v>
      </c>
      <c r="AV18" s="6" t="s">
        <v>81</v>
      </c>
      <c r="AW18" s="6" t="s">
        <v>81</v>
      </c>
      <c r="AX18" s="6" t="s">
        <v>20754</v>
      </c>
      <c r="AY18" s="6" t="s">
        <v>81</v>
      </c>
      <c r="AZ18" s="6" t="s">
        <v>81</v>
      </c>
      <c r="BA18" s="6" t="s">
        <v>81</v>
      </c>
      <c r="BB18" s="24" t="n">
        <v>129</v>
      </c>
      <c r="BC18" s="26"/>
      <c r="BD18" s="26"/>
      <c r="BE18" s="26"/>
      <c r="BF18" s="26"/>
      <c r="BG18" s="26"/>
      <c r="BH18" s="26"/>
      <c r="BI18" s="26"/>
      <c r="BJ18" s="26"/>
      <c r="BK18" s="26"/>
      <c r="BL18" s="26"/>
      <c r="BM18" s="26"/>
      <c r="BN18" s="26"/>
      <c r="BO18" s="26"/>
      <c r="BP18" s="16" t="n">
        <v>45684</v>
      </c>
      <c r="BQ18" s="28" t="str">
        <f>HYPERLINK("https://organic.ams.usda.gov/Integrity/Certificate.aspx?cid=68&amp;nopid=8210004334")</f>
        <v>https://organic.ams.usda.gov/Integrity/Certificate.aspx?cid=68&amp;nopid=8210004334</v>
      </c>
    </row>
    <row r="19">
      <c r="A19" t="s">
        <v>3</v>
      </c>
      <c r="B19" s="6" t="s">
        <v>10</v>
      </c>
      <c r="C19" s="6" t="s">
        <v>57</v>
      </c>
      <c r="D19" s="6" t="s">
        <v>103</v>
      </c>
      <c r="E19" s="10" t="s">
        <v>160</v>
      </c>
      <c r="F19" s="6" t="s">
        <v>2899</v>
      </c>
      <c r="G19" s="6" t="s">
        <v>81</v>
      </c>
      <c r="H19" s="6" t="s">
        <v>5909</v>
      </c>
      <c r="I19" s="6" t="s">
        <v>8385</v>
      </c>
      <c r="J19" s="6" t="s">
        <v>9675</v>
      </c>
      <c r="K19" s="6" t="s">
        <v>10886</v>
      </c>
      <c r="L19" s="16" t="n">
        <v>42186</v>
      </c>
      <c r="M19" s="16" t="n">
        <v>45748</v>
      </c>
      <c r="N19" s="6" t="s">
        <v>10886</v>
      </c>
      <c r="O19" s="16" t="n">
        <v>42186</v>
      </c>
      <c r="P19" s="6" t="s">
        <v>10911</v>
      </c>
      <c r="Q19" s="6" t="s">
        <v>81</v>
      </c>
      <c r="R19" s="6" t="s">
        <v>12432</v>
      </c>
      <c r="S19" s="6" t="s">
        <v>10886</v>
      </c>
      <c r="T19" s="16" t="n">
        <v>42186</v>
      </c>
      <c r="U19" s="6" t="s">
        <v>13163</v>
      </c>
      <c r="V19" s="6" t="s">
        <v>81</v>
      </c>
      <c r="W19" s="6" t="s">
        <v>81</v>
      </c>
      <c r="X19" s="6" t="s">
        <v>81</v>
      </c>
      <c r="Y19" s="21" t="s">
        <v>81</v>
      </c>
      <c r="Z19" s="6" t="s">
        <v>81</v>
      </c>
      <c r="AA19" s="6" t="s">
        <v>81</v>
      </c>
      <c r="AB19" s="6" t="s">
        <v>81</v>
      </c>
      <c r="AC19" s="6" t="s">
        <v>81</v>
      </c>
      <c r="AD19" s="21" t="s">
        <v>81</v>
      </c>
      <c r="AE19" s="6" t="s">
        <v>81</v>
      </c>
      <c r="AF19" s="6" t="s">
        <v>81</v>
      </c>
      <c r="AG19" s="6" t="s">
        <v>81</v>
      </c>
      <c r="AH19" s="6" t="s">
        <v>14633</v>
      </c>
      <c r="AI19" s="6" t="s">
        <v>81</v>
      </c>
      <c r="AJ19" s="6" t="s">
        <v>17324</v>
      </c>
      <c r="AK19" s="6" t="s">
        <v>18378</v>
      </c>
      <c r="AL19" s="6" t="s">
        <v>18444</v>
      </c>
      <c r="AM19" s="6" t="s">
        <v>18476</v>
      </c>
      <c r="AN19" s="6" t="s">
        <v>81</v>
      </c>
      <c r="AO19" s="6" t="s">
        <v>81</v>
      </c>
      <c r="AP19" s="6" t="s">
        <v>14633</v>
      </c>
      <c r="AQ19" s="6" t="s">
        <v>81</v>
      </c>
      <c r="AR19" s="6" t="s">
        <v>17324</v>
      </c>
      <c r="AS19" s="6" t="s">
        <v>18378</v>
      </c>
      <c r="AT19" s="6" t="s">
        <v>18444</v>
      </c>
      <c r="AU19" s="6" t="s">
        <v>18476</v>
      </c>
      <c r="AV19" s="6" t="s">
        <v>81</v>
      </c>
      <c r="AW19" s="6" t="s">
        <v>81</v>
      </c>
      <c r="AX19" s="6" t="s">
        <v>20755</v>
      </c>
      <c r="AY19" s="6" t="s">
        <v>22553</v>
      </c>
      <c r="AZ19" s="6" t="s">
        <v>81</v>
      </c>
      <c r="BA19" s="6" t="s">
        <v>81</v>
      </c>
      <c r="BB19" s="24" t="n">
        <v>146</v>
      </c>
      <c r="BC19" s="26"/>
      <c r="BD19" s="26"/>
      <c r="BE19" s="26"/>
      <c r="BF19" s="26"/>
      <c r="BG19" s="26"/>
      <c r="BH19" s="26"/>
      <c r="BI19" s="26"/>
      <c r="BJ19" s="26"/>
      <c r="BK19" s="26"/>
      <c r="BL19" s="26"/>
      <c r="BM19" s="26"/>
      <c r="BN19" s="26"/>
      <c r="BO19" s="26"/>
      <c r="BP19" s="16" t="n">
        <v>45730</v>
      </c>
      <c r="BQ19" s="28" t="str">
        <f>HYPERLINK("https://organic.ams.usda.gov/Integrity/Certificate.aspx?cid=90&amp;nopid=7170240756")</f>
        <v>https://organic.ams.usda.gov/Integrity/Certificate.aspx?cid=90&amp;nopid=7170240756</v>
      </c>
    </row>
    <row r="20">
      <c r="A20" t="s">
        <v>3</v>
      </c>
      <c r="B20" s="6" t="s">
        <v>9</v>
      </c>
      <c r="C20" s="6" t="s">
        <v>56</v>
      </c>
      <c r="D20" s="6" t="s">
        <v>102</v>
      </c>
      <c r="E20" s="10" t="s">
        <v>161</v>
      </c>
      <c r="F20" s="6" t="s">
        <v>2900</v>
      </c>
      <c r="G20" s="6" t="s">
        <v>81</v>
      </c>
      <c r="H20" s="6" t="s">
        <v>5910</v>
      </c>
      <c r="I20" s="6" t="s">
        <v>8385</v>
      </c>
      <c r="J20" s="6" t="s">
        <v>9676</v>
      </c>
      <c r="K20" s="6" t="s">
        <v>10886</v>
      </c>
      <c r="L20" s="16" t="n">
        <v>42989</v>
      </c>
      <c r="M20" s="16" t="n">
        <v>45748</v>
      </c>
      <c r="N20" s="6" t="s">
        <v>10886</v>
      </c>
      <c r="O20" s="16" t="n">
        <v>42989</v>
      </c>
      <c r="P20" s="6" t="s">
        <v>10912</v>
      </c>
      <c r="Q20" s="6" t="s">
        <v>81</v>
      </c>
      <c r="R20" s="6" t="s">
        <v>12433</v>
      </c>
      <c r="S20" s="6" t="s">
        <v>10886</v>
      </c>
      <c r="T20" s="16" t="n">
        <v>42989</v>
      </c>
      <c r="U20" s="6" t="s">
        <v>13172</v>
      </c>
      <c r="V20" s="6" t="s">
        <v>81</v>
      </c>
      <c r="W20" s="6" t="s">
        <v>12433</v>
      </c>
      <c r="X20" s="6" t="s">
        <v>81</v>
      </c>
      <c r="Y20" s="21" t="s">
        <v>81</v>
      </c>
      <c r="Z20" s="6" t="s">
        <v>81</v>
      </c>
      <c r="AA20" s="6" t="s">
        <v>81</v>
      </c>
      <c r="AB20" s="6" t="s">
        <v>81</v>
      </c>
      <c r="AC20" s="6" t="s">
        <v>81</v>
      </c>
      <c r="AD20" s="21" t="s">
        <v>81</v>
      </c>
      <c r="AE20" s="6" t="s">
        <v>81</v>
      </c>
      <c r="AF20" s="6" t="s">
        <v>81</v>
      </c>
      <c r="AG20" s="6" t="s">
        <v>81</v>
      </c>
      <c r="AH20" s="6" t="s">
        <v>14634</v>
      </c>
      <c r="AI20" s="6" t="s">
        <v>81</v>
      </c>
      <c r="AJ20" s="6" t="s">
        <v>17325</v>
      </c>
      <c r="AK20" s="6" t="s">
        <v>18378</v>
      </c>
      <c r="AL20" s="6" t="s">
        <v>18444</v>
      </c>
      <c r="AM20" s="6" t="s">
        <v>18477</v>
      </c>
      <c r="AN20" s="6" t="s">
        <v>19641</v>
      </c>
      <c r="AO20" s="6" t="s">
        <v>19727</v>
      </c>
      <c r="AP20" s="6" t="s">
        <v>81</v>
      </c>
      <c r="AQ20" s="6" t="s">
        <v>81</v>
      </c>
      <c r="AR20" s="6" t="s">
        <v>81</v>
      </c>
      <c r="AS20" s="6" t="s">
        <v>81</v>
      </c>
      <c r="AT20" s="6" t="s">
        <v>81</v>
      </c>
      <c r="AU20" s="6" t="s">
        <v>81</v>
      </c>
      <c r="AV20" s="6" t="s">
        <v>81</v>
      </c>
      <c r="AW20" s="6" t="s">
        <v>81</v>
      </c>
      <c r="AX20" s="6" t="s">
        <v>20756</v>
      </c>
      <c r="AY20" s="6" t="s">
        <v>81</v>
      </c>
      <c r="AZ20" s="6" t="s">
        <v>81</v>
      </c>
      <c r="BA20" s="6" t="s">
        <v>81</v>
      </c>
      <c r="BB20" s="24" t="n">
        <v>133</v>
      </c>
      <c r="BC20" s="26"/>
      <c r="BD20" s="26"/>
      <c r="BE20" s="26"/>
      <c r="BF20" s="26"/>
      <c r="BG20" s="26"/>
      <c r="BH20" s="26"/>
      <c r="BI20" s="26"/>
      <c r="BJ20" s="26"/>
      <c r="BK20" s="26"/>
      <c r="BL20" s="26"/>
      <c r="BM20" s="26"/>
      <c r="BN20" s="26"/>
      <c r="BO20" s="26"/>
      <c r="BP20" s="16" t="n">
        <v>45738</v>
      </c>
      <c r="BQ20" s="28" t="str">
        <f>HYPERLINK("https://organic.ams.usda.gov/Integrity/Certificate.aspx?cid=52&amp;nopid=8431701296")</f>
        <v>https://organic.ams.usda.gov/Integrity/Certificate.aspx?cid=52&amp;nopid=8431701296</v>
      </c>
    </row>
    <row r="21">
      <c r="A21" t="s">
        <v>3</v>
      </c>
      <c r="B21" s="6" t="s">
        <v>9</v>
      </c>
      <c r="C21" s="6" t="s">
        <v>56</v>
      </c>
      <c r="D21" s="6" t="s">
        <v>102</v>
      </c>
      <c r="E21" s="10" t="s">
        <v>162</v>
      </c>
      <c r="F21" s="6" t="s">
        <v>2901</v>
      </c>
      <c r="G21" s="6" t="s">
        <v>81</v>
      </c>
      <c r="H21" s="6" t="s">
        <v>5911</v>
      </c>
      <c r="I21" s="6" t="s">
        <v>8385</v>
      </c>
      <c r="J21" s="6" t="s">
        <v>9677</v>
      </c>
      <c r="K21" s="6" t="s">
        <v>10886</v>
      </c>
      <c r="L21" s="16" t="n">
        <v>43300</v>
      </c>
      <c r="M21" s="16" t="n">
        <v>45748</v>
      </c>
      <c r="N21" s="6" t="s">
        <v>10886</v>
      </c>
      <c r="O21" s="16" t="n">
        <v>43300</v>
      </c>
      <c r="P21" s="6" t="s">
        <v>10913</v>
      </c>
      <c r="Q21" s="6" t="s">
        <v>81</v>
      </c>
      <c r="R21" s="6" t="s">
        <v>12434</v>
      </c>
      <c r="S21" s="6" t="s">
        <v>10886</v>
      </c>
      <c r="T21" s="16" t="n">
        <v>43300</v>
      </c>
      <c r="U21" s="6" t="s">
        <v>13168</v>
      </c>
      <c r="V21" s="6" t="s">
        <v>81</v>
      </c>
      <c r="W21" s="6" t="s">
        <v>12434</v>
      </c>
      <c r="X21" s="6" t="s">
        <v>81</v>
      </c>
      <c r="Y21" s="21" t="s">
        <v>81</v>
      </c>
      <c r="Z21" s="6" t="s">
        <v>81</v>
      </c>
      <c r="AA21" s="6" t="s">
        <v>81</v>
      </c>
      <c r="AB21" s="6" t="s">
        <v>81</v>
      </c>
      <c r="AC21" s="6" t="s">
        <v>81</v>
      </c>
      <c r="AD21" s="21" t="s">
        <v>81</v>
      </c>
      <c r="AE21" s="6" t="s">
        <v>81</v>
      </c>
      <c r="AF21" s="6" t="s">
        <v>81</v>
      </c>
      <c r="AG21" s="6" t="s">
        <v>81</v>
      </c>
      <c r="AH21" s="6" t="s">
        <v>14635</v>
      </c>
      <c r="AI21" s="6" t="s">
        <v>81</v>
      </c>
      <c r="AJ21" s="6" t="s">
        <v>17326</v>
      </c>
      <c r="AK21" s="6" t="s">
        <v>18377</v>
      </c>
      <c r="AL21" s="6" t="s">
        <v>18444</v>
      </c>
      <c r="AM21" s="6" t="s">
        <v>18478</v>
      </c>
      <c r="AN21" s="6" t="s">
        <v>19643</v>
      </c>
      <c r="AO21" s="6" t="s">
        <v>19730</v>
      </c>
      <c r="AP21" s="6" t="s">
        <v>81</v>
      </c>
      <c r="AQ21" s="6" t="s">
        <v>81</v>
      </c>
      <c r="AR21" s="6" t="s">
        <v>81</v>
      </c>
      <c r="AS21" s="6" t="s">
        <v>81</v>
      </c>
      <c r="AT21" s="6" t="s">
        <v>81</v>
      </c>
      <c r="AU21" s="6" t="s">
        <v>81</v>
      </c>
      <c r="AV21" s="6" t="s">
        <v>81</v>
      </c>
      <c r="AW21" s="6" t="s">
        <v>81</v>
      </c>
      <c r="AX21" s="6" t="s">
        <v>81</v>
      </c>
      <c r="AY21" s="6" t="s">
        <v>81</v>
      </c>
      <c r="AZ21" s="6" t="s">
        <v>81</v>
      </c>
      <c r="BA21" s="6" t="s">
        <v>81</v>
      </c>
      <c r="BB21" s="24" t="n">
        <v>87</v>
      </c>
      <c r="BC21" s="26"/>
      <c r="BD21" s="26"/>
      <c r="BE21" s="26"/>
      <c r="BF21" s="26"/>
      <c r="BG21" s="26"/>
      <c r="BH21" s="26"/>
      <c r="BI21" s="26"/>
      <c r="BJ21" s="26"/>
      <c r="BK21" s="26"/>
      <c r="BL21" s="26"/>
      <c r="BM21" s="26"/>
      <c r="BN21" s="26"/>
      <c r="BO21" s="26"/>
      <c r="BP21" s="16" t="n">
        <v>45738</v>
      </c>
      <c r="BQ21" s="28" t="str">
        <f>HYPERLINK("https://organic.ams.usda.gov/Integrity/Certificate.aspx?cid=52&amp;nopid=8431801459")</f>
        <v>https://organic.ams.usda.gov/Integrity/Certificate.aspx?cid=52&amp;nopid=8431801459</v>
      </c>
    </row>
    <row r="22">
      <c r="A22" t="s">
        <v>3</v>
      </c>
      <c r="B22" s="6" t="s">
        <v>12</v>
      </c>
      <c r="C22" s="6" t="s">
        <v>59</v>
      </c>
      <c r="D22" s="6" t="s">
        <v>105</v>
      </c>
      <c r="E22" s="10" t="s">
        <v>163</v>
      </c>
      <c r="F22" s="6" t="s">
        <v>2902</v>
      </c>
      <c r="G22" s="6" t="s">
        <v>81</v>
      </c>
      <c r="H22" s="6" t="s">
        <v>5912</v>
      </c>
      <c r="I22" s="6" t="s">
        <v>8388</v>
      </c>
      <c r="J22" s="6" t="s">
        <v>9678</v>
      </c>
      <c r="K22" s="6" t="s">
        <v>10886</v>
      </c>
      <c r="L22" s="16" t="n">
        <v>40147</v>
      </c>
      <c r="M22" s="16" t="n">
        <v>45717</v>
      </c>
      <c r="N22" s="6" t="s">
        <v>10886</v>
      </c>
      <c r="O22" s="16" t="n">
        <v>40147</v>
      </c>
      <c r="P22" s="6" t="s">
        <v>10914</v>
      </c>
      <c r="Q22" s="6" t="s">
        <v>81</v>
      </c>
      <c r="R22" s="6" t="s">
        <v>81</v>
      </c>
      <c r="S22" s="6" t="s">
        <v>10886</v>
      </c>
      <c r="T22" s="16" t="n">
        <v>40147</v>
      </c>
      <c r="U22" s="6" t="s">
        <v>13166</v>
      </c>
      <c r="V22" s="6" t="s">
        <v>81</v>
      </c>
      <c r="W22" s="6" t="s">
        <v>81</v>
      </c>
      <c r="X22" s="6" t="s">
        <v>81</v>
      </c>
      <c r="Y22" s="21" t="s">
        <v>81</v>
      </c>
      <c r="Z22" s="6" t="s">
        <v>81</v>
      </c>
      <c r="AA22" s="6" t="s">
        <v>81</v>
      </c>
      <c r="AB22" s="6" t="s">
        <v>81</v>
      </c>
      <c r="AC22" s="6" t="s">
        <v>81</v>
      </c>
      <c r="AD22" s="21" t="s">
        <v>81</v>
      </c>
      <c r="AE22" s="6" t="s">
        <v>81</v>
      </c>
      <c r="AF22" s="6" t="s">
        <v>81</v>
      </c>
      <c r="AG22" s="6" t="s">
        <v>81</v>
      </c>
      <c r="AH22" s="6" t="s">
        <v>14636</v>
      </c>
      <c r="AI22" s="6" t="s">
        <v>81</v>
      </c>
      <c r="AJ22" s="6" t="s">
        <v>17327</v>
      </c>
      <c r="AK22" s="6" t="s">
        <v>18380</v>
      </c>
      <c r="AL22" s="6" t="s">
        <v>18444</v>
      </c>
      <c r="AM22" s="6" t="s">
        <v>18479</v>
      </c>
      <c r="AN22" s="6" t="s">
        <v>19639</v>
      </c>
      <c r="AO22" s="6" t="s">
        <v>19725</v>
      </c>
      <c r="AP22" s="6" t="s">
        <v>14636</v>
      </c>
      <c r="AQ22" s="6" t="s">
        <v>81</v>
      </c>
      <c r="AR22" s="6" t="s">
        <v>17327</v>
      </c>
      <c r="AS22" s="6" t="s">
        <v>18380</v>
      </c>
      <c r="AT22" s="6" t="s">
        <v>18444</v>
      </c>
      <c r="AU22" s="6" t="s">
        <v>18479</v>
      </c>
      <c r="AV22" s="6" t="s">
        <v>81</v>
      </c>
      <c r="AW22" s="6" t="s">
        <v>81</v>
      </c>
      <c r="AX22" s="6" t="s">
        <v>20757</v>
      </c>
      <c r="AY22" s="6" t="s">
        <v>81</v>
      </c>
      <c r="AZ22" s="6" t="s">
        <v>81</v>
      </c>
      <c r="BA22" s="6" t="s">
        <v>81</v>
      </c>
      <c r="BB22" s="24" t="n">
        <v>44</v>
      </c>
      <c r="BC22" s="26"/>
      <c r="BD22" s="26"/>
      <c r="BE22" s="26"/>
      <c r="BF22" s="26"/>
      <c r="BG22" s="26"/>
      <c r="BH22" s="26"/>
      <c r="BI22" s="26"/>
      <c r="BJ22" s="26"/>
      <c r="BK22" s="26"/>
      <c r="BL22" s="26"/>
      <c r="BM22" s="26"/>
      <c r="BN22" s="26"/>
      <c r="BO22" s="26"/>
      <c r="BP22" s="16" t="n">
        <v>45684</v>
      </c>
      <c r="BQ22" s="28" t="str">
        <f>HYPERLINK("https://organic.ams.usda.gov/Integrity/Certificate.aspx?cid=68&amp;nopid=8210002348")</f>
        <v>https://organic.ams.usda.gov/Integrity/Certificate.aspx?cid=68&amp;nopid=8210002348</v>
      </c>
    </row>
    <row r="23">
      <c r="A23" t="s">
        <v>3</v>
      </c>
      <c r="B23" s="6" t="s">
        <v>8</v>
      </c>
      <c r="C23" s="6" t="s">
        <v>55</v>
      </c>
      <c r="D23" s="6" t="s">
        <v>101</v>
      </c>
      <c r="E23" s="10" t="s">
        <v>164</v>
      </c>
      <c r="F23" s="6" t="s">
        <v>2903</v>
      </c>
      <c r="G23" s="6" t="s">
        <v>81</v>
      </c>
      <c r="H23" s="6" t="s">
        <v>5913</v>
      </c>
      <c r="I23" s="6" t="s">
        <v>8385</v>
      </c>
      <c r="J23" s="6" t="s">
        <v>9667</v>
      </c>
      <c r="K23" s="6" t="s">
        <v>10886</v>
      </c>
      <c r="L23" s="16" t="n">
        <v>43390</v>
      </c>
      <c r="M23" s="16" t="n">
        <v>45689</v>
      </c>
      <c r="N23" s="6" t="s">
        <v>10886</v>
      </c>
      <c r="O23" s="16" t="n">
        <v>43390</v>
      </c>
      <c r="P23" s="6" t="s">
        <v>10915</v>
      </c>
      <c r="Q23" s="6" t="s">
        <v>81</v>
      </c>
      <c r="R23" s="6" t="s">
        <v>5913</v>
      </c>
      <c r="S23" s="6" t="s">
        <v>10886</v>
      </c>
      <c r="T23" s="16" t="n">
        <v>43390</v>
      </c>
      <c r="U23" s="6" t="s">
        <v>13173</v>
      </c>
      <c r="V23" s="6" t="s">
        <v>81</v>
      </c>
      <c r="W23" s="6" t="s">
        <v>5913</v>
      </c>
      <c r="X23" s="6" t="s">
        <v>81</v>
      </c>
      <c r="Y23" s="21" t="s">
        <v>81</v>
      </c>
      <c r="Z23" s="6" t="s">
        <v>81</v>
      </c>
      <c r="AA23" s="6" t="s">
        <v>81</v>
      </c>
      <c r="AB23" s="6" t="s">
        <v>81</v>
      </c>
      <c r="AC23" s="6" t="s">
        <v>81</v>
      </c>
      <c r="AD23" s="21" t="s">
        <v>81</v>
      </c>
      <c r="AE23" s="6" t="s">
        <v>81</v>
      </c>
      <c r="AF23" s="6" t="s">
        <v>81</v>
      </c>
      <c r="AG23" s="6" t="s">
        <v>81</v>
      </c>
      <c r="AH23" s="6" t="s">
        <v>14637</v>
      </c>
      <c r="AI23" s="6" t="s">
        <v>81</v>
      </c>
      <c r="AJ23" s="6" t="s">
        <v>17328</v>
      </c>
      <c r="AK23" s="6" t="s">
        <v>18377</v>
      </c>
      <c r="AL23" s="6" t="s">
        <v>18444</v>
      </c>
      <c r="AM23" s="6" t="s">
        <v>18480</v>
      </c>
      <c r="AN23" s="6" t="s">
        <v>19643</v>
      </c>
      <c r="AO23" s="6" t="s">
        <v>19730</v>
      </c>
      <c r="AP23" s="6" t="s">
        <v>81</v>
      </c>
      <c r="AQ23" s="6" t="s">
        <v>81</v>
      </c>
      <c r="AR23" s="6" t="s">
        <v>81</v>
      </c>
      <c r="AS23" s="6" t="s">
        <v>81</v>
      </c>
      <c r="AT23" s="6" t="s">
        <v>81</v>
      </c>
      <c r="AU23" s="6" t="s">
        <v>81</v>
      </c>
      <c r="AV23" s="6" t="s">
        <v>81</v>
      </c>
      <c r="AW23" s="6" t="s">
        <v>81</v>
      </c>
      <c r="AX23" s="6" t="s">
        <v>81</v>
      </c>
      <c r="AY23" s="6" t="s">
        <v>81</v>
      </c>
      <c r="AZ23" s="6" t="s">
        <v>81</v>
      </c>
      <c r="BA23" s="6" t="s">
        <v>23819</v>
      </c>
      <c r="BB23" s="24" t="n">
        <v>35</v>
      </c>
      <c r="BC23" s="26"/>
      <c r="BD23" s="26"/>
      <c r="BE23" s="26"/>
      <c r="BF23" s="26" t="s">
        <v>23900</v>
      </c>
      <c r="BG23" s="26"/>
      <c r="BH23" s="26"/>
      <c r="BI23" s="26"/>
      <c r="BJ23" s="26"/>
      <c r="BK23" s="26"/>
      <c r="BL23" s="26"/>
      <c r="BM23" s="26"/>
      <c r="BN23" s="26"/>
      <c r="BO23" s="26"/>
      <c r="BP23" s="16" t="n">
        <v>45693</v>
      </c>
      <c r="BQ23" s="28" t="str">
        <f>HYPERLINK("https://organic.ams.usda.gov/Integrity/Certificate.aspx?cid=45&amp;nopid=9950011306")</f>
        <v>https://organic.ams.usda.gov/Integrity/Certificate.aspx?cid=45&amp;nopid=9950011306</v>
      </c>
    </row>
    <row r="24">
      <c r="A24" t="s">
        <v>3</v>
      </c>
      <c r="B24" s="6" t="s">
        <v>12</v>
      </c>
      <c r="C24" s="6" t="s">
        <v>59</v>
      </c>
      <c r="D24" s="6" t="s">
        <v>105</v>
      </c>
      <c r="E24" s="10" t="s">
        <v>165</v>
      </c>
      <c r="F24" s="6" t="s">
        <v>2904</v>
      </c>
      <c r="G24" s="6" t="s">
        <v>81</v>
      </c>
      <c r="H24" s="6" t="s">
        <v>5914</v>
      </c>
      <c r="I24" s="6" t="s">
        <v>8390</v>
      </c>
      <c r="J24" s="6" t="s">
        <v>9679</v>
      </c>
      <c r="K24" s="6" t="s">
        <v>10886</v>
      </c>
      <c r="L24" s="16" t="n">
        <v>39248</v>
      </c>
      <c r="M24" s="16" t="n">
        <v>45717</v>
      </c>
      <c r="N24" s="6" t="s">
        <v>10886</v>
      </c>
      <c r="O24" s="16" t="n">
        <v>39248</v>
      </c>
      <c r="P24" s="6" t="s">
        <v>10916</v>
      </c>
      <c r="Q24" s="6" t="s">
        <v>81</v>
      </c>
      <c r="R24" s="6" t="s">
        <v>81</v>
      </c>
      <c r="S24" s="6" t="s">
        <v>10886</v>
      </c>
      <c r="T24" s="16" t="n">
        <v>39248</v>
      </c>
      <c r="U24" s="6" t="s">
        <v>13174</v>
      </c>
      <c r="V24" s="6" t="s">
        <v>81</v>
      </c>
      <c r="W24" s="6" t="s">
        <v>81</v>
      </c>
      <c r="X24" s="6" t="s">
        <v>81</v>
      </c>
      <c r="Y24" s="21" t="s">
        <v>81</v>
      </c>
      <c r="Z24" s="6" t="s">
        <v>81</v>
      </c>
      <c r="AA24" s="6" t="s">
        <v>81</v>
      </c>
      <c r="AB24" s="6" t="s">
        <v>81</v>
      </c>
      <c r="AC24" s="6" t="s">
        <v>81</v>
      </c>
      <c r="AD24" s="21" t="s">
        <v>81</v>
      </c>
      <c r="AE24" s="6" t="s">
        <v>81</v>
      </c>
      <c r="AF24" s="6" t="s">
        <v>81</v>
      </c>
      <c r="AG24" s="6" t="s">
        <v>81</v>
      </c>
      <c r="AH24" s="6" t="s">
        <v>14638</v>
      </c>
      <c r="AI24" s="6" t="s">
        <v>81</v>
      </c>
      <c r="AJ24" s="6" t="s">
        <v>17329</v>
      </c>
      <c r="AK24" s="6" t="s">
        <v>18380</v>
      </c>
      <c r="AL24" s="6" t="s">
        <v>18444</v>
      </c>
      <c r="AM24" s="6" t="s">
        <v>18481</v>
      </c>
      <c r="AN24" s="6" t="s">
        <v>19639</v>
      </c>
      <c r="AO24" s="6" t="s">
        <v>19725</v>
      </c>
      <c r="AP24" s="6" t="s">
        <v>14638</v>
      </c>
      <c r="AQ24" s="6" t="s">
        <v>81</v>
      </c>
      <c r="AR24" s="6" t="s">
        <v>17329</v>
      </c>
      <c r="AS24" s="6" t="s">
        <v>18380</v>
      </c>
      <c r="AT24" s="6" t="s">
        <v>18444</v>
      </c>
      <c r="AU24" s="6" t="s">
        <v>18481</v>
      </c>
      <c r="AV24" s="6" t="s">
        <v>81</v>
      </c>
      <c r="AW24" s="6" t="s">
        <v>81</v>
      </c>
      <c r="AX24" s="6" t="s">
        <v>20758</v>
      </c>
      <c r="AY24" s="6" t="s">
        <v>81</v>
      </c>
      <c r="AZ24" s="6" t="s">
        <v>81</v>
      </c>
      <c r="BA24" s="6" t="s">
        <v>81</v>
      </c>
      <c r="BB24" s="24" t="n">
        <v>68</v>
      </c>
      <c r="BC24" s="26"/>
      <c r="BD24" s="26"/>
      <c r="BE24" s="26"/>
      <c r="BF24" s="26"/>
      <c r="BG24" s="26"/>
      <c r="BH24" s="26"/>
      <c r="BI24" s="26"/>
      <c r="BJ24" s="26"/>
      <c r="BK24" s="26"/>
      <c r="BL24" s="26"/>
      <c r="BM24" s="26"/>
      <c r="BN24" s="26"/>
      <c r="BO24" s="26"/>
      <c r="BP24" s="16" t="n">
        <v>45684</v>
      </c>
      <c r="BQ24" s="28" t="str">
        <f>HYPERLINK("https://organic.ams.usda.gov/Integrity/Certificate.aspx?cid=68&amp;nopid=8210002343")</f>
        <v>https://organic.ams.usda.gov/Integrity/Certificate.aspx?cid=68&amp;nopid=8210002343</v>
      </c>
    </row>
    <row r="25">
      <c r="A25" t="s">
        <v>3</v>
      </c>
      <c r="B25" s="6" t="s">
        <v>9</v>
      </c>
      <c r="C25" s="6" t="s">
        <v>56</v>
      </c>
      <c r="D25" s="6" t="s">
        <v>102</v>
      </c>
      <c r="E25" s="10" t="s">
        <v>166</v>
      </c>
      <c r="F25" s="6" t="s">
        <v>2905</v>
      </c>
      <c r="G25" s="6" t="s">
        <v>81</v>
      </c>
      <c r="H25" s="6" t="s">
        <v>5915</v>
      </c>
      <c r="I25" s="6" t="s">
        <v>8385</v>
      </c>
      <c r="J25" s="6" t="s">
        <v>9680</v>
      </c>
      <c r="K25" s="6" t="s">
        <v>10886</v>
      </c>
      <c r="L25" s="16" t="n">
        <v>41211</v>
      </c>
      <c r="M25" s="16" t="n">
        <v>45748</v>
      </c>
      <c r="N25" s="6" t="s">
        <v>10886</v>
      </c>
      <c r="O25" s="16" t="n">
        <v>41211</v>
      </c>
      <c r="P25" s="6" t="s">
        <v>10917</v>
      </c>
      <c r="Q25" s="6" t="s">
        <v>81</v>
      </c>
      <c r="R25" s="6" t="s">
        <v>12435</v>
      </c>
      <c r="S25" s="6" t="s">
        <v>10886</v>
      </c>
      <c r="T25" s="16" t="n">
        <v>41211</v>
      </c>
      <c r="U25" s="6" t="s">
        <v>13172</v>
      </c>
      <c r="V25" s="6" t="s">
        <v>81</v>
      </c>
      <c r="W25" s="6" t="s">
        <v>12435</v>
      </c>
      <c r="X25" s="6" t="s">
        <v>81</v>
      </c>
      <c r="Y25" s="21" t="s">
        <v>81</v>
      </c>
      <c r="Z25" s="6" t="s">
        <v>81</v>
      </c>
      <c r="AA25" s="6" t="s">
        <v>81</v>
      </c>
      <c r="AB25" s="6" t="s">
        <v>81</v>
      </c>
      <c r="AC25" s="6" t="s">
        <v>10886</v>
      </c>
      <c r="AD25" s="16" t="n">
        <v>41211</v>
      </c>
      <c r="AE25" s="6" t="s">
        <v>13997</v>
      </c>
      <c r="AF25" s="6" t="s">
        <v>81</v>
      </c>
      <c r="AG25" s="6" t="s">
        <v>12435</v>
      </c>
      <c r="AH25" s="6" t="s">
        <v>14639</v>
      </c>
      <c r="AI25" s="6" t="s">
        <v>81</v>
      </c>
      <c r="AJ25" s="6" t="s">
        <v>17330</v>
      </c>
      <c r="AK25" s="6" t="s">
        <v>18381</v>
      </c>
      <c r="AL25" s="6" t="s">
        <v>18444</v>
      </c>
      <c r="AM25" s="6" t="s">
        <v>18482</v>
      </c>
      <c r="AN25" s="6" t="s">
        <v>19644</v>
      </c>
      <c r="AO25" s="6" t="s">
        <v>19731</v>
      </c>
      <c r="AP25" s="6" t="s">
        <v>81</v>
      </c>
      <c r="AQ25" s="6" t="s">
        <v>81</v>
      </c>
      <c r="AR25" s="6" t="s">
        <v>81</v>
      </c>
      <c r="AS25" s="6" t="s">
        <v>81</v>
      </c>
      <c r="AT25" s="6" t="s">
        <v>81</v>
      </c>
      <c r="AU25" s="6" t="s">
        <v>81</v>
      </c>
      <c r="AV25" s="6" t="s">
        <v>81</v>
      </c>
      <c r="AW25" s="6" t="s">
        <v>81</v>
      </c>
      <c r="AX25" s="6" t="s">
        <v>20759</v>
      </c>
      <c r="AY25" s="6" t="s">
        <v>22554</v>
      </c>
      <c r="AZ25" s="6" t="s">
        <v>81</v>
      </c>
      <c r="BA25" s="6" t="s">
        <v>81</v>
      </c>
      <c r="BB25" s="24" t="n">
        <v>476</v>
      </c>
      <c r="BC25" s="26"/>
      <c r="BD25" s="26"/>
      <c r="BE25" s="26"/>
      <c r="BF25" s="26"/>
      <c r="BG25" s="26"/>
      <c r="BH25" s="26"/>
      <c r="BI25" s="26"/>
      <c r="BJ25" s="26"/>
      <c r="BK25" s="26"/>
      <c r="BL25" s="26"/>
      <c r="BM25" s="26"/>
      <c r="BN25" s="26"/>
      <c r="BO25" s="26"/>
      <c r="BP25" s="16" t="n">
        <v>45738</v>
      </c>
      <c r="BQ25" s="28" t="str">
        <f>HYPERLINK("https://organic.ams.usda.gov/Integrity/Certificate.aspx?cid=52&amp;nopid=8431200381")</f>
        <v>https://organic.ams.usda.gov/Integrity/Certificate.aspx?cid=52&amp;nopid=8431200381</v>
      </c>
    </row>
    <row r="26">
      <c r="A26" t="s">
        <v>3</v>
      </c>
      <c r="B26" s="6" t="s">
        <v>7</v>
      </c>
      <c r="C26" s="6" t="s">
        <v>54</v>
      </c>
      <c r="D26" s="6" t="s">
        <v>100</v>
      </c>
      <c r="E26" s="10" t="s">
        <v>167</v>
      </c>
      <c r="F26" s="6" t="s">
        <v>2906</v>
      </c>
      <c r="G26" s="6" t="s">
        <v>81</v>
      </c>
      <c r="H26" s="6" t="s">
        <v>5916</v>
      </c>
      <c r="I26" s="6" t="s">
        <v>8385</v>
      </c>
      <c r="J26" s="6" t="s">
        <v>9681</v>
      </c>
      <c r="K26" s="6" t="s">
        <v>10886</v>
      </c>
      <c r="L26" s="16" t="n">
        <v>45230</v>
      </c>
      <c r="M26" s="16" t="n">
        <v>45716</v>
      </c>
      <c r="N26" s="6" t="s">
        <v>10886</v>
      </c>
      <c r="O26" s="16" t="n">
        <v>45230</v>
      </c>
      <c r="P26" s="6" t="s">
        <v>10910</v>
      </c>
      <c r="Q26" s="6" t="s">
        <v>81</v>
      </c>
      <c r="R26" s="6" t="s">
        <v>81</v>
      </c>
      <c r="S26" s="6" t="s">
        <v>10886</v>
      </c>
      <c r="T26" s="16" t="n">
        <v>45230</v>
      </c>
      <c r="U26" s="6" t="s">
        <v>13175</v>
      </c>
      <c r="V26" s="6" t="s">
        <v>81</v>
      </c>
      <c r="W26" s="6" t="s">
        <v>81</v>
      </c>
      <c r="X26" s="6" t="s">
        <v>81</v>
      </c>
      <c r="Y26" s="21" t="s">
        <v>81</v>
      </c>
      <c r="Z26" s="6" t="s">
        <v>81</v>
      </c>
      <c r="AA26" s="6" t="s">
        <v>81</v>
      </c>
      <c r="AB26" s="6" t="s">
        <v>81</v>
      </c>
      <c r="AC26" s="6" t="s">
        <v>81</v>
      </c>
      <c r="AD26" s="21" t="s">
        <v>81</v>
      </c>
      <c r="AE26" s="6" t="s">
        <v>81</v>
      </c>
      <c r="AF26" s="6" t="s">
        <v>81</v>
      </c>
      <c r="AG26" s="6" t="s">
        <v>81</v>
      </c>
      <c r="AH26" s="6" t="s">
        <v>14640</v>
      </c>
      <c r="AI26" s="6" t="s">
        <v>81</v>
      </c>
      <c r="AJ26" s="6" t="s">
        <v>17331</v>
      </c>
      <c r="AK26" s="6" t="s">
        <v>17712</v>
      </c>
      <c r="AL26" s="6" t="s">
        <v>18444</v>
      </c>
      <c r="AM26" s="6" t="s">
        <v>18483</v>
      </c>
      <c r="AN26" s="6" t="s">
        <v>81</v>
      </c>
      <c r="AO26" s="6" t="s">
        <v>81</v>
      </c>
      <c r="AP26" s="6" t="s">
        <v>14640</v>
      </c>
      <c r="AQ26" s="6" t="s">
        <v>81</v>
      </c>
      <c r="AR26" s="6" t="s">
        <v>17331</v>
      </c>
      <c r="AS26" s="6" t="s">
        <v>17712</v>
      </c>
      <c r="AT26" s="6" t="s">
        <v>18444</v>
      </c>
      <c r="AU26" s="6" t="s">
        <v>18483</v>
      </c>
      <c r="AV26" s="6" t="s">
        <v>81</v>
      </c>
      <c r="AW26" s="6" t="s">
        <v>81</v>
      </c>
      <c r="AX26" s="6" t="s">
        <v>20760</v>
      </c>
      <c r="AY26" s="6" t="s">
        <v>81</v>
      </c>
      <c r="AZ26" s="6" t="s">
        <v>81</v>
      </c>
      <c r="BA26" s="6" t="s">
        <v>81</v>
      </c>
      <c r="BB26" s="24" t="n">
        <v>319</v>
      </c>
      <c r="BC26" s="26"/>
      <c r="BD26" s="26"/>
      <c r="BE26" s="26"/>
      <c r="BF26" s="26" t="s">
        <v>23900</v>
      </c>
      <c r="BG26" s="26"/>
      <c r="BH26" s="26"/>
      <c r="BI26" s="26"/>
      <c r="BJ26" s="26"/>
      <c r="BK26" s="26"/>
      <c r="BL26" s="26"/>
      <c r="BM26" s="26"/>
      <c r="BN26" s="26"/>
      <c r="BO26" s="26"/>
      <c r="BP26" s="16" t="n">
        <v>45595</v>
      </c>
      <c r="BQ26" s="28" t="str">
        <f>HYPERLINK("https://organic.ams.usda.gov/Integrity/Certificate.aspx?cid=57&amp;nopid=3252023072")</f>
        <v>https://organic.ams.usda.gov/Integrity/Certificate.aspx?cid=57&amp;nopid=3252023072</v>
      </c>
    </row>
    <row r="27">
      <c r="A27" t="s">
        <v>3</v>
      </c>
      <c r="B27" s="6" t="s">
        <v>9</v>
      </c>
      <c r="C27" s="6" t="s">
        <v>56</v>
      </c>
      <c r="D27" s="6" t="s">
        <v>102</v>
      </c>
      <c r="E27" s="10" t="s">
        <v>168</v>
      </c>
      <c r="F27" s="6" t="s">
        <v>2907</v>
      </c>
      <c r="G27" s="6" t="s">
        <v>81</v>
      </c>
      <c r="H27" s="6" t="s">
        <v>5917</v>
      </c>
      <c r="I27" s="6" t="s">
        <v>8385</v>
      </c>
      <c r="J27" s="6" t="s">
        <v>9682</v>
      </c>
      <c r="K27" s="6" t="s">
        <v>10886</v>
      </c>
      <c r="L27" s="16" t="n">
        <v>43521</v>
      </c>
      <c r="M27" s="16" t="n">
        <v>45748</v>
      </c>
      <c r="N27" s="6" t="s">
        <v>10886</v>
      </c>
      <c r="O27" s="16" t="n">
        <v>43521</v>
      </c>
      <c r="P27" s="6" t="s">
        <v>10918</v>
      </c>
      <c r="Q27" s="6" t="s">
        <v>81</v>
      </c>
      <c r="R27" s="6" t="s">
        <v>12436</v>
      </c>
      <c r="S27" s="6" t="s">
        <v>10886</v>
      </c>
      <c r="T27" s="16" t="n">
        <v>43521</v>
      </c>
      <c r="U27" s="6" t="s">
        <v>13176</v>
      </c>
      <c r="V27" s="6" t="s">
        <v>81</v>
      </c>
      <c r="W27" s="6" t="s">
        <v>12436</v>
      </c>
      <c r="X27" s="6" t="s">
        <v>81</v>
      </c>
      <c r="Y27" s="21" t="s">
        <v>81</v>
      </c>
      <c r="Z27" s="6" t="s">
        <v>81</v>
      </c>
      <c r="AA27" s="6" t="s">
        <v>81</v>
      </c>
      <c r="AB27" s="6" t="s">
        <v>81</v>
      </c>
      <c r="AC27" s="6" t="s">
        <v>81</v>
      </c>
      <c r="AD27" s="21" t="s">
        <v>81</v>
      </c>
      <c r="AE27" s="6" t="s">
        <v>81</v>
      </c>
      <c r="AF27" s="6" t="s">
        <v>81</v>
      </c>
      <c r="AG27" s="6" t="s">
        <v>81</v>
      </c>
      <c r="AH27" s="6" t="s">
        <v>14641</v>
      </c>
      <c r="AI27" s="6" t="s">
        <v>81</v>
      </c>
      <c r="AJ27" s="6" t="s">
        <v>17332</v>
      </c>
      <c r="AK27" s="6" t="s">
        <v>18380</v>
      </c>
      <c r="AL27" s="6" t="s">
        <v>18444</v>
      </c>
      <c r="AM27" s="6" t="s">
        <v>18484</v>
      </c>
      <c r="AN27" s="6" t="s">
        <v>19639</v>
      </c>
      <c r="AO27" s="6" t="s">
        <v>19725</v>
      </c>
      <c r="AP27" s="6" t="s">
        <v>81</v>
      </c>
      <c r="AQ27" s="6" t="s">
        <v>81</v>
      </c>
      <c r="AR27" s="6" t="s">
        <v>81</v>
      </c>
      <c r="AS27" s="6" t="s">
        <v>81</v>
      </c>
      <c r="AT27" s="6" t="s">
        <v>81</v>
      </c>
      <c r="AU27" s="6" t="s">
        <v>81</v>
      </c>
      <c r="AV27" s="6" t="s">
        <v>81</v>
      </c>
      <c r="AW27" s="6" t="s">
        <v>81</v>
      </c>
      <c r="AX27" s="6" t="s">
        <v>20761</v>
      </c>
      <c r="AY27" s="6" t="s">
        <v>81</v>
      </c>
      <c r="AZ27" s="6" t="s">
        <v>81</v>
      </c>
      <c r="BA27" s="6" t="s">
        <v>81</v>
      </c>
      <c r="BB27" s="24" t="n">
        <v>58</v>
      </c>
      <c r="BC27" s="26"/>
      <c r="BD27" s="26"/>
      <c r="BE27" s="26"/>
      <c r="BF27" s="26"/>
      <c r="BG27" s="26"/>
      <c r="BH27" s="26"/>
      <c r="BI27" s="26"/>
      <c r="BJ27" s="26"/>
      <c r="BK27" s="26"/>
      <c r="BL27" s="26"/>
      <c r="BM27" s="26"/>
      <c r="BN27" s="26"/>
      <c r="BO27" s="26"/>
      <c r="BP27" s="16" t="n">
        <v>45738</v>
      </c>
      <c r="BQ27" s="28" t="str">
        <f>HYPERLINK("https://organic.ams.usda.gov/Integrity/Certificate.aspx?cid=52&amp;nopid=8431901584")</f>
        <v>https://organic.ams.usda.gov/Integrity/Certificate.aspx?cid=52&amp;nopid=8431901584</v>
      </c>
    </row>
    <row r="28">
      <c r="A28" t="s">
        <v>3</v>
      </c>
      <c r="B28" s="6" t="s">
        <v>8</v>
      </c>
      <c r="C28" s="6" t="s">
        <v>55</v>
      </c>
      <c r="D28" s="6" t="s">
        <v>101</v>
      </c>
      <c r="E28" s="10" t="s">
        <v>169</v>
      </c>
      <c r="F28" s="6" t="s">
        <v>2908</v>
      </c>
      <c r="G28" s="6" t="s">
        <v>81</v>
      </c>
      <c r="H28" s="6" t="s">
        <v>5918</v>
      </c>
      <c r="I28" s="6" t="s">
        <v>8385</v>
      </c>
      <c r="J28" s="6" t="s">
        <v>9683</v>
      </c>
      <c r="K28" s="6" t="s">
        <v>10886</v>
      </c>
      <c r="L28" s="16" t="n">
        <v>45580</v>
      </c>
      <c r="M28" s="16" t="n">
        <v>45748</v>
      </c>
      <c r="N28" s="6" t="s">
        <v>10886</v>
      </c>
      <c r="O28" s="16" t="n">
        <v>45580</v>
      </c>
      <c r="P28" s="6" t="s">
        <v>10919</v>
      </c>
      <c r="Q28" s="6" t="s">
        <v>81</v>
      </c>
      <c r="R28" s="6" t="s">
        <v>5918</v>
      </c>
      <c r="S28" s="6" t="s">
        <v>10886</v>
      </c>
      <c r="T28" s="16" t="n">
        <v>45622</v>
      </c>
      <c r="U28" s="6" t="s">
        <v>13177</v>
      </c>
      <c r="V28" s="6" t="s">
        <v>81</v>
      </c>
      <c r="W28" s="6" t="s">
        <v>5918</v>
      </c>
      <c r="X28" s="6" t="s">
        <v>81</v>
      </c>
      <c r="Y28" s="21" t="s">
        <v>81</v>
      </c>
      <c r="Z28" s="6" t="s">
        <v>81</v>
      </c>
      <c r="AA28" s="6" t="s">
        <v>81</v>
      </c>
      <c r="AB28" s="6" t="s">
        <v>81</v>
      </c>
      <c r="AC28" s="6" t="s">
        <v>81</v>
      </c>
      <c r="AD28" s="21" t="s">
        <v>81</v>
      </c>
      <c r="AE28" s="6" t="s">
        <v>81</v>
      </c>
      <c r="AF28" s="6" t="s">
        <v>81</v>
      </c>
      <c r="AG28" s="6" t="s">
        <v>81</v>
      </c>
      <c r="AH28" s="6" t="s">
        <v>14642</v>
      </c>
      <c r="AI28" s="6" t="s">
        <v>81</v>
      </c>
      <c r="AJ28" s="6" t="s">
        <v>10323</v>
      </c>
      <c r="AK28" s="6" t="s">
        <v>18379</v>
      </c>
      <c r="AL28" s="6" t="s">
        <v>18444</v>
      </c>
      <c r="AM28" s="6" t="s">
        <v>18485</v>
      </c>
      <c r="AN28" s="6" t="s">
        <v>81</v>
      </c>
      <c r="AO28" s="6" t="s">
        <v>81</v>
      </c>
      <c r="AP28" s="6" t="s">
        <v>20085</v>
      </c>
      <c r="AQ28" s="6" t="s">
        <v>81</v>
      </c>
      <c r="AR28" s="6" t="s">
        <v>10323</v>
      </c>
      <c r="AS28" s="6" t="s">
        <v>18379</v>
      </c>
      <c r="AT28" s="6" t="s">
        <v>18444</v>
      </c>
      <c r="AU28" s="6" t="s">
        <v>18485</v>
      </c>
      <c r="AV28" s="6" t="s">
        <v>81</v>
      </c>
      <c r="AW28" s="6" t="s">
        <v>81</v>
      </c>
      <c r="AX28" s="6" t="s">
        <v>81</v>
      </c>
      <c r="AY28" s="6" t="s">
        <v>81</v>
      </c>
      <c r="AZ28" s="6" t="s">
        <v>81</v>
      </c>
      <c r="BA28" s="6" t="s">
        <v>23819</v>
      </c>
      <c r="BB28" s="24" t="n">
        <v>60</v>
      </c>
      <c r="BC28" s="26"/>
      <c r="BD28" s="26"/>
      <c r="BE28" s="26"/>
      <c r="BF28" s="26" t="s">
        <v>23900</v>
      </c>
      <c r="BG28" s="26"/>
      <c r="BH28" s="26"/>
      <c r="BI28" s="26"/>
      <c r="BJ28" s="26"/>
      <c r="BK28" s="26"/>
      <c r="BL28" s="26"/>
      <c r="BM28" s="26"/>
      <c r="BN28" s="26"/>
      <c r="BO28" s="26"/>
      <c r="BP28" s="16" t="n">
        <v>45622</v>
      </c>
      <c r="BQ28" s="28" t="str">
        <f>HYPERLINK("https://organic.ams.usda.gov/Integrity/Certificate.aspx?cid=45&amp;nopid=9950009857")</f>
        <v>https://organic.ams.usda.gov/Integrity/Certificate.aspx?cid=45&amp;nopid=9950009857</v>
      </c>
    </row>
    <row r="29">
      <c r="A29" t="s">
        <v>3</v>
      </c>
      <c r="B29" s="6" t="s">
        <v>8</v>
      </c>
      <c r="C29" s="6" t="s">
        <v>55</v>
      </c>
      <c r="D29" s="6" t="s">
        <v>101</v>
      </c>
      <c r="E29" s="10" t="s">
        <v>170</v>
      </c>
      <c r="F29" s="6" t="s">
        <v>2909</v>
      </c>
      <c r="G29" s="6" t="s">
        <v>5588</v>
      </c>
      <c r="H29" s="6" t="s">
        <v>5919</v>
      </c>
      <c r="I29" s="6" t="s">
        <v>8385</v>
      </c>
      <c r="J29" s="6" t="s">
        <v>9684</v>
      </c>
      <c r="K29" s="6" t="s">
        <v>10886</v>
      </c>
      <c r="L29" s="16" t="n">
        <v>43009</v>
      </c>
      <c r="M29" s="16" t="n">
        <v>45383</v>
      </c>
      <c r="N29" s="6" t="s">
        <v>10886</v>
      </c>
      <c r="O29" s="16" t="n">
        <v>43009</v>
      </c>
      <c r="P29" s="6" t="s">
        <v>10920</v>
      </c>
      <c r="Q29" s="6" t="s">
        <v>81</v>
      </c>
      <c r="R29" s="6" t="s">
        <v>5919</v>
      </c>
      <c r="S29" s="6" t="s">
        <v>10886</v>
      </c>
      <c r="T29" s="16" t="n">
        <v>43009</v>
      </c>
      <c r="U29" s="6" t="s">
        <v>13178</v>
      </c>
      <c r="V29" s="6" t="s">
        <v>81</v>
      </c>
      <c r="W29" s="6" t="s">
        <v>5919</v>
      </c>
      <c r="X29" s="6" t="s">
        <v>81</v>
      </c>
      <c r="Y29" s="21" t="s">
        <v>81</v>
      </c>
      <c r="Z29" s="6" t="s">
        <v>81</v>
      </c>
      <c r="AA29" s="6" t="s">
        <v>81</v>
      </c>
      <c r="AB29" s="6" t="s">
        <v>81</v>
      </c>
      <c r="AC29" s="6" t="s">
        <v>81</v>
      </c>
      <c r="AD29" s="21" t="s">
        <v>81</v>
      </c>
      <c r="AE29" s="6" t="s">
        <v>81</v>
      </c>
      <c r="AF29" s="6" t="s">
        <v>81</v>
      </c>
      <c r="AG29" s="6" t="s">
        <v>81</v>
      </c>
      <c r="AH29" s="6" t="s">
        <v>14643</v>
      </c>
      <c r="AI29" s="6" t="s">
        <v>81</v>
      </c>
      <c r="AJ29" s="6" t="s">
        <v>17333</v>
      </c>
      <c r="AK29" s="6" t="s">
        <v>18377</v>
      </c>
      <c r="AL29" s="6" t="s">
        <v>18444</v>
      </c>
      <c r="AM29" s="6" t="s">
        <v>18486</v>
      </c>
      <c r="AN29" s="6" t="s">
        <v>19645</v>
      </c>
      <c r="AO29" s="6" t="s">
        <v>19732</v>
      </c>
      <c r="AP29" s="6" t="s">
        <v>81</v>
      </c>
      <c r="AQ29" s="6" t="s">
        <v>81</v>
      </c>
      <c r="AR29" s="6" t="s">
        <v>81</v>
      </c>
      <c r="AS29" s="6" t="s">
        <v>81</v>
      </c>
      <c r="AT29" s="6" t="s">
        <v>81</v>
      </c>
      <c r="AU29" s="6" t="s">
        <v>81</v>
      </c>
      <c r="AV29" s="6" t="s">
        <v>81</v>
      </c>
      <c r="AW29" s="6" t="s">
        <v>81</v>
      </c>
      <c r="AX29" s="6" t="s">
        <v>81</v>
      </c>
      <c r="AY29" s="6" t="s">
        <v>22555</v>
      </c>
      <c r="AZ29" s="6" t="s">
        <v>81</v>
      </c>
      <c r="BA29" s="6" t="s">
        <v>23819</v>
      </c>
      <c r="BB29" s="24" t="n">
        <v>382</v>
      </c>
      <c r="BC29" s="26"/>
      <c r="BD29" s="26"/>
      <c r="BE29" s="26"/>
      <c r="BF29" s="26" t="s">
        <v>23900</v>
      </c>
      <c r="BG29" s="26"/>
      <c r="BH29" s="26"/>
      <c r="BI29" s="26"/>
      <c r="BJ29" s="26"/>
      <c r="BK29" s="26"/>
      <c r="BL29" s="26"/>
      <c r="BM29" s="26"/>
      <c r="BN29" s="26"/>
      <c r="BO29" s="26"/>
      <c r="BP29" s="16" t="n">
        <v>45635</v>
      </c>
      <c r="BQ29" s="28" t="str">
        <f>HYPERLINK("https://organic.ams.usda.gov/Integrity/Certificate.aspx?cid=45&amp;nopid=9950009044")</f>
        <v>https://organic.ams.usda.gov/Integrity/Certificate.aspx?cid=45&amp;nopid=9950009044</v>
      </c>
    </row>
    <row r="30">
      <c r="A30" t="s">
        <v>3</v>
      </c>
      <c r="B30" s="6" t="s">
        <v>8</v>
      </c>
      <c r="C30" s="6" t="s">
        <v>55</v>
      </c>
      <c r="D30" s="6" t="s">
        <v>101</v>
      </c>
      <c r="E30" s="10" t="s">
        <v>171</v>
      </c>
      <c r="F30" s="6" t="s">
        <v>2910</v>
      </c>
      <c r="G30" s="6" t="s">
        <v>81</v>
      </c>
      <c r="H30" s="6" t="s">
        <v>5920</v>
      </c>
      <c r="I30" s="6" t="s">
        <v>8385</v>
      </c>
      <c r="J30" s="6" t="s">
        <v>9666</v>
      </c>
      <c r="K30" s="6" t="s">
        <v>10886</v>
      </c>
      <c r="L30" s="16" t="n">
        <v>39001</v>
      </c>
      <c r="M30" s="16" t="n">
        <v>45689</v>
      </c>
      <c r="N30" s="6" t="s">
        <v>10886</v>
      </c>
      <c r="O30" s="16" t="n">
        <v>39001</v>
      </c>
      <c r="P30" s="6" t="s">
        <v>10921</v>
      </c>
      <c r="Q30" s="6" t="s">
        <v>81</v>
      </c>
      <c r="R30" s="6" t="s">
        <v>5920</v>
      </c>
      <c r="S30" s="6" t="s">
        <v>10886</v>
      </c>
      <c r="T30" s="16" t="n">
        <v>39001</v>
      </c>
      <c r="U30" s="6" t="s">
        <v>13179</v>
      </c>
      <c r="V30" s="6" t="s">
        <v>81</v>
      </c>
      <c r="W30" s="6" t="s">
        <v>5920</v>
      </c>
      <c r="X30" s="6" t="s">
        <v>81</v>
      </c>
      <c r="Y30" s="21" t="s">
        <v>81</v>
      </c>
      <c r="Z30" s="6" t="s">
        <v>81</v>
      </c>
      <c r="AA30" s="6" t="s">
        <v>81</v>
      </c>
      <c r="AB30" s="6" t="s">
        <v>81</v>
      </c>
      <c r="AC30" s="6" t="s">
        <v>81</v>
      </c>
      <c r="AD30" s="21" t="s">
        <v>81</v>
      </c>
      <c r="AE30" s="6" t="s">
        <v>81</v>
      </c>
      <c r="AF30" s="6" t="s">
        <v>81</v>
      </c>
      <c r="AG30" s="6" t="s">
        <v>81</v>
      </c>
      <c r="AH30" s="6" t="s">
        <v>14644</v>
      </c>
      <c r="AI30" s="6" t="s">
        <v>81</v>
      </c>
      <c r="AJ30" s="6" t="s">
        <v>8987</v>
      </c>
      <c r="AK30" s="6" t="s">
        <v>18377</v>
      </c>
      <c r="AL30" s="6" t="s">
        <v>18444</v>
      </c>
      <c r="AM30" s="6" t="s">
        <v>18487</v>
      </c>
      <c r="AN30" s="6" t="s">
        <v>19646</v>
      </c>
      <c r="AO30" s="6" t="s">
        <v>19733</v>
      </c>
      <c r="AP30" s="6" t="s">
        <v>81</v>
      </c>
      <c r="AQ30" s="6" t="s">
        <v>81</v>
      </c>
      <c r="AR30" s="6" t="s">
        <v>81</v>
      </c>
      <c r="AS30" s="6" t="s">
        <v>81</v>
      </c>
      <c r="AT30" s="6" t="s">
        <v>81</v>
      </c>
      <c r="AU30" s="6" t="s">
        <v>81</v>
      </c>
      <c r="AV30" s="6" t="s">
        <v>81</v>
      </c>
      <c r="AW30" s="6" t="s">
        <v>81</v>
      </c>
      <c r="AX30" s="6" t="s">
        <v>81</v>
      </c>
      <c r="AY30" s="6" t="s">
        <v>81</v>
      </c>
      <c r="AZ30" s="6" t="s">
        <v>81</v>
      </c>
      <c r="BA30" s="6" t="s">
        <v>23819</v>
      </c>
      <c r="BB30" s="24" t="n">
        <v>217</v>
      </c>
      <c r="BC30" s="26"/>
      <c r="BD30" s="26"/>
      <c r="BE30" s="26"/>
      <c r="BF30" s="26" t="s">
        <v>23900</v>
      </c>
      <c r="BG30" s="26"/>
      <c r="BH30" s="26"/>
      <c r="BI30" s="26"/>
      <c r="BJ30" s="26"/>
      <c r="BK30" s="26"/>
      <c r="BL30" s="26"/>
      <c r="BM30" s="26"/>
      <c r="BN30" s="26"/>
      <c r="BO30" s="26"/>
      <c r="BP30" s="16" t="n">
        <v>45686</v>
      </c>
      <c r="BQ30" s="28" t="str">
        <f>HYPERLINK("https://organic.ams.usda.gov/Integrity/Certificate.aspx?cid=45&amp;nopid=9950002302")</f>
        <v>https://organic.ams.usda.gov/Integrity/Certificate.aspx?cid=45&amp;nopid=9950002302</v>
      </c>
    </row>
    <row r="31">
      <c r="A31" t="s">
        <v>3</v>
      </c>
      <c r="B31" s="6" t="s">
        <v>14</v>
      </c>
      <c r="C31" s="6" t="s">
        <v>61</v>
      </c>
      <c r="D31" s="6" t="s">
        <v>107</v>
      </c>
      <c r="E31" s="10" t="s">
        <v>172</v>
      </c>
      <c r="F31" s="6" t="s">
        <v>2911</v>
      </c>
      <c r="G31" s="6" t="s">
        <v>81</v>
      </c>
      <c r="H31" s="6" t="s">
        <v>5921</v>
      </c>
      <c r="I31" s="6" t="s">
        <v>8391</v>
      </c>
      <c r="J31" s="6" t="s">
        <v>9685</v>
      </c>
      <c r="K31" s="6" t="s">
        <v>10886</v>
      </c>
      <c r="L31" s="16" t="n">
        <v>45489</v>
      </c>
      <c r="M31" s="16" t="n">
        <v>45748</v>
      </c>
      <c r="N31" s="6" t="s">
        <v>81</v>
      </c>
      <c r="O31" s="21" t="s">
        <v>81</v>
      </c>
      <c r="P31" s="6" t="s">
        <v>81</v>
      </c>
      <c r="Q31" s="6" t="s">
        <v>81</v>
      </c>
      <c r="R31" s="6" t="s">
        <v>81</v>
      </c>
      <c r="S31" s="6" t="s">
        <v>81</v>
      </c>
      <c r="T31" s="21" t="s">
        <v>81</v>
      </c>
      <c r="U31" s="6" t="s">
        <v>81</v>
      </c>
      <c r="V31" s="6" t="s">
        <v>81</v>
      </c>
      <c r="W31" s="6" t="s">
        <v>81</v>
      </c>
      <c r="X31" s="6" t="s">
        <v>81</v>
      </c>
      <c r="Y31" s="21" t="s">
        <v>81</v>
      </c>
      <c r="Z31" s="6" t="s">
        <v>81</v>
      </c>
      <c r="AA31" s="6" t="s">
        <v>81</v>
      </c>
      <c r="AB31" s="6" t="s">
        <v>81</v>
      </c>
      <c r="AC31" s="6" t="s">
        <v>10886</v>
      </c>
      <c r="AD31" s="16" t="n">
        <v>45489</v>
      </c>
      <c r="AE31" s="6" t="s">
        <v>13998</v>
      </c>
      <c r="AF31" s="6" t="s">
        <v>81</v>
      </c>
      <c r="AG31" s="6" t="s">
        <v>81</v>
      </c>
      <c r="AH31" s="6" t="s">
        <v>14645</v>
      </c>
      <c r="AI31" s="6" t="s">
        <v>81</v>
      </c>
      <c r="AJ31" s="6" t="s">
        <v>17334</v>
      </c>
      <c r="AK31" s="6" t="s">
        <v>18382</v>
      </c>
      <c r="AL31" s="6" t="s">
        <v>18444</v>
      </c>
      <c r="AM31" s="6" t="s">
        <v>18488</v>
      </c>
      <c r="AN31" s="6" t="s">
        <v>81</v>
      </c>
      <c r="AO31" s="6" t="s">
        <v>81</v>
      </c>
      <c r="AP31" s="6" t="s">
        <v>14645</v>
      </c>
      <c r="AQ31" s="6" t="s">
        <v>81</v>
      </c>
      <c r="AR31" s="6" t="s">
        <v>17334</v>
      </c>
      <c r="AS31" s="6" t="s">
        <v>18382</v>
      </c>
      <c r="AT31" s="6" t="s">
        <v>18444</v>
      </c>
      <c r="AU31" s="6" t="s">
        <v>18488</v>
      </c>
      <c r="AV31" s="6" t="s">
        <v>81</v>
      </c>
      <c r="AW31" s="6" t="s">
        <v>81</v>
      </c>
      <c r="AX31" s="6" t="s">
        <v>20762</v>
      </c>
      <c r="AY31" s="6" t="s">
        <v>22556</v>
      </c>
      <c r="AZ31" s="6" t="s">
        <v>81</v>
      </c>
      <c r="BA31" s="6" t="s">
        <v>81</v>
      </c>
      <c r="BB31" s="24" t="n">
        <v>0</v>
      </c>
      <c r="BC31" s="26"/>
      <c r="BD31" s="26"/>
      <c r="BE31" s="26"/>
      <c r="BF31" s="26"/>
      <c r="BG31" s="26" t="s">
        <v>23900</v>
      </c>
      <c r="BH31" s="26" t="s">
        <v>23900</v>
      </c>
      <c r="BI31" s="26"/>
      <c r="BJ31" s="26"/>
      <c r="BK31" s="26"/>
      <c r="BL31" s="26"/>
      <c r="BM31" s="26"/>
      <c r="BN31" s="26"/>
      <c r="BO31" s="26"/>
      <c r="BP31" s="16" t="n">
        <v>45664</v>
      </c>
      <c r="BQ31" s="28" t="str">
        <f>HYPERLINK("https://organic.ams.usda.gov/Integrity/Certificate.aspx?cid=51&amp;nopid=8241000056")</f>
        <v>https://organic.ams.usda.gov/Integrity/Certificate.aspx?cid=51&amp;nopid=8241000056</v>
      </c>
    </row>
    <row r="32">
      <c r="A32" t="s">
        <v>3</v>
      </c>
      <c r="B32" s="6" t="s">
        <v>9</v>
      </c>
      <c r="C32" s="6" t="s">
        <v>56</v>
      </c>
      <c r="D32" s="6" t="s">
        <v>102</v>
      </c>
      <c r="E32" s="10" t="s">
        <v>173</v>
      </c>
      <c r="F32" s="6" t="s">
        <v>2912</v>
      </c>
      <c r="G32" s="6" t="s">
        <v>81</v>
      </c>
      <c r="H32" s="6" t="s">
        <v>5922</v>
      </c>
      <c r="I32" s="6" t="s">
        <v>8392</v>
      </c>
      <c r="J32" s="6" t="s">
        <v>9666</v>
      </c>
      <c r="K32" s="6" t="s">
        <v>10886</v>
      </c>
      <c r="L32" s="16" t="n">
        <v>41950</v>
      </c>
      <c r="M32" s="16" t="n">
        <v>45748</v>
      </c>
      <c r="N32" s="6" t="s">
        <v>10886</v>
      </c>
      <c r="O32" s="16" t="n">
        <v>41950</v>
      </c>
      <c r="P32" s="6" t="s">
        <v>10922</v>
      </c>
      <c r="Q32" s="6" t="s">
        <v>81</v>
      </c>
      <c r="R32" s="6" t="s">
        <v>12437</v>
      </c>
      <c r="S32" s="6" t="s">
        <v>10886</v>
      </c>
      <c r="T32" s="16" t="n">
        <v>41950</v>
      </c>
      <c r="U32" s="6" t="s">
        <v>13168</v>
      </c>
      <c r="V32" s="6" t="s">
        <v>81</v>
      </c>
      <c r="W32" s="6" t="s">
        <v>12437</v>
      </c>
      <c r="X32" s="6" t="s">
        <v>81</v>
      </c>
      <c r="Y32" s="21" t="s">
        <v>81</v>
      </c>
      <c r="Z32" s="6" t="s">
        <v>81</v>
      </c>
      <c r="AA32" s="6" t="s">
        <v>81</v>
      </c>
      <c r="AB32" s="6" t="s">
        <v>81</v>
      </c>
      <c r="AC32" s="6" t="s">
        <v>81</v>
      </c>
      <c r="AD32" s="21" t="s">
        <v>81</v>
      </c>
      <c r="AE32" s="6" t="s">
        <v>81</v>
      </c>
      <c r="AF32" s="6" t="s">
        <v>81</v>
      </c>
      <c r="AG32" s="6" t="s">
        <v>81</v>
      </c>
      <c r="AH32" s="6" t="s">
        <v>14646</v>
      </c>
      <c r="AI32" s="6" t="s">
        <v>81</v>
      </c>
      <c r="AJ32" s="6" t="s">
        <v>17335</v>
      </c>
      <c r="AK32" s="6" t="s">
        <v>18378</v>
      </c>
      <c r="AL32" s="6" t="s">
        <v>18444</v>
      </c>
      <c r="AM32" s="6" t="s">
        <v>18489</v>
      </c>
      <c r="AN32" s="6" t="s">
        <v>19640</v>
      </c>
      <c r="AO32" s="6" t="s">
        <v>19726</v>
      </c>
      <c r="AP32" s="6" t="s">
        <v>81</v>
      </c>
      <c r="AQ32" s="6" t="s">
        <v>81</v>
      </c>
      <c r="AR32" s="6" t="s">
        <v>81</v>
      </c>
      <c r="AS32" s="6" t="s">
        <v>81</v>
      </c>
      <c r="AT32" s="6" t="s">
        <v>81</v>
      </c>
      <c r="AU32" s="6" t="s">
        <v>81</v>
      </c>
      <c r="AV32" s="6" t="s">
        <v>81</v>
      </c>
      <c r="AW32" s="6" t="s">
        <v>81</v>
      </c>
      <c r="AX32" s="6" t="s">
        <v>20763</v>
      </c>
      <c r="AY32" s="6" t="s">
        <v>81</v>
      </c>
      <c r="AZ32" s="6" t="s">
        <v>81</v>
      </c>
      <c r="BA32" s="6" t="s">
        <v>81</v>
      </c>
      <c r="BB32" s="24" t="n">
        <v>132</v>
      </c>
      <c r="BC32" s="26"/>
      <c r="BD32" s="26"/>
      <c r="BE32" s="26"/>
      <c r="BF32" s="26"/>
      <c r="BG32" s="26"/>
      <c r="BH32" s="26"/>
      <c r="BI32" s="26"/>
      <c r="BJ32" s="26"/>
      <c r="BK32" s="26"/>
      <c r="BL32" s="26"/>
      <c r="BM32" s="26"/>
      <c r="BN32" s="26"/>
      <c r="BO32" s="26"/>
      <c r="BP32" s="16" t="n">
        <v>45738</v>
      </c>
      <c r="BQ32" s="28" t="str">
        <f>HYPERLINK("https://organic.ams.usda.gov/Integrity/Certificate.aspx?cid=52&amp;nopid=8431400872")</f>
        <v>https://organic.ams.usda.gov/Integrity/Certificate.aspx?cid=52&amp;nopid=8431400872</v>
      </c>
    </row>
    <row r="33">
      <c r="A33" t="s">
        <v>3</v>
      </c>
      <c r="B33" s="6" t="s">
        <v>9</v>
      </c>
      <c r="C33" s="6" t="s">
        <v>56</v>
      </c>
      <c r="D33" s="6" t="s">
        <v>102</v>
      </c>
      <c r="E33" s="10" t="s">
        <v>174</v>
      </c>
      <c r="F33" s="6" t="s">
        <v>2913</v>
      </c>
      <c r="G33" s="6" t="s">
        <v>81</v>
      </c>
      <c r="H33" s="6" t="s">
        <v>5923</v>
      </c>
      <c r="I33" s="6" t="s">
        <v>81</v>
      </c>
      <c r="J33" s="6" t="s">
        <v>81</v>
      </c>
      <c r="K33" s="6" t="s">
        <v>10886</v>
      </c>
      <c r="L33" s="16" t="n">
        <v>44683</v>
      </c>
      <c r="M33" s="16" t="n">
        <v>45748</v>
      </c>
      <c r="N33" s="6" t="s">
        <v>10886</v>
      </c>
      <c r="O33" s="16" t="n">
        <v>44683</v>
      </c>
      <c r="P33" s="6" t="s">
        <v>10923</v>
      </c>
      <c r="Q33" s="6" t="s">
        <v>81</v>
      </c>
      <c r="R33" s="6" t="s">
        <v>12438</v>
      </c>
      <c r="S33" s="6" t="s">
        <v>10886</v>
      </c>
      <c r="T33" s="16" t="n">
        <v>44683</v>
      </c>
      <c r="U33" s="6" t="s">
        <v>13168</v>
      </c>
      <c r="V33" s="6" t="s">
        <v>81</v>
      </c>
      <c r="W33" s="6" t="s">
        <v>12438</v>
      </c>
      <c r="X33" s="6" t="s">
        <v>81</v>
      </c>
      <c r="Y33" s="21" t="s">
        <v>81</v>
      </c>
      <c r="Z33" s="6" t="s">
        <v>81</v>
      </c>
      <c r="AA33" s="6" t="s">
        <v>81</v>
      </c>
      <c r="AB33" s="6" t="s">
        <v>81</v>
      </c>
      <c r="AC33" s="6" t="s">
        <v>81</v>
      </c>
      <c r="AD33" s="21" t="s">
        <v>81</v>
      </c>
      <c r="AE33" s="6" t="s">
        <v>81</v>
      </c>
      <c r="AF33" s="6" t="s">
        <v>81</v>
      </c>
      <c r="AG33" s="6" t="s">
        <v>81</v>
      </c>
      <c r="AH33" s="6" t="s">
        <v>14647</v>
      </c>
      <c r="AI33" s="6" t="s">
        <v>81</v>
      </c>
      <c r="AJ33" s="6" t="s">
        <v>17324</v>
      </c>
      <c r="AK33" s="6" t="s">
        <v>18378</v>
      </c>
      <c r="AL33" s="6" t="s">
        <v>18444</v>
      </c>
      <c r="AM33" s="6" t="s">
        <v>18476</v>
      </c>
      <c r="AN33" s="6" t="s">
        <v>19647</v>
      </c>
      <c r="AO33" s="6" t="s">
        <v>19734</v>
      </c>
      <c r="AP33" s="6" t="s">
        <v>81</v>
      </c>
      <c r="AQ33" s="6" t="s">
        <v>81</v>
      </c>
      <c r="AR33" s="6" t="s">
        <v>81</v>
      </c>
      <c r="AS33" s="6" t="s">
        <v>81</v>
      </c>
      <c r="AT33" s="6" t="s">
        <v>81</v>
      </c>
      <c r="AU33" s="6" t="s">
        <v>81</v>
      </c>
      <c r="AV33" s="6" t="s">
        <v>81</v>
      </c>
      <c r="AW33" s="6" t="s">
        <v>81</v>
      </c>
      <c r="AX33" s="6" t="s">
        <v>20764</v>
      </c>
      <c r="AY33" s="6" t="s">
        <v>81</v>
      </c>
      <c r="AZ33" s="6" t="s">
        <v>81</v>
      </c>
      <c r="BA33" s="6" t="s">
        <v>81</v>
      </c>
      <c r="BB33" s="24" t="n">
        <v>238</v>
      </c>
      <c r="BC33" s="26"/>
      <c r="BD33" s="26"/>
      <c r="BE33" s="26"/>
      <c r="BF33" s="26"/>
      <c r="BG33" s="26"/>
      <c r="BH33" s="26"/>
      <c r="BI33" s="26"/>
      <c r="BJ33" s="26"/>
      <c r="BK33" s="26"/>
      <c r="BL33" s="26"/>
      <c r="BM33" s="26"/>
      <c r="BN33" s="26"/>
      <c r="BO33" s="26"/>
      <c r="BP33" s="16" t="n">
        <v>45738</v>
      </c>
      <c r="BQ33" s="28" t="str">
        <f>HYPERLINK("https://organic.ams.usda.gov/Integrity/Certificate.aspx?cid=52&amp;nopid=8432202017")</f>
        <v>https://organic.ams.usda.gov/Integrity/Certificate.aspx?cid=52&amp;nopid=8432202017</v>
      </c>
    </row>
    <row r="34">
      <c r="A34" t="s">
        <v>3</v>
      </c>
      <c r="B34" s="6" t="s">
        <v>9</v>
      </c>
      <c r="C34" s="6" t="s">
        <v>56</v>
      </c>
      <c r="D34" s="6" t="s">
        <v>102</v>
      </c>
      <c r="E34" s="10" t="s">
        <v>175</v>
      </c>
      <c r="F34" s="6" t="s">
        <v>2914</v>
      </c>
      <c r="G34" s="6" t="s">
        <v>81</v>
      </c>
      <c r="H34" s="6" t="s">
        <v>5924</v>
      </c>
      <c r="I34" s="6" t="s">
        <v>8393</v>
      </c>
      <c r="J34" s="6" t="s">
        <v>9686</v>
      </c>
      <c r="K34" s="6" t="s">
        <v>10886</v>
      </c>
      <c r="L34" s="16" t="n">
        <v>40413</v>
      </c>
      <c r="M34" s="16" t="n">
        <v>45748</v>
      </c>
      <c r="N34" s="6" t="s">
        <v>10886</v>
      </c>
      <c r="O34" s="16" t="n">
        <v>40413</v>
      </c>
      <c r="P34" s="6" t="s">
        <v>10924</v>
      </c>
      <c r="Q34" s="6" t="s">
        <v>81</v>
      </c>
      <c r="R34" s="6" t="s">
        <v>12439</v>
      </c>
      <c r="S34" s="6" t="s">
        <v>10886</v>
      </c>
      <c r="T34" s="16" t="n">
        <v>40413</v>
      </c>
      <c r="U34" s="6" t="s">
        <v>13168</v>
      </c>
      <c r="V34" s="6" t="s">
        <v>81</v>
      </c>
      <c r="W34" s="6" t="s">
        <v>12439</v>
      </c>
      <c r="X34" s="6" t="s">
        <v>81</v>
      </c>
      <c r="Y34" s="21" t="s">
        <v>81</v>
      </c>
      <c r="Z34" s="6" t="s">
        <v>81</v>
      </c>
      <c r="AA34" s="6" t="s">
        <v>81</v>
      </c>
      <c r="AB34" s="6" t="s">
        <v>81</v>
      </c>
      <c r="AC34" s="6" t="s">
        <v>81</v>
      </c>
      <c r="AD34" s="21" t="s">
        <v>81</v>
      </c>
      <c r="AE34" s="6" t="s">
        <v>81</v>
      </c>
      <c r="AF34" s="6" t="s">
        <v>81</v>
      </c>
      <c r="AG34" s="6" t="s">
        <v>81</v>
      </c>
      <c r="AH34" s="6" t="s">
        <v>14648</v>
      </c>
      <c r="AI34" s="6" t="s">
        <v>81</v>
      </c>
      <c r="AJ34" s="6" t="s">
        <v>17316</v>
      </c>
      <c r="AK34" s="6" t="s">
        <v>18377</v>
      </c>
      <c r="AL34" s="6" t="s">
        <v>18444</v>
      </c>
      <c r="AM34" s="6" t="s">
        <v>18468</v>
      </c>
      <c r="AN34" s="6" t="s">
        <v>19638</v>
      </c>
      <c r="AO34" s="6" t="s">
        <v>19724</v>
      </c>
      <c r="AP34" s="6" t="s">
        <v>81</v>
      </c>
      <c r="AQ34" s="6" t="s">
        <v>81</v>
      </c>
      <c r="AR34" s="6" t="s">
        <v>81</v>
      </c>
      <c r="AS34" s="6" t="s">
        <v>81</v>
      </c>
      <c r="AT34" s="6" t="s">
        <v>81</v>
      </c>
      <c r="AU34" s="6" t="s">
        <v>81</v>
      </c>
      <c r="AV34" s="6" t="s">
        <v>81</v>
      </c>
      <c r="AW34" s="6" t="s">
        <v>81</v>
      </c>
      <c r="AX34" s="6" t="s">
        <v>81</v>
      </c>
      <c r="AY34" s="6" t="s">
        <v>81</v>
      </c>
      <c r="AZ34" s="6" t="s">
        <v>81</v>
      </c>
      <c r="BA34" s="6" t="s">
        <v>81</v>
      </c>
      <c r="BB34" s="24" t="n">
        <v>68</v>
      </c>
      <c r="BC34" s="26"/>
      <c r="BD34" s="26"/>
      <c r="BE34" s="26"/>
      <c r="BF34" s="26"/>
      <c r="BG34" s="26"/>
      <c r="BH34" s="26"/>
      <c r="BI34" s="26"/>
      <c r="BJ34" s="26"/>
      <c r="BK34" s="26"/>
      <c r="BL34" s="26"/>
      <c r="BM34" s="26"/>
      <c r="BN34" s="26"/>
      <c r="BO34" s="26"/>
      <c r="BP34" s="16" t="n">
        <v>45738</v>
      </c>
      <c r="BQ34" s="28" t="str">
        <f>HYPERLINK("https://organic.ams.usda.gov/Integrity/Certificate.aspx?cid=52&amp;nopid=8431000207")</f>
        <v>https://organic.ams.usda.gov/Integrity/Certificate.aspx?cid=52&amp;nopid=8431000207</v>
      </c>
    </row>
    <row r="35">
      <c r="A35" t="s">
        <v>3</v>
      </c>
      <c r="B35" s="6" t="s">
        <v>7</v>
      </c>
      <c r="C35" s="6" t="s">
        <v>54</v>
      </c>
      <c r="D35" s="6" t="s">
        <v>100</v>
      </c>
      <c r="E35" s="10" t="s">
        <v>176</v>
      </c>
      <c r="F35" s="6" t="s">
        <v>2915</v>
      </c>
      <c r="G35" s="6" t="s">
        <v>81</v>
      </c>
      <c r="H35" s="6" t="s">
        <v>5925</v>
      </c>
      <c r="I35" s="6" t="s">
        <v>8394</v>
      </c>
      <c r="J35" s="6" t="s">
        <v>9665</v>
      </c>
      <c r="K35" s="6" t="s">
        <v>10886</v>
      </c>
      <c r="L35" s="16" t="n">
        <v>43692</v>
      </c>
      <c r="M35" s="16" t="n">
        <v>45716</v>
      </c>
      <c r="N35" s="6" t="s">
        <v>10886</v>
      </c>
      <c r="O35" s="16" t="n">
        <v>43692</v>
      </c>
      <c r="P35" s="6" t="s">
        <v>10925</v>
      </c>
      <c r="Q35" s="6" t="s">
        <v>81</v>
      </c>
      <c r="R35" s="6" t="s">
        <v>81</v>
      </c>
      <c r="S35" s="6" t="s">
        <v>10886</v>
      </c>
      <c r="T35" s="16" t="n">
        <v>43692</v>
      </c>
      <c r="U35" s="6" t="s">
        <v>13169</v>
      </c>
      <c r="V35" s="6" t="s">
        <v>81</v>
      </c>
      <c r="W35" s="6" t="s">
        <v>81</v>
      </c>
      <c r="X35" s="6" t="s">
        <v>81</v>
      </c>
      <c r="Y35" s="21" t="s">
        <v>81</v>
      </c>
      <c r="Z35" s="6" t="s">
        <v>81</v>
      </c>
      <c r="AA35" s="6" t="s">
        <v>81</v>
      </c>
      <c r="AB35" s="6" t="s">
        <v>81</v>
      </c>
      <c r="AC35" s="6" t="s">
        <v>81</v>
      </c>
      <c r="AD35" s="21" t="s">
        <v>81</v>
      </c>
      <c r="AE35" s="6" t="s">
        <v>81</v>
      </c>
      <c r="AF35" s="6" t="s">
        <v>81</v>
      </c>
      <c r="AG35" s="6" t="s">
        <v>81</v>
      </c>
      <c r="AH35" s="6" t="s">
        <v>14649</v>
      </c>
      <c r="AI35" s="6" t="s">
        <v>81</v>
      </c>
      <c r="AJ35" s="6" t="s">
        <v>17336</v>
      </c>
      <c r="AK35" s="6" t="s">
        <v>17712</v>
      </c>
      <c r="AL35" s="6" t="s">
        <v>18444</v>
      </c>
      <c r="AM35" s="6" t="s">
        <v>18490</v>
      </c>
      <c r="AN35" s="6" t="s">
        <v>7195</v>
      </c>
      <c r="AO35" s="6" t="s">
        <v>19735</v>
      </c>
      <c r="AP35" s="6" t="s">
        <v>14649</v>
      </c>
      <c r="AQ35" s="6" t="s">
        <v>81</v>
      </c>
      <c r="AR35" s="6" t="s">
        <v>17336</v>
      </c>
      <c r="AS35" s="6" t="s">
        <v>17712</v>
      </c>
      <c r="AT35" s="6" t="s">
        <v>18444</v>
      </c>
      <c r="AU35" s="6" t="s">
        <v>18490</v>
      </c>
      <c r="AV35" s="6" t="s">
        <v>81</v>
      </c>
      <c r="AW35" s="6" t="s">
        <v>81</v>
      </c>
      <c r="AX35" s="6" t="s">
        <v>20765</v>
      </c>
      <c r="AY35" s="6" t="s">
        <v>81</v>
      </c>
      <c r="AZ35" s="6" t="s">
        <v>81</v>
      </c>
      <c r="BA35" s="6" t="s">
        <v>81</v>
      </c>
      <c r="BB35" s="24" t="n">
        <v>158</v>
      </c>
      <c r="BC35" s="26"/>
      <c r="BD35" s="26"/>
      <c r="BE35" s="26"/>
      <c r="BF35" s="26" t="s">
        <v>23900</v>
      </c>
      <c r="BG35" s="26"/>
      <c r="BH35" s="26"/>
      <c r="BI35" s="26"/>
      <c r="BJ35" s="26"/>
      <c r="BK35" s="26"/>
      <c r="BL35" s="26"/>
      <c r="BM35" s="26"/>
      <c r="BN35" s="26"/>
      <c r="BO35" s="26"/>
      <c r="BP35" s="16" t="n">
        <v>45639</v>
      </c>
      <c r="BQ35" s="28" t="str">
        <f>HYPERLINK("https://organic.ams.usda.gov/Integrity/Certificate.aspx?cid=57&amp;nopid=3252019087")</f>
        <v>https://organic.ams.usda.gov/Integrity/Certificate.aspx?cid=57&amp;nopid=3252019087</v>
      </c>
    </row>
    <row r="36">
      <c r="A36" t="s">
        <v>3</v>
      </c>
      <c r="B36" s="6" t="s">
        <v>9</v>
      </c>
      <c r="C36" s="6" t="s">
        <v>56</v>
      </c>
      <c r="D36" s="6" t="s">
        <v>102</v>
      </c>
      <c r="E36" s="10" t="s">
        <v>177</v>
      </c>
      <c r="F36" s="6" t="s">
        <v>2916</v>
      </c>
      <c r="G36" s="6" t="s">
        <v>81</v>
      </c>
      <c r="H36" s="6" t="s">
        <v>5926</v>
      </c>
      <c r="I36" s="6" t="s">
        <v>8394</v>
      </c>
      <c r="J36" s="6" t="s">
        <v>9687</v>
      </c>
      <c r="K36" s="6" t="s">
        <v>10886</v>
      </c>
      <c r="L36" s="16" t="n">
        <v>39747</v>
      </c>
      <c r="M36" s="16" t="n">
        <v>46113</v>
      </c>
      <c r="N36" s="6" t="s">
        <v>10886</v>
      </c>
      <c r="O36" s="16" t="n">
        <v>39747</v>
      </c>
      <c r="P36" s="6" t="s">
        <v>10926</v>
      </c>
      <c r="Q36" s="6" t="s">
        <v>81</v>
      </c>
      <c r="R36" s="6" t="s">
        <v>12440</v>
      </c>
      <c r="S36" s="6" t="s">
        <v>10886</v>
      </c>
      <c r="T36" s="16" t="n">
        <v>39747</v>
      </c>
      <c r="U36" s="6" t="s">
        <v>13168</v>
      </c>
      <c r="V36" s="6" t="s">
        <v>81</v>
      </c>
      <c r="W36" s="6" t="s">
        <v>12440</v>
      </c>
      <c r="X36" s="6" t="s">
        <v>81</v>
      </c>
      <c r="Y36" s="21" t="s">
        <v>81</v>
      </c>
      <c r="Z36" s="6" t="s">
        <v>81</v>
      </c>
      <c r="AA36" s="6" t="s">
        <v>81</v>
      </c>
      <c r="AB36" s="6" t="s">
        <v>81</v>
      </c>
      <c r="AC36" s="6" t="s">
        <v>81</v>
      </c>
      <c r="AD36" s="21" t="s">
        <v>81</v>
      </c>
      <c r="AE36" s="6" t="s">
        <v>81</v>
      </c>
      <c r="AF36" s="6" t="s">
        <v>81</v>
      </c>
      <c r="AG36" s="6" t="s">
        <v>81</v>
      </c>
      <c r="AH36" s="6" t="s">
        <v>14650</v>
      </c>
      <c r="AI36" s="6" t="s">
        <v>81</v>
      </c>
      <c r="AJ36" s="6" t="s">
        <v>17337</v>
      </c>
      <c r="AK36" s="6" t="s">
        <v>18377</v>
      </c>
      <c r="AL36" s="6" t="s">
        <v>18444</v>
      </c>
      <c r="AM36" s="6" t="s">
        <v>18491</v>
      </c>
      <c r="AN36" s="6" t="s">
        <v>19643</v>
      </c>
      <c r="AO36" s="6" t="s">
        <v>19730</v>
      </c>
      <c r="AP36" s="6" t="s">
        <v>81</v>
      </c>
      <c r="AQ36" s="6" t="s">
        <v>81</v>
      </c>
      <c r="AR36" s="6" t="s">
        <v>81</v>
      </c>
      <c r="AS36" s="6" t="s">
        <v>81</v>
      </c>
      <c r="AT36" s="6" t="s">
        <v>81</v>
      </c>
      <c r="AU36" s="6" t="s">
        <v>81</v>
      </c>
      <c r="AV36" s="6" t="s">
        <v>81</v>
      </c>
      <c r="AW36" s="6" t="s">
        <v>81</v>
      </c>
      <c r="AX36" s="6" t="s">
        <v>81</v>
      </c>
      <c r="AY36" s="6" t="s">
        <v>81</v>
      </c>
      <c r="AZ36" s="6" t="s">
        <v>81</v>
      </c>
      <c r="BA36" s="6" t="s">
        <v>81</v>
      </c>
      <c r="BB36" s="24" t="n">
        <v>127</v>
      </c>
      <c r="BC36" s="26"/>
      <c r="BD36" s="26"/>
      <c r="BE36" s="26"/>
      <c r="BF36" s="26"/>
      <c r="BG36" s="26"/>
      <c r="BH36" s="26"/>
      <c r="BI36" s="26"/>
      <c r="BJ36" s="26"/>
      <c r="BK36" s="26"/>
      <c r="BL36" s="26"/>
      <c r="BM36" s="26"/>
      <c r="BN36" s="26"/>
      <c r="BO36" s="26"/>
      <c r="BP36" s="16" t="n">
        <v>45738</v>
      </c>
      <c r="BQ36" s="28" t="str">
        <f>HYPERLINK("https://organic.ams.usda.gov/Integrity/Certificate.aspx?cid=52&amp;nopid=8430801090")</f>
        <v>https://organic.ams.usda.gov/Integrity/Certificate.aspx?cid=52&amp;nopid=8430801090</v>
      </c>
    </row>
    <row r="37">
      <c r="A37" t="s">
        <v>3</v>
      </c>
      <c r="B37" s="6" t="s">
        <v>15</v>
      </c>
      <c r="C37" s="6" t="s">
        <v>62</v>
      </c>
      <c r="D37" s="6" t="s">
        <v>108</v>
      </c>
      <c r="E37" s="10" t="s">
        <v>178</v>
      </c>
      <c r="F37" s="6" t="s">
        <v>2917</v>
      </c>
      <c r="G37" s="6" t="s">
        <v>5589</v>
      </c>
      <c r="H37" s="6" t="s">
        <v>5927</v>
      </c>
      <c r="I37" s="6" t="s">
        <v>8395</v>
      </c>
      <c r="J37" s="6" t="s">
        <v>9668</v>
      </c>
      <c r="K37" s="6" t="s">
        <v>10886</v>
      </c>
      <c r="L37" s="16" t="n">
        <v>41527</v>
      </c>
      <c r="M37" s="16" t="n">
        <v>45792</v>
      </c>
      <c r="N37" s="6" t="s">
        <v>10886</v>
      </c>
      <c r="O37" s="16" t="n">
        <v>41527</v>
      </c>
      <c r="P37" s="6" t="s">
        <v>10927</v>
      </c>
      <c r="Q37" s="6" t="s">
        <v>81</v>
      </c>
      <c r="R37" s="6" t="s">
        <v>81</v>
      </c>
      <c r="S37" s="6" t="s">
        <v>10886</v>
      </c>
      <c r="T37" s="16" t="n">
        <v>41527</v>
      </c>
      <c r="U37" s="6" t="s">
        <v>13180</v>
      </c>
      <c r="V37" s="6" t="s">
        <v>81</v>
      </c>
      <c r="W37" s="6" t="s">
        <v>81</v>
      </c>
      <c r="X37" s="6" t="s">
        <v>81</v>
      </c>
      <c r="Y37" s="21" t="s">
        <v>81</v>
      </c>
      <c r="Z37" s="6" t="s">
        <v>81</v>
      </c>
      <c r="AA37" s="6" t="s">
        <v>81</v>
      </c>
      <c r="AB37" s="6" t="s">
        <v>81</v>
      </c>
      <c r="AC37" s="6" t="s">
        <v>81</v>
      </c>
      <c r="AD37" s="21" t="s">
        <v>81</v>
      </c>
      <c r="AE37" s="6" t="s">
        <v>81</v>
      </c>
      <c r="AF37" s="6" t="s">
        <v>81</v>
      </c>
      <c r="AG37" s="6" t="s">
        <v>81</v>
      </c>
      <c r="AH37" s="6" t="s">
        <v>14651</v>
      </c>
      <c r="AI37" s="6" t="s">
        <v>81</v>
      </c>
      <c r="AJ37" s="6" t="s">
        <v>17338</v>
      </c>
      <c r="AK37" s="6" t="s">
        <v>18380</v>
      </c>
      <c r="AL37" s="6" t="s">
        <v>18444</v>
      </c>
      <c r="AM37" s="6" t="s">
        <v>18492</v>
      </c>
      <c r="AN37" s="6" t="s">
        <v>19648</v>
      </c>
      <c r="AO37" s="6" t="s">
        <v>19736</v>
      </c>
      <c r="AP37" s="6" t="s">
        <v>14651</v>
      </c>
      <c r="AQ37" s="6" t="s">
        <v>81</v>
      </c>
      <c r="AR37" s="6" t="s">
        <v>17338</v>
      </c>
      <c r="AS37" s="6" t="s">
        <v>18380</v>
      </c>
      <c r="AT37" s="6" t="s">
        <v>18444</v>
      </c>
      <c r="AU37" s="6" t="s">
        <v>18492</v>
      </c>
      <c r="AV37" s="6" t="s">
        <v>81</v>
      </c>
      <c r="AW37" s="6" t="s">
        <v>81</v>
      </c>
      <c r="AX37" s="6" t="s">
        <v>20766</v>
      </c>
      <c r="AY37" s="6" t="s">
        <v>81</v>
      </c>
      <c r="AZ37" s="6" t="s">
        <v>81</v>
      </c>
      <c r="BA37" s="6" t="s">
        <v>81</v>
      </c>
      <c r="BB37" s="24" t="n">
        <v>123</v>
      </c>
      <c r="BC37" s="26"/>
      <c r="BD37" s="26"/>
      <c r="BE37" s="26"/>
      <c r="BF37" s="26" t="s">
        <v>23900</v>
      </c>
      <c r="BG37" s="26"/>
      <c r="BH37" s="26"/>
      <c r="BI37" s="26"/>
      <c r="BJ37" s="26"/>
      <c r="BK37" s="26"/>
      <c r="BL37" s="26"/>
      <c r="BM37" s="26"/>
      <c r="BN37" s="26"/>
      <c r="BO37" s="26"/>
      <c r="BP37" s="16" t="n">
        <v>45737</v>
      </c>
      <c r="BQ37" s="28" t="str">
        <f>HYPERLINK("https://organic.ams.usda.gov/Integrity/Certificate.aspx?cid=58&amp;nopid=1600002161")</f>
        <v>https://organic.ams.usda.gov/Integrity/Certificate.aspx?cid=58&amp;nopid=1600002161</v>
      </c>
    </row>
    <row r="38">
      <c r="A38" t="s">
        <v>3</v>
      </c>
      <c r="B38" s="6" t="s">
        <v>11</v>
      </c>
      <c r="C38" s="6" t="s">
        <v>58</v>
      </c>
      <c r="D38" s="6" t="s">
        <v>104</v>
      </c>
      <c r="E38" s="10" t="s">
        <v>179</v>
      </c>
      <c r="F38" s="6" t="s">
        <v>2918</v>
      </c>
      <c r="G38" s="6" t="s">
        <v>81</v>
      </c>
      <c r="H38" s="6" t="s">
        <v>81</v>
      </c>
      <c r="I38" s="6" t="s">
        <v>8396</v>
      </c>
      <c r="J38" s="6" t="s">
        <v>9688</v>
      </c>
      <c r="K38" s="6" t="s">
        <v>10886</v>
      </c>
      <c r="L38" s="16" t="n">
        <v>44853</v>
      </c>
      <c r="M38" s="16" t="n">
        <v>45383</v>
      </c>
      <c r="N38" s="6" t="s">
        <v>10886</v>
      </c>
      <c r="O38" s="16" t="n">
        <v>44853</v>
      </c>
      <c r="P38" s="6" t="s">
        <v>10928</v>
      </c>
      <c r="Q38" s="6" t="s">
        <v>81</v>
      </c>
      <c r="R38" s="6" t="s">
        <v>81</v>
      </c>
      <c r="S38" s="6" t="s">
        <v>10886</v>
      </c>
      <c r="T38" s="16" t="n">
        <v>44853</v>
      </c>
      <c r="U38" s="6" t="s">
        <v>13181</v>
      </c>
      <c r="V38" s="6" t="s">
        <v>81</v>
      </c>
      <c r="W38" s="6" t="s">
        <v>81</v>
      </c>
      <c r="X38" s="6" t="s">
        <v>81</v>
      </c>
      <c r="Y38" s="21" t="s">
        <v>81</v>
      </c>
      <c r="Z38" s="6" t="s">
        <v>81</v>
      </c>
      <c r="AA38" s="6" t="s">
        <v>81</v>
      </c>
      <c r="AB38" s="6" t="s">
        <v>81</v>
      </c>
      <c r="AC38" s="6" t="s">
        <v>81</v>
      </c>
      <c r="AD38" s="21" t="s">
        <v>81</v>
      </c>
      <c r="AE38" s="6" t="s">
        <v>81</v>
      </c>
      <c r="AF38" s="6" t="s">
        <v>81</v>
      </c>
      <c r="AG38" s="6" t="s">
        <v>81</v>
      </c>
      <c r="AH38" s="6" t="s">
        <v>14652</v>
      </c>
      <c r="AI38" s="6" t="s">
        <v>81</v>
      </c>
      <c r="AJ38" s="6" t="s">
        <v>17339</v>
      </c>
      <c r="AK38" s="6" t="s">
        <v>18377</v>
      </c>
      <c r="AL38" s="6" t="s">
        <v>18444</v>
      </c>
      <c r="AM38" s="6" t="s">
        <v>18493</v>
      </c>
      <c r="AN38" s="6" t="s">
        <v>7195</v>
      </c>
      <c r="AO38" s="6" t="s">
        <v>19737</v>
      </c>
      <c r="AP38" s="6" t="s">
        <v>14652</v>
      </c>
      <c r="AQ38" s="6" t="s">
        <v>81</v>
      </c>
      <c r="AR38" s="6" t="s">
        <v>17339</v>
      </c>
      <c r="AS38" s="6" t="s">
        <v>18377</v>
      </c>
      <c r="AT38" s="6" t="s">
        <v>18444</v>
      </c>
      <c r="AU38" s="6" t="s">
        <v>18493</v>
      </c>
      <c r="AV38" s="6" t="s">
        <v>81</v>
      </c>
      <c r="AW38" s="6" t="s">
        <v>81</v>
      </c>
      <c r="AX38" s="6" t="s">
        <v>81</v>
      </c>
      <c r="AY38" s="6" t="s">
        <v>81</v>
      </c>
      <c r="AZ38" s="6" t="s">
        <v>81</v>
      </c>
      <c r="BA38" s="6" t="s">
        <v>23820</v>
      </c>
      <c r="BB38" s="24" t="n">
        <v>119</v>
      </c>
      <c r="BC38" s="26"/>
      <c r="BD38" s="26"/>
      <c r="BE38" s="26"/>
      <c r="BF38" s="26"/>
      <c r="BG38" s="26"/>
      <c r="BH38" s="26"/>
      <c r="BI38" s="26"/>
      <c r="BJ38" s="26"/>
      <c r="BK38" s="26"/>
      <c r="BL38" s="26"/>
      <c r="BM38" s="26"/>
      <c r="BN38" s="26"/>
      <c r="BO38" s="26"/>
      <c r="BP38" s="16" t="n">
        <v>45440</v>
      </c>
      <c r="BQ38" s="28" t="str">
        <f>HYPERLINK("https://organic.ams.usda.gov/Integrity/Certificate.aspx?cid=46&amp;nopid=3672200041")</f>
        <v>https://organic.ams.usda.gov/Integrity/Certificate.aspx?cid=46&amp;nopid=3672200041</v>
      </c>
    </row>
    <row r="39">
      <c r="A39" t="s">
        <v>3</v>
      </c>
      <c r="B39" s="6" t="s">
        <v>8</v>
      </c>
      <c r="C39" s="6" t="s">
        <v>55</v>
      </c>
      <c r="D39" s="6" t="s">
        <v>101</v>
      </c>
      <c r="E39" s="10" t="s">
        <v>180</v>
      </c>
      <c r="F39" s="6" t="s">
        <v>2919</v>
      </c>
      <c r="G39" s="6" t="s">
        <v>81</v>
      </c>
      <c r="H39" s="6" t="s">
        <v>5928</v>
      </c>
      <c r="I39" s="6" t="s">
        <v>8394</v>
      </c>
      <c r="J39" s="6" t="s">
        <v>9665</v>
      </c>
      <c r="K39" s="6" t="s">
        <v>10886</v>
      </c>
      <c r="L39" s="16" t="n">
        <v>45210</v>
      </c>
      <c r="M39" s="16" t="n">
        <v>45748</v>
      </c>
      <c r="N39" s="6" t="s">
        <v>10886</v>
      </c>
      <c r="O39" s="16" t="n">
        <v>45210</v>
      </c>
      <c r="P39" s="6" t="s">
        <v>10929</v>
      </c>
      <c r="Q39" s="6" t="s">
        <v>81</v>
      </c>
      <c r="R39" s="6" t="s">
        <v>5928</v>
      </c>
      <c r="S39" s="6" t="s">
        <v>10886</v>
      </c>
      <c r="T39" s="16" t="n">
        <v>45322</v>
      </c>
      <c r="U39" s="6" t="s">
        <v>13173</v>
      </c>
      <c r="V39" s="6" t="s">
        <v>81</v>
      </c>
      <c r="W39" s="6" t="s">
        <v>5928</v>
      </c>
      <c r="X39" s="6" t="s">
        <v>81</v>
      </c>
      <c r="Y39" s="21" t="s">
        <v>81</v>
      </c>
      <c r="Z39" s="6" t="s">
        <v>81</v>
      </c>
      <c r="AA39" s="6" t="s">
        <v>81</v>
      </c>
      <c r="AB39" s="6" t="s">
        <v>81</v>
      </c>
      <c r="AC39" s="6" t="s">
        <v>81</v>
      </c>
      <c r="AD39" s="21" t="s">
        <v>81</v>
      </c>
      <c r="AE39" s="6" t="s">
        <v>81</v>
      </c>
      <c r="AF39" s="6" t="s">
        <v>81</v>
      </c>
      <c r="AG39" s="6" t="s">
        <v>81</v>
      </c>
      <c r="AH39" s="6" t="s">
        <v>14653</v>
      </c>
      <c r="AI39" s="6" t="s">
        <v>81</v>
      </c>
      <c r="AJ39" s="6" t="s">
        <v>17340</v>
      </c>
      <c r="AK39" s="6" t="s">
        <v>18377</v>
      </c>
      <c r="AL39" s="6" t="s">
        <v>18444</v>
      </c>
      <c r="AM39" s="6" t="s">
        <v>18494</v>
      </c>
      <c r="AN39" s="6" t="s">
        <v>81</v>
      </c>
      <c r="AO39" s="6" t="s">
        <v>81</v>
      </c>
      <c r="AP39" s="6" t="s">
        <v>81</v>
      </c>
      <c r="AQ39" s="6" t="s">
        <v>81</v>
      </c>
      <c r="AR39" s="6" t="s">
        <v>81</v>
      </c>
      <c r="AS39" s="6" t="s">
        <v>81</v>
      </c>
      <c r="AT39" s="6" t="s">
        <v>81</v>
      </c>
      <c r="AU39" s="6" t="s">
        <v>81</v>
      </c>
      <c r="AV39" s="6" t="s">
        <v>81</v>
      </c>
      <c r="AW39" s="6" t="s">
        <v>81</v>
      </c>
      <c r="AX39" s="6" t="s">
        <v>81</v>
      </c>
      <c r="AY39" s="6" t="s">
        <v>81</v>
      </c>
      <c r="AZ39" s="6" t="s">
        <v>81</v>
      </c>
      <c r="BA39" s="6" t="s">
        <v>23819</v>
      </c>
      <c r="BB39" s="24" t="n">
        <v>34</v>
      </c>
      <c r="BC39" s="26"/>
      <c r="BD39" s="26"/>
      <c r="BE39" s="26"/>
      <c r="BF39" s="26" t="s">
        <v>23900</v>
      </c>
      <c r="BG39" s="26"/>
      <c r="BH39" s="26"/>
      <c r="BI39" s="26"/>
      <c r="BJ39" s="26"/>
      <c r="BK39" s="26"/>
      <c r="BL39" s="26"/>
      <c r="BM39" s="26"/>
      <c r="BN39" s="26"/>
      <c r="BO39" s="26"/>
      <c r="BP39" s="16" t="n">
        <v>45618</v>
      </c>
      <c r="BQ39" s="28" t="str">
        <f>HYPERLINK("https://organic.ams.usda.gov/Integrity/Certificate.aspx?cid=45&amp;nopid=9950013803")</f>
        <v>https://organic.ams.usda.gov/Integrity/Certificate.aspx?cid=45&amp;nopid=9950013803</v>
      </c>
    </row>
    <row r="40">
      <c r="A40" t="s">
        <v>3</v>
      </c>
      <c r="B40" s="6" t="s">
        <v>7</v>
      </c>
      <c r="C40" s="6" t="s">
        <v>54</v>
      </c>
      <c r="D40" s="6" t="s">
        <v>100</v>
      </c>
      <c r="E40" s="10" t="s">
        <v>181</v>
      </c>
      <c r="F40" s="6" t="s">
        <v>2920</v>
      </c>
      <c r="G40" s="6" t="s">
        <v>81</v>
      </c>
      <c r="H40" s="6" t="s">
        <v>5929</v>
      </c>
      <c r="I40" s="6" t="s">
        <v>8397</v>
      </c>
      <c r="J40" s="6" t="s">
        <v>9665</v>
      </c>
      <c r="K40" s="6" t="s">
        <v>10886</v>
      </c>
      <c r="L40" s="16" t="n">
        <v>39241</v>
      </c>
      <c r="M40" s="16" t="n">
        <v>45716</v>
      </c>
      <c r="N40" s="6" t="s">
        <v>10886</v>
      </c>
      <c r="O40" s="16" t="n">
        <v>39241</v>
      </c>
      <c r="P40" s="6" t="s">
        <v>10930</v>
      </c>
      <c r="Q40" s="6" t="s">
        <v>81</v>
      </c>
      <c r="R40" s="6" t="s">
        <v>81</v>
      </c>
      <c r="S40" s="6" t="s">
        <v>10886</v>
      </c>
      <c r="T40" s="16" t="n">
        <v>39241</v>
      </c>
      <c r="U40" s="6" t="s">
        <v>13169</v>
      </c>
      <c r="V40" s="6" t="s">
        <v>81</v>
      </c>
      <c r="W40" s="6" t="s">
        <v>81</v>
      </c>
      <c r="X40" s="6" t="s">
        <v>81</v>
      </c>
      <c r="Y40" s="21" t="s">
        <v>81</v>
      </c>
      <c r="Z40" s="6" t="s">
        <v>81</v>
      </c>
      <c r="AA40" s="6" t="s">
        <v>81</v>
      </c>
      <c r="AB40" s="6" t="s">
        <v>81</v>
      </c>
      <c r="AC40" s="6" t="s">
        <v>81</v>
      </c>
      <c r="AD40" s="21" t="s">
        <v>81</v>
      </c>
      <c r="AE40" s="6" t="s">
        <v>81</v>
      </c>
      <c r="AF40" s="6" t="s">
        <v>81</v>
      </c>
      <c r="AG40" s="6" t="s">
        <v>81</v>
      </c>
      <c r="AH40" s="6" t="s">
        <v>14654</v>
      </c>
      <c r="AI40" s="6" t="s">
        <v>81</v>
      </c>
      <c r="AJ40" s="6" t="s">
        <v>17341</v>
      </c>
      <c r="AK40" s="6" t="s">
        <v>17712</v>
      </c>
      <c r="AL40" s="6" t="s">
        <v>18444</v>
      </c>
      <c r="AM40" s="6" t="s">
        <v>18495</v>
      </c>
      <c r="AN40" s="6" t="s">
        <v>19649</v>
      </c>
      <c r="AO40" s="6" t="s">
        <v>19738</v>
      </c>
      <c r="AP40" s="6" t="s">
        <v>14654</v>
      </c>
      <c r="AQ40" s="6" t="s">
        <v>81</v>
      </c>
      <c r="AR40" s="6" t="s">
        <v>17341</v>
      </c>
      <c r="AS40" s="6" t="s">
        <v>17712</v>
      </c>
      <c r="AT40" s="6" t="s">
        <v>18444</v>
      </c>
      <c r="AU40" s="6" t="s">
        <v>18495</v>
      </c>
      <c r="AV40" s="6" t="s">
        <v>81</v>
      </c>
      <c r="AW40" s="6" t="s">
        <v>81</v>
      </c>
      <c r="AX40" s="6" t="s">
        <v>20767</v>
      </c>
      <c r="AY40" s="6" t="s">
        <v>81</v>
      </c>
      <c r="AZ40" s="6" t="s">
        <v>81</v>
      </c>
      <c r="BA40" s="6" t="s">
        <v>81</v>
      </c>
      <c r="BB40" s="24" t="n">
        <v>180</v>
      </c>
      <c r="BC40" s="26"/>
      <c r="BD40" s="26"/>
      <c r="BE40" s="26"/>
      <c r="BF40" s="26" t="s">
        <v>23900</v>
      </c>
      <c r="BG40" s="26"/>
      <c r="BH40" s="26"/>
      <c r="BI40" s="26"/>
      <c r="BJ40" s="26"/>
      <c r="BK40" s="26"/>
      <c r="BL40" s="26"/>
      <c r="BM40" s="26"/>
      <c r="BN40" s="26"/>
      <c r="BO40" s="26"/>
      <c r="BP40" s="16" t="n">
        <v>45695</v>
      </c>
      <c r="BQ40" s="28" t="str">
        <f>HYPERLINK("https://organic.ams.usda.gov/Integrity/Certificate.aspx?cid=57&amp;nopid=3252007060")</f>
        <v>https://organic.ams.usda.gov/Integrity/Certificate.aspx?cid=57&amp;nopid=3252007060</v>
      </c>
    </row>
    <row r="41">
      <c r="A41" t="s">
        <v>3</v>
      </c>
      <c r="B41" s="6" t="s">
        <v>7</v>
      </c>
      <c r="C41" s="6" t="s">
        <v>54</v>
      </c>
      <c r="D41" s="6" t="s">
        <v>100</v>
      </c>
      <c r="E41" s="10" t="s">
        <v>182</v>
      </c>
      <c r="F41" s="6" t="s">
        <v>2921</v>
      </c>
      <c r="G41" s="6" t="s">
        <v>81</v>
      </c>
      <c r="H41" s="6" t="s">
        <v>5930</v>
      </c>
      <c r="I41" s="6" t="s">
        <v>8397</v>
      </c>
      <c r="J41" s="6" t="s">
        <v>9689</v>
      </c>
      <c r="K41" s="6" t="s">
        <v>10886</v>
      </c>
      <c r="L41" s="16" t="n">
        <v>45628</v>
      </c>
      <c r="M41" s="16" t="n">
        <v>45716</v>
      </c>
      <c r="N41" s="6" t="s">
        <v>10886</v>
      </c>
      <c r="O41" s="16" t="n">
        <v>45628</v>
      </c>
      <c r="P41" s="6" t="s">
        <v>10931</v>
      </c>
      <c r="Q41" s="6" t="s">
        <v>81</v>
      </c>
      <c r="R41" s="6" t="s">
        <v>81</v>
      </c>
      <c r="S41" s="6" t="s">
        <v>10886</v>
      </c>
      <c r="T41" s="16" t="n">
        <v>45628</v>
      </c>
      <c r="U41" s="6" t="s">
        <v>13169</v>
      </c>
      <c r="V41" s="6" t="s">
        <v>81</v>
      </c>
      <c r="W41" s="6" t="s">
        <v>81</v>
      </c>
      <c r="X41" s="6" t="s">
        <v>81</v>
      </c>
      <c r="Y41" s="21" t="s">
        <v>81</v>
      </c>
      <c r="Z41" s="6" t="s">
        <v>81</v>
      </c>
      <c r="AA41" s="6" t="s">
        <v>81</v>
      </c>
      <c r="AB41" s="6" t="s">
        <v>81</v>
      </c>
      <c r="AC41" s="6" t="s">
        <v>81</v>
      </c>
      <c r="AD41" s="21" t="s">
        <v>81</v>
      </c>
      <c r="AE41" s="6" t="s">
        <v>81</v>
      </c>
      <c r="AF41" s="6" t="s">
        <v>81</v>
      </c>
      <c r="AG41" s="6" t="s">
        <v>81</v>
      </c>
      <c r="AH41" s="6" t="s">
        <v>14655</v>
      </c>
      <c r="AI41" s="6" t="s">
        <v>81</v>
      </c>
      <c r="AJ41" s="6" t="s">
        <v>17342</v>
      </c>
      <c r="AK41" s="6" t="s">
        <v>18380</v>
      </c>
      <c r="AL41" s="6" t="s">
        <v>18444</v>
      </c>
      <c r="AM41" s="6" t="s">
        <v>18496</v>
      </c>
      <c r="AN41" s="6" t="s">
        <v>81</v>
      </c>
      <c r="AO41" s="6" t="s">
        <v>81</v>
      </c>
      <c r="AP41" s="6" t="s">
        <v>14655</v>
      </c>
      <c r="AQ41" s="6" t="s">
        <v>81</v>
      </c>
      <c r="AR41" s="6" t="s">
        <v>17342</v>
      </c>
      <c r="AS41" s="6" t="s">
        <v>18380</v>
      </c>
      <c r="AT41" s="6" t="s">
        <v>18444</v>
      </c>
      <c r="AU41" s="6" t="s">
        <v>18496</v>
      </c>
      <c r="AV41" s="6" t="s">
        <v>81</v>
      </c>
      <c r="AW41" s="6" t="s">
        <v>81</v>
      </c>
      <c r="AX41" s="6" t="s">
        <v>81</v>
      </c>
      <c r="AY41" s="6" t="s">
        <v>81</v>
      </c>
      <c r="AZ41" s="6" t="s">
        <v>81</v>
      </c>
      <c r="BA41" s="6" t="s">
        <v>81</v>
      </c>
      <c r="BB41" s="24" t="n">
        <v>110</v>
      </c>
      <c r="BC41" s="26"/>
      <c r="BD41" s="26"/>
      <c r="BE41" s="26"/>
      <c r="BF41" s="26" t="s">
        <v>23900</v>
      </c>
      <c r="BG41" s="26"/>
      <c r="BH41" s="26"/>
      <c r="BI41" s="26"/>
      <c r="BJ41" s="26"/>
      <c r="BK41" s="26"/>
      <c r="BL41" s="26"/>
      <c r="BM41" s="26"/>
      <c r="BN41" s="26"/>
      <c r="BO41" s="26"/>
      <c r="BP41" s="16" t="n">
        <v>45630</v>
      </c>
      <c r="BQ41" s="28" t="str">
        <f>HYPERLINK("https://organic.ams.usda.gov/Integrity/Certificate.aspx?cid=57&amp;nopid=3252024078")</f>
        <v>https://organic.ams.usda.gov/Integrity/Certificate.aspx?cid=57&amp;nopid=3252024078</v>
      </c>
    </row>
    <row r="42">
      <c r="A42" t="s">
        <v>3</v>
      </c>
      <c r="B42" s="6" t="s">
        <v>12</v>
      </c>
      <c r="C42" s="6" t="s">
        <v>59</v>
      </c>
      <c r="D42" s="6" t="s">
        <v>105</v>
      </c>
      <c r="E42" s="10" t="s">
        <v>183</v>
      </c>
      <c r="F42" s="6" t="s">
        <v>2922</v>
      </c>
      <c r="G42" s="6" t="s">
        <v>81</v>
      </c>
      <c r="H42" s="6" t="s">
        <v>5931</v>
      </c>
      <c r="I42" s="6" t="s">
        <v>8398</v>
      </c>
      <c r="J42" s="6" t="s">
        <v>9690</v>
      </c>
      <c r="K42" s="6" t="s">
        <v>10886</v>
      </c>
      <c r="L42" s="16" t="n">
        <v>37550</v>
      </c>
      <c r="M42" s="16" t="n">
        <v>45717</v>
      </c>
      <c r="N42" s="6" t="s">
        <v>10886</v>
      </c>
      <c r="O42" s="16" t="n">
        <v>37550</v>
      </c>
      <c r="P42" s="6" t="s">
        <v>10932</v>
      </c>
      <c r="Q42" s="6" t="s">
        <v>81</v>
      </c>
      <c r="R42" s="6" t="s">
        <v>81</v>
      </c>
      <c r="S42" s="6" t="s">
        <v>81</v>
      </c>
      <c r="T42" s="21" t="s">
        <v>81</v>
      </c>
      <c r="U42" s="6" t="s">
        <v>81</v>
      </c>
      <c r="V42" s="6" t="s">
        <v>81</v>
      </c>
      <c r="W42" s="6" t="s">
        <v>81</v>
      </c>
      <c r="X42" s="6" t="s">
        <v>81</v>
      </c>
      <c r="Y42" s="21" t="s">
        <v>81</v>
      </c>
      <c r="Z42" s="6" t="s">
        <v>81</v>
      </c>
      <c r="AA42" s="6" t="s">
        <v>81</v>
      </c>
      <c r="AB42" s="6" t="s">
        <v>81</v>
      </c>
      <c r="AC42" s="6" t="s">
        <v>10886</v>
      </c>
      <c r="AD42" s="16" t="n">
        <v>37550</v>
      </c>
      <c r="AE42" s="6" t="s">
        <v>13999</v>
      </c>
      <c r="AF42" s="6" t="s">
        <v>81</v>
      </c>
      <c r="AG42" s="6" t="s">
        <v>81</v>
      </c>
      <c r="AH42" s="6" t="s">
        <v>14656</v>
      </c>
      <c r="AI42" s="6" t="s">
        <v>81</v>
      </c>
      <c r="AJ42" s="6" t="s">
        <v>17343</v>
      </c>
      <c r="AK42" s="6" t="s">
        <v>18380</v>
      </c>
      <c r="AL42" s="6" t="s">
        <v>18444</v>
      </c>
      <c r="AM42" s="6" t="s">
        <v>18497</v>
      </c>
      <c r="AN42" s="6" t="s">
        <v>19650</v>
      </c>
      <c r="AO42" s="6" t="s">
        <v>19739</v>
      </c>
      <c r="AP42" s="6" t="s">
        <v>14656</v>
      </c>
      <c r="AQ42" s="6" t="s">
        <v>81</v>
      </c>
      <c r="AR42" s="6" t="s">
        <v>17343</v>
      </c>
      <c r="AS42" s="6" t="s">
        <v>18380</v>
      </c>
      <c r="AT42" s="6" t="s">
        <v>18444</v>
      </c>
      <c r="AU42" s="6" t="s">
        <v>18497</v>
      </c>
      <c r="AV42" s="6" t="s">
        <v>81</v>
      </c>
      <c r="AW42" s="6" t="s">
        <v>81</v>
      </c>
      <c r="AX42" s="6" t="s">
        <v>20768</v>
      </c>
      <c r="AY42" s="6" t="s">
        <v>81</v>
      </c>
      <c r="AZ42" s="6" t="s">
        <v>81</v>
      </c>
      <c r="BA42" s="6" t="s">
        <v>81</v>
      </c>
      <c r="BB42" s="24" t="n">
        <v>333</v>
      </c>
      <c r="BC42" s="26"/>
      <c r="BD42" s="26"/>
      <c r="BE42" s="26"/>
      <c r="BF42" s="26"/>
      <c r="BG42" s="26"/>
      <c r="BH42" s="26"/>
      <c r="BI42" s="26"/>
      <c r="BJ42" s="26"/>
      <c r="BK42" s="26"/>
      <c r="BL42" s="26"/>
      <c r="BM42" s="26"/>
      <c r="BN42" s="26"/>
      <c r="BO42" s="26"/>
      <c r="BP42" s="16" t="n">
        <v>45684</v>
      </c>
      <c r="BQ42" s="28" t="str">
        <f>HYPERLINK("https://organic.ams.usda.gov/Integrity/Certificate.aspx?cid=68&amp;nopid=8210003417")</f>
        <v>https://organic.ams.usda.gov/Integrity/Certificate.aspx?cid=68&amp;nopid=8210003417</v>
      </c>
    </row>
    <row r="43">
      <c r="A43" t="s">
        <v>3</v>
      </c>
      <c r="B43" s="6" t="s">
        <v>16</v>
      </c>
      <c r="C43" s="6" t="s">
        <v>63</v>
      </c>
      <c r="D43" s="6" t="s">
        <v>109</v>
      </c>
      <c r="E43" s="10" t="s">
        <v>184</v>
      </c>
      <c r="F43" s="6" t="s">
        <v>2923</v>
      </c>
      <c r="G43" s="6" t="s">
        <v>81</v>
      </c>
      <c r="H43" s="6" t="s">
        <v>5932</v>
      </c>
      <c r="I43" s="6" t="s">
        <v>8399</v>
      </c>
      <c r="J43" s="6" t="s">
        <v>9691</v>
      </c>
      <c r="K43" s="6" t="s">
        <v>10886</v>
      </c>
      <c r="L43" s="16" t="n">
        <v>38991</v>
      </c>
      <c r="M43" s="16" t="n">
        <v>45731</v>
      </c>
      <c r="N43" s="6" t="s">
        <v>10886</v>
      </c>
      <c r="O43" s="16" t="n">
        <v>38991</v>
      </c>
      <c r="P43" s="6" t="s">
        <v>10933</v>
      </c>
      <c r="Q43" s="6" t="s">
        <v>81</v>
      </c>
      <c r="R43" s="6" t="s">
        <v>81</v>
      </c>
      <c r="S43" s="6" t="s">
        <v>10886</v>
      </c>
      <c r="T43" s="16" t="n">
        <v>38991</v>
      </c>
      <c r="U43" s="6" t="s">
        <v>13182</v>
      </c>
      <c r="V43" s="6" t="s">
        <v>81</v>
      </c>
      <c r="W43" s="6" t="s">
        <v>81</v>
      </c>
      <c r="X43" s="6" t="s">
        <v>81</v>
      </c>
      <c r="Y43" s="21" t="s">
        <v>81</v>
      </c>
      <c r="Z43" s="6" t="s">
        <v>81</v>
      </c>
      <c r="AA43" s="6" t="s">
        <v>81</v>
      </c>
      <c r="AB43" s="6" t="s">
        <v>81</v>
      </c>
      <c r="AC43" s="6" t="s">
        <v>10886</v>
      </c>
      <c r="AD43" s="16" t="n">
        <v>38991</v>
      </c>
      <c r="AE43" s="6" t="s">
        <v>81</v>
      </c>
      <c r="AF43" s="6" t="s">
        <v>81</v>
      </c>
      <c r="AG43" s="6" t="s">
        <v>81</v>
      </c>
      <c r="AH43" s="6" t="s">
        <v>14657</v>
      </c>
      <c r="AI43" s="6" t="s">
        <v>81</v>
      </c>
      <c r="AJ43" s="6" t="s">
        <v>17344</v>
      </c>
      <c r="AK43" s="6" t="s">
        <v>18383</v>
      </c>
      <c r="AL43" s="6" t="s">
        <v>18444</v>
      </c>
      <c r="AM43" s="6" t="s">
        <v>18498</v>
      </c>
      <c r="AN43" s="6" t="s">
        <v>19636</v>
      </c>
      <c r="AO43" s="6" t="s">
        <v>19740</v>
      </c>
      <c r="AP43" s="6" t="s">
        <v>81</v>
      </c>
      <c r="AQ43" s="6" t="s">
        <v>81</v>
      </c>
      <c r="AR43" s="6" t="s">
        <v>81</v>
      </c>
      <c r="AS43" s="6" t="s">
        <v>81</v>
      </c>
      <c r="AT43" s="6" t="s">
        <v>81</v>
      </c>
      <c r="AU43" s="6" t="s">
        <v>81</v>
      </c>
      <c r="AV43" s="6" t="s">
        <v>81</v>
      </c>
      <c r="AW43" s="6" t="s">
        <v>81</v>
      </c>
      <c r="AX43" s="6" t="s">
        <v>20769</v>
      </c>
      <c r="AY43" s="6" t="s">
        <v>81</v>
      </c>
      <c r="AZ43" s="6" t="s">
        <v>81</v>
      </c>
      <c r="BA43" s="6" t="s">
        <v>81</v>
      </c>
      <c r="BB43" s="24" t="n">
        <v>314</v>
      </c>
      <c r="BC43" s="26"/>
      <c r="BD43" s="26"/>
      <c r="BE43" s="26"/>
      <c r="BF43" s="26"/>
      <c r="BG43" s="26"/>
      <c r="BH43" s="26"/>
      <c r="BI43" s="26"/>
      <c r="BJ43" s="26"/>
      <c r="BK43" s="26"/>
      <c r="BL43" s="26"/>
      <c r="BM43" s="26"/>
      <c r="BN43" s="26"/>
      <c r="BO43" s="26"/>
      <c r="BP43" s="16" t="n">
        <v>45701</v>
      </c>
      <c r="BQ43" s="28" t="str">
        <f>HYPERLINK("https://organic.ams.usda.gov/Integrity/Certificate.aspx?cid=81&amp;nopid=4210006054")</f>
        <v>https://organic.ams.usda.gov/Integrity/Certificate.aspx?cid=81&amp;nopid=4210006054</v>
      </c>
    </row>
    <row r="44">
      <c r="A44" t="s">
        <v>3</v>
      </c>
      <c r="B44" s="6" t="s">
        <v>12</v>
      </c>
      <c r="C44" s="6" t="s">
        <v>59</v>
      </c>
      <c r="D44" s="6" t="s">
        <v>105</v>
      </c>
      <c r="E44" s="10" t="s">
        <v>185</v>
      </c>
      <c r="F44" s="6" t="s">
        <v>2924</v>
      </c>
      <c r="G44" s="6" t="s">
        <v>81</v>
      </c>
      <c r="H44" s="6" t="s">
        <v>5933</v>
      </c>
      <c r="I44" s="6" t="s">
        <v>8400</v>
      </c>
      <c r="J44" s="6" t="s">
        <v>9692</v>
      </c>
      <c r="K44" s="6" t="s">
        <v>10886</v>
      </c>
      <c r="L44" s="16" t="n">
        <v>42826</v>
      </c>
      <c r="M44" s="16" t="n">
        <v>45717</v>
      </c>
      <c r="N44" s="6" t="s">
        <v>10886</v>
      </c>
      <c r="O44" s="16" t="n">
        <v>42826</v>
      </c>
      <c r="P44" s="6" t="s">
        <v>10910</v>
      </c>
      <c r="Q44" s="6" t="s">
        <v>81</v>
      </c>
      <c r="R44" s="6" t="s">
        <v>81</v>
      </c>
      <c r="S44" s="6" t="s">
        <v>10886</v>
      </c>
      <c r="T44" s="16" t="n">
        <v>42826</v>
      </c>
      <c r="U44" s="6" t="s">
        <v>13183</v>
      </c>
      <c r="V44" s="6" t="s">
        <v>81</v>
      </c>
      <c r="W44" s="6" t="s">
        <v>81</v>
      </c>
      <c r="X44" s="6" t="s">
        <v>81</v>
      </c>
      <c r="Y44" s="21" t="s">
        <v>81</v>
      </c>
      <c r="Z44" s="6" t="s">
        <v>81</v>
      </c>
      <c r="AA44" s="6" t="s">
        <v>81</v>
      </c>
      <c r="AB44" s="6" t="s">
        <v>81</v>
      </c>
      <c r="AC44" s="6" t="s">
        <v>81</v>
      </c>
      <c r="AD44" s="21" t="s">
        <v>81</v>
      </c>
      <c r="AE44" s="6" t="s">
        <v>81</v>
      </c>
      <c r="AF44" s="6" t="s">
        <v>81</v>
      </c>
      <c r="AG44" s="6" t="s">
        <v>81</v>
      </c>
      <c r="AH44" s="6" t="s">
        <v>14658</v>
      </c>
      <c r="AI44" s="6" t="s">
        <v>81</v>
      </c>
      <c r="AJ44" s="6" t="s">
        <v>17345</v>
      </c>
      <c r="AK44" s="6" t="s">
        <v>17712</v>
      </c>
      <c r="AL44" s="6" t="s">
        <v>18444</v>
      </c>
      <c r="AM44" s="6" t="s">
        <v>18499</v>
      </c>
      <c r="AN44" s="6" t="s">
        <v>19651</v>
      </c>
      <c r="AO44" s="6" t="s">
        <v>19741</v>
      </c>
      <c r="AP44" s="6" t="s">
        <v>20086</v>
      </c>
      <c r="AQ44" s="6" t="s">
        <v>81</v>
      </c>
      <c r="AR44" s="6" t="s">
        <v>17345</v>
      </c>
      <c r="AS44" s="6" t="s">
        <v>17712</v>
      </c>
      <c r="AT44" s="6" t="s">
        <v>18444</v>
      </c>
      <c r="AU44" s="6" t="s">
        <v>18499</v>
      </c>
      <c r="AV44" s="6" t="s">
        <v>81</v>
      </c>
      <c r="AW44" s="6" t="s">
        <v>81</v>
      </c>
      <c r="AX44" s="6" t="s">
        <v>20770</v>
      </c>
      <c r="AY44" s="6" t="s">
        <v>22557</v>
      </c>
      <c r="AZ44" s="6" t="s">
        <v>81</v>
      </c>
      <c r="BA44" s="6" t="s">
        <v>81</v>
      </c>
      <c r="BB44" s="24" t="n">
        <v>310</v>
      </c>
      <c r="BC44" s="26"/>
      <c r="BD44" s="26"/>
      <c r="BE44" s="26"/>
      <c r="BF44" s="26"/>
      <c r="BG44" s="26"/>
      <c r="BH44" s="26"/>
      <c r="BI44" s="26"/>
      <c r="BJ44" s="26"/>
      <c r="BK44" s="26"/>
      <c r="BL44" s="26"/>
      <c r="BM44" s="26"/>
      <c r="BN44" s="26"/>
      <c r="BO44" s="26"/>
      <c r="BP44" s="16" t="n">
        <v>45684</v>
      </c>
      <c r="BQ44" s="28" t="str">
        <f>HYPERLINK("https://organic.ams.usda.gov/Integrity/Certificate.aspx?cid=68&amp;nopid=8210004769")</f>
        <v>https://organic.ams.usda.gov/Integrity/Certificate.aspx?cid=68&amp;nopid=8210004769</v>
      </c>
    </row>
    <row r="45">
      <c r="A45" t="s">
        <v>3</v>
      </c>
      <c r="B45" s="6" t="s">
        <v>7</v>
      </c>
      <c r="C45" s="6" t="s">
        <v>54</v>
      </c>
      <c r="D45" s="6" t="s">
        <v>100</v>
      </c>
      <c r="E45" s="10" t="s">
        <v>186</v>
      </c>
      <c r="F45" s="6" t="s">
        <v>2925</v>
      </c>
      <c r="G45" s="6" t="s">
        <v>81</v>
      </c>
      <c r="H45" s="6" t="s">
        <v>5934</v>
      </c>
      <c r="I45" s="6" t="s">
        <v>8401</v>
      </c>
      <c r="J45" s="6" t="s">
        <v>9675</v>
      </c>
      <c r="K45" s="6" t="s">
        <v>10886</v>
      </c>
      <c r="L45" s="16" t="n">
        <v>40816</v>
      </c>
      <c r="M45" s="16" t="n">
        <v>45716</v>
      </c>
      <c r="N45" s="6" t="s">
        <v>10886</v>
      </c>
      <c r="O45" s="16" t="n">
        <v>40816</v>
      </c>
      <c r="P45" s="6" t="s">
        <v>10934</v>
      </c>
      <c r="Q45" s="6" t="s">
        <v>81</v>
      </c>
      <c r="R45" s="6" t="s">
        <v>81</v>
      </c>
      <c r="S45" s="6" t="s">
        <v>10886</v>
      </c>
      <c r="T45" s="16" t="n">
        <v>40816</v>
      </c>
      <c r="U45" s="6" t="s">
        <v>13160</v>
      </c>
      <c r="V45" s="6" t="s">
        <v>81</v>
      </c>
      <c r="W45" s="6" t="s">
        <v>81</v>
      </c>
      <c r="X45" s="6" t="s">
        <v>81</v>
      </c>
      <c r="Y45" s="21" t="s">
        <v>81</v>
      </c>
      <c r="Z45" s="6" t="s">
        <v>81</v>
      </c>
      <c r="AA45" s="6" t="s">
        <v>81</v>
      </c>
      <c r="AB45" s="6" t="s">
        <v>81</v>
      </c>
      <c r="AC45" s="6" t="s">
        <v>81</v>
      </c>
      <c r="AD45" s="21" t="s">
        <v>81</v>
      </c>
      <c r="AE45" s="6" t="s">
        <v>81</v>
      </c>
      <c r="AF45" s="6" t="s">
        <v>81</v>
      </c>
      <c r="AG45" s="6" t="s">
        <v>81</v>
      </c>
      <c r="AH45" s="6" t="s">
        <v>14659</v>
      </c>
      <c r="AI45" s="6" t="s">
        <v>81</v>
      </c>
      <c r="AJ45" s="6" t="s">
        <v>17346</v>
      </c>
      <c r="AK45" s="6" t="s">
        <v>17712</v>
      </c>
      <c r="AL45" s="6" t="s">
        <v>18444</v>
      </c>
      <c r="AM45" s="6" t="s">
        <v>18500</v>
      </c>
      <c r="AN45" s="6" t="s">
        <v>19652</v>
      </c>
      <c r="AO45" s="6" t="s">
        <v>19742</v>
      </c>
      <c r="AP45" s="6" t="s">
        <v>14659</v>
      </c>
      <c r="AQ45" s="6" t="s">
        <v>81</v>
      </c>
      <c r="AR45" s="6" t="s">
        <v>17346</v>
      </c>
      <c r="AS45" s="6" t="s">
        <v>17712</v>
      </c>
      <c r="AT45" s="6" t="s">
        <v>18444</v>
      </c>
      <c r="AU45" s="6" t="s">
        <v>18500</v>
      </c>
      <c r="AV45" s="6" t="s">
        <v>81</v>
      </c>
      <c r="AW45" s="6" t="s">
        <v>81</v>
      </c>
      <c r="AX45" s="6" t="s">
        <v>81</v>
      </c>
      <c r="AY45" s="6" t="s">
        <v>81</v>
      </c>
      <c r="AZ45" s="6" t="s">
        <v>81</v>
      </c>
      <c r="BA45" s="6" t="s">
        <v>81</v>
      </c>
      <c r="BB45" s="24" t="n">
        <v>117</v>
      </c>
      <c r="BC45" s="26"/>
      <c r="BD45" s="26"/>
      <c r="BE45" s="26"/>
      <c r="BF45" s="26" t="s">
        <v>23900</v>
      </c>
      <c r="BG45" s="26"/>
      <c r="BH45" s="26"/>
      <c r="BI45" s="26"/>
      <c r="BJ45" s="26"/>
      <c r="BK45" s="26"/>
      <c r="BL45" s="26"/>
      <c r="BM45" s="26"/>
      <c r="BN45" s="26"/>
      <c r="BO45" s="26"/>
      <c r="BP45" s="16" t="n">
        <v>45595</v>
      </c>
      <c r="BQ45" s="28" t="str">
        <f>HYPERLINK("https://organic.ams.usda.gov/Integrity/Certificate.aspx?cid=57&amp;nopid=3252011062")</f>
        <v>https://organic.ams.usda.gov/Integrity/Certificate.aspx?cid=57&amp;nopid=3252011062</v>
      </c>
    </row>
    <row r="46">
      <c r="A46" t="s">
        <v>3</v>
      </c>
      <c r="B46" s="6" t="s">
        <v>15</v>
      </c>
      <c r="C46" s="6" t="s">
        <v>62</v>
      </c>
      <c r="D46" s="6" t="s">
        <v>108</v>
      </c>
      <c r="E46" s="10" t="s">
        <v>187</v>
      </c>
      <c r="F46" s="6" t="s">
        <v>2926</v>
      </c>
      <c r="G46" s="6" t="s">
        <v>5590</v>
      </c>
      <c r="H46" s="6" t="s">
        <v>5935</v>
      </c>
      <c r="I46" s="6" t="s">
        <v>8402</v>
      </c>
      <c r="J46" s="6" t="s">
        <v>9666</v>
      </c>
      <c r="K46" s="6" t="s">
        <v>10886</v>
      </c>
      <c r="L46" s="16" t="n">
        <v>38899</v>
      </c>
      <c r="M46" s="16" t="n">
        <v>45792</v>
      </c>
      <c r="N46" s="6" t="s">
        <v>10886</v>
      </c>
      <c r="O46" s="16" t="n">
        <v>38899</v>
      </c>
      <c r="P46" s="6" t="s">
        <v>10935</v>
      </c>
      <c r="Q46" s="6" t="s">
        <v>81</v>
      </c>
      <c r="R46" s="6" t="s">
        <v>81</v>
      </c>
      <c r="S46" s="6" t="s">
        <v>10886</v>
      </c>
      <c r="T46" s="16" t="n">
        <v>38899</v>
      </c>
      <c r="U46" s="6" t="s">
        <v>13184</v>
      </c>
      <c r="V46" s="6" t="s">
        <v>81</v>
      </c>
      <c r="W46" s="6" t="s">
        <v>81</v>
      </c>
      <c r="X46" s="6" t="s">
        <v>81</v>
      </c>
      <c r="Y46" s="21" t="s">
        <v>81</v>
      </c>
      <c r="Z46" s="6" t="s">
        <v>81</v>
      </c>
      <c r="AA46" s="6" t="s">
        <v>81</v>
      </c>
      <c r="AB46" s="6" t="s">
        <v>81</v>
      </c>
      <c r="AC46" s="6" t="s">
        <v>81</v>
      </c>
      <c r="AD46" s="21" t="s">
        <v>81</v>
      </c>
      <c r="AE46" s="6" t="s">
        <v>81</v>
      </c>
      <c r="AF46" s="6" t="s">
        <v>81</v>
      </c>
      <c r="AG46" s="6" t="s">
        <v>81</v>
      </c>
      <c r="AH46" s="6" t="s">
        <v>14660</v>
      </c>
      <c r="AI46" s="6" t="s">
        <v>81</v>
      </c>
      <c r="AJ46" s="6" t="s">
        <v>17347</v>
      </c>
      <c r="AK46" s="6" t="s">
        <v>18378</v>
      </c>
      <c r="AL46" s="6" t="s">
        <v>18444</v>
      </c>
      <c r="AM46" s="6" t="s">
        <v>18501</v>
      </c>
      <c r="AN46" s="6" t="s">
        <v>19640</v>
      </c>
      <c r="AO46" s="6" t="s">
        <v>19726</v>
      </c>
      <c r="AP46" s="6" t="s">
        <v>14660</v>
      </c>
      <c r="AQ46" s="6" t="s">
        <v>81</v>
      </c>
      <c r="AR46" s="6" t="s">
        <v>17347</v>
      </c>
      <c r="AS46" s="6" t="s">
        <v>18378</v>
      </c>
      <c r="AT46" s="6" t="s">
        <v>18444</v>
      </c>
      <c r="AU46" s="6" t="s">
        <v>18501</v>
      </c>
      <c r="AV46" s="6" t="s">
        <v>81</v>
      </c>
      <c r="AW46" s="6" t="s">
        <v>81</v>
      </c>
      <c r="AX46" s="6" t="s">
        <v>20771</v>
      </c>
      <c r="AY46" s="6" t="s">
        <v>81</v>
      </c>
      <c r="AZ46" s="6" t="s">
        <v>81</v>
      </c>
      <c r="BA46" s="6" t="s">
        <v>81</v>
      </c>
      <c r="BB46" s="24" t="n">
        <v>187</v>
      </c>
      <c r="BC46" s="26"/>
      <c r="BD46" s="26"/>
      <c r="BE46" s="26"/>
      <c r="BF46" s="26" t="s">
        <v>23900</v>
      </c>
      <c r="BG46" s="26"/>
      <c r="BH46" s="26"/>
      <c r="BI46" s="26"/>
      <c r="BJ46" s="26"/>
      <c r="BK46" s="26"/>
      <c r="BL46" s="26"/>
      <c r="BM46" s="26"/>
      <c r="BN46" s="26"/>
      <c r="BO46" s="26"/>
      <c r="BP46" s="16" t="n">
        <v>45737</v>
      </c>
      <c r="BQ46" s="28" t="str">
        <f>HYPERLINK("https://organic.ams.usda.gov/Integrity/Certificate.aspx?cid=58&amp;nopid=1600001070")</f>
        <v>https://organic.ams.usda.gov/Integrity/Certificate.aspx?cid=58&amp;nopid=1600001070</v>
      </c>
    </row>
    <row r="47">
      <c r="A47" t="s">
        <v>3</v>
      </c>
      <c r="B47" s="6" t="s">
        <v>10</v>
      </c>
      <c r="C47" s="6" t="s">
        <v>57</v>
      </c>
      <c r="D47" s="6" t="s">
        <v>103</v>
      </c>
      <c r="E47" s="10" t="s">
        <v>188</v>
      </c>
      <c r="F47" s="6" t="s">
        <v>2927</v>
      </c>
      <c r="G47" s="6" t="s">
        <v>81</v>
      </c>
      <c r="H47" s="6" t="s">
        <v>5936</v>
      </c>
      <c r="I47" s="6" t="s">
        <v>8403</v>
      </c>
      <c r="J47" s="6" t="s">
        <v>9666</v>
      </c>
      <c r="K47" s="6" t="s">
        <v>10886</v>
      </c>
      <c r="L47" s="16" t="n">
        <v>43229</v>
      </c>
      <c r="M47" s="16" t="n">
        <v>45748</v>
      </c>
      <c r="N47" s="6" t="s">
        <v>10886</v>
      </c>
      <c r="O47" s="16" t="n">
        <v>44643</v>
      </c>
      <c r="P47" s="6" t="s">
        <v>10936</v>
      </c>
      <c r="Q47" s="6" t="s">
        <v>81</v>
      </c>
      <c r="R47" s="6" t="s">
        <v>12441</v>
      </c>
      <c r="S47" s="6" t="s">
        <v>10886</v>
      </c>
      <c r="T47" s="16" t="n">
        <v>44643</v>
      </c>
      <c r="U47" s="6" t="s">
        <v>13163</v>
      </c>
      <c r="V47" s="6" t="s">
        <v>81</v>
      </c>
      <c r="W47" s="6" t="s">
        <v>81</v>
      </c>
      <c r="X47" s="6" t="s">
        <v>81</v>
      </c>
      <c r="Y47" s="21" t="s">
        <v>81</v>
      </c>
      <c r="Z47" s="6" t="s">
        <v>81</v>
      </c>
      <c r="AA47" s="6" t="s">
        <v>81</v>
      </c>
      <c r="AB47" s="6" t="s">
        <v>81</v>
      </c>
      <c r="AC47" s="6" t="s">
        <v>81</v>
      </c>
      <c r="AD47" s="21" t="s">
        <v>81</v>
      </c>
      <c r="AE47" s="6" t="s">
        <v>81</v>
      </c>
      <c r="AF47" s="6" t="s">
        <v>81</v>
      </c>
      <c r="AG47" s="6" t="s">
        <v>81</v>
      </c>
      <c r="AH47" s="6" t="s">
        <v>14661</v>
      </c>
      <c r="AI47" s="6" t="s">
        <v>81</v>
      </c>
      <c r="AJ47" s="6" t="s">
        <v>17324</v>
      </c>
      <c r="AK47" s="6" t="s">
        <v>18378</v>
      </c>
      <c r="AL47" s="6" t="s">
        <v>18444</v>
      </c>
      <c r="AM47" s="6" t="s">
        <v>18476</v>
      </c>
      <c r="AN47" s="6" t="s">
        <v>19640</v>
      </c>
      <c r="AO47" s="6" t="s">
        <v>19726</v>
      </c>
      <c r="AP47" s="6" t="s">
        <v>14661</v>
      </c>
      <c r="AQ47" s="6" t="s">
        <v>81</v>
      </c>
      <c r="AR47" s="6" t="s">
        <v>17324</v>
      </c>
      <c r="AS47" s="6" t="s">
        <v>18378</v>
      </c>
      <c r="AT47" s="6" t="s">
        <v>18444</v>
      </c>
      <c r="AU47" s="6" t="s">
        <v>18476</v>
      </c>
      <c r="AV47" s="6" t="s">
        <v>81</v>
      </c>
      <c r="AW47" s="6" t="s">
        <v>81</v>
      </c>
      <c r="AX47" s="6" t="s">
        <v>20772</v>
      </c>
      <c r="AY47" s="6" t="s">
        <v>81</v>
      </c>
      <c r="AZ47" s="6" t="s">
        <v>81</v>
      </c>
      <c r="BA47" s="6" t="s">
        <v>81</v>
      </c>
      <c r="BB47" s="24" t="n">
        <v>96</v>
      </c>
      <c r="BC47" s="26"/>
      <c r="BD47" s="26"/>
      <c r="BE47" s="26"/>
      <c r="BF47" s="26"/>
      <c r="BG47" s="26"/>
      <c r="BH47" s="26"/>
      <c r="BI47" s="26"/>
      <c r="BJ47" s="26"/>
      <c r="BK47" s="26"/>
      <c r="BL47" s="26"/>
      <c r="BM47" s="26"/>
      <c r="BN47" s="26"/>
      <c r="BO47" s="26"/>
      <c r="BP47" s="16" t="n">
        <v>45730</v>
      </c>
      <c r="BQ47" s="28" t="str">
        <f>HYPERLINK("https://organic.ams.usda.gov/Integrity/Certificate.aspx?cid=90&amp;nopid=7170220489")</f>
        <v>https://organic.ams.usda.gov/Integrity/Certificate.aspx?cid=90&amp;nopid=7170220489</v>
      </c>
    </row>
    <row r="48">
      <c r="A48" t="s">
        <v>3</v>
      </c>
      <c r="B48" s="6" t="s">
        <v>9</v>
      </c>
      <c r="C48" s="6" t="s">
        <v>56</v>
      </c>
      <c r="D48" s="6" t="s">
        <v>102</v>
      </c>
      <c r="E48" s="10" t="s">
        <v>189</v>
      </c>
      <c r="F48" s="6" t="s">
        <v>2928</v>
      </c>
      <c r="G48" s="6" t="s">
        <v>81</v>
      </c>
      <c r="H48" s="6" t="s">
        <v>5937</v>
      </c>
      <c r="I48" s="6" t="s">
        <v>8401</v>
      </c>
      <c r="J48" s="6" t="s">
        <v>9693</v>
      </c>
      <c r="K48" s="6" t="s">
        <v>10886</v>
      </c>
      <c r="L48" s="16" t="n">
        <v>43829</v>
      </c>
      <c r="M48" s="16" t="n">
        <v>46113</v>
      </c>
      <c r="N48" s="6" t="s">
        <v>10886</v>
      </c>
      <c r="O48" s="16" t="n">
        <v>43829</v>
      </c>
      <c r="P48" s="6" t="s">
        <v>10923</v>
      </c>
      <c r="Q48" s="6" t="s">
        <v>81</v>
      </c>
      <c r="R48" s="6" t="s">
        <v>12442</v>
      </c>
      <c r="S48" s="6" t="s">
        <v>10886</v>
      </c>
      <c r="T48" s="16" t="n">
        <v>43829</v>
      </c>
      <c r="U48" s="6" t="s">
        <v>13162</v>
      </c>
      <c r="V48" s="6" t="s">
        <v>81</v>
      </c>
      <c r="W48" s="6" t="s">
        <v>12442</v>
      </c>
      <c r="X48" s="6" t="s">
        <v>81</v>
      </c>
      <c r="Y48" s="21" t="s">
        <v>81</v>
      </c>
      <c r="Z48" s="6" t="s">
        <v>81</v>
      </c>
      <c r="AA48" s="6" t="s">
        <v>81</v>
      </c>
      <c r="AB48" s="6" t="s">
        <v>81</v>
      </c>
      <c r="AC48" s="6" t="s">
        <v>81</v>
      </c>
      <c r="AD48" s="21" t="s">
        <v>81</v>
      </c>
      <c r="AE48" s="6" t="s">
        <v>81</v>
      </c>
      <c r="AF48" s="6" t="s">
        <v>81</v>
      </c>
      <c r="AG48" s="6" t="s">
        <v>81</v>
      </c>
      <c r="AH48" s="6" t="s">
        <v>14662</v>
      </c>
      <c r="AI48" s="6" t="s">
        <v>81</v>
      </c>
      <c r="AJ48" s="6" t="s">
        <v>17348</v>
      </c>
      <c r="AK48" s="6" t="s">
        <v>18384</v>
      </c>
      <c r="AL48" s="6" t="s">
        <v>18444</v>
      </c>
      <c r="AM48" s="6" t="s">
        <v>18502</v>
      </c>
      <c r="AN48" s="6" t="s">
        <v>7195</v>
      </c>
      <c r="AO48" s="6" t="s">
        <v>19743</v>
      </c>
      <c r="AP48" s="6" t="s">
        <v>81</v>
      </c>
      <c r="AQ48" s="6" t="s">
        <v>81</v>
      </c>
      <c r="AR48" s="6" t="s">
        <v>81</v>
      </c>
      <c r="AS48" s="6" t="s">
        <v>81</v>
      </c>
      <c r="AT48" s="6" t="s">
        <v>81</v>
      </c>
      <c r="AU48" s="6" t="s">
        <v>81</v>
      </c>
      <c r="AV48" s="6" t="s">
        <v>81</v>
      </c>
      <c r="AW48" s="6" t="s">
        <v>81</v>
      </c>
      <c r="AX48" s="6" t="s">
        <v>20773</v>
      </c>
      <c r="AY48" s="6" t="s">
        <v>22558</v>
      </c>
      <c r="AZ48" s="6" t="s">
        <v>81</v>
      </c>
      <c r="BA48" s="6" t="s">
        <v>81</v>
      </c>
      <c r="BB48" s="24" t="n">
        <v>352</v>
      </c>
      <c r="BC48" s="26"/>
      <c r="BD48" s="26"/>
      <c r="BE48" s="26"/>
      <c r="BF48" s="26"/>
      <c r="BG48" s="26"/>
      <c r="BH48" s="26"/>
      <c r="BI48" s="26"/>
      <c r="BJ48" s="26"/>
      <c r="BK48" s="26"/>
      <c r="BL48" s="26"/>
      <c r="BM48" s="26"/>
      <c r="BN48" s="26"/>
      <c r="BO48" s="26"/>
      <c r="BP48" s="16" t="n">
        <v>45738</v>
      </c>
      <c r="BQ48" s="28" t="str">
        <f>HYPERLINK("https://organic.ams.usda.gov/Integrity/Certificate.aspx?cid=52&amp;nopid=8431901764")</f>
        <v>https://organic.ams.usda.gov/Integrity/Certificate.aspx?cid=52&amp;nopid=8431901764</v>
      </c>
    </row>
    <row r="49">
      <c r="A49" t="s">
        <v>3</v>
      </c>
      <c r="B49" s="6" t="s">
        <v>12</v>
      </c>
      <c r="C49" s="6" t="s">
        <v>59</v>
      </c>
      <c r="D49" s="6" t="s">
        <v>105</v>
      </c>
      <c r="E49" s="10" t="s">
        <v>190</v>
      </c>
      <c r="F49" s="6" t="s">
        <v>2929</v>
      </c>
      <c r="G49" s="6" t="s">
        <v>81</v>
      </c>
      <c r="H49" s="6" t="s">
        <v>5938</v>
      </c>
      <c r="I49" s="6" t="s">
        <v>8401</v>
      </c>
      <c r="J49" s="6" t="s">
        <v>9694</v>
      </c>
      <c r="K49" s="6" t="s">
        <v>10886</v>
      </c>
      <c r="L49" s="16" t="n">
        <v>42736</v>
      </c>
      <c r="M49" s="16" t="n">
        <v>45717</v>
      </c>
      <c r="N49" s="6" t="s">
        <v>10886</v>
      </c>
      <c r="O49" s="16" t="n">
        <v>42736</v>
      </c>
      <c r="P49" s="6" t="s">
        <v>10910</v>
      </c>
      <c r="Q49" s="6" t="s">
        <v>81</v>
      </c>
      <c r="R49" s="6" t="s">
        <v>81</v>
      </c>
      <c r="S49" s="6" t="s">
        <v>10886</v>
      </c>
      <c r="T49" s="16" t="n">
        <v>42736</v>
      </c>
      <c r="U49" s="6" t="s">
        <v>13183</v>
      </c>
      <c r="V49" s="6" t="s">
        <v>81</v>
      </c>
      <c r="W49" s="6" t="s">
        <v>81</v>
      </c>
      <c r="X49" s="6" t="s">
        <v>81</v>
      </c>
      <c r="Y49" s="21" t="s">
        <v>81</v>
      </c>
      <c r="Z49" s="6" t="s">
        <v>81</v>
      </c>
      <c r="AA49" s="6" t="s">
        <v>81</v>
      </c>
      <c r="AB49" s="6" t="s">
        <v>81</v>
      </c>
      <c r="AC49" s="6" t="s">
        <v>81</v>
      </c>
      <c r="AD49" s="21" t="s">
        <v>81</v>
      </c>
      <c r="AE49" s="6" t="s">
        <v>81</v>
      </c>
      <c r="AF49" s="6" t="s">
        <v>81</v>
      </c>
      <c r="AG49" s="6" t="s">
        <v>81</v>
      </c>
      <c r="AH49" s="6" t="s">
        <v>14663</v>
      </c>
      <c r="AI49" s="6" t="s">
        <v>81</v>
      </c>
      <c r="AJ49" s="6" t="s">
        <v>17349</v>
      </c>
      <c r="AK49" s="6" t="s">
        <v>17712</v>
      </c>
      <c r="AL49" s="6" t="s">
        <v>18444</v>
      </c>
      <c r="AM49" s="6" t="s">
        <v>18503</v>
      </c>
      <c r="AN49" s="6" t="s">
        <v>19653</v>
      </c>
      <c r="AO49" s="6" t="s">
        <v>19744</v>
      </c>
      <c r="AP49" s="6" t="s">
        <v>14663</v>
      </c>
      <c r="AQ49" s="6" t="s">
        <v>81</v>
      </c>
      <c r="AR49" s="6" t="s">
        <v>17349</v>
      </c>
      <c r="AS49" s="6" t="s">
        <v>17712</v>
      </c>
      <c r="AT49" s="6" t="s">
        <v>18444</v>
      </c>
      <c r="AU49" s="6" t="s">
        <v>18503</v>
      </c>
      <c r="AV49" s="6" t="s">
        <v>81</v>
      </c>
      <c r="AW49" s="6" t="s">
        <v>81</v>
      </c>
      <c r="AX49" s="6" t="s">
        <v>81</v>
      </c>
      <c r="AY49" s="6" t="s">
        <v>22559</v>
      </c>
      <c r="AZ49" s="6" t="s">
        <v>81</v>
      </c>
      <c r="BA49" s="6" t="s">
        <v>81</v>
      </c>
      <c r="BB49" s="24" t="n">
        <v>140</v>
      </c>
      <c r="BC49" s="26"/>
      <c r="BD49" s="26"/>
      <c r="BE49" s="26"/>
      <c r="BF49" s="26"/>
      <c r="BG49" s="26"/>
      <c r="BH49" s="26"/>
      <c r="BI49" s="26"/>
      <c r="BJ49" s="26"/>
      <c r="BK49" s="26"/>
      <c r="BL49" s="26"/>
      <c r="BM49" s="26"/>
      <c r="BN49" s="26"/>
      <c r="BO49" s="26"/>
      <c r="BP49" s="16" t="n">
        <v>45684</v>
      </c>
      <c r="BQ49" s="28" t="str">
        <f>HYPERLINK("https://organic.ams.usda.gov/Integrity/Certificate.aspx?cid=68&amp;nopid=8210002083")</f>
        <v>https://organic.ams.usda.gov/Integrity/Certificate.aspx?cid=68&amp;nopid=8210002083</v>
      </c>
    </row>
    <row r="50">
      <c r="A50" t="s">
        <v>3</v>
      </c>
      <c r="B50" s="6" t="s">
        <v>17</v>
      </c>
      <c r="C50" s="6" t="s">
        <v>64</v>
      </c>
      <c r="D50" s="6" t="s">
        <v>110</v>
      </c>
      <c r="E50" s="10" t="s">
        <v>191</v>
      </c>
      <c r="F50" s="6" t="s">
        <v>2930</v>
      </c>
      <c r="G50" s="6" t="s">
        <v>5591</v>
      </c>
      <c r="H50" s="6" t="s">
        <v>5939</v>
      </c>
      <c r="I50" s="6" t="s">
        <v>8401</v>
      </c>
      <c r="J50" s="6" t="s">
        <v>9695</v>
      </c>
      <c r="K50" s="6" t="s">
        <v>10886</v>
      </c>
      <c r="L50" s="16" t="n">
        <v>44035</v>
      </c>
      <c r="M50" s="16" t="n">
        <v>45762</v>
      </c>
      <c r="N50" s="6" t="s">
        <v>10886</v>
      </c>
      <c r="O50" s="16" t="n">
        <v>44035</v>
      </c>
      <c r="P50" s="6" t="s">
        <v>10937</v>
      </c>
      <c r="Q50" s="6" t="s">
        <v>81</v>
      </c>
      <c r="R50" s="6" t="s">
        <v>5939</v>
      </c>
      <c r="S50" s="6" t="s">
        <v>10886</v>
      </c>
      <c r="T50" s="16" t="n">
        <v>44035</v>
      </c>
      <c r="U50" s="6" t="s">
        <v>13185</v>
      </c>
      <c r="V50" s="6" t="s">
        <v>81</v>
      </c>
      <c r="W50" s="6" t="s">
        <v>5939</v>
      </c>
      <c r="X50" s="6" t="s">
        <v>81</v>
      </c>
      <c r="Y50" s="21" t="s">
        <v>81</v>
      </c>
      <c r="Z50" s="6" t="s">
        <v>81</v>
      </c>
      <c r="AA50" s="6" t="s">
        <v>81</v>
      </c>
      <c r="AB50" s="6" t="s">
        <v>81</v>
      </c>
      <c r="AC50" s="6" t="s">
        <v>81</v>
      </c>
      <c r="AD50" s="21" t="s">
        <v>81</v>
      </c>
      <c r="AE50" s="6" t="s">
        <v>81</v>
      </c>
      <c r="AF50" s="6" t="s">
        <v>81</v>
      </c>
      <c r="AG50" s="6" t="s">
        <v>81</v>
      </c>
      <c r="AH50" s="6" t="s">
        <v>14664</v>
      </c>
      <c r="AI50" s="6" t="s">
        <v>81</v>
      </c>
      <c r="AJ50" s="6" t="s">
        <v>17350</v>
      </c>
      <c r="AK50" s="6" t="s">
        <v>18384</v>
      </c>
      <c r="AL50" s="6" t="s">
        <v>18444</v>
      </c>
      <c r="AM50" s="6" t="s">
        <v>18504</v>
      </c>
      <c r="AN50" s="6" t="s">
        <v>19636</v>
      </c>
      <c r="AO50" s="6" t="s">
        <v>19745</v>
      </c>
      <c r="AP50" s="6" t="s">
        <v>14664</v>
      </c>
      <c r="AQ50" s="6" t="s">
        <v>81</v>
      </c>
      <c r="AR50" s="6" t="s">
        <v>17350</v>
      </c>
      <c r="AS50" s="6" t="s">
        <v>18384</v>
      </c>
      <c r="AT50" s="6" t="s">
        <v>18444</v>
      </c>
      <c r="AU50" s="6" t="s">
        <v>18504</v>
      </c>
      <c r="AV50" s="6" t="s">
        <v>81</v>
      </c>
      <c r="AW50" s="6" t="s">
        <v>81</v>
      </c>
      <c r="AX50" s="6" t="s">
        <v>20774</v>
      </c>
      <c r="AY50" s="6" t="s">
        <v>81</v>
      </c>
      <c r="AZ50" s="6" t="s">
        <v>81</v>
      </c>
      <c r="BA50" s="6" t="s">
        <v>81</v>
      </c>
      <c r="BB50" s="24" t="n">
        <v>624</v>
      </c>
      <c r="BC50" s="26"/>
      <c r="BD50" s="26"/>
      <c r="BE50" s="26"/>
      <c r="BF50" s="26" t="s">
        <v>23900</v>
      </c>
      <c r="BG50" s="26"/>
      <c r="BH50" s="26"/>
      <c r="BI50" s="26"/>
      <c r="BJ50" s="26"/>
      <c r="BK50" s="26"/>
      <c r="BL50" s="26"/>
      <c r="BM50" s="26"/>
      <c r="BN50" s="26"/>
      <c r="BO50" s="26"/>
      <c r="BP50" s="16" t="n">
        <v>45727</v>
      </c>
      <c r="BQ50" s="28" t="str">
        <f>HYPERLINK("https://organic.ams.usda.gov/Integrity/Certificate.aspx?cid=36&amp;nopid=5403438879")</f>
        <v>https://organic.ams.usda.gov/Integrity/Certificate.aspx?cid=36&amp;nopid=5403438879</v>
      </c>
    </row>
    <row r="51">
      <c r="A51" t="s">
        <v>3</v>
      </c>
      <c r="B51" s="6" t="s">
        <v>18</v>
      </c>
      <c r="C51" s="6" t="s">
        <v>65</v>
      </c>
      <c r="D51" s="6" t="s">
        <v>111</v>
      </c>
      <c r="E51" s="10" t="s">
        <v>192</v>
      </c>
      <c r="F51" s="6" t="s">
        <v>2931</v>
      </c>
      <c r="G51" s="6" t="s">
        <v>81</v>
      </c>
      <c r="H51" s="6" t="s">
        <v>192</v>
      </c>
      <c r="I51" s="6" t="s">
        <v>8404</v>
      </c>
      <c r="J51" s="6" t="s">
        <v>9696</v>
      </c>
      <c r="K51" s="6" t="s">
        <v>10886</v>
      </c>
      <c r="L51" s="16" t="n">
        <v>40938</v>
      </c>
      <c r="M51" s="16" t="n">
        <v>45703</v>
      </c>
      <c r="N51" s="6" t="s">
        <v>10886</v>
      </c>
      <c r="O51" s="16" t="n">
        <v>40938</v>
      </c>
      <c r="P51" s="6" t="s">
        <v>10938</v>
      </c>
      <c r="Q51" s="6" t="s">
        <v>81</v>
      </c>
      <c r="R51" s="6" t="s">
        <v>2931</v>
      </c>
      <c r="S51" s="6" t="s">
        <v>10886</v>
      </c>
      <c r="T51" s="16" t="n">
        <v>40938</v>
      </c>
      <c r="U51" s="6" t="s">
        <v>13186</v>
      </c>
      <c r="V51" s="6" t="s">
        <v>81</v>
      </c>
      <c r="W51" s="6" t="s">
        <v>2931</v>
      </c>
      <c r="X51" s="6" t="s">
        <v>81</v>
      </c>
      <c r="Y51" s="21" t="s">
        <v>81</v>
      </c>
      <c r="Z51" s="6" t="s">
        <v>81</v>
      </c>
      <c r="AA51" s="6" t="s">
        <v>81</v>
      </c>
      <c r="AB51" s="6" t="s">
        <v>81</v>
      </c>
      <c r="AC51" s="6" t="s">
        <v>81</v>
      </c>
      <c r="AD51" s="21" t="s">
        <v>81</v>
      </c>
      <c r="AE51" s="6" t="s">
        <v>81</v>
      </c>
      <c r="AF51" s="6" t="s">
        <v>81</v>
      </c>
      <c r="AG51" s="6" t="s">
        <v>81</v>
      </c>
      <c r="AH51" s="6" t="s">
        <v>14665</v>
      </c>
      <c r="AI51" s="6" t="s">
        <v>81</v>
      </c>
      <c r="AJ51" s="6" t="s">
        <v>17351</v>
      </c>
      <c r="AK51" s="6" t="s">
        <v>17712</v>
      </c>
      <c r="AL51" s="6" t="s">
        <v>18444</v>
      </c>
      <c r="AM51" s="6" t="s">
        <v>18505</v>
      </c>
      <c r="AN51" s="6" t="s">
        <v>19653</v>
      </c>
      <c r="AO51" s="6" t="s">
        <v>19744</v>
      </c>
      <c r="AP51" s="6" t="s">
        <v>14665</v>
      </c>
      <c r="AQ51" s="6" t="s">
        <v>81</v>
      </c>
      <c r="AR51" s="6" t="s">
        <v>17351</v>
      </c>
      <c r="AS51" s="6" t="s">
        <v>17712</v>
      </c>
      <c r="AT51" s="6" t="s">
        <v>18444</v>
      </c>
      <c r="AU51" s="6" t="s">
        <v>18505</v>
      </c>
      <c r="AV51" s="6" t="s">
        <v>81</v>
      </c>
      <c r="AW51" s="6" t="s">
        <v>81</v>
      </c>
      <c r="AX51" s="6" t="s">
        <v>20775</v>
      </c>
      <c r="AY51" s="6" t="s">
        <v>22560</v>
      </c>
      <c r="AZ51" s="6" t="s">
        <v>81</v>
      </c>
      <c r="BA51" s="6" t="s">
        <v>81</v>
      </c>
      <c r="BB51" s="24" t="n">
        <v>440</v>
      </c>
      <c r="BC51" s="26"/>
      <c r="BD51" s="26"/>
      <c r="BE51" s="26"/>
      <c r="BF51" s="26"/>
      <c r="BG51" s="26"/>
      <c r="BH51" s="26"/>
      <c r="BI51" s="26"/>
      <c r="BJ51" s="26"/>
      <c r="BK51" s="26"/>
      <c r="BL51" s="26"/>
      <c r="BM51" s="26"/>
      <c r="BN51" s="26"/>
      <c r="BO51" s="26"/>
      <c r="BP51" s="16" t="n">
        <v>45642</v>
      </c>
      <c r="BQ51" s="28" t="str">
        <f>HYPERLINK("https://organic.ams.usda.gov/Integrity/Certificate.aspx?cid=8&amp;nopid=2201116500")</f>
        <v>https://organic.ams.usda.gov/Integrity/Certificate.aspx?cid=8&amp;nopid=2201116500</v>
      </c>
    </row>
    <row r="52">
      <c r="A52" t="s">
        <v>3</v>
      </c>
      <c r="B52" s="6" t="s">
        <v>12</v>
      </c>
      <c r="C52" s="6" t="s">
        <v>59</v>
      </c>
      <c r="D52" s="6" t="s">
        <v>105</v>
      </c>
      <c r="E52" s="10" t="s">
        <v>193</v>
      </c>
      <c r="F52" s="6" t="s">
        <v>2932</v>
      </c>
      <c r="G52" s="6" t="s">
        <v>81</v>
      </c>
      <c r="H52" s="6" t="s">
        <v>5940</v>
      </c>
      <c r="I52" s="6" t="s">
        <v>8405</v>
      </c>
      <c r="J52" s="6" t="s">
        <v>9697</v>
      </c>
      <c r="K52" s="6" t="s">
        <v>10886</v>
      </c>
      <c r="L52" s="16" t="n">
        <v>42902</v>
      </c>
      <c r="M52" s="16" t="n">
        <v>45717</v>
      </c>
      <c r="N52" s="6" t="s">
        <v>10886</v>
      </c>
      <c r="O52" s="16" t="n">
        <v>42902</v>
      </c>
      <c r="P52" s="6" t="s">
        <v>10910</v>
      </c>
      <c r="Q52" s="6" t="s">
        <v>81</v>
      </c>
      <c r="R52" s="6" t="s">
        <v>81</v>
      </c>
      <c r="S52" s="6" t="s">
        <v>10886</v>
      </c>
      <c r="T52" s="16" t="n">
        <v>42902</v>
      </c>
      <c r="U52" s="6" t="s">
        <v>13187</v>
      </c>
      <c r="V52" s="6" t="s">
        <v>81</v>
      </c>
      <c r="W52" s="6" t="s">
        <v>81</v>
      </c>
      <c r="X52" s="6" t="s">
        <v>81</v>
      </c>
      <c r="Y52" s="21" t="s">
        <v>81</v>
      </c>
      <c r="Z52" s="6" t="s">
        <v>81</v>
      </c>
      <c r="AA52" s="6" t="s">
        <v>81</v>
      </c>
      <c r="AB52" s="6" t="s">
        <v>81</v>
      </c>
      <c r="AC52" s="6" t="s">
        <v>81</v>
      </c>
      <c r="AD52" s="21" t="s">
        <v>81</v>
      </c>
      <c r="AE52" s="6" t="s">
        <v>81</v>
      </c>
      <c r="AF52" s="6" t="s">
        <v>81</v>
      </c>
      <c r="AG52" s="6" t="s">
        <v>81</v>
      </c>
      <c r="AH52" s="6" t="s">
        <v>14666</v>
      </c>
      <c r="AI52" s="6" t="s">
        <v>81</v>
      </c>
      <c r="AJ52" s="6" t="s">
        <v>17352</v>
      </c>
      <c r="AK52" s="6" t="s">
        <v>17712</v>
      </c>
      <c r="AL52" s="6" t="s">
        <v>18444</v>
      </c>
      <c r="AM52" s="6" t="s">
        <v>18506</v>
      </c>
      <c r="AN52" s="6" t="s">
        <v>19652</v>
      </c>
      <c r="AO52" s="6" t="s">
        <v>19742</v>
      </c>
      <c r="AP52" s="6" t="s">
        <v>14666</v>
      </c>
      <c r="AQ52" s="6" t="s">
        <v>81</v>
      </c>
      <c r="AR52" s="6" t="s">
        <v>17352</v>
      </c>
      <c r="AS52" s="6" t="s">
        <v>17712</v>
      </c>
      <c r="AT52" s="6" t="s">
        <v>18444</v>
      </c>
      <c r="AU52" s="6" t="s">
        <v>18506</v>
      </c>
      <c r="AV52" s="6" t="s">
        <v>81</v>
      </c>
      <c r="AW52" s="6" t="s">
        <v>81</v>
      </c>
      <c r="AX52" s="6" t="s">
        <v>20776</v>
      </c>
      <c r="AY52" s="6" t="s">
        <v>81</v>
      </c>
      <c r="AZ52" s="6" t="s">
        <v>81</v>
      </c>
      <c r="BA52" s="6" t="s">
        <v>81</v>
      </c>
      <c r="BB52" s="24" t="n">
        <v>123</v>
      </c>
      <c r="BC52" s="26"/>
      <c r="BD52" s="26"/>
      <c r="BE52" s="26"/>
      <c r="BF52" s="26"/>
      <c r="BG52" s="26"/>
      <c r="BH52" s="26"/>
      <c r="BI52" s="26"/>
      <c r="BJ52" s="26"/>
      <c r="BK52" s="26"/>
      <c r="BL52" s="26"/>
      <c r="BM52" s="26"/>
      <c r="BN52" s="26"/>
      <c r="BO52" s="26"/>
      <c r="BP52" s="16" t="n">
        <v>45700</v>
      </c>
      <c r="BQ52" s="28" t="str">
        <f>HYPERLINK("https://organic.ams.usda.gov/Integrity/Certificate.aspx?cid=68&amp;nopid=8210005604")</f>
        <v>https://organic.ams.usda.gov/Integrity/Certificate.aspx?cid=68&amp;nopid=8210005604</v>
      </c>
    </row>
    <row r="53">
      <c r="A53" t="s">
        <v>3</v>
      </c>
      <c r="B53" s="6" t="s">
        <v>9</v>
      </c>
      <c r="C53" s="6" t="s">
        <v>56</v>
      </c>
      <c r="D53" s="6" t="s">
        <v>102</v>
      </c>
      <c r="E53" s="10" t="s">
        <v>194</v>
      </c>
      <c r="F53" s="6" t="s">
        <v>2933</v>
      </c>
      <c r="G53" s="6" t="s">
        <v>81</v>
      </c>
      <c r="H53" s="6" t="s">
        <v>5941</v>
      </c>
      <c r="I53" s="6" t="s">
        <v>8406</v>
      </c>
      <c r="J53" s="6" t="s">
        <v>9698</v>
      </c>
      <c r="K53" s="6" t="s">
        <v>10886</v>
      </c>
      <c r="L53" s="16" t="n">
        <v>41445</v>
      </c>
      <c r="M53" s="16" t="n">
        <v>45748</v>
      </c>
      <c r="N53" s="6" t="s">
        <v>10886</v>
      </c>
      <c r="O53" s="16" t="n">
        <v>41445</v>
      </c>
      <c r="P53" s="6" t="s">
        <v>10939</v>
      </c>
      <c r="Q53" s="6" t="s">
        <v>81</v>
      </c>
      <c r="R53" s="6" t="s">
        <v>12443</v>
      </c>
      <c r="S53" s="6" t="s">
        <v>10886</v>
      </c>
      <c r="T53" s="16" t="n">
        <v>41445</v>
      </c>
      <c r="U53" s="6" t="s">
        <v>13162</v>
      </c>
      <c r="V53" s="6" t="s">
        <v>81</v>
      </c>
      <c r="W53" s="6" t="s">
        <v>12443</v>
      </c>
      <c r="X53" s="6" t="s">
        <v>81</v>
      </c>
      <c r="Y53" s="21" t="s">
        <v>81</v>
      </c>
      <c r="Z53" s="6" t="s">
        <v>81</v>
      </c>
      <c r="AA53" s="6" t="s">
        <v>81</v>
      </c>
      <c r="AB53" s="6" t="s">
        <v>81</v>
      </c>
      <c r="AC53" s="6" t="s">
        <v>81</v>
      </c>
      <c r="AD53" s="21" t="s">
        <v>81</v>
      </c>
      <c r="AE53" s="6" t="s">
        <v>81</v>
      </c>
      <c r="AF53" s="6" t="s">
        <v>81</v>
      </c>
      <c r="AG53" s="6" t="s">
        <v>81</v>
      </c>
      <c r="AH53" s="6" t="s">
        <v>14667</v>
      </c>
      <c r="AI53" s="6" t="s">
        <v>81</v>
      </c>
      <c r="AJ53" s="6" t="s">
        <v>17353</v>
      </c>
      <c r="AK53" s="6" t="s">
        <v>18384</v>
      </c>
      <c r="AL53" s="6" t="s">
        <v>18444</v>
      </c>
      <c r="AM53" s="6" t="s">
        <v>18507</v>
      </c>
      <c r="AN53" s="6" t="s">
        <v>19646</v>
      </c>
      <c r="AO53" s="6" t="s">
        <v>19746</v>
      </c>
      <c r="AP53" s="6" t="s">
        <v>81</v>
      </c>
      <c r="AQ53" s="6" t="s">
        <v>81</v>
      </c>
      <c r="AR53" s="6" t="s">
        <v>81</v>
      </c>
      <c r="AS53" s="6" t="s">
        <v>81</v>
      </c>
      <c r="AT53" s="6" t="s">
        <v>81</v>
      </c>
      <c r="AU53" s="6" t="s">
        <v>81</v>
      </c>
      <c r="AV53" s="6" t="s">
        <v>81</v>
      </c>
      <c r="AW53" s="6" t="s">
        <v>81</v>
      </c>
      <c r="AX53" s="6" t="s">
        <v>20777</v>
      </c>
      <c r="AY53" s="6" t="s">
        <v>81</v>
      </c>
      <c r="AZ53" s="6" t="s">
        <v>81</v>
      </c>
      <c r="BA53" s="6" t="s">
        <v>81</v>
      </c>
      <c r="BB53" s="24" t="n">
        <v>168</v>
      </c>
      <c r="BC53" s="26"/>
      <c r="BD53" s="26"/>
      <c r="BE53" s="26"/>
      <c r="BF53" s="26"/>
      <c r="BG53" s="26"/>
      <c r="BH53" s="26"/>
      <c r="BI53" s="26"/>
      <c r="BJ53" s="26"/>
      <c r="BK53" s="26"/>
      <c r="BL53" s="26"/>
      <c r="BM53" s="26"/>
      <c r="BN53" s="26"/>
      <c r="BO53" s="26"/>
      <c r="BP53" s="16" t="n">
        <v>45738</v>
      </c>
      <c r="BQ53" s="28" t="str">
        <f>HYPERLINK("https://organic.ams.usda.gov/Integrity/Certificate.aspx?cid=52&amp;nopid=8431300481")</f>
        <v>https://organic.ams.usda.gov/Integrity/Certificate.aspx?cid=52&amp;nopid=8431300481</v>
      </c>
    </row>
    <row r="54">
      <c r="A54" t="s">
        <v>3</v>
      </c>
      <c r="B54" s="6" t="s">
        <v>7</v>
      </c>
      <c r="C54" s="6" t="s">
        <v>54</v>
      </c>
      <c r="D54" s="6" t="s">
        <v>100</v>
      </c>
      <c r="E54" s="10" t="s">
        <v>195</v>
      </c>
      <c r="F54" s="6" t="s">
        <v>2934</v>
      </c>
      <c r="G54" s="6" t="s">
        <v>81</v>
      </c>
      <c r="H54" s="6" t="s">
        <v>5942</v>
      </c>
      <c r="I54" s="6" t="s">
        <v>8407</v>
      </c>
      <c r="J54" s="6" t="s">
        <v>9699</v>
      </c>
      <c r="K54" s="6" t="s">
        <v>10886</v>
      </c>
      <c r="L54" s="16" t="n">
        <v>45561</v>
      </c>
      <c r="M54" s="16" t="n">
        <v>45716</v>
      </c>
      <c r="N54" s="6" t="s">
        <v>10886</v>
      </c>
      <c r="O54" s="16" t="n">
        <v>45561</v>
      </c>
      <c r="P54" s="6" t="s">
        <v>10940</v>
      </c>
      <c r="Q54" s="6" t="s">
        <v>81</v>
      </c>
      <c r="R54" s="6" t="s">
        <v>81</v>
      </c>
      <c r="S54" s="6" t="s">
        <v>10886</v>
      </c>
      <c r="T54" s="16" t="n">
        <v>45603</v>
      </c>
      <c r="U54" s="6" t="s">
        <v>13188</v>
      </c>
      <c r="V54" s="6" t="s">
        <v>81</v>
      </c>
      <c r="W54" s="6" t="s">
        <v>81</v>
      </c>
      <c r="X54" s="6" t="s">
        <v>81</v>
      </c>
      <c r="Y54" s="21" t="s">
        <v>81</v>
      </c>
      <c r="Z54" s="6" t="s">
        <v>81</v>
      </c>
      <c r="AA54" s="6" t="s">
        <v>81</v>
      </c>
      <c r="AB54" s="6" t="s">
        <v>81</v>
      </c>
      <c r="AC54" s="6" t="s">
        <v>81</v>
      </c>
      <c r="AD54" s="21" t="s">
        <v>81</v>
      </c>
      <c r="AE54" s="6" t="s">
        <v>81</v>
      </c>
      <c r="AF54" s="6" t="s">
        <v>81</v>
      </c>
      <c r="AG54" s="6" t="s">
        <v>81</v>
      </c>
      <c r="AH54" s="6" t="s">
        <v>14668</v>
      </c>
      <c r="AI54" s="6" t="s">
        <v>81</v>
      </c>
      <c r="AJ54" s="6" t="s">
        <v>17354</v>
      </c>
      <c r="AK54" s="6" t="s">
        <v>17712</v>
      </c>
      <c r="AL54" s="6" t="s">
        <v>18444</v>
      </c>
      <c r="AM54" s="6" t="s">
        <v>18508</v>
      </c>
      <c r="AN54" s="6" t="s">
        <v>81</v>
      </c>
      <c r="AO54" s="6" t="s">
        <v>81</v>
      </c>
      <c r="AP54" s="6" t="s">
        <v>14668</v>
      </c>
      <c r="AQ54" s="6" t="s">
        <v>81</v>
      </c>
      <c r="AR54" s="6" t="s">
        <v>17354</v>
      </c>
      <c r="AS54" s="6" t="s">
        <v>17712</v>
      </c>
      <c r="AT54" s="6" t="s">
        <v>18444</v>
      </c>
      <c r="AU54" s="6" t="s">
        <v>18508</v>
      </c>
      <c r="AV54" s="6" t="s">
        <v>81</v>
      </c>
      <c r="AW54" s="6" t="s">
        <v>81</v>
      </c>
      <c r="AX54" s="6" t="s">
        <v>81</v>
      </c>
      <c r="AY54" s="6" t="s">
        <v>81</v>
      </c>
      <c r="AZ54" s="6" t="s">
        <v>81</v>
      </c>
      <c r="BA54" s="6" t="s">
        <v>81</v>
      </c>
      <c r="BB54" s="24" t="n">
        <v>114</v>
      </c>
      <c r="BC54" s="26"/>
      <c r="BD54" s="26"/>
      <c r="BE54" s="26"/>
      <c r="BF54" s="26" t="s">
        <v>23900</v>
      </c>
      <c r="BG54" s="26"/>
      <c r="BH54" s="26"/>
      <c r="BI54" s="26"/>
      <c r="BJ54" s="26"/>
      <c r="BK54" s="26"/>
      <c r="BL54" s="26"/>
      <c r="BM54" s="26"/>
      <c r="BN54" s="26"/>
      <c r="BO54" s="26"/>
      <c r="BP54" s="16" t="n">
        <v>45604</v>
      </c>
      <c r="BQ54" s="28" t="str">
        <f>HYPERLINK("https://organic.ams.usda.gov/Integrity/Certificate.aspx?cid=57&amp;nopid=3252024114")</f>
        <v>https://organic.ams.usda.gov/Integrity/Certificate.aspx?cid=57&amp;nopid=3252024114</v>
      </c>
    </row>
    <row r="55">
      <c r="A55" t="s">
        <v>3</v>
      </c>
      <c r="B55" s="6" t="s">
        <v>15</v>
      </c>
      <c r="C55" s="6" t="s">
        <v>62</v>
      </c>
      <c r="D55" s="6" t="s">
        <v>108</v>
      </c>
      <c r="E55" s="10" t="s">
        <v>196</v>
      </c>
      <c r="F55" s="6" t="s">
        <v>2935</v>
      </c>
      <c r="G55" s="6" t="s">
        <v>81</v>
      </c>
      <c r="H55" s="6" t="s">
        <v>5943</v>
      </c>
      <c r="I55" s="6" t="s">
        <v>8408</v>
      </c>
      <c r="J55" s="6" t="s">
        <v>9700</v>
      </c>
      <c r="K55" s="6" t="s">
        <v>10886</v>
      </c>
      <c r="L55" s="16" t="n">
        <v>42887</v>
      </c>
      <c r="M55" s="16" t="n">
        <v>46157</v>
      </c>
      <c r="N55" s="6" t="s">
        <v>10886</v>
      </c>
      <c r="O55" s="16" t="n">
        <v>42887</v>
      </c>
      <c r="P55" s="6" t="s">
        <v>10935</v>
      </c>
      <c r="Q55" s="6" t="s">
        <v>81</v>
      </c>
      <c r="R55" s="6" t="s">
        <v>81</v>
      </c>
      <c r="S55" s="6" t="s">
        <v>10886</v>
      </c>
      <c r="T55" s="16" t="n">
        <v>42887</v>
      </c>
      <c r="U55" s="6" t="s">
        <v>13189</v>
      </c>
      <c r="V55" s="6" t="s">
        <v>81</v>
      </c>
      <c r="W55" s="6" t="s">
        <v>81</v>
      </c>
      <c r="X55" s="6" t="s">
        <v>81</v>
      </c>
      <c r="Y55" s="21" t="s">
        <v>81</v>
      </c>
      <c r="Z55" s="6" t="s">
        <v>81</v>
      </c>
      <c r="AA55" s="6" t="s">
        <v>81</v>
      </c>
      <c r="AB55" s="6" t="s">
        <v>81</v>
      </c>
      <c r="AC55" s="6" t="s">
        <v>81</v>
      </c>
      <c r="AD55" s="21" t="s">
        <v>81</v>
      </c>
      <c r="AE55" s="6" t="s">
        <v>81</v>
      </c>
      <c r="AF55" s="6" t="s">
        <v>81</v>
      </c>
      <c r="AG55" s="6" t="s">
        <v>81</v>
      </c>
      <c r="AH55" s="6" t="s">
        <v>14669</v>
      </c>
      <c r="AI55" s="6" t="s">
        <v>81</v>
      </c>
      <c r="AJ55" s="6" t="s">
        <v>17355</v>
      </c>
      <c r="AK55" s="6" t="s">
        <v>18380</v>
      </c>
      <c r="AL55" s="6" t="s">
        <v>18444</v>
      </c>
      <c r="AM55" s="6" t="s">
        <v>18509</v>
      </c>
      <c r="AN55" s="6" t="s">
        <v>19654</v>
      </c>
      <c r="AO55" s="6" t="s">
        <v>19747</v>
      </c>
      <c r="AP55" s="6" t="s">
        <v>14669</v>
      </c>
      <c r="AQ55" s="6" t="s">
        <v>81</v>
      </c>
      <c r="AR55" s="6" t="s">
        <v>17355</v>
      </c>
      <c r="AS55" s="6" t="s">
        <v>18380</v>
      </c>
      <c r="AT55" s="6" t="s">
        <v>18444</v>
      </c>
      <c r="AU55" s="6" t="s">
        <v>18509</v>
      </c>
      <c r="AV55" s="6" t="s">
        <v>81</v>
      </c>
      <c r="AW55" s="6" t="s">
        <v>81</v>
      </c>
      <c r="AX55" s="6" t="s">
        <v>20778</v>
      </c>
      <c r="AY55" s="6" t="s">
        <v>81</v>
      </c>
      <c r="AZ55" s="6" t="s">
        <v>81</v>
      </c>
      <c r="BA55" s="6" t="s">
        <v>81</v>
      </c>
      <c r="BB55" s="24" t="n">
        <v>217</v>
      </c>
      <c r="BC55" s="26"/>
      <c r="BD55" s="26"/>
      <c r="BE55" s="26"/>
      <c r="BF55" s="26" t="s">
        <v>23900</v>
      </c>
      <c r="BG55" s="26"/>
      <c r="BH55" s="26"/>
      <c r="BI55" s="26"/>
      <c r="BJ55" s="26"/>
      <c r="BK55" s="26"/>
      <c r="BL55" s="26"/>
      <c r="BM55" s="26"/>
      <c r="BN55" s="26"/>
      <c r="BO55" s="26"/>
      <c r="BP55" s="16" t="n">
        <v>45737</v>
      </c>
      <c r="BQ55" s="28" t="str">
        <f>HYPERLINK("https://organic.ams.usda.gov/Integrity/Certificate.aspx?cid=58&amp;nopid=1600002848")</f>
        <v>https://organic.ams.usda.gov/Integrity/Certificate.aspx?cid=58&amp;nopid=1600002848</v>
      </c>
    </row>
    <row r="56">
      <c r="A56" t="s">
        <v>3</v>
      </c>
      <c r="B56" s="6" t="s">
        <v>12</v>
      </c>
      <c r="C56" s="6" t="s">
        <v>59</v>
      </c>
      <c r="D56" s="6" t="s">
        <v>105</v>
      </c>
      <c r="E56" s="10" t="s">
        <v>197</v>
      </c>
      <c r="F56" s="6" t="s">
        <v>2936</v>
      </c>
      <c r="G56" s="6" t="s">
        <v>81</v>
      </c>
      <c r="H56" s="6" t="s">
        <v>5944</v>
      </c>
      <c r="I56" s="6" t="s">
        <v>8409</v>
      </c>
      <c r="J56" s="6" t="s">
        <v>9701</v>
      </c>
      <c r="K56" s="6" t="s">
        <v>10886</v>
      </c>
      <c r="L56" s="16" t="n">
        <v>42912</v>
      </c>
      <c r="M56" s="16" t="n">
        <v>45717</v>
      </c>
      <c r="N56" s="6" t="s">
        <v>10886</v>
      </c>
      <c r="O56" s="16" t="n">
        <v>42912</v>
      </c>
      <c r="P56" s="6" t="s">
        <v>10910</v>
      </c>
      <c r="Q56" s="6" t="s">
        <v>81</v>
      </c>
      <c r="R56" s="6" t="s">
        <v>81</v>
      </c>
      <c r="S56" s="6" t="s">
        <v>10886</v>
      </c>
      <c r="T56" s="16" t="n">
        <v>42912</v>
      </c>
      <c r="U56" s="6" t="s">
        <v>13187</v>
      </c>
      <c r="V56" s="6" t="s">
        <v>81</v>
      </c>
      <c r="W56" s="6" t="s">
        <v>81</v>
      </c>
      <c r="X56" s="6" t="s">
        <v>81</v>
      </c>
      <c r="Y56" s="21" t="s">
        <v>81</v>
      </c>
      <c r="Z56" s="6" t="s">
        <v>81</v>
      </c>
      <c r="AA56" s="6" t="s">
        <v>81</v>
      </c>
      <c r="AB56" s="6" t="s">
        <v>81</v>
      </c>
      <c r="AC56" s="6" t="s">
        <v>81</v>
      </c>
      <c r="AD56" s="21" t="s">
        <v>81</v>
      </c>
      <c r="AE56" s="6" t="s">
        <v>81</v>
      </c>
      <c r="AF56" s="6" t="s">
        <v>81</v>
      </c>
      <c r="AG56" s="6" t="s">
        <v>81</v>
      </c>
      <c r="AH56" s="6" t="s">
        <v>14670</v>
      </c>
      <c r="AI56" s="6" t="s">
        <v>81</v>
      </c>
      <c r="AJ56" s="6" t="s">
        <v>17356</v>
      </c>
      <c r="AK56" s="6" t="s">
        <v>17712</v>
      </c>
      <c r="AL56" s="6" t="s">
        <v>18444</v>
      </c>
      <c r="AM56" s="6" t="s">
        <v>18510</v>
      </c>
      <c r="AN56" s="6" t="s">
        <v>19649</v>
      </c>
      <c r="AO56" s="6" t="s">
        <v>19738</v>
      </c>
      <c r="AP56" s="6" t="s">
        <v>14670</v>
      </c>
      <c r="AQ56" s="6" t="s">
        <v>81</v>
      </c>
      <c r="AR56" s="6" t="s">
        <v>17356</v>
      </c>
      <c r="AS56" s="6" t="s">
        <v>17712</v>
      </c>
      <c r="AT56" s="6" t="s">
        <v>18444</v>
      </c>
      <c r="AU56" s="6" t="s">
        <v>18510</v>
      </c>
      <c r="AV56" s="6" t="s">
        <v>81</v>
      </c>
      <c r="AW56" s="6" t="s">
        <v>81</v>
      </c>
      <c r="AX56" s="6" t="s">
        <v>20779</v>
      </c>
      <c r="AY56" s="6" t="s">
        <v>81</v>
      </c>
      <c r="AZ56" s="6" t="s">
        <v>81</v>
      </c>
      <c r="BA56" s="6" t="s">
        <v>81</v>
      </c>
      <c r="BB56" s="24" t="n">
        <v>263</v>
      </c>
      <c r="BC56" s="26"/>
      <c r="BD56" s="26"/>
      <c r="BE56" s="26"/>
      <c r="BF56" s="26"/>
      <c r="BG56" s="26"/>
      <c r="BH56" s="26"/>
      <c r="BI56" s="26"/>
      <c r="BJ56" s="26"/>
      <c r="BK56" s="26"/>
      <c r="BL56" s="26"/>
      <c r="BM56" s="26"/>
      <c r="BN56" s="26"/>
      <c r="BO56" s="26"/>
      <c r="BP56" s="16" t="n">
        <v>45707</v>
      </c>
      <c r="BQ56" s="28" t="str">
        <f>HYPERLINK("https://organic.ams.usda.gov/Integrity/Certificate.aspx?cid=68&amp;nopid=8210005202")</f>
        <v>https://organic.ams.usda.gov/Integrity/Certificate.aspx?cid=68&amp;nopid=8210005202</v>
      </c>
    </row>
    <row r="57">
      <c r="A57" t="s">
        <v>3</v>
      </c>
      <c r="B57" s="6" t="s">
        <v>19</v>
      </c>
      <c r="C57" s="6" t="s">
        <v>66</v>
      </c>
      <c r="D57" s="6" t="s">
        <v>112</v>
      </c>
      <c r="E57" s="10" t="s">
        <v>198</v>
      </c>
      <c r="F57" s="6" t="s">
        <v>2937</v>
      </c>
      <c r="G57" s="6" t="s">
        <v>81</v>
      </c>
      <c r="H57" s="6" t="s">
        <v>5945</v>
      </c>
      <c r="I57" s="6" t="s">
        <v>81</v>
      </c>
      <c r="J57" s="6" t="s">
        <v>9702</v>
      </c>
      <c r="K57" s="6" t="s">
        <v>10886</v>
      </c>
      <c r="L57" s="16" t="n">
        <v>44301</v>
      </c>
      <c r="M57" s="16" t="n">
        <v>46054</v>
      </c>
      <c r="N57" s="6" t="s">
        <v>81</v>
      </c>
      <c r="O57" s="21" t="s">
        <v>81</v>
      </c>
      <c r="P57" s="6" t="s">
        <v>81</v>
      </c>
      <c r="Q57" s="6" t="s">
        <v>81</v>
      </c>
      <c r="R57" s="6" t="s">
        <v>81</v>
      </c>
      <c r="S57" s="6" t="s">
        <v>81</v>
      </c>
      <c r="T57" s="21" t="s">
        <v>81</v>
      </c>
      <c r="U57" s="6" t="s">
        <v>81</v>
      </c>
      <c r="V57" s="6" t="s">
        <v>81</v>
      </c>
      <c r="W57" s="6" t="s">
        <v>81</v>
      </c>
      <c r="X57" s="6" t="s">
        <v>81</v>
      </c>
      <c r="Y57" s="21" t="s">
        <v>81</v>
      </c>
      <c r="Z57" s="6" t="s">
        <v>81</v>
      </c>
      <c r="AA57" s="6" t="s">
        <v>81</v>
      </c>
      <c r="AB57" s="6" t="s">
        <v>81</v>
      </c>
      <c r="AC57" s="6" t="s">
        <v>10886</v>
      </c>
      <c r="AD57" s="16" t="n">
        <v>44301</v>
      </c>
      <c r="AE57" s="6" t="s">
        <v>14000</v>
      </c>
      <c r="AF57" s="6" t="s">
        <v>81</v>
      </c>
      <c r="AG57" s="6" t="s">
        <v>81</v>
      </c>
      <c r="AH57" s="6" t="s">
        <v>14671</v>
      </c>
      <c r="AI57" s="6" t="s">
        <v>81</v>
      </c>
      <c r="AJ57" s="6" t="s">
        <v>17357</v>
      </c>
      <c r="AK57" s="6" t="s">
        <v>18385</v>
      </c>
      <c r="AL57" s="6" t="s">
        <v>18444</v>
      </c>
      <c r="AM57" s="6" t="s">
        <v>18511</v>
      </c>
      <c r="AN57" s="6" t="s">
        <v>19655</v>
      </c>
      <c r="AO57" s="6" t="s">
        <v>19748</v>
      </c>
      <c r="AP57" s="6" t="s">
        <v>81</v>
      </c>
      <c r="AQ57" s="6" t="s">
        <v>81</v>
      </c>
      <c r="AR57" s="6" t="s">
        <v>81</v>
      </c>
      <c r="AS57" s="6" t="s">
        <v>81</v>
      </c>
      <c r="AT57" s="6" t="s">
        <v>81</v>
      </c>
      <c r="AU57" s="6" t="s">
        <v>81</v>
      </c>
      <c r="AV57" s="6" t="s">
        <v>81</v>
      </c>
      <c r="AW57" s="6" t="s">
        <v>81</v>
      </c>
      <c r="AX57" s="6" t="s">
        <v>20780</v>
      </c>
      <c r="AY57" s="6" t="s">
        <v>22561</v>
      </c>
      <c r="AZ57" s="6" t="s">
        <v>81</v>
      </c>
      <c r="BA57" s="6" t="s">
        <v>81</v>
      </c>
      <c r="BB57" s="24" t="n">
        <v>0</v>
      </c>
      <c r="BC57" s="26"/>
      <c r="BD57" s="26"/>
      <c r="BE57" s="26"/>
      <c r="BF57" s="26"/>
      <c r="BG57" s="26"/>
      <c r="BH57" s="26"/>
      <c r="BI57" s="26"/>
      <c r="BJ57" s="26"/>
      <c r="BK57" s="26"/>
      <c r="BL57" s="26"/>
      <c r="BM57" s="26"/>
      <c r="BN57" s="26"/>
      <c r="BO57" s="26"/>
      <c r="BP57" s="16" t="n">
        <v>45738</v>
      </c>
      <c r="BQ57" s="28" t="str">
        <f>HYPERLINK("https://organic.ams.usda.gov/Integrity/Certificate.aspx?cid=24&amp;nopid=7880090007")</f>
        <v>https://organic.ams.usda.gov/Integrity/Certificate.aspx?cid=24&amp;nopid=7880090007</v>
      </c>
    </row>
    <row r="58">
      <c r="A58" t="s">
        <v>3</v>
      </c>
      <c r="B58" s="6" t="s">
        <v>18</v>
      </c>
      <c r="C58" s="6" t="s">
        <v>65</v>
      </c>
      <c r="D58" s="6" t="s">
        <v>111</v>
      </c>
      <c r="E58" s="10" t="s">
        <v>199</v>
      </c>
      <c r="F58" s="6" t="s">
        <v>2938</v>
      </c>
      <c r="G58" s="6" t="s">
        <v>81</v>
      </c>
      <c r="H58" s="6" t="s">
        <v>199</v>
      </c>
      <c r="I58" s="6" t="s">
        <v>8410</v>
      </c>
      <c r="J58" s="6" t="s">
        <v>9703</v>
      </c>
      <c r="K58" s="6" t="s">
        <v>10886</v>
      </c>
      <c r="L58" s="16" t="n">
        <v>44608</v>
      </c>
      <c r="M58" s="16" t="n">
        <v>45703</v>
      </c>
      <c r="N58" s="6" t="s">
        <v>10886</v>
      </c>
      <c r="O58" s="16" t="n">
        <v>44608</v>
      </c>
      <c r="P58" s="6" t="s">
        <v>10941</v>
      </c>
      <c r="Q58" s="6" t="s">
        <v>81</v>
      </c>
      <c r="R58" s="6" t="s">
        <v>12444</v>
      </c>
      <c r="S58" s="6" t="s">
        <v>10886</v>
      </c>
      <c r="T58" s="16" t="n">
        <v>44608</v>
      </c>
      <c r="U58" s="6" t="s">
        <v>13190</v>
      </c>
      <c r="V58" s="6" t="s">
        <v>81</v>
      </c>
      <c r="W58" s="6" t="s">
        <v>12444</v>
      </c>
      <c r="X58" s="6" t="s">
        <v>81</v>
      </c>
      <c r="Y58" s="21" t="s">
        <v>81</v>
      </c>
      <c r="Z58" s="6" t="s">
        <v>81</v>
      </c>
      <c r="AA58" s="6" t="s">
        <v>81</v>
      </c>
      <c r="AB58" s="6" t="s">
        <v>81</v>
      </c>
      <c r="AC58" s="6" t="s">
        <v>81</v>
      </c>
      <c r="AD58" s="21" t="s">
        <v>81</v>
      </c>
      <c r="AE58" s="6" t="s">
        <v>81</v>
      </c>
      <c r="AF58" s="6" t="s">
        <v>81</v>
      </c>
      <c r="AG58" s="6" t="s">
        <v>81</v>
      </c>
      <c r="AH58" s="6" t="s">
        <v>14672</v>
      </c>
      <c r="AI58" s="6" t="s">
        <v>81</v>
      </c>
      <c r="AJ58" s="6" t="s">
        <v>17358</v>
      </c>
      <c r="AK58" s="6" t="s">
        <v>17712</v>
      </c>
      <c r="AL58" s="6" t="s">
        <v>18444</v>
      </c>
      <c r="AM58" s="6" t="s">
        <v>18512</v>
      </c>
      <c r="AN58" s="6" t="s">
        <v>7195</v>
      </c>
      <c r="AO58" s="6" t="s">
        <v>19735</v>
      </c>
      <c r="AP58" s="6" t="s">
        <v>14672</v>
      </c>
      <c r="AQ58" s="6" t="s">
        <v>81</v>
      </c>
      <c r="AR58" s="6" t="s">
        <v>17358</v>
      </c>
      <c r="AS58" s="6" t="s">
        <v>17712</v>
      </c>
      <c r="AT58" s="6" t="s">
        <v>18444</v>
      </c>
      <c r="AU58" s="6" t="s">
        <v>18512</v>
      </c>
      <c r="AV58" s="6" t="s">
        <v>81</v>
      </c>
      <c r="AW58" s="6" t="s">
        <v>81</v>
      </c>
      <c r="AX58" s="6" t="s">
        <v>20781</v>
      </c>
      <c r="AY58" s="6" t="s">
        <v>22562</v>
      </c>
      <c r="AZ58" s="6" t="s">
        <v>81</v>
      </c>
      <c r="BA58" s="6" t="s">
        <v>81</v>
      </c>
      <c r="BB58" s="24" t="n">
        <v>616</v>
      </c>
      <c r="BC58" s="26"/>
      <c r="BD58" s="26"/>
      <c r="BE58" s="26"/>
      <c r="BF58" s="26" t="s">
        <v>23900</v>
      </c>
      <c r="BG58" s="26"/>
      <c r="BH58" s="26"/>
      <c r="BI58" s="26"/>
      <c r="BJ58" s="26"/>
      <c r="BK58" s="26"/>
      <c r="BL58" s="26"/>
      <c r="BM58" s="26"/>
      <c r="BN58" s="26"/>
      <c r="BO58" s="26"/>
      <c r="BP58" s="16" t="n">
        <v>45638</v>
      </c>
      <c r="BQ58" s="28" t="str">
        <f>HYPERLINK("https://organic.ams.usda.gov/Integrity/Certificate.aspx?cid=8&amp;nopid=2202201200")</f>
        <v>https://organic.ams.usda.gov/Integrity/Certificate.aspx?cid=8&amp;nopid=2202201200</v>
      </c>
    </row>
    <row r="59">
      <c r="A59" t="s">
        <v>3</v>
      </c>
      <c r="B59" s="6" t="s">
        <v>20</v>
      </c>
      <c r="C59" s="6" t="s">
        <v>67</v>
      </c>
      <c r="D59" s="6" t="s">
        <v>113</v>
      </c>
      <c r="E59" s="10" t="s">
        <v>200</v>
      </c>
      <c r="F59" s="6" t="s">
        <v>2939</v>
      </c>
      <c r="G59" s="6" t="s">
        <v>81</v>
      </c>
      <c r="H59" s="6" t="s">
        <v>5946</v>
      </c>
      <c r="I59" s="6" t="s">
        <v>8411</v>
      </c>
      <c r="J59" s="6" t="s">
        <v>9704</v>
      </c>
      <c r="K59" s="6" t="s">
        <v>10886</v>
      </c>
      <c r="L59" s="16" t="n">
        <v>43783</v>
      </c>
      <c r="M59" s="16" t="n">
        <v>45846</v>
      </c>
      <c r="N59" s="6" t="s">
        <v>81</v>
      </c>
      <c r="O59" s="21" t="s">
        <v>81</v>
      </c>
      <c r="P59" s="6" t="s">
        <v>81</v>
      </c>
      <c r="Q59" s="6" t="s">
        <v>81</v>
      </c>
      <c r="R59" s="6" t="s">
        <v>81</v>
      </c>
      <c r="S59" s="6" t="s">
        <v>81</v>
      </c>
      <c r="T59" s="21" t="s">
        <v>81</v>
      </c>
      <c r="U59" s="6" t="s">
        <v>81</v>
      </c>
      <c r="V59" s="6" t="s">
        <v>81</v>
      </c>
      <c r="W59" s="6" t="s">
        <v>81</v>
      </c>
      <c r="X59" s="6" t="s">
        <v>81</v>
      </c>
      <c r="Y59" s="21" t="s">
        <v>81</v>
      </c>
      <c r="Z59" s="6" t="s">
        <v>81</v>
      </c>
      <c r="AA59" s="6" t="s">
        <v>81</v>
      </c>
      <c r="AB59" s="6" t="s">
        <v>81</v>
      </c>
      <c r="AC59" s="6" t="s">
        <v>10886</v>
      </c>
      <c r="AD59" s="16" t="n">
        <v>43783</v>
      </c>
      <c r="AE59" s="6" t="s">
        <v>14001</v>
      </c>
      <c r="AF59" s="6" t="s">
        <v>81</v>
      </c>
      <c r="AG59" s="6" t="s">
        <v>14508</v>
      </c>
      <c r="AH59" s="6" t="s">
        <v>14673</v>
      </c>
      <c r="AI59" s="6" t="s">
        <v>81</v>
      </c>
      <c r="AJ59" s="6" t="s">
        <v>17359</v>
      </c>
      <c r="AK59" s="6" t="s">
        <v>18386</v>
      </c>
      <c r="AL59" s="6" t="s">
        <v>18444</v>
      </c>
      <c r="AM59" s="6" t="s">
        <v>18513</v>
      </c>
      <c r="AN59" s="6" t="s">
        <v>7450</v>
      </c>
      <c r="AO59" s="6" t="s">
        <v>19749</v>
      </c>
      <c r="AP59" s="6" t="s">
        <v>14673</v>
      </c>
      <c r="AQ59" s="6" t="s">
        <v>81</v>
      </c>
      <c r="AR59" s="6" t="s">
        <v>17359</v>
      </c>
      <c r="AS59" s="6" t="s">
        <v>18386</v>
      </c>
      <c r="AT59" s="6" t="s">
        <v>18444</v>
      </c>
      <c r="AU59" s="6" t="s">
        <v>18513</v>
      </c>
      <c r="AV59" s="6" t="s">
        <v>81</v>
      </c>
      <c r="AW59" s="6" t="s">
        <v>81</v>
      </c>
      <c r="AX59" s="6" t="s">
        <v>20782</v>
      </c>
      <c r="AY59" s="6" t="s">
        <v>22563</v>
      </c>
      <c r="AZ59" s="6" t="s">
        <v>23577</v>
      </c>
      <c r="BA59" s="6" t="s">
        <v>81</v>
      </c>
      <c r="BB59" s="6" t="s">
        <v>81</v>
      </c>
      <c r="BC59" s="26"/>
      <c r="BD59" s="26"/>
      <c r="BE59" s="26" t="s">
        <v>23900</v>
      </c>
      <c r="BF59" s="26"/>
      <c r="BG59" s="26"/>
      <c r="BH59" s="26"/>
      <c r="BI59" s="26"/>
      <c r="BJ59" s="26"/>
      <c r="BK59" s="26"/>
      <c r="BL59" s="26"/>
      <c r="BM59" s="26"/>
      <c r="BN59" s="26"/>
      <c r="BO59" s="26"/>
      <c r="BP59" s="16" t="n">
        <v>45737</v>
      </c>
      <c r="BQ59" s="28" t="str">
        <f>HYPERLINK("https://organic.ams.usda.gov/Integrity/Certificate.aspx?cid=71&amp;nopid=5520518185")</f>
        <v>https://organic.ams.usda.gov/Integrity/Certificate.aspx?cid=71&amp;nopid=5520518185</v>
      </c>
    </row>
    <row r="60">
      <c r="A60" t="s">
        <v>3</v>
      </c>
      <c r="B60" s="6" t="s">
        <v>21</v>
      </c>
      <c r="C60" s="6" t="s">
        <v>68</v>
      </c>
      <c r="D60" s="6" t="s">
        <v>114</v>
      </c>
      <c r="E60" s="10" t="s">
        <v>201</v>
      </c>
      <c r="F60" s="6" t="s">
        <v>2940</v>
      </c>
      <c r="G60" s="6" t="s">
        <v>81</v>
      </c>
      <c r="H60" s="6" t="s">
        <v>5947</v>
      </c>
      <c r="I60" s="6" t="s">
        <v>8412</v>
      </c>
      <c r="J60" s="6" t="s">
        <v>9705</v>
      </c>
      <c r="K60" s="6" t="s">
        <v>10886</v>
      </c>
      <c r="L60" s="16" t="n">
        <v>45517</v>
      </c>
      <c r="M60" s="16" t="n">
        <v>46023</v>
      </c>
      <c r="N60" s="6" t="s">
        <v>81</v>
      </c>
      <c r="O60" s="21" t="s">
        <v>81</v>
      </c>
      <c r="P60" s="6" t="s">
        <v>81</v>
      </c>
      <c r="Q60" s="6" t="s">
        <v>81</v>
      </c>
      <c r="R60" s="6" t="s">
        <v>81</v>
      </c>
      <c r="S60" s="6" t="s">
        <v>81</v>
      </c>
      <c r="T60" s="21" t="s">
        <v>81</v>
      </c>
      <c r="U60" s="6" t="s">
        <v>81</v>
      </c>
      <c r="V60" s="6" t="s">
        <v>81</v>
      </c>
      <c r="W60" s="6" t="s">
        <v>81</v>
      </c>
      <c r="X60" s="6" t="s">
        <v>81</v>
      </c>
      <c r="Y60" s="21" t="s">
        <v>81</v>
      </c>
      <c r="Z60" s="6" t="s">
        <v>81</v>
      </c>
      <c r="AA60" s="6" t="s">
        <v>81</v>
      </c>
      <c r="AB60" s="6" t="s">
        <v>81</v>
      </c>
      <c r="AC60" s="6" t="s">
        <v>10886</v>
      </c>
      <c r="AD60" s="16" t="n">
        <v>45517</v>
      </c>
      <c r="AE60" s="6" t="s">
        <v>14002</v>
      </c>
      <c r="AF60" s="6" t="s">
        <v>81</v>
      </c>
      <c r="AG60" s="6" t="s">
        <v>81</v>
      </c>
      <c r="AH60" s="6" t="s">
        <v>81</v>
      </c>
      <c r="AI60" s="6" t="s">
        <v>81</v>
      </c>
      <c r="AJ60" s="6" t="s">
        <v>81</v>
      </c>
      <c r="AK60" s="6" t="s">
        <v>81</v>
      </c>
      <c r="AL60" s="6" t="s">
        <v>81</v>
      </c>
      <c r="AM60" s="6" t="s">
        <v>81</v>
      </c>
      <c r="AN60" s="6" t="s">
        <v>81</v>
      </c>
      <c r="AO60" s="6" t="s">
        <v>81</v>
      </c>
      <c r="AP60" s="6" t="s">
        <v>20087</v>
      </c>
      <c r="AQ60" s="6" t="s">
        <v>20471</v>
      </c>
      <c r="AR60" s="6" t="s">
        <v>18054</v>
      </c>
      <c r="AS60" s="6" t="s">
        <v>18381</v>
      </c>
      <c r="AT60" s="6" t="s">
        <v>18444</v>
      </c>
      <c r="AU60" s="6" t="s">
        <v>20594</v>
      </c>
      <c r="AV60" s="6" t="s">
        <v>81</v>
      </c>
      <c r="AW60" s="6" t="s">
        <v>81</v>
      </c>
      <c r="AX60" s="6" t="s">
        <v>20783</v>
      </c>
      <c r="AY60" s="6" t="s">
        <v>22564</v>
      </c>
      <c r="AZ60" s="6" t="s">
        <v>81</v>
      </c>
      <c r="BA60" s="6" t="s">
        <v>81</v>
      </c>
      <c r="BB60" s="6" t="s">
        <v>81</v>
      </c>
      <c r="BC60" s="26"/>
      <c r="BD60" s="26"/>
      <c r="BE60" s="26"/>
      <c r="BF60" s="26"/>
      <c r="BG60" s="26"/>
      <c r="BH60" s="26"/>
      <c r="BI60" s="26"/>
      <c r="BJ60" s="26"/>
      <c r="BK60" s="26"/>
      <c r="BL60" s="26"/>
      <c r="BM60" s="26"/>
      <c r="BN60" s="26"/>
      <c r="BO60" s="26"/>
      <c r="BP60" s="16" t="n">
        <v>45737</v>
      </c>
      <c r="BQ60" s="28" t="str">
        <f>HYPERLINK("https://organic.ams.usda.gov/Integrity/Certificate.aspx?cid=62&amp;nopid=8150025683")</f>
        <v>https://organic.ams.usda.gov/Integrity/Certificate.aspx?cid=62&amp;nopid=8150025683</v>
      </c>
    </row>
    <row r="61">
      <c r="A61" t="s">
        <v>3</v>
      </c>
      <c r="B61" s="6" t="s">
        <v>22</v>
      </c>
      <c r="C61" s="6" t="s">
        <v>69</v>
      </c>
      <c r="D61" s="6" t="s">
        <v>115</v>
      </c>
      <c r="E61" s="10" t="s">
        <v>202</v>
      </c>
      <c r="F61" s="6" t="s">
        <v>2941</v>
      </c>
      <c r="G61" s="6" t="s">
        <v>5592</v>
      </c>
      <c r="H61" s="6" t="s">
        <v>5592</v>
      </c>
      <c r="I61" s="6" t="s">
        <v>8413</v>
      </c>
      <c r="J61" s="6" t="s">
        <v>9706</v>
      </c>
      <c r="K61" s="6" t="s">
        <v>10886</v>
      </c>
      <c r="L61" s="16" t="n">
        <v>42780</v>
      </c>
      <c r="M61" s="16" t="n">
        <v>45992</v>
      </c>
      <c r="N61" s="6" t="s">
        <v>10886</v>
      </c>
      <c r="O61" s="16" t="n">
        <v>42780</v>
      </c>
      <c r="P61" s="6" t="s">
        <v>10942</v>
      </c>
      <c r="Q61" s="6" t="s">
        <v>81</v>
      </c>
      <c r="R61" s="6" t="s">
        <v>5592</v>
      </c>
      <c r="S61" s="6" t="s">
        <v>81</v>
      </c>
      <c r="T61" s="21" t="s">
        <v>81</v>
      </c>
      <c r="U61" s="6" t="s">
        <v>81</v>
      </c>
      <c r="V61" s="6" t="s">
        <v>81</v>
      </c>
      <c r="W61" s="6" t="s">
        <v>81</v>
      </c>
      <c r="X61" s="6" t="s">
        <v>81</v>
      </c>
      <c r="Y61" s="21" t="s">
        <v>81</v>
      </c>
      <c r="Z61" s="6" t="s">
        <v>81</v>
      </c>
      <c r="AA61" s="6" t="s">
        <v>81</v>
      </c>
      <c r="AB61" s="6" t="s">
        <v>81</v>
      </c>
      <c r="AC61" s="6" t="s">
        <v>10886</v>
      </c>
      <c r="AD61" s="16" t="n">
        <v>42780</v>
      </c>
      <c r="AE61" s="6" t="s">
        <v>14003</v>
      </c>
      <c r="AF61" s="6" t="s">
        <v>81</v>
      </c>
      <c r="AG61" s="6" t="s">
        <v>5592</v>
      </c>
      <c r="AH61" s="6" t="s">
        <v>14674</v>
      </c>
      <c r="AI61" s="6" t="s">
        <v>81</v>
      </c>
      <c r="AJ61" s="6" t="s">
        <v>17360</v>
      </c>
      <c r="AK61" s="6" t="s">
        <v>17794</v>
      </c>
      <c r="AL61" s="6" t="s">
        <v>18445</v>
      </c>
      <c r="AM61" s="6" t="s">
        <v>81</v>
      </c>
      <c r="AN61" s="6" t="s">
        <v>81</v>
      </c>
      <c r="AO61" s="6" t="s">
        <v>81</v>
      </c>
      <c r="AP61" s="6" t="s">
        <v>14674</v>
      </c>
      <c r="AQ61" s="6" t="s">
        <v>81</v>
      </c>
      <c r="AR61" s="6" t="s">
        <v>17360</v>
      </c>
      <c r="AS61" s="6" t="s">
        <v>81</v>
      </c>
      <c r="AT61" s="6" t="s">
        <v>18445</v>
      </c>
      <c r="AU61" s="6" t="s">
        <v>81</v>
      </c>
      <c r="AV61" s="6" t="s">
        <v>81</v>
      </c>
      <c r="AW61" s="6" t="s">
        <v>81</v>
      </c>
      <c r="AX61" s="6" t="s">
        <v>20784</v>
      </c>
      <c r="AY61" s="6" t="s">
        <v>22565</v>
      </c>
      <c r="AZ61" s="6" t="s">
        <v>81</v>
      </c>
      <c r="BA61" s="6" t="s">
        <v>23821</v>
      </c>
      <c r="BB61" s="24" t="n">
        <v>29543</v>
      </c>
      <c r="BC61" s="26"/>
      <c r="BD61" s="26"/>
      <c r="BE61" s="26"/>
      <c r="BF61" s="26"/>
      <c r="BG61" s="26"/>
      <c r="BH61" s="26"/>
      <c r="BI61" s="26"/>
      <c r="BJ61" s="26"/>
      <c r="BK61" s="26"/>
      <c r="BL61" s="26"/>
      <c r="BM61" s="26"/>
      <c r="BN61" s="26"/>
      <c r="BO61" s="26" t="s">
        <v>23900</v>
      </c>
      <c r="BP61" s="16" t="n">
        <v>45628</v>
      </c>
      <c r="BQ61" s="28" t="str">
        <f>HYPERLINK("https://organic.ams.usda.gov/Integrity/Certificate.aspx?cid=21&amp;nopid=1780848667")</f>
        <v>https://organic.ams.usda.gov/Integrity/Certificate.aspx?cid=21&amp;nopid=1780848667</v>
      </c>
    </row>
    <row r="62">
      <c r="A62" t="s">
        <v>3</v>
      </c>
      <c r="B62" s="6" t="s">
        <v>20</v>
      </c>
      <c r="C62" s="6" t="s">
        <v>67</v>
      </c>
      <c r="D62" s="6" t="s">
        <v>113</v>
      </c>
      <c r="E62" s="10" t="s">
        <v>203</v>
      </c>
      <c r="F62" s="6" t="s">
        <v>2942</v>
      </c>
      <c r="G62" s="6" t="s">
        <v>81</v>
      </c>
      <c r="H62" s="6" t="s">
        <v>5948</v>
      </c>
      <c r="I62" s="6" t="s">
        <v>8414</v>
      </c>
      <c r="J62" s="6" t="s">
        <v>9707</v>
      </c>
      <c r="K62" s="6" t="s">
        <v>10886</v>
      </c>
      <c r="L62" s="16" t="n">
        <v>37670</v>
      </c>
      <c r="M62" s="16" t="n">
        <v>45776</v>
      </c>
      <c r="N62" s="6" t="s">
        <v>81</v>
      </c>
      <c r="O62" s="21" t="s">
        <v>81</v>
      </c>
      <c r="P62" s="6" t="s">
        <v>81</v>
      </c>
      <c r="Q62" s="6" t="s">
        <v>81</v>
      </c>
      <c r="R62" s="6" t="s">
        <v>81</v>
      </c>
      <c r="S62" s="6" t="s">
        <v>81</v>
      </c>
      <c r="T62" s="21" t="s">
        <v>81</v>
      </c>
      <c r="U62" s="6" t="s">
        <v>81</v>
      </c>
      <c r="V62" s="6" t="s">
        <v>81</v>
      </c>
      <c r="W62" s="6" t="s">
        <v>81</v>
      </c>
      <c r="X62" s="6" t="s">
        <v>81</v>
      </c>
      <c r="Y62" s="21" t="s">
        <v>81</v>
      </c>
      <c r="Z62" s="6" t="s">
        <v>81</v>
      </c>
      <c r="AA62" s="6" t="s">
        <v>81</v>
      </c>
      <c r="AB62" s="6" t="s">
        <v>81</v>
      </c>
      <c r="AC62" s="6" t="s">
        <v>10886</v>
      </c>
      <c r="AD62" s="16" t="n">
        <v>37670</v>
      </c>
      <c r="AE62" s="6" t="s">
        <v>14004</v>
      </c>
      <c r="AF62" s="6" t="s">
        <v>81</v>
      </c>
      <c r="AG62" s="6" t="s">
        <v>14509</v>
      </c>
      <c r="AH62" s="6" t="s">
        <v>14675</v>
      </c>
      <c r="AI62" s="6" t="s">
        <v>81</v>
      </c>
      <c r="AJ62" s="6" t="s">
        <v>17361</v>
      </c>
      <c r="AK62" s="6" t="s">
        <v>18381</v>
      </c>
      <c r="AL62" s="6" t="s">
        <v>18444</v>
      </c>
      <c r="AM62" s="6" t="s">
        <v>18514</v>
      </c>
      <c r="AN62" s="6" t="s">
        <v>19656</v>
      </c>
      <c r="AO62" s="6" t="s">
        <v>19750</v>
      </c>
      <c r="AP62" s="6" t="s">
        <v>14675</v>
      </c>
      <c r="AQ62" s="6" t="s">
        <v>81</v>
      </c>
      <c r="AR62" s="6" t="s">
        <v>17361</v>
      </c>
      <c r="AS62" s="6" t="s">
        <v>18381</v>
      </c>
      <c r="AT62" s="6" t="s">
        <v>18444</v>
      </c>
      <c r="AU62" s="6" t="s">
        <v>18514</v>
      </c>
      <c r="AV62" s="6" t="s">
        <v>81</v>
      </c>
      <c r="AW62" s="6" t="s">
        <v>81</v>
      </c>
      <c r="AX62" s="6" t="s">
        <v>20785</v>
      </c>
      <c r="AY62" s="6" t="s">
        <v>22566</v>
      </c>
      <c r="AZ62" s="6" t="s">
        <v>81</v>
      </c>
      <c r="BA62" s="6" t="s">
        <v>81</v>
      </c>
      <c r="BB62" s="6" t="s">
        <v>81</v>
      </c>
      <c r="BC62" s="26"/>
      <c r="BD62" s="26"/>
      <c r="BE62" s="26" t="s">
        <v>23900</v>
      </c>
      <c r="BF62" s="26"/>
      <c r="BG62" s="26"/>
      <c r="BH62" s="26"/>
      <c r="BI62" s="26"/>
      <c r="BJ62" s="26"/>
      <c r="BK62" s="26"/>
      <c r="BL62" s="26"/>
      <c r="BM62" s="26"/>
      <c r="BN62" s="26"/>
      <c r="BO62" s="26"/>
      <c r="BP62" s="16" t="n">
        <v>45737</v>
      </c>
      <c r="BQ62" s="28" t="str">
        <f>HYPERLINK("https://organic.ams.usda.gov/Integrity/Certificate.aspx?cid=71&amp;nopid=5520030126")</f>
        <v>https://organic.ams.usda.gov/Integrity/Certificate.aspx?cid=71&amp;nopid=5520030126</v>
      </c>
    </row>
    <row r="63">
      <c r="A63" t="s">
        <v>3</v>
      </c>
      <c r="B63" s="6" t="s">
        <v>22</v>
      </c>
      <c r="C63" s="6" t="s">
        <v>69</v>
      </c>
      <c r="D63" s="6" t="s">
        <v>115</v>
      </c>
      <c r="E63" s="10" t="s">
        <v>204</v>
      </c>
      <c r="F63" s="6" t="s">
        <v>2943</v>
      </c>
      <c r="G63" s="6" t="s">
        <v>5593</v>
      </c>
      <c r="H63" s="6" t="s">
        <v>5593</v>
      </c>
      <c r="I63" s="6" t="s">
        <v>8415</v>
      </c>
      <c r="J63" s="6" t="s">
        <v>9708</v>
      </c>
      <c r="K63" s="6" t="s">
        <v>10886</v>
      </c>
      <c r="L63" s="16" t="n">
        <v>42779</v>
      </c>
      <c r="M63" s="16" t="n">
        <v>45976</v>
      </c>
      <c r="N63" s="6" t="s">
        <v>10886</v>
      </c>
      <c r="O63" s="16" t="n">
        <v>42779</v>
      </c>
      <c r="P63" s="6" t="s">
        <v>10943</v>
      </c>
      <c r="Q63" s="6" t="s">
        <v>81</v>
      </c>
      <c r="R63" s="6" t="s">
        <v>5593</v>
      </c>
      <c r="S63" s="6" t="s">
        <v>81</v>
      </c>
      <c r="T63" s="21" t="s">
        <v>81</v>
      </c>
      <c r="U63" s="6" t="s">
        <v>81</v>
      </c>
      <c r="V63" s="6" t="s">
        <v>81</v>
      </c>
      <c r="W63" s="6" t="s">
        <v>81</v>
      </c>
      <c r="X63" s="6" t="s">
        <v>81</v>
      </c>
      <c r="Y63" s="21" t="s">
        <v>81</v>
      </c>
      <c r="Z63" s="6" t="s">
        <v>81</v>
      </c>
      <c r="AA63" s="6" t="s">
        <v>81</v>
      </c>
      <c r="AB63" s="6" t="s">
        <v>81</v>
      </c>
      <c r="AC63" s="6" t="s">
        <v>10886</v>
      </c>
      <c r="AD63" s="16" t="n">
        <v>42779</v>
      </c>
      <c r="AE63" s="6" t="s">
        <v>14005</v>
      </c>
      <c r="AF63" s="6" t="s">
        <v>81</v>
      </c>
      <c r="AG63" s="6" t="s">
        <v>5593</v>
      </c>
      <c r="AH63" s="6" t="s">
        <v>14676</v>
      </c>
      <c r="AI63" s="6" t="s">
        <v>81</v>
      </c>
      <c r="AJ63" s="6" t="s">
        <v>17362</v>
      </c>
      <c r="AK63" s="6" t="s">
        <v>81</v>
      </c>
      <c r="AL63" s="6" t="s">
        <v>18445</v>
      </c>
      <c r="AM63" s="6" t="s">
        <v>81</v>
      </c>
      <c r="AN63" s="6" t="s">
        <v>81</v>
      </c>
      <c r="AO63" s="6" t="s">
        <v>81</v>
      </c>
      <c r="AP63" s="6" t="s">
        <v>14676</v>
      </c>
      <c r="AQ63" s="6" t="s">
        <v>81</v>
      </c>
      <c r="AR63" s="6" t="s">
        <v>17362</v>
      </c>
      <c r="AS63" s="6" t="s">
        <v>81</v>
      </c>
      <c r="AT63" s="6" t="s">
        <v>18445</v>
      </c>
      <c r="AU63" s="6" t="s">
        <v>81</v>
      </c>
      <c r="AV63" s="6" t="s">
        <v>81</v>
      </c>
      <c r="AW63" s="6" t="s">
        <v>81</v>
      </c>
      <c r="AX63" s="6" t="s">
        <v>20786</v>
      </c>
      <c r="AY63" s="6" t="s">
        <v>22567</v>
      </c>
      <c r="AZ63" s="6" t="s">
        <v>81</v>
      </c>
      <c r="BA63" s="6" t="s">
        <v>81</v>
      </c>
      <c r="BB63" s="24" t="n">
        <v>544</v>
      </c>
      <c r="BC63" s="26"/>
      <c r="BD63" s="26"/>
      <c r="BE63" s="26"/>
      <c r="BF63" s="26"/>
      <c r="BG63" s="26"/>
      <c r="BH63" s="26"/>
      <c r="BI63" s="26"/>
      <c r="BJ63" s="26"/>
      <c r="BK63" s="26"/>
      <c r="BL63" s="26"/>
      <c r="BM63" s="26"/>
      <c r="BN63" s="26"/>
      <c r="BO63" s="26"/>
      <c r="BP63" s="16" t="n">
        <v>45739</v>
      </c>
      <c r="BQ63" s="28" t="str">
        <f>HYPERLINK("https://organic.ams.usda.gov/Integrity/Certificate.aspx?cid=21&amp;nopid=1780848691")</f>
        <v>https://organic.ams.usda.gov/Integrity/Certificate.aspx?cid=21&amp;nopid=1780848691</v>
      </c>
    </row>
    <row r="64">
      <c r="A64" t="s">
        <v>3</v>
      </c>
      <c r="B64" s="6" t="s">
        <v>21</v>
      </c>
      <c r="C64" s="6" t="s">
        <v>68</v>
      </c>
      <c r="D64" s="6" t="s">
        <v>114</v>
      </c>
      <c r="E64" s="10" t="s">
        <v>205</v>
      </c>
      <c r="F64" s="6" t="s">
        <v>2944</v>
      </c>
      <c r="G64" s="6" t="s">
        <v>81</v>
      </c>
      <c r="H64" s="6" t="s">
        <v>5949</v>
      </c>
      <c r="I64" s="6" t="s">
        <v>8416</v>
      </c>
      <c r="J64" s="6" t="s">
        <v>9709</v>
      </c>
      <c r="K64" s="6" t="s">
        <v>10886</v>
      </c>
      <c r="L64" s="16" t="n">
        <v>44299</v>
      </c>
      <c r="M64" s="16" t="n">
        <v>46023</v>
      </c>
      <c r="N64" s="6" t="s">
        <v>81</v>
      </c>
      <c r="O64" s="21" t="s">
        <v>81</v>
      </c>
      <c r="P64" s="6" t="s">
        <v>81</v>
      </c>
      <c r="Q64" s="6" t="s">
        <v>81</v>
      </c>
      <c r="R64" s="6" t="s">
        <v>81</v>
      </c>
      <c r="S64" s="6" t="s">
        <v>81</v>
      </c>
      <c r="T64" s="21" t="s">
        <v>81</v>
      </c>
      <c r="U64" s="6" t="s">
        <v>81</v>
      </c>
      <c r="V64" s="6" t="s">
        <v>81</v>
      </c>
      <c r="W64" s="6" t="s">
        <v>81</v>
      </c>
      <c r="X64" s="6" t="s">
        <v>81</v>
      </c>
      <c r="Y64" s="21" t="s">
        <v>81</v>
      </c>
      <c r="Z64" s="6" t="s">
        <v>81</v>
      </c>
      <c r="AA64" s="6" t="s">
        <v>81</v>
      </c>
      <c r="AB64" s="6" t="s">
        <v>81</v>
      </c>
      <c r="AC64" s="6" t="s">
        <v>10886</v>
      </c>
      <c r="AD64" s="16" t="n">
        <v>44299</v>
      </c>
      <c r="AE64" s="6" t="s">
        <v>14006</v>
      </c>
      <c r="AF64" s="6" t="s">
        <v>81</v>
      </c>
      <c r="AG64" s="6" t="s">
        <v>81</v>
      </c>
      <c r="AH64" s="6" t="s">
        <v>81</v>
      </c>
      <c r="AI64" s="6" t="s">
        <v>81</v>
      </c>
      <c r="AJ64" s="6" t="s">
        <v>81</v>
      </c>
      <c r="AK64" s="6" t="s">
        <v>81</v>
      </c>
      <c r="AL64" s="6" t="s">
        <v>81</v>
      </c>
      <c r="AM64" s="6" t="s">
        <v>81</v>
      </c>
      <c r="AN64" s="6" t="s">
        <v>81</v>
      </c>
      <c r="AO64" s="6" t="s">
        <v>81</v>
      </c>
      <c r="AP64" s="6" t="s">
        <v>20088</v>
      </c>
      <c r="AQ64" s="6" t="s">
        <v>81</v>
      </c>
      <c r="AR64" s="6" t="s">
        <v>18097</v>
      </c>
      <c r="AS64" s="6" t="s">
        <v>18377</v>
      </c>
      <c r="AT64" s="6" t="s">
        <v>18444</v>
      </c>
      <c r="AU64" s="6" t="s">
        <v>20595</v>
      </c>
      <c r="AV64" s="6" t="s">
        <v>19696</v>
      </c>
      <c r="AW64" s="6" t="s">
        <v>19907</v>
      </c>
      <c r="AX64" s="6" t="s">
        <v>20787</v>
      </c>
      <c r="AY64" s="6" t="s">
        <v>22568</v>
      </c>
      <c r="AZ64" s="6" t="s">
        <v>81</v>
      </c>
      <c r="BA64" s="6" t="s">
        <v>81</v>
      </c>
      <c r="BB64" s="6" t="s">
        <v>81</v>
      </c>
      <c r="BC64" s="26"/>
      <c r="BD64" s="26"/>
      <c r="BE64" s="26" t="s">
        <v>23900</v>
      </c>
      <c r="BF64" s="26"/>
      <c r="BG64" s="26"/>
      <c r="BH64" s="26"/>
      <c r="BI64" s="26"/>
      <c r="BJ64" s="26"/>
      <c r="BK64" s="26"/>
      <c r="BL64" s="26"/>
      <c r="BM64" s="26"/>
      <c r="BN64" s="26"/>
      <c r="BO64" s="26"/>
      <c r="BP64" s="16" t="n">
        <v>45638</v>
      </c>
      <c r="BQ64" s="28" t="str">
        <f>HYPERLINK("https://organic.ams.usda.gov/Integrity/Certificate.aspx?cid=62&amp;nopid=8150016058")</f>
        <v>https://organic.ams.usda.gov/Integrity/Certificate.aspx?cid=62&amp;nopid=8150016058</v>
      </c>
    </row>
    <row r="65">
      <c r="A65" t="s">
        <v>3</v>
      </c>
      <c r="B65" s="6" t="s">
        <v>7</v>
      </c>
      <c r="C65" s="6" t="s">
        <v>54</v>
      </c>
      <c r="D65" s="6" t="s">
        <v>100</v>
      </c>
      <c r="E65" s="10" t="s">
        <v>206</v>
      </c>
      <c r="F65" s="6" t="s">
        <v>2945</v>
      </c>
      <c r="G65" s="6" t="s">
        <v>81</v>
      </c>
      <c r="H65" s="6" t="s">
        <v>5950</v>
      </c>
      <c r="I65" s="6" t="s">
        <v>8417</v>
      </c>
      <c r="J65" s="6" t="s">
        <v>9710</v>
      </c>
      <c r="K65" s="6" t="s">
        <v>10886</v>
      </c>
      <c r="L65" s="16" t="n">
        <v>42704</v>
      </c>
      <c r="M65" s="16" t="n">
        <v>45716</v>
      </c>
      <c r="N65" s="6" t="s">
        <v>10886</v>
      </c>
      <c r="O65" s="16" t="n">
        <v>42704</v>
      </c>
      <c r="P65" s="6" t="s">
        <v>10944</v>
      </c>
      <c r="Q65" s="6" t="s">
        <v>81</v>
      </c>
      <c r="R65" s="6" t="s">
        <v>81</v>
      </c>
      <c r="S65" s="6" t="s">
        <v>10886</v>
      </c>
      <c r="T65" s="16" t="n">
        <v>42997</v>
      </c>
      <c r="U65" s="6" t="s">
        <v>13160</v>
      </c>
      <c r="V65" s="6" t="s">
        <v>81</v>
      </c>
      <c r="W65" s="6" t="s">
        <v>81</v>
      </c>
      <c r="X65" s="6" t="s">
        <v>81</v>
      </c>
      <c r="Y65" s="21" t="s">
        <v>81</v>
      </c>
      <c r="Z65" s="6" t="s">
        <v>81</v>
      </c>
      <c r="AA65" s="6" t="s">
        <v>81</v>
      </c>
      <c r="AB65" s="6" t="s">
        <v>81</v>
      </c>
      <c r="AC65" s="6" t="s">
        <v>81</v>
      </c>
      <c r="AD65" s="21" t="s">
        <v>81</v>
      </c>
      <c r="AE65" s="6" t="s">
        <v>81</v>
      </c>
      <c r="AF65" s="6" t="s">
        <v>81</v>
      </c>
      <c r="AG65" s="6" t="s">
        <v>81</v>
      </c>
      <c r="AH65" s="6" t="s">
        <v>14677</v>
      </c>
      <c r="AI65" s="6" t="s">
        <v>81</v>
      </c>
      <c r="AJ65" s="6" t="s">
        <v>17363</v>
      </c>
      <c r="AK65" s="6" t="s">
        <v>17712</v>
      </c>
      <c r="AL65" s="6" t="s">
        <v>18444</v>
      </c>
      <c r="AM65" s="6" t="s">
        <v>18515</v>
      </c>
      <c r="AN65" s="6" t="s">
        <v>19657</v>
      </c>
      <c r="AO65" s="6" t="s">
        <v>19751</v>
      </c>
      <c r="AP65" s="6" t="s">
        <v>20089</v>
      </c>
      <c r="AQ65" s="6" t="s">
        <v>81</v>
      </c>
      <c r="AR65" s="6" t="s">
        <v>17363</v>
      </c>
      <c r="AS65" s="6" t="s">
        <v>17712</v>
      </c>
      <c r="AT65" s="6" t="s">
        <v>18444</v>
      </c>
      <c r="AU65" s="6" t="s">
        <v>18515</v>
      </c>
      <c r="AV65" s="6" t="s">
        <v>81</v>
      </c>
      <c r="AW65" s="6" t="s">
        <v>81</v>
      </c>
      <c r="AX65" s="6" t="s">
        <v>20788</v>
      </c>
      <c r="AY65" s="6" t="s">
        <v>81</v>
      </c>
      <c r="AZ65" s="6" t="s">
        <v>81</v>
      </c>
      <c r="BA65" s="6" t="s">
        <v>81</v>
      </c>
      <c r="BB65" s="24" t="n">
        <v>728</v>
      </c>
      <c r="BC65" s="26"/>
      <c r="BD65" s="26"/>
      <c r="BE65" s="26"/>
      <c r="BF65" s="26" t="s">
        <v>23900</v>
      </c>
      <c r="BG65" s="26"/>
      <c r="BH65" s="26"/>
      <c r="BI65" s="26"/>
      <c r="BJ65" s="26"/>
      <c r="BK65" s="26"/>
      <c r="BL65" s="26"/>
      <c r="BM65" s="26"/>
      <c r="BN65" s="26"/>
      <c r="BO65" s="26"/>
      <c r="BP65" s="16" t="n">
        <v>45595</v>
      </c>
      <c r="BQ65" s="28" t="str">
        <f>HYPERLINK("https://organic.ams.usda.gov/Integrity/Certificate.aspx?cid=57&amp;nopid=3252016188")</f>
        <v>https://organic.ams.usda.gov/Integrity/Certificate.aspx?cid=57&amp;nopid=3252016188</v>
      </c>
    </row>
    <row r="66">
      <c r="A66" t="s">
        <v>3</v>
      </c>
      <c r="B66" s="6" t="s">
        <v>8</v>
      </c>
      <c r="C66" s="6" t="s">
        <v>55</v>
      </c>
      <c r="D66" s="6" t="s">
        <v>101</v>
      </c>
      <c r="E66" s="10" t="s">
        <v>207</v>
      </c>
      <c r="F66" s="6" t="s">
        <v>2946</v>
      </c>
      <c r="G66" s="6" t="s">
        <v>5594</v>
      </c>
      <c r="H66" s="6" t="s">
        <v>5951</v>
      </c>
      <c r="I66" s="6" t="s">
        <v>8418</v>
      </c>
      <c r="J66" s="6" t="s">
        <v>9711</v>
      </c>
      <c r="K66" s="6" t="s">
        <v>10886</v>
      </c>
      <c r="L66" s="16" t="n">
        <v>38208</v>
      </c>
      <c r="M66" s="16" t="n">
        <v>45748</v>
      </c>
      <c r="N66" s="6" t="s">
        <v>10886</v>
      </c>
      <c r="O66" s="16" t="n">
        <v>38208</v>
      </c>
      <c r="P66" s="6" t="s">
        <v>10945</v>
      </c>
      <c r="Q66" s="6" t="s">
        <v>81</v>
      </c>
      <c r="R66" s="6" t="s">
        <v>5951</v>
      </c>
      <c r="S66" s="6" t="s">
        <v>10886</v>
      </c>
      <c r="T66" s="16" t="n">
        <v>38208</v>
      </c>
      <c r="U66" s="6" t="s">
        <v>13191</v>
      </c>
      <c r="V66" s="6" t="s">
        <v>81</v>
      </c>
      <c r="W66" s="6" t="s">
        <v>5951</v>
      </c>
      <c r="X66" s="6" t="s">
        <v>81</v>
      </c>
      <c r="Y66" s="21" t="s">
        <v>81</v>
      </c>
      <c r="Z66" s="6" t="s">
        <v>81</v>
      </c>
      <c r="AA66" s="6" t="s">
        <v>81</v>
      </c>
      <c r="AB66" s="6" t="s">
        <v>81</v>
      </c>
      <c r="AC66" s="6" t="s">
        <v>81</v>
      </c>
      <c r="AD66" s="21" t="s">
        <v>81</v>
      </c>
      <c r="AE66" s="6" t="s">
        <v>81</v>
      </c>
      <c r="AF66" s="6" t="s">
        <v>81</v>
      </c>
      <c r="AG66" s="6" t="s">
        <v>81</v>
      </c>
      <c r="AH66" s="6" t="s">
        <v>14678</v>
      </c>
      <c r="AI66" s="6" t="s">
        <v>81</v>
      </c>
      <c r="AJ66" s="6" t="s">
        <v>17364</v>
      </c>
      <c r="AK66" s="6" t="s">
        <v>18381</v>
      </c>
      <c r="AL66" s="6" t="s">
        <v>18444</v>
      </c>
      <c r="AM66" s="6" t="s">
        <v>18516</v>
      </c>
      <c r="AN66" s="6" t="s">
        <v>19658</v>
      </c>
      <c r="AO66" s="6" t="s">
        <v>19752</v>
      </c>
      <c r="AP66" s="6" t="s">
        <v>81</v>
      </c>
      <c r="AQ66" s="6" t="s">
        <v>81</v>
      </c>
      <c r="AR66" s="6" t="s">
        <v>81</v>
      </c>
      <c r="AS66" s="6" t="s">
        <v>81</v>
      </c>
      <c r="AT66" s="6" t="s">
        <v>81</v>
      </c>
      <c r="AU66" s="6" t="s">
        <v>81</v>
      </c>
      <c r="AV66" s="6" t="s">
        <v>81</v>
      </c>
      <c r="AW66" s="6" t="s">
        <v>81</v>
      </c>
      <c r="AX66" s="6" t="s">
        <v>81</v>
      </c>
      <c r="AY66" s="6" t="s">
        <v>22569</v>
      </c>
      <c r="AZ66" s="6" t="s">
        <v>81</v>
      </c>
      <c r="BA66" s="6" t="s">
        <v>23819</v>
      </c>
      <c r="BB66" s="24" t="n">
        <v>458</v>
      </c>
      <c r="BC66" s="26"/>
      <c r="BD66" s="26"/>
      <c r="BE66" s="26"/>
      <c r="BF66" s="26" t="s">
        <v>23900</v>
      </c>
      <c r="BG66" s="26"/>
      <c r="BH66" s="26"/>
      <c r="BI66" s="26"/>
      <c r="BJ66" s="26"/>
      <c r="BK66" s="26"/>
      <c r="BL66" s="26"/>
      <c r="BM66" s="26"/>
      <c r="BN66" s="26"/>
      <c r="BO66" s="26"/>
      <c r="BP66" s="16" t="n">
        <v>45489</v>
      </c>
      <c r="BQ66" s="28" t="str">
        <f>HYPERLINK("https://organic.ams.usda.gov/Integrity/Certificate.aspx?cid=45&amp;nopid=9950001183")</f>
        <v>https://organic.ams.usda.gov/Integrity/Certificate.aspx?cid=45&amp;nopid=9950001183</v>
      </c>
    </row>
    <row r="67">
      <c r="A67" t="s">
        <v>3</v>
      </c>
      <c r="B67" s="6" t="s">
        <v>11</v>
      </c>
      <c r="C67" s="6" t="s">
        <v>58</v>
      </c>
      <c r="D67" s="6" t="s">
        <v>104</v>
      </c>
      <c r="E67" s="10" t="s">
        <v>208</v>
      </c>
      <c r="F67" s="6" t="s">
        <v>2947</v>
      </c>
      <c r="G67" s="6" t="s">
        <v>5595</v>
      </c>
      <c r="H67" s="6" t="s">
        <v>81</v>
      </c>
      <c r="I67" s="6" t="s">
        <v>8419</v>
      </c>
      <c r="J67" s="6" t="s">
        <v>9712</v>
      </c>
      <c r="K67" s="6" t="s">
        <v>10886</v>
      </c>
      <c r="L67" s="16" t="n">
        <v>37694</v>
      </c>
      <c r="M67" s="16" t="n">
        <v>46037</v>
      </c>
      <c r="N67" s="6" t="s">
        <v>81</v>
      </c>
      <c r="O67" s="21" t="s">
        <v>81</v>
      </c>
      <c r="P67" s="6" t="s">
        <v>81</v>
      </c>
      <c r="Q67" s="6" t="s">
        <v>81</v>
      </c>
      <c r="R67" s="6" t="s">
        <v>81</v>
      </c>
      <c r="S67" s="6" t="s">
        <v>81</v>
      </c>
      <c r="T67" s="21" t="s">
        <v>81</v>
      </c>
      <c r="U67" s="6" t="s">
        <v>81</v>
      </c>
      <c r="V67" s="6" t="s">
        <v>81</v>
      </c>
      <c r="W67" s="6" t="s">
        <v>81</v>
      </c>
      <c r="X67" s="6" t="s">
        <v>81</v>
      </c>
      <c r="Y67" s="21" t="s">
        <v>81</v>
      </c>
      <c r="Z67" s="6" t="s">
        <v>81</v>
      </c>
      <c r="AA67" s="6" t="s">
        <v>81</v>
      </c>
      <c r="AB67" s="6" t="s">
        <v>81</v>
      </c>
      <c r="AC67" s="6" t="s">
        <v>10886</v>
      </c>
      <c r="AD67" s="16" t="n">
        <v>37694</v>
      </c>
      <c r="AE67" s="6" t="s">
        <v>14007</v>
      </c>
      <c r="AF67" s="6" t="s">
        <v>81</v>
      </c>
      <c r="AG67" s="6" t="s">
        <v>81</v>
      </c>
      <c r="AH67" s="6" t="s">
        <v>14679</v>
      </c>
      <c r="AI67" s="6" t="s">
        <v>81</v>
      </c>
      <c r="AJ67" s="6" t="s">
        <v>17365</v>
      </c>
      <c r="AK67" s="6" t="s">
        <v>18381</v>
      </c>
      <c r="AL67" s="6" t="s">
        <v>18444</v>
      </c>
      <c r="AM67" s="6" t="s">
        <v>18517</v>
      </c>
      <c r="AN67" s="6" t="s">
        <v>19659</v>
      </c>
      <c r="AO67" s="6" t="s">
        <v>19753</v>
      </c>
      <c r="AP67" s="6" t="s">
        <v>20090</v>
      </c>
      <c r="AQ67" s="6" t="s">
        <v>81</v>
      </c>
      <c r="AR67" s="6" t="s">
        <v>17365</v>
      </c>
      <c r="AS67" s="6" t="s">
        <v>18381</v>
      </c>
      <c r="AT67" s="6" t="s">
        <v>18444</v>
      </c>
      <c r="AU67" s="6" t="s">
        <v>18517</v>
      </c>
      <c r="AV67" s="6" t="s">
        <v>81</v>
      </c>
      <c r="AW67" s="6" t="s">
        <v>81</v>
      </c>
      <c r="AX67" s="6" t="s">
        <v>20789</v>
      </c>
      <c r="AY67" s="6" t="s">
        <v>22570</v>
      </c>
      <c r="AZ67" s="6" t="s">
        <v>23578</v>
      </c>
      <c r="BA67" s="6" t="s">
        <v>23822</v>
      </c>
      <c r="BB67" s="6" t="s">
        <v>81</v>
      </c>
      <c r="BC67" s="26"/>
      <c r="BD67" s="26"/>
      <c r="BE67" s="26"/>
      <c r="BF67" s="26"/>
      <c r="BG67" s="26"/>
      <c r="BH67" s="26"/>
      <c r="BI67" s="26"/>
      <c r="BJ67" s="26"/>
      <c r="BK67" s="26"/>
      <c r="BL67" s="26"/>
      <c r="BM67" s="26"/>
      <c r="BN67" s="26"/>
      <c r="BO67" s="26"/>
      <c r="BP67" s="16" t="n">
        <v>45736</v>
      </c>
      <c r="BQ67" s="28" t="str">
        <f>HYPERLINK("https://organic.ams.usda.gov/Integrity/Certificate.aspx?cid=46&amp;nopid=3670300004")</f>
        <v>https://organic.ams.usda.gov/Integrity/Certificate.aspx?cid=46&amp;nopid=3670300004</v>
      </c>
    </row>
    <row r="68">
      <c r="A68" t="s">
        <v>3</v>
      </c>
      <c r="B68" s="6" t="s">
        <v>9</v>
      </c>
      <c r="C68" s="6" t="s">
        <v>56</v>
      </c>
      <c r="D68" s="6" t="s">
        <v>102</v>
      </c>
      <c r="E68" s="10" t="s">
        <v>209</v>
      </c>
      <c r="F68" s="6" t="s">
        <v>2948</v>
      </c>
      <c r="G68" s="6" t="s">
        <v>81</v>
      </c>
      <c r="H68" s="6" t="s">
        <v>5952</v>
      </c>
      <c r="I68" s="6" t="s">
        <v>8420</v>
      </c>
      <c r="J68" s="6" t="s">
        <v>9669</v>
      </c>
      <c r="K68" s="6" t="s">
        <v>10886</v>
      </c>
      <c r="L68" s="16" t="n">
        <v>45653</v>
      </c>
      <c r="M68" s="16" t="n">
        <v>45748</v>
      </c>
      <c r="N68" s="6" t="s">
        <v>10886</v>
      </c>
      <c r="O68" s="16" t="n">
        <v>45653</v>
      </c>
      <c r="P68" s="6" t="s">
        <v>10946</v>
      </c>
      <c r="Q68" s="6" t="s">
        <v>81</v>
      </c>
      <c r="R68" s="6" t="s">
        <v>12445</v>
      </c>
      <c r="S68" s="6" t="s">
        <v>10886</v>
      </c>
      <c r="T68" s="16" t="n">
        <v>45653</v>
      </c>
      <c r="U68" s="6" t="s">
        <v>13192</v>
      </c>
      <c r="V68" s="6" t="s">
        <v>81</v>
      </c>
      <c r="W68" s="6" t="s">
        <v>12445</v>
      </c>
      <c r="X68" s="6" t="s">
        <v>81</v>
      </c>
      <c r="Y68" s="21" t="s">
        <v>81</v>
      </c>
      <c r="Z68" s="6" t="s">
        <v>81</v>
      </c>
      <c r="AA68" s="6" t="s">
        <v>81</v>
      </c>
      <c r="AB68" s="6" t="s">
        <v>81</v>
      </c>
      <c r="AC68" s="6" t="s">
        <v>81</v>
      </c>
      <c r="AD68" s="21" t="s">
        <v>81</v>
      </c>
      <c r="AE68" s="6" t="s">
        <v>81</v>
      </c>
      <c r="AF68" s="6" t="s">
        <v>81</v>
      </c>
      <c r="AG68" s="6" t="s">
        <v>81</v>
      </c>
      <c r="AH68" s="6" t="s">
        <v>14680</v>
      </c>
      <c r="AI68" s="6" t="s">
        <v>81</v>
      </c>
      <c r="AJ68" s="6" t="s">
        <v>17366</v>
      </c>
      <c r="AK68" s="6" t="s">
        <v>18381</v>
      </c>
      <c r="AL68" s="6" t="s">
        <v>18444</v>
      </c>
      <c r="AM68" s="6" t="s">
        <v>18518</v>
      </c>
      <c r="AN68" s="6" t="s">
        <v>81</v>
      </c>
      <c r="AO68" s="6" t="s">
        <v>81</v>
      </c>
      <c r="AP68" s="6" t="s">
        <v>81</v>
      </c>
      <c r="AQ68" s="6" t="s">
        <v>81</v>
      </c>
      <c r="AR68" s="6" t="s">
        <v>81</v>
      </c>
      <c r="AS68" s="6" t="s">
        <v>81</v>
      </c>
      <c r="AT68" s="6" t="s">
        <v>81</v>
      </c>
      <c r="AU68" s="6" t="s">
        <v>81</v>
      </c>
      <c r="AV68" s="6" t="s">
        <v>81</v>
      </c>
      <c r="AW68" s="6" t="s">
        <v>81</v>
      </c>
      <c r="AX68" s="6" t="s">
        <v>81</v>
      </c>
      <c r="AY68" s="6" t="s">
        <v>81</v>
      </c>
      <c r="AZ68" s="6" t="s">
        <v>81</v>
      </c>
      <c r="BA68" s="6" t="s">
        <v>81</v>
      </c>
      <c r="BB68" s="24" t="n">
        <v>49</v>
      </c>
      <c r="BC68" s="26"/>
      <c r="BD68" s="26"/>
      <c r="BE68" s="26"/>
      <c r="BF68" s="26"/>
      <c r="BG68" s="26"/>
      <c r="BH68" s="26"/>
      <c r="BI68" s="26"/>
      <c r="BJ68" s="26"/>
      <c r="BK68" s="26"/>
      <c r="BL68" s="26"/>
      <c r="BM68" s="26"/>
      <c r="BN68" s="26"/>
      <c r="BO68" s="26"/>
      <c r="BP68" s="16" t="n">
        <v>45738</v>
      </c>
      <c r="BQ68" s="28" t="str">
        <f>HYPERLINK("https://organic.ams.usda.gov/Integrity/Certificate.aspx?cid=52&amp;nopid=8432402244")</f>
        <v>https://organic.ams.usda.gov/Integrity/Certificate.aspx?cid=52&amp;nopid=8432402244</v>
      </c>
    </row>
    <row r="69">
      <c r="A69" t="s">
        <v>3</v>
      </c>
      <c r="B69" s="6" t="s">
        <v>20</v>
      </c>
      <c r="C69" s="6" t="s">
        <v>67</v>
      </c>
      <c r="D69" s="6" t="s">
        <v>113</v>
      </c>
      <c r="E69" s="10" t="s">
        <v>210</v>
      </c>
      <c r="F69" s="6" t="s">
        <v>2949</v>
      </c>
      <c r="G69" s="6" t="s">
        <v>81</v>
      </c>
      <c r="H69" s="6" t="s">
        <v>5953</v>
      </c>
      <c r="I69" s="6" t="s">
        <v>8421</v>
      </c>
      <c r="J69" s="6" t="s">
        <v>9713</v>
      </c>
      <c r="K69" s="6" t="s">
        <v>10886</v>
      </c>
      <c r="L69" s="16" t="n">
        <v>38629</v>
      </c>
      <c r="M69" s="16" t="n">
        <v>45786</v>
      </c>
      <c r="N69" s="6" t="s">
        <v>81</v>
      </c>
      <c r="O69" s="21" t="s">
        <v>81</v>
      </c>
      <c r="P69" s="6" t="s">
        <v>81</v>
      </c>
      <c r="Q69" s="6" t="s">
        <v>81</v>
      </c>
      <c r="R69" s="6" t="s">
        <v>81</v>
      </c>
      <c r="S69" s="6" t="s">
        <v>81</v>
      </c>
      <c r="T69" s="21" t="s">
        <v>81</v>
      </c>
      <c r="U69" s="6" t="s">
        <v>81</v>
      </c>
      <c r="V69" s="6" t="s">
        <v>81</v>
      </c>
      <c r="W69" s="6" t="s">
        <v>81</v>
      </c>
      <c r="X69" s="6" t="s">
        <v>81</v>
      </c>
      <c r="Y69" s="21" t="s">
        <v>81</v>
      </c>
      <c r="Z69" s="6" t="s">
        <v>81</v>
      </c>
      <c r="AA69" s="6" t="s">
        <v>81</v>
      </c>
      <c r="AB69" s="6" t="s">
        <v>81</v>
      </c>
      <c r="AC69" s="6" t="s">
        <v>10886</v>
      </c>
      <c r="AD69" s="16" t="n">
        <v>38629</v>
      </c>
      <c r="AE69" s="6" t="s">
        <v>14008</v>
      </c>
      <c r="AF69" s="6" t="s">
        <v>81</v>
      </c>
      <c r="AG69" s="6" t="s">
        <v>14510</v>
      </c>
      <c r="AH69" s="6" t="s">
        <v>14681</v>
      </c>
      <c r="AI69" s="6" t="s">
        <v>81</v>
      </c>
      <c r="AJ69" s="6" t="s">
        <v>17367</v>
      </c>
      <c r="AK69" s="6" t="s">
        <v>18377</v>
      </c>
      <c r="AL69" s="6" t="s">
        <v>18444</v>
      </c>
      <c r="AM69" s="6" t="s">
        <v>18519</v>
      </c>
      <c r="AN69" s="6" t="s">
        <v>19650</v>
      </c>
      <c r="AO69" s="6" t="s">
        <v>19754</v>
      </c>
      <c r="AP69" s="6" t="s">
        <v>14681</v>
      </c>
      <c r="AQ69" s="6" t="s">
        <v>81</v>
      </c>
      <c r="AR69" s="6" t="s">
        <v>17367</v>
      </c>
      <c r="AS69" s="6" t="s">
        <v>18377</v>
      </c>
      <c r="AT69" s="6" t="s">
        <v>18444</v>
      </c>
      <c r="AU69" s="6" t="s">
        <v>18519</v>
      </c>
      <c r="AV69" s="6" t="s">
        <v>81</v>
      </c>
      <c r="AW69" s="6" t="s">
        <v>81</v>
      </c>
      <c r="AX69" s="6" t="s">
        <v>20782</v>
      </c>
      <c r="AY69" s="6" t="s">
        <v>22571</v>
      </c>
      <c r="AZ69" s="6" t="s">
        <v>81</v>
      </c>
      <c r="BA69" s="6" t="s">
        <v>81</v>
      </c>
      <c r="BB69" s="6" t="s">
        <v>81</v>
      </c>
      <c r="BC69" s="26"/>
      <c r="BD69" s="26"/>
      <c r="BE69" s="26"/>
      <c r="BF69" s="26"/>
      <c r="BG69" s="26" t="s">
        <v>23900</v>
      </c>
      <c r="BH69" s="26"/>
      <c r="BI69" s="26"/>
      <c r="BJ69" s="26"/>
      <c r="BK69" s="26"/>
      <c r="BL69" s="26"/>
      <c r="BM69" s="26"/>
      <c r="BN69" s="26"/>
      <c r="BO69" s="26"/>
      <c r="BP69" s="16" t="n">
        <v>45737</v>
      </c>
      <c r="BQ69" s="28" t="str">
        <f>HYPERLINK("https://organic.ams.usda.gov/Integrity/Certificate.aspx?cid=71&amp;nopid=5520031667")</f>
        <v>https://organic.ams.usda.gov/Integrity/Certificate.aspx?cid=71&amp;nopid=5520031667</v>
      </c>
    </row>
    <row r="70">
      <c r="A70" t="s">
        <v>3</v>
      </c>
      <c r="B70" s="6" t="s">
        <v>20</v>
      </c>
      <c r="C70" s="6" t="s">
        <v>67</v>
      </c>
      <c r="D70" s="6" t="s">
        <v>113</v>
      </c>
      <c r="E70" s="10" t="s">
        <v>211</v>
      </c>
      <c r="F70" s="6" t="s">
        <v>2950</v>
      </c>
      <c r="G70" s="6" t="s">
        <v>81</v>
      </c>
      <c r="H70" s="6" t="s">
        <v>5954</v>
      </c>
      <c r="I70" s="6" t="s">
        <v>8421</v>
      </c>
      <c r="J70" s="6" t="s">
        <v>9713</v>
      </c>
      <c r="K70" s="6" t="s">
        <v>10886</v>
      </c>
      <c r="L70" s="16" t="n">
        <v>40070</v>
      </c>
      <c r="M70" s="16" t="n">
        <v>45715</v>
      </c>
      <c r="N70" s="6" t="s">
        <v>81</v>
      </c>
      <c r="O70" s="21" t="s">
        <v>81</v>
      </c>
      <c r="P70" s="6" t="s">
        <v>81</v>
      </c>
      <c r="Q70" s="6" t="s">
        <v>81</v>
      </c>
      <c r="R70" s="6" t="s">
        <v>81</v>
      </c>
      <c r="S70" s="6" t="s">
        <v>81</v>
      </c>
      <c r="T70" s="21" t="s">
        <v>81</v>
      </c>
      <c r="U70" s="6" t="s">
        <v>81</v>
      </c>
      <c r="V70" s="6" t="s">
        <v>81</v>
      </c>
      <c r="W70" s="6" t="s">
        <v>81</v>
      </c>
      <c r="X70" s="6" t="s">
        <v>81</v>
      </c>
      <c r="Y70" s="21" t="s">
        <v>81</v>
      </c>
      <c r="Z70" s="6" t="s">
        <v>81</v>
      </c>
      <c r="AA70" s="6" t="s">
        <v>81</v>
      </c>
      <c r="AB70" s="6" t="s">
        <v>81</v>
      </c>
      <c r="AC70" s="6" t="s">
        <v>10886</v>
      </c>
      <c r="AD70" s="16" t="n">
        <v>40070</v>
      </c>
      <c r="AE70" s="6" t="s">
        <v>14009</v>
      </c>
      <c r="AF70" s="6" t="s">
        <v>81</v>
      </c>
      <c r="AG70" s="6" t="s">
        <v>14511</v>
      </c>
      <c r="AH70" s="6" t="s">
        <v>14682</v>
      </c>
      <c r="AI70" s="6" t="s">
        <v>81</v>
      </c>
      <c r="AJ70" s="6" t="s">
        <v>17368</v>
      </c>
      <c r="AK70" s="6" t="s">
        <v>18387</v>
      </c>
      <c r="AL70" s="6" t="s">
        <v>18444</v>
      </c>
      <c r="AM70" s="6" t="s">
        <v>18520</v>
      </c>
      <c r="AN70" s="6" t="s">
        <v>19651</v>
      </c>
      <c r="AO70" s="6" t="s">
        <v>19755</v>
      </c>
      <c r="AP70" s="6" t="s">
        <v>14682</v>
      </c>
      <c r="AQ70" s="6" t="s">
        <v>81</v>
      </c>
      <c r="AR70" s="6" t="s">
        <v>17368</v>
      </c>
      <c r="AS70" s="6" t="s">
        <v>18387</v>
      </c>
      <c r="AT70" s="6" t="s">
        <v>18444</v>
      </c>
      <c r="AU70" s="6" t="s">
        <v>18520</v>
      </c>
      <c r="AV70" s="6" t="s">
        <v>81</v>
      </c>
      <c r="AW70" s="6" t="s">
        <v>81</v>
      </c>
      <c r="AX70" s="6" t="s">
        <v>20782</v>
      </c>
      <c r="AY70" s="6" t="s">
        <v>22571</v>
      </c>
      <c r="AZ70" s="6" t="s">
        <v>81</v>
      </c>
      <c r="BA70" s="6" t="s">
        <v>81</v>
      </c>
      <c r="BB70" s="6" t="s">
        <v>81</v>
      </c>
      <c r="BC70" s="26"/>
      <c r="BD70" s="26"/>
      <c r="BE70" s="26"/>
      <c r="BF70" s="26"/>
      <c r="BG70" s="26" t="s">
        <v>23900</v>
      </c>
      <c r="BH70" s="26"/>
      <c r="BI70" s="26"/>
      <c r="BJ70" s="26"/>
      <c r="BK70" s="26"/>
      <c r="BL70" s="26"/>
      <c r="BM70" s="26"/>
      <c r="BN70" s="26"/>
      <c r="BO70" s="26"/>
      <c r="BP70" s="16" t="n">
        <v>45737</v>
      </c>
      <c r="BQ70" s="28" t="str">
        <f>HYPERLINK("https://organic.ams.usda.gov/Integrity/Certificate.aspx?cid=71&amp;nopid=5520039207")</f>
        <v>https://organic.ams.usda.gov/Integrity/Certificate.aspx?cid=71&amp;nopid=5520039207</v>
      </c>
    </row>
    <row r="71">
      <c r="A71" t="s">
        <v>3</v>
      </c>
      <c r="B71" s="6" t="s">
        <v>20</v>
      </c>
      <c r="C71" s="6" t="s">
        <v>67</v>
      </c>
      <c r="D71" s="6" t="s">
        <v>113</v>
      </c>
      <c r="E71" s="10" t="s">
        <v>212</v>
      </c>
      <c r="F71" s="6" t="s">
        <v>2951</v>
      </c>
      <c r="G71" s="6" t="s">
        <v>81</v>
      </c>
      <c r="H71" s="6" t="s">
        <v>5955</v>
      </c>
      <c r="I71" s="6" t="s">
        <v>8421</v>
      </c>
      <c r="J71" s="6" t="s">
        <v>9713</v>
      </c>
      <c r="K71" s="6" t="s">
        <v>10886</v>
      </c>
      <c r="L71" s="16" t="n">
        <v>38128</v>
      </c>
      <c r="M71" s="16" t="n">
        <v>46002</v>
      </c>
      <c r="N71" s="6" t="s">
        <v>81</v>
      </c>
      <c r="O71" s="21" t="s">
        <v>81</v>
      </c>
      <c r="P71" s="6" t="s">
        <v>81</v>
      </c>
      <c r="Q71" s="6" t="s">
        <v>81</v>
      </c>
      <c r="R71" s="6" t="s">
        <v>81</v>
      </c>
      <c r="S71" s="6" t="s">
        <v>81</v>
      </c>
      <c r="T71" s="21" t="s">
        <v>81</v>
      </c>
      <c r="U71" s="6" t="s">
        <v>81</v>
      </c>
      <c r="V71" s="6" t="s">
        <v>81</v>
      </c>
      <c r="W71" s="6" t="s">
        <v>81</v>
      </c>
      <c r="X71" s="6" t="s">
        <v>81</v>
      </c>
      <c r="Y71" s="21" t="s">
        <v>81</v>
      </c>
      <c r="Z71" s="6" t="s">
        <v>81</v>
      </c>
      <c r="AA71" s="6" t="s">
        <v>81</v>
      </c>
      <c r="AB71" s="6" t="s">
        <v>81</v>
      </c>
      <c r="AC71" s="6" t="s">
        <v>10886</v>
      </c>
      <c r="AD71" s="16" t="n">
        <v>38128</v>
      </c>
      <c r="AE71" s="6" t="s">
        <v>14010</v>
      </c>
      <c r="AF71" s="6" t="s">
        <v>81</v>
      </c>
      <c r="AG71" s="6" t="s">
        <v>14512</v>
      </c>
      <c r="AH71" s="6" t="s">
        <v>14683</v>
      </c>
      <c r="AI71" s="6" t="s">
        <v>81</v>
      </c>
      <c r="AJ71" s="6" t="s">
        <v>17369</v>
      </c>
      <c r="AK71" s="6" t="s">
        <v>18388</v>
      </c>
      <c r="AL71" s="6" t="s">
        <v>18444</v>
      </c>
      <c r="AM71" s="6" t="s">
        <v>18521</v>
      </c>
      <c r="AN71" s="6" t="s">
        <v>19636</v>
      </c>
      <c r="AO71" s="6" t="s">
        <v>19756</v>
      </c>
      <c r="AP71" s="6" t="s">
        <v>14683</v>
      </c>
      <c r="AQ71" s="6" t="s">
        <v>81</v>
      </c>
      <c r="AR71" s="6" t="s">
        <v>17369</v>
      </c>
      <c r="AS71" s="6" t="s">
        <v>18388</v>
      </c>
      <c r="AT71" s="6" t="s">
        <v>18444</v>
      </c>
      <c r="AU71" s="6" t="s">
        <v>18521</v>
      </c>
      <c r="AV71" s="6" t="s">
        <v>81</v>
      </c>
      <c r="AW71" s="6" t="s">
        <v>81</v>
      </c>
      <c r="AX71" s="6" t="s">
        <v>20782</v>
      </c>
      <c r="AY71" s="6" t="s">
        <v>22571</v>
      </c>
      <c r="AZ71" s="6" t="s">
        <v>81</v>
      </c>
      <c r="BA71" s="6" t="s">
        <v>81</v>
      </c>
      <c r="BB71" s="6" t="s">
        <v>81</v>
      </c>
      <c r="BC71" s="26"/>
      <c r="BD71" s="26"/>
      <c r="BE71" s="26"/>
      <c r="BF71" s="26"/>
      <c r="BG71" s="26" t="s">
        <v>23900</v>
      </c>
      <c r="BH71" s="26"/>
      <c r="BI71" s="26"/>
      <c r="BJ71" s="26"/>
      <c r="BK71" s="26"/>
      <c r="BL71" s="26"/>
      <c r="BM71" s="26"/>
      <c r="BN71" s="26"/>
      <c r="BO71" s="26"/>
      <c r="BP71" s="16" t="n">
        <v>45737</v>
      </c>
      <c r="BQ71" s="28" t="str">
        <f>HYPERLINK("https://organic.ams.usda.gov/Integrity/Certificate.aspx?cid=71&amp;nopid=5520030433")</f>
        <v>https://organic.ams.usda.gov/Integrity/Certificate.aspx?cid=71&amp;nopid=5520030433</v>
      </c>
    </row>
    <row r="72">
      <c r="A72" t="s">
        <v>3</v>
      </c>
      <c r="B72" s="6" t="s">
        <v>20</v>
      </c>
      <c r="C72" s="6" t="s">
        <v>67</v>
      </c>
      <c r="D72" s="6" t="s">
        <v>113</v>
      </c>
      <c r="E72" s="10" t="s">
        <v>213</v>
      </c>
      <c r="F72" s="6" t="s">
        <v>2952</v>
      </c>
      <c r="G72" s="6" t="s">
        <v>81</v>
      </c>
      <c r="H72" s="6" t="s">
        <v>5956</v>
      </c>
      <c r="I72" s="6" t="s">
        <v>8421</v>
      </c>
      <c r="J72" s="6" t="s">
        <v>9713</v>
      </c>
      <c r="K72" s="6" t="s">
        <v>10886</v>
      </c>
      <c r="L72" s="16" t="n">
        <v>38652</v>
      </c>
      <c r="M72" s="16" t="n">
        <v>45855</v>
      </c>
      <c r="N72" s="6" t="s">
        <v>81</v>
      </c>
      <c r="O72" s="21" t="s">
        <v>81</v>
      </c>
      <c r="P72" s="6" t="s">
        <v>81</v>
      </c>
      <c r="Q72" s="6" t="s">
        <v>81</v>
      </c>
      <c r="R72" s="6" t="s">
        <v>81</v>
      </c>
      <c r="S72" s="6" t="s">
        <v>81</v>
      </c>
      <c r="T72" s="21" t="s">
        <v>81</v>
      </c>
      <c r="U72" s="6" t="s">
        <v>81</v>
      </c>
      <c r="V72" s="6" t="s">
        <v>81</v>
      </c>
      <c r="W72" s="6" t="s">
        <v>81</v>
      </c>
      <c r="X72" s="6" t="s">
        <v>81</v>
      </c>
      <c r="Y72" s="21" t="s">
        <v>81</v>
      </c>
      <c r="Z72" s="6" t="s">
        <v>81</v>
      </c>
      <c r="AA72" s="6" t="s">
        <v>81</v>
      </c>
      <c r="AB72" s="6" t="s">
        <v>81</v>
      </c>
      <c r="AC72" s="6" t="s">
        <v>10886</v>
      </c>
      <c r="AD72" s="16" t="n">
        <v>38652</v>
      </c>
      <c r="AE72" s="6" t="s">
        <v>14011</v>
      </c>
      <c r="AF72" s="6" t="s">
        <v>81</v>
      </c>
      <c r="AG72" s="6" t="s">
        <v>14513</v>
      </c>
      <c r="AH72" s="6" t="s">
        <v>14684</v>
      </c>
      <c r="AI72" s="6" t="s">
        <v>81</v>
      </c>
      <c r="AJ72" s="6" t="s">
        <v>17370</v>
      </c>
      <c r="AK72" s="6" t="s">
        <v>18389</v>
      </c>
      <c r="AL72" s="6" t="s">
        <v>18444</v>
      </c>
      <c r="AM72" s="6" t="s">
        <v>18522</v>
      </c>
      <c r="AN72" s="6" t="s">
        <v>7895</v>
      </c>
      <c r="AO72" s="6" t="s">
        <v>19757</v>
      </c>
      <c r="AP72" s="6" t="s">
        <v>14684</v>
      </c>
      <c r="AQ72" s="6" t="s">
        <v>81</v>
      </c>
      <c r="AR72" s="6" t="s">
        <v>17370</v>
      </c>
      <c r="AS72" s="6" t="s">
        <v>18389</v>
      </c>
      <c r="AT72" s="6" t="s">
        <v>18444</v>
      </c>
      <c r="AU72" s="6" t="s">
        <v>18522</v>
      </c>
      <c r="AV72" s="6" t="s">
        <v>81</v>
      </c>
      <c r="AW72" s="6" t="s">
        <v>81</v>
      </c>
      <c r="AX72" s="6" t="s">
        <v>20782</v>
      </c>
      <c r="AY72" s="6" t="s">
        <v>22571</v>
      </c>
      <c r="AZ72" s="6" t="s">
        <v>81</v>
      </c>
      <c r="BA72" s="6" t="s">
        <v>81</v>
      </c>
      <c r="BB72" s="6" t="s">
        <v>81</v>
      </c>
      <c r="BC72" s="26"/>
      <c r="BD72" s="26"/>
      <c r="BE72" s="26"/>
      <c r="BF72" s="26"/>
      <c r="BG72" s="26" t="s">
        <v>23900</v>
      </c>
      <c r="BH72" s="26"/>
      <c r="BI72" s="26"/>
      <c r="BJ72" s="26"/>
      <c r="BK72" s="26"/>
      <c r="BL72" s="26"/>
      <c r="BM72" s="26"/>
      <c r="BN72" s="26"/>
      <c r="BO72" s="26"/>
      <c r="BP72" s="16" t="n">
        <v>45737</v>
      </c>
      <c r="BQ72" s="28" t="str">
        <f>HYPERLINK("https://organic.ams.usda.gov/Integrity/Certificate.aspx?cid=71&amp;nopid=5520030119")</f>
        <v>https://organic.ams.usda.gov/Integrity/Certificate.aspx?cid=71&amp;nopid=5520030119</v>
      </c>
    </row>
    <row r="73">
      <c r="A73" t="s">
        <v>3</v>
      </c>
      <c r="B73" s="6" t="s">
        <v>20</v>
      </c>
      <c r="C73" s="6" t="s">
        <v>67</v>
      </c>
      <c r="D73" s="6" t="s">
        <v>113</v>
      </c>
      <c r="E73" s="10" t="s">
        <v>214</v>
      </c>
      <c r="F73" s="6" t="s">
        <v>2953</v>
      </c>
      <c r="G73" s="6" t="s">
        <v>81</v>
      </c>
      <c r="H73" s="6" t="s">
        <v>5957</v>
      </c>
      <c r="I73" s="6" t="s">
        <v>8421</v>
      </c>
      <c r="J73" s="6" t="s">
        <v>9713</v>
      </c>
      <c r="K73" s="6" t="s">
        <v>10886</v>
      </c>
      <c r="L73" s="16" t="n">
        <v>37375</v>
      </c>
      <c r="M73" s="16" t="n">
        <v>45953</v>
      </c>
      <c r="N73" s="6" t="s">
        <v>81</v>
      </c>
      <c r="O73" s="21" t="s">
        <v>81</v>
      </c>
      <c r="P73" s="6" t="s">
        <v>81</v>
      </c>
      <c r="Q73" s="6" t="s">
        <v>81</v>
      </c>
      <c r="R73" s="6" t="s">
        <v>81</v>
      </c>
      <c r="S73" s="6" t="s">
        <v>81</v>
      </c>
      <c r="T73" s="21" t="s">
        <v>81</v>
      </c>
      <c r="U73" s="6" t="s">
        <v>81</v>
      </c>
      <c r="V73" s="6" t="s">
        <v>81</v>
      </c>
      <c r="W73" s="6" t="s">
        <v>81</v>
      </c>
      <c r="X73" s="6" t="s">
        <v>81</v>
      </c>
      <c r="Y73" s="21" t="s">
        <v>81</v>
      </c>
      <c r="Z73" s="6" t="s">
        <v>81</v>
      </c>
      <c r="AA73" s="6" t="s">
        <v>81</v>
      </c>
      <c r="AB73" s="6" t="s">
        <v>81</v>
      </c>
      <c r="AC73" s="6" t="s">
        <v>10886</v>
      </c>
      <c r="AD73" s="16" t="n">
        <v>37375</v>
      </c>
      <c r="AE73" s="6" t="s">
        <v>14012</v>
      </c>
      <c r="AF73" s="6" t="s">
        <v>81</v>
      </c>
      <c r="AG73" s="6" t="s">
        <v>14514</v>
      </c>
      <c r="AH73" s="6" t="s">
        <v>14685</v>
      </c>
      <c r="AI73" s="6" t="s">
        <v>81</v>
      </c>
      <c r="AJ73" s="6" t="s">
        <v>17371</v>
      </c>
      <c r="AK73" s="6" t="s">
        <v>18386</v>
      </c>
      <c r="AL73" s="6" t="s">
        <v>18444</v>
      </c>
      <c r="AM73" s="6" t="s">
        <v>18523</v>
      </c>
      <c r="AN73" s="6" t="s">
        <v>19643</v>
      </c>
      <c r="AO73" s="6" t="s">
        <v>19758</v>
      </c>
      <c r="AP73" s="6" t="s">
        <v>14685</v>
      </c>
      <c r="AQ73" s="6" t="s">
        <v>81</v>
      </c>
      <c r="AR73" s="6" t="s">
        <v>17371</v>
      </c>
      <c r="AS73" s="6" t="s">
        <v>18386</v>
      </c>
      <c r="AT73" s="6" t="s">
        <v>18444</v>
      </c>
      <c r="AU73" s="6" t="s">
        <v>18523</v>
      </c>
      <c r="AV73" s="6" t="s">
        <v>81</v>
      </c>
      <c r="AW73" s="6" t="s">
        <v>81</v>
      </c>
      <c r="AX73" s="6" t="s">
        <v>20782</v>
      </c>
      <c r="AY73" s="6" t="s">
        <v>22571</v>
      </c>
      <c r="AZ73" s="6" t="s">
        <v>81</v>
      </c>
      <c r="BA73" s="6" t="s">
        <v>81</v>
      </c>
      <c r="BB73" s="6" t="s">
        <v>81</v>
      </c>
      <c r="BC73" s="26"/>
      <c r="BD73" s="26"/>
      <c r="BE73" s="26"/>
      <c r="BF73" s="26"/>
      <c r="BG73" s="26" t="s">
        <v>23900</v>
      </c>
      <c r="BH73" s="26"/>
      <c r="BI73" s="26"/>
      <c r="BJ73" s="26"/>
      <c r="BK73" s="26"/>
      <c r="BL73" s="26"/>
      <c r="BM73" s="26"/>
      <c r="BN73" s="26"/>
      <c r="BO73" s="26"/>
      <c r="BP73" s="16" t="n">
        <v>45737</v>
      </c>
      <c r="BQ73" s="28" t="str">
        <f>HYPERLINK("https://organic.ams.usda.gov/Integrity/Certificate.aspx?cid=71&amp;nopid=5520030582")</f>
        <v>https://organic.ams.usda.gov/Integrity/Certificate.aspx?cid=71&amp;nopid=5520030582</v>
      </c>
    </row>
    <row r="74">
      <c r="A74" t="s">
        <v>3</v>
      </c>
      <c r="B74" s="6" t="s">
        <v>20</v>
      </c>
      <c r="C74" s="6" t="s">
        <v>67</v>
      </c>
      <c r="D74" s="6" t="s">
        <v>113</v>
      </c>
      <c r="E74" s="10" t="s">
        <v>215</v>
      </c>
      <c r="F74" s="6" t="s">
        <v>2954</v>
      </c>
      <c r="G74" s="6" t="s">
        <v>81</v>
      </c>
      <c r="H74" s="6" t="s">
        <v>5958</v>
      </c>
      <c r="I74" s="6" t="s">
        <v>8422</v>
      </c>
      <c r="J74" s="6" t="s">
        <v>9714</v>
      </c>
      <c r="K74" s="6" t="s">
        <v>10886</v>
      </c>
      <c r="L74" s="16" t="n">
        <v>37375</v>
      </c>
      <c r="M74" s="16" t="n">
        <v>45839</v>
      </c>
      <c r="N74" s="6" t="s">
        <v>81</v>
      </c>
      <c r="O74" s="21" t="s">
        <v>81</v>
      </c>
      <c r="P74" s="6" t="s">
        <v>81</v>
      </c>
      <c r="Q74" s="6" t="s">
        <v>81</v>
      </c>
      <c r="R74" s="6" t="s">
        <v>81</v>
      </c>
      <c r="S74" s="6" t="s">
        <v>81</v>
      </c>
      <c r="T74" s="21" t="s">
        <v>81</v>
      </c>
      <c r="U74" s="6" t="s">
        <v>81</v>
      </c>
      <c r="V74" s="6" t="s">
        <v>81</v>
      </c>
      <c r="W74" s="6" t="s">
        <v>81</v>
      </c>
      <c r="X74" s="6" t="s">
        <v>81</v>
      </c>
      <c r="Y74" s="21" t="s">
        <v>81</v>
      </c>
      <c r="Z74" s="6" t="s">
        <v>81</v>
      </c>
      <c r="AA74" s="6" t="s">
        <v>81</v>
      </c>
      <c r="AB74" s="6" t="s">
        <v>81</v>
      </c>
      <c r="AC74" s="6" t="s">
        <v>10886</v>
      </c>
      <c r="AD74" s="16" t="n">
        <v>37375</v>
      </c>
      <c r="AE74" s="6" t="s">
        <v>14013</v>
      </c>
      <c r="AF74" s="6" t="s">
        <v>81</v>
      </c>
      <c r="AG74" s="6" t="s">
        <v>14515</v>
      </c>
      <c r="AH74" s="6" t="s">
        <v>14686</v>
      </c>
      <c r="AI74" s="6" t="s">
        <v>81</v>
      </c>
      <c r="AJ74" s="6" t="s">
        <v>17372</v>
      </c>
      <c r="AK74" s="6" t="s">
        <v>18386</v>
      </c>
      <c r="AL74" s="6" t="s">
        <v>18444</v>
      </c>
      <c r="AM74" s="6" t="s">
        <v>18524</v>
      </c>
      <c r="AN74" s="6" t="s">
        <v>19655</v>
      </c>
      <c r="AO74" s="6" t="s">
        <v>19759</v>
      </c>
      <c r="AP74" s="6" t="s">
        <v>20091</v>
      </c>
      <c r="AQ74" s="6" t="s">
        <v>81</v>
      </c>
      <c r="AR74" s="6" t="s">
        <v>18214</v>
      </c>
      <c r="AS74" s="6" t="s">
        <v>18412</v>
      </c>
      <c r="AT74" s="6" t="s">
        <v>18444</v>
      </c>
      <c r="AU74" s="6" t="s">
        <v>20596</v>
      </c>
      <c r="AV74" s="6" t="s">
        <v>81</v>
      </c>
      <c r="AW74" s="6" t="s">
        <v>81</v>
      </c>
      <c r="AX74" s="6" t="s">
        <v>20790</v>
      </c>
      <c r="AY74" s="6" t="s">
        <v>22572</v>
      </c>
      <c r="AZ74" s="6" t="s">
        <v>81</v>
      </c>
      <c r="BA74" s="6" t="s">
        <v>81</v>
      </c>
      <c r="BB74" s="6" t="s">
        <v>81</v>
      </c>
      <c r="BC74" s="26"/>
      <c r="BD74" s="26"/>
      <c r="BE74" s="26"/>
      <c r="BF74" s="26"/>
      <c r="BG74" s="26"/>
      <c r="BH74" s="26" t="s">
        <v>23900</v>
      </c>
      <c r="BI74" s="26"/>
      <c r="BJ74" s="26"/>
      <c r="BK74" s="26"/>
      <c r="BL74" s="26"/>
      <c r="BM74" s="26"/>
      <c r="BN74" s="26"/>
      <c r="BO74" s="26"/>
      <c r="BP74" s="16" t="n">
        <v>45737</v>
      </c>
      <c r="BQ74" s="28" t="str">
        <f>HYPERLINK("https://organic.ams.usda.gov/Integrity/Certificate.aspx?cid=71&amp;nopid=5520030101")</f>
        <v>https://organic.ams.usda.gov/Integrity/Certificate.aspx?cid=71&amp;nopid=5520030101</v>
      </c>
    </row>
    <row r="75">
      <c r="A75" t="s">
        <v>3</v>
      </c>
      <c r="B75" s="6" t="s">
        <v>23</v>
      </c>
      <c r="C75" s="6" t="s">
        <v>70</v>
      </c>
      <c r="D75" s="6" t="s">
        <v>116</v>
      </c>
      <c r="E75" s="10" t="s">
        <v>216</v>
      </c>
      <c r="F75" s="6" t="s">
        <v>2955</v>
      </c>
      <c r="G75" s="6" t="s">
        <v>81</v>
      </c>
      <c r="H75" s="6" t="s">
        <v>5959</v>
      </c>
      <c r="I75" s="6" t="s">
        <v>8423</v>
      </c>
      <c r="J75" s="6" t="s">
        <v>9715</v>
      </c>
      <c r="K75" s="6" t="s">
        <v>10886</v>
      </c>
      <c r="L75" s="16" t="n">
        <v>45082</v>
      </c>
      <c r="M75" s="16" t="n">
        <v>45813</v>
      </c>
      <c r="N75" s="6" t="s">
        <v>10886</v>
      </c>
      <c r="O75" s="16" t="n">
        <v>45082</v>
      </c>
      <c r="P75" s="6" t="s">
        <v>10947</v>
      </c>
      <c r="Q75" s="6" t="s">
        <v>81</v>
      </c>
      <c r="R75" s="6" t="s">
        <v>12446</v>
      </c>
      <c r="S75" s="6" t="s">
        <v>10886</v>
      </c>
      <c r="T75" s="16" t="n">
        <v>45082</v>
      </c>
      <c r="U75" s="6" t="s">
        <v>13193</v>
      </c>
      <c r="V75" s="6" t="s">
        <v>81</v>
      </c>
      <c r="W75" s="6" t="s">
        <v>12446</v>
      </c>
      <c r="X75" s="6" t="s">
        <v>81</v>
      </c>
      <c r="Y75" s="21" t="s">
        <v>81</v>
      </c>
      <c r="Z75" s="6" t="s">
        <v>81</v>
      </c>
      <c r="AA75" s="6" t="s">
        <v>81</v>
      </c>
      <c r="AB75" s="6" t="s">
        <v>81</v>
      </c>
      <c r="AC75" s="6" t="s">
        <v>81</v>
      </c>
      <c r="AD75" s="21" t="s">
        <v>81</v>
      </c>
      <c r="AE75" s="6" t="s">
        <v>81</v>
      </c>
      <c r="AF75" s="6" t="s">
        <v>81</v>
      </c>
      <c r="AG75" s="6" t="s">
        <v>81</v>
      </c>
      <c r="AH75" s="6" t="s">
        <v>81</v>
      </c>
      <c r="AI75" s="6" t="s">
        <v>81</v>
      </c>
      <c r="AJ75" s="6" t="s">
        <v>81</v>
      </c>
      <c r="AK75" s="6" t="s">
        <v>81</v>
      </c>
      <c r="AL75" s="6" t="s">
        <v>81</v>
      </c>
      <c r="AM75" s="6" t="s">
        <v>81</v>
      </c>
      <c r="AN75" s="6" t="s">
        <v>81</v>
      </c>
      <c r="AO75" s="6" t="s">
        <v>81</v>
      </c>
      <c r="AP75" s="6" t="s">
        <v>20092</v>
      </c>
      <c r="AQ75" s="6" t="s">
        <v>81</v>
      </c>
      <c r="AR75" s="6" t="s">
        <v>17623</v>
      </c>
      <c r="AS75" s="6" t="s">
        <v>18386</v>
      </c>
      <c r="AT75" s="6" t="s">
        <v>18444</v>
      </c>
      <c r="AU75" s="6" t="s">
        <v>18790</v>
      </c>
      <c r="AV75" s="6" t="s">
        <v>19651</v>
      </c>
      <c r="AW75" s="6" t="s">
        <v>19864</v>
      </c>
      <c r="AX75" s="6" t="s">
        <v>20791</v>
      </c>
      <c r="AY75" s="6" t="s">
        <v>22573</v>
      </c>
      <c r="AZ75" s="6" t="s">
        <v>81</v>
      </c>
      <c r="BA75" s="6" t="s">
        <v>81</v>
      </c>
      <c r="BB75" s="24" t="n">
        <v>928</v>
      </c>
      <c r="BC75" s="26"/>
      <c r="BD75" s="26"/>
      <c r="BE75" s="26"/>
      <c r="BF75" s="26"/>
      <c r="BG75" s="26"/>
      <c r="BH75" s="26"/>
      <c r="BI75" s="26"/>
      <c r="BJ75" s="26"/>
      <c r="BK75" s="26"/>
      <c r="BL75" s="26"/>
      <c r="BM75" s="26"/>
      <c r="BN75" s="26"/>
      <c r="BO75" s="26"/>
      <c r="BP75" s="16" t="n">
        <v>45575</v>
      </c>
      <c r="BQ75" s="28" t="str">
        <f>HYPERLINK("https://organic.ams.usda.gov/Integrity/Certificate.aspx?cid=63&amp;nopid=6220009316")</f>
        <v>https://organic.ams.usda.gov/Integrity/Certificate.aspx?cid=63&amp;nopid=6220009316</v>
      </c>
    </row>
    <row r="76">
      <c r="A76" t="s">
        <v>3</v>
      </c>
      <c r="B76" s="6" t="s">
        <v>24</v>
      </c>
      <c r="C76" s="6" t="s">
        <v>71</v>
      </c>
      <c r="D76" s="6" t="s">
        <v>117</v>
      </c>
      <c r="E76" s="10" t="s">
        <v>217</v>
      </c>
      <c r="F76" s="6" t="s">
        <v>2956</v>
      </c>
      <c r="G76" s="6" t="s">
        <v>81</v>
      </c>
      <c r="H76" s="6" t="s">
        <v>81</v>
      </c>
      <c r="I76" s="6" t="s">
        <v>8424</v>
      </c>
      <c r="J76" s="6" t="s">
        <v>9716</v>
      </c>
      <c r="K76" s="6" t="s">
        <v>10886</v>
      </c>
      <c r="L76" s="16" t="n">
        <v>44628</v>
      </c>
      <c r="M76" s="16" t="n">
        <v>45809</v>
      </c>
      <c r="N76" s="6" t="s">
        <v>10886</v>
      </c>
      <c r="O76" s="16" t="n">
        <v>44628</v>
      </c>
      <c r="P76" s="6" t="s">
        <v>10948</v>
      </c>
      <c r="Q76" s="6" t="s">
        <v>81</v>
      </c>
      <c r="R76" s="6" t="s">
        <v>81</v>
      </c>
      <c r="S76" s="6" t="s">
        <v>10886</v>
      </c>
      <c r="T76" s="16" t="n">
        <v>44628</v>
      </c>
      <c r="U76" s="6" t="s">
        <v>13194</v>
      </c>
      <c r="V76" s="6" t="s">
        <v>81</v>
      </c>
      <c r="W76" s="6" t="s">
        <v>81</v>
      </c>
      <c r="X76" s="6" t="s">
        <v>81</v>
      </c>
      <c r="Y76" s="21" t="s">
        <v>81</v>
      </c>
      <c r="Z76" s="6" t="s">
        <v>81</v>
      </c>
      <c r="AA76" s="6" t="s">
        <v>81</v>
      </c>
      <c r="AB76" s="6" t="s">
        <v>81</v>
      </c>
      <c r="AC76" s="6" t="s">
        <v>10886</v>
      </c>
      <c r="AD76" s="16" t="n">
        <v>44628</v>
      </c>
      <c r="AE76" s="6" t="s">
        <v>14014</v>
      </c>
      <c r="AF76" s="6" t="s">
        <v>81</v>
      </c>
      <c r="AG76" s="6" t="s">
        <v>81</v>
      </c>
      <c r="AH76" s="6" t="s">
        <v>14687</v>
      </c>
      <c r="AI76" s="6" t="s">
        <v>81</v>
      </c>
      <c r="AJ76" s="6" t="s">
        <v>17373</v>
      </c>
      <c r="AK76" s="6" t="s">
        <v>18381</v>
      </c>
      <c r="AL76" s="6" t="s">
        <v>18444</v>
      </c>
      <c r="AM76" s="6" t="s">
        <v>18525</v>
      </c>
      <c r="AN76" s="6" t="s">
        <v>19658</v>
      </c>
      <c r="AO76" s="6" t="s">
        <v>19752</v>
      </c>
      <c r="AP76" s="6" t="s">
        <v>14687</v>
      </c>
      <c r="AQ76" s="6" t="s">
        <v>81</v>
      </c>
      <c r="AR76" s="6" t="s">
        <v>17373</v>
      </c>
      <c r="AS76" s="6" t="s">
        <v>18381</v>
      </c>
      <c r="AT76" s="6" t="s">
        <v>18444</v>
      </c>
      <c r="AU76" s="6" t="s">
        <v>18525</v>
      </c>
      <c r="AV76" s="6" t="s">
        <v>81</v>
      </c>
      <c r="AW76" s="6" t="s">
        <v>81</v>
      </c>
      <c r="AX76" s="6" t="s">
        <v>81</v>
      </c>
      <c r="AY76" s="6" t="s">
        <v>22574</v>
      </c>
      <c r="AZ76" s="6" t="s">
        <v>81</v>
      </c>
      <c r="BA76" s="6" t="s">
        <v>81</v>
      </c>
      <c r="BB76" s="24" t="n">
        <v>796</v>
      </c>
      <c r="BC76" s="26"/>
      <c r="BD76" s="26"/>
      <c r="BE76" s="26"/>
      <c r="BF76" s="26"/>
      <c r="BG76" s="26"/>
      <c r="BH76" s="26"/>
      <c r="BI76" s="26"/>
      <c r="BJ76" s="26"/>
      <c r="BK76" s="26"/>
      <c r="BL76" s="26"/>
      <c r="BM76" s="26"/>
      <c r="BN76" s="26"/>
      <c r="BO76" s="26"/>
      <c r="BP76" s="16" t="n">
        <v>45628</v>
      </c>
      <c r="BQ76" s="28" t="str">
        <f>HYPERLINK("https://organic.ams.usda.gov/Integrity/Certificate.aspx?cid=1&amp;nopid=9092131702")</f>
        <v>https://organic.ams.usda.gov/Integrity/Certificate.aspx?cid=1&amp;nopid=9092131702</v>
      </c>
    </row>
    <row r="77">
      <c r="A77" t="s">
        <v>3</v>
      </c>
      <c r="B77" s="6" t="s">
        <v>7</v>
      </c>
      <c r="C77" s="6" t="s">
        <v>54</v>
      </c>
      <c r="D77" s="6" t="s">
        <v>100</v>
      </c>
      <c r="E77" s="10" t="s">
        <v>218</v>
      </c>
      <c r="F77" s="6" t="s">
        <v>2957</v>
      </c>
      <c r="G77" s="6" t="s">
        <v>81</v>
      </c>
      <c r="H77" s="6" t="s">
        <v>5960</v>
      </c>
      <c r="I77" s="6" t="s">
        <v>8424</v>
      </c>
      <c r="J77" s="6" t="s">
        <v>9699</v>
      </c>
      <c r="K77" s="6" t="s">
        <v>10886</v>
      </c>
      <c r="L77" s="16" t="n">
        <v>45124</v>
      </c>
      <c r="M77" s="16" t="n">
        <v>45716</v>
      </c>
      <c r="N77" s="6" t="s">
        <v>10886</v>
      </c>
      <c r="O77" s="16" t="n">
        <v>45124</v>
      </c>
      <c r="P77" s="6" t="s">
        <v>10910</v>
      </c>
      <c r="Q77" s="6" t="s">
        <v>81</v>
      </c>
      <c r="R77" s="6" t="s">
        <v>81</v>
      </c>
      <c r="S77" s="6" t="s">
        <v>10886</v>
      </c>
      <c r="T77" s="16" t="n">
        <v>45124</v>
      </c>
      <c r="U77" s="6" t="s">
        <v>13169</v>
      </c>
      <c r="V77" s="6" t="s">
        <v>81</v>
      </c>
      <c r="W77" s="6" t="s">
        <v>81</v>
      </c>
      <c r="X77" s="6" t="s">
        <v>81</v>
      </c>
      <c r="Y77" s="21" t="s">
        <v>81</v>
      </c>
      <c r="Z77" s="6" t="s">
        <v>81</v>
      </c>
      <c r="AA77" s="6" t="s">
        <v>81</v>
      </c>
      <c r="AB77" s="6" t="s">
        <v>81</v>
      </c>
      <c r="AC77" s="6" t="s">
        <v>81</v>
      </c>
      <c r="AD77" s="21" t="s">
        <v>81</v>
      </c>
      <c r="AE77" s="6" t="s">
        <v>81</v>
      </c>
      <c r="AF77" s="6" t="s">
        <v>81</v>
      </c>
      <c r="AG77" s="6" t="s">
        <v>81</v>
      </c>
      <c r="AH77" s="6" t="s">
        <v>14688</v>
      </c>
      <c r="AI77" s="6" t="s">
        <v>81</v>
      </c>
      <c r="AJ77" s="6" t="s">
        <v>17352</v>
      </c>
      <c r="AK77" s="6" t="s">
        <v>17712</v>
      </c>
      <c r="AL77" s="6" t="s">
        <v>18444</v>
      </c>
      <c r="AM77" s="6" t="s">
        <v>18506</v>
      </c>
      <c r="AN77" s="6" t="s">
        <v>81</v>
      </c>
      <c r="AO77" s="6" t="s">
        <v>81</v>
      </c>
      <c r="AP77" s="6" t="s">
        <v>14688</v>
      </c>
      <c r="AQ77" s="6" t="s">
        <v>81</v>
      </c>
      <c r="AR77" s="6" t="s">
        <v>17352</v>
      </c>
      <c r="AS77" s="6" t="s">
        <v>17712</v>
      </c>
      <c r="AT77" s="6" t="s">
        <v>18444</v>
      </c>
      <c r="AU77" s="6" t="s">
        <v>18506</v>
      </c>
      <c r="AV77" s="6" t="s">
        <v>81</v>
      </c>
      <c r="AW77" s="6" t="s">
        <v>81</v>
      </c>
      <c r="AX77" s="6" t="s">
        <v>20792</v>
      </c>
      <c r="AY77" s="6" t="s">
        <v>81</v>
      </c>
      <c r="AZ77" s="6" t="s">
        <v>81</v>
      </c>
      <c r="BA77" s="6" t="s">
        <v>81</v>
      </c>
      <c r="BB77" s="24" t="n">
        <v>114</v>
      </c>
      <c r="BC77" s="26"/>
      <c r="BD77" s="26"/>
      <c r="BE77" s="26"/>
      <c r="BF77" s="26" t="s">
        <v>23900</v>
      </c>
      <c r="BG77" s="26"/>
      <c r="BH77" s="26"/>
      <c r="BI77" s="26"/>
      <c r="BJ77" s="26"/>
      <c r="BK77" s="26"/>
      <c r="BL77" s="26"/>
      <c r="BM77" s="26"/>
      <c r="BN77" s="26"/>
      <c r="BO77" s="26"/>
      <c r="BP77" s="16" t="n">
        <v>45679</v>
      </c>
      <c r="BQ77" s="28" t="str">
        <f>HYPERLINK("https://organic.ams.usda.gov/Integrity/Certificate.aspx?cid=57&amp;nopid=3252023045")</f>
        <v>https://organic.ams.usda.gov/Integrity/Certificate.aspx?cid=57&amp;nopid=3252023045</v>
      </c>
    </row>
    <row r="78">
      <c r="A78" t="s">
        <v>3</v>
      </c>
      <c r="B78" s="6" t="s">
        <v>25</v>
      </c>
      <c r="C78" s="6" t="s">
        <v>72</v>
      </c>
      <c r="D78" s="6" t="s">
        <v>118</v>
      </c>
      <c r="E78" s="10" t="s">
        <v>219</v>
      </c>
      <c r="F78" s="6" t="s">
        <v>2958</v>
      </c>
      <c r="G78" s="6" t="s">
        <v>5596</v>
      </c>
      <c r="H78" s="6" t="s">
        <v>5961</v>
      </c>
      <c r="I78" s="6" t="s">
        <v>8425</v>
      </c>
      <c r="J78" s="6" t="s">
        <v>9717</v>
      </c>
      <c r="K78" s="6" t="s">
        <v>10886</v>
      </c>
      <c r="L78" s="16" t="n">
        <v>37798</v>
      </c>
      <c r="M78" s="16" t="n">
        <v>46023</v>
      </c>
      <c r="N78" s="6" t="s">
        <v>10886</v>
      </c>
      <c r="O78" s="16" t="n">
        <v>37798</v>
      </c>
      <c r="P78" s="6" t="s">
        <v>10949</v>
      </c>
      <c r="Q78" s="6" t="s">
        <v>81</v>
      </c>
      <c r="R78" s="6" t="s">
        <v>81</v>
      </c>
      <c r="S78" s="6" t="s">
        <v>10886</v>
      </c>
      <c r="T78" s="16" t="n">
        <v>37798</v>
      </c>
      <c r="U78" s="6" t="s">
        <v>13195</v>
      </c>
      <c r="V78" s="6" t="s">
        <v>81</v>
      </c>
      <c r="W78" s="6" t="s">
        <v>81</v>
      </c>
      <c r="X78" s="6" t="s">
        <v>81</v>
      </c>
      <c r="Y78" s="21" t="s">
        <v>81</v>
      </c>
      <c r="Z78" s="6" t="s">
        <v>81</v>
      </c>
      <c r="AA78" s="6" t="s">
        <v>81</v>
      </c>
      <c r="AB78" s="6" t="s">
        <v>81</v>
      </c>
      <c r="AC78" s="6" t="s">
        <v>10886</v>
      </c>
      <c r="AD78" s="16" t="n">
        <v>42989</v>
      </c>
      <c r="AE78" s="6" t="s">
        <v>14015</v>
      </c>
      <c r="AF78" s="6" t="s">
        <v>81</v>
      </c>
      <c r="AG78" s="6" t="s">
        <v>81</v>
      </c>
      <c r="AH78" s="6" t="s">
        <v>14689</v>
      </c>
      <c r="AI78" s="6" t="s">
        <v>81</v>
      </c>
      <c r="AJ78" s="6" t="s">
        <v>17374</v>
      </c>
      <c r="AK78" s="6" t="s">
        <v>18386</v>
      </c>
      <c r="AL78" s="6" t="s">
        <v>18444</v>
      </c>
      <c r="AM78" s="6" t="s">
        <v>18526</v>
      </c>
      <c r="AN78" s="6" t="s">
        <v>19660</v>
      </c>
      <c r="AO78" s="6" t="s">
        <v>19760</v>
      </c>
      <c r="AP78" s="6" t="s">
        <v>14689</v>
      </c>
      <c r="AQ78" s="6" t="s">
        <v>81</v>
      </c>
      <c r="AR78" s="6" t="s">
        <v>17374</v>
      </c>
      <c r="AS78" s="6" t="s">
        <v>18386</v>
      </c>
      <c r="AT78" s="6" t="s">
        <v>18444</v>
      </c>
      <c r="AU78" s="6" t="s">
        <v>18526</v>
      </c>
      <c r="AV78" s="6" t="s">
        <v>81</v>
      </c>
      <c r="AW78" s="6" t="s">
        <v>81</v>
      </c>
      <c r="AX78" s="6" t="s">
        <v>20793</v>
      </c>
      <c r="AY78" s="6" t="s">
        <v>22575</v>
      </c>
      <c r="AZ78" s="6" t="s">
        <v>23579</v>
      </c>
      <c r="BA78" s="6" t="s">
        <v>23823</v>
      </c>
      <c r="BB78" s="24" t="n">
        <v>8464</v>
      </c>
      <c r="BC78" s="26"/>
      <c r="BD78" s="26"/>
      <c r="BE78" s="26"/>
      <c r="BF78" s="26" t="s">
        <v>23900</v>
      </c>
      <c r="BG78" s="26"/>
      <c r="BH78" s="26"/>
      <c r="BI78" s="26"/>
      <c r="BJ78" s="26"/>
      <c r="BK78" s="26"/>
      <c r="BL78" s="26"/>
      <c r="BM78" s="26"/>
      <c r="BN78" s="26"/>
      <c r="BO78" s="26"/>
      <c r="BP78" s="16" t="n">
        <v>45737</v>
      </c>
      <c r="BQ78" s="28" t="str">
        <f>HYPERLINK("https://organic.ams.usda.gov/Integrity/Certificate.aspx?cid=15&amp;nopid=5561000977")</f>
        <v>https://organic.ams.usda.gov/Integrity/Certificate.aspx?cid=15&amp;nopid=5561000977</v>
      </c>
    </row>
    <row r="79">
      <c r="A79" t="s">
        <v>3</v>
      </c>
      <c r="B79" s="6" t="s">
        <v>10</v>
      </c>
      <c r="C79" s="6" t="s">
        <v>57</v>
      </c>
      <c r="D79" s="6" t="s">
        <v>103</v>
      </c>
      <c r="E79" s="10" t="s">
        <v>220</v>
      </c>
      <c r="F79" s="6" t="s">
        <v>2959</v>
      </c>
      <c r="G79" s="6" t="s">
        <v>81</v>
      </c>
      <c r="H79" s="6" t="s">
        <v>5962</v>
      </c>
      <c r="I79" s="6" t="s">
        <v>8426</v>
      </c>
      <c r="J79" s="6" t="s">
        <v>9718</v>
      </c>
      <c r="K79" s="6" t="s">
        <v>10886</v>
      </c>
      <c r="L79" s="16" t="n">
        <v>45397</v>
      </c>
      <c r="M79" s="16" t="n">
        <v>45748</v>
      </c>
      <c r="N79" s="6" t="s">
        <v>10886</v>
      </c>
      <c r="O79" s="16" t="n">
        <v>45397</v>
      </c>
      <c r="P79" s="6" t="s">
        <v>10950</v>
      </c>
      <c r="Q79" s="6" t="s">
        <v>81</v>
      </c>
      <c r="R79" s="6" t="s">
        <v>12447</v>
      </c>
      <c r="S79" s="6" t="s">
        <v>10886</v>
      </c>
      <c r="T79" s="16" t="n">
        <v>45397</v>
      </c>
      <c r="U79" s="6" t="s">
        <v>13163</v>
      </c>
      <c r="V79" s="6" t="s">
        <v>81</v>
      </c>
      <c r="W79" s="6" t="s">
        <v>81</v>
      </c>
      <c r="X79" s="6" t="s">
        <v>81</v>
      </c>
      <c r="Y79" s="21" t="s">
        <v>81</v>
      </c>
      <c r="Z79" s="6" t="s">
        <v>81</v>
      </c>
      <c r="AA79" s="6" t="s">
        <v>81</v>
      </c>
      <c r="AB79" s="6" t="s">
        <v>81</v>
      </c>
      <c r="AC79" s="6" t="s">
        <v>81</v>
      </c>
      <c r="AD79" s="21" t="s">
        <v>81</v>
      </c>
      <c r="AE79" s="6" t="s">
        <v>81</v>
      </c>
      <c r="AF79" s="6" t="s">
        <v>81</v>
      </c>
      <c r="AG79" s="6" t="s">
        <v>81</v>
      </c>
      <c r="AH79" s="6" t="s">
        <v>14690</v>
      </c>
      <c r="AI79" s="6" t="s">
        <v>81</v>
      </c>
      <c r="AJ79" s="6" t="s">
        <v>17375</v>
      </c>
      <c r="AK79" s="6" t="s">
        <v>18378</v>
      </c>
      <c r="AL79" s="6" t="s">
        <v>18444</v>
      </c>
      <c r="AM79" s="6" t="s">
        <v>18527</v>
      </c>
      <c r="AN79" s="6" t="s">
        <v>81</v>
      </c>
      <c r="AO79" s="6" t="s">
        <v>81</v>
      </c>
      <c r="AP79" s="6" t="s">
        <v>14690</v>
      </c>
      <c r="AQ79" s="6" t="s">
        <v>81</v>
      </c>
      <c r="AR79" s="6" t="s">
        <v>17375</v>
      </c>
      <c r="AS79" s="6" t="s">
        <v>18378</v>
      </c>
      <c r="AT79" s="6" t="s">
        <v>18444</v>
      </c>
      <c r="AU79" s="6" t="s">
        <v>18527</v>
      </c>
      <c r="AV79" s="6" t="s">
        <v>81</v>
      </c>
      <c r="AW79" s="6" t="s">
        <v>81</v>
      </c>
      <c r="AX79" s="6" t="s">
        <v>20794</v>
      </c>
      <c r="AY79" s="6" t="s">
        <v>81</v>
      </c>
      <c r="AZ79" s="6" t="s">
        <v>81</v>
      </c>
      <c r="BA79" s="6" t="s">
        <v>81</v>
      </c>
      <c r="BB79" s="24" t="n">
        <v>116</v>
      </c>
      <c r="BC79" s="26"/>
      <c r="BD79" s="26"/>
      <c r="BE79" s="26"/>
      <c r="BF79" s="26"/>
      <c r="BG79" s="26"/>
      <c r="BH79" s="26"/>
      <c r="BI79" s="26"/>
      <c r="BJ79" s="26"/>
      <c r="BK79" s="26"/>
      <c r="BL79" s="26"/>
      <c r="BM79" s="26"/>
      <c r="BN79" s="26"/>
      <c r="BO79" s="26"/>
      <c r="BP79" s="16" t="n">
        <v>45730</v>
      </c>
      <c r="BQ79" s="28" t="str">
        <f>HYPERLINK("https://organic.ams.usda.gov/Integrity/Certificate.aspx?cid=90&amp;nopid=7170240769")</f>
        <v>https://organic.ams.usda.gov/Integrity/Certificate.aspx?cid=90&amp;nopid=7170240769</v>
      </c>
    </row>
    <row r="80">
      <c r="A80" t="s">
        <v>3</v>
      </c>
      <c r="B80" s="6" t="s">
        <v>15</v>
      </c>
      <c r="C80" s="6" t="s">
        <v>62</v>
      </c>
      <c r="D80" s="6" t="s">
        <v>108</v>
      </c>
      <c r="E80" s="10" t="s">
        <v>221</v>
      </c>
      <c r="F80" s="6" t="s">
        <v>2960</v>
      </c>
      <c r="G80" s="6" t="s">
        <v>5597</v>
      </c>
      <c r="H80" s="6" t="s">
        <v>5963</v>
      </c>
      <c r="I80" s="6" t="s">
        <v>8427</v>
      </c>
      <c r="J80" s="6" t="s">
        <v>9719</v>
      </c>
      <c r="K80" s="6" t="s">
        <v>10886</v>
      </c>
      <c r="L80" s="16" t="n">
        <v>39049</v>
      </c>
      <c r="M80" s="16" t="n">
        <v>45792</v>
      </c>
      <c r="N80" s="6" t="s">
        <v>10886</v>
      </c>
      <c r="O80" s="16" t="n">
        <v>39049</v>
      </c>
      <c r="P80" s="6" t="s">
        <v>10951</v>
      </c>
      <c r="Q80" s="6" t="s">
        <v>81</v>
      </c>
      <c r="R80" s="6" t="s">
        <v>81</v>
      </c>
      <c r="S80" s="6" t="s">
        <v>10886</v>
      </c>
      <c r="T80" s="16" t="n">
        <v>39049</v>
      </c>
      <c r="U80" s="6" t="s">
        <v>13196</v>
      </c>
      <c r="V80" s="6" t="s">
        <v>81</v>
      </c>
      <c r="W80" s="6" t="s">
        <v>81</v>
      </c>
      <c r="X80" s="6" t="s">
        <v>81</v>
      </c>
      <c r="Y80" s="21" t="s">
        <v>81</v>
      </c>
      <c r="Z80" s="6" t="s">
        <v>81</v>
      </c>
      <c r="AA80" s="6" t="s">
        <v>81</v>
      </c>
      <c r="AB80" s="6" t="s">
        <v>81</v>
      </c>
      <c r="AC80" s="6" t="s">
        <v>81</v>
      </c>
      <c r="AD80" s="21" t="s">
        <v>81</v>
      </c>
      <c r="AE80" s="6" t="s">
        <v>81</v>
      </c>
      <c r="AF80" s="6" t="s">
        <v>81</v>
      </c>
      <c r="AG80" s="6" t="s">
        <v>81</v>
      </c>
      <c r="AH80" s="6" t="s">
        <v>14691</v>
      </c>
      <c r="AI80" s="6" t="s">
        <v>81</v>
      </c>
      <c r="AJ80" s="6" t="s">
        <v>17376</v>
      </c>
      <c r="AK80" s="6" t="s">
        <v>18377</v>
      </c>
      <c r="AL80" s="6" t="s">
        <v>18444</v>
      </c>
      <c r="AM80" s="6" t="s">
        <v>18528</v>
      </c>
      <c r="AN80" s="6" t="s">
        <v>19661</v>
      </c>
      <c r="AO80" s="6" t="s">
        <v>19761</v>
      </c>
      <c r="AP80" s="6" t="s">
        <v>14691</v>
      </c>
      <c r="AQ80" s="6" t="s">
        <v>81</v>
      </c>
      <c r="AR80" s="6" t="s">
        <v>17376</v>
      </c>
      <c r="AS80" s="6" t="s">
        <v>18377</v>
      </c>
      <c r="AT80" s="6" t="s">
        <v>18444</v>
      </c>
      <c r="AU80" s="6" t="s">
        <v>18528</v>
      </c>
      <c r="AV80" s="6" t="s">
        <v>81</v>
      </c>
      <c r="AW80" s="6" t="s">
        <v>81</v>
      </c>
      <c r="AX80" s="6" t="s">
        <v>20795</v>
      </c>
      <c r="AY80" s="6" t="s">
        <v>22576</v>
      </c>
      <c r="AZ80" s="6" t="s">
        <v>81</v>
      </c>
      <c r="BA80" s="6" t="s">
        <v>81</v>
      </c>
      <c r="BB80" s="24" t="n">
        <v>194</v>
      </c>
      <c r="BC80" s="26"/>
      <c r="BD80" s="26"/>
      <c r="BE80" s="26"/>
      <c r="BF80" s="26" t="s">
        <v>23900</v>
      </c>
      <c r="BG80" s="26"/>
      <c r="BH80" s="26"/>
      <c r="BI80" s="26"/>
      <c r="BJ80" s="26"/>
      <c r="BK80" s="26"/>
      <c r="BL80" s="26"/>
      <c r="BM80" s="26"/>
      <c r="BN80" s="26"/>
      <c r="BO80" s="26"/>
      <c r="BP80" s="16" t="n">
        <v>45737</v>
      </c>
      <c r="BQ80" s="28" t="str">
        <f>HYPERLINK("https://organic.ams.usda.gov/Integrity/Certificate.aspx?cid=58&amp;nopid=1600001159")</f>
        <v>https://organic.ams.usda.gov/Integrity/Certificate.aspx?cid=58&amp;nopid=1600001159</v>
      </c>
    </row>
    <row r="81">
      <c r="A81" t="s">
        <v>3</v>
      </c>
      <c r="B81" s="6" t="s">
        <v>7</v>
      </c>
      <c r="C81" s="6" t="s">
        <v>54</v>
      </c>
      <c r="D81" s="6" t="s">
        <v>100</v>
      </c>
      <c r="E81" s="10" t="s">
        <v>222</v>
      </c>
      <c r="F81" s="6" t="s">
        <v>2961</v>
      </c>
      <c r="G81" s="6" t="s">
        <v>81</v>
      </c>
      <c r="H81" s="6" t="s">
        <v>5964</v>
      </c>
      <c r="I81" s="6" t="s">
        <v>8428</v>
      </c>
      <c r="J81" s="6" t="s">
        <v>9720</v>
      </c>
      <c r="K81" s="6" t="s">
        <v>10886</v>
      </c>
      <c r="L81" s="16" t="n">
        <v>39690</v>
      </c>
      <c r="M81" s="16" t="n">
        <v>45716</v>
      </c>
      <c r="N81" s="6" t="s">
        <v>10886</v>
      </c>
      <c r="O81" s="16" t="n">
        <v>39690</v>
      </c>
      <c r="P81" s="6" t="s">
        <v>10952</v>
      </c>
      <c r="Q81" s="6" t="s">
        <v>81</v>
      </c>
      <c r="R81" s="6" t="s">
        <v>81</v>
      </c>
      <c r="S81" s="6" t="s">
        <v>10886</v>
      </c>
      <c r="T81" s="16" t="n">
        <v>41590</v>
      </c>
      <c r="U81" s="6" t="s">
        <v>13169</v>
      </c>
      <c r="V81" s="6" t="s">
        <v>81</v>
      </c>
      <c r="W81" s="6" t="s">
        <v>81</v>
      </c>
      <c r="X81" s="6" t="s">
        <v>81</v>
      </c>
      <c r="Y81" s="21" t="s">
        <v>81</v>
      </c>
      <c r="Z81" s="6" t="s">
        <v>81</v>
      </c>
      <c r="AA81" s="6" t="s">
        <v>81</v>
      </c>
      <c r="AB81" s="6" t="s">
        <v>81</v>
      </c>
      <c r="AC81" s="6" t="s">
        <v>81</v>
      </c>
      <c r="AD81" s="21" t="s">
        <v>81</v>
      </c>
      <c r="AE81" s="6" t="s">
        <v>81</v>
      </c>
      <c r="AF81" s="6" t="s">
        <v>81</v>
      </c>
      <c r="AG81" s="6" t="s">
        <v>81</v>
      </c>
      <c r="AH81" s="6" t="s">
        <v>14692</v>
      </c>
      <c r="AI81" s="6" t="s">
        <v>81</v>
      </c>
      <c r="AJ81" s="6" t="s">
        <v>8427</v>
      </c>
      <c r="AK81" s="6" t="s">
        <v>17712</v>
      </c>
      <c r="AL81" s="6" t="s">
        <v>18444</v>
      </c>
      <c r="AM81" s="6" t="s">
        <v>18529</v>
      </c>
      <c r="AN81" s="6" t="s">
        <v>19662</v>
      </c>
      <c r="AO81" s="6" t="s">
        <v>19762</v>
      </c>
      <c r="AP81" s="6" t="s">
        <v>20093</v>
      </c>
      <c r="AQ81" s="6" t="s">
        <v>81</v>
      </c>
      <c r="AR81" s="6" t="s">
        <v>8427</v>
      </c>
      <c r="AS81" s="6" t="s">
        <v>17712</v>
      </c>
      <c r="AT81" s="6" t="s">
        <v>18444</v>
      </c>
      <c r="AU81" s="6" t="s">
        <v>18529</v>
      </c>
      <c r="AV81" s="6" t="s">
        <v>81</v>
      </c>
      <c r="AW81" s="6" t="s">
        <v>81</v>
      </c>
      <c r="AX81" s="6" t="s">
        <v>20796</v>
      </c>
      <c r="AY81" s="6" t="s">
        <v>22577</v>
      </c>
      <c r="AZ81" s="6" t="s">
        <v>23580</v>
      </c>
      <c r="BA81" s="6" t="s">
        <v>81</v>
      </c>
      <c r="BB81" s="24" t="n">
        <v>392</v>
      </c>
      <c r="BC81" s="26"/>
      <c r="BD81" s="26"/>
      <c r="BE81" s="26"/>
      <c r="BF81" s="26" t="s">
        <v>23900</v>
      </c>
      <c r="BG81" s="26"/>
      <c r="BH81" s="26"/>
      <c r="BI81" s="26"/>
      <c r="BJ81" s="26"/>
      <c r="BK81" s="26"/>
      <c r="BL81" s="26"/>
      <c r="BM81" s="26"/>
      <c r="BN81" s="26"/>
      <c r="BO81" s="26"/>
      <c r="BP81" s="16" t="n">
        <v>45737</v>
      </c>
      <c r="BQ81" s="28" t="str">
        <f>HYPERLINK("https://organic.ams.usda.gov/Integrity/Certificate.aspx?cid=57&amp;nopid=3252008062")</f>
        <v>https://organic.ams.usda.gov/Integrity/Certificate.aspx?cid=57&amp;nopid=3252008062</v>
      </c>
    </row>
    <row r="82">
      <c r="A82" t="s">
        <v>3</v>
      </c>
      <c r="B82" s="6" t="s">
        <v>21</v>
      </c>
      <c r="C82" s="6" t="s">
        <v>68</v>
      </c>
      <c r="D82" s="6" t="s">
        <v>114</v>
      </c>
      <c r="E82" s="10" t="s">
        <v>223</v>
      </c>
      <c r="F82" s="6" t="s">
        <v>2962</v>
      </c>
      <c r="G82" s="6" t="s">
        <v>81</v>
      </c>
      <c r="H82" s="6" t="s">
        <v>5965</v>
      </c>
      <c r="I82" s="6" t="s">
        <v>8429</v>
      </c>
      <c r="J82" s="6" t="s">
        <v>9721</v>
      </c>
      <c r="K82" s="6" t="s">
        <v>10886</v>
      </c>
      <c r="L82" s="16" t="n">
        <v>44874</v>
      </c>
      <c r="M82" s="16" t="n">
        <v>46023</v>
      </c>
      <c r="N82" s="6" t="s">
        <v>81</v>
      </c>
      <c r="O82" s="21" t="s">
        <v>81</v>
      </c>
      <c r="P82" s="6" t="s">
        <v>81</v>
      </c>
      <c r="Q82" s="6" t="s">
        <v>81</v>
      </c>
      <c r="R82" s="6" t="s">
        <v>81</v>
      </c>
      <c r="S82" s="6" t="s">
        <v>81</v>
      </c>
      <c r="T82" s="21" t="s">
        <v>81</v>
      </c>
      <c r="U82" s="6" t="s">
        <v>81</v>
      </c>
      <c r="V82" s="6" t="s">
        <v>81</v>
      </c>
      <c r="W82" s="6" t="s">
        <v>81</v>
      </c>
      <c r="X82" s="6" t="s">
        <v>81</v>
      </c>
      <c r="Y82" s="21" t="s">
        <v>81</v>
      </c>
      <c r="Z82" s="6" t="s">
        <v>81</v>
      </c>
      <c r="AA82" s="6" t="s">
        <v>81</v>
      </c>
      <c r="AB82" s="6" t="s">
        <v>81</v>
      </c>
      <c r="AC82" s="6" t="s">
        <v>10886</v>
      </c>
      <c r="AD82" s="16" t="n">
        <v>44874</v>
      </c>
      <c r="AE82" s="6" t="s">
        <v>14016</v>
      </c>
      <c r="AF82" s="6" t="s">
        <v>81</v>
      </c>
      <c r="AG82" s="6" t="s">
        <v>81</v>
      </c>
      <c r="AH82" s="6" t="s">
        <v>81</v>
      </c>
      <c r="AI82" s="6" t="s">
        <v>81</v>
      </c>
      <c r="AJ82" s="6" t="s">
        <v>81</v>
      </c>
      <c r="AK82" s="6" t="s">
        <v>81</v>
      </c>
      <c r="AL82" s="6" t="s">
        <v>81</v>
      </c>
      <c r="AM82" s="6" t="s">
        <v>81</v>
      </c>
      <c r="AN82" s="6" t="s">
        <v>81</v>
      </c>
      <c r="AO82" s="6" t="s">
        <v>81</v>
      </c>
      <c r="AP82" s="6" t="s">
        <v>20094</v>
      </c>
      <c r="AQ82" s="6" t="s">
        <v>81</v>
      </c>
      <c r="AR82" s="6" t="s">
        <v>20491</v>
      </c>
      <c r="AS82" s="6" t="s">
        <v>18381</v>
      </c>
      <c r="AT82" s="6" t="s">
        <v>18444</v>
      </c>
      <c r="AU82" s="6" t="s">
        <v>20597</v>
      </c>
      <c r="AV82" s="6" t="s">
        <v>19668</v>
      </c>
      <c r="AW82" s="6" t="s">
        <v>20720</v>
      </c>
      <c r="AX82" s="6" t="s">
        <v>20797</v>
      </c>
      <c r="AY82" s="6" t="s">
        <v>22578</v>
      </c>
      <c r="AZ82" s="6" t="s">
        <v>81</v>
      </c>
      <c r="BA82" s="6" t="s">
        <v>81</v>
      </c>
      <c r="BB82" s="6" t="s">
        <v>81</v>
      </c>
      <c r="BC82" s="26"/>
      <c r="BD82" s="26"/>
      <c r="BE82" s="26" t="s">
        <v>23900</v>
      </c>
      <c r="BF82" s="26"/>
      <c r="BG82" s="26"/>
      <c r="BH82" s="26"/>
      <c r="BI82" s="26"/>
      <c r="BJ82" s="26"/>
      <c r="BK82" s="26"/>
      <c r="BL82" s="26"/>
      <c r="BM82" s="26"/>
      <c r="BN82" s="26"/>
      <c r="BO82" s="26"/>
      <c r="BP82" s="16" t="n">
        <v>45657</v>
      </c>
      <c r="BQ82" s="28" t="str">
        <f>HYPERLINK("https://organic.ams.usda.gov/Integrity/Certificate.aspx?cid=62&amp;nopid=8150021026")</f>
        <v>https://organic.ams.usda.gov/Integrity/Certificate.aspx?cid=62&amp;nopid=8150021026</v>
      </c>
    </row>
    <row r="83">
      <c r="A83" t="s">
        <v>3</v>
      </c>
      <c r="B83" s="6" t="s">
        <v>8</v>
      </c>
      <c r="C83" s="6" t="s">
        <v>55</v>
      </c>
      <c r="D83" s="6" t="s">
        <v>101</v>
      </c>
      <c r="E83" s="10" t="s">
        <v>224</v>
      </c>
      <c r="F83" s="6" t="s">
        <v>2963</v>
      </c>
      <c r="G83" s="6" t="s">
        <v>81</v>
      </c>
      <c r="H83" s="6" t="s">
        <v>5966</v>
      </c>
      <c r="I83" s="6" t="s">
        <v>8430</v>
      </c>
      <c r="J83" s="6" t="s">
        <v>9722</v>
      </c>
      <c r="K83" s="6" t="s">
        <v>10886</v>
      </c>
      <c r="L83" s="16" t="n">
        <v>38961</v>
      </c>
      <c r="M83" s="16" t="n">
        <v>45689</v>
      </c>
      <c r="N83" s="6" t="s">
        <v>10886</v>
      </c>
      <c r="O83" s="16" t="n">
        <v>38961</v>
      </c>
      <c r="P83" s="6" t="s">
        <v>10953</v>
      </c>
      <c r="Q83" s="6" t="s">
        <v>81</v>
      </c>
      <c r="R83" s="6" t="s">
        <v>5966</v>
      </c>
      <c r="S83" s="6" t="s">
        <v>10886</v>
      </c>
      <c r="T83" s="16" t="n">
        <v>38961</v>
      </c>
      <c r="U83" s="6" t="s">
        <v>13197</v>
      </c>
      <c r="V83" s="6" t="s">
        <v>81</v>
      </c>
      <c r="W83" s="6" t="s">
        <v>5966</v>
      </c>
      <c r="X83" s="6" t="s">
        <v>81</v>
      </c>
      <c r="Y83" s="21" t="s">
        <v>81</v>
      </c>
      <c r="Z83" s="6" t="s">
        <v>81</v>
      </c>
      <c r="AA83" s="6" t="s">
        <v>81</v>
      </c>
      <c r="AB83" s="6" t="s">
        <v>81</v>
      </c>
      <c r="AC83" s="6" t="s">
        <v>81</v>
      </c>
      <c r="AD83" s="21" t="s">
        <v>81</v>
      </c>
      <c r="AE83" s="6" t="s">
        <v>81</v>
      </c>
      <c r="AF83" s="6" t="s">
        <v>81</v>
      </c>
      <c r="AG83" s="6" t="s">
        <v>81</v>
      </c>
      <c r="AH83" s="6" t="s">
        <v>14693</v>
      </c>
      <c r="AI83" s="6" t="s">
        <v>81</v>
      </c>
      <c r="AJ83" s="6" t="s">
        <v>17377</v>
      </c>
      <c r="AK83" s="6" t="s">
        <v>18377</v>
      </c>
      <c r="AL83" s="6" t="s">
        <v>18444</v>
      </c>
      <c r="AM83" s="6" t="s">
        <v>18530</v>
      </c>
      <c r="AN83" s="6" t="s">
        <v>19638</v>
      </c>
      <c r="AO83" s="6" t="s">
        <v>19724</v>
      </c>
      <c r="AP83" s="6" t="s">
        <v>81</v>
      </c>
      <c r="AQ83" s="6" t="s">
        <v>81</v>
      </c>
      <c r="AR83" s="6" t="s">
        <v>81</v>
      </c>
      <c r="AS83" s="6" t="s">
        <v>81</v>
      </c>
      <c r="AT83" s="6" t="s">
        <v>81</v>
      </c>
      <c r="AU83" s="6" t="s">
        <v>81</v>
      </c>
      <c r="AV83" s="6" t="s">
        <v>81</v>
      </c>
      <c r="AW83" s="6" t="s">
        <v>81</v>
      </c>
      <c r="AX83" s="6" t="s">
        <v>20798</v>
      </c>
      <c r="AY83" s="6" t="s">
        <v>22579</v>
      </c>
      <c r="AZ83" s="6" t="s">
        <v>81</v>
      </c>
      <c r="BA83" s="6" t="s">
        <v>23819</v>
      </c>
      <c r="BB83" s="24" t="n">
        <v>318</v>
      </c>
      <c r="BC83" s="26"/>
      <c r="BD83" s="26"/>
      <c r="BE83" s="26"/>
      <c r="BF83" s="26"/>
      <c r="BG83" s="26"/>
      <c r="BH83" s="26"/>
      <c r="BI83" s="26"/>
      <c r="BJ83" s="26"/>
      <c r="BK83" s="26"/>
      <c r="BL83" s="26"/>
      <c r="BM83" s="26"/>
      <c r="BN83" s="26"/>
      <c r="BO83" s="26"/>
      <c r="BP83" s="16" t="n">
        <v>45720</v>
      </c>
      <c r="BQ83" s="28" t="str">
        <f>HYPERLINK("https://organic.ams.usda.gov/Integrity/Certificate.aspx?cid=45&amp;nopid=9950002425")</f>
        <v>https://organic.ams.usda.gov/Integrity/Certificate.aspx?cid=45&amp;nopid=9950002425</v>
      </c>
    </row>
    <row r="84">
      <c r="A84" t="s">
        <v>3</v>
      </c>
      <c r="B84" s="6" t="s">
        <v>8</v>
      </c>
      <c r="C84" s="6" t="s">
        <v>55</v>
      </c>
      <c r="D84" s="6" t="s">
        <v>101</v>
      </c>
      <c r="E84" s="10" t="s">
        <v>225</v>
      </c>
      <c r="F84" s="6" t="s">
        <v>2964</v>
      </c>
      <c r="G84" s="6" t="s">
        <v>81</v>
      </c>
      <c r="H84" s="6" t="s">
        <v>5967</v>
      </c>
      <c r="I84" s="6" t="s">
        <v>8431</v>
      </c>
      <c r="J84" s="6" t="s">
        <v>9723</v>
      </c>
      <c r="K84" s="6" t="s">
        <v>10886</v>
      </c>
      <c r="L84" s="16" t="n">
        <v>45693</v>
      </c>
      <c r="M84" s="16" t="n">
        <v>46054</v>
      </c>
      <c r="N84" s="6" t="s">
        <v>81</v>
      </c>
      <c r="O84" s="21" t="s">
        <v>81</v>
      </c>
      <c r="P84" s="6" t="s">
        <v>81</v>
      </c>
      <c r="Q84" s="6" t="s">
        <v>81</v>
      </c>
      <c r="R84" s="6" t="s">
        <v>81</v>
      </c>
      <c r="S84" s="6" t="s">
        <v>81</v>
      </c>
      <c r="T84" s="21" t="s">
        <v>81</v>
      </c>
      <c r="U84" s="6" t="s">
        <v>81</v>
      </c>
      <c r="V84" s="6" t="s">
        <v>81</v>
      </c>
      <c r="W84" s="6" t="s">
        <v>81</v>
      </c>
      <c r="X84" s="6" t="s">
        <v>81</v>
      </c>
      <c r="Y84" s="21" t="s">
        <v>81</v>
      </c>
      <c r="Z84" s="6" t="s">
        <v>81</v>
      </c>
      <c r="AA84" s="6" t="s">
        <v>81</v>
      </c>
      <c r="AB84" s="6" t="s">
        <v>81</v>
      </c>
      <c r="AC84" s="6" t="s">
        <v>10886</v>
      </c>
      <c r="AD84" s="16" t="n">
        <v>45693</v>
      </c>
      <c r="AE84" s="6" t="s">
        <v>14017</v>
      </c>
      <c r="AF84" s="6" t="s">
        <v>81</v>
      </c>
      <c r="AG84" s="6" t="s">
        <v>5967</v>
      </c>
      <c r="AH84" s="6" t="s">
        <v>14694</v>
      </c>
      <c r="AI84" s="6" t="s">
        <v>81</v>
      </c>
      <c r="AJ84" s="6" t="s">
        <v>17378</v>
      </c>
      <c r="AK84" s="6" t="s">
        <v>18377</v>
      </c>
      <c r="AL84" s="6" t="s">
        <v>18444</v>
      </c>
      <c r="AM84" s="6" t="s">
        <v>18531</v>
      </c>
      <c r="AN84" s="6" t="s">
        <v>81</v>
      </c>
      <c r="AO84" s="6" t="s">
        <v>81</v>
      </c>
      <c r="AP84" s="6" t="s">
        <v>20095</v>
      </c>
      <c r="AQ84" s="6" t="s">
        <v>81</v>
      </c>
      <c r="AR84" s="6" t="s">
        <v>20492</v>
      </c>
      <c r="AS84" s="6" t="s">
        <v>18377</v>
      </c>
      <c r="AT84" s="6" t="s">
        <v>18444</v>
      </c>
      <c r="AU84" s="6" t="s">
        <v>20598</v>
      </c>
      <c r="AV84" s="6" t="s">
        <v>81</v>
      </c>
      <c r="AW84" s="6" t="s">
        <v>81</v>
      </c>
      <c r="AX84" s="6" t="s">
        <v>20799</v>
      </c>
      <c r="AY84" s="6" t="s">
        <v>22580</v>
      </c>
      <c r="AZ84" s="6" t="s">
        <v>23581</v>
      </c>
      <c r="BA84" s="6" t="s">
        <v>23824</v>
      </c>
      <c r="BB84" s="24" t="n">
        <v>0</v>
      </c>
      <c r="BC84" s="26" t="s">
        <v>23900</v>
      </c>
      <c r="BD84" s="26"/>
      <c r="BE84" s="26"/>
      <c r="BF84" s="26"/>
      <c r="BG84" s="26"/>
      <c r="BH84" s="26"/>
      <c r="BI84" s="26"/>
      <c r="BJ84" s="26"/>
      <c r="BK84" s="26"/>
      <c r="BL84" s="26"/>
      <c r="BM84" s="26"/>
      <c r="BN84" s="26"/>
      <c r="BO84" s="26"/>
      <c r="BP84" s="16" t="n">
        <v>45729</v>
      </c>
      <c r="BQ84" s="28" t="str">
        <f>HYPERLINK("https://organic.ams.usda.gov/Integrity/Certificate.aspx?cid=45&amp;nopid=9950014451")</f>
        <v>https://organic.ams.usda.gov/Integrity/Certificate.aspx?cid=45&amp;nopid=9950014451</v>
      </c>
    </row>
    <row r="85">
      <c r="A85" t="s">
        <v>3</v>
      </c>
      <c r="B85" s="6" t="s">
        <v>21</v>
      </c>
      <c r="C85" s="6" t="s">
        <v>68</v>
      </c>
      <c r="D85" s="6" t="s">
        <v>114</v>
      </c>
      <c r="E85" s="10" t="s">
        <v>226</v>
      </c>
      <c r="F85" s="6" t="s">
        <v>2965</v>
      </c>
      <c r="G85" s="6" t="s">
        <v>81</v>
      </c>
      <c r="H85" s="6" t="s">
        <v>5968</v>
      </c>
      <c r="I85" s="6" t="s">
        <v>8432</v>
      </c>
      <c r="J85" s="6" t="s">
        <v>9724</v>
      </c>
      <c r="K85" s="6" t="s">
        <v>10886</v>
      </c>
      <c r="L85" s="16" t="n">
        <v>45365</v>
      </c>
      <c r="M85" s="16" t="n">
        <v>46023</v>
      </c>
      <c r="N85" s="6" t="s">
        <v>81</v>
      </c>
      <c r="O85" s="21" t="s">
        <v>81</v>
      </c>
      <c r="P85" s="6" t="s">
        <v>81</v>
      </c>
      <c r="Q85" s="6" t="s">
        <v>81</v>
      </c>
      <c r="R85" s="6" t="s">
        <v>81</v>
      </c>
      <c r="S85" s="6" t="s">
        <v>81</v>
      </c>
      <c r="T85" s="21" t="s">
        <v>81</v>
      </c>
      <c r="U85" s="6" t="s">
        <v>81</v>
      </c>
      <c r="V85" s="6" t="s">
        <v>81</v>
      </c>
      <c r="W85" s="6" t="s">
        <v>81</v>
      </c>
      <c r="X85" s="6" t="s">
        <v>81</v>
      </c>
      <c r="Y85" s="21" t="s">
        <v>81</v>
      </c>
      <c r="Z85" s="6" t="s">
        <v>81</v>
      </c>
      <c r="AA85" s="6" t="s">
        <v>81</v>
      </c>
      <c r="AB85" s="6" t="s">
        <v>81</v>
      </c>
      <c r="AC85" s="6" t="s">
        <v>10886</v>
      </c>
      <c r="AD85" s="16" t="n">
        <v>45365</v>
      </c>
      <c r="AE85" s="6" t="s">
        <v>14018</v>
      </c>
      <c r="AF85" s="6" t="s">
        <v>81</v>
      </c>
      <c r="AG85" s="6" t="s">
        <v>81</v>
      </c>
      <c r="AH85" s="6" t="s">
        <v>81</v>
      </c>
      <c r="AI85" s="6" t="s">
        <v>81</v>
      </c>
      <c r="AJ85" s="6" t="s">
        <v>81</v>
      </c>
      <c r="AK85" s="6" t="s">
        <v>81</v>
      </c>
      <c r="AL85" s="6" t="s">
        <v>81</v>
      </c>
      <c r="AM85" s="6" t="s">
        <v>81</v>
      </c>
      <c r="AN85" s="6" t="s">
        <v>81</v>
      </c>
      <c r="AO85" s="6" t="s">
        <v>81</v>
      </c>
      <c r="AP85" s="6" t="s">
        <v>20096</v>
      </c>
      <c r="AQ85" s="6" t="s">
        <v>81</v>
      </c>
      <c r="AR85" s="6" t="s">
        <v>20493</v>
      </c>
      <c r="AS85" s="6" t="s">
        <v>18414</v>
      </c>
      <c r="AT85" s="6" t="s">
        <v>18444</v>
      </c>
      <c r="AU85" s="6" t="s">
        <v>20599</v>
      </c>
      <c r="AV85" s="6" t="s">
        <v>81</v>
      </c>
      <c r="AW85" s="6" t="s">
        <v>81</v>
      </c>
      <c r="AX85" s="6" t="s">
        <v>20800</v>
      </c>
      <c r="AY85" s="6" t="s">
        <v>22581</v>
      </c>
      <c r="AZ85" s="6" t="s">
        <v>81</v>
      </c>
      <c r="BA85" s="6" t="s">
        <v>81</v>
      </c>
      <c r="BB85" s="6" t="s">
        <v>81</v>
      </c>
      <c r="BC85" s="26" t="s">
        <v>23900</v>
      </c>
      <c r="BD85" s="26"/>
      <c r="BE85" s="26"/>
      <c r="BF85" s="26"/>
      <c r="BG85" s="26"/>
      <c r="BH85" s="26"/>
      <c r="BI85" s="26"/>
      <c r="BJ85" s="26"/>
      <c r="BK85" s="26"/>
      <c r="BL85" s="26"/>
      <c r="BM85" s="26"/>
      <c r="BN85" s="26"/>
      <c r="BO85" s="26"/>
      <c r="BP85" s="16" t="n">
        <v>45677</v>
      </c>
      <c r="BQ85" s="28" t="str">
        <f>HYPERLINK("https://organic.ams.usda.gov/Integrity/Certificate.aspx?cid=62&amp;nopid=8150023959")</f>
        <v>https://organic.ams.usda.gov/Integrity/Certificate.aspx?cid=62&amp;nopid=8150023959</v>
      </c>
    </row>
    <row r="86">
      <c r="A86" t="s">
        <v>3</v>
      </c>
      <c r="B86" s="6" t="s">
        <v>11</v>
      </c>
      <c r="C86" s="6" t="s">
        <v>58</v>
      </c>
      <c r="D86" s="6" t="s">
        <v>104</v>
      </c>
      <c r="E86" s="10" t="s">
        <v>227</v>
      </c>
      <c r="F86" s="6" t="s">
        <v>2966</v>
      </c>
      <c r="G86" s="6" t="s">
        <v>81</v>
      </c>
      <c r="H86" s="6" t="s">
        <v>81</v>
      </c>
      <c r="I86" s="6" t="s">
        <v>8433</v>
      </c>
      <c r="J86" s="6" t="s">
        <v>9725</v>
      </c>
      <c r="K86" s="6" t="s">
        <v>10886</v>
      </c>
      <c r="L86" s="16" t="n">
        <v>43343</v>
      </c>
      <c r="M86" s="16" t="n">
        <v>45383</v>
      </c>
      <c r="N86" s="6" t="s">
        <v>10886</v>
      </c>
      <c r="O86" s="16" t="n">
        <v>43343</v>
      </c>
      <c r="P86" s="6" t="s">
        <v>10954</v>
      </c>
      <c r="Q86" s="6" t="s">
        <v>81</v>
      </c>
      <c r="R86" s="6" t="s">
        <v>81</v>
      </c>
      <c r="S86" s="6" t="s">
        <v>10886</v>
      </c>
      <c r="T86" s="16" t="n">
        <v>43343</v>
      </c>
      <c r="U86" s="6" t="s">
        <v>13198</v>
      </c>
      <c r="V86" s="6" t="s">
        <v>81</v>
      </c>
      <c r="W86" s="6" t="s">
        <v>81</v>
      </c>
      <c r="X86" s="6" t="s">
        <v>81</v>
      </c>
      <c r="Y86" s="21" t="s">
        <v>81</v>
      </c>
      <c r="Z86" s="6" t="s">
        <v>81</v>
      </c>
      <c r="AA86" s="6" t="s">
        <v>81</v>
      </c>
      <c r="AB86" s="6" t="s">
        <v>81</v>
      </c>
      <c r="AC86" s="6" t="s">
        <v>81</v>
      </c>
      <c r="AD86" s="21" t="s">
        <v>81</v>
      </c>
      <c r="AE86" s="6" t="s">
        <v>81</v>
      </c>
      <c r="AF86" s="6" t="s">
        <v>81</v>
      </c>
      <c r="AG86" s="6" t="s">
        <v>81</v>
      </c>
      <c r="AH86" s="6" t="s">
        <v>14695</v>
      </c>
      <c r="AI86" s="6" t="s">
        <v>81</v>
      </c>
      <c r="AJ86" s="6" t="s">
        <v>17379</v>
      </c>
      <c r="AK86" s="6" t="s">
        <v>18381</v>
      </c>
      <c r="AL86" s="6" t="s">
        <v>18444</v>
      </c>
      <c r="AM86" s="6" t="s">
        <v>18532</v>
      </c>
      <c r="AN86" s="6" t="s">
        <v>19663</v>
      </c>
      <c r="AO86" s="6" t="s">
        <v>19763</v>
      </c>
      <c r="AP86" s="6" t="s">
        <v>14695</v>
      </c>
      <c r="AQ86" s="6" t="s">
        <v>81</v>
      </c>
      <c r="AR86" s="6" t="s">
        <v>17379</v>
      </c>
      <c r="AS86" s="6" t="s">
        <v>18381</v>
      </c>
      <c r="AT86" s="6" t="s">
        <v>18444</v>
      </c>
      <c r="AU86" s="6" t="s">
        <v>18532</v>
      </c>
      <c r="AV86" s="6" t="s">
        <v>81</v>
      </c>
      <c r="AW86" s="6" t="s">
        <v>81</v>
      </c>
      <c r="AX86" s="6" t="s">
        <v>20801</v>
      </c>
      <c r="AY86" s="6" t="s">
        <v>22582</v>
      </c>
      <c r="AZ86" s="6" t="s">
        <v>81</v>
      </c>
      <c r="BA86" s="6" t="s">
        <v>81</v>
      </c>
      <c r="BB86" s="24" t="n">
        <v>264</v>
      </c>
      <c r="BC86" s="26"/>
      <c r="BD86" s="26"/>
      <c r="BE86" s="26"/>
      <c r="BF86" s="26"/>
      <c r="BG86" s="26"/>
      <c r="BH86" s="26"/>
      <c r="BI86" s="26"/>
      <c r="BJ86" s="26"/>
      <c r="BK86" s="26"/>
      <c r="BL86" s="26"/>
      <c r="BM86" s="26"/>
      <c r="BN86" s="26"/>
      <c r="BO86" s="26"/>
      <c r="BP86" s="16" t="n">
        <v>45616</v>
      </c>
      <c r="BQ86" s="28" t="str">
        <f>HYPERLINK("https://organic.ams.usda.gov/Integrity/Certificate.aspx?cid=46&amp;nopid=3671800055")</f>
        <v>https://organic.ams.usda.gov/Integrity/Certificate.aspx?cid=46&amp;nopid=3671800055</v>
      </c>
    </row>
    <row r="87">
      <c r="A87" t="s">
        <v>3</v>
      </c>
      <c r="B87" s="6" t="s">
        <v>11</v>
      </c>
      <c r="C87" s="6" t="s">
        <v>58</v>
      </c>
      <c r="D87" s="6" t="s">
        <v>104</v>
      </c>
      <c r="E87" s="10" t="s">
        <v>228</v>
      </c>
      <c r="F87" s="6" t="s">
        <v>2967</v>
      </c>
      <c r="G87" s="6" t="s">
        <v>81</v>
      </c>
      <c r="H87" s="6" t="s">
        <v>81</v>
      </c>
      <c r="I87" s="6" t="s">
        <v>8434</v>
      </c>
      <c r="J87" s="6" t="s">
        <v>9665</v>
      </c>
      <c r="K87" s="6" t="s">
        <v>10886</v>
      </c>
      <c r="L87" s="16" t="n">
        <v>43412</v>
      </c>
      <c r="M87" s="16" t="n">
        <v>45748</v>
      </c>
      <c r="N87" s="6" t="s">
        <v>10886</v>
      </c>
      <c r="O87" s="16" t="n">
        <v>43412</v>
      </c>
      <c r="P87" s="6" t="s">
        <v>10955</v>
      </c>
      <c r="Q87" s="6" t="s">
        <v>81</v>
      </c>
      <c r="R87" s="6" t="s">
        <v>81</v>
      </c>
      <c r="S87" s="6" t="s">
        <v>10886</v>
      </c>
      <c r="T87" s="16" t="n">
        <v>43412</v>
      </c>
      <c r="U87" s="6" t="s">
        <v>13199</v>
      </c>
      <c r="V87" s="6" t="s">
        <v>81</v>
      </c>
      <c r="W87" s="6" t="s">
        <v>81</v>
      </c>
      <c r="X87" s="6" t="s">
        <v>81</v>
      </c>
      <c r="Y87" s="21" t="s">
        <v>81</v>
      </c>
      <c r="Z87" s="6" t="s">
        <v>81</v>
      </c>
      <c r="AA87" s="6" t="s">
        <v>81</v>
      </c>
      <c r="AB87" s="6" t="s">
        <v>81</v>
      </c>
      <c r="AC87" s="6" t="s">
        <v>10886</v>
      </c>
      <c r="AD87" s="16" t="n">
        <v>43412</v>
      </c>
      <c r="AE87" s="6" t="s">
        <v>14019</v>
      </c>
      <c r="AF87" s="6" t="s">
        <v>81</v>
      </c>
      <c r="AG87" s="6" t="s">
        <v>81</v>
      </c>
      <c r="AH87" s="6" t="s">
        <v>14696</v>
      </c>
      <c r="AI87" s="6" t="s">
        <v>81</v>
      </c>
      <c r="AJ87" s="6" t="s">
        <v>17377</v>
      </c>
      <c r="AK87" s="6" t="s">
        <v>18377</v>
      </c>
      <c r="AL87" s="6" t="s">
        <v>18444</v>
      </c>
      <c r="AM87" s="6" t="s">
        <v>18530</v>
      </c>
      <c r="AN87" s="6" t="s">
        <v>19634</v>
      </c>
      <c r="AO87" s="6" t="s">
        <v>19764</v>
      </c>
      <c r="AP87" s="6" t="s">
        <v>14696</v>
      </c>
      <c r="AQ87" s="6" t="s">
        <v>81</v>
      </c>
      <c r="AR87" s="6" t="s">
        <v>17377</v>
      </c>
      <c r="AS87" s="6" t="s">
        <v>18377</v>
      </c>
      <c r="AT87" s="6" t="s">
        <v>18444</v>
      </c>
      <c r="AU87" s="6" t="s">
        <v>18530</v>
      </c>
      <c r="AV87" s="6" t="s">
        <v>81</v>
      </c>
      <c r="AW87" s="6" t="s">
        <v>81</v>
      </c>
      <c r="AX87" s="6" t="s">
        <v>81</v>
      </c>
      <c r="AY87" s="6" t="s">
        <v>81</v>
      </c>
      <c r="AZ87" s="6" t="s">
        <v>81</v>
      </c>
      <c r="BA87" s="6" t="s">
        <v>23825</v>
      </c>
      <c r="BB87" s="24" t="n">
        <v>297</v>
      </c>
      <c r="BC87" s="26"/>
      <c r="BD87" s="26"/>
      <c r="BE87" s="26"/>
      <c r="BF87" s="26"/>
      <c r="BG87" s="26"/>
      <c r="BH87" s="26"/>
      <c r="BI87" s="26"/>
      <c r="BJ87" s="26"/>
      <c r="BK87" s="26"/>
      <c r="BL87" s="26"/>
      <c r="BM87" s="26"/>
      <c r="BN87" s="26"/>
      <c r="BO87" s="26"/>
      <c r="BP87" s="16" t="n">
        <v>45726</v>
      </c>
      <c r="BQ87" s="28" t="str">
        <f>HYPERLINK("https://organic.ams.usda.gov/Integrity/Certificate.aspx?cid=46&amp;nopid=3671800098")</f>
        <v>https://organic.ams.usda.gov/Integrity/Certificate.aspx?cid=46&amp;nopid=3671800098</v>
      </c>
    </row>
    <row r="88">
      <c r="A88" t="s">
        <v>3</v>
      </c>
      <c r="B88" s="6" t="s">
        <v>10</v>
      </c>
      <c r="C88" s="6" t="s">
        <v>57</v>
      </c>
      <c r="D88" s="6" t="s">
        <v>103</v>
      </c>
      <c r="E88" s="10" t="s">
        <v>229</v>
      </c>
      <c r="F88" s="6" t="s">
        <v>2968</v>
      </c>
      <c r="G88" s="6" t="s">
        <v>81</v>
      </c>
      <c r="H88" s="6" t="s">
        <v>5969</v>
      </c>
      <c r="I88" s="6" t="s">
        <v>8435</v>
      </c>
      <c r="J88" s="6" t="s">
        <v>9726</v>
      </c>
      <c r="K88" s="6" t="s">
        <v>10886</v>
      </c>
      <c r="L88" s="16" t="n">
        <v>41030</v>
      </c>
      <c r="M88" s="16" t="n">
        <v>45748</v>
      </c>
      <c r="N88" s="6" t="s">
        <v>10886</v>
      </c>
      <c r="O88" s="16" t="n">
        <v>41030</v>
      </c>
      <c r="P88" s="6" t="s">
        <v>10956</v>
      </c>
      <c r="Q88" s="6" t="s">
        <v>81</v>
      </c>
      <c r="R88" s="6" t="s">
        <v>12448</v>
      </c>
      <c r="S88" s="6" t="s">
        <v>10886</v>
      </c>
      <c r="T88" s="16" t="n">
        <v>41030</v>
      </c>
      <c r="U88" s="6" t="s">
        <v>13163</v>
      </c>
      <c r="V88" s="6" t="s">
        <v>81</v>
      </c>
      <c r="W88" s="6" t="s">
        <v>81</v>
      </c>
      <c r="X88" s="6" t="s">
        <v>81</v>
      </c>
      <c r="Y88" s="21" t="s">
        <v>81</v>
      </c>
      <c r="Z88" s="6" t="s">
        <v>81</v>
      </c>
      <c r="AA88" s="6" t="s">
        <v>81</v>
      </c>
      <c r="AB88" s="6" t="s">
        <v>81</v>
      </c>
      <c r="AC88" s="6" t="s">
        <v>81</v>
      </c>
      <c r="AD88" s="21" t="s">
        <v>81</v>
      </c>
      <c r="AE88" s="6" t="s">
        <v>81</v>
      </c>
      <c r="AF88" s="6" t="s">
        <v>81</v>
      </c>
      <c r="AG88" s="6" t="s">
        <v>81</v>
      </c>
      <c r="AH88" s="6" t="s">
        <v>14697</v>
      </c>
      <c r="AI88" s="6" t="s">
        <v>81</v>
      </c>
      <c r="AJ88" s="6" t="s">
        <v>17380</v>
      </c>
      <c r="AK88" s="6" t="s">
        <v>18379</v>
      </c>
      <c r="AL88" s="6" t="s">
        <v>18444</v>
      </c>
      <c r="AM88" s="6" t="s">
        <v>18533</v>
      </c>
      <c r="AN88" s="6" t="s">
        <v>19637</v>
      </c>
      <c r="AO88" s="6" t="s">
        <v>19723</v>
      </c>
      <c r="AP88" s="6" t="s">
        <v>14697</v>
      </c>
      <c r="AQ88" s="6" t="s">
        <v>81</v>
      </c>
      <c r="AR88" s="6" t="s">
        <v>17380</v>
      </c>
      <c r="AS88" s="6" t="s">
        <v>18379</v>
      </c>
      <c r="AT88" s="6" t="s">
        <v>18444</v>
      </c>
      <c r="AU88" s="6" t="s">
        <v>18533</v>
      </c>
      <c r="AV88" s="6" t="s">
        <v>81</v>
      </c>
      <c r="AW88" s="6" t="s">
        <v>81</v>
      </c>
      <c r="AX88" s="6" t="s">
        <v>20802</v>
      </c>
      <c r="AY88" s="6" t="s">
        <v>81</v>
      </c>
      <c r="AZ88" s="6" t="s">
        <v>81</v>
      </c>
      <c r="BA88" s="6" t="s">
        <v>81</v>
      </c>
      <c r="BB88" s="24" t="n">
        <v>91</v>
      </c>
      <c r="BC88" s="26"/>
      <c r="BD88" s="26"/>
      <c r="BE88" s="26"/>
      <c r="BF88" s="26"/>
      <c r="BG88" s="26"/>
      <c r="BH88" s="26"/>
      <c r="BI88" s="26"/>
      <c r="BJ88" s="26"/>
      <c r="BK88" s="26"/>
      <c r="BL88" s="26"/>
      <c r="BM88" s="26"/>
      <c r="BN88" s="26"/>
      <c r="BO88" s="26"/>
      <c r="BP88" s="16" t="n">
        <v>45730</v>
      </c>
      <c r="BQ88" s="28" t="str">
        <f>HYPERLINK("https://organic.ams.usda.gov/Integrity/Certificate.aspx?cid=90&amp;nopid=7170210338")</f>
        <v>https://organic.ams.usda.gov/Integrity/Certificate.aspx?cid=90&amp;nopid=7170210338</v>
      </c>
    </row>
    <row r="89">
      <c r="A89" t="s">
        <v>3</v>
      </c>
      <c r="B89" s="6" t="s">
        <v>10</v>
      </c>
      <c r="C89" s="6" t="s">
        <v>57</v>
      </c>
      <c r="D89" s="6" t="s">
        <v>103</v>
      </c>
      <c r="E89" s="10" t="s">
        <v>230</v>
      </c>
      <c r="F89" s="6" t="s">
        <v>2969</v>
      </c>
      <c r="G89" s="6" t="s">
        <v>81</v>
      </c>
      <c r="H89" s="6" t="s">
        <v>5970</v>
      </c>
      <c r="I89" s="6" t="s">
        <v>8436</v>
      </c>
      <c r="J89" s="6" t="s">
        <v>9665</v>
      </c>
      <c r="K89" s="6" t="s">
        <v>10886</v>
      </c>
      <c r="L89" s="16" t="n">
        <v>41172</v>
      </c>
      <c r="M89" s="16" t="n">
        <v>45748</v>
      </c>
      <c r="N89" s="6" t="s">
        <v>10886</v>
      </c>
      <c r="O89" s="16" t="n">
        <v>41172</v>
      </c>
      <c r="P89" s="6" t="s">
        <v>10925</v>
      </c>
      <c r="Q89" s="6" t="s">
        <v>81</v>
      </c>
      <c r="R89" s="6" t="s">
        <v>12449</v>
      </c>
      <c r="S89" s="6" t="s">
        <v>10886</v>
      </c>
      <c r="T89" s="16" t="n">
        <v>41172</v>
      </c>
      <c r="U89" s="6" t="s">
        <v>13163</v>
      </c>
      <c r="V89" s="6" t="s">
        <v>81</v>
      </c>
      <c r="W89" s="6" t="s">
        <v>81</v>
      </c>
      <c r="X89" s="6" t="s">
        <v>81</v>
      </c>
      <c r="Y89" s="21" t="s">
        <v>81</v>
      </c>
      <c r="Z89" s="6" t="s">
        <v>81</v>
      </c>
      <c r="AA89" s="6" t="s">
        <v>81</v>
      </c>
      <c r="AB89" s="6" t="s">
        <v>81</v>
      </c>
      <c r="AC89" s="6" t="s">
        <v>81</v>
      </c>
      <c r="AD89" s="21" t="s">
        <v>81</v>
      </c>
      <c r="AE89" s="6" t="s">
        <v>81</v>
      </c>
      <c r="AF89" s="6" t="s">
        <v>81</v>
      </c>
      <c r="AG89" s="6" t="s">
        <v>81</v>
      </c>
      <c r="AH89" s="6" t="s">
        <v>14698</v>
      </c>
      <c r="AI89" s="6" t="s">
        <v>81</v>
      </c>
      <c r="AJ89" s="6" t="s">
        <v>17381</v>
      </c>
      <c r="AK89" s="6" t="s">
        <v>18379</v>
      </c>
      <c r="AL89" s="6" t="s">
        <v>18444</v>
      </c>
      <c r="AM89" s="6" t="s">
        <v>18534</v>
      </c>
      <c r="AN89" s="6" t="s">
        <v>19654</v>
      </c>
      <c r="AO89" s="6" t="s">
        <v>19765</v>
      </c>
      <c r="AP89" s="6" t="s">
        <v>14698</v>
      </c>
      <c r="AQ89" s="6" t="s">
        <v>81</v>
      </c>
      <c r="AR89" s="6" t="s">
        <v>17381</v>
      </c>
      <c r="AS89" s="6" t="s">
        <v>18379</v>
      </c>
      <c r="AT89" s="6" t="s">
        <v>18444</v>
      </c>
      <c r="AU89" s="6" t="s">
        <v>18534</v>
      </c>
      <c r="AV89" s="6" t="s">
        <v>81</v>
      </c>
      <c r="AW89" s="6" t="s">
        <v>81</v>
      </c>
      <c r="AX89" s="6" t="s">
        <v>20803</v>
      </c>
      <c r="AY89" s="6" t="s">
        <v>81</v>
      </c>
      <c r="AZ89" s="6" t="s">
        <v>81</v>
      </c>
      <c r="BA89" s="6" t="s">
        <v>81</v>
      </c>
      <c r="BB89" s="24" t="n">
        <v>92</v>
      </c>
      <c r="BC89" s="26"/>
      <c r="BD89" s="26"/>
      <c r="BE89" s="26"/>
      <c r="BF89" s="26"/>
      <c r="BG89" s="26"/>
      <c r="BH89" s="26"/>
      <c r="BI89" s="26"/>
      <c r="BJ89" s="26"/>
      <c r="BK89" s="26"/>
      <c r="BL89" s="26"/>
      <c r="BM89" s="26"/>
      <c r="BN89" s="26"/>
      <c r="BO89" s="26"/>
      <c r="BP89" s="16" t="n">
        <v>45730</v>
      </c>
      <c r="BQ89" s="28" t="str">
        <f>HYPERLINK("https://organic.ams.usda.gov/Integrity/Certificate.aspx?cid=90&amp;nopid=7170020129")</f>
        <v>https://organic.ams.usda.gov/Integrity/Certificate.aspx?cid=90&amp;nopid=7170020129</v>
      </c>
    </row>
    <row r="90">
      <c r="A90" t="s">
        <v>3</v>
      </c>
      <c r="B90" s="6" t="s">
        <v>7</v>
      </c>
      <c r="C90" s="6" t="s">
        <v>54</v>
      </c>
      <c r="D90" s="6" t="s">
        <v>100</v>
      </c>
      <c r="E90" s="10" t="s">
        <v>231</v>
      </c>
      <c r="F90" s="6" t="s">
        <v>2970</v>
      </c>
      <c r="G90" s="6" t="s">
        <v>81</v>
      </c>
      <c r="H90" s="6" t="s">
        <v>5971</v>
      </c>
      <c r="I90" s="6" t="s">
        <v>8437</v>
      </c>
      <c r="J90" s="6" t="s">
        <v>9727</v>
      </c>
      <c r="K90" s="6" t="s">
        <v>10886</v>
      </c>
      <c r="L90" s="16" t="n">
        <v>41399</v>
      </c>
      <c r="M90" s="16" t="n">
        <v>45716</v>
      </c>
      <c r="N90" s="6" t="s">
        <v>10886</v>
      </c>
      <c r="O90" s="16" t="n">
        <v>41399</v>
      </c>
      <c r="P90" s="6" t="s">
        <v>10944</v>
      </c>
      <c r="Q90" s="6" t="s">
        <v>81</v>
      </c>
      <c r="R90" s="6" t="s">
        <v>81</v>
      </c>
      <c r="S90" s="6" t="s">
        <v>10886</v>
      </c>
      <c r="T90" s="16" t="n">
        <v>41513</v>
      </c>
      <c r="U90" s="6" t="s">
        <v>13169</v>
      </c>
      <c r="V90" s="6" t="s">
        <v>81</v>
      </c>
      <c r="W90" s="6" t="s">
        <v>81</v>
      </c>
      <c r="X90" s="6" t="s">
        <v>81</v>
      </c>
      <c r="Y90" s="21" t="s">
        <v>81</v>
      </c>
      <c r="Z90" s="6" t="s">
        <v>81</v>
      </c>
      <c r="AA90" s="6" t="s">
        <v>81</v>
      </c>
      <c r="AB90" s="6" t="s">
        <v>81</v>
      </c>
      <c r="AC90" s="6" t="s">
        <v>81</v>
      </c>
      <c r="AD90" s="21" t="s">
        <v>81</v>
      </c>
      <c r="AE90" s="6" t="s">
        <v>81</v>
      </c>
      <c r="AF90" s="6" t="s">
        <v>81</v>
      </c>
      <c r="AG90" s="6" t="s">
        <v>81</v>
      </c>
      <c r="AH90" s="6" t="s">
        <v>14699</v>
      </c>
      <c r="AI90" s="6" t="s">
        <v>81</v>
      </c>
      <c r="AJ90" s="6" t="s">
        <v>17382</v>
      </c>
      <c r="AK90" s="6" t="s">
        <v>17712</v>
      </c>
      <c r="AL90" s="6" t="s">
        <v>18444</v>
      </c>
      <c r="AM90" s="6" t="s">
        <v>18535</v>
      </c>
      <c r="AN90" s="6" t="s">
        <v>19643</v>
      </c>
      <c r="AO90" s="6" t="s">
        <v>19766</v>
      </c>
      <c r="AP90" s="6" t="s">
        <v>14699</v>
      </c>
      <c r="AQ90" s="6" t="s">
        <v>81</v>
      </c>
      <c r="AR90" s="6" t="s">
        <v>17382</v>
      </c>
      <c r="AS90" s="6" t="s">
        <v>17712</v>
      </c>
      <c r="AT90" s="6" t="s">
        <v>18444</v>
      </c>
      <c r="AU90" s="6" t="s">
        <v>18535</v>
      </c>
      <c r="AV90" s="6" t="s">
        <v>81</v>
      </c>
      <c r="AW90" s="6" t="s">
        <v>81</v>
      </c>
      <c r="AX90" s="6" t="s">
        <v>81</v>
      </c>
      <c r="AY90" s="6" t="s">
        <v>81</v>
      </c>
      <c r="AZ90" s="6" t="s">
        <v>81</v>
      </c>
      <c r="BA90" s="6" t="s">
        <v>81</v>
      </c>
      <c r="BB90" s="24" t="n">
        <v>64</v>
      </c>
      <c r="BC90" s="26"/>
      <c r="BD90" s="26"/>
      <c r="BE90" s="26"/>
      <c r="BF90" s="26" t="s">
        <v>23900</v>
      </c>
      <c r="BG90" s="26"/>
      <c r="BH90" s="26"/>
      <c r="BI90" s="26"/>
      <c r="BJ90" s="26"/>
      <c r="BK90" s="26"/>
      <c r="BL90" s="26"/>
      <c r="BM90" s="26"/>
      <c r="BN90" s="26"/>
      <c r="BO90" s="26"/>
      <c r="BP90" s="16" t="n">
        <v>45730</v>
      </c>
      <c r="BQ90" s="28" t="str">
        <f>HYPERLINK("https://organic.ams.usda.gov/Integrity/Certificate.aspx?cid=57&amp;nopid=3252013020")</f>
        <v>https://organic.ams.usda.gov/Integrity/Certificate.aspx?cid=57&amp;nopid=3252013020</v>
      </c>
    </row>
    <row r="91">
      <c r="A91" t="s">
        <v>3</v>
      </c>
      <c r="B91" s="6" t="s">
        <v>8</v>
      </c>
      <c r="C91" s="6" t="s">
        <v>55</v>
      </c>
      <c r="D91" s="6" t="s">
        <v>101</v>
      </c>
      <c r="E91" s="10" t="s">
        <v>232</v>
      </c>
      <c r="F91" s="6" t="s">
        <v>2971</v>
      </c>
      <c r="G91" s="6" t="s">
        <v>81</v>
      </c>
      <c r="H91" s="6" t="s">
        <v>5972</v>
      </c>
      <c r="I91" s="6" t="s">
        <v>8437</v>
      </c>
      <c r="J91" s="6" t="s">
        <v>9675</v>
      </c>
      <c r="K91" s="6" t="s">
        <v>10886</v>
      </c>
      <c r="L91" s="16" t="n">
        <v>43370</v>
      </c>
      <c r="M91" s="18" t="s">
        <v>81</v>
      </c>
      <c r="N91" s="6" t="s">
        <v>10886</v>
      </c>
      <c r="O91" s="16" t="n">
        <v>43370</v>
      </c>
      <c r="P91" s="6" t="s">
        <v>10957</v>
      </c>
      <c r="Q91" s="6" t="s">
        <v>81</v>
      </c>
      <c r="R91" s="6" t="s">
        <v>81</v>
      </c>
      <c r="S91" s="6" t="s">
        <v>10886</v>
      </c>
      <c r="T91" s="16" t="n">
        <v>43370</v>
      </c>
      <c r="U91" s="6" t="s">
        <v>13200</v>
      </c>
      <c r="V91" s="6" t="s">
        <v>81</v>
      </c>
      <c r="W91" s="6" t="s">
        <v>81</v>
      </c>
      <c r="X91" s="6" t="s">
        <v>81</v>
      </c>
      <c r="Y91" s="21" t="s">
        <v>81</v>
      </c>
      <c r="Z91" s="6" t="s">
        <v>81</v>
      </c>
      <c r="AA91" s="6" t="s">
        <v>81</v>
      </c>
      <c r="AB91" s="6" t="s">
        <v>81</v>
      </c>
      <c r="AC91" s="6" t="s">
        <v>81</v>
      </c>
      <c r="AD91" s="21" t="s">
        <v>81</v>
      </c>
      <c r="AE91" s="6" t="s">
        <v>81</v>
      </c>
      <c r="AF91" s="6" t="s">
        <v>81</v>
      </c>
      <c r="AG91" s="6" t="s">
        <v>81</v>
      </c>
      <c r="AH91" s="6" t="s">
        <v>14700</v>
      </c>
      <c r="AI91" s="6" t="s">
        <v>81</v>
      </c>
      <c r="AJ91" s="6" t="s">
        <v>10488</v>
      </c>
      <c r="AK91" s="6" t="s">
        <v>18377</v>
      </c>
      <c r="AL91" s="6" t="s">
        <v>18444</v>
      </c>
      <c r="AM91" s="6" t="s">
        <v>18536</v>
      </c>
      <c r="AN91" s="6" t="s">
        <v>7195</v>
      </c>
      <c r="AO91" s="6" t="s">
        <v>19737</v>
      </c>
      <c r="AP91" s="6" t="s">
        <v>81</v>
      </c>
      <c r="AQ91" s="6" t="s">
        <v>81</v>
      </c>
      <c r="AR91" s="6" t="s">
        <v>81</v>
      </c>
      <c r="AS91" s="6" t="s">
        <v>81</v>
      </c>
      <c r="AT91" s="6" t="s">
        <v>81</v>
      </c>
      <c r="AU91" s="6" t="s">
        <v>81</v>
      </c>
      <c r="AV91" s="6" t="s">
        <v>81</v>
      </c>
      <c r="AW91" s="6" t="s">
        <v>81</v>
      </c>
      <c r="AX91" s="6" t="s">
        <v>81</v>
      </c>
      <c r="AY91" s="6" t="s">
        <v>81</v>
      </c>
      <c r="AZ91" s="6" t="s">
        <v>81</v>
      </c>
      <c r="BA91" s="6" t="s">
        <v>81</v>
      </c>
      <c r="BB91" s="24" t="n">
        <v>122</v>
      </c>
      <c r="BC91" s="26"/>
      <c r="BD91" s="26"/>
      <c r="BE91" s="26"/>
      <c r="BF91" s="26"/>
      <c r="BG91" s="26"/>
      <c r="BH91" s="26"/>
      <c r="BI91" s="26"/>
      <c r="BJ91" s="26"/>
      <c r="BK91" s="26"/>
      <c r="BL91" s="26"/>
      <c r="BM91" s="26"/>
      <c r="BN91" s="26"/>
      <c r="BO91" s="26"/>
      <c r="BP91" s="16" t="n">
        <v>45292</v>
      </c>
      <c r="BQ91" s="28" t="str">
        <f>HYPERLINK("https://organic.ams.usda.gov/Integrity/Certificate.aspx?cid=45&amp;nopid=9950010735")</f>
        <v>https://organic.ams.usda.gov/Integrity/Certificate.aspx?cid=45&amp;nopid=9950010735</v>
      </c>
    </row>
    <row r="92">
      <c r="A92" t="s">
        <v>3</v>
      </c>
      <c r="B92" s="6" t="s">
        <v>7</v>
      </c>
      <c r="C92" s="6" t="s">
        <v>54</v>
      </c>
      <c r="D92" s="6" t="s">
        <v>100</v>
      </c>
      <c r="E92" s="10" t="s">
        <v>233</v>
      </c>
      <c r="F92" s="6" t="s">
        <v>2972</v>
      </c>
      <c r="G92" s="6" t="s">
        <v>81</v>
      </c>
      <c r="H92" s="6" t="s">
        <v>5973</v>
      </c>
      <c r="I92" s="6" t="s">
        <v>8437</v>
      </c>
      <c r="J92" s="6" t="s">
        <v>9666</v>
      </c>
      <c r="K92" s="6" t="s">
        <v>10886</v>
      </c>
      <c r="L92" s="16" t="n">
        <v>44130</v>
      </c>
      <c r="M92" s="16" t="n">
        <v>45716</v>
      </c>
      <c r="N92" s="6" t="s">
        <v>10886</v>
      </c>
      <c r="O92" s="16" t="n">
        <v>44130</v>
      </c>
      <c r="P92" s="6" t="s">
        <v>10910</v>
      </c>
      <c r="Q92" s="6" t="s">
        <v>81</v>
      </c>
      <c r="R92" s="6" t="s">
        <v>81</v>
      </c>
      <c r="S92" s="6" t="s">
        <v>10886</v>
      </c>
      <c r="T92" s="16" t="n">
        <v>44153</v>
      </c>
      <c r="U92" s="6" t="s">
        <v>13169</v>
      </c>
      <c r="V92" s="6" t="s">
        <v>81</v>
      </c>
      <c r="W92" s="6" t="s">
        <v>81</v>
      </c>
      <c r="X92" s="6" t="s">
        <v>81</v>
      </c>
      <c r="Y92" s="21" t="s">
        <v>81</v>
      </c>
      <c r="Z92" s="6" t="s">
        <v>81</v>
      </c>
      <c r="AA92" s="6" t="s">
        <v>81</v>
      </c>
      <c r="AB92" s="6" t="s">
        <v>81</v>
      </c>
      <c r="AC92" s="6" t="s">
        <v>81</v>
      </c>
      <c r="AD92" s="21" t="s">
        <v>81</v>
      </c>
      <c r="AE92" s="6" t="s">
        <v>81</v>
      </c>
      <c r="AF92" s="6" t="s">
        <v>81</v>
      </c>
      <c r="AG92" s="6" t="s">
        <v>81</v>
      </c>
      <c r="AH92" s="6" t="s">
        <v>14701</v>
      </c>
      <c r="AI92" s="6" t="s">
        <v>81</v>
      </c>
      <c r="AJ92" s="6" t="s">
        <v>17383</v>
      </c>
      <c r="AK92" s="6" t="s">
        <v>17712</v>
      </c>
      <c r="AL92" s="6" t="s">
        <v>18444</v>
      </c>
      <c r="AM92" s="6" t="s">
        <v>18537</v>
      </c>
      <c r="AN92" s="6" t="s">
        <v>19653</v>
      </c>
      <c r="AO92" s="6" t="s">
        <v>19744</v>
      </c>
      <c r="AP92" s="6" t="s">
        <v>14701</v>
      </c>
      <c r="AQ92" s="6" t="s">
        <v>81</v>
      </c>
      <c r="AR92" s="6" t="s">
        <v>17383</v>
      </c>
      <c r="AS92" s="6" t="s">
        <v>17712</v>
      </c>
      <c r="AT92" s="6" t="s">
        <v>18444</v>
      </c>
      <c r="AU92" s="6" t="s">
        <v>18537</v>
      </c>
      <c r="AV92" s="6" t="s">
        <v>81</v>
      </c>
      <c r="AW92" s="6" t="s">
        <v>81</v>
      </c>
      <c r="AX92" s="6" t="s">
        <v>20804</v>
      </c>
      <c r="AY92" s="6" t="s">
        <v>81</v>
      </c>
      <c r="AZ92" s="6" t="s">
        <v>81</v>
      </c>
      <c r="BA92" s="6" t="s">
        <v>81</v>
      </c>
      <c r="BB92" s="24" t="n">
        <v>241</v>
      </c>
      <c r="BC92" s="26"/>
      <c r="BD92" s="26"/>
      <c r="BE92" s="26"/>
      <c r="BF92" s="26"/>
      <c r="BG92" s="26"/>
      <c r="BH92" s="26"/>
      <c r="BI92" s="26"/>
      <c r="BJ92" s="26"/>
      <c r="BK92" s="26"/>
      <c r="BL92" s="26"/>
      <c r="BM92" s="26"/>
      <c r="BN92" s="26"/>
      <c r="BO92" s="26"/>
      <c r="BP92" s="16" t="n">
        <v>45595</v>
      </c>
      <c r="BQ92" s="28" t="str">
        <f>HYPERLINK("https://organic.ams.usda.gov/Integrity/Certificate.aspx?cid=57&amp;nopid=3252020098")</f>
        <v>https://organic.ams.usda.gov/Integrity/Certificate.aspx?cid=57&amp;nopid=3252020098</v>
      </c>
    </row>
    <row r="93">
      <c r="A93" t="s">
        <v>3</v>
      </c>
      <c r="B93" s="6" t="s">
        <v>9</v>
      </c>
      <c r="C93" s="6" t="s">
        <v>56</v>
      </c>
      <c r="D93" s="6" t="s">
        <v>102</v>
      </c>
      <c r="E93" s="10" t="s">
        <v>234</v>
      </c>
      <c r="F93" s="6" t="s">
        <v>2973</v>
      </c>
      <c r="G93" s="6" t="s">
        <v>81</v>
      </c>
      <c r="H93" s="6" t="s">
        <v>5974</v>
      </c>
      <c r="I93" s="6" t="s">
        <v>8437</v>
      </c>
      <c r="J93" s="6" t="s">
        <v>9669</v>
      </c>
      <c r="K93" s="6" t="s">
        <v>10886</v>
      </c>
      <c r="L93" s="16" t="n">
        <v>41368</v>
      </c>
      <c r="M93" s="16" t="n">
        <v>45748</v>
      </c>
      <c r="N93" s="6" t="s">
        <v>10886</v>
      </c>
      <c r="O93" s="16" t="n">
        <v>41368</v>
      </c>
      <c r="P93" s="6" t="s">
        <v>10900</v>
      </c>
      <c r="Q93" s="6" t="s">
        <v>81</v>
      </c>
      <c r="R93" s="6" t="s">
        <v>12450</v>
      </c>
      <c r="S93" s="6" t="s">
        <v>10886</v>
      </c>
      <c r="T93" s="16" t="n">
        <v>41368</v>
      </c>
      <c r="U93" s="6" t="s">
        <v>13168</v>
      </c>
      <c r="V93" s="6" t="s">
        <v>81</v>
      </c>
      <c r="W93" s="6" t="s">
        <v>12450</v>
      </c>
      <c r="X93" s="6" t="s">
        <v>81</v>
      </c>
      <c r="Y93" s="21" t="s">
        <v>81</v>
      </c>
      <c r="Z93" s="6" t="s">
        <v>81</v>
      </c>
      <c r="AA93" s="6" t="s">
        <v>81</v>
      </c>
      <c r="AB93" s="6" t="s">
        <v>81</v>
      </c>
      <c r="AC93" s="6" t="s">
        <v>81</v>
      </c>
      <c r="AD93" s="21" t="s">
        <v>81</v>
      </c>
      <c r="AE93" s="6" t="s">
        <v>81</v>
      </c>
      <c r="AF93" s="6" t="s">
        <v>81</v>
      </c>
      <c r="AG93" s="6" t="s">
        <v>81</v>
      </c>
      <c r="AH93" s="6" t="s">
        <v>14702</v>
      </c>
      <c r="AI93" s="6" t="s">
        <v>81</v>
      </c>
      <c r="AJ93" s="6" t="s">
        <v>17384</v>
      </c>
      <c r="AK93" s="6" t="s">
        <v>18377</v>
      </c>
      <c r="AL93" s="6" t="s">
        <v>18444</v>
      </c>
      <c r="AM93" s="6" t="s">
        <v>18538</v>
      </c>
      <c r="AN93" s="6" t="s">
        <v>19664</v>
      </c>
      <c r="AO93" s="6" t="s">
        <v>19767</v>
      </c>
      <c r="AP93" s="6" t="s">
        <v>81</v>
      </c>
      <c r="AQ93" s="6" t="s">
        <v>81</v>
      </c>
      <c r="AR93" s="6" t="s">
        <v>81</v>
      </c>
      <c r="AS93" s="6" t="s">
        <v>81</v>
      </c>
      <c r="AT93" s="6" t="s">
        <v>81</v>
      </c>
      <c r="AU93" s="6" t="s">
        <v>81</v>
      </c>
      <c r="AV93" s="6" t="s">
        <v>81</v>
      </c>
      <c r="AW93" s="6" t="s">
        <v>81</v>
      </c>
      <c r="AX93" s="6" t="s">
        <v>20805</v>
      </c>
      <c r="AY93" s="6" t="s">
        <v>81</v>
      </c>
      <c r="AZ93" s="6" t="s">
        <v>81</v>
      </c>
      <c r="BA93" s="6" t="s">
        <v>81</v>
      </c>
      <c r="BB93" s="24" t="n">
        <v>130</v>
      </c>
      <c r="BC93" s="26"/>
      <c r="BD93" s="26"/>
      <c r="BE93" s="26"/>
      <c r="BF93" s="26"/>
      <c r="BG93" s="26"/>
      <c r="BH93" s="26"/>
      <c r="BI93" s="26"/>
      <c r="BJ93" s="26"/>
      <c r="BK93" s="26"/>
      <c r="BL93" s="26"/>
      <c r="BM93" s="26"/>
      <c r="BN93" s="26"/>
      <c r="BO93" s="26"/>
      <c r="BP93" s="16" t="n">
        <v>45738</v>
      </c>
      <c r="BQ93" s="28" t="str">
        <f>HYPERLINK("https://organic.ams.usda.gov/Integrity/Certificate.aspx?cid=52&amp;nopid=8431300424")</f>
        <v>https://organic.ams.usda.gov/Integrity/Certificate.aspx?cid=52&amp;nopid=8431300424</v>
      </c>
    </row>
    <row r="94">
      <c r="A94" t="s">
        <v>3</v>
      </c>
      <c r="B94" s="6" t="s">
        <v>8</v>
      </c>
      <c r="C94" s="6" t="s">
        <v>55</v>
      </c>
      <c r="D94" s="6" t="s">
        <v>101</v>
      </c>
      <c r="E94" s="10" t="s">
        <v>235</v>
      </c>
      <c r="F94" s="6" t="s">
        <v>2974</v>
      </c>
      <c r="G94" s="6" t="s">
        <v>81</v>
      </c>
      <c r="H94" s="6" t="s">
        <v>5975</v>
      </c>
      <c r="I94" s="6" t="s">
        <v>8437</v>
      </c>
      <c r="J94" s="6" t="s">
        <v>9665</v>
      </c>
      <c r="K94" s="6" t="s">
        <v>10886</v>
      </c>
      <c r="L94" s="16" t="n">
        <v>42452</v>
      </c>
      <c r="M94" s="16" t="n">
        <v>45748</v>
      </c>
      <c r="N94" s="6" t="s">
        <v>10886</v>
      </c>
      <c r="O94" s="16" t="n">
        <v>42452</v>
      </c>
      <c r="P94" s="6" t="s">
        <v>10958</v>
      </c>
      <c r="Q94" s="6" t="s">
        <v>81</v>
      </c>
      <c r="R94" s="6" t="s">
        <v>5975</v>
      </c>
      <c r="S94" s="6" t="s">
        <v>10886</v>
      </c>
      <c r="T94" s="16" t="n">
        <v>42452</v>
      </c>
      <c r="U94" s="6" t="s">
        <v>13201</v>
      </c>
      <c r="V94" s="6" t="s">
        <v>81</v>
      </c>
      <c r="W94" s="6" t="s">
        <v>5975</v>
      </c>
      <c r="X94" s="6" t="s">
        <v>81</v>
      </c>
      <c r="Y94" s="21" t="s">
        <v>81</v>
      </c>
      <c r="Z94" s="6" t="s">
        <v>81</v>
      </c>
      <c r="AA94" s="6" t="s">
        <v>81</v>
      </c>
      <c r="AB94" s="6" t="s">
        <v>81</v>
      </c>
      <c r="AC94" s="6" t="s">
        <v>81</v>
      </c>
      <c r="AD94" s="21" t="s">
        <v>81</v>
      </c>
      <c r="AE94" s="6" t="s">
        <v>81</v>
      </c>
      <c r="AF94" s="6" t="s">
        <v>81</v>
      </c>
      <c r="AG94" s="6" t="s">
        <v>81</v>
      </c>
      <c r="AH94" s="6" t="s">
        <v>14703</v>
      </c>
      <c r="AI94" s="6" t="s">
        <v>81</v>
      </c>
      <c r="AJ94" s="6" t="s">
        <v>17385</v>
      </c>
      <c r="AK94" s="6" t="s">
        <v>18377</v>
      </c>
      <c r="AL94" s="6" t="s">
        <v>18444</v>
      </c>
      <c r="AM94" s="6" t="s">
        <v>18539</v>
      </c>
      <c r="AN94" s="6" t="s">
        <v>19634</v>
      </c>
      <c r="AO94" s="6" t="s">
        <v>19764</v>
      </c>
      <c r="AP94" s="6" t="s">
        <v>81</v>
      </c>
      <c r="AQ94" s="6" t="s">
        <v>81</v>
      </c>
      <c r="AR94" s="6" t="s">
        <v>81</v>
      </c>
      <c r="AS94" s="6" t="s">
        <v>81</v>
      </c>
      <c r="AT94" s="6" t="s">
        <v>81</v>
      </c>
      <c r="AU94" s="6" t="s">
        <v>81</v>
      </c>
      <c r="AV94" s="6" t="s">
        <v>81</v>
      </c>
      <c r="AW94" s="6" t="s">
        <v>81</v>
      </c>
      <c r="AX94" s="6" t="s">
        <v>81</v>
      </c>
      <c r="AY94" s="6" t="s">
        <v>81</v>
      </c>
      <c r="AZ94" s="6" t="s">
        <v>81</v>
      </c>
      <c r="BA94" s="6" t="s">
        <v>23824</v>
      </c>
      <c r="BB94" s="24" t="n">
        <v>126</v>
      </c>
      <c r="BC94" s="26"/>
      <c r="BD94" s="26"/>
      <c r="BE94" s="26"/>
      <c r="BF94" s="26" t="s">
        <v>23900</v>
      </c>
      <c r="BG94" s="26"/>
      <c r="BH94" s="26"/>
      <c r="BI94" s="26"/>
      <c r="BJ94" s="26"/>
      <c r="BK94" s="26"/>
      <c r="BL94" s="26"/>
      <c r="BM94" s="26"/>
      <c r="BN94" s="26"/>
      <c r="BO94" s="26"/>
      <c r="BP94" s="16" t="n">
        <v>45630</v>
      </c>
      <c r="BQ94" s="28" t="str">
        <f>HYPERLINK("https://organic.ams.usda.gov/Integrity/Certificate.aspx?cid=45&amp;nopid=9950009011")</f>
        <v>https://organic.ams.usda.gov/Integrity/Certificate.aspx?cid=45&amp;nopid=9950009011</v>
      </c>
    </row>
    <row r="95">
      <c r="A95" t="s">
        <v>3</v>
      </c>
      <c r="B95" s="6" t="s">
        <v>9</v>
      </c>
      <c r="C95" s="6" t="s">
        <v>56</v>
      </c>
      <c r="D95" s="6" t="s">
        <v>102</v>
      </c>
      <c r="E95" s="10" t="s">
        <v>236</v>
      </c>
      <c r="F95" s="6" t="s">
        <v>2974</v>
      </c>
      <c r="G95" s="6" t="s">
        <v>81</v>
      </c>
      <c r="H95" s="6" t="s">
        <v>5976</v>
      </c>
      <c r="I95" s="6" t="s">
        <v>8437</v>
      </c>
      <c r="J95" s="6" t="s">
        <v>9665</v>
      </c>
      <c r="K95" s="6" t="s">
        <v>10886</v>
      </c>
      <c r="L95" s="16" t="n">
        <v>42964</v>
      </c>
      <c r="M95" s="16" t="n">
        <v>45748</v>
      </c>
      <c r="N95" s="6" t="s">
        <v>10886</v>
      </c>
      <c r="O95" s="16" t="n">
        <v>42964</v>
      </c>
      <c r="P95" s="6" t="s">
        <v>10907</v>
      </c>
      <c r="Q95" s="6" t="s">
        <v>81</v>
      </c>
      <c r="R95" s="6" t="s">
        <v>12451</v>
      </c>
      <c r="S95" s="6" t="s">
        <v>10886</v>
      </c>
      <c r="T95" s="16" t="n">
        <v>42964</v>
      </c>
      <c r="U95" s="6" t="s">
        <v>13162</v>
      </c>
      <c r="V95" s="6" t="s">
        <v>81</v>
      </c>
      <c r="W95" s="6" t="s">
        <v>12451</v>
      </c>
      <c r="X95" s="6" t="s">
        <v>81</v>
      </c>
      <c r="Y95" s="21" t="s">
        <v>81</v>
      </c>
      <c r="Z95" s="6" t="s">
        <v>81</v>
      </c>
      <c r="AA95" s="6" t="s">
        <v>81</v>
      </c>
      <c r="AB95" s="6" t="s">
        <v>81</v>
      </c>
      <c r="AC95" s="6" t="s">
        <v>81</v>
      </c>
      <c r="AD95" s="21" t="s">
        <v>81</v>
      </c>
      <c r="AE95" s="6" t="s">
        <v>81</v>
      </c>
      <c r="AF95" s="6" t="s">
        <v>81</v>
      </c>
      <c r="AG95" s="6" t="s">
        <v>81</v>
      </c>
      <c r="AH95" s="6" t="s">
        <v>14704</v>
      </c>
      <c r="AI95" s="6" t="s">
        <v>81</v>
      </c>
      <c r="AJ95" s="6" t="s">
        <v>17386</v>
      </c>
      <c r="AK95" s="6" t="s">
        <v>18378</v>
      </c>
      <c r="AL95" s="6" t="s">
        <v>18444</v>
      </c>
      <c r="AM95" s="6" t="s">
        <v>18540</v>
      </c>
      <c r="AN95" s="6" t="s">
        <v>19639</v>
      </c>
      <c r="AO95" s="6" t="s">
        <v>19768</v>
      </c>
      <c r="AP95" s="6" t="s">
        <v>81</v>
      </c>
      <c r="AQ95" s="6" t="s">
        <v>81</v>
      </c>
      <c r="AR95" s="6" t="s">
        <v>81</v>
      </c>
      <c r="AS95" s="6" t="s">
        <v>81</v>
      </c>
      <c r="AT95" s="6" t="s">
        <v>81</v>
      </c>
      <c r="AU95" s="6" t="s">
        <v>81</v>
      </c>
      <c r="AV95" s="6" t="s">
        <v>81</v>
      </c>
      <c r="AW95" s="6" t="s">
        <v>81</v>
      </c>
      <c r="AX95" s="6" t="s">
        <v>20806</v>
      </c>
      <c r="AY95" s="6" t="s">
        <v>81</v>
      </c>
      <c r="AZ95" s="6" t="s">
        <v>81</v>
      </c>
      <c r="BA95" s="6" t="s">
        <v>81</v>
      </c>
      <c r="BB95" s="24" t="n">
        <v>82</v>
      </c>
      <c r="BC95" s="26"/>
      <c r="BD95" s="26"/>
      <c r="BE95" s="26"/>
      <c r="BF95" s="26"/>
      <c r="BG95" s="26"/>
      <c r="BH95" s="26"/>
      <c r="BI95" s="26"/>
      <c r="BJ95" s="26"/>
      <c r="BK95" s="26"/>
      <c r="BL95" s="26"/>
      <c r="BM95" s="26"/>
      <c r="BN95" s="26"/>
      <c r="BO95" s="26"/>
      <c r="BP95" s="16" t="n">
        <v>45738</v>
      </c>
      <c r="BQ95" s="28" t="str">
        <f>HYPERLINK("https://organic.ams.usda.gov/Integrity/Certificate.aspx?cid=52&amp;nopid=8431701262")</f>
        <v>https://organic.ams.usda.gov/Integrity/Certificate.aspx?cid=52&amp;nopid=8431701262</v>
      </c>
    </row>
    <row r="96">
      <c r="A96" t="s">
        <v>3</v>
      </c>
      <c r="B96" s="6" t="s">
        <v>12</v>
      </c>
      <c r="C96" s="6" t="s">
        <v>59</v>
      </c>
      <c r="D96" s="6" t="s">
        <v>105</v>
      </c>
      <c r="E96" s="10" t="s">
        <v>237</v>
      </c>
      <c r="F96" s="6" t="s">
        <v>2975</v>
      </c>
      <c r="G96" s="6" t="s">
        <v>81</v>
      </c>
      <c r="H96" s="6" t="s">
        <v>5977</v>
      </c>
      <c r="I96" s="6" t="s">
        <v>8438</v>
      </c>
      <c r="J96" s="6" t="s">
        <v>9672</v>
      </c>
      <c r="K96" s="6" t="s">
        <v>10886</v>
      </c>
      <c r="L96" s="16" t="n">
        <v>42433</v>
      </c>
      <c r="M96" s="16" t="n">
        <v>45717</v>
      </c>
      <c r="N96" s="6" t="s">
        <v>81</v>
      </c>
      <c r="O96" s="21" t="s">
        <v>81</v>
      </c>
      <c r="P96" s="6" t="s">
        <v>81</v>
      </c>
      <c r="Q96" s="6" t="s">
        <v>81</v>
      </c>
      <c r="R96" s="6" t="s">
        <v>81</v>
      </c>
      <c r="S96" s="6" t="s">
        <v>81</v>
      </c>
      <c r="T96" s="21" t="s">
        <v>81</v>
      </c>
      <c r="U96" s="6" t="s">
        <v>81</v>
      </c>
      <c r="V96" s="6" t="s">
        <v>81</v>
      </c>
      <c r="W96" s="6" t="s">
        <v>81</v>
      </c>
      <c r="X96" s="6" t="s">
        <v>81</v>
      </c>
      <c r="Y96" s="21" t="s">
        <v>81</v>
      </c>
      <c r="Z96" s="6" t="s">
        <v>81</v>
      </c>
      <c r="AA96" s="6" t="s">
        <v>81</v>
      </c>
      <c r="AB96" s="6" t="s">
        <v>81</v>
      </c>
      <c r="AC96" s="6" t="s">
        <v>10886</v>
      </c>
      <c r="AD96" s="16" t="n">
        <v>42433</v>
      </c>
      <c r="AE96" s="6" t="s">
        <v>14020</v>
      </c>
      <c r="AF96" s="6" t="s">
        <v>81</v>
      </c>
      <c r="AG96" s="6" t="s">
        <v>81</v>
      </c>
      <c r="AH96" s="6" t="s">
        <v>14705</v>
      </c>
      <c r="AI96" s="6" t="s">
        <v>81</v>
      </c>
      <c r="AJ96" s="6" t="s">
        <v>17387</v>
      </c>
      <c r="AK96" s="6" t="s">
        <v>18380</v>
      </c>
      <c r="AL96" s="6" t="s">
        <v>18444</v>
      </c>
      <c r="AM96" s="6" t="s">
        <v>18541</v>
      </c>
      <c r="AN96" s="6" t="s">
        <v>19639</v>
      </c>
      <c r="AO96" s="6" t="s">
        <v>19725</v>
      </c>
      <c r="AP96" s="6" t="s">
        <v>14705</v>
      </c>
      <c r="AQ96" s="6" t="s">
        <v>81</v>
      </c>
      <c r="AR96" s="6" t="s">
        <v>17387</v>
      </c>
      <c r="AS96" s="6" t="s">
        <v>18380</v>
      </c>
      <c r="AT96" s="6" t="s">
        <v>18444</v>
      </c>
      <c r="AU96" s="6" t="s">
        <v>18541</v>
      </c>
      <c r="AV96" s="6" t="s">
        <v>81</v>
      </c>
      <c r="AW96" s="6" t="s">
        <v>81</v>
      </c>
      <c r="AX96" s="6" t="s">
        <v>20807</v>
      </c>
      <c r="AY96" s="6" t="s">
        <v>22583</v>
      </c>
      <c r="AZ96" s="6" t="s">
        <v>81</v>
      </c>
      <c r="BA96" s="6" t="s">
        <v>81</v>
      </c>
      <c r="BB96" s="6" t="s">
        <v>81</v>
      </c>
      <c r="BC96" s="26"/>
      <c r="BD96" s="26"/>
      <c r="BE96" s="26"/>
      <c r="BF96" s="26"/>
      <c r="BG96" s="26"/>
      <c r="BH96" s="26"/>
      <c r="BI96" s="26"/>
      <c r="BJ96" s="26"/>
      <c r="BK96" s="26"/>
      <c r="BL96" s="26"/>
      <c r="BM96" s="26"/>
      <c r="BN96" s="26"/>
      <c r="BO96" s="26"/>
      <c r="BP96" s="16" t="n">
        <v>45684</v>
      </c>
      <c r="BQ96" s="28" t="str">
        <f>HYPERLINK("https://organic.ams.usda.gov/Integrity/Certificate.aspx?cid=68&amp;nopid=8210001050")</f>
        <v>https://organic.ams.usda.gov/Integrity/Certificate.aspx?cid=68&amp;nopid=8210001050</v>
      </c>
    </row>
    <row r="97">
      <c r="A97" t="s">
        <v>3</v>
      </c>
      <c r="B97" s="6" t="s">
        <v>8</v>
      </c>
      <c r="C97" s="6" t="s">
        <v>55</v>
      </c>
      <c r="D97" s="6" t="s">
        <v>101</v>
      </c>
      <c r="E97" s="10" t="s">
        <v>238</v>
      </c>
      <c r="F97" s="6" t="s">
        <v>2976</v>
      </c>
      <c r="G97" s="6" t="s">
        <v>81</v>
      </c>
      <c r="H97" s="6" t="s">
        <v>5978</v>
      </c>
      <c r="I97" s="6" t="s">
        <v>8439</v>
      </c>
      <c r="J97" s="6" t="s">
        <v>9665</v>
      </c>
      <c r="K97" s="6" t="s">
        <v>10886</v>
      </c>
      <c r="L97" s="16" t="n">
        <v>42636</v>
      </c>
      <c r="M97" s="16" t="n">
        <v>45383</v>
      </c>
      <c r="N97" s="6" t="s">
        <v>10886</v>
      </c>
      <c r="O97" s="16" t="n">
        <v>42636</v>
      </c>
      <c r="P97" s="6" t="s">
        <v>10959</v>
      </c>
      <c r="Q97" s="6" t="s">
        <v>81</v>
      </c>
      <c r="R97" s="6" t="s">
        <v>5978</v>
      </c>
      <c r="S97" s="6" t="s">
        <v>10886</v>
      </c>
      <c r="T97" s="16" t="n">
        <v>42636</v>
      </c>
      <c r="U97" s="6" t="s">
        <v>13202</v>
      </c>
      <c r="V97" s="6" t="s">
        <v>81</v>
      </c>
      <c r="W97" s="6" t="s">
        <v>5978</v>
      </c>
      <c r="X97" s="6" t="s">
        <v>81</v>
      </c>
      <c r="Y97" s="21" t="s">
        <v>81</v>
      </c>
      <c r="Z97" s="6" t="s">
        <v>81</v>
      </c>
      <c r="AA97" s="6" t="s">
        <v>81</v>
      </c>
      <c r="AB97" s="6" t="s">
        <v>81</v>
      </c>
      <c r="AC97" s="6" t="s">
        <v>81</v>
      </c>
      <c r="AD97" s="21" t="s">
        <v>81</v>
      </c>
      <c r="AE97" s="6" t="s">
        <v>81</v>
      </c>
      <c r="AF97" s="6" t="s">
        <v>81</v>
      </c>
      <c r="AG97" s="6" t="s">
        <v>81</v>
      </c>
      <c r="AH97" s="6" t="s">
        <v>14706</v>
      </c>
      <c r="AI97" s="6" t="s">
        <v>81</v>
      </c>
      <c r="AJ97" s="6" t="s">
        <v>17388</v>
      </c>
      <c r="AK97" s="6" t="s">
        <v>18378</v>
      </c>
      <c r="AL97" s="6" t="s">
        <v>18444</v>
      </c>
      <c r="AM97" s="6" t="s">
        <v>18542</v>
      </c>
      <c r="AN97" s="6" t="s">
        <v>19665</v>
      </c>
      <c r="AO97" s="6" t="s">
        <v>19769</v>
      </c>
      <c r="AP97" s="6" t="s">
        <v>81</v>
      </c>
      <c r="AQ97" s="6" t="s">
        <v>81</v>
      </c>
      <c r="AR97" s="6" t="s">
        <v>81</v>
      </c>
      <c r="AS97" s="6" t="s">
        <v>81</v>
      </c>
      <c r="AT97" s="6" t="s">
        <v>81</v>
      </c>
      <c r="AU97" s="6" t="s">
        <v>81</v>
      </c>
      <c r="AV97" s="6" t="s">
        <v>81</v>
      </c>
      <c r="AW97" s="6" t="s">
        <v>81</v>
      </c>
      <c r="AX97" s="6" t="s">
        <v>81</v>
      </c>
      <c r="AY97" s="6" t="s">
        <v>81</v>
      </c>
      <c r="AZ97" s="6" t="s">
        <v>81</v>
      </c>
      <c r="BA97" s="6" t="s">
        <v>23819</v>
      </c>
      <c r="BB97" s="24" t="n">
        <v>134</v>
      </c>
      <c r="BC97" s="26"/>
      <c r="BD97" s="26"/>
      <c r="BE97" s="26"/>
      <c r="BF97" s="26" t="s">
        <v>23900</v>
      </c>
      <c r="BG97" s="26"/>
      <c r="BH97" s="26"/>
      <c r="BI97" s="26"/>
      <c r="BJ97" s="26"/>
      <c r="BK97" s="26"/>
      <c r="BL97" s="26"/>
      <c r="BM97" s="26"/>
      <c r="BN97" s="26"/>
      <c r="BO97" s="26"/>
      <c r="BP97" s="16" t="n">
        <v>45442</v>
      </c>
      <c r="BQ97" s="28" t="str">
        <f>HYPERLINK("https://organic.ams.usda.gov/Integrity/Certificate.aspx?cid=45&amp;nopid=9950009449")</f>
        <v>https://organic.ams.usda.gov/Integrity/Certificate.aspx?cid=45&amp;nopid=9950009449</v>
      </c>
    </row>
    <row r="98">
      <c r="A98" t="s">
        <v>3</v>
      </c>
      <c r="B98" s="6" t="s">
        <v>7</v>
      </c>
      <c r="C98" s="6" t="s">
        <v>54</v>
      </c>
      <c r="D98" s="6" t="s">
        <v>100</v>
      </c>
      <c r="E98" s="10" t="s">
        <v>239</v>
      </c>
      <c r="F98" s="6" t="s">
        <v>2977</v>
      </c>
      <c r="G98" s="6" t="s">
        <v>81</v>
      </c>
      <c r="H98" s="6" t="s">
        <v>5979</v>
      </c>
      <c r="I98" s="6" t="s">
        <v>8440</v>
      </c>
      <c r="J98" s="6" t="s">
        <v>9699</v>
      </c>
      <c r="K98" s="6" t="s">
        <v>10886</v>
      </c>
      <c r="L98" s="16" t="n">
        <v>41940</v>
      </c>
      <c r="M98" s="16" t="n">
        <v>45716</v>
      </c>
      <c r="N98" s="6" t="s">
        <v>10886</v>
      </c>
      <c r="O98" s="16" t="n">
        <v>41940</v>
      </c>
      <c r="P98" s="6" t="s">
        <v>10960</v>
      </c>
      <c r="Q98" s="6" t="s">
        <v>81</v>
      </c>
      <c r="R98" s="6" t="s">
        <v>81</v>
      </c>
      <c r="S98" s="6" t="s">
        <v>10886</v>
      </c>
      <c r="T98" s="16" t="n">
        <v>42060</v>
      </c>
      <c r="U98" s="6" t="s">
        <v>13169</v>
      </c>
      <c r="V98" s="6" t="s">
        <v>81</v>
      </c>
      <c r="W98" s="6" t="s">
        <v>81</v>
      </c>
      <c r="X98" s="6" t="s">
        <v>81</v>
      </c>
      <c r="Y98" s="21" t="s">
        <v>81</v>
      </c>
      <c r="Z98" s="6" t="s">
        <v>81</v>
      </c>
      <c r="AA98" s="6" t="s">
        <v>81</v>
      </c>
      <c r="AB98" s="6" t="s">
        <v>81</v>
      </c>
      <c r="AC98" s="6" t="s">
        <v>10886</v>
      </c>
      <c r="AD98" s="16" t="n">
        <v>45051</v>
      </c>
      <c r="AE98" s="6" t="s">
        <v>14021</v>
      </c>
      <c r="AF98" s="6" t="s">
        <v>81</v>
      </c>
      <c r="AG98" s="6" t="s">
        <v>81</v>
      </c>
      <c r="AH98" s="6" t="s">
        <v>14707</v>
      </c>
      <c r="AI98" s="6" t="s">
        <v>81</v>
      </c>
      <c r="AJ98" s="6" t="s">
        <v>17389</v>
      </c>
      <c r="AK98" s="6" t="s">
        <v>17712</v>
      </c>
      <c r="AL98" s="6" t="s">
        <v>18444</v>
      </c>
      <c r="AM98" s="6" t="s">
        <v>18543</v>
      </c>
      <c r="AN98" s="6" t="s">
        <v>19645</v>
      </c>
      <c r="AO98" s="6" t="s">
        <v>19770</v>
      </c>
      <c r="AP98" s="6" t="s">
        <v>14707</v>
      </c>
      <c r="AQ98" s="6" t="s">
        <v>81</v>
      </c>
      <c r="AR98" s="6" t="s">
        <v>17389</v>
      </c>
      <c r="AS98" s="6" t="s">
        <v>17712</v>
      </c>
      <c r="AT98" s="6" t="s">
        <v>18444</v>
      </c>
      <c r="AU98" s="6" t="s">
        <v>18543</v>
      </c>
      <c r="AV98" s="6" t="s">
        <v>81</v>
      </c>
      <c r="AW98" s="6" t="s">
        <v>81</v>
      </c>
      <c r="AX98" s="6" t="s">
        <v>20808</v>
      </c>
      <c r="AY98" s="6" t="s">
        <v>81</v>
      </c>
      <c r="AZ98" s="6" t="s">
        <v>81</v>
      </c>
      <c r="BA98" s="6" t="s">
        <v>81</v>
      </c>
      <c r="BB98" s="24" t="n">
        <v>313</v>
      </c>
      <c r="BC98" s="26"/>
      <c r="BD98" s="26"/>
      <c r="BE98" s="26"/>
      <c r="BF98" s="26"/>
      <c r="BG98" s="26"/>
      <c r="BH98" s="26"/>
      <c r="BI98" s="26"/>
      <c r="BJ98" s="26"/>
      <c r="BK98" s="26"/>
      <c r="BL98" s="26"/>
      <c r="BM98" s="26"/>
      <c r="BN98" s="26"/>
      <c r="BO98" s="26"/>
      <c r="BP98" s="16" t="n">
        <v>45595</v>
      </c>
      <c r="BQ98" s="28" t="str">
        <f>HYPERLINK("https://organic.ams.usda.gov/Integrity/Certificate.aspx?cid=57&amp;nopid=3252014069")</f>
        <v>https://organic.ams.usda.gov/Integrity/Certificate.aspx?cid=57&amp;nopid=3252014069</v>
      </c>
    </row>
    <row r="99">
      <c r="A99" t="s">
        <v>3</v>
      </c>
      <c r="B99" s="6" t="s">
        <v>7</v>
      </c>
      <c r="C99" s="6" t="s">
        <v>54</v>
      </c>
      <c r="D99" s="6" t="s">
        <v>100</v>
      </c>
      <c r="E99" s="10" t="s">
        <v>240</v>
      </c>
      <c r="F99" s="6" t="s">
        <v>2978</v>
      </c>
      <c r="G99" s="6" t="s">
        <v>5598</v>
      </c>
      <c r="H99" s="6" t="s">
        <v>5980</v>
      </c>
      <c r="I99" s="6" t="s">
        <v>8438</v>
      </c>
      <c r="J99" s="6" t="s">
        <v>9726</v>
      </c>
      <c r="K99" s="6" t="s">
        <v>10886</v>
      </c>
      <c r="L99" s="16" t="n">
        <v>44035</v>
      </c>
      <c r="M99" s="16" t="n">
        <v>45716</v>
      </c>
      <c r="N99" s="6" t="s">
        <v>10886</v>
      </c>
      <c r="O99" s="16" t="n">
        <v>44035</v>
      </c>
      <c r="P99" s="6" t="s">
        <v>10944</v>
      </c>
      <c r="Q99" s="6" t="s">
        <v>81</v>
      </c>
      <c r="R99" s="6" t="s">
        <v>81</v>
      </c>
      <c r="S99" s="6" t="s">
        <v>10886</v>
      </c>
      <c r="T99" s="16" t="n">
        <v>44035</v>
      </c>
      <c r="U99" s="6" t="s">
        <v>13169</v>
      </c>
      <c r="V99" s="6" t="s">
        <v>81</v>
      </c>
      <c r="W99" s="6" t="s">
        <v>81</v>
      </c>
      <c r="X99" s="6" t="s">
        <v>81</v>
      </c>
      <c r="Y99" s="21" t="s">
        <v>81</v>
      </c>
      <c r="Z99" s="6" t="s">
        <v>81</v>
      </c>
      <c r="AA99" s="6" t="s">
        <v>81</v>
      </c>
      <c r="AB99" s="6" t="s">
        <v>81</v>
      </c>
      <c r="AC99" s="6" t="s">
        <v>81</v>
      </c>
      <c r="AD99" s="21" t="s">
        <v>81</v>
      </c>
      <c r="AE99" s="6" t="s">
        <v>81</v>
      </c>
      <c r="AF99" s="6" t="s">
        <v>81</v>
      </c>
      <c r="AG99" s="6" t="s">
        <v>81</v>
      </c>
      <c r="AH99" s="6" t="s">
        <v>14708</v>
      </c>
      <c r="AI99" s="6" t="s">
        <v>81</v>
      </c>
      <c r="AJ99" s="6" t="s">
        <v>17346</v>
      </c>
      <c r="AK99" s="6" t="s">
        <v>17712</v>
      </c>
      <c r="AL99" s="6" t="s">
        <v>18444</v>
      </c>
      <c r="AM99" s="6" t="s">
        <v>18500</v>
      </c>
      <c r="AN99" s="6" t="s">
        <v>19653</v>
      </c>
      <c r="AO99" s="6" t="s">
        <v>19744</v>
      </c>
      <c r="AP99" s="6" t="s">
        <v>14708</v>
      </c>
      <c r="AQ99" s="6" t="s">
        <v>81</v>
      </c>
      <c r="AR99" s="6" t="s">
        <v>17346</v>
      </c>
      <c r="AS99" s="6" t="s">
        <v>17712</v>
      </c>
      <c r="AT99" s="6" t="s">
        <v>18444</v>
      </c>
      <c r="AU99" s="6" t="s">
        <v>18500</v>
      </c>
      <c r="AV99" s="6" t="s">
        <v>81</v>
      </c>
      <c r="AW99" s="6" t="s">
        <v>81</v>
      </c>
      <c r="AX99" s="6" t="s">
        <v>81</v>
      </c>
      <c r="AY99" s="6" t="s">
        <v>81</v>
      </c>
      <c r="AZ99" s="6" t="s">
        <v>81</v>
      </c>
      <c r="BA99" s="6" t="s">
        <v>81</v>
      </c>
      <c r="BB99" s="24" t="n">
        <v>84</v>
      </c>
      <c r="BC99" s="26"/>
      <c r="BD99" s="26"/>
      <c r="BE99" s="26"/>
      <c r="BF99" s="26" t="s">
        <v>23900</v>
      </c>
      <c r="BG99" s="26"/>
      <c r="BH99" s="26"/>
      <c r="BI99" s="26"/>
      <c r="BJ99" s="26"/>
      <c r="BK99" s="26"/>
      <c r="BL99" s="26"/>
      <c r="BM99" s="26"/>
      <c r="BN99" s="26"/>
      <c r="BO99" s="26"/>
      <c r="BP99" s="16" t="n">
        <v>45693</v>
      </c>
      <c r="BQ99" s="28" t="str">
        <f>HYPERLINK("https://organic.ams.usda.gov/Integrity/Certificate.aspx?cid=57&amp;nopid=3252020089")</f>
        <v>https://organic.ams.usda.gov/Integrity/Certificate.aspx?cid=57&amp;nopid=3252020089</v>
      </c>
    </row>
    <row r="100">
      <c r="A100" t="s">
        <v>3</v>
      </c>
      <c r="B100" s="6" t="s">
        <v>10</v>
      </c>
      <c r="C100" s="6" t="s">
        <v>57</v>
      </c>
      <c r="D100" s="6" t="s">
        <v>103</v>
      </c>
      <c r="E100" s="10" t="s">
        <v>241</v>
      </c>
      <c r="F100" s="6" t="s">
        <v>2979</v>
      </c>
      <c r="G100" s="6" t="s">
        <v>5599</v>
      </c>
      <c r="H100" s="6" t="s">
        <v>5981</v>
      </c>
      <c r="I100" s="6" t="s">
        <v>8441</v>
      </c>
      <c r="J100" s="6" t="s">
        <v>9728</v>
      </c>
      <c r="K100" s="6" t="s">
        <v>10886</v>
      </c>
      <c r="L100" s="16" t="n">
        <v>43236</v>
      </c>
      <c r="M100" s="16" t="n">
        <v>45748</v>
      </c>
      <c r="N100" s="6" t="s">
        <v>10886</v>
      </c>
      <c r="O100" s="16" t="n">
        <v>43236</v>
      </c>
      <c r="P100" s="6" t="s">
        <v>10961</v>
      </c>
      <c r="Q100" s="6" t="s">
        <v>81</v>
      </c>
      <c r="R100" s="6" t="s">
        <v>12452</v>
      </c>
      <c r="S100" s="6" t="s">
        <v>10886</v>
      </c>
      <c r="T100" s="16" t="n">
        <v>43236</v>
      </c>
      <c r="U100" s="6" t="s">
        <v>13163</v>
      </c>
      <c r="V100" s="6" t="s">
        <v>81</v>
      </c>
      <c r="W100" s="6" t="s">
        <v>81</v>
      </c>
      <c r="X100" s="6" t="s">
        <v>81</v>
      </c>
      <c r="Y100" s="21" t="s">
        <v>81</v>
      </c>
      <c r="Z100" s="6" t="s">
        <v>81</v>
      </c>
      <c r="AA100" s="6" t="s">
        <v>81</v>
      </c>
      <c r="AB100" s="6" t="s">
        <v>81</v>
      </c>
      <c r="AC100" s="6" t="s">
        <v>81</v>
      </c>
      <c r="AD100" s="21" t="s">
        <v>81</v>
      </c>
      <c r="AE100" s="6" t="s">
        <v>81</v>
      </c>
      <c r="AF100" s="6" t="s">
        <v>81</v>
      </c>
      <c r="AG100" s="6" t="s">
        <v>81</v>
      </c>
      <c r="AH100" s="6" t="s">
        <v>14709</v>
      </c>
      <c r="AI100" s="6" t="s">
        <v>81</v>
      </c>
      <c r="AJ100" s="6" t="s">
        <v>17380</v>
      </c>
      <c r="AK100" s="6" t="s">
        <v>18379</v>
      </c>
      <c r="AL100" s="6" t="s">
        <v>18444</v>
      </c>
      <c r="AM100" s="6" t="s">
        <v>18533</v>
      </c>
      <c r="AN100" s="6" t="s">
        <v>19637</v>
      </c>
      <c r="AO100" s="6" t="s">
        <v>19723</v>
      </c>
      <c r="AP100" s="6" t="s">
        <v>14709</v>
      </c>
      <c r="AQ100" s="6" t="s">
        <v>81</v>
      </c>
      <c r="AR100" s="6" t="s">
        <v>17380</v>
      </c>
      <c r="AS100" s="6" t="s">
        <v>18379</v>
      </c>
      <c r="AT100" s="6" t="s">
        <v>18444</v>
      </c>
      <c r="AU100" s="6" t="s">
        <v>18533</v>
      </c>
      <c r="AV100" s="6" t="s">
        <v>81</v>
      </c>
      <c r="AW100" s="6" t="s">
        <v>81</v>
      </c>
      <c r="AX100" s="6" t="s">
        <v>20809</v>
      </c>
      <c r="AY100" s="6" t="s">
        <v>81</v>
      </c>
      <c r="AZ100" s="6" t="s">
        <v>81</v>
      </c>
      <c r="BA100" s="6" t="s">
        <v>81</v>
      </c>
      <c r="BB100" s="24" t="n">
        <v>80</v>
      </c>
      <c r="BC100" s="26"/>
      <c r="BD100" s="26"/>
      <c r="BE100" s="26"/>
      <c r="BF100" s="26"/>
      <c r="BG100" s="26"/>
      <c r="BH100" s="26"/>
      <c r="BI100" s="26"/>
      <c r="BJ100" s="26"/>
      <c r="BK100" s="26"/>
      <c r="BL100" s="26"/>
      <c r="BM100" s="26"/>
      <c r="BN100" s="26"/>
      <c r="BO100" s="26"/>
      <c r="BP100" s="16" t="n">
        <v>45730</v>
      </c>
      <c r="BQ100" s="28" t="str">
        <f>HYPERLINK("https://organic.ams.usda.gov/Integrity/Certificate.aspx?cid=90&amp;nopid=7170210369")</f>
        <v>https://organic.ams.usda.gov/Integrity/Certificate.aspx?cid=90&amp;nopid=7170210369</v>
      </c>
    </row>
    <row r="101">
      <c r="A101" t="s">
        <v>3</v>
      </c>
      <c r="B101" s="6" t="s">
        <v>12</v>
      </c>
      <c r="C101" s="6" t="s">
        <v>59</v>
      </c>
      <c r="D101" s="6" t="s">
        <v>105</v>
      </c>
      <c r="E101" s="10" t="s">
        <v>242</v>
      </c>
      <c r="F101" s="6" t="s">
        <v>2980</v>
      </c>
      <c r="G101" s="6" t="s">
        <v>81</v>
      </c>
      <c r="H101" s="6" t="s">
        <v>5982</v>
      </c>
      <c r="I101" s="6" t="s">
        <v>8442</v>
      </c>
      <c r="J101" s="6" t="s">
        <v>9672</v>
      </c>
      <c r="K101" s="6" t="s">
        <v>10886</v>
      </c>
      <c r="L101" s="16" t="n">
        <v>37550</v>
      </c>
      <c r="M101" s="16" t="n">
        <v>45717</v>
      </c>
      <c r="N101" s="6" t="s">
        <v>10886</v>
      </c>
      <c r="O101" s="16" t="n">
        <v>37550</v>
      </c>
      <c r="P101" s="6" t="s">
        <v>10962</v>
      </c>
      <c r="Q101" s="6" t="s">
        <v>81</v>
      </c>
      <c r="R101" s="6" t="s">
        <v>81</v>
      </c>
      <c r="S101" s="6" t="s">
        <v>10886</v>
      </c>
      <c r="T101" s="16" t="n">
        <v>37550</v>
      </c>
      <c r="U101" s="6" t="s">
        <v>13166</v>
      </c>
      <c r="V101" s="6" t="s">
        <v>81</v>
      </c>
      <c r="W101" s="6" t="s">
        <v>81</v>
      </c>
      <c r="X101" s="6" t="s">
        <v>81</v>
      </c>
      <c r="Y101" s="21" t="s">
        <v>81</v>
      </c>
      <c r="Z101" s="6" t="s">
        <v>81</v>
      </c>
      <c r="AA101" s="6" t="s">
        <v>81</v>
      </c>
      <c r="AB101" s="6" t="s">
        <v>81</v>
      </c>
      <c r="AC101" s="6" t="s">
        <v>81</v>
      </c>
      <c r="AD101" s="21" t="s">
        <v>81</v>
      </c>
      <c r="AE101" s="6" t="s">
        <v>81</v>
      </c>
      <c r="AF101" s="6" t="s">
        <v>81</v>
      </c>
      <c r="AG101" s="6" t="s">
        <v>81</v>
      </c>
      <c r="AH101" s="6" t="s">
        <v>14710</v>
      </c>
      <c r="AI101" s="6" t="s">
        <v>81</v>
      </c>
      <c r="AJ101" s="6" t="s">
        <v>17387</v>
      </c>
      <c r="AK101" s="6" t="s">
        <v>18380</v>
      </c>
      <c r="AL101" s="6" t="s">
        <v>18444</v>
      </c>
      <c r="AM101" s="6" t="s">
        <v>18541</v>
      </c>
      <c r="AN101" s="6" t="s">
        <v>19639</v>
      </c>
      <c r="AO101" s="6" t="s">
        <v>19725</v>
      </c>
      <c r="AP101" s="6" t="s">
        <v>14710</v>
      </c>
      <c r="AQ101" s="6" t="s">
        <v>81</v>
      </c>
      <c r="AR101" s="6" t="s">
        <v>17387</v>
      </c>
      <c r="AS101" s="6" t="s">
        <v>18380</v>
      </c>
      <c r="AT101" s="6" t="s">
        <v>18444</v>
      </c>
      <c r="AU101" s="6" t="s">
        <v>18541</v>
      </c>
      <c r="AV101" s="6" t="s">
        <v>81</v>
      </c>
      <c r="AW101" s="6" t="s">
        <v>81</v>
      </c>
      <c r="AX101" s="6" t="s">
        <v>20810</v>
      </c>
      <c r="AY101" s="6" t="s">
        <v>22584</v>
      </c>
      <c r="AZ101" s="6" t="s">
        <v>81</v>
      </c>
      <c r="BA101" s="6" t="s">
        <v>81</v>
      </c>
      <c r="BB101" s="24" t="n">
        <v>106</v>
      </c>
      <c r="BC101" s="26"/>
      <c r="BD101" s="26"/>
      <c r="BE101" s="26"/>
      <c r="BF101" s="26"/>
      <c r="BG101" s="26"/>
      <c r="BH101" s="26"/>
      <c r="BI101" s="26"/>
      <c r="BJ101" s="26"/>
      <c r="BK101" s="26"/>
      <c r="BL101" s="26"/>
      <c r="BM101" s="26"/>
      <c r="BN101" s="26"/>
      <c r="BO101" s="26"/>
      <c r="BP101" s="16" t="n">
        <v>45684</v>
      </c>
      <c r="BQ101" s="28" t="str">
        <f>HYPERLINK("https://organic.ams.usda.gov/Integrity/Certificate.aspx?cid=68&amp;nopid=8210002377")</f>
        <v>https://organic.ams.usda.gov/Integrity/Certificate.aspx?cid=68&amp;nopid=8210002377</v>
      </c>
    </row>
    <row r="102">
      <c r="A102" t="s">
        <v>3</v>
      </c>
      <c r="B102" s="6" t="s">
        <v>11</v>
      </c>
      <c r="C102" s="6" t="s">
        <v>58</v>
      </c>
      <c r="D102" s="6" t="s">
        <v>104</v>
      </c>
      <c r="E102" s="10" t="s">
        <v>243</v>
      </c>
      <c r="F102" s="6" t="s">
        <v>2981</v>
      </c>
      <c r="G102" s="6" t="s">
        <v>81</v>
      </c>
      <c r="H102" s="6" t="s">
        <v>81</v>
      </c>
      <c r="I102" s="6" t="s">
        <v>8443</v>
      </c>
      <c r="J102" s="6" t="s">
        <v>9729</v>
      </c>
      <c r="K102" s="6" t="s">
        <v>10886</v>
      </c>
      <c r="L102" s="16" t="n">
        <v>43371</v>
      </c>
      <c r="M102" s="16" t="n">
        <v>45748</v>
      </c>
      <c r="N102" s="6" t="s">
        <v>10886</v>
      </c>
      <c r="O102" s="16" t="n">
        <v>43371</v>
      </c>
      <c r="P102" s="6" t="s">
        <v>10963</v>
      </c>
      <c r="Q102" s="6" t="s">
        <v>81</v>
      </c>
      <c r="R102" s="6" t="s">
        <v>81</v>
      </c>
      <c r="S102" s="6" t="s">
        <v>10886</v>
      </c>
      <c r="T102" s="16" t="n">
        <v>43945</v>
      </c>
      <c r="U102" s="6" t="s">
        <v>13203</v>
      </c>
      <c r="V102" s="6" t="s">
        <v>81</v>
      </c>
      <c r="W102" s="6" t="s">
        <v>81</v>
      </c>
      <c r="X102" s="6" t="s">
        <v>81</v>
      </c>
      <c r="Y102" s="21" t="s">
        <v>81</v>
      </c>
      <c r="Z102" s="6" t="s">
        <v>81</v>
      </c>
      <c r="AA102" s="6" t="s">
        <v>81</v>
      </c>
      <c r="AB102" s="6" t="s">
        <v>81</v>
      </c>
      <c r="AC102" s="6" t="s">
        <v>81</v>
      </c>
      <c r="AD102" s="21" t="s">
        <v>81</v>
      </c>
      <c r="AE102" s="6" t="s">
        <v>81</v>
      </c>
      <c r="AF102" s="6" t="s">
        <v>81</v>
      </c>
      <c r="AG102" s="6" t="s">
        <v>81</v>
      </c>
      <c r="AH102" s="6" t="s">
        <v>14711</v>
      </c>
      <c r="AI102" s="6" t="s">
        <v>81</v>
      </c>
      <c r="AJ102" s="6" t="s">
        <v>8524</v>
      </c>
      <c r="AK102" s="6" t="s">
        <v>18377</v>
      </c>
      <c r="AL102" s="6" t="s">
        <v>18444</v>
      </c>
      <c r="AM102" s="6" t="s">
        <v>18544</v>
      </c>
      <c r="AN102" s="6" t="s">
        <v>19666</v>
      </c>
      <c r="AO102" s="6" t="s">
        <v>19771</v>
      </c>
      <c r="AP102" s="6" t="s">
        <v>14711</v>
      </c>
      <c r="AQ102" s="6" t="s">
        <v>81</v>
      </c>
      <c r="AR102" s="6" t="s">
        <v>8524</v>
      </c>
      <c r="AS102" s="6" t="s">
        <v>18377</v>
      </c>
      <c r="AT102" s="6" t="s">
        <v>18444</v>
      </c>
      <c r="AU102" s="6" t="s">
        <v>18544</v>
      </c>
      <c r="AV102" s="6" t="s">
        <v>81</v>
      </c>
      <c r="AW102" s="6" t="s">
        <v>81</v>
      </c>
      <c r="AX102" s="6" t="s">
        <v>81</v>
      </c>
      <c r="AY102" s="6" t="s">
        <v>81</v>
      </c>
      <c r="AZ102" s="6" t="s">
        <v>81</v>
      </c>
      <c r="BA102" s="6" t="s">
        <v>81</v>
      </c>
      <c r="BB102" s="24" t="n">
        <v>120</v>
      </c>
      <c r="BC102" s="26"/>
      <c r="BD102" s="26"/>
      <c r="BE102" s="26"/>
      <c r="BF102" s="26"/>
      <c r="BG102" s="26"/>
      <c r="BH102" s="26"/>
      <c r="BI102" s="26"/>
      <c r="BJ102" s="26"/>
      <c r="BK102" s="26"/>
      <c r="BL102" s="26"/>
      <c r="BM102" s="26"/>
      <c r="BN102" s="26"/>
      <c r="BO102" s="26"/>
      <c r="BP102" s="16" t="n">
        <v>45693</v>
      </c>
      <c r="BQ102" s="28" t="str">
        <f>HYPERLINK("https://organic.ams.usda.gov/Integrity/Certificate.aspx?cid=46&amp;nopid=3671800077")</f>
        <v>https://organic.ams.usda.gov/Integrity/Certificate.aspx?cid=46&amp;nopid=3671800077</v>
      </c>
    </row>
    <row r="103">
      <c r="A103" t="s">
        <v>3</v>
      </c>
      <c r="B103" s="6" t="s">
        <v>12</v>
      </c>
      <c r="C103" s="6" t="s">
        <v>59</v>
      </c>
      <c r="D103" s="6" t="s">
        <v>105</v>
      </c>
      <c r="E103" s="10" t="s">
        <v>244</v>
      </c>
      <c r="F103" s="6" t="s">
        <v>2982</v>
      </c>
      <c r="G103" s="6" t="s">
        <v>81</v>
      </c>
      <c r="H103" s="6" t="s">
        <v>5983</v>
      </c>
      <c r="I103" s="6" t="s">
        <v>8438</v>
      </c>
      <c r="J103" s="6" t="s">
        <v>9730</v>
      </c>
      <c r="K103" s="6" t="s">
        <v>10886</v>
      </c>
      <c r="L103" s="16" t="n">
        <v>37929</v>
      </c>
      <c r="M103" s="16" t="n">
        <v>45717</v>
      </c>
      <c r="N103" s="6" t="s">
        <v>10886</v>
      </c>
      <c r="O103" s="16" t="n">
        <v>37929</v>
      </c>
      <c r="P103" s="6" t="s">
        <v>10964</v>
      </c>
      <c r="Q103" s="6" t="s">
        <v>81</v>
      </c>
      <c r="R103" s="6" t="s">
        <v>81</v>
      </c>
      <c r="S103" s="6" t="s">
        <v>10886</v>
      </c>
      <c r="T103" s="16" t="n">
        <v>37929</v>
      </c>
      <c r="U103" s="6" t="s">
        <v>13204</v>
      </c>
      <c r="V103" s="6" t="s">
        <v>81</v>
      </c>
      <c r="W103" s="6" t="s">
        <v>81</v>
      </c>
      <c r="X103" s="6" t="s">
        <v>81</v>
      </c>
      <c r="Y103" s="21" t="s">
        <v>81</v>
      </c>
      <c r="Z103" s="6" t="s">
        <v>81</v>
      </c>
      <c r="AA103" s="6" t="s">
        <v>81</v>
      </c>
      <c r="AB103" s="6" t="s">
        <v>81</v>
      </c>
      <c r="AC103" s="6" t="s">
        <v>10886</v>
      </c>
      <c r="AD103" s="16" t="n">
        <v>37929</v>
      </c>
      <c r="AE103" s="6" t="s">
        <v>14022</v>
      </c>
      <c r="AF103" s="6" t="s">
        <v>81</v>
      </c>
      <c r="AG103" s="6" t="s">
        <v>81</v>
      </c>
      <c r="AH103" s="6" t="s">
        <v>14712</v>
      </c>
      <c r="AI103" s="6" t="s">
        <v>81</v>
      </c>
      <c r="AJ103" s="6" t="s">
        <v>17390</v>
      </c>
      <c r="AK103" s="6" t="s">
        <v>18380</v>
      </c>
      <c r="AL103" s="6" t="s">
        <v>18444</v>
      </c>
      <c r="AM103" s="6" t="s">
        <v>18545</v>
      </c>
      <c r="AN103" s="6" t="s">
        <v>19639</v>
      </c>
      <c r="AO103" s="6" t="s">
        <v>19725</v>
      </c>
      <c r="AP103" s="6" t="s">
        <v>14712</v>
      </c>
      <c r="AQ103" s="6" t="s">
        <v>81</v>
      </c>
      <c r="AR103" s="6" t="s">
        <v>17390</v>
      </c>
      <c r="AS103" s="6" t="s">
        <v>18380</v>
      </c>
      <c r="AT103" s="6" t="s">
        <v>18444</v>
      </c>
      <c r="AU103" s="6" t="s">
        <v>18545</v>
      </c>
      <c r="AV103" s="6" t="s">
        <v>81</v>
      </c>
      <c r="AW103" s="6" t="s">
        <v>81</v>
      </c>
      <c r="AX103" s="6" t="s">
        <v>20811</v>
      </c>
      <c r="AY103" s="6" t="s">
        <v>81</v>
      </c>
      <c r="AZ103" s="6" t="s">
        <v>81</v>
      </c>
      <c r="BA103" s="6" t="s">
        <v>81</v>
      </c>
      <c r="BB103" s="24" t="n">
        <v>171</v>
      </c>
      <c r="BC103" s="26"/>
      <c r="BD103" s="26"/>
      <c r="BE103" s="26"/>
      <c r="BF103" s="26"/>
      <c r="BG103" s="26"/>
      <c r="BH103" s="26"/>
      <c r="BI103" s="26"/>
      <c r="BJ103" s="26"/>
      <c r="BK103" s="26"/>
      <c r="BL103" s="26"/>
      <c r="BM103" s="26"/>
      <c r="BN103" s="26"/>
      <c r="BO103" s="26"/>
      <c r="BP103" s="16" t="n">
        <v>45684</v>
      </c>
      <c r="BQ103" s="28" t="str">
        <f>HYPERLINK("https://organic.ams.usda.gov/Integrity/Certificate.aspx?cid=68&amp;nopid=8210002051")</f>
        <v>https://organic.ams.usda.gov/Integrity/Certificate.aspx?cid=68&amp;nopid=8210002051</v>
      </c>
    </row>
    <row r="104">
      <c r="A104" t="s">
        <v>3</v>
      </c>
      <c r="B104" s="6" t="s">
        <v>11</v>
      </c>
      <c r="C104" s="6" t="s">
        <v>58</v>
      </c>
      <c r="D104" s="6" t="s">
        <v>104</v>
      </c>
      <c r="E104" s="10" t="s">
        <v>245</v>
      </c>
      <c r="F104" s="6" t="s">
        <v>2983</v>
      </c>
      <c r="G104" s="6" t="s">
        <v>81</v>
      </c>
      <c r="H104" s="6" t="s">
        <v>81</v>
      </c>
      <c r="I104" s="6" t="s">
        <v>8444</v>
      </c>
      <c r="J104" s="6" t="s">
        <v>9666</v>
      </c>
      <c r="K104" s="6" t="s">
        <v>10886</v>
      </c>
      <c r="L104" s="16" t="n">
        <v>44467</v>
      </c>
      <c r="M104" s="16" t="n">
        <v>45748</v>
      </c>
      <c r="N104" s="6" t="s">
        <v>10886</v>
      </c>
      <c r="O104" s="16" t="n">
        <v>44467</v>
      </c>
      <c r="P104" s="6" t="s">
        <v>10965</v>
      </c>
      <c r="Q104" s="6" t="s">
        <v>81</v>
      </c>
      <c r="R104" s="6" t="s">
        <v>81</v>
      </c>
      <c r="S104" s="6" t="s">
        <v>10886</v>
      </c>
      <c r="T104" s="16" t="n">
        <v>44467</v>
      </c>
      <c r="U104" s="6" t="s">
        <v>13205</v>
      </c>
      <c r="V104" s="6" t="s">
        <v>81</v>
      </c>
      <c r="W104" s="6" t="s">
        <v>81</v>
      </c>
      <c r="X104" s="6" t="s">
        <v>81</v>
      </c>
      <c r="Y104" s="21" t="s">
        <v>81</v>
      </c>
      <c r="Z104" s="6" t="s">
        <v>81</v>
      </c>
      <c r="AA104" s="6" t="s">
        <v>81</v>
      </c>
      <c r="AB104" s="6" t="s">
        <v>81</v>
      </c>
      <c r="AC104" s="6" t="s">
        <v>81</v>
      </c>
      <c r="AD104" s="21" t="s">
        <v>81</v>
      </c>
      <c r="AE104" s="6" t="s">
        <v>81</v>
      </c>
      <c r="AF104" s="6" t="s">
        <v>81</v>
      </c>
      <c r="AG104" s="6" t="s">
        <v>81</v>
      </c>
      <c r="AH104" s="6" t="s">
        <v>14713</v>
      </c>
      <c r="AI104" s="6" t="s">
        <v>81</v>
      </c>
      <c r="AJ104" s="6" t="s">
        <v>17373</v>
      </c>
      <c r="AK104" s="6" t="s">
        <v>18377</v>
      </c>
      <c r="AL104" s="6" t="s">
        <v>18444</v>
      </c>
      <c r="AM104" s="6" t="s">
        <v>18546</v>
      </c>
      <c r="AN104" s="6" t="s">
        <v>19652</v>
      </c>
      <c r="AO104" s="6" t="s">
        <v>19772</v>
      </c>
      <c r="AP104" s="6" t="s">
        <v>14713</v>
      </c>
      <c r="AQ104" s="6" t="s">
        <v>81</v>
      </c>
      <c r="AR104" s="6" t="s">
        <v>17373</v>
      </c>
      <c r="AS104" s="6" t="s">
        <v>18377</v>
      </c>
      <c r="AT104" s="6" t="s">
        <v>18444</v>
      </c>
      <c r="AU104" s="6" t="s">
        <v>18546</v>
      </c>
      <c r="AV104" s="6" t="s">
        <v>81</v>
      </c>
      <c r="AW104" s="6" t="s">
        <v>81</v>
      </c>
      <c r="AX104" s="6" t="s">
        <v>81</v>
      </c>
      <c r="AY104" s="6" t="s">
        <v>81</v>
      </c>
      <c r="AZ104" s="6" t="s">
        <v>81</v>
      </c>
      <c r="BA104" s="6" t="s">
        <v>81</v>
      </c>
      <c r="BB104" s="24" t="n">
        <v>20</v>
      </c>
      <c r="BC104" s="26"/>
      <c r="BD104" s="26"/>
      <c r="BE104" s="26"/>
      <c r="BF104" s="26"/>
      <c r="BG104" s="26"/>
      <c r="BH104" s="26"/>
      <c r="BI104" s="26"/>
      <c r="BJ104" s="26"/>
      <c r="BK104" s="26"/>
      <c r="BL104" s="26"/>
      <c r="BM104" s="26"/>
      <c r="BN104" s="26"/>
      <c r="BO104" s="26"/>
      <c r="BP104" s="16" t="n">
        <v>45727</v>
      </c>
      <c r="BQ104" s="28" t="str">
        <f>HYPERLINK("https://organic.ams.usda.gov/Integrity/Certificate.aspx?cid=46&amp;nopid=3672100054")</f>
        <v>https://organic.ams.usda.gov/Integrity/Certificate.aspx?cid=46&amp;nopid=3672100054</v>
      </c>
    </row>
    <row r="105">
      <c r="A105" t="s">
        <v>3</v>
      </c>
      <c r="B105" s="6" t="s">
        <v>12</v>
      </c>
      <c r="C105" s="6" t="s">
        <v>59</v>
      </c>
      <c r="D105" s="6" t="s">
        <v>105</v>
      </c>
      <c r="E105" s="10" t="s">
        <v>246</v>
      </c>
      <c r="F105" s="6" t="s">
        <v>2984</v>
      </c>
      <c r="G105" s="6" t="s">
        <v>81</v>
      </c>
      <c r="H105" s="6" t="s">
        <v>5984</v>
      </c>
      <c r="I105" s="6" t="s">
        <v>8445</v>
      </c>
      <c r="J105" s="6" t="s">
        <v>9679</v>
      </c>
      <c r="K105" s="6" t="s">
        <v>10886</v>
      </c>
      <c r="L105" s="16" t="n">
        <v>44333</v>
      </c>
      <c r="M105" s="16" t="n">
        <v>45717</v>
      </c>
      <c r="N105" s="6" t="s">
        <v>10886</v>
      </c>
      <c r="O105" s="16" t="n">
        <v>44333</v>
      </c>
      <c r="P105" s="6" t="s">
        <v>10910</v>
      </c>
      <c r="Q105" s="6" t="s">
        <v>81</v>
      </c>
      <c r="R105" s="6" t="s">
        <v>81</v>
      </c>
      <c r="S105" s="6" t="s">
        <v>10886</v>
      </c>
      <c r="T105" s="16" t="n">
        <v>44333</v>
      </c>
      <c r="U105" s="6" t="s">
        <v>13206</v>
      </c>
      <c r="V105" s="6" t="s">
        <v>81</v>
      </c>
      <c r="W105" s="6" t="s">
        <v>81</v>
      </c>
      <c r="X105" s="6" t="s">
        <v>81</v>
      </c>
      <c r="Y105" s="21" t="s">
        <v>81</v>
      </c>
      <c r="Z105" s="6" t="s">
        <v>81</v>
      </c>
      <c r="AA105" s="6" t="s">
        <v>81</v>
      </c>
      <c r="AB105" s="6" t="s">
        <v>81</v>
      </c>
      <c r="AC105" s="6" t="s">
        <v>81</v>
      </c>
      <c r="AD105" s="21" t="s">
        <v>81</v>
      </c>
      <c r="AE105" s="6" t="s">
        <v>81</v>
      </c>
      <c r="AF105" s="6" t="s">
        <v>81</v>
      </c>
      <c r="AG105" s="6" t="s">
        <v>81</v>
      </c>
      <c r="AH105" s="6" t="s">
        <v>14714</v>
      </c>
      <c r="AI105" s="6" t="s">
        <v>81</v>
      </c>
      <c r="AJ105" s="6" t="s">
        <v>17337</v>
      </c>
      <c r="AK105" s="6" t="s">
        <v>17759</v>
      </c>
      <c r="AL105" s="6" t="s">
        <v>18444</v>
      </c>
      <c r="AM105" s="6" t="s">
        <v>18547</v>
      </c>
      <c r="AN105" s="6" t="s">
        <v>19639</v>
      </c>
      <c r="AO105" s="6" t="s">
        <v>81</v>
      </c>
      <c r="AP105" s="6" t="s">
        <v>14714</v>
      </c>
      <c r="AQ105" s="6" t="s">
        <v>81</v>
      </c>
      <c r="AR105" s="6" t="s">
        <v>17337</v>
      </c>
      <c r="AS105" s="6" t="s">
        <v>17759</v>
      </c>
      <c r="AT105" s="6" t="s">
        <v>18444</v>
      </c>
      <c r="AU105" s="6" t="s">
        <v>18547</v>
      </c>
      <c r="AV105" s="6" t="s">
        <v>81</v>
      </c>
      <c r="AW105" s="6" t="s">
        <v>81</v>
      </c>
      <c r="AX105" s="6" t="s">
        <v>20812</v>
      </c>
      <c r="AY105" s="6" t="s">
        <v>81</v>
      </c>
      <c r="AZ105" s="6" t="s">
        <v>81</v>
      </c>
      <c r="BA105" s="6" t="s">
        <v>81</v>
      </c>
      <c r="BB105" s="24" t="n">
        <v>118</v>
      </c>
      <c r="BC105" s="26"/>
      <c r="BD105" s="26"/>
      <c r="BE105" s="26"/>
      <c r="BF105" s="26"/>
      <c r="BG105" s="26"/>
      <c r="BH105" s="26"/>
      <c r="BI105" s="26"/>
      <c r="BJ105" s="26"/>
      <c r="BK105" s="26"/>
      <c r="BL105" s="26"/>
      <c r="BM105" s="26"/>
      <c r="BN105" s="26"/>
      <c r="BO105" s="26"/>
      <c r="BP105" s="16" t="n">
        <v>45734</v>
      </c>
      <c r="BQ105" s="28" t="str">
        <f>HYPERLINK("https://organic.ams.usda.gov/Integrity/Certificate.aspx?cid=68&amp;nopid=8210008054")</f>
        <v>https://organic.ams.usda.gov/Integrity/Certificate.aspx?cid=68&amp;nopid=8210008054</v>
      </c>
    </row>
    <row r="106">
      <c r="A106" t="s">
        <v>3</v>
      </c>
      <c r="B106" s="6" t="s">
        <v>10</v>
      </c>
      <c r="C106" s="6" t="s">
        <v>57</v>
      </c>
      <c r="D106" s="6" t="s">
        <v>103</v>
      </c>
      <c r="E106" s="10" t="s">
        <v>247</v>
      </c>
      <c r="F106" s="6" t="s">
        <v>2985</v>
      </c>
      <c r="G106" s="6" t="s">
        <v>81</v>
      </c>
      <c r="H106" s="6" t="s">
        <v>5985</v>
      </c>
      <c r="I106" s="6" t="s">
        <v>8438</v>
      </c>
      <c r="J106" s="6" t="s">
        <v>9731</v>
      </c>
      <c r="K106" s="6" t="s">
        <v>10886</v>
      </c>
      <c r="L106" s="16" t="n">
        <v>41079</v>
      </c>
      <c r="M106" s="16" t="n">
        <v>45748</v>
      </c>
      <c r="N106" s="6" t="s">
        <v>10886</v>
      </c>
      <c r="O106" s="16" t="n">
        <v>41079</v>
      </c>
      <c r="P106" s="6" t="s">
        <v>10966</v>
      </c>
      <c r="Q106" s="6" t="s">
        <v>81</v>
      </c>
      <c r="R106" s="6" t="s">
        <v>12453</v>
      </c>
      <c r="S106" s="6" t="s">
        <v>10886</v>
      </c>
      <c r="T106" s="16" t="n">
        <v>41079</v>
      </c>
      <c r="U106" s="6" t="s">
        <v>13163</v>
      </c>
      <c r="V106" s="6" t="s">
        <v>81</v>
      </c>
      <c r="W106" s="6" t="s">
        <v>81</v>
      </c>
      <c r="X106" s="6" t="s">
        <v>81</v>
      </c>
      <c r="Y106" s="21" t="s">
        <v>81</v>
      </c>
      <c r="Z106" s="6" t="s">
        <v>81</v>
      </c>
      <c r="AA106" s="6" t="s">
        <v>81</v>
      </c>
      <c r="AB106" s="6" t="s">
        <v>81</v>
      </c>
      <c r="AC106" s="6" t="s">
        <v>81</v>
      </c>
      <c r="AD106" s="21" t="s">
        <v>81</v>
      </c>
      <c r="AE106" s="6" t="s">
        <v>81</v>
      </c>
      <c r="AF106" s="6" t="s">
        <v>81</v>
      </c>
      <c r="AG106" s="6" t="s">
        <v>81</v>
      </c>
      <c r="AH106" s="6" t="s">
        <v>14715</v>
      </c>
      <c r="AI106" s="6" t="s">
        <v>81</v>
      </c>
      <c r="AJ106" s="6" t="s">
        <v>17391</v>
      </c>
      <c r="AK106" s="6" t="s">
        <v>18379</v>
      </c>
      <c r="AL106" s="6" t="s">
        <v>18444</v>
      </c>
      <c r="AM106" s="6" t="s">
        <v>18467</v>
      </c>
      <c r="AN106" s="6" t="s">
        <v>19637</v>
      </c>
      <c r="AO106" s="6" t="s">
        <v>19723</v>
      </c>
      <c r="AP106" s="6" t="s">
        <v>14715</v>
      </c>
      <c r="AQ106" s="6" t="s">
        <v>81</v>
      </c>
      <c r="AR106" s="6" t="s">
        <v>17391</v>
      </c>
      <c r="AS106" s="6" t="s">
        <v>18379</v>
      </c>
      <c r="AT106" s="6" t="s">
        <v>18444</v>
      </c>
      <c r="AU106" s="6" t="s">
        <v>18467</v>
      </c>
      <c r="AV106" s="6" t="s">
        <v>81</v>
      </c>
      <c r="AW106" s="6" t="s">
        <v>81</v>
      </c>
      <c r="AX106" s="6" t="s">
        <v>20813</v>
      </c>
      <c r="AY106" s="6" t="s">
        <v>81</v>
      </c>
      <c r="AZ106" s="6" t="s">
        <v>81</v>
      </c>
      <c r="BA106" s="6" t="s">
        <v>81</v>
      </c>
      <c r="BB106" s="24" t="n">
        <v>54</v>
      </c>
      <c r="BC106" s="26"/>
      <c r="BD106" s="26"/>
      <c r="BE106" s="26"/>
      <c r="BF106" s="26"/>
      <c r="BG106" s="26"/>
      <c r="BH106" s="26"/>
      <c r="BI106" s="26"/>
      <c r="BJ106" s="26"/>
      <c r="BK106" s="26"/>
      <c r="BL106" s="26"/>
      <c r="BM106" s="26"/>
      <c r="BN106" s="26"/>
      <c r="BO106" s="26"/>
      <c r="BP106" s="16" t="n">
        <v>45730</v>
      </c>
      <c r="BQ106" s="28" t="str">
        <f>HYPERLINK("https://organic.ams.usda.gov/Integrity/Certificate.aspx?cid=90&amp;nopid=7170210322")</f>
        <v>https://organic.ams.usda.gov/Integrity/Certificate.aspx?cid=90&amp;nopid=7170210322</v>
      </c>
    </row>
    <row r="107">
      <c r="A107" t="s">
        <v>3</v>
      </c>
      <c r="B107" s="6" t="s">
        <v>10</v>
      </c>
      <c r="C107" s="6" t="s">
        <v>57</v>
      </c>
      <c r="D107" s="6" t="s">
        <v>103</v>
      </c>
      <c r="E107" s="10" t="s">
        <v>248</v>
      </c>
      <c r="F107" s="6" t="s">
        <v>2986</v>
      </c>
      <c r="G107" s="6" t="s">
        <v>81</v>
      </c>
      <c r="H107" s="6" t="s">
        <v>5986</v>
      </c>
      <c r="I107" s="6" t="s">
        <v>8446</v>
      </c>
      <c r="J107" s="6" t="s">
        <v>9728</v>
      </c>
      <c r="K107" s="6" t="s">
        <v>10886</v>
      </c>
      <c r="L107" s="16" t="n">
        <v>41548</v>
      </c>
      <c r="M107" s="16" t="n">
        <v>45748</v>
      </c>
      <c r="N107" s="6" t="s">
        <v>10886</v>
      </c>
      <c r="O107" s="16" t="n">
        <v>44628</v>
      </c>
      <c r="P107" s="6" t="s">
        <v>10967</v>
      </c>
      <c r="Q107" s="6" t="s">
        <v>81</v>
      </c>
      <c r="R107" s="6" t="s">
        <v>12454</v>
      </c>
      <c r="S107" s="6" t="s">
        <v>10886</v>
      </c>
      <c r="T107" s="16" t="n">
        <v>44628</v>
      </c>
      <c r="U107" s="6" t="s">
        <v>13163</v>
      </c>
      <c r="V107" s="6" t="s">
        <v>81</v>
      </c>
      <c r="W107" s="6" t="s">
        <v>81</v>
      </c>
      <c r="X107" s="6" t="s">
        <v>81</v>
      </c>
      <c r="Y107" s="21" t="s">
        <v>81</v>
      </c>
      <c r="Z107" s="6" t="s">
        <v>81</v>
      </c>
      <c r="AA107" s="6" t="s">
        <v>81</v>
      </c>
      <c r="AB107" s="6" t="s">
        <v>81</v>
      </c>
      <c r="AC107" s="6" t="s">
        <v>81</v>
      </c>
      <c r="AD107" s="21" t="s">
        <v>81</v>
      </c>
      <c r="AE107" s="6" t="s">
        <v>81</v>
      </c>
      <c r="AF107" s="6" t="s">
        <v>81</v>
      </c>
      <c r="AG107" s="6" t="s">
        <v>81</v>
      </c>
      <c r="AH107" s="6" t="s">
        <v>14716</v>
      </c>
      <c r="AI107" s="6" t="s">
        <v>81</v>
      </c>
      <c r="AJ107" s="6" t="s">
        <v>17392</v>
      </c>
      <c r="AK107" s="6" t="s">
        <v>18379</v>
      </c>
      <c r="AL107" s="6" t="s">
        <v>18444</v>
      </c>
      <c r="AM107" s="6" t="s">
        <v>18548</v>
      </c>
      <c r="AN107" s="6" t="s">
        <v>19637</v>
      </c>
      <c r="AO107" s="6" t="s">
        <v>19723</v>
      </c>
      <c r="AP107" s="6" t="s">
        <v>14716</v>
      </c>
      <c r="AQ107" s="6" t="s">
        <v>81</v>
      </c>
      <c r="AR107" s="6" t="s">
        <v>17392</v>
      </c>
      <c r="AS107" s="6" t="s">
        <v>18379</v>
      </c>
      <c r="AT107" s="6" t="s">
        <v>18444</v>
      </c>
      <c r="AU107" s="6" t="s">
        <v>18548</v>
      </c>
      <c r="AV107" s="6" t="s">
        <v>81</v>
      </c>
      <c r="AW107" s="6" t="s">
        <v>81</v>
      </c>
      <c r="AX107" s="6" t="s">
        <v>20814</v>
      </c>
      <c r="AY107" s="6" t="s">
        <v>81</v>
      </c>
      <c r="AZ107" s="6" t="s">
        <v>81</v>
      </c>
      <c r="BA107" s="6" t="s">
        <v>81</v>
      </c>
      <c r="BB107" s="24" t="n">
        <v>67</v>
      </c>
      <c r="BC107" s="26"/>
      <c r="BD107" s="26"/>
      <c r="BE107" s="26"/>
      <c r="BF107" s="26"/>
      <c r="BG107" s="26"/>
      <c r="BH107" s="26"/>
      <c r="BI107" s="26"/>
      <c r="BJ107" s="26"/>
      <c r="BK107" s="26"/>
      <c r="BL107" s="26"/>
      <c r="BM107" s="26"/>
      <c r="BN107" s="26"/>
      <c r="BO107" s="26"/>
      <c r="BP107" s="16" t="n">
        <v>45730</v>
      </c>
      <c r="BQ107" s="28" t="str">
        <f>HYPERLINK("https://organic.ams.usda.gov/Integrity/Certificate.aspx?cid=90&amp;nopid=7170220458")</f>
        <v>https://organic.ams.usda.gov/Integrity/Certificate.aspx?cid=90&amp;nopid=7170220458</v>
      </c>
    </row>
    <row r="108">
      <c r="A108" t="s">
        <v>3</v>
      </c>
      <c r="B108" s="6" t="s">
        <v>12</v>
      </c>
      <c r="C108" s="6" t="s">
        <v>59</v>
      </c>
      <c r="D108" s="6" t="s">
        <v>105</v>
      </c>
      <c r="E108" s="10" t="s">
        <v>249</v>
      </c>
      <c r="F108" s="6" t="s">
        <v>2987</v>
      </c>
      <c r="G108" s="6" t="s">
        <v>81</v>
      </c>
      <c r="H108" s="6" t="s">
        <v>5987</v>
      </c>
      <c r="I108" s="6" t="s">
        <v>8438</v>
      </c>
      <c r="J108" s="6" t="s">
        <v>9732</v>
      </c>
      <c r="K108" s="6" t="s">
        <v>10886</v>
      </c>
      <c r="L108" s="16" t="n">
        <v>43819</v>
      </c>
      <c r="M108" s="16" t="n">
        <v>45717</v>
      </c>
      <c r="N108" s="6" t="s">
        <v>10886</v>
      </c>
      <c r="O108" s="16" t="n">
        <v>43819</v>
      </c>
      <c r="P108" s="6" t="s">
        <v>10968</v>
      </c>
      <c r="Q108" s="6" t="s">
        <v>81</v>
      </c>
      <c r="R108" s="6" t="s">
        <v>81</v>
      </c>
      <c r="S108" s="6" t="s">
        <v>10886</v>
      </c>
      <c r="T108" s="16" t="n">
        <v>43819</v>
      </c>
      <c r="U108" s="6" t="s">
        <v>13187</v>
      </c>
      <c r="V108" s="6" t="s">
        <v>81</v>
      </c>
      <c r="W108" s="6" t="s">
        <v>81</v>
      </c>
      <c r="X108" s="6" t="s">
        <v>81</v>
      </c>
      <c r="Y108" s="21" t="s">
        <v>81</v>
      </c>
      <c r="Z108" s="6" t="s">
        <v>81</v>
      </c>
      <c r="AA108" s="6" t="s">
        <v>81</v>
      </c>
      <c r="AB108" s="6" t="s">
        <v>81</v>
      </c>
      <c r="AC108" s="6" t="s">
        <v>81</v>
      </c>
      <c r="AD108" s="21" t="s">
        <v>81</v>
      </c>
      <c r="AE108" s="6" t="s">
        <v>81</v>
      </c>
      <c r="AF108" s="6" t="s">
        <v>81</v>
      </c>
      <c r="AG108" s="6" t="s">
        <v>81</v>
      </c>
      <c r="AH108" s="6" t="s">
        <v>14717</v>
      </c>
      <c r="AI108" s="6" t="s">
        <v>81</v>
      </c>
      <c r="AJ108" s="6" t="s">
        <v>17311</v>
      </c>
      <c r="AK108" s="6" t="s">
        <v>17712</v>
      </c>
      <c r="AL108" s="6" t="s">
        <v>18444</v>
      </c>
      <c r="AM108" s="6" t="s">
        <v>18463</v>
      </c>
      <c r="AN108" s="6" t="s">
        <v>19634</v>
      </c>
      <c r="AO108" s="6" t="s">
        <v>19719</v>
      </c>
      <c r="AP108" s="6" t="s">
        <v>14717</v>
      </c>
      <c r="AQ108" s="6" t="s">
        <v>81</v>
      </c>
      <c r="AR108" s="6" t="s">
        <v>17311</v>
      </c>
      <c r="AS108" s="6" t="s">
        <v>17712</v>
      </c>
      <c r="AT108" s="6" t="s">
        <v>18444</v>
      </c>
      <c r="AU108" s="6" t="s">
        <v>18463</v>
      </c>
      <c r="AV108" s="6" t="s">
        <v>81</v>
      </c>
      <c r="AW108" s="6" t="s">
        <v>81</v>
      </c>
      <c r="AX108" s="6" t="s">
        <v>20815</v>
      </c>
      <c r="AY108" s="6" t="s">
        <v>81</v>
      </c>
      <c r="AZ108" s="6" t="s">
        <v>81</v>
      </c>
      <c r="BA108" s="6" t="s">
        <v>81</v>
      </c>
      <c r="BB108" s="24" t="n">
        <v>133</v>
      </c>
      <c r="BC108" s="26"/>
      <c r="BD108" s="26"/>
      <c r="BE108" s="26"/>
      <c r="BF108" s="26"/>
      <c r="BG108" s="26"/>
      <c r="BH108" s="26"/>
      <c r="BI108" s="26"/>
      <c r="BJ108" s="26"/>
      <c r="BK108" s="26"/>
      <c r="BL108" s="26"/>
      <c r="BM108" s="26"/>
      <c r="BN108" s="26"/>
      <c r="BO108" s="26"/>
      <c r="BP108" s="16" t="n">
        <v>45689</v>
      </c>
      <c r="BQ108" s="28" t="str">
        <f>HYPERLINK("https://organic.ams.usda.gov/Integrity/Certificate.aspx?cid=68&amp;nopid=8210007259")</f>
        <v>https://organic.ams.usda.gov/Integrity/Certificate.aspx?cid=68&amp;nopid=8210007259</v>
      </c>
    </row>
    <row r="109">
      <c r="A109" t="s">
        <v>3</v>
      </c>
      <c r="B109" s="6" t="s">
        <v>7</v>
      </c>
      <c r="C109" s="6" t="s">
        <v>54</v>
      </c>
      <c r="D109" s="6" t="s">
        <v>100</v>
      </c>
      <c r="E109" s="10" t="s">
        <v>250</v>
      </c>
      <c r="F109" s="6" t="s">
        <v>2988</v>
      </c>
      <c r="G109" s="6" t="s">
        <v>81</v>
      </c>
      <c r="H109" s="6" t="s">
        <v>5988</v>
      </c>
      <c r="I109" s="6" t="s">
        <v>8438</v>
      </c>
      <c r="J109" s="6" t="s">
        <v>9733</v>
      </c>
      <c r="K109" s="6" t="s">
        <v>10886</v>
      </c>
      <c r="L109" s="16" t="n">
        <v>41912</v>
      </c>
      <c r="M109" s="16" t="n">
        <v>45716</v>
      </c>
      <c r="N109" s="6" t="s">
        <v>10886</v>
      </c>
      <c r="O109" s="16" t="n">
        <v>41912</v>
      </c>
      <c r="P109" s="6" t="s">
        <v>10964</v>
      </c>
      <c r="Q109" s="6" t="s">
        <v>81</v>
      </c>
      <c r="R109" s="6" t="s">
        <v>81</v>
      </c>
      <c r="S109" s="6" t="s">
        <v>10886</v>
      </c>
      <c r="T109" s="16" t="n">
        <v>42186</v>
      </c>
      <c r="U109" s="6" t="s">
        <v>13169</v>
      </c>
      <c r="V109" s="6" t="s">
        <v>81</v>
      </c>
      <c r="W109" s="6" t="s">
        <v>81</v>
      </c>
      <c r="X109" s="6" t="s">
        <v>81</v>
      </c>
      <c r="Y109" s="21" t="s">
        <v>81</v>
      </c>
      <c r="Z109" s="6" t="s">
        <v>81</v>
      </c>
      <c r="AA109" s="6" t="s">
        <v>81</v>
      </c>
      <c r="AB109" s="6" t="s">
        <v>81</v>
      </c>
      <c r="AC109" s="6" t="s">
        <v>81</v>
      </c>
      <c r="AD109" s="21" t="s">
        <v>81</v>
      </c>
      <c r="AE109" s="6" t="s">
        <v>81</v>
      </c>
      <c r="AF109" s="6" t="s">
        <v>81</v>
      </c>
      <c r="AG109" s="6" t="s">
        <v>81</v>
      </c>
      <c r="AH109" s="6" t="s">
        <v>14718</v>
      </c>
      <c r="AI109" s="6" t="s">
        <v>81</v>
      </c>
      <c r="AJ109" s="6" t="s">
        <v>17393</v>
      </c>
      <c r="AK109" s="6" t="s">
        <v>17712</v>
      </c>
      <c r="AL109" s="6" t="s">
        <v>18444</v>
      </c>
      <c r="AM109" s="6" t="s">
        <v>18549</v>
      </c>
      <c r="AN109" s="6" t="s">
        <v>19643</v>
      </c>
      <c r="AO109" s="6" t="s">
        <v>19766</v>
      </c>
      <c r="AP109" s="6" t="s">
        <v>14718</v>
      </c>
      <c r="AQ109" s="6" t="s">
        <v>81</v>
      </c>
      <c r="AR109" s="6" t="s">
        <v>17393</v>
      </c>
      <c r="AS109" s="6" t="s">
        <v>17712</v>
      </c>
      <c r="AT109" s="6" t="s">
        <v>18444</v>
      </c>
      <c r="AU109" s="6" t="s">
        <v>18549</v>
      </c>
      <c r="AV109" s="6" t="s">
        <v>81</v>
      </c>
      <c r="AW109" s="6" t="s">
        <v>81</v>
      </c>
      <c r="AX109" s="6" t="s">
        <v>81</v>
      </c>
      <c r="AY109" s="6" t="s">
        <v>81</v>
      </c>
      <c r="AZ109" s="6" t="s">
        <v>81</v>
      </c>
      <c r="BA109" s="6" t="s">
        <v>81</v>
      </c>
      <c r="BB109" s="24" t="n">
        <v>176</v>
      </c>
      <c r="BC109" s="26"/>
      <c r="BD109" s="26"/>
      <c r="BE109" s="26"/>
      <c r="BF109" s="26" t="s">
        <v>23900</v>
      </c>
      <c r="BG109" s="26"/>
      <c r="BH109" s="26"/>
      <c r="BI109" s="26"/>
      <c r="BJ109" s="26"/>
      <c r="BK109" s="26"/>
      <c r="BL109" s="26"/>
      <c r="BM109" s="26"/>
      <c r="BN109" s="26"/>
      <c r="BO109" s="26"/>
      <c r="BP109" s="16" t="n">
        <v>45595</v>
      </c>
      <c r="BQ109" s="28" t="str">
        <f>HYPERLINK("https://organic.ams.usda.gov/Integrity/Certificate.aspx?cid=57&amp;nopid=3252014033")</f>
        <v>https://organic.ams.usda.gov/Integrity/Certificate.aspx?cid=57&amp;nopid=3252014033</v>
      </c>
    </row>
    <row r="110">
      <c r="A110" t="s">
        <v>3</v>
      </c>
      <c r="B110" s="6" t="s">
        <v>10</v>
      </c>
      <c r="C110" s="6" t="s">
        <v>57</v>
      </c>
      <c r="D110" s="6" t="s">
        <v>103</v>
      </c>
      <c r="E110" s="10" t="s">
        <v>251</v>
      </c>
      <c r="F110" s="6" t="s">
        <v>2989</v>
      </c>
      <c r="G110" s="6" t="s">
        <v>5600</v>
      </c>
      <c r="H110" s="6" t="s">
        <v>5989</v>
      </c>
      <c r="I110" s="6" t="s">
        <v>8447</v>
      </c>
      <c r="J110" s="6" t="s">
        <v>9731</v>
      </c>
      <c r="K110" s="6" t="s">
        <v>10886</v>
      </c>
      <c r="L110" s="16" t="n">
        <v>43752</v>
      </c>
      <c r="M110" s="16" t="n">
        <v>45748</v>
      </c>
      <c r="N110" s="6" t="s">
        <v>10886</v>
      </c>
      <c r="O110" s="16" t="n">
        <v>43752</v>
      </c>
      <c r="P110" s="6" t="s">
        <v>10969</v>
      </c>
      <c r="Q110" s="6" t="s">
        <v>81</v>
      </c>
      <c r="R110" s="6" t="s">
        <v>12455</v>
      </c>
      <c r="S110" s="6" t="s">
        <v>10886</v>
      </c>
      <c r="T110" s="16" t="n">
        <v>43993</v>
      </c>
      <c r="U110" s="6" t="s">
        <v>13164</v>
      </c>
      <c r="V110" s="6" t="s">
        <v>81</v>
      </c>
      <c r="W110" s="6" t="s">
        <v>81</v>
      </c>
      <c r="X110" s="6" t="s">
        <v>81</v>
      </c>
      <c r="Y110" s="21" t="s">
        <v>81</v>
      </c>
      <c r="Z110" s="6" t="s">
        <v>81</v>
      </c>
      <c r="AA110" s="6" t="s">
        <v>81</v>
      </c>
      <c r="AB110" s="6" t="s">
        <v>81</v>
      </c>
      <c r="AC110" s="6" t="s">
        <v>81</v>
      </c>
      <c r="AD110" s="21" t="s">
        <v>81</v>
      </c>
      <c r="AE110" s="6" t="s">
        <v>81</v>
      </c>
      <c r="AF110" s="6" t="s">
        <v>81</v>
      </c>
      <c r="AG110" s="6" t="s">
        <v>81</v>
      </c>
      <c r="AH110" s="6" t="s">
        <v>14719</v>
      </c>
      <c r="AI110" s="6" t="s">
        <v>81</v>
      </c>
      <c r="AJ110" s="6" t="s">
        <v>17315</v>
      </c>
      <c r="AK110" s="6" t="s">
        <v>18379</v>
      </c>
      <c r="AL110" s="6" t="s">
        <v>18444</v>
      </c>
      <c r="AM110" s="6" t="s">
        <v>18467</v>
      </c>
      <c r="AN110" s="6" t="s">
        <v>19637</v>
      </c>
      <c r="AO110" s="6" t="s">
        <v>19723</v>
      </c>
      <c r="AP110" s="6" t="s">
        <v>14719</v>
      </c>
      <c r="AQ110" s="6" t="s">
        <v>81</v>
      </c>
      <c r="AR110" s="6" t="s">
        <v>17315</v>
      </c>
      <c r="AS110" s="6" t="s">
        <v>18379</v>
      </c>
      <c r="AT110" s="6" t="s">
        <v>18444</v>
      </c>
      <c r="AU110" s="6" t="s">
        <v>18467</v>
      </c>
      <c r="AV110" s="6" t="s">
        <v>81</v>
      </c>
      <c r="AW110" s="6" t="s">
        <v>81</v>
      </c>
      <c r="AX110" s="6" t="s">
        <v>20816</v>
      </c>
      <c r="AY110" s="6" t="s">
        <v>81</v>
      </c>
      <c r="AZ110" s="6" t="s">
        <v>81</v>
      </c>
      <c r="BA110" s="6" t="s">
        <v>81</v>
      </c>
      <c r="BB110" s="24" t="n">
        <v>58</v>
      </c>
      <c r="BC110" s="26"/>
      <c r="BD110" s="26"/>
      <c r="BE110" s="26"/>
      <c r="BF110" s="26"/>
      <c r="BG110" s="26"/>
      <c r="BH110" s="26"/>
      <c r="BI110" s="26"/>
      <c r="BJ110" s="26"/>
      <c r="BK110" s="26"/>
      <c r="BL110" s="26"/>
      <c r="BM110" s="26"/>
      <c r="BN110" s="26"/>
      <c r="BO110" s="26"/>
      <c r="BP110" s="16" t="n">
        <v>45730</v>
      </c>
      <c r="BQ110" s="28" t="str">
        <f>HYPERLINK("https://organic.ams.usda.gov/Integrity/Certificate.aspx?cid=90&amp;nopid=7170019038")</f>
        <v>https://organic.ams.usda.gov/Integrity/Certificate.aspx?cid=90&amp;nopid=7170019038</v>
      </c>
    </row>
    <row r="111">
      <c r="A111" t="s">
        <v>3</v>
      </c>
      <c r="B111" s="6" t="s">
        <v>9</v>
      </c>
      <c r="C111" s="6" t="s">
        <v>56</v>
      </c>
      <c r="D111" s="6" t="s">
        <v>102</v>
      </c>
      <c r="E111" s="10" t="s">
        <v>252</v>
      </c>
      <c r="F111" s="6" t="s">
        <v>2990</v>
      </c>
      <c r="G111" s="6" t="s">
        <v>81</v>
      </c>
      <c r="H111" s="6" t="s">
        <v>5990</v>
      </c>
      <c r="I111" s="6" t="s">
        <v>8448</v>
      </c>
      <c r="J111" s="6" t="s">
        <v>9734</v>
      </c>
      <c r="K111" s="6" t="s">
        <v>10886</v>
      </c>
      <c r="L111" s="16" t="n">
        <v>41852</v>
      </c>
      <c r="M111" s="16" t="n">
        <v>45748</v>
      </c>
      <c r="N111" s="6" t="s">
        <v>10886</v>
      </c>
      <c r="O111" s="16" t="n">
        <v>41852</v>
      </c>
      <c r="P111" s="6" t="s">
        <v>10907</v>
      </c>
      <c r="Q111" s="6" t="s">
        <v>81</v>
      </c>
      <c r="R111" s="6" t="s">
        <v>12456</v>
      </c>
      <c r="S111" s="6" t="s">
        <v>10886</v>
      </c>
      <c r="T111" s="16" t="n">
        <v>41852</v>
      </c>
      <c r="U111" s="6" t="s">
        <v>13162</v>
      </c>
      <c r="V111" s="6" t="s">
        <v>81</v>
      </c>
      <c r="W111" s="6" t="s">
        <v>12456</v>
      </c>
      <c r="X111" s="6" t="s">
        <v>81</v>
      </c>
      <c r="Y111" s="21" t="s">
        <v>81</v>
      </c>
      <c r="Z111" s="6" t="s">
        <v>81</v>
      </c>
      <c r="AA111" s="6" t="s">
        <v>81</v>
      </c>
      <c r="AB111" s="6" t="s">
        <v>81</v>
      </c>
      <c r="AC111" s="6" t="s">
        <v>81</v>
      </c>
      <c r="AD111" s="21" t="s">
        <v>81</v>
      </c>
      <c r="AE111" s="6" t="s">
        <v>81</v>
      </c>
      <c r="AF111" s="6" t="s">
        <v>81</v>
      </c>
      <c r="AG111" s="6" t="s">
        <v>81</v>
      </c>
      <c r="AH111" s="6" t="s">
        <v>14720</v>
      </c>
      <c r="AI111" s="6" t="s">
        <v>81</v>
      </c>
      <c r="AJ111" s="6" t="s">
        <v>17394</v>
      </c>
      <c r="AK111" s="6" t="s">
        <v>18377</v>
      </c>
      <c r="AL111" s="6" t="s">
        <v>18444</v>
      </c>
      <c r="AM111" s="6" t="s">
        <v>18550</v>
      </c>
      <c r="AN111" s="6" t="s">
        <v>7895</v>
      </c>
      <c r="AO111" s="6" t="s">
        <v>19773</v>
      </c>
      <c r="AP111" s="6" t="s">
        <v>20097</v>
      </c>
      <c r="AQ111" s="6" t="s">
        <v>81</v>
      </c>
      <c r="AR111" s="6" t="s">
        <v>17394</v>
      </c>
      <c r="AS111" s="6" t="s">
        <v>18377</v>
      </c>
      <c r="AT111" s="6" t="s">
        <v>18444</v>
      </c>
      <c r="AU111" s="6" t="s">
        <v>18550</v>
      </c>
      <c r="AV111" s="6" t="s">
        <v>81</v>
      </c>
      <c r="AW111" s="6" t="s">
        <v>81</v>
      </c>
      <c r="AX111" s="6" t="s">
        <v>81</v>
      </c>
      <c r="AY111" s="6" t="s">
        <v>81</v>
      </c>
      <c r="AZ111" s="6" t="s">
        <v>81</v>
      </c>
      <c r="BA111" s="6" t="s">
        <v>81</v>
      </c>
      <c r="BB111" s="24" t="n">
        <v>107</v>
      </c>
      <c r="BC111" s="26"/>
      <c r="BD111" s="26"/>
      <c r="BE111" s="26"/>
      <c r="BF111" s="26"/>
      <c r="BG111" s="26"/>
      <c r="BH111" s="26"/>
      <c r="BI111" s="26"/>
      <c r="BJ111" s="26"/>
      <c r="BK111" s="26"/>
      <c r="BL111" s="26"/>
      <c r="BM111" s="26"/>
      <c r="BN111" s="26"/>
      <c r="BO111" s="26"/>
      <c r="BP111" s="16" t="n">
        <v>45738</v>
      </c>
      <c r="BQ111" s="28" t="str">
        <f>HYPERLINK("https://organic.ams.usda.gov/Integrity/Certificate.aspx?cid=52&amp;nopid=8431400854")</f>
        <v>https://organic.ams.usda.gov/Integrity/Certificate.aspx?cid=52&amp;nopid=8431400854</v>
      </c>
    </row>
    <row r="112">
      <c r="A112" t="s">
        <v>3</v>
      </c>
      <c r="B112" s="6" t="s">
        <v>12</v>
      </c>
      <c r="C112" s="6" t="s">
        <v>59</v>
      </c>
      <c r="D112" s="6" t="s">
        <v>105</v>
      </c>
      <c r="E112" s="10" t="s">
        <v>253</v>
      </c>
      <c r="F112" s="6" t="s">
        <v>2991</v>
      </c>
      <c r="G112" s="6" t="s">
        <v>81</v>
      </c>
      <c r="H112" s="6" t="s">
        <v>5991</v>
      </c>
      <c r="I112" s="6" t="s">
        <v>8438</v>
      </c>
      <c r="J112" s="6" t="s">
        <v>9699</v>
      </c>
      <c r="K112" s="6" t="s">
        <v>10886</v>
      </c>
      <c r="L112" s="16" t="n">
        <v>42864</v>
      </c>
      <c r="M112" s="16" t="n">
        <v>45717</v>
      </c>
      <c r="N112" s="6" t="s">
        <v>10886</v>
      </c>
      <c r="O112" s="16" t="n">
        <v>42864</v>
      </c>
      <c r="P112" s="6" t="s">
        <v>10970</v>
      </c>
      <c r="Q112" s="6" t="s">
        <v>81</v>
      </c>
      <c r="R112" s="6" t="s">
        <v>81</v>
      </c>
      <c r="S112" s="6" t="s">
        <v>10886</v>
      </c>
      <c r="T112" s="16" t="n">
        <v>42864</v>
      </c>
      <c r="U112" s="6" t="s">
        <v>13207</v>
      </c>
      <c r="V112" s="6" t="s">
        <v>81</v>
      </c>
      <c r="W112" s="6" t="s">
        <v>81</v>
      </c>
      <c r="X112" s="6" t="s">
        <v>81</v>
      </c>
      <c r="Y112" s="21" t="s">
        <v>81</v>
      </c>
      <c r="Z112" s="6" t="s">
        <v>81</v>
      </c>
      <c r="AA112" s="6" t="s">
        <v>81</v>
      </c>
      <c r="AB112" s="6" t="s">
        <v>81</v>
      </c>
      <c r="AC112" s="6" t="s">
        <v>81</v>
      </c>
      <c r="AD112" s="21" t="s">
        <v>81</v>
      </c>
      <c r="AE112" s="6" t="s">
        <v>81</v>
      </c>
      <c r="AF112" s="6" t="s">
        <v>81</v>
      </c>
      <c r="AG112" s="6" t="s">
        <v>81</v>
      </c>
      <c r="AH112" s="6" t="s">
        <v>14721</v>
      </c>
      <c r="AI112" s="6" t="s">
        <v>81</v>
      </c>
      <c r="AJ112" s="6" t="s">
        <v>17395</v>
      </c>
      <c r="AK112" s="6" t="s">
        <v>17712</v>
      </c>
      <c r="AL112" s="6" t="s">
        <v>18444</v>
      </c>
      <c r="AM112" s="6" t="s">
        <v>18551</v>
      </c>
      <c r="AN112" s="6" t="s">
        <v>19667</v>
      </c>
      <c r="AO112" s="6" t="s">
        <v>19774</v>
      </c>
      <c r="AP112" s="6" t="s">
        <v>14721</v>
      </c>
      <c r="AQ112" s="6" t="s">
        <v>81</v>
      </c>
      <c r="AR112" s="6" t="s">
        <v>17395</v>
      </c>
      <c r="AS112" s="6" t="s">
        <v>17712</v>
      </c>
      <c r="AT112" s="6" t="s">
        <v>18444</v>
      </c>
      <c r="AU112" s="6" t="s">
        <v>18551</v>
      </c>
      <c r="AV112" s="6" t="s">
        <v>81</v>
      </c>
      <c r="AW112" s="6" t="s">
        <v>81</v>
      </c>
      <c r="AX112" s="6" t="s">
        <v>20817</v>
      </c>
      <c r="AY112" s="6" t="s">
        <v>81</v>
      </c>
      <c r="AZ112" s="6" t="s">
        <v>81</v>
      </c>
      <c r="BA112" s="6" t="s">
        <v>81</v>
      </c>
      <c r="BB112" s="24" t="n">
        <v>118</v>
      </c>
      <c r="BC112" s="26"/>
      <c r="BD112" s="26"/>
      <c r="BE112" s="26"/>
      <c r="BF112" s="26"/>
      <c r="BG112" s="26"/>
      <c r="BH112" s="26"/>
      <c r="BI112" s="26"/>
      <c r="BJ112" s="26"/>
      <c r="BK112" s="26"/>
      <c r="BL112" s="26"/>
      <c r="BM112" s="26"/>
      <c r="BN112" s="26"/>
      <c r="BO112" s="26"/>
      <c r="BP112" s="16" t="n">
        <v>45684</v>
      </c>
      <c r="BQ112" s="28" t="str">
        <f>HYPERLINK("https://organic.ams.usda.gov/Integrity/Certificate.aspx?cid=68&amp;nopid=8210005261")</f>
        <v>https://organic.ams.usda.gov/Integrity/Certificate.aspx?cid=68&amp;nopid=8210005261</v>
      </c>
    </row>
    <row r="113">
      <c r="A113" t="s">
        <v>3</v>
      </c>
      <c r="B113" s="6" t="s">
        <v>26</v>
      </c>
      <c r="C113" s="6" t="s">
        <v>73</v>
      </c>
      <c r="D113" s="6" t="s">
        <v>119</v>
      </c>
      <c r="E113" s="10" t="s">
        <v>254</v>
      </c>
      <c r="F113" s="6" t="s">
        <v>2992</v>
      </c>
      <c r="G113" s="6" t="s">
        <v>5601</v>
      </c>
      <c r="H113" s="6" t="s">
        <v>254</v>
      </c>
      <c r="I113" s="6" t="s">
        <v>8449</v>
      </c>
      <c r="J113" s="6" t="s">
        <v>9735</v>
      </c>
      <c r="K113" s="6" t="s">
        <v>10886</v>
      </c>
      <c r="L113" s="16" t="n">
        <v>38673</v>
      </c>
      <c r="M113" s="16" t="n">
        <v>45915</v>
      </c>
      <c r="N113" s="6" t="s">
        <v>10886</v>
      </c>
      <c r="O113" s="16" t="n">
        <v>38673</v>
      </c>
      <c r="P113" s="6" t="s">
        <v>10971</v>
      </c>
      <c r="Q113" s="6" t="s">
        <v>81</v>
      </c>
      <c r="R113" s="6" t="s">
        <v>81</v>
      </c>
      <c r="S113" s="6" t="s">
        <v>10886</v>
      </c>
      <c r="T113" s="16" t="n">
        <v>38673</v>
      </c>
      <c r="U113" s="6" t="s">
        <v>13208</v>
      </c>
      <c r="V113" s="6" t="s">
        <v>81</v>
      </c>
      <c r="W113" s="6" t="s">
        <v>81</v>
      </c>
      <c r="X113" s="6" t="s">
        <v>81</v>
      </c>
      <c r="Y113" s="21" t="s">
        <v>81</v>
      </c>
      <c r="Z113" s="6" t="s">
        <v>81</v>
      </c>
      <c r="AA113" s="6" t="s">
        <v>81</v>
      </c>
      <c r="AB113" s="6" t="s">
        <v>81</v>
      </c>
      <c r="AC113" s="6" t="s">
        <v>10886</v>
      </c>
      <c r="AD113" s="16" t="n">
        <v>38673</v>
      </c>
      <c r="AE113" s="6" t="s">
        <v>14023</v>
      </c>
      <c r="AF113" s="6" t="s">
        <v>81</v>
      </c>
      <c r="AG113" s="6" t="s">
        <v>81</v>
      </c>
      <c r="AH113" s="6" t="s">
        <v>14722</v>
      </c>
      <c r="AI113" s="6" t="s">
        <v>17274</v>
      </c>
      <c r="AJ113" s="6" t="s">
        <v>17396</v>
      </c>
      <c r="AK113" s="6" t="s">
        <v>18390</v>
      </c>
      <c r="AL113" s="6" t="s">
        <v>18444</v>
      </c>
      <c r="AM113" s="6" t="s">
        <v>18552</v>
      </c>
      <c r="AN113" s="6" t="s">
        <v>19647</v>
      </c>
      <c r="AO113" s="6" t="s">
        <v>19775</v>
      </c>
      <c r="AP113" s="6" t="s">
        <v>81</v>
      </c>
      <c r="AQ113" s="6" t="s">
        <v>81</v>
      </c>
      <c r="AR113" s="6" t="s">
        <v>81</v>
      </c>
      <c r="AS113" s="6" t="s">
        <v>81</v>
      </c>
      <c r="AT113" s="6" t="s">
        <v>81</v>
      </c>
      <c r="AU113" s="6" t="s">
        <v>81</v>
      </c>
      <c r="AV113" s="6" t="s">
        <v>81</v>
      </c>
      <c r="AW113" s="6" t="s">
        <v>81</v>
      </c>
      <c r="AX113" s="6" t="s">
        <v>20818</v>
      </c>
      <c r="AY113" s="6" t="s">
        <v>22585</v>
      </c>
      <c r="AZ113" s="6" t="s">
        <v>23582</v>
      </c>
      <c r="BA113" s="6" t="s">
        <v>81</v>
      </c>
      <c r="BB113" s="24" t="n">
        <v>160</v>
      </c>
      <c r="BC113" s="26"/>
      <c r="BD113" s="26"/>
      <c r="BE113" s="26"/>
      <c r="BF113" s="26" t="s">
        <v>23900</v>
      </c>
      <c r="BG113" s="26"/>
      <c r="BH113" s="26"/>
      <c r="BI113" s="26"/>
      <c r="BJ113" s="26"/>
      <c r="BK113" s="26"/>
      <c r="BL113" s="26"/>
      <c r="BM113" s="26"/>
      <c r="BN113" s="26"/>
      <c r="BO113" s="26"/>
      <c r="BP113" s="16" t="n">
        <v>45723</v>
      </c>
      <c r="BQ113" s="28" t="str">
        <f>HYPERLINK("https://organic.ams.usda.gov/Integrity/Certificate.aspx?cid=48&amp;nopid=1460030507")</f>
        <v>https://organic.ams.usda.gov/Integrity/Certificate.aspx?cid=48&amp;nopid=1460030507</v>
      </c>
    </row>
    <row r="114">
      <c r="A114" t="s">
        <v>3</v>
      </c>
      <c r="B114" s="6" t="s">
        <v>27</v>
      </c>
      <c r="C114" s="6" t="s">
        <v>74</v>
      </c>
      <c r="D114" s="6" t="s">
        <v>120</v>
      </c>
      <c r="E114" s="10" t="s">
        <v>255</v>
      </c>
      <c r="F114" s="6" t="s">
        <v>2993</v>
      </c>
      <c r="G114" s="6" t="s">
        <v>81</v>
      </c>
      <c r="H114" s="6" t="s">
        <v>5992</v>
      </c>
      <c r="I114" s="6" t="s">
        <v>8450</v>
      </c>
      <c r="J114" s="6" t="s">
        <v>9736</v>
      </c>
      <c r="K114" s="6" t="s">
        <v>10886</v>
      </c>
      <c r="L114" s="16" t="n">
        <v>43728</v>
      </c>
      <c r="M114" s="16" t="n">
        <v>45921</v>
      </c>
      <c r="N114" s="6" t="s">
        <v>10886</v>
      </c>
      <c r="O114" s="16" t="n">
        <v>43728</v>
      </c>
      <c r="P114" s="6" t="s">
        <v>10972</v>
      </c>
      <c r="Q114" s="6" t="s">
        <v>81</v>
      </c>
      <c r="R114" s="6" t="s">
        <v>5992</v>
      </c>
      <c r="S114" s="6" t="s">
        <v>81</v>
      </c>
      <c r="T114" s="21" t="s">
        <v>81</v>
      </c>
      <c r="U114" s="6" t="s">
        <v>81</v>
      </c>
      <c r="V114" s="6" t="s">
        <v>81</v>
      </c>
      <c r="W114" s="6" t="s">
        <v>81</v>
      </c>
      <c r="X114" s="6" t="s">
        <v>81</v>
      </c>
      <c r="Y114" s="21" t="s">
        <v>81</v>
      </c>
      <c r="Z114" s="6" t="s">
        <v>81</v>
      </c>
      <c r="AA114" s="6" t="s">
        <v>81</v>
      </c>
      <c r="AB114" s="6" t="s">
        <v>81</v>
      </c>
      <c r="AC114" s="6" t="s">
        <v>10886</v>
      </c>
      <c r="AD114" s="16" t="n">
        <v>43728</v>
      </c>
      <c r="AE114" s="6" t="s">
        <v>14024</v>
      </c>
      <c r="AF114" s="6" t="s">
        <v>81</v>
      </c>
      <c r="AG114" s="6" t="s">
        <v>5992</v>
      </c>
      <c r="AH114" s="6" t="s">
        <v>14723</v>
      </c>
      <c r="AI114" s="6" t="s">
        <v>81</v>
      </c>
      <c r="AJ114" s="6" t="s">
        <v>81</v>
      </c>
      <c r="AK114" s="6" t="s">
        <v>81</v>
      </c>
      <c r="AL114" s="6" t="s">
        <v>18446</v>
      </c>
      <c r="AM114" s="6" t="s">
        <v>81</v>
      </c>
      <c r="AN114" s="6" t="s">
        <v>81</v>
      </c>
      <c r="AO114" s="6" t="s">
        <v>81</v>
      </c>
      <c r="AP114" s="6" t="s">
        <v>14723</v>
      </c>
      <c r="AQ114" s="6" t="s">
        <v>81</v>
      </c>
      <c r="AR114" s="6" t="s">
        <v>81</v>
      </c>
      <c r="AS114" s="6" t="s">
        <v>81</v>
      </c>
      <c r="AT114" s="6" t="s">
        <v>18446</v>
      </c>
      <c r="AU114" s="6" t="s">
        <v>81</v>
      </c>
      <c r="AV114" s="6" t="s">
        <v>81</v>
      </c>
      <c r="AW114" s="6" t="s">
        <v>81</v>
      </c>
      <c r="AX114" s="6" t="s">
        <v>20819</v>
      </c>
      <c r="AY114" s="6" t="s">
        <v>22586</v>
      </c>
      <c r="AZ114" s="6" t="s">
        <v>81</v>
      </c>
      <c r="BA114" s="6" t="s">
        <v>23826</v>
      </c>
      <c r="BB114" s="24" t="n">
        <v>4</v>
      </c>
      <c r="BC114" s="26"/>
      <c r="BD114" s="26"/>
      <c r="BE114" s="26"/>
      <c r="BF114" s="26"/>
      <c r="BG114" s="26"/>
      <c r="BH114" s="26"/>
      <c r="BI114" s="26"/>
      <c r="BJ114" s="26"/>
      <c r="BK114" s="26"/>
      <c r="BL114" s="26"/>
      <c r="BM114" s="26"/>
      <c r="BN114" s="26"/>
      <c r="BO114" s="26"/>
      <c r="BP114" s="16" t="n">
        <v>45688</v>
      </c>
      <c r="BQ114" s="28" t="str">
        <f>HYPERLINK("https://organic.ams.usda.gov/Integrity/Certificate.aspx?cid=86&amp;nopid=6400011784")</f>
        <v>https://organic.ams.usda.gov/Integrity/Certificate.aspx?cid=86&amp;nopid=6400011784</v>
      </c>
    </row>
    <row r="115">
      <c r="A115" t="s">
        <v>3</v>
      </c>
      <c r="B115" s="6" t="s">
        <v>21</v>
      </c>
      <c r="C115" s="6" t="s">
        <v>68</v>
      </c>
      <c r="D115" s="6" t="s">
        <v>114</v>
      </c>
      <c r="E115" s="10" t="s">
        <v>256</v>
      </c>
      <c r="F115" s="6" t="s">
        <v>2994</v>
      </c>
      <c r="G115" s="6" t="s">
        <v>81</v>
      </c>
      <c r="H115" s="6" t="s">
        <v>5993</v>
      </c>
      <c r="I115" s="6" t="s">
        <v>8451</v>
      </c>
      <c r="J115" s="6" t="s">
        <v>9737</v>
      </c>
      <c r="K115" s="6" t="s">
        <v>10886</v>
      </c>
      <c r="L115" s="16" t="n">
        <v>45455</v>
      </c>
      <c r="M115" s="16" t="n">
        <v>46023</v>
      </c>
      <c r="N115" s="6" t="s">
        <v>81</v>
      </c>
      <c r="O115" s="21" t="s">
        <v>81</v>
      </c>
      <c r="P115" s="6" t="s">
        <v>81</v>
      </c>
      <c r="Q115" s="6" t="s">
        <v>81</v>
      </c>
      <c r="R115" s="6" t="s">
        <v>81</v>
      </c>
      <c r="S115" s="6" t="s">
        <v>81</v>
      </c>
      <c r="T115" s="21" t="s">
        <v>81</v>
      </c>
      <c r="U115" s="6" t="s">
        <v>81</v>
      </c>
      <c r="V115" s="6" t="s">
        <v>81</v>
      </c>
      <c r="W115" s="6" t="s">
        <v>81</v>
      </c>
      <c r="X115" s="6" t="s">
        <v>81</v>
      </c>
      <c r="Y115" s="21" t="s">
        <v>81</v>
      </c>
      <c r="Z115" s="6" t="s">
        <v>81</v>
      </c>
      <c r="AA115" s="6" t="s">
        <v>81</v>
      </c>
      <c r="AB115" s="6" t="s">
        <v>81</v>
      </c>
      <c r="AC115" s="6" t="s">
        <v>10886</v>
      </c>
      <c r="AD115" s="16" t="n">
        <v>45455</v>
      </c>
      <c r="AE115" s="6" t="s">
        <v>14025</v>
      </c>
      <c r="AF115" s="6" t="s">
        <v>81</v>
      </c>
      <c r="AG115" s="6" t="s">
        <v>81</v>
      </c>
      <c r="AH115" s="6" t="s">
        <v>81</v>
      </c>
      <c r="AI115" s="6" t="s">
        <v>81</v>
      </c>
      <c r="AJ115" s="6" t="s">
        <v>81</v>
      </c>
      <c r="AK115" s="6" t="s">
        <v>81</v>
      </c>
      <c r="AL115" s="6" t="s">
        <v>81</v>
      </c>
      <c r="AM115" s="6" t="s">
        <v>81</v>
      </c>
      <c r="AN115" s="6" t="s">
        <v>81</v>
      </c>
      <c r="AO115" s="6" t="s">
        <v>81</v>
      </c>
      <c r="AP115" s="6" t="s">
        <v>20098</v>
      </c>
      <c r="AQ115" s="6" t="s">
        <v>81</v>
      </c>
      <c r="AR115" s="6" t="s">
        <v>20494</v>
      </c>
      <c r="AS115" s="6" t="s">
        <v>18391</v>
      </c>
      <c r="AT115" s="6" t="s">
        <v>18444</v>
      </c>
      <c r="AU115" s="6" t="s">
        <v>20600</v>
      </c>
      <c r="AV115" s="6" t="s">
        <v>81</v>
      </c>
      <c r="AW115" s="6" t="s">
        <v>81</v>
      </c>
      <c r="AX115" s="6" t="s">
        <v>20820</v>
      </c>
      <c r="AY115" s="6" t="s">
        <v>22587</v>
      </c>
      <c r="AZ115" s="6" t="s">
        <v>81</v>
      </c>
      <c r="BA115" s="6" t="s">
        <v>81</v>
      </c>
      <c r="BB115" s="6" t="s">
        <v>81</v>
      </c>
      <c r="BC115" s="26" t="s">
        <v>23900</v>
      </c>
      <c r="BD115" s="26"/>
      <c r="BE115" s="26"/>
      <c r="BF115" s="26"/>
      <c r="BG115" s="26" t="s">
        <v>23900</v>
      </c>
      <c r="BH115" s="26"/>
      <c r="BI115" s="26"/>
      <c r="BJ115" s="26"/>
      <c r="BK115" s="26"/>
      <c r="BL115" s="26"/>
      <c r="BM115" s="26"/>
      <c r="BN115" s="26" t="s">
        <v>23900</v>
      </c>
      <c r="BO115" s="26"/>
      <c r="BP115" s="16" t="n">
        <v>45726</v>
      </c>
      <c r="BQ115" s="28" t="str">
        <f>HYPERLINK("https://organic.ams.usda.gov/Integrity/Certificate.aspx?cid=62&amp;nopid=8150024520")</f>
        <v>https://organic.ams.usda.gov/Integrity/Certificate.aspx?cid=62&amp;nopid=8150024520</v>
      </c>
    </row>
    <row r="116">
      <c r="A116" t="s">
        <v>3</v>
      </c>
      <c r="B116" s="6" t="s">
        <v>25</v>
      </c>
      <c r="C116" s="6" t="s">
        <v>72</v>
      </c>
      <c r="D116" s="6" t="s">
        <v>118</v>
      </c>
      <c r="E116" s="10" t="s">
        <v>257</v>
      </c>
      <c r="F116" s="6" t="s">
        <v>2995</v>
      </c>
      <c r="G116" s="6" t="s">
        <v>5602</v>
      </c>
      <c r="H116" s="6" t="s">
        <v>5994</v>
      </c>
      <c r="I116" s="6" t="s">
        <v>8452</v>
      </c>
      <c r="J116" s="6" t="s">
        <v>9738</v>
      </c>
      <c r="K116" s="6" t="s">
        <v>10886</v>
      </c>
      <c r="L116" s="16" t="n">
        <v>43377</v>
      </c>
      <c r="M116" s="16" t="n">
        <v>46023</v>
      </c>
      <c r="N116" s="6" t="s">
        <v>81</v>
      </c>
      <c r="O116" s="21" t="s">
        <v>81</v>
      </c>
      <c r="P116" s="6" t="s">
        <v>81</v>
      </c>
      <c r="Q116" s="6" t="s">
        <v>81</v>
      </c>
      <c r="R116" s="6" t="s">
        <v>81</v>
      </c>
      <c r="S116" s="6" t="s">
        <v>81</v>
      </c>
      <c r="T116" s="21" t="s">
        <v>81</v>
      </c>
      <c r="U116" s="6" t="s">
        <v>81</v>
      </c>
      <c r="V116" s="6" t="s">
        <v>81</v>
      </c>
      <c r="W116" s="6" t="s">
        <v>81</v>
      </c>
      <c r="X116" s="6" t="s">
        <v>81</v>
      </c>
      <c r="Y116" s="21" t="s">
        <v>81</v>
      </c>
      <c r="Z116" s="6" t="s">
        <v>81</v>
      </c>
      <c r="AA116" s="6" t="s">
        <v>81</v>
      </c>
      <c r="AB116" s="6" t="s">
        <v>81</v>
      </c>
      <c r="AC116" s="6" t="s">
        <v>10886</v>
      </c>
      <c r="AD116" s="16" t="n">
        <v>43377</v>
      </c>
      <c r="AE116" s="6" t="s">
        <v>14026</v>
      </c>
      <c r="AF116" s="6" t="s">
        <v>81</v>
      </c>
      <c r="AG116" s="6" t="s">
        <v>81</v>
      </c>
      <c r="AH116" s="6" t="s">
        <v>14724</v>
      </c>
      <c r="AI116" s="6" t="s">
        <v>81</v>
      </c>
      <c r="AJ116" s="6" t="s">
        <v>17397</v>
      </c>
      <c r="AK116" s="6" t="s">
        <v>18377</v>
      </c>
      <c r="AL116" s="6" t="s">
        <v>18444</v>
      </c>
      <c r="AM116" s="6" t="s">
        <v>18553</v>
      </c>
      <c r="AN116" s="6" t="s">
        <v>19656</v>
      </c>
      <c r="AO116" s="6" t="s">
        <v>19776</v>
      </c>
      <c r="AP116" s="6" t="s">
        <v>20099</v>
      </c>
      <c r="AQ116" s="6" t="s">
        <v>81</v>
      </c>
      <c r="AR116" s="6" t="s">
        <v>17397</v>
      </c>
      <c r="AS116" s="6" t="s">
        <v>18377</v>
      </c>
      <c r="AT116" s="6" t="s">
        <v>18444</v>
      </c>
      <c r="AU116" s="6" t="s">
        <v>20601</v>
      </c>
      <c r="AV116" s="6" t="s">
        <v>81</v>
      </c>
      <c r="AW116" s="6" t="s">
        <v>81</v>
      </c>
      <c r="AX116" s="6" t="s">
        <v>20821</v>
      </c>
      <c r="AY116" s="6" t="s">
        <v>22588</v>
      </c>
      <c r="AZ116" s="6" t="s">
        <v>81</v>
      </c>
      <c r="BA116" s="6" t="s">
        <v>23827</v>
      </c>
      <c r="BB116" s="6" t="s">
        <v>81</v>
      </c>
      <c r="BC116" s="26"/>
      <c r="BD116" s="26"/>
      <c r="BE116" s="26"/>
      <c r="BF116" s="26"/>
      <c r="BG116" s="26"/>
      <c r="BH116" s="26"/>
      <c r="BI116" s="26"/>
      <c r="BJ116" s="26"/>
      <c r="BK116" s="26"/>
      <c r="BL116" s="26"/>
      <c r="BM116" s="26"/>
      <c r="BN116" s="26"/>
      <c r="BO116" s="26"/>
      <c r="BP116" s="16" t="n">
        <v>45720</v>
      </c>
      <c r="BQ116" s="28" t="str">
        <f>HYPERLINK("https://organic.ams.usda.gov/Integrity/Certificate.aspx?cid=15&amp;nopid=5561005622")</f>
        <v>https://organic.ams.usda.gov/Integrity/Certificate.aspx?cid=15&amp;nopid=5561005622</v>
      </c>
    </row>
    <row r="117">
      <c r="A117" t="s">
        <v>3</v>
      </c>
      <c r="B117" s="6" t="s">
        <v>25</v>
      </c>
      <c r="C117" s="6" t="s">
        <v>72</v>
      </c>
      <c r="D117" s="6" t="s">
        <v>118</v>
      </c>
      <c r="E117" s="10" t="s">
        <v>258</v>
      </c>
      <c r="F117" s="6" t="s">
        <v>2996</v>
      </c>
      <c r="G117" s="6" t="s">
        <v>81</v>
      </c>
      <c r="H117" s="6" t="s">
        <v>5995</v>
      </c>
      <c r="I117" s="6" t="s">
        <v>81</v>
      </c>
      <c r="J117" s="6" t="s">
        <v>81</v>
      </c>
      <c r="K117" s="6" t="s">
        <v>10886</v>
      </c>
      <c r="L117" s="16" t="n">
        <v>39979</v>
      </c>
      <c r="M117" s="16" t="n">
        <v>46023</v>
      </c>
      <c r="N117" s="6" t="s">
        <v>81</v>
      </c>
      <c r="O117" s="21" t="s">
        <v>81</v>
      </c>
      <c r="P117" s="6" t="s">
        <v>81</v>
      </c>
      <c r="Q117" s="6" t="s">
        <v>81</v>
      </c>
      <c r="R117" s="6" t="s">
        <v>81</v>
      </c>
      <c r="S117" s="6" t="s">
        <v>81</v>
      </c>
      <c r="T117" s="21" t="s">
        <v>81</v>
      </c>
      <c r="U117" s="6" t="s">
        <v>81</v>
      </c>
      <c r="V117" s="6" t="s">
        <v>81</v>
      </c>
      <c r="W117" s="6" t="s">
        <v>81</v>
      </c>
      <c r="X117" s="6" t="s">
        <v>81</v>
      </c>
      <c r="Y117" s="21" t="s">
        <v>81</v>
      </c>
      <c r="Z117" s="6" t="s">
        <v>81</v>
      </c>
      <c r="AA117" s="6" t="s">
        <v>81</v>
      </c>
      <c r="AB117" s="6" t="s">
        <v>81</v>
      </c>
      <c r="AC117" s="6" t="s">
        <v>10886</v>
      </c>
      <c r="AD117" s="16" t="n">
        <v>39979</v>
      </c>
      <c r="AE117" s="6" t="s">
        <v>14027</v>
      </c>
      <c r="AF117" s="6" t="s">
        <v>81</v>
      </c>
      <c r="AG117" s="6" t="s">
        <v>81</v>
      </c>
      <c r="AH117" s="6" t="s">
        <v>14725</v>
      </c>
      <c r="AI117" s="6" t="s">
        <v>81</v>
      </c>
      <c r="AJ117" s="6" t="s">
        <v>17398</v>
      </c>
      <c r="AK117" s="6" t="s">
        <v>18386</v>
      </c>
      <c r="AL117" s="6" t="s">
        <v>18444</v>
      </c>
      <c r="AM117" s="6" t="s">
        <v>18554</v>
      </c>
      <c r="AN117" s="6" t="s">
        <v>19645</v>
      </c>
      <c r="AO117" s="6" t="s">
        <v>19777</v>
      </c>
      <c r="AP117" s="6" t="s">
        <v>20100</v>
      </c>
      <c r="AQ117" s="6" t="s">
        <v>81</v>
      </c>
      <c r="AR117" s="6" t="s">
        <v>20495</v>
      </c>
      <c r="AS117" s="6" t="s">
        <v>18386</v>
      </c>
      <c r="AT117" s="6" t="s">
        <v>18444</v>
      </c>
      <c r="AU117" s="6" t="s">
        <v>20602</v>
      </c>
      <c r="AV117" s="6" t="s">
        <v>81</v>
      </c>
      <c r="AW117" s="6" t="s">
        <v>81</v>
      </c>
      <c r="AX117" s="6" t="s">
        <v>81</v>
      </c>
      <c r="AY117" s="6" t="s">
        <v>81</v>
      </c>
      <c r="AZ117" s="6" t="s">
        <v>81</v>
      </c>
      <c r="BA117" s="6" t="s">
        <v>81</v>
      </c>
      <c r="BB117" s="6" t="s">
        <v>81</v>
      </c>
      <c r="BC117" s="26" t="s">
        <v>23900</v>
      </c>
      <c r="BD117" s="26"/>
      <c r="BE117" s="26"/>
      <c r="BF117" s="26"/>
      <c r="BG117" s="26" t="s">
        <v>23900</v>
      </c>
      <c r="BH117" s="26" t="s">
        <v>23900</v>
      </c>
      <c r="BI117" s="26"/>
      <c r="BJ117" s="26"/>
      <c r="BK117" s="26"/>
      <c r="BL117" s="26"/>
      <c r="BM117" s="26"/>
      <c r="BN117" s="26"/>
      <c r="BO117" s="26"/>
      <c r="BP117" s="16" t="n">
        <v>45720</v>
      </c>
      <c r="BQ117" s="28" t="str">
        <f>HYPERLINK("https://organic.ams.usda.gov/Integrity/Certificate.aspx?cid=15&amp;nopid=5561002491")</f>
        <v>https://organic.ams.usda.gov/Integrity/Certificate.aspx?cid=15&amp;nopid=5561002491</v>
      </c>
    </row>
    <row r="118">
      <c r="A118" t="s">
        <v>3</v>
      </c>
      <c r="B118" s="6" t="s">
        <v>28</v>
      </c>
      <c r="C118" s="6" t="s">
        <v>75</v>
      </c>
      <c r="D118" s="6" t="s">
        <v>121</v>
      </c>
      <c r="E118" s="10" t="s">
        <v>259</v>
      </c>
      <c r="F118" s="6" t="s">
        <v>2997</v>
      </c>
      <c r="G118" s="6" t="s">
        <v>81</v>
      </c>
      <c r="H118" s="6" t="s">
        <v>5996</v>
      </c>
      <c r="I118" s="6" t="s">
        <v>8453</v>
      </c>
      <c r="J118" s="6" t="s">
        <v>9739</v>
      </c>
      <c r="K118" s="6" t="s">
        <v>10886</v>
      </c>
      <c r="L118" s="16" t="n">
        <v>37376</v>
      </c>
      <c r="M118" s="16" t="n">
        <v>45870</v>
      </c>
      <c r="N118" s="6" t="s">
        <v>81</v>
      </c>
      <c r="O118" s="21" t="s">
        <v>81</v>
      </c>
      <c r="P118" s="6" t="s">
        <v>81</v>
      </c>
      <c r="Q118" s="6" t="s">
        <v>81</v>
      </c>
      <c r="R118" s="6" t="s">
        <v>81</v>
      </c>
      <c r="S118" s="6" t="s">
        <v>81</v>
      </c>
      <c r="T118" s="21" t="s">
        <v>81</v>
      </c>
      <c r="U118" s="6" t="s">
        <v>81</v>
      </c>
      <c r="V118" s="6" t="s">
        <v>81</v>
      </c>
      <c r="W118" s="6" t="s">
        <v>81</v>
      </c>
      <c r="X118" s="6" t="s">
        <v>81</v>
      </c>
      <c r="Y118" s="21" t="s">
        <v>81</v>
      </c>
      <c r="Z118" s="6" t="s">
        <v>81</v>
      </c>
      <c r="AA118" s="6" t="s">
        <v>81</v>
      </c>
      <c r="AB118" s="6" t="s">
        <v>81</v>
      </c>
      <c r="AC118" s="6" t="s">
        <v>10886</v>
      </c>
      <c r="AD118" s="16" t="n">
        <v>37376</v>
      </c>
      <c r="AE118" s="6" t="s">
        <v>14028</v>
      </c>
      <c r="AF118" s="6" t="s">
        <v>81</v>
      </c>
      <c r="AG118" s="6" t="s">
        <v>81</v>
      </c>
      <c r="AH118" s="6" t="s">
        <v>14726</v>
      </c>
      <c r="AI118" s="6" t="s">
        <v>81</v>
      </c>
      <c r="AJ118" s="6" t="s">
        <v>17399</v>
      </c>
      <c r="AK118" s="6" t="s">
        <v>18391</v>
      </c>
      <c r="AL118" s="6" t="s">
        <v>18444</v>
      </c>
      <c r="AM118" s="6" t="s">
        <v>18555</v>
      </c>
      <c r="AN118" s="6" t="s">
        <v>19668</v>
      </c>
      <c r="AO118" s="6" t="s">
        <v>19778</v>
      </c>
      <c r="AP118" s="6" t="s">
        <v>81</v>
      </c>
      <c r="AQ118" s="6" t="s">
        <v>81</v>
      </c>
      <c r="AR118" s="6" t="s">
        <v>81</v>
      </c>
      <c r="AS118" s="6" t="s">
        <v>81</v>
      </c>
      <c r="AT118" s="6" t="s">
        <v>81</v>
      </c>
      <c r="AU118" s="6" t="s">
        <v>81</v>
      </c>
      <c r="AV118" s="6" t="s">
        <v>81</v>
      </c>
      <c r="AW118" s="6" t="s">
        <v>81</v>
      </c>
      <c r="AX118" s="6" t="s">
        <v>20822</v>
      </c>
      <c r="AY118" s="6" t="s">
        <v>22589</v>
      </c>
      <c r="AZ118" s="6" t="s">
        <v>23583</v>
      </c>
      <c r="BA118" s="6" t="s">
        <v>81</v>
      </c>
      <c r="BB118" s="6" t="s">
        <v>81</v>
      </c>
      <c r="BC118" s="26"/>
      <c r="BD118" s="26"/>
      <c r="BE118" s="26"/>
      <c r="BF118" s="26"/>
      <c r="BG118" s="26"/>
      <c r="BH118" s="26"/>
      <c r="BI118" s="26"/>
      <c r="BJ118" s="26"/>
      <c r="BK118" s="26"/>
      <c r="BL118" s="26" t="s">
        <v>23900</v>
      </c>
      <c r="BM118" s="26"/>
      <c r="BN118" s="26"/>
      <c r="BO118" s="26"/>
      <c r="BP118" s="16" t="n">
        <v>45623</v>
      </c>
      <c r="BQ118" s="28" t="str">
        <f>HYPERLINK("https://organic.ams.usda.gov/Integrity/Certificate.aspx?cid=64&amp;nopid=8830000409")</f>
        <v>https://organic.ams.usda.gov/Integrity/Certificate.aspx?cid=64&amp;nopid=8830000409</v>
      </c>
    </row>
    <row r="119">
      <c r="A119" t="s">
        <v>3</v>
      </c>
      <c r="B119" s="6" t="s">
        <v>9</v>
      </c>
      <c r="C119" s="6" t="s">
        <v>56</v>
      </c>
      <c r="D119" s="6" t="s">
        <v>102</v>
      </c>
      <c r="E119" s="10" t="s">
        <v>260</v>
      </c>
      <c r="F119" s="6" t="s">
        <v>2998</v>
      </c>
      <c r="G119" s="6" t="s">
        <v>81</v>
      </c>
      <c r="H119" s="6" t="s">
        <v>5997</v>
      </c>
      <c r="I119" s="6" t="s">
        <v>8454</v>
      </c>
      <c r="J119" s="6" t="s">
        <v>9669</v>
      </c>
      <c r="K119" s="6" t="s">
        <v>10886</v>
      </c>
      <c r="L119" s="16" t="n">
        <v>41884</v>
      </c>
      <c r="M119" s="16" t="n">
        <v>46113</v>
      </c>
      <c r="N119" s="6" t="s">
        <v>10886</v>
      </c>
      <c r="O119" s="16" t="n">
        <v>41884</v>
      </c>
      <c r="P119" s="6" t="s">
        <v>10907</v>
      </c>
      <c r="Q119" s="6" t="s">
        <v>81</v>
      </c>
      <c r="R119" s="6" t="s">
        <v>12457</v>
      </c>
      <c r="S119" s="6" t="s">
        <v>10886</v>
      </c>
      <c r="T119" s="16" t="n">
        <v>41884</v>
      </c>
      <c r="U119" s="6" t="s">
        <v>13162</v>
      </c>
      <c r="V119" s="6" t="s">
        <v>81</v>
      </c>
      <c r="W119" s="6" t="s">
        <v>12457</v>
      </c>
      <c r="X119" s="6" t="s">
        <v>81</v>
      </c>
      <c r="Y119" s="21" t="s">
        <v>81</v>
      </c>
      <c r="Z119" s="6" t="s">
        <v>81</v>
      </c>
      <c r="AA119" s="6" t="s">
        <v>81</v>
      </c>
      <c r="AB119" s="6" t="s">
        <v>81</v>
      </c>
      <c r="AC119" s="6" t="s">
        <v>81</v>
      </c>
      <c r="AD119" s="21" t="s">
        <v>81</v>
      </c>
      <c r="AE119" s="6" t="s">
        <v>81</v>
      </c>
      <c r="AF119" s="6" t="s">
        <v>81</v>
      </c>
      <c r="AG119" s="6" t="s">
        <v>81</v>
      </c>
      <c r="AH119" s="6" t="s">
        <v>14727</v>
      </c>
      <c r="AI119" s="6" t="s">
        <v>81</v>
      </c>
      <c r="AJ119" s="6" t="s">
        <v>17400</v>
      </c>
      <c r="AK119" s="6" t="s">
        <v>18377</v>
      </c>
      <c r="AL119" s="6" t="s">
        <v>18444</v>
      </c>
      <c r="AM119" s="6" t="s">
        <v>18556</v>
      </c>
      <c r="AN119" s="6" t="s">
        <v>19645</v>
      </c>
      <c r="AO119" s="6" t="s">
        <v>19732</v>
      </c>
      <c r="AP119" s="6" t="s">
        <v>81</v>
      </c>
      <c r="AQ119" s="6" t="s">
        <v>81</v>
      </c>
      <c r="AR119" s="6" t="s">
        <v>81</v>
      </c>
      <c r="AS119" s="6" t="s">
        <v>81</v>
      </c>
      <c r="AT119" s="6" t="s">
        <v>81</v>
      </c>
      <c r="AU119" s="6" t="s">
        <v>81</v>
      </c>
      <c r="AV119" s="6" t="s">
        <v>81</v>
      </c>
      <c r="AW119" s="6" t="s">
        <v>81</v>
      </c>
      <c r="AX119" s="6" t="s">
        <v>20823</v>
      </c>
      <c r="AY119" s="6" t="s">
        <v>81</v>
      </c>
      <c r="AZ119" s="6" t="s">
        <v>81</v>
      </c>
      <c r="BA119" s="6" t="s">
        <v>81</v>
      </c>
      <c r="BB119" s="24" t="n">
        <v>124</v>
      </c>
      <c r="BC119" s="26"/>
      <c r="BD119" s="26"/>
      <c r="BE119" s="26"/>
      <c r="BF119" s="26"/>
      <c r="BG119" s="26"/>
      <c r="BH119" s="26"/>
      <c r="BI119" s="26"/>
      <c r="BJ119" s="26"/>
      <c r="BK119" s="26"/>
      <c r="BL119" s="26"/>
      <c r="BM119" s="26"/>
      <c r="BN119" s="26"/>
      <c r="BO119" s="26"/>
      <c r="BP119" s="16" t="n">
        <v>45738</v>
      </c>
      <c r="BQ119" s="28" t="str">
        <f>HYPERLINK("https://organic.ams.usda.gov/Integrity/Certificate.aspx?cid=52&amp;nopid=8431400776")</f>
        <v>https://organic.ams.usda.gov/Integrity/Certificate.aspx?cid=52&amp;nopid=8431400776</v>
      </c>
    </row>
    <row r="120">
      <c r="A120" t="s">
        <v>3</v>
      </c>
      <c r="B120" s="6" t="s">
        <v>12</v>
      </c>
      <c r="C120" s="6" t="s">
        <v>59</v>
      </c>
      <c r="D120" s="6" t="s">
        <v>105</v>
      </c>
      <c r="E120" s="10" t="s">
        <v>261</v>
      </c>
      <c r="F120" s="6" t="s">
        <v>2999</v>
      </c>
      <c r="G120" s="6" t="s">
        <v>81</v>
      </c>
      <c r="H120" s="6" t="s">
        <v>5998</v>
      </c>
      <c r="I120" s="6" t="s">
        <v>8455</v>
      </c>
      <c r="J120" s="6" t="s">
        <v>9672</v>
      </c>
      <c r="K120" s="6" t="s">
        <v>10886</v>
      </c>
      <c r="L120" s="16" t="n">
        <v>44092</v>
      </c>
      <c r="M120" s="16" t="n">
        <v>45717</v>
      </c>
      <c r="N120" s="6" t="s">
        <v>10886</v>
      </c>
      <c r="O120" s="16" t="n">
        <v>44092</v>
      </c>
      <c r="P120" s="6" t="s">
        <v>10973</v>
      </c>
      <c r="Q120" s="6" t="s">
        <v>81</v>
      </c>
      <c r="R120" s="6" t="s">
        <v>81</v>
      </c>
      <c r="S120" s="6" t="s">
        <v>10886</v>
      </c>
      <c r="T120" s="16" t="n">
        <v>44092</v>
      </c>
      <c r="U120" s="6" t="s">
        <v>13174</v>
      </c>
      <c r="V120" s="6" t="s">
        <v>81</v>
      </c>
      <c r="W120" s="6" t="s">
        <v>81</v>
      </c>
      <c r="X120" s="6" t="s">
        <v>81</v>
      </c>
      <c r="Y120" s="21" t="s">
        <v>81</v>
      </c>
      <c r="Z120" s="6" t="s">
        <v>81</v>
      </c>
      <c r="AA120" s="6" t="s">
        <v>81</v>
      </c>
      <c r="AB120" s="6" t="s">
        <v>81</v>
      </c>
      <c r="AC120" s="6" t="s">
        <v>81</v>
      </c>
      <c r="AD120" s="21" t="s">
        <v>81</v>
      </c>
      <c r="AE120" s="6" t="s">
        <v>81</v>
      </c>
      <c r="AF120" s="6" t="s">
        <v>81</v>
      </c>
      <c r="AG120" s="6" t="s">
        <v>81</v>
      </c>
      <c r="AH120" s="6" t="s">
        <v>14728</v>
      </c>
      <c r="AI120" s="6" t="s">
        <v>81</v>
      </c>
      <c r="AJ120" s="6" t="s">
        <v>17401</v>
      </c>
      <c r="AK120" s="6" t="s">
        <v>17759</v>
      </c>
      <c r="AL120" s="6" t="s">
        <v>18444</v>
      </c>
      <c r="AM120" s="6" t="s">
        <v>18557</v>
      </c>
      <c r="AN120" s="6" t="s">
        <v>19660</v>
      </c>
      <c r="AO120" s="6" t="s">
        <v>19779</v>
      </c>
      <c r="AP120" s="6" t="s">
        <v>14728</v>
      </c>
      <c r="AQ120" s="6" t="s">
        <v>81</v>
      </c>
      <c r="AR120" s="6" t="s">
        <v>17401</v>
      </c>
      <c r="AS120" s="6" t="s">
        <v>17759</v>
      </c>
      <c r="AT120" s="6" t="s">
        <v>18444</v>
      </c>
      <c r="AU120" s="6" t="s">
        <v>18557</v>
      </c>
      <c r="AV120" s="6" t="s">
        <v>81</v>
      </c>
      <c r="AW120" s="6" t="s">
        <v>81</v>
      </c>
      <c r="AX120" s="6" t="s">
        <v>20824</v>
      </c>
      <c r="AY120" s="6" t="s">
        <v>81</v>
      </c>
      <c r="AZ120" s="6" t="s">
        <v>81</v>
      </c>
      <c r="BA120" s="6" t="s">
        <v>81</v>
      </c>
      <c r="BB120" s="24" t="n">
        <v>52</v>
      </c>
      <c r="BC120" s="26"/>
      <c r="BD120" s="26"/>
      <c r="BE120" s="26"/>
      <c r="BF120" s="26"/>
      <c r="BG120" s="26"/>
      <c r="BH120" s="26"/>
      <c r="BI120" s="26"/>
      <c r="BJ120" s="26"/>
      <c r="BK120" s="26"/>
      <c r="BL120" s="26"/>
      <c r="BM120" s="26"/>
      <c r="BN120" s="26"/>
      <c r="BO120" s="26"/>
      <c r="BP120" s="16" t="n">
        <v>45684</v>
      </c>
      <c r="BQ120" s="28" t="str">
        <f>HYPERLINK("https://organic.ams.usda.gov/Integrity/Certificate.aspx?cid=68&amp;nopid=8210007517")</f>
        <v>https://organic.ams.usda.gov/Integrity/Certificate.aspx?cid=68&amp;nopid=8210007517</v>
      </c>
    </row>
    <row r="121">
      <c r="A121" t="s">
        <v>3</v>
      </c>
      <c r="B121" s="6" t="s">
        <v>10</v>
      </c>
      <c r="C121" s="6" t="s">
        <v>57</v>
      </c>
      <c r="D121" s="6" t="s">
        <v>103</v>
      </c>
      <c r="E121" s="10" t="s">
        <v>262</v>
      </c>
      <c r="F121" s="6" t="s">
        <v>3000</v>
      </c>
      <c r="G121" s="6" t="s">
        <v>81</v>
      </c>
      <c r="H121" s="6" t="s">
        <v>5999</v>
      </c>
      <c r="I121" s="6" t="s">
        <v>8456</v>
      </c>
      <c r="J121" s="6" t="s">
        <v>9740</v>
      </c>
      <c r="K121" s="6" t="s">
        <v>10886</v>
      </c>
      <c r="L121" s="16" t="n">
        <v>44279</v>
      </c>
      <c r="M121" s="16" t="n">
        <v>45748</v>
      </c>
      <c r="N121" s="6" t="s">
        <v>10886</v>
      </c>
      <c r="O121" s="16" t="n">
        <v>44279</v>
      </c>
      <c r="P121" s="6" t="s">
        <v>10925</v>
      </c>
      <c r="Q121" s="6" t="s">
        <v>81</v>
      </c>
      <c r="R121" s="6" t="s">
        <v>12458</v>
      </c>
      <c r="S121" s="6" t="s">
        <v>10886</v>
      </c>
      <c r="T121" s="16" t="n">
        <v>44279</v>
      </c>
      <c r="U121" s="6" t="s">
        <v>13163</v>
      </c>
      <c r="V121" s="6" t="s">
        <v>81</v>
      </c>
      <c r="W121" s="6" t="s">
        <v>81</v>
      </c>
      <c r="X121" s="6" t="s">
        <v>81</v>
      </c>
      <c r="Y121" s="21" t="s">
        <v>81</v>
      </c>
      <c r="Z121" s="6" t="s">
        <v>81</v>
      </c>
      <c r="AA121" s="6" t="s">
        <v>81</v>
      </c>
      <c r="AB121" s="6" t="s">
        <v>81</v>
      </c>
      <c r="AC121" s="6" t="s">
        <v>81</v>
      </c>
      <c r="AD121" s="21" t="s">
        <v>81</v>
      </c>
      <c r="AE121" s="6" t="s">
        <v>81</v>
      </c>
      <c r="AF121" s="6" t="s">
        <v>81</v>
      </c>
      <c r="AG121" s="6" t="s">
        <v>81</v>
      </c>
      <c r="AH121" s="6" t="s">
        <v>14729</v>
      </c>
      <c r="AI121" s="6" t="s">
        <v>81</v>
      </c>
      <c r="AJ121" s="6" t="s">
        <v>17402</v>
      </c>
      <c r="AK121" s="6" t="s">
        <v>18391</v>
      </c>
      <c r="AL121" s="6" t="s">
        <v>18444</v>
      </c>
      <c r="AM121" s="6" t="s">
        <v>18558</v>
      </c>
      <c r="AN121" s="6" t="s">
        <v>19669</v>
      </c>
      <c r="AO121" s="6" t="s">
        <v>19780</v>
      </c>
      <c r="AP121" s="6" t="s">
        <v>14729</v>
      </c>
      <c r="AQ121" s="6" t="s">
        <v>81</v>
      </c>
      <c r="AR121" s="6" t="s">
        <v>17402</v>
      </c>
      <c r="AS121" s="6" t="s">
        <v>18391</v>
      </c>
      <c r="AT121" s="6" t="s">
        <v>18444</v>
      </c>
      <c r="AU121" s="6" t="s">
        <v>18558</v>
      </c>
      <c r="AV121" s="6" t="s">
        <v>81</v>
      </c>
      <c r="AW121" s="6" t="s">
        <v>81</v>
      </c>
      <c r="AX121" s="6" t="s">
        <v>20825</v>
      </c>
      <c r="AY121" s="6" t="s">
        <v>81</v>
      </c>
      <c r="AZ121" s="6" t="s">
        <v>81</v>
      </c>
      <c r="BA121" s="6" t="s">
        <v>81</v>
      </c>
      <c r="BB121" s="24" t="n">
        <v>96</v>
      </c>
      <c r="BC121" s="26"/>
      <c r="BD121" s="26"/>
      <c r="BE121" s="26"/>
      <c r="BF121" s="26"/>
      <c r="BG121" s="26"/>
      <c r="BH121" s="26"/>
      <c r="BI121" s="26"/>
      <c r="BJ121" s="26"/>
      <c r="BK121" s="26"/>
      <c r="BL121" s="26"/>
      <c r="BM121" s="26"/>
      <c r="BN121" s="26"/>
      <c r="BO121" s="26"/>
      <c r="BP121" s="16" t="n">
        <v>45730</v>
      </c>
      <c r="BQ121" s="28" t="str">
        <f>HYPERLINK("https://organic.ams.usda.gov/Integrity/Certificate.aspx?cid=90&amp;nopid=7170210284")</f>
        <v>https://organic.ams.usda.gov/Integrity/Certificate.aspx?cid=90&amp;nopid=7170210284</v>
      </c>
    </row>
    <row r="122">
      <c r="A122" t="s">
        <v>3</v>
      </c>
      <c r="B122" s="6" t="s">
        <v>9</v>
      </c>
      <c r="C122" s="6" t="s">
        <v>56</v>
      </c>
      <c r="D122" s="6" t="s">
        <v>102</v>
      </c>
      <c r="E122" s="10" t="s">
        <v>263</v>
      </c>
      <c r="F122" s="6" t="s">
        <v>3001</v>
      </c>
      <c r="G122" s="6" t="s">
        <v>81</v>
      </c>
      <c r="H122" s="6" t="s">
        <v>6000</v>
      </c>
      <c r="I122" s="6" t="s">
        <v>8457</v>
      </c>
      <c r="J122" s="6" t="s">
        <v>9741</v>
      </c>
      <c r="K122" s="6" t="s">
        <v>10886</v>
      </c>
      <c r="L122" s="16" t="n">
        <v>42310</v>
      </c>
      <c r="M122" s="16" t="n">
        <v>45748</v>
      </c>
      <c r="N122" s="6" t="s">
        <v>10886</v>
      </c>
      <c r="O122" s="16" t="n">
        <v>42310</v>
      </c>
      <c r="P122" s="6" t="s">
        <v>10974</v>
      </c>
      <c r="Q122" s="6" t="s">
        <v>81</v>
      </c>
      <c r="R122" s="6" t="s">
        <v>12459</v>
      </c>
      <c r="S122" s="6" t="s">
        <v>10886</v>
      </c>
      <c r="T122" s="16" t="n">
        <v>42310</v>
      </c>
      <c r="U122" s="6" t="s">
        <v>13168</v>
      </c>
      <c r="V122" s="6" t="s">
        <v>81</v>
      </c>
      <c r="W122" s="6" t="s">
        <v>12459</v>
      </c>
      <c r="X122" s="6" t="s">
        <v>81</v>
      </c>
      <c r="Y122" s="21" t="s">
        <v>81</v>
      </c>
      <c r="Z122" s="6" t="s">
        <v>81</v>
      </c>
      <c r="AA122" s="6" t="s">
        <v>81</v>
      </c>
      <c r="AB122" s="6" t="s">
        <v>81</v>
      </c>
      <c r="AC122" s="6" t="s">
        <v>81</v>
      </c>
      <c r="AD122" s="21" t="s">
        <v>81</v>
      </c>
      <c r="AE122" s="6" t="s">
        <v>81</v>
      </c>
      <c r="AF122" s="6" t="s">
        <v>81</v>
      </c>
      <c r="AG122" s="6" t="s">
        <v>81</v>
      </c>
      <c r="AH122" s="6" t="s">
        <v>14730</v>
      </c>
      <c r="AI122" s="6" t="s">
        <v>81</v>
      </c>
      <c r="AJ122" s="6" t="s">
        <v>10323</v>
      </c>
      <c r="AK122" s="6" t="s">
        <v>18379</v>
      </c>
      <c r="AL122" s="6" t="s">
        <v>18444</v>
      </c>
      <c r="AM122" s="6" t="s">
        <v>18485</v>
      </c>
      <c r="AN122" s="6" t="s">
        <v>6842</v>
      </c>
      <c r="AO122" s="6" t="s">
        <v>19781</v>
      </c>
      <c r="AP122" s="6" t="s">
        <v>81</v>
      </c>
      <c r="AQ122" s="6" t="s">
        <v>81</v>
      </c>
      <c r="AR122" s="6" t="s">
        <v>81</v>
      </c>
      <c r="AS122" s="6" t="s">
        <v>81</v>
      </c>
      <c r="AT122" s="6" t="s">
        <v>81</v>
      </c>
      <c r="AU122" s="6" t="s">
        <v>81</v>
      </c>
      <c r="AV122" s="6" t="s">
        <v>81</v>
      </c>
      <c r="AW122" s="6" t="s">
        <v>81</v>
      </c>
      <c r="AX122" s="6" t="s">
        <v>81</v>
      </c>
      <c r="AY122" s="6" t="s">
        <v>81</v>
      </c>
      <c r="AZ122" s="6" t="s">
        <v>81</v>
      </c>
      <c r="BA122" s="6" t="s">
        <v>81</v>
      </c>
      <c r="BB122" s="24" t="n">
        <v>47</v>
      </c>
      <c r="BC122" s="26"/>
      <c r="BD122" s="26"/>
      <c r="BE122" s="26"/>
      <c r="BF122" s="26"/>
      <c r="BG122" s="26"/>
      <c r="BH122" s="26"/>
      <c r="BI122" s="26"/>
      <c r="BJ122" s="26"/>
      <c r="BK122" s="26"/>
      <c r="BL122" s="26"/>
      <c r="BM122" s="26"/>
      <c r="BN122" s="26"/>
      <c r="BO122" s="26"/>
      <c r="BP122" s="16" t="n">
        <v>45738</v>
      </c>
      <c r="BQ122" s="28" t="str">
        <f>HYPERLINK("https://organic.ams.usda.gov/Integrity/Certificate.aspx?cid=52&amp;nopid=8431501106")</f>
        <v>https://organic.ams.usda.gov/Integrity/Certificate.aspx?cid=52&amp;nopid=8431501106</v>
      </c>
    </row>
    <row r="123">
      <c r="A123" t="s">
        <v>3</v>
      </c>
      <c r="B123" s="6" t="s">
        <v>10</v>
      </c>
      <c r="C123" s="6" t="s">
        <v>57</v>
      </c>
      <c r="D123" s="6" t="s">
        <v>103</v>
      </c>
      <c r="E123" s="10" t="s">
        <v>264</v>
      </c>
      <c r="F123" s="6" t="s">
        <v>3002</v>
      </c>
      <c r="G123" s="6" t="s">
        <v>81</v>
      </c>
      <c r="H123" s="6" t="s">
        <v>6001</v>
      </c>
      <c r="I123" s="6" t="s">
        <v>8458</v>
      </c>
      <c r="J123" s="6" t="s">
        <v>9664</v>
      </c>
      <c r="K123" s="6" t="s">
        <v>10886</v>
      </c>
      <c r="L123" s="16" t="n">
        <v>42156</v>
      </c>
      <c r="M123" s="16" t="n">
        <v>45748</v>
      </c>
      <c r="N123" s="6" t="s">
        <v>10886</v>
      </c>
      <c r="O123" s="16" t="n">
        <v>42156</v>
      </c>
      <c r="P123" s="6" t="s">
        <v>10975</v>
      </c>
      <c r="Q123" s="6" t="s">
        <v>81</v>
      </c>
      <c r="R123" s="6" t="s">
        <v>12460</v>
      </c>
      <c r="S123" s="6" t="s">
        <v>10886</v>
      </c>
      <c r="T123" s="16" t="n">
        <v>44562</v>
      </c>
      <c r="U123" s="6" t="s">
        <v>13163</v>
      </c>
      <c r="V123" s="6" t="s">
        <v>81</v>
      </c>
      <c r="W123" s="6" t="s">
        <v>81</v>
      </c>
      <c r="X123" s="6" t="s">
        <v>81</v>
      </c>
      <c r="Y123" s="21" t="s">
        <v>81</v>
      </c>
      <c r="Z123" s="6" t="s">
        <v>81</v>
      </c>
      <c r="AA123" s="6" t="s">
        <v>81</v>
      </c>
      <c r="AB123" s="6" t="s">
        <v>81</v>
      </c>
      <c r="AC123" s="6" t="s">
        <v>81</v>
      </c>
      <c r="AD123" s="21" t="s">
        <v>81</v>
      </c>
      <c r="AE123" s="6" t="s">
        <v>81</v>
      </c>
      <c r="AF123" s="6" t="s">
        <v>81</v>
      </c>
      <c r="AG123" s="6" t="s">
        <v>81</v>
      </c>
      <c r="AH123" s="6" t="s">
        <v>14731</v>
      </c>
      <c r="AI123" s="6" t="s">
        <v>81</v>
      </c>
      <c r="AJ123" s="6" t="s">
        <v>17403</v>
      </c>
      <c r="AK123" s="6" t="s">
        <v>18378</v>
      </c>
      <c r="AL123" s="6" t="s">
        <v>18444</v>
      </c>
      <c r="AM123" s="6" t="s">
        <v>18559</v>
      </c>
      <c r="AN123" s="6" t="s">
        <v>19636</v>
      </c>
      <c r="AO123" s="6" t="s">
        <v>19722</v>
      </c>
      <c r="AP123" s="6" t="s">
        <v>14731</v>
      </c>
      <c r="AQ123" s="6" t="s">
        <v>81</v>
      </c>
      <c r="AR123" s="6" t="s">
        <v>17403</v>
      </c>
      <c r="AS123" s="6" t="s">
        <v>18378</v>
      </c>
      <c r="AT123" s="6" t="s">
        <v>18444</v>
      </c>
      <c r="AU123" s="6" t="s">
        <v>18559</v>
      </c>
      <c r="AV123" s="6" t="s">
        <v>81</v>
      </c>
      <c r="AW123" s="6" t="s">
        <v>81</v>
      </c>
      <c r="AX123" s="6" t="s">
        <v>20826</v>
      </c>
      <c r="AY123" s="6" t="s">
        <v>22590</v>
      </c>
      <c r="AZ123" s="6" t="s">
        <v>81</v>
      </c>
      <c r="BA123" s="6" t="s">
        <v>81</v>
      </c>
      <c r="BB123" s="24" t="n">
        <v>149</v>
      </c>
      <c r="BC123" s="26"/>
      <c r="BD123" s="26"/>
      <c r="BE123" s="26"/>
      <c r="BF123" s="26"/>
      <c r="BG123" s="26"/>
      <c r="BH123" s="26"/>
      <c r="BI123" s="26"/>
      <c r="BJ123" s="26"/>
      <c r="BK123" s="26"/>
      <c r="BL123" s="26"/>
      <c r="BM123" s="26"/>
      <c r="BN123" s="26"/>
      <c r="BO123" s="26"/>
      <c r="BP123" s="16" t="n">
        <v>45730</v>
      </c>
      <c r="BQ123" s="28" t="str">
        <f>HYPERLINK("https://organic.ams.usda.gov/Integrity/Certificate.aspx?cid=90&amp;nopid=7170220446")</f>
        <v>https://organic.ams.usda.gov/Integrity/Certificate.aspx?cid=90&amp;nopid=7170220446</v>
      </c>
    </row>
    <row r="124">
      <c r="A124" t="s">
        <v>3</v>
      </c>
      <c r="B124" s="6" t="s">
        <v>12</v>
      </c>
      <c r="C124" s="6" t="s">
        <v>59</v>
      </c>
      <c r="D124" s="6" t="s">
        <v>105</v>
      </c>
      <c r="E124" s="10" t="s">
        <v>265</v>
      </c>
      <c r="F124" s="6" t="s">
        <v>3003</v>
      </c>
      <c r="G124" s="6" t="s">
        <v>81</v>
      </c>
      <c r="H124" s="6" t="s">
        <v>6002</v>
      </c>
      <c r="I124" s="6" t="s">
        <v>8459</v>
      </c>
      <c r="J124" s="6" t="s">
        <v>9689</v>
      </c>
      <c r="K124" s="6" t="s">
        <v>10886</v>
      </c>
      <c r="L124" s="16" t="n">
        <v>44512</v>
      </c>
      <c r="M124" s="16" t="n">
        <v>45717</v>
      </c>
      <c r="N124" s="6" t="s">
        <v>10886</v>
      </c>
      <c r="O124" s="16" t="n">
        <v>44512</v>
      </c>
      <c r="P124" s="6" t="s">
        <v>10976</v>
      </c>
      <c r="Q124" s="6" t="s">
        <v>81</v>
      </c>
      <c r="R124" s="6" t="s">
        <v>81</v>
      </c>
      <c r="S124" s="6" t="s">
        <v>10886</v>
      </c>
      <c r="T124" s="16" t="n">
        <v>45169</v>
      </c>
      <c r="U124" s="6" t="s">
        <v>13209</v>
      </c>
      <c r="V124" s="6" t="s">
        <v>81</v>
      </c>
      <c r="W124" s="6" t="s">
        <v>81</v>
      </c>
      <c r="X124" s="6" t="s">
        <v>81</v>
      </c>
      <c r="Y124" s="21" t="s">
        <v>81</v>
      </c>
      <c r="Z124" s="6" t="s">
        <v>81</v>
      </c>
      <c r="AA124" s="6" t="s">
        <v>81</v>
      </c>
      <c r="AB124" s="6" t="s">
        <v>81</v>
      </c>
      <c r="AC124" s="6" t="s">
        <v>81</v>
      </c>
      <c r="AD124" s="21" t="s">
        <v>81</v>
      </c>
      <c r="AE124" s="6" t="s">
        <v>81</v>
      </c>
      <c r="AF124" s="6" t="s">
        <v>81</v>
      </c>
      <c r="AG124" s="6" t="s">
        <v>81</v>
      </c>
      <c r="AH124" s="6" t="s">
        <v>14732</v>
      </c>
      <c r="AI124" s="6" t="s">
        <v>81</v>
      </c>
      <c r="AJ124" s="6" t="s">
        <v>17404</v>
      </c>
      <c r="AK124" s="6" t="s">
        <v>18380</v>
      </c>
      <c r="AL124" s="6" t="s">
        <v>18444</v>
      </c>
      <c r="AM124" s="6" t="s">
        <v>18560</v>
      </c>
      <c r="AN124" s="6" t="s">
        <v>19639</v>
      </c>
      <c r="AO124" s="6" t="s">
        <v>19725</v>
      </c>
      <c r="AP124" s="6" t="s">
        <v>14732</v>
      </c>
      <c r="AQ124" s="6" t="s">
        <v>81</v>
      </c>
      <c r="AR124" s="6" t="s">
        <v>17404</v>
      </c>
      <c r="AS124" s="6" t="s">
        <v>18380</v>
      </c>
      <c r="AT124" s="6" t="s">
        <v>18444</v>
      </c>
      <c r="AU124" s="6" t="s">
        <v>18560</v>
      </c>
      <c r="AV124" s="6" t="s">
        <v>81</v>
      </c>
      <c r="AW124" s="6" t="s">
        <v>81</v>
      </c>
      <c r="AX124" s="6" t="s">
        <v>20827</v>
      </c>
      <c r="AY124" s="6" t="s">
        <v>81</v>
      </c>
      <c r="AZ124" s="6" t="s">
        <v>81</v>
      </c>
      <c r="BA124" s="6" t="s">
        <v>81</v>
      </c>
      <c r="BB124" s="24" t="n">
        <v>70</v>
      </c>
      <c r="BC124" s="26"/>
      <c r="BD124" s="26"/>
      <c r="BE124" s="26"/>
      <c r="BF124" s="26"/>
      <c r="BG124" s="26"/>
      <c r="BH124" s="26"/>
      <c r="BI124" s="26"/>
      <c r="BJ124" s="26"/>
      <c r="BK124" s="26"/>
      <c r="BL124" s="26"/>
      <c r="BM124" s="26"/>
      <c r="BN124" s="26"/>
      <c r="BO124" s="26"/>
      <c r="BP124" s="16" t="n">
        <v>45684</v>
      </c>
      <c r="BQ124" s="28" t="str">
        <f>HYPERLINK("https://organic.ams.usda.gov/Integrity/Certificate.aspx?cid=68&amp;nopid=8210008267")</f>
        <v>https://organic.ams.usda.gov/Integrity/Certificate.aspx?cid=68&amp;nopid=8210008267</v>
      </c>
    </row>
    <row r="125">
      <c r="A125" t="s">
        <v>3</v>
      </c>
      <c r="B125" s="6" t="s">
        <v>10</v>
      </c>
      <c r="C125" s="6" t="s">
        <v>57</v>
      </c>
      <c r="D125" s="6" t="s">
        <v>103</v>
      </c>
      <c r="E125" s="10" t="s">
        <v>266</v>
      </c>
      <c r="F125" s="6" t="s">
        <v>3004</v>
      </c>
      <c r="G125" s="6" t="s">
        <v>81</v>
      </c>
      <c r="H125" s="6" t="s">
        <v>6003</v>
      </c>
      <c r="I125" s="6" t="s">
        <v>8460</v>
      </c>
      <c r="J125" s="6" t="s">
        <v>9742</v>
      </c>
      <c r="K125" s="6" t="s">
        <v>10886</v>
      </c>
      <c r="L125" s="16" t="n">
        <v>40954</v>
      </c>
      <c r="M125" s="16" t="n">
        <v>45748</v>
      </c>
      <c r="N125" s="6" t="s">
        <v>10886</v>
      </c>
      <c r="O125" s="16" t="n">
        <v>40954</v>
      </c>
      <c r="P125" s="6" t="s">
        <v>10925</v>
      </c>
      <c r="Q125" s="6" t="s">
        <v>81</v>
      </c>
      <c r="R125" s="6" t="s">
        <v>12461</v>
      </c>
      <c r="S125" s="6" t="s">
        <v>10886</v>
      </c>
      <c r="T125" s="16" t="n">
        <v>40954</v>
      </c>
      <c r="U125" s="6" t="s">
        <v>13163</v>
      </c>
      <c r="V125" s="6" t="s">
        <v>81</v>
      </c>
      <c r="W125" s="6" t="s">
        <v>81</v>
      </c>
      <c r="X125" s="6" t="s">
        <v>81</v>
      </c>
      <c r="Y125" s="21" t="s">
        <v>81</v>
      </c>
      <c r="Z125" s="6" t="s">
        <v>81</v>
      </c>
      <c r="AA125" s="6" t="s">
        <v>81</v>
      </c>
      <c r="AB125" s="6" t="s">
        <v>81</v>
      </c>
      <c r="AC125" s="6" t="s">
        <v>81</v>
      </c>
      <c r="AD125" s="21" t="s">
        <v>81</v>
      </c>
      <c r="AE125" s="6" t="s">
        <v>81</v>
      </c>
      <c r="AF125" s="6" t="s">
        <v>81</v>
      </c>
      <c r="AG125" s="6" t="s">
        <v>81</v>
      </c>
      <c r="AH125" s="6" t="s">
        <v>14733</v>
      </c>
      <c r="AI125" s="6" t="s">
        <v>81</v>
      </c>
      <c r="AJ125" s="6" t="s">
        <v>17391</v>
      </c>
      <c r="AK125" s="6" t="s">
        <v>18379</v>
      </c>
      <c r="AL125" s="6" t="s">
        <v>18444</v>
      </c>
      <c r="AM125" s="6" t="s">
        <v>18467</v>
      </c>
      <c r="AN125" s="6" t="s">
        <v>19637</v>
      </c>
      <c r="AO125" s="6" t="s">
        <v>19723</v>
      </c>
      <c r="AP125" s="6" t="s">
        <v>14733</v>
      </c>
      <c r="AQ125" s="6" t="s">
        <v>81</v>
      </c>
      <c r="AR125" s="6" t="s">
        <v>17391</v>
      </c>
      <c r="AS125" s="6" t="s">
        <v>18379</v>
      </c>
      <c r="AT125" s="6" t="s">
        <v>18444</v>
      </c>
      <c r="AU125" s="6" t="s">
        <v>18467</v>
      </c>
      <c r="AV125" s="6" t="s">
        <v>81</v>
      </c>
      <c r="AW125" s="6" t="s">
        <v>81</v>
      </c>
      <c r="AX125" s="6" t="s">
        <v>20828</v>
      </c>
      <c r="AY125" s="6" t="s">
        <v>81</v>
      </c>
      <c r="AZ125" s="6" t="s">
        <v>81</v>
      </c>
      <c r="BA125" s="6" t="s">
        <v>81</v>
      </c>
      <c r="BB125" s="24" t="n">
        <v>125</v>
      </c>
      <c r="BC125" s="26"/>
      <c r="BD125" s="26"/>
      <c r="BE125" s="26"/>
      <c r="BF125" s="26"/>
      <c r="BG125" s="26"/>
      <c r="BH125" s="26"/>
      <c r="BI125" s="26"/>
      <c r="BJ125" s="26"/>
      <c r="BK125" s="26"/>
      <c r="BL125" s="26"/>
      <c r="BM125" s="26"/>
      <c r="BN125" s="26"/>
      <c r="BO125" s="26"/>
      <c r="BP125" s="16" t="n">
        <v>45730</v>
      </c>
      <c r="BQ125" s="28" t="str">
        <f>HYPERLINK("https://organic.ams.usda.gov/Integrity/Certificate.aspx?cid=90&amp;nopid=7170210286")</f>
        <v>https://organic.ams.usda.gov/Integrity/Certificate.aspx?cid=90&amp;nopid=7170210286</v>
      </c>
    </row>
    <row r="126">
      <c r="A126" t="s">
        <v>3</v>
      </c>
      <c r="B126" s="6" t="s">
        <v>7</v>
      </c>
      <c r="C126" s="6" t="s">
        <v>54</v>
      </c>
      <c r="D126" s="6" t="s">
        <v>100</v>
      </c>
      <c r="E126" s="10" t="s">
        <v>267</v>
      </c>
      <c r="F126" s="6" t="s">
        <v>3005</v>
      </c>
      <c r="G126" s="6" t="s">
        <v>81</v>
      </c>
      <c r="H126" s="6" t="s">
        <v>6004</v>
      </c>
      <c r="I126" s="6" t="s">
        <v>8461</v>
      </c>
      <c r="J126" s="6" t="s">
        <v>9726</v>
      </c>
      <c r="K126" s="6" t="s">
        <v>10886</v>
      </c>
      <c r="L126" s="16" t="n">
        <v>42182</v>
      </c>
      <c r="M126" s="16" t="n">
        <v>45716</v>
      </c>
      <c r="N126" s="6" t="s">
        <v>10886</v>
      </c>
      <c r="O126" s="16" t="n">
        <v>42182</v>
      </c>
      <c r="P126" s="6" t="s">
        <v>10910</v>
      </c>
      <c r="Q126" s="6" t="s">
        <v>81</v>
      </c>
      <c r="R126" s="6" t="s">
        <v>81</v>
      </c>
      <c r="S126" s="6" t="s">
        <v>10886</v>
      </c>
      <c r="T126" s="16" t="n">
        <v>42205</v>
      </c>
      <c r="U126" s="6" t="s">
        <v>13169</v>
      </c>
      <c r="V126" s="6" t="s">
        <v>81</v>
      </c>
      <c r="W126" s="6" t="s">
        <v>81</v>
      </c>
      <c r="X126" s="6" t="s">
        <v>81</v>
      </c>
      <c r="Y126" s="21" t="s">
        <v>81</v>
      </c>
      <c r="Z126" s="6" t="s">
        <v>81</v>
      </c>
      <c r="AA126" s="6" t="s">
        <v>81</v>
      </c>
      <c r="AB126" s="6" t="s">
        <v>81</v>
      </c>
      <c r="AC126" s="6" t="s">
        <v>81</v>
      </c>
      <c r="AD126" s="21" t="s">
        <v>81</v>
      </c>
      <c r="AE126" s="6" t="s">
        <v>81</v>
      </c>
      <c r="AF126" s="6" t="s">
        <v>81</v>
      </c>
      <c r="AG126" s="6" t="s">
        <v>81</v>
      </c>
      <c r="AH126" s="6" t="s">
        <v>14734</v>
      </c>
      <c r="AI126" s="6" t="s">
        <v>81</v>
      </c>
      <c r="AJ126" s="6" t="s">
        <v>17405</v>
      </c>
      <c r="AK126" s="6" t="s">
        <v>17712</v>
      </c>
      <c r="AL126" s="6" t="s">
        <v>18444</v>
      </c>
      <c r="AM126" s="6" t="s">
        <v>18561</v>
      </c>
      <c r="AN126" s="6" t="s">
        <v>19670</v>
      </c>
      <c r="AO126" s="6" t="s">
        <v>19782</v>
      </c>
      <c r="AP126" s="6" t="s">
        <v>14734</v>
      </c>
      <c r="AQ126" s="6" t="s">
        <v>81</v>
      </c>
      <c r="AR126" s="6" t="s">
        <v>17405</v>
      </c>
      <c r="AS126" s="6" t="s">
        <v>17712</v>
      </c>
      <c r="AT126" s="6" t="s">
        <v>18444</v>
      </c>
      <c r="AU126" s="6" t="s">
        <v>18561</v>
      </c>
      <c r="AV126" s="6" t="s">
        <v>81</v>
      </c>
      <c r="AW126" s="6" t="s">
        <v>81</v>
      </c>
      <c r="AX126" s="6" t="s">
        <v>81</v>
      </c>
      <c r="AY126" s="6" t="s">
        <v>81</v>
      </c>
      <c r="AZ126" s="6" t="s">
        <v>81</v>
      </c>
      <c r="BA126" s="6" t="s">
        <v>81</v>
      </c>
      <c r="BB126" s="24" t="n">
        <v>149</v>
      </c>
      <c r="BC126" s="26"/>
      <c r="BD126" s="26"/>
      <c r="BE126" s="26"/>
      <c r="BF126" s="26"/>
      <c r="BG126" s="26"/>
      <c r="BH126" s="26"/>
      <c r="BI126" s="26"/>
      <c r="BJ126" s="26"/>
      <c r="BK126" s="26"/>
      <c r="BL126" s="26"/>
      <c r="BM126" s="26"/>
      <c r="BN126" s="26"/>
      <c r="BO126" s="26"/>
      <c r="BP126" s="16" t="n">
        <v>45595</v>
      </c>
      <c r="BQ126" s="28" t="str">
        <f>HYPERLINK("https://organic.ams.usda.gov/Integrity/Certificate.aspx?cid=57&amp;nopid=3252015015")</f>
        <v>https://organic.ams.usda.gov/Integrity/Certificate.aspx?cid=57&amp;nopid=3252015015</v>
      </c>
    </row>
    <row r="127">
      <c r="A127" t="s">
        <v>3</v>
      </c>
      <c r="B127" s="6" t="s">
        <v>7</v>
      </c>
      <c r="C127" s="6" t="s">
        <v>54</v>
      </c>
      <c r="D127" s="6" t="s">
        <v>100</v>
      </c>
      <c r="E127" s="10" t="s">
        <v>268</v>
      </c>
      <c r="F127" s="6" t="s">
        <v>3006</v>
      </c>
      <c r="G127" s="6" t="s">
        <v>81</v>
      </c>
      <c r="H127" s="6" t="s">
        <v>6005</v>
      </c>
      <c r="I127" s="6" t="s">
        <v>8461</v>
      </c>
      <c r="J127" s="6" t="s">
        <v>9142</v>
      </c>
      <c r="K127" s="6" t="s">
        <v>10886</v>
      </c>
      <c r="L127" s="16" t="n">
        <v>45079</v>
      </c>
      <c r="M127" s="16" t="n">
        <v>45716</v>
      </c>
      <c r="N127" s="6" t="s">
        <v>10886</v>
      </c>
      <c r="O127" s="16" t="n">
        <v>45079</v>
      </c>
      <c r="P127" s="6" t="s">
        <v>10977</v>
      </c>
      <c r="Q127" s="6" t="s">
        <v>81</v>
      </c>
      <c r="R127" s="6" t="s">
        <v>81</v>
      </c>
      <c r="S127" s="6" t="s">
        <v>10886</v>
      </c>
      <c r="T127" s="16" t="n">
        <v>45079</v>
      </c>
      <c r="U127" s="6" t="s">
        <v>13169</v>
      </c>
      <c r="V127" s="6" t="s">
        <v>81</v>
      </c>
      <c r="W127" s="6" t="s">
        <v>81</v>
      </c>
      <c r="X127" s="6" t="s">
        <v>81</v>
      </c>
      <c r="Y127" s="21" t="s">
        <v>81</v>
      </c>
      <c r="Z127" s="6" t="s">
        <v>81</v>
      </c>
      <c r="AA127" s="6" t="s">
        <v>81</v>
      </c>
      <c r="AB127" s="6" t="s">
        <v>81</v>
      </c>
      <c r="AC127" s="6" t="s">
        <v>81</v>
      </c>
      <c r="AD127" s="21" t="s">
        <v>81</v>
      </c>
      <c r="AE127" s="6" t="s">
        <v>81</v>
      </c>
      <c r="AF127" s="6" t="s">
        <v>81</v>
      </c>
      <c r="AG127" s="6" t="s">
        <v>81</v>
      </c>
      <c r="AH127" s="6" t="s">
        <v>14735</v>
      </c>
      <c r="AI127" s="6" t="s">
        <v>81</v>
      </c>
      <c r="AJ127" s="6" t="s">
        <v>17406</v>
      </c>
      <c r="AK127" s="6" t="s">
        <v>17712</v>
      </c>
      <c r="AL127" s="6" t="s">
        <v>18444</v>
      </c>
      <c r="AM127" s="6" t="s">
        <v>18562</v>
      </c>
      <c r="AN127" s="6" t="s">
        <v>81</v>
      </c>
      <c r="AO127" s="6" t="s">
        <v>81</v>
      </c>
      <c r="AP127" s="6" t="s">
        <v>14735</v>
      </c>
      <c r="AQ127" s="6" t="s">
        <v>81</v>
      </c>
      <c r="AR127" s="6" t="s">
        <v>17406</v>
      </c>
      <c r="AS127" s="6" t="s">
        <v>17712</v>
      </c>
      <c r="AT127" s="6" t="s">
        <v>18444</v>
      </c>
      <c r="AU127" s="6" t="s">
        <v>18562</v>
      </c>
      <c r="AV127" s="6" t="s">
        <v>81</v>
      </c>
      <c r="AW127" s="6" t="s">
        <v>81</v>
      </c>
      <c r="AX127" s="6" t="s">
        <v>81</v>
      </c>
      <c r="AY127" s="6" t="s">
        <v>81</v>
      </c>
      <c r="AZ127" s="6" t="s">
        <v>81</v>
      </c>
      <c r="BA127" s="6" t="s">
        <v>81</v>
      </c>
      <c r="BB127" s="24" t="n">
        <v>95</v>
      </c>
      <c r="BC127" s="26"/>
      <c r="BD127" s="26"/>
      <c r="BE127" s="26"/>
      <c r="BF127" s="26" t="s">
        <v>23900</v>
      </c>
      <c r="BG127" s="26"/>
      <c r="BH127" s="26"/>
      <c r="BI127" s="26"/>
      <c r="BJ127" s="26"/>
      <c r="BK127" s="26"/>
      <c r="BL127" s="26"/>
      <c r="BM127" s="26"/>
      <c r="BN127" s="26"/>
      <c r="BO127" s="26"/>
      <c r="BP127" s="16" t="n">
        <v>45595</v>
      </c>
      <c r="BQ127" s="28" t="str">
        <f>HYPERLINK("https://organic.ams.usda.gov/Integrity/Certificate.aspx?cid=57&amp;nopid=3252023005")</f>
        <v>https://organic.ams.usda.gov/Integrity/Certificate.aspx?cid=57&amp;nopid=3252023005</v>
      </c>
    </row>
    <row r="128">
      <c r="A128" t="s">
        <v>3</v>
      </c>
      <c r="B128" s="6" t="s">
        <v>11</v>
      </c>
      <c r="C128" s="6" t="s">
        <v>58</v>
      </c>
      <c r="D128" s="6" t="s">
        <v>104</v>
      </c>
      <c r="E128" s="10" t="s">
        <v>269</v>
      </c>
      <c r="F128" s="6" t="s">
        <v>3007</v>
      </c>
      <c r="G128" s="6" t="s">
        <v>81</v>
      </c>
      <c r="H128" s="6" t="s">
        <v>81</v>
      </c>
      <c r="I128" s="6" t="s">
        <v>8462</v>
      </c>
      <c r="J128" s="6" t="s">
        <v>9743</v>
      </c>
      <c r="K128" s="6" t="s">
        <v>10886</v>
      </c>
      <c r="L128" s="16" t="n">
        <v>42639</v>
      </c>
      <c r="M128" s="16" t="n">
        <v>45383</v>
      </c>
      <c r="N128" s="6" t="s">
        <v>10886</v>
      </c>
      <c r="O128" s="16" t="n">
        <v>42639</v>
      </c>
      <c r="P128" s="6" t="s">
        <v>10978</v>
      </c>
      <c r="Q128" s="6" t="s">
        <v>81</v>
      </c>
      <c r="R128" s="6" t="s">
        <v>81</v>
      </c>
      <c r="S128" s="6" t="s">
        <v>10886</v>
      </c>
      <c r="T128" s="16" t="n">
        <v>42856</v>
      </c>
      <c r="U128" s="6" t="s">
        <v>13210</v>
      </c>
      <c r="V128" s="6" t="s">
        <v>81</v>
      </c>
      <c r="W128" s="6" t="s">
        <v>81</v>
      </c>
      <c r="X128" s="6" t="s">
        <v>81</v>
      </c>
      <c r="Y128" s="21" t="s">
        <v>81</v>
      </c>
      <c r="Z128" s="6" t="s">
        <v>81</v>
      </c>
      <c r="AA128" s="6" t="s">
        <v>81</v>
      </c>
      <c r="AB128" s="6" t="s">
        <v>81</v>
      </c>
      <c r="AC128" s="6" t="s">
        <v>81</v>
      </c>
      <c r="AD128" s="21" t="s">
        <v>81</v>
      </c>
      <c r="AE128" s="6" t="s">
        <v>81</v>
      </c>
      <c r="AF128" s="6" t="s">
        <v>81</v>
      </c>
      <c r="AG128" s="6" t="s">
        <v>81</v>
      </c>
      <c r="AH128" s="6" t="s">
        <v>14736</v>
      </c>
      <c r="AI128" s="6" t="s">
        <v>81</v>
      </c>
      <c r="AJ128" s="6" t="s">
        <v>17407</v>
      </c>
      <c r="AK128" s="6" t="s">
        <v>18377</v>
      </c>
      <c r="AL128" s="6" t="s">
        <v>18444</v>
      </c>
      <c r="AM128" s="6" t="s">
        <v>18563</v>
      </c>
      <c r="AN128" s="6" t="s">
        <v>19638</v>
      </c>
      <c r="AO128" s="6" t="s">
        <v>19724</v>
      </c>
      <c r="AP128" s="6" t="s">
        <v>81</v>
      </c>
      <c r="AQ128" s="6" t="s">
        <v>81</v>
      </c>
      <c r="AR128" s="6" t="s">
        <v>81</v>
      </c>
      <c r="AS128" s="6" t="s">
        <v>81</v>
      </c>
      <c r="AT128" s="6" t="s">
        <v>81</v>
      </c>
      <c r="AU128" s="6" t="s">
        <v>81</v>
      </c>
      <c r="AV128" s="6" t="s">
        <v>81</v>
      </c>
      <c r="AW128" s="6" t="s">
        <v>81</v>
      </c>
      <c r="AX128" s="6" t="s">
        <v>81</v>
      </c>
      <c r="AY128" s="6" t="s">
        <v>81</v>
      </c>
      <c r="AZ128" s="6" t="s">
        <v>81</v>
      </c>
      <c r="BA128" s="6" t="s">
        <v>23820</v>
      </c>
      <c r="BB128" s="24" t="n">
        <v>95</v>
      </c>
      <c r="BC128" s="26"/>
      <c r="BD128" s="26"/>
      <c r="BE128" s="26"/>
      <c r="BF128" s="26"/>
      <c r="BG128" s="26"/>
      <c r="BH128" s="26"/>
      <c r="BI128" s="26"/>
      <c r="BJ128" s="26"/>
      <c r="BK128" s="26"/>
      <c r="BL128" s="26"/>
      <c r="BM128" s="26"/>
      <c r="BN128" s="26"/>
      <c r="BO128" s="26"/>
      <c r="BP128" s="16" t="n">
        <v>45441</v>
      </c>
      <c r="BQ128" s="28" t="str">
        <f>HYPERLINK("https://organic.ams.usda.gov/Integrity/Certificate.aspx?cid=46&amp;nopid=3671600071")</f>
        <v>https://organic.ams.usda.gov/Integrity/Certificate.aspx?cid=46&amp;nopid=3671600071</v>
      </c>
    </row>
    <row r="129">
      <c r="A129" t="s">
        <v>3</v>
      </c>
      <c r="B129" s="6" t="s">
        <v>29</v>
      </c>
      <c r="C129" s="6" t="s">
        <v>76</v>
      </c>
      <c r="D129" s="6" t="s">
        <v>122</v>
      </c>
      <c r="E129" s="10" t="s">
        <v>270</v>
      </c>
      <c r="F129" s="6" t="s">
        <v>3008</v>
      </c>
      <c r="G129" s="6" t="s">
        <v>81</v>
      </c>
      <c r="H129" s="6" t="s">
        <v>6006</v>
      </c>
      <c r="I129" s="6" t="s">
        <v>8463</v>
      </c>
      <c r="J129" s="6" t="s">
        <v>9668</v>
      </c>
      <c r="K129" s="6" t="s">
        <v>10886</v>
      </c>
      <c r="L129" s="16" t="n">
        <v>45699</v>
      </c>
      <c r="M129" s="16" t="n">
        <v>46235</v>
      </c>
      <c r="N129" s="6" t="s">
        <v>10886</v>
      </c>
      <c r="O129" s="16" t="n">
        <v>45699</v>
      </c>
      <c r="P129" s="6" t="s">
        <v>10979</v>
      </c>
      <c r="Q129" s="6" t="s">
        <v>81</v>
      </c>
      <c r="R129" s="6" t="s">
        <v>12462</v>
      </c>
      <c r="S129" s="6" t="s">
        <v>10886</v>
      </c>
      <c r="T129" s="16" t="n">
        <v>45699</v>
      </c>
      <c r="U129" s="6" t="s">
        <v>13211</v>
      </c>
      <c r="V129" s="6" t="s">
        <v>81</v>
      </c>
      <c r="W129" s="6" t="s">
        <v>12462</v>
      </c>
      <c r="X129" s="6" t="s">
        <v>81</v>
      </c>
      <c r="Y129" s="21" t="s">
        <v>81</v>
      </c>
      <c r="Z129" s="6" t="s">
        <v>81</v>
      </c>
      <c r="AA129" s="6" t="s">
        <v>81</v>
      </c>
      <c r="AB129" s="6" t="s">
        <v>81</v>
      </c>
      <c r="AC129" s="6" t="s">
        <v>81</v>
      </c>
      <c r="AD129" s="21" t="s">
        <v>81</v>
      </c>
      <c r="AE129" s="6" t="s">
        <v>81</v>
      </c>
      <c r="AF129" s="6" t="s">
        <v>81</v>
      </c>
      <c r="AG129" s="6" t="s">
        <v>81</v>
      </c>
      <c r="AH129" s="6" t="s">
        <v>14737</v>
      </c>
      <c r="AI129" s="6" t="s">
        <v>81</v>
      </c>
      <c r="AJ129" s="6" t="s">
        <v>17317</v>
      </c>
      <c r="AK129" s="6" t="s">
        <v>18380</v>
      </c>
      <c r="AL129" s="6" t="s">
        <v>18444</v>
      </c>
      <c r="AM129" s="6" t="s">
        <v>18469</v>
      </c>
      <c r="AN129" s="6" t="s">
        <v>81</v>
      </c>
      <c r="AO129" s="6" t="s">
        <v>81</v>
      </c>
      <c r="AP129" s="6" t="s">
        <v>81</v>
      </c>
      <c r="AQ129" s="6" t="s">
        <v>81</v>
      </c>
      <c r="AR129" s="6" t="s">
        <v>81</v>
      </c>
      <c r="AS129" s="6" t="s">
        <v>81</v>
      </c>
      <c r="AT129" s="6" t="s">
        <v>81</v>
      </c>
      <c r="AU129" s="6" t="s">
        <v>81</v>
      </c>
      <c r="AV129" s="6" t="s">
        <v>81</v>
      </c>
      <c r="AW129" s="6" t="s">
        <v>81</v>
      </c>
      <c r="AX129" s="6" t="s">
        <v>20829</v>
      </c>
      <c r="AY129" s="6" t="s">
        <v>81</v>
      </c>
      <c r="AZ129" s="6" t="s">
        <v>81</v>
      </c>
      <c r="BA129" s="6" t="s">
        <v>81</v>
      </c>
      <c r="BB129" s="24" t="n">
        <v>75</v>
      </c>
      <c r="BC129" s="26"/>
      <c r="BD129" s="26"/>
      <c r="BE129" s="26"/>
      <c r="BF129" s="26"/>
      <c r="BG129" s="26"/>
      <c r="BH129" s="26"/>
      <c r="BI129" s="26"/>
      <c r="BJ129" s="26"/>
      <c r="BK129" s="26"/>
      <c r="BL129" s="26"/>
      <c r="BM129" s="26"/>
      <c r="BN129" s="26"/>
      <c r="BO129" s="26"/>
      <c r="BP129" s="16" t="n">
        <v>45737</v>
      </c>
      <c r="BQ129" s="28" t="str">
        <f>HYPERLINK("https://organic.ams.usda.gov/Integrity/Certificate.aspx?cid=31&amp;nopid=3928972494")</f>
        <v>https://organic.ams.usda.gov/Integrity/Certificate.aspx?cid=31&amp;nopid=3928972494</v>
      </c>
    </row>
    <row r="130">
      <c r="A130" t="s">
        <v>3</v>
      </c>
      <c r="B130" s="6" t="s">
        <v>29</v>
      </c>
      <c r="C130" s="6" t="s">
        <v>76</v>
      </c>
      <c r="D130" s="6" t="s">
        <v>122</v>
      </c>
      <c r="E130" s="10" t="s">
        <v>271</v>
      </c>
      <c r="F130" s="6" t="s">
        <v>3009</v>
      </c>
      <c r="G130" s="6" t="s">
        <v>81</v>
      </c>
      <c r="H130" s="6" t="s">
        <v>6007</v>
      </c>
      <c r="I130" s="6" t="s">
        <v>8464</v>
      </c>
      <c r="J130" s="6" t="s">
        <v>9671</v>
      </c>
      <c r="K130" s="6" t="s">
        <v>10886</v>
      </c>
      <c r="L130" s="16" t="n">
        <v>40417</v>
      </c>
      <c r="M130" s="16" t="n">
        <v>45870</v>
      </c>
      <c r="N130" s="6" t="s">
        <v>10886</v>
      </c>
      <c r="O130" s="16" t="n">
        <v>40417</v>
      </c>
      <c r="P130" s="6" t="s">
        <v>10980</v>
      </c>
      <c r="Q130" s="6" t="s">
        <v>81</v>
      </c>
      <c r="R130" s="6" t="s">
        <v>12463</v>
      </c>
      <c r="S130" s="6" t="s">
        <v>10886</v>
      </c>
      <c r="T130" s="16" t="n">
        <v>40417</v>
      </c>
      <c r="U130" s="6" t="s">
        <v>13212</v>
      </c>
      <c r="V130" s="6" t="s">
        <v>81</v>
      </c>
      <c r="W130" s="6" t="s">
        <v>12463</v>
      </c>
      <c r="X130" s="6" t="s">
        <v>81</v>
      </c>
      <c r="Y130" s="21" t="s">
        <v>81</v>
      </c>
      <c r="Z130" s="6" t="s">
        <v>81</v>
      </c>
      <c r="AA130" s="6" t="s">
        <v>81</v>
      </c>
      <c r="AB130" s="6" t="s">
        <v>81</v>
      </c>
      <c r="AC130" s="6" t="s">
        <v>81</v>
      </c>
      <c r="AD130" s="21" t="s">
        <v>81</v>
      </c>
      <c r="AE130" s="6" t="s">
        <v>81</v>
      </c>
      <c r="AF130" s="6" t="s">
        <v>81</v>
      </c>
      <c r="AG130" s="6" t="s">
        <v>81</v>
      </c>
      <c r="AH130" s="6" t="s">
        <v>14738</v>
      </c>
      <c r="AI130" s="6" t="s">
        <v>81</v>
      </c>
      <c r="AJ130" s="6" t="s">
        <v>17408</v>
      </c>
      <c r="AK130" s="6" t="s">
        <v>18380</v>
      </c>
      <c r="AL130" s="6" t="s">
        <v>18444</v>
      </c>
      <c r="AM130" s="6" t="s">
        <v>18564</v>
      </c>
      <c r="AN130" s="6" t="s">
        <v>19639</v>
      </c>
      <c r="AO130" s="6" t="s">
        <v>19725</v>
      </c>
      <c r="AP130" s="6" t="s">
        <v>81</v>
      </c>
      <c r="AQ130" s="6" t="s">
        <v>81</v>
      </c>
      <c r="AR130" s="6" t="s">
        <v>81</v>
      </c>
      <c r="AS130" s="6" t="s">
        <v>81</v>
      </c>
      <c r="AT130" s="6" t="s">
        <v>81</v>
      </c>
      <c r="AU130" s="6" t="s">
        <v>81</v>
      </c>
      <c r="AV130" s="6" t="s">
        <v>81</v>
      </c>
      <c r="AW130" s="6" t="s">
        <v>81</v>
      </c>
      <c r="AX130" s="6" t="s">
        <v>20830</v>
      </c>
      <c r="AY130" s="6" t="s">
        <v>81</v>
      </c>
      <c r="AZ130" s="6" t="s">
        <v>81</v>
      </c>
      <c r="BA130" s="6" t="s">
        <v>81</v>
      </c>
      <c r="BB130" s="24" t="n">
        <v>96</v>
      </c>
      <c r="BC130" s="26"/>
      <c r="BD130" s="26"/>
      <c r="BE130" s="26"/>
      <c r="BF130" s="26" t="s">
        <v>23900</v>
      </c>
      <c r="BG130" s="26"/>
      <c r="BH130" s="26"/>
      <c r="BI130" s="26"/>
      <c r="BJ130" s="26"/>
      <c r="BK130" s="26"/>
      <c r="BL130" s="26"/>
      <c r="BM130" s="26"/>
      <c r="BN130" s="26"/>
      <c r="BO130" s="26"/>
      <c r="BP130" s="16" t="n">
        <v>45737</v>
      </c>
      <c r="BQ130" s="28" t="str">
        <f>HYPERLINK("https://organic.ams.usda.gov/Integrity/Certificate.aspx?cid=31&amp;nopid=3920897979")</f>
        <v>https://organic.ams.usda.gov/Integrity/Certificate.aspx?cid=31&amp;nopid=3920897979</v>
      </c>
    </row>
    <row r="131">
      <c r="A131" t="s">
        <v>3</v>
      </c>
      <c r="B131" s="6" t="s">
        <v>11</v>
      </c>
      <c r="C131" s="6" t="s">
        <v>58</v>
      </c>
      <c r="D131" s="6" t="s">
        <v>104</v>
      </c>
      <c r="E131" s="10" t="s">
        <v>272</v>
      </c>
      <c r="F131" s="6" t="s">
        <v>3010</v>
      </c>
      <c r="G131" s="6" t="s">
        <v>81</v>
      </c>
      <c r="H131" s="6" t="s">
        <v>81</v>
      </c>
      <c r="I131" s="6" t="s">
        <v>8465</v>
      </c>
      <c r="J131" s="6" t="s">
        <v>9666</v>
      </c>
      <c r="K131" s="6" t="s">
        <v>10886</v>
      </c>
      <c r="L131" s="16" t="n">
        <v>43733</v>
      </c>
      <c r="M131" s="16" t="n">
        <v>45383</v>
      </c>
      <c r="N131" s="6" t="s">
        <v>10886</v>
      </c>
      <c r="O131" s="16" t="n">
        <v>43733</v>
      </c>
      <c r="P131" s="6" t="s">
        <v>10981</v>
      </c>
      <c r="Q131" s="6" t="s">
        <v>81</v>
      </c>
      <c r="R131" s="6" t="s">
        <v>81</v>
      </c>
      <c r="S131" s="6" t="s">
        <v>10886</v>
      </c>
      <c r="T131" s="16" t="n">
        <v>44567</v>
      </c>
      <c r="U131" s="6" t="s">
        <v>13213</v>
      </c>
      <c r="V131" s="6" t="s">
        <v>81</v>
      </c>
      <c r="W131" s="6" t="s">
        <v>81</v>
      </c>
      <c r="X131" s="6" t="s">
        <v>81</v>
      </c>
      <c r="Y131" s="21" t="s">
        <v>81</v>
      </c>
      <c r="Z131" s="6" t="s">
        <v>81</v>
      </c>
      <c r="AA131" s="6" t="s">
        <v>81</v>
      </c>
      <c r="AB131" s="6" t="s">
        <v>81</v>
      </c>
      <c r="AC131" s="6" t="s">
        <v>81</v>
      </c>
      <c r="AD131" s="21" t="s">
        <v>81</v>
      </c>
      <c r="AE131" s="6" t="s">
        <v>81</v>
      </c>
      <c r="AF131" s="6" t="s">
        <v>81</v>
      </c>
      <c r="AG131" s="6" t="s">
        <v>81</v>
      </c>
      <c r="AH131" s="6" t="s">
        <v>14739</v>
      </c>
      <c r="AI131" s="6" t="s">
        <v>81</v>
      </c>
      <c r="AJ131" s="6" t="s">
        <v>17373</v>
      </c>
      <c r="AK131" s="6" t="s">
        <v>18377</v>
      </c>
      <c r="AL131" s="6" t="s">
        <v>18444</v>
      </c>
      <c r="AM131" s="6" t="s">
        <v>18546</v>
      </c>
      <c r="AN131" s="6" t="s">
        <v>19652</v>
      </c>
      <c r="AO131" s="6" t="s">
        <v>19772</v>
      </c>
      <c r="AP131" s="6" t="s">
        <v>14739</v>
      </c>
      <c r="AQ131" s="6" t="s">
        <v>81</v>
      </c>
      <c r="AR131" s="6" t="s">
        <v>17373</v>
      </c>
      <c r="AS131" s="6" t="s">
        <v>18377</v>
      </c>
      <c r="AT131" s="6" t="s">
        <v>18444</v>
      </c>
      <c r="AU131" s="6" t="s">
        <v>18546</v>
      </c>
      <c r="AV131" s="6" t="s">
        <v>81</v>
      </c>
      <c r="AW131" s="6" t="s">
        <v>81</v>
      </c>
      <c r="AX131" s="6" t="s">
        <v>81</v>
      </c>
      <c r="AY131" s="6" t="s">
        <v>81</v>
      </c>
      <c r="AZ131" s="6" t="s">
        <v>81</v>
      </c>
      <c r="BA131" s="6" t="s">
        <v>81</v>
      </c>
      <c r="BB131" s="24" t="n">
        <v>29</v>
      </c>
      <c r="BC131" s="26"/>
      <c r="BD131" s="26"/>
      <c r="BE131" s="26"/>
      <c r="BF131" s="26"/>
      <c r="BG131" s="26"/>
      <c r="BH131" s="26"/>
      <c r="BI131" s="26"/>
      <c r="BJ131" s="26"/>
      <c r="BK131" s="26"/>
      <c r="BL131" s="26"/>
      <c r="BM131" s="26"/>
      <c r="BN131" s="26"/>
      <c r="BO131" s="26"/>
      <c r="BP131" s="16" t="n">
        <v>45569</v>
      </c>
      <c r="BQ131" s="28" t="str">
        <f>HYPERLINK("https://organic.ams.usda.gov/Integrity/Certificate.aspx?cid=46&amp;nopid=3671900070")</f>
        <v>https://organic.ams.usda.gov/Integrity/Certificate.aspx?cid=46&amp;nopid=3671900070</v>
      </c>
    </row>
    <row r="132">
      <c r="A132" t="s">
        <v>3</v>
      </c>
      <c r="B132" s="6" t="s">
        <v>11</v>
      </c>
      <c r="C132" s="6" t="s">
        <v>58</v>
      </c>
      <c r="D132" s="6" t="s">
        <v>104</v>
      </c>
      <c r="E132" s="10" t="s">
        <v>273</v>
      </c>
      <c r="F132" s="6" t="s">
        <v>3011</v>
      </c>
      <c r="G132" s="6" t="s">
        <v>5603</v>
      </c>
      <c r="H132" s="6" t="s">
        <v>81</v>
      </c>
      <c r="I132" s="6" t="s">
        <v>8466</v>
      </c>
      <c r="J132" s="6" t="s">
        <v>9665</v>
      </c>
      <c r="K132" s="6" t="s">
        <v>10886</v>
      </c>
      <c r="L132" s="16" t="n">
        <v>45155</v>
      </c>
      <c r="M132" s="16" t="n">
        <v>45383</v>
      </c>
      <c r="N132" s="6" t="s">
        <v>10886</v>
      </c>
      <c r="O132" s="16" t="n">
        <v>45155</v>
      </c>
      <c r="P132" s="6" t="s">
        <v>10982</v>
      </c>
      <c r="Q132" s="6" t="s">
        <v>81</v>
      </c>
      <c r="R132" s="6" t="s">
        <v>81</v>
      </c>
      <c r="S132" s="6" t="s">
        <v>10886</v>
      </c>
      <c r="T132" s="16" t="n">
        <v>45180</v>
      </c>
      <c r="U132" s="6" t="s">
        <v>13214</v>
      </c>
      <c r="V132" s="6" t="s">
        <v>81</v>
      </c>
      <c r="W132" s="6" t="s">
        <v>81</v>
      </c>
      <c r="X132" s="6" t="s">
        <v>81</v>
      </c>
      <c r="Y132" s="21" t="s">
        <v>81</v>
      </c>
      <c r="Z132" s="6" t="s">
        <v>81</v>
      </c>
      <c r="AA132" s="6" t="s">
        <v>81</v>
      </c>
      <c r="AB132" s="6" t="s">
        <v>81</v>
      </c>
      <c r="AC132" s="6" t="s">
        <v>81</v>
      </c>
      <c r="AD132" s="21" t="s">
        <v>81</v>
      </c>
      <c r="AE132" s="6" t="s">
        <v>81</v>
      </c>
      <c r="AF132" s="6" t="s">
        <v>81</v>
      </c>
      <c r="AG132" s="6" t="s">
        <v>81</v>
      </c>
      <c r="AH132" s="6" t="s">
        <v>14740</v>
      </c>
      <c r="AI132" s="6" t="s">
        <v>81</v>
      </c>
      <c r="AJ132" s="6" t="s">
        <v>17409</v>
      </c>
      <c r="AK132" s="6" t="s">
        <v>18377</v>
      </c>
      <c r="AL132" s="6" t="s">
        <v>18444</v>
      </c>
      <c r="AM132" s="6" t="s">
        <v>18565</v>
      </c>
      <c r="AN132" s="6" t="s">
        <v>19636</v>
      </c>
      <c r="AO132" s="6" t="s">
        <v>19783</v>
      </c>
      <c r="AP132" s="6" t="s">
        <v>81</v>
      </c>
      <c r="AQ132" s="6" t="s">
        <v>81</v>
      </c>
      <c r="AR132" s="6" t="s">
        <v>81</v>
      </c>
      <c r="AS132" s="6" t="s">
        <v>81</v>
      </c>
      <c r="AT132" s="6" t="s">
        <v>81</v>
      </c>
      <c r="AU132" s="6" t="s">
        <v>81</v>
      </c>
      <c r="AV132" s="6" t="s">
        <v>81</v>
      </c>
      <c r="AW132" s="6" t="s">
        <v>81</v>
      </c>
      <c r="AX132" s="6" t="s">
        <v>81</v>
      </c>
      <c r="AY132" s="6" t="s">
        <v>81</v>
      </c>
      <c r="AZ132" s="6" t="s">
        <v>81</v>
      </c>
      <c r="BA132" s="6" t="s">
        <v>23825</v>
      </c>
      <c r="BB132" s="24" t="n">
        <v>79</v>
      </c>
      <c r="BC132" s="26"/>
      <c r="BD132" s="26"/>
      <c r="BE132" s="26"/>
      <c r="BF132" s="26"/>
      <c r="BG132" s="26"/>
      <c r="BH132" s="26"/>
      <c r="BI132" s="26"/>
      <c r="BJ132" s="26"/>
      <c r="BK132" s="26"/>
      <c r="BL132" s="26"/>
      <c r="BM132" s="26"/>
      <c r="BN132" s="26"/>
      <c r="BO132" s="26"/>
      <c r="BP132" s="16" t="n">
        <v>45441</v>
      </c>
      <c r="BQ132" s="28" t="str">
        <f>HYPERLINK("https://organic.ams.usda.gov/Integrity/Certificate.aspx?cid=46&amp;nopid=3672300051")</f>
        <v>https://organic.ams.usda.gov/Integrity/Certificate.aspx?cid=46&amp;nopid=3672300051</v>
      </c>
    </row>
    <row r="133">
      <c r="A133" t="s">
        <v>3</v>
      </c>
      <c r="B133" s="6" t="s">
        <v>7</v>
      </c>
      <c r="C133" s="6" t="s">
        <v>54</v>
      </c>
      <c r="D133" s="6" t="s">
        <v>100</v>
      </c>
      <c r="E133" s="10" t="s">
        <v>274</v>
      </c>
      <c r="F133" s="6" t="s">
        <v>3012</v>
      </c>
      <c r="G133" s="6" t="s">
        <v>81</v>
      </c>
      <c r="H133" s="6" t="s">
        <v>6008</v>
      </c>
      <c r="I133" s="6" t="s">
        <v>8461</v>
      </c>
      <c r="J133" s="6" t="s">
        <v>9142</v>
      </c>
      <c r="K133" s="6" t="s">
        <v>10886</v>
      </c>
      <c r="L133" s="16" t="n">
        <v>45456</v>
      </c>
      <c r="M133" s="16" t="n">
        <v>45716</v>
      </c>
      <c r="N133" s="6" t="s">
        <v>10886</v>
      </c>
      <c r="O133" s="16" t="n">
        <v>45456</v>
      </c>
      <c r="P133" s="6" t="s">
        <v>10983</v>
      </c>
      <c r="Q133" s="6" t="s">
        <v>81</v>
      </c>
      <c r="R133" s="6" t="s">
        <v>81</v>
      </c>
      <c r="S133" s="6" t="s">
        <v>10886</v>
      </c>
      <c r="T133" s="16" t="n">
        <v>45456</v>
      </c>
      <c r="U133" s="6" t="s">
        <v>13160</v>
      </c>
      <c r="V133" s="6" t="s">
        <v>81</v>
      </c>
      <c r="W133" s="6" t="s">
        <v>81</v>
      </c>
      <c r="X133" s="6" t="s">
        <v>81</v>
      </c>
      <c r="Y133" s="21" t="s">
        <v>81</v>
      </c>
      <c r="Z133" s="6" t="s">
        <v>81</v>
      </c>
      <c r="AA133" s="6" t="s">
        <v>81</v>
      </c>
      <c r="AB133" s="6" t="s">
        <v>81</v>
      </c>
      <c r="AC133" s="6" t="s">
        <v>81</v>
      </c>
      <c r="AD133" s="21" t="s">
        <v>81</v>
      </c>
      <c r="AE133" s="6" t="s">
        <v>81</v>
      </c>
      <c r="AF133" s="6" t="s">
        <v>81</v>
      </c>
      <c r="AG133" s="6" t="s">
        <v>81</v>
      </c>
      <c r="AH133" s="6" t="s">
        <v>14741</v>
      </c>
      <c r="AI133" s="6" t="s">
        <v>81</v>
      </c>
      <c r="AJ133" s="6" t="s">
        <v>17410</v>
      </c>
      <c r="AK133" s="6" t="s">
        <v>17712</v>
      </c>
      <c r="AL133" s="6" t="s">
        <v>18444</v>
      </c>
      <c r="AM133" s="6" t="s">
        <v>18566</v>
      </c>
      <c r="AN133" s="6" t="s">
        <v>81</v>
      </c>
      <c r="AO133" s="6" t="s">
        <v>81</v>
      </c>
      <c r="AP133" s="6" t="s">
        <v>14741</v>
      </c>
      <c r="AQ133" s="6" t="s">
        <v>81</v>
      </c>
      <c r="AR133" s="6" t="s">
        <v>17410</v>
      </c>
      <c r="AS133" s="6" t="s">
        <v>17712</v>
      </c>
      <c r="AT133" s="6" t="s">
        <v>18444</v>
      </c>
      <c r="AU133" s="6" t="s">
        <v>18566</v>
      </c>
      <c r="AV133" s="6" t="s">
        <v>81</v>
      </c>
      <c r="AW133" s="6" t="s">
        <v>81</v>
      </c>
      <c r="AX133" s="6" t="s">
        <v>81</v>
      </c>
      <c r="AY133" s="6" t="s">
        <v>81</v>
      </c>
      <c r="AZ133" s="6" t="s">
        <v>81</v>
      </c>
      <c r="BA133" s="6" t="s">
        <v>81</v>
      </c>
      <c r="BB133" s="24" t="n">
        <v>241</v>
      </c>
      <c r="BC133" s="26"/>
      <c r="BD133" s="26"/>
      <c r="BE133" s="26"/>
      <c r="BF133" s="26" t="s">
        <v>23900</v>
      </c>
      <c r="BG133" s="26"/>
      <c r="BH133" s="26"/>
      <c r="BI133" s="26"/>
      <c r="BJ133" s="26"/>
      <c r="BK133" s="26"/>
      <c r="BL133" s="26"/>
      <c r="BM133" s="26"/>
      <c r="BN133" s="26"/>
      <c r="BO133" s="26"/>
      <c r="BP133" s="16" t="n">
        <v>45595</v>
      </c>
      <c r="BQ133" s="28" t="str">
        <f>HYPERLINK("https://organic.ams.usda.gov/Integrity/Certificate.aspx?cid=57&amp;nopid=3252024011")</f>
        <v>https://organic.ams.usda.gov/Integrity/Certificate.aspx?cid=57&amp;nopid=3252024011</v>
      </c>
    </row>
    <row r="134">
      <c r="A134" t="s">
        <v>3</v>
      </c>
      <c r="B134" s="6" t="s">
        <v>9</v>
      </c>
      <c r="C134" s="6" t="s">
        <v>56</v>
      </c>
      <c r="D134" s="6" t="s">
        <v>102</v>
      </c>
      <c r="E134" s="10" t="s">
        <v>275</v>
      </c>
      <c r="F134" s="6" t="s">
        <v>3013</v>
      </c>
      <c r="G134" s="6" t="s">
        <v>81</v>
      </c>
      <c r="H134" s="6" t="s">
        <v>6009</v>
      </c>
      <c r="I134" s="6" t="s">
        <v>8467</v>
      </c>
      <c r="J134" s="6" t="s">
        <v>9668</v>
      </c>
      <c r="K134" s="6" t="s">
        <v>10886</v>
      </c>
      <c r="L134" s="16" t="n">
        <v>42156</v>
      </c>
      <c r="M134" s="16" t="n">
        <v>45748</v>
      </c>
      <c r="N134" s="6" t="s">
        <v>10886</v>
      </c>
      <c r="O134" s="16" t="n">
        <v>42156</v>
      </c>
      <c r="P134" s="6" t="s">
        <v>10984</v>
      </c>
      <c r="Q134" s="6" t="s">
        <v>81</v>
      </c>
      <c r="R134" s="6" t="s">
        <v>12464</v>
      </c>
      <c r="S134" s="6" t="s">
        <v>10886</v>
      </c>
      <c r="T134" s="16" t="n">
        <v>42156</v>
      </c>
      <c r="U134" s="6" t="s">
        <v>13168</v>
      </c>
      <c r="V134" s="6" t="s">
        <v>81</v>
      </c>
      <c r="W134" s="6" t="s">
        <v>12464</v>
      </c>
      <c r="X134" s="6" t="s">
        <v>81</v>
      </c>
      <c r="Y134" s="21" t="s">
        <v>81</v>
      </c>
      <c r="Z134" s="6" t="s">
        <v>81</v>
      </c>
      <c r="AA134" s="6" t="s">
        <v>81</v>
      </c>
      <c r="AB134" s="6" t="s">
        <v>81</v>
      </c>
      <c r="AC134" s="6" t="s">
        <v>81</v>
      </c>
      <c r="AD134" s="21" t="s">
        <v>81</v>
      </c>
      <c r="AE134" s="6" t="s">
        <v>81</v>
      </c>
      <c r="AF134" s="6" t="s">
        <v>81</v>
      </c>
      <c r="AG134" s="6" t="s">
        <v>81</v>
      </c>
      <c r="AH134" s="6" t="s">
        <v>14742</v>
      </c>
      <c r="AI134" s="6" t="s">
        <v>81</v>
      </c>
      <c r="AJ134" s="6" t="s">
        <v>17339</v>
      </c>
      <c r="AK134" s="6" t="s">
        <v>18377</v>
      </c>
      <c r="AL134" s="6" t="s">
        <v>18444</v>
      </c>
      <c r="AM134" s="6" t="s">
        <v>18493</v>
      </c>
      <c r="AN134" s="6" t="s">
        <v>19643</v>
      </c>
      <c r="AO134" s="6" t="s">
        <v>19730</v>
      </c>
      <c r="AP134" s="6" t="s">
        <v>81</v>
      </c>
      <c r="AQ134" s="6" t="s">
        <v>81</v>
      </c>
      <c r="AR134" s="6" t="s">
        <v>81</v>
      </c>
      <c r="AS134" s="6" t="s">
        <v>81</v>
      </c>
      <c r="AT134" s="6" t="s">
        <v>81</v>
      </c>
      <c r="AU134" s="6" t="s">
        <v>81</v>
      </c>
      <c r="AV134" s="6" t="s">
        <v>81</v>
      </c>
      <c r="AW134" s="6" t="s">
        <v>81</v>
      </c>
      <c r="AX134" s="6" t="s">
        <v>20831</v>
      </c>
      <c r="AY134" s="6" t="s">
        <v>81</v>
      </c>
      <c r="AZ134" s="6" t="s">
        <v>81</v>
      </c>
      <c r="BA134" s="6" t="s">
        <v>81</v>
      </c>
      <c r="BB134" s="24" t="n">
        <v>83</v>
      </c>
      <c r="BC134" s="26"/>
      <c r="BD134" s="26"/>
      <c r="BE134" s="26"/>
      <c r="BF134" s="26"/>
      <c r="BG134" s="26"/>
      <c r="BH134" s="26"/>
      <c r="BI134" s="26"/>
      <c r="BJ134" s="26"/>
      <c r="BK134" s="26"/>
      <c r="BL134" s="26"/>
      <c r="BM134" s="26"/>
      <c r="BN134" s="26"/>
      <c r="BO134" s="26"/>
      <c r="BP134" s="16" t="n">
        <v>45738</v>
      </c>
      <c r="BQ134" s="28" t="str">
        <f>HYPERLINK("https://organic.ams.usda.gov/Integrity/Certificate.aspx?cid=52&amp;nopid=8431500969")</f>
        <v>https://organic.ams.usda.gov/Integrity/Certificate.aspx?cid=52&amp;nopid=8431500969</v>
      </c>
    </row>
    <row r="135">
      <c r="A135" t="s">
        <v>3</v>
      </c>
      <c r="B135" s="6" t="s">
        <v>12</v>
      </c>
      <c r="C135" s="6" t="s">
        <v>59</v>
      </c>
      <c r="D135" s="6" t="s">
        <v>105</v>
      </c>
      <c r="E135" s="10" t="s">
        <v>276</v>
      </c>
      <c r="F135" s="6" t="s">
        <v>3014</v>
      </c>
      <c r="G135" s="6" t="s">
        <v>81</v>
      </c>
      <c r="H135" s="6" t="s">
        <v>6010</v>
      </c>
      <c r="I135" s="6" t="s">
        <v>8461</v>
      </c>
      <c r="J135" s="6" t="s">
        <v>9668</v>
      </c>
      <c r="K135" s="6" t="s">
        <v>10886</v>
      </c>
      <c r="L135" s="16" t="n">
        <v>43070</v>
      </c>
      <c r="M135" s="16" t="n">
        <v>45717</v>
      </c>
      <c r="N135" s="6" t="s">
        <v>10886</v>
      </c>
      <c r="O135" s="16" t="n">
        <v>43070</v>
      </c>
      <c r="P135" s="6" t="s">
        <v>10985</v>
      </c>
      <c r="Q135" s="6" t="s">
        <v>81</v>
      </c>
      <c r="R135" s="6" t="s">
        <v>81</v>
      </c>
      <c r="S135" s="6" t="s">
        <v>10886</v>
      </c>
      <c r="T135" s="16" t="n">
        <v>43070</v>
      </c>
      <c r="U135" s="6" t="s">
        <v>13183</v>
      </c>
      <c r="V135" s="6" t="s">
        <v>81</v>
      </c>
      <c r="W135" s="6" t="s">
        <v>81</v>
      </c>
      <c r="X135" s="6" t="s">
        <v>81</v>
      </c>
      <c r="Y135" s="21" t="s">
        <v>81</v>
      </c>
      <c r="Z135" s="6" t="s">
        <v>81</v>
      </c>
      <c r="AA135" s="6" t="s">
        <v>81</v>
      </c>
      <c r="AB135" s="6" t="s">
        <v>81</v>
      </c>
      <c r="AC135" s="6" t="s">
        <v>81</v>
      </c>
      <c r="AD135" s="21" t="s">
        <v>81</v>
      </c>
      <c r="AE135" s="6" t="s">
        <v>81</v>
      </c>
      <c r="AF135" s="6" t="s">
        <v>81</v>
      </c>
      <c r="AG135" s="6" t="s">
        <v>81</v>
      </c>
      <c r="AH135" s="6" t="s">
        <v>14743</v>
      </c>
      <c r="AI135" s="6" t="s">
        <v>81</v>
      </c>
      <c r="AJ135" s="6" t="s">
        <v>17317</v>
      </c>
      <c r="AK135" s="6" t="s">
        <v>18380</v>
      </c>
      <c r="AL135" s="6" t="s">
        <v>18444</v>
      </c>
      <c r="AM135" s="6" t="s">
        <v>18469</v>
      </c>
      <c r="AN135" s="6" t="s">
        <v>19639</v>
      </c>
      <c r="AO135" s="6" t="s">
        <v>19725</v>
      </c>
      <c r="AP135" s="6" t="s">
        <v>14743</v>
      </c>
      <c r="AQ135" s="6" t="s">
        <v>81</v>
      </c>
      <c r="AR135" s="6" t="s">
        <v>17317</v>
      </c>
      <c r="AS135" s="6" t="s">
        <v>18380</v>
      </c>
      <c r="AT135" s="6" t="s">
        <v>18444</v>
      </c>
      <c r="AU135" s="6" t="s">
        <v>18469</v>
      </c>
      <c r="AV135" s="6" t="s">
        <v>81</v>
      </c>
      <c r="AW135" s="6" t="s">
        <v>81</v>
      </c>
      <c r="AX135" s="6" t="s">
        <v>20832</v>
      </c>
      <c r="AY135" s="6" t="s">
        <v>81</v>
      </c>
      <c r="AZ135" s="6" t="s">
        <v>81</v>
      </c>
      <c r="BA135" s="6" t="s">
        <v>81</v>
      </c>
      <c r="BB135" s="24" t="n">
        <v>127</v>
      </c>
      <c r="BC135" s="26"/>
      <c r="BD135" s="26"/>
      <c r="BE135" s="26"/>
      <c r="BF135" s="26"/>
      <c r="BG135" s="26"/>
      <c r="BH135" s="26"/>
      <c r="BI135" s="26"/>
      <c r="BJ135" s="26"/>
      <c r="BK135" s="26"/>
      <c r="BL135" s="26"/>
      <c r="BM135" s="26"/>
      <c r="BN135" s="26"/>
      <c r="BO135" s="26"/>
      <c r="BP135" s="16" t="n">
        <v>45684</v>
      </c>
      <c r="BQ135" s="28" t="str">
        <f>HYPERLINK("https://organic.ams.usda.gov/Integrity/Certificate.aspx?cid=68&amp;nopid=8210004174")</f>
        <v>https://organic.ams.usda.gov/Integrity/Certificate.aspx?cid=68&amp;nopid=8210004174</v>
      </c>
    </row>
    <row r="136">
      <c r="A136" t="s">
        <v>3</v>
      </c>
      <c r="B136" s="6" t="s">
        <v>15</v>
      </c>
      <c r="C136" s="6" t="s">
        <v>62</v>
      </c>
      <c r="D136" s="6" t="s">
        <v>108</v>
      </c>
      <c r="E136" s="10" t="s">
        <v>277</v>
      </c>
      <c r="F136" s="6" t="s">
        <v>3015</v>
      </c>
      <c r="G136" s="6" t="s">
        <v>81</v>
      </c>
      <c r="H136" s="6" t="s">
        <v>6011</v>
      </c>
      <c r="I136" s="6" t="s">
        <v>8468</v>
      </c>
      <c r="J136" s="6" t="s">
        <v>9672</v>
      </c>
      <c r="K136" s="6" t="s">
        <v>10886</v>
      </c>
      <c r="L136" s="16" t="n">
        <v>41050</v>
      </c>
      <c r="M136" s="16" t="n">
        <v>46157</v>
      </c>
      <c r="N136" s="6" t="s">
        <v>10886</v>
      </c>
      <c r="O136" s="16" t="n">
        <v>41050</v>
      </c>
      <c r="P136" s="6" t="s">
        <v>10986</v>
      </c>
      <c r="Q136" s="6" t="s">
        <v>81</v>
      </c>
      <c r="R136" s="6" t="s">
        <v>81</v>
      </c>
      <c r="S136" s="6" t="s">
        <v>10886</v>
      </c>
      <c r="T136" s="16" t="n">
        <v>41050</v>
      </c>
      <c r="U136" s="6" t="s">
        <v>13215</v>
      </c>
      <c r="V136" s="6" t="s">
        <v>81</v>
      </c>
      <c r="W136" s="6" t="s">
        <v>81</v>
      </c>
      <c r="X136" s="6" t="s">
        <v>81</v>
      </c>
      <c r="Y136" s="21" t="s">
        <v>81</v>
      </c>
      <c r="Z136" s="6" t="s">
        <v>81</v>
      </c>
      <c r="AA136" s="6" t="s">
        <v>81</v>
      </c>
      <c r="AB136" s="6" t="s">
        <v>81</v>
      </c>
      <c r="AC136" s="6" t="s">
        <v>81</v>
      </c>
      <c r="AD136" s="21" t="s">
        <v>81</v>
      </c>
      <c r="AE136" s="6" t="s">
        <v>81</v>
      </c>
      <c r="AF136" s="6" t="s">
        <v>81</v>
      </c>
      <c r="AG136" s="6" t="s">
        <v>81</v>
      </c>
      <c r="AH136" s="6" t="s">
        <v>14744</v>
      </c>
      <c r="AI136" s="6" t="s">
        <v>81</v>
      </c>
      <c r="AJ136" s="6" t="s">
        <v>17411</v>
      </c>
      <c r="AK136" s="6" t="s">
        <v>18380</v>
      </c>
      <c r="AL136" s="6" t="s">
        <v>18444</v>
      </c>
      <c r="AM136" s="6" t="s">
        <v>18567</v>
      </c>
      <c r="AN136" s="6" t="s">
        <v>19639</v>
      </c>
      <c r="AO136" s="6" t="s">
        <v>19725</v>
      </c>
      <c r="AP136" s="6" t="s">
        <v>14744</v>
      </c>
      <c r="AQ136" s="6" t="s">
        <v>81</v>
      </c>
      <c r="AR136" s="6" t="s">
        <v>17411</v>
      </c>
      <c r="AS136" s="6" t="s">
        <v>18380</v>
      </c>
      <c r="AT136" s="6" t="s">
        <v>18444</v>
      </c>
      <c r="AU136" s="6" t="s">
        <v>18567</v>
      </c>
      <c r="AV136" s="6" t="s">
        <v>81</v>
      </c>
      <c r="AW136" s="6" t="s">
        <v>81</v>
      </c>
      <c r="AX136" s="6" t="s">
        <v>20833</v>
      </c>
      <c r="AY136" s="6" t="s">
        <v>81</v>
      </c>
      <c r="AZ136" s="6" t="s">
        <v>81</v>
      </c>
      <c r="BA136" s="6" t="s">
        <v>81</v>
      </c>
      <c r="BB136" s="24" t="n">
        <v>86</v>
      </c>
      <c r="BC136" s="26"/>
      <c r="BD136" s="26"/>
      <c r="BE136" s="26"/>
      <c r="BF136" s="26" t="s">
        <v>23900</v>
      </c>
      <c r="BG136" s="26"/>
      <c r="BH136" s="26"/>
      <c r="BI136" s="26"/>
      <c r="BJ136" s="26"/>
      <c r="BK136" s="26"/>
      <c r="BL136" s="26"/>
      <c r="BM136" s="26"/>
      <c r="BN136" s="26"/>
      <c r="BO136" s="26"/>
      <c r="BP136" s="16" t="n">
        <v>45737</v>
      </c>
      <c r="BQ136" s="28" t="str">
        <f>HYPERLINK("https://organic.ams.usda.gov/Integrity/Certificate.aspx?cid=58&amp;nopid=1600002010")</f>
        <v>https://organic.ams.usda.gov/Integrity/Certificate.aspx?cid=58&amp;nopid=1600002010</v>
      </c>
    </row>
    <row r="137">
      <c r="A137" t="s">
        <v>3</v>
      </c>
      <c r="B137" s="6" t="s">
        <v>30</v>
      </c>
      <c r="C137" s="6" t="s">
        <v>77</v>
      </c>
      <c r="D137" s="6" t="s">
        <v>123</v>
      </c>
      <c r="E137" s="10" t="s">
        <v>278</v>
      </c>
      <c r="F137" s="6" t="s">
        <v>3016</v>
      </c>
      <c r="G137" s="6" t="s">
        <v>81</v>
      </c>
      <c r="H137" s="6" t="s">
        <v>6012</v>
      </c>
      <c r="I137" s="6" t="s">
        <v>8468</v>
      </c>
      <c r="J137" s="6" t="s">
        <v>9664</v>
      </c>
      <c r="K137" s="6" t="s">
        <v>10886</v>
      </c>
      <c r="L137" s="16" t="n">
        <v>38217</v>
      </c>
      <c r="M137" s="16" t="n">
        <v>45747</v>
      </c>
      <c r="N137" s="6" t="s">
        <v>10886</v>
      </c>
      <c r="O137" s="16" t="n">
        <v>38217</v>
      </c>
      <c r="P137" s="6" t="s">
        <v>10987</v>
      </c>
      <c r="Q137" s="6" t="s">
        <v>81</v>
      </c>
      <c r="R137" s="6" t="s">
        <v>12465</v>
      </c>
      <c r="S137" s="6" t="s">
        <v>10886</v>
      </c>
      <c r="T137" s="16" t="n">
        <v>38217</v>
      </c>
      <c r="U137" s="6" t="s">
        <v>13216</v>
      </c>
      <c r="V137" s="6" t="s">
        <v>81</v>
      </c>
      <c r="W137" s="6" t="s">
        <v>6012</v>
      </c>
      <c r="X137" s="6" t="s">
        <v>81</v>
      </c>
      <c r="Y137" s="21" t="s">
        <v>81</v>
      </c>
      <c r="Z137" s="6" t="s">
        <v>81</v>
      </c>
      <c r="AA137" s="6" t="s">
        <v>81</v>
      </c>
      <c r="AB137" s="6" t="s">
        <v>81</v>
      </c>
      <c r="AC137" s="6" t="s">
        <v>81</v>
      </c>
      <c r="AD137" s="21" t="s">
        <v>81</v>
      </c>
      <c r="AE137" s="6" t="s">
        <v>81</v>
      </c>
      <c r="AF137" s="6" t="s">
        <v>81</v>
      </c>
      <c r="AG137" s="6" t="s">
        <v>81</v>
      </c>
      <c r="AH137" s="6" t="s">
        <v>14745</v>
      </c>
      <c r="AI137" s="6" t="s">
        <v>81</v>
      </c>
      <c r="AJ137" s="6" t="s">
        <v>17311</v>
      </c>
      <c r="AK137" s="6" t="s">
        <v>17712</v>
      </c>
      <c r="AL137" s="6" t="s">
        <v>18444</v>
      </c>
      <c r="AM137" s="6" t="s">
        <v>18463</v>
      </c>
      <c r="AN137" s="6" t="s">
        <v>19634</v>
      </c>
      <c r="AO137" s="6" t="s">
        <v>19719</v>
      </c>
      <c r="AP137" s="6" t="s">
        <v>14745</v>
      </c>
      <c r="AQ137" s="6" t="s">
        <v>81</v>
      </c>
      <c r="AR137" s="6" t="s">
        <v>17311</v>
      </c>
      <c r="AS137" s="6" t="s">
        <v>17712</v>
      </c>
      <c r="AT137" s="6" t="s">
        <v>18444</v>
      </c>
      <c r="AU137" s="6" t="s">
        <v>18463</v>
      </c>
      <c r="AV137" s="6" t="s">
        <v>81</v>
      </c>
      <c r="AW137" s="6" t="s">
        <v>81</v>
      </c>
      <c r="AX137" s="6" t="s">
        <v>20834</v>
      </c>
      <c r="AY137" s="6" t="s">
        <v>81</v>
      </c>
      <c r="AZ137" s="6" t="s">
        <v>81</v>
      </c>
      <c r="BA137" s="6" t="s">
        <v>81</v>
      </c>
      <c r="BB137" s="24" t="n">
        <v>339</v>
      </c>
      <c r="BC137" s="26"/>
      <c r="BD137" s="26"/>
      <c r="BE137" s="26"/>
      <c r="BF137" s="26"/>
      <c r="BG137" s="26"/>
      <c r="BH137" s="26"/>
      <c r="BI137" s="26"/>
      <c r="BJ137" s="26"/>
      <c r="BK137" s="26"/>
      <c r="BL137" s="26"/>
      <c r="BM137" s="26"/>
      <c r="BN137" s="26"/>
      <c r="BO137" s="26"/>
      <c r="BP137" s="16" t="n">
        <v>45681</v>
      </c>
      <c r="BQ137" s="28" t="str">
        <f>HYPERLINK("https://organic.ams.usda.gov/Integrity/Certificate.aspx?cid=70&amp;nopid=6430411780")</f>
        <v>https://organic.ams.usda.gov/Integrity/Certificate.aspx?cid=70&amp;nopid=6430411780</v>
      </c>
    </row>
    <row r="138">
      <c r="A138" t="s">
        <v>3</v>
      </c>
      <c r="B138" s="6" t="s">
        <v>8</v>
      </c>
      <c r="C138" s="6" t="s">
        <v>55</v>
      </c>
      <c r="D138" s="6" t="s">
        <v>101</v>
      </c>
      <c r="E138" s="10" t="s">
        <v>279</v>
      </c>
      <c r="F138" s="6" t="s">
        <v>3017</v>
      </c>
      <c r="G138" s="6" t="s">
        <v>81</v>
      </c>
      <c r="H138" s="6" t="s">
        <v>6013</v>
      </c>
      <c r="I138" s="6" t="s">
        <v>8461</v>
      </c>
      <c r="J138" s="6" t="s">
        <v>9667</v>
      </c>
      <c r="K138" s="6" t="s">
        <v>10886</v>
      </c>
      <c r="L138" s="16" t="n">
        <v>41593</v>
      </c>
      <c r="M138" s="16" t="n">
        <v>45689</v>
      </c>
      <c r="N138" s="6" t="s">
        <v>10886</v>
      </c>
      <c r="O138" s="16" t="n">
        <v>41593</v>
      </c>
      <c r="P138" s="6" t="s">
        <v>10988</v>
      </c>
      <c r="Q138" s="6" t="s">
        <v>81</v>
      </c>
      <c r="R138" s="6" t="s">
        <v>6013</v>
      </c>
      <c r="S138" s="6" t="s">
        <v>10886</v>
      </c>
      <c r="T138" s="16" t="n">
        <v>41593</v>
      </c>
      <c r="U138" s="6" t="s">
        <v>13217</v>
      </c>
      <c r="V138" s="6" t="s">
        <v>81</v>
      </c>
      <c r="W138" s="6" t="s">
        <v>6013</v>
      </c>
      <c r="X138" s="6" t="s">
        <v>81</v>
      </c>
      <c r="Y138" s="21" t="s">
        <v>81</v>
      </c>
      <c r="Z138" s="6" t="s">
        <v>81</v>
      </c>
      <c r="AA138" s="6" t="s">
        <v>81</v>
      </c>
      <c r="AB138" s="6" t="s">
        <v>81</v>
      </c>
      <c r="AC138" s="6" t="s">
        <v>81</v>
      </c>
      <c r="AD138" s="21" t="s">
        <v>81</v>
      </c>
      <c r="AE138" s="6" t="s">
        <v>81</v>
      </c>
      <c r="AF138" s="6" t="s">
        <v>81</v>
      </c>
      <c r="AG138" s="6" t="s">
        <v>81</v>
      </c>
      <c r="AH138" s="6" t="s">
        <v>14746</v>
      </c>
      <c r="AI138" s="6" t="s">
        <v>81</v>
      </c>
      <c r="AJ138" s="6" t="s">
        <v>17412</v>
      </c>
      <c r="AK138" s="6" t="s">
        <v>18379</v>
      </c>
      <c r="AL138" s="6" t="s">
        <v>18444</v>
      </c>
      <c r="AM138" s="6" t="s">
        <v>18568</v>
      </c>
      <c r="AN138" s="6" t="s">
        <v>19671</v>
      </c>
      <c r="AO138" s="6" t="s">
        <v>19784</v>
      </c>
      <c r="AP138" s="6" t="s">
        <v>81</v>
      </c>
      <c r="AQ138" s="6" t="s">
        <v>81</v>
      </c>
      <c r="AR138" s="6" t="s">
        <v>81</v>
      </c>
      <c r="AS138" s="6" t="s">
        <v>81</v>
      </c>
      <c r="AT138" s="6" t="s">
        <v>81</v>
      </c>
      <c r="AU138" s="6" t="s">
        <v>81</v>
      </c>
      <c r="AV138" s="6" t="s">
        <v>81</v>
      </c>
      <c r="AW138" s="6" t="s">
        <v>81</v>
      </c>
      <c r="AX138" s="6" t="s">
        <v>81</v>
      </c>
      <c r="AY138" s="6" t="s">
        <v>81</v>
      </c>
      <c r="AZ138" s="6" t="s">
        <v>81</v>
      </c>
      <c r="BA138" s="6" t="s">
        <v>23819</v>
      </c>
      <c r="BB138" s="24" t="n">
        <v>136</v>
      </c>
      <c r="BC138" s="26"/>
      <c r="BD138" s="26"/>
      <c r="BE138" s="26"/>
      <c r="BF138" s="26" t="s">
        <v>23900</v>
      </c>
      <c r="BG138" s="26"/>
      <c r="BH138" s="26"/>
      <c r="BI138" s="26"/>
      <c r="BJ138" s="26"/>
      <c r="BK138" s="26"/>
      <c r="BL138" s="26"/>
      <c r="BM138" s="26"/>
      <c r="BN138" s="26"/>
      <c r="BO138" s="26"/>
      <c r="BP138" s="16" t="n">
        <v>45721</v>
      </c>
      <c r="BQ138" s="28" t="str">
        <f>HYPERLINK("https://organic.ams.usda.gov/Integrity/Certificate.aspx?cid=45&amp;nopid=9950005096")</f>
        <v>https://organic.ams.usda.gov/Integrity/Certificate.aspx?cid=45&amp;nopid=9950005096</v>
      </c>
    </row>
    <row r="139">
      <c r="A139" t="s">
        <v>3</v>
      </c>
      <c r="B139" s="6" t="s">
        <v>12</v>
      </c>
      <c r="C139" s="6" t="s">
        <v>59</v>
      </c>
      <c r="D139" s="6" t="s">
        <v>105</v>
      </c>
      <c r="E139" s="10" t="s">
        <v>280</v>
      </c>
      <c r="F139" s="6" t="s">
        <v>3018</v>
      </c>
      <c r="G139" s="6" t="s">
        <v>81</v>
      </c>
      <c r="H139" s="6" t="s">
        <v>6014</v>
      </c>
      <c r="I139" s="6" t="s">
        <v>8469</v>
      </c>
      <c r="J139" s="6" t="s">
        <v>9677</v>
      </c>
      <c r="K139" s="6" t="s">
        <v>10886</v>
      </c>
      <c r="L139" s="16" t="n">
        <v>38838</v>
      </c>
      <c r="M139" s="16" t="n">
        <v>45717</v>
      </c>
      <c r="N139" s="6" t="s">
        <v>10886</v>
      </c>
      <c r="O139" s="16" t="n">
        <v>38838</v>
      </c>
      <c r="P139" s="6" t="s">
        <v>10989</v>
      </c>
      <c r="Q139" s="6" t="s">
        <v>81</v>
      </c>
      <c r="R139" s="6" t="s">
        <v>81</v>
      </c>
      <c r="S139" s="6" t="s">
        <v>10886</v>
      </c>
      <c r="T139" s="16" t="n">
        <v>41018</v>
      </c>
      <c r="U139" s="6" t="s">
        <v>13166</v>
      </c>
      <c r="V139" s="6" t="s">
        <v>81</v>
      </c>
      <c r="W139" s="6" t="s">
        <v>81</v>
      </c>
      <c r="X139" s="6" t="s">
        <v>81</v>
      </c>
      <c r="Y139" s="21" t="s">
        <v>81</v>
      </c>
      <c r="Z139" s="6" t="s">
        <v>81</v>
      </c>
      <c r="AA139" s="6" t="s">
        <v>81</v>
      </c>
      <c r="AB139" s="6" t="s">
        <v>81</v>
      </c>
      <c r="AC139" s="6" t="s">
        <v>81</v>
      </c>
      <c r="AD139" s="21" t="s">
        <v>81</v>
      </c>
      <c r="AE139" s="6" t="s">
        <v>81</v>
      </c>
      <c r="AF139" s="6" t="s">
        <v>81</v>
      </c>
      <c r="AG139" s="6" t="s">
        <v>81</v>
      </c>
      <c r="AH139" s="6" t="s">
        <v>14747</v>
      </c>
      <c r="AI139" s="6" t="s">
        <v>81</v>
      </c>
      <c r="AJ139" s="6" t="s">
        <v>17413</v>
      </c>
      <c r="AK139" s="6" t="s">
        <v>18380</v>
      </c>
      <c r="AL139" s="6" t="s">
        <v>18444</v>
      </c>
      <c r="AM139" s="6" t="s">
        <v>18569</v>
      </c>
      <c r="AN139" s="6" t="s">
        <v>19639</v>
      </c>
      <c r="AO139" s="6" t="s">
        <v>19725</v>
      </c>
      <c r="AP139" s="6" t="s">
        <v>14747</v>
      </c>
      <c r="AQ139" s="6" t="s">
        <v>81</v>
      </c>
      <c r="AR139" s="6" t="s">
        <v>17413</v>
      </c>
      <c r="AS139" s="6" t="s">
        <v>18380</v>
      </c>
      <c r="AT139" s="6" t="s">
        <v>18444</v>
      </c>
      <c r="AU139" s="6" t="s">
        <v>18569</v>
      </c>
      <c r="AV139" s="6" t="s">
        <v>81</v>
      </c>
      <c r="AW139" s="6" t="s">
        <v>81</v>
      </c>
      <c r="AX139" s="6" t="s">
        <v>20835</v>
      </c>
      <c r="AY139" s="6" t="s">
        <v>81</v>
      </c>
      <c r="AZ139" s="6" t="s">
        <v>81</v>
      </c>
      <c r="BA139" s="6" t="s">
        <v>81</v>
      </c>
      <c r="BB139" s="24" t="n">
        <v>89</v>
      </c>
      <c r="BC139" s="26"/>
      <c r="BD139" s="26"/>
      <c r="BE139" s="26"/>
      <c r="BF139" s="26"/>
      <c r="BG139" s="26"/>
      <c r="BH139" s="26"/>
      <c r="BI139" s="26"/>
      <c r="BJ139" s="26"/>
      <c r="BK139" s="26"/>
      <c r="BL139" s="26"/>
      <c r="BM139" s="26"/>
      <c r="BN139" s="26"/>
      <c r="BO139" s="26"/>
      <c r="BP139" s="16" t="n">
        <v>45684</v>
      </c>
      <c r="BQ139" s="28" t="str">
        <f>HYPERLINK("https://organic.ams.usda.gov/Integrity/Certificate.aspx?cid=68&amp;nopid=8210001785")</f>
        <v>https://organic.ams.usda.gov/Integrity/Certificate.aspx?cid=68&amp;nopid=8210001785</v>
      </c>
    </row>
    <row r="140">
      <c r="A140" t="s">
        <v>3</v>
      </c>
      <c r="B140" s="6" t="s">
        <v>12</v>
      </c>
      <c r="C140" s="6" t="s">
        <v>59</v>
      </c>
      <c r="D140" s="6" t="s">
        <v>105</v>
      </c>
      <c r="E140" s="10" t="s">
        <v>281</v>
      </c>
      <c r="F140" s="6" t="s">
        <v>3019</v>
      </c>
      <c r="G140" s="6" t="s">
        <v>81</v>
      </c>
      <c r="H140" s="6" t="s">
        <v>6015</v>
      </c>
      <c r="I140" s="6" t="s">
        <v>8470</v>
      </c>
      <c r="J140" s="6" t="s">
        <v>9233</v>
      </c>
      <c r="K140" s="6" t="s">
        <v>10886</v>
      </c>
      <c r="L140" s="16" t="n">
        <v>42383</v>
      </c>
      <c r="M140" s="16" t="n">
        <v>45717</v>
      </c>
      <c r="N140" s="6" t="s">
        <v>81</v>
      </c>
      <c r="O140" s="21" t="s">
        <v>81</v>
      </c>
      <c r="P140" s="6" t="s">
        <v>81</v>
      </c>
      <c r="Q140" s="6" t="s">
        <v>81</v>
      </c>
      <c r="R140" s="6" t="s">
        <v>81</v>
      </c>
      <c r="S140" s="6" t="s">
        <v>81</v>
      </c>
      <c r="T140" s="21" t="s">
        <v>81</v>
      </c>
      <c r="U140" s="6" t="s">
        <v>81</v>
      </c>
      <c r="V140" s="6" t="s">
        <v>81</v>
      </c>
      <c r="W140" s="6" t="s">
        <v>81</v>
      </c>
      <c r="X140" s="6" t="s">
        <v>81</v>
      </c>
      <c r="Y140" s="21" t="s">
        <v>81</v>
      </c>
      <c r="Z140" s="6" t="s">
        <v>81</v>
      </c>
      <c r="AA140" s="6" t="s">
        <v>81</v>
      </c>
      <c r="AB140" s="6" t="s">
        <v>81</v>
      </c>
      <c r="AC140" s="6" t="s">
        <v>10886</v>
      </c>
      <c r="AD140" s="16" t="n">
        <v>42383</v>
      </c>
      <c r="AE140" s="6" t="s">
        <v>14029</v>
      </c>
      <c r="AF140" s="6" t="s">
        <v>81</v>
      </c>
      <c r="AG140" s="6" t="s">
        <v>81</v>
      </c>
      <c r="AH140" s="6" t="s">
        <v>14748</v>
      </c>
      <c r="AI140" s="6" t="s">
        <v>81</v>
      </c>
      <c r="AJ140" s="6" t="s">
        <v>17414</v>
      </c>
      <c r="AK140" s="6" t="s">
        <v>18380</v>
      </c>
      <c r="AL140" s="6" t="s">
        <v>18444</v>
      </c>
      <c r="AM140" s="6" t="s">
        <v>18570</v>
      </c>
      <c r="AN140" s="6" t="s">
        <v>19672</v>
      </c>
      <c r="AO140" s="6" t="s">
        <v>19785</v>
      </c>
      <c r="AP140" s="6" t="s">
        <v>14748</v>
      </c>
      <c r="AQ140" s="6" t="s">
        <v>81</v>
      </c>
      <c r="AR140" s="6" t="s">
        <v>17414</v>
      </c>
      <c r="AS140" s="6" t="s">
        <v>18380</v>
      </c>
      <c r="AT140" s="6" t="s">
        <v>18444</v>
      </c>
      <c r="AU140" s="6" t="s">
        <v>18570</v>
      </c>
      <c r="AV140" s="6" t="s">
        <v>81</v>
      </c>
      <c r="AW140" s="6" t="s">
        <v>81</v>
      </c>
      <c r="AX140" s="6" t="s">
        <v>20836</v>
      </c>
      <c r="AY140" s="6" t="s">
        <v>81</v>
      </c>
      <c r="AZ140" s="6" t="s">
        <v>81</v>
      </c>
      <c r="BA140" s="6" t="s">
        <v>81</v>
      </c>
      <c r="BB140" s="6" t="s">
        <v>81</v>
      </c>
      <c r="BC140" s="26"/>
      <c r="BD140" s="26"/>
      <c r="BE140" s="26"/>
      <c r="BF140" s="26"/>
      <c r="BG140" s="26"/>
      <c r="BH140" s="26"/>
      <c r="BI140" s="26"/>
      <c r="BJ140" s="26"/>
      <c r="BK140" s="26"/>
      <c r="BL140" s="26"/>
      <c r="BM140" s="26"/>
      <c r="BN140" s="26"/>
      <c r="BO140" s="26"/>
      <c r="BP140" s="16" t="n">
        <v>45736</v>
      </c>
      <c r="BQ140" s="28" t="str">
        <f>HYPERLINK("https://organic.ams.usda.gov/Integrity/Certificate.aspx?cid=68&amp;nopid=8210002394")</f>
        <v>https://organic.ams.usda.gov/Integrity/Certificate.aspx?cid=68&amp;nopid=8210002394</v>
      </c>
    </row>
    <row r="141">
      <c r="A141" t="s">
        <v>3</v>
      </c>
      <c r="B141" s="6" t="s">
        <v>12</v>
      </c>
      <c r="C141" s="6" t="s">
        <v>59</v>
      </c>
      <c r="D141" s="6" t="s">
        <v>105</v>
      </c>
      <c r="E141" s="10" t="s">
        <v>282</v>
      </c>
      <c r="F141" s="6" t="s">
        <v>3020</v>
      </c>
      <c r="G141" s="6" t="s">
        <v>81</v>
      </c>
      <c r="H141" s="6" t="s">
        <v>6016</v>
      </c>
      <c r="I141" s="6" t="s">
        <v>8470</v>
      </c>
      <c r="J141" s="6" t="s">
        <v>9671</v>
      </c>
      <c r="K141" s="6" t="s">
        <v>10886</v>
      </c>
      <c r="L141" s="16" t="n">
        <v>42705</v>
      </c>
      <c r="M141" s="16" t="n">
        <v>45717</v>
      </c>
      <c r="N141" s="6" t="s">
        <v>10886</v>
      </c>
      <c r="O141" s="16" t="n">
        <v>42705</v>
      </c>
      <c r="P141" s="6" t="s">
        <v>10990</v>
      </c>
      <c r="Q141" s="6" t="s">
        <v>81</v>
      </c>
      <c r="R141" s="6" t="s">
        <v>81</v>
      </c>
      <c r="S141" s="6" t="s">
        <v>10886</v>
      </c>
      <c r="T141" s="16" t="n">
        <v>42705</v>
      </c>
      <c r="U141" s="6" t="s">
        <v>13171</v>
      </c>
      <c r="V141" s="6" t="s">
        <v>81</v>
      </c>
      <c r="W141" s="6" t="s">
        <v>81</v>
      </c>
      <c r="X141" s="6" t="s">
        <v>81</v>
      </c>
      <c r="Y141" s="21" t="s">
        <v>81</v>
      </c>
      <c r="Z141" s="6" t="s">
        <v>81</v>
      </c>
      <c r="AA141" s="6" t="s">
        <v>81</v>
      </c>
      <c r="AB141" s="6" t="s">
        <v>81</v>
      </c>
      <c r="AC141" s="6" t="s">
        <v>81</v>
      </c>
      <c r="AD141" s="21" t="s">
        <v>81</v>
      </c>
      <c r="AE141" s="6" t="s">
        <v>81</v>
      </c>
      <c r="AF141" s="6" t="s">
        <v>81</v>
      </c>
      <c r="AG141" s="6" t="s">
        <v>81</v>
      </c>
      <c r="AH141" s="6" t="s">
        <v>14749</v>
      </c>
      <c r="AI141" s="6" t="s">
        <v>81</v>
      </c>
      <c r="AJ141" s="6" t="s">
        <v>17415</v>
      </c>
      <c r="AK141" s="6" t="s">
        <v>18380</v>
      </c>
      <c r="AL141" s="6" t="s">
        <v>18444</v>
      </c>
      <c r="AM141" s="6" t="s">
        <v>18571</v>
      </c>
      <c r="AN141" s="6" t="s">
        <v>19639</v>
      </c>
      <c r="AO141" s="6" t="s">
        <v>19725</v>
      </c>
      <c r="AP141" s="6" t="s">
        <v>14749</v>
      </c>
      <c r="AQ141" s="6" t="s">
        <v>81</v>
      </c>
      <c r="AR141" s="6" t="s">
        <v>17415</v>
      </c>
      <c r="AS141" s="6" t="s">
        <v>18380</v>
      </c>
      <c r="AT141" s="6" t="s">
        <v>18444</v>
      </c>
      <c r="AU141" s="6" t="s">
        <v>18571</v>
      </c>
      <c r="AV141" s="6" t="s">
        <v>81</v>
      </c>
      <c r="AW141" s="6" t="s">
        <v>81</v>
      </c>
      <c r="AX141" s="6" t="s">
        <v>20837</v>
      </c>
      <c r="AY141" s="6" t="s">
        <v>81</v>
      </c>
      <c r="AZ141" s="6" t="s">
        <v>81</v>
      </c>
      <c r="BA141" s="6" t="s">
        <v>81</v>
      </c>
      <c r="BB141" s="24" t="n">
        <v>44</v>
      </c>
      <c r="BC141" s="26"/>
      <c r="BD141" s="26"/>
      <c r="BE141" s="26"/>
      <c r="BF141" s="26"/>
      <c r="BG141" s="26"/>
      <c r="BH141" s="26"/>
      <c r="BI141" s="26"/>
      <c r="BJ141" s="26"/>
      <c r="BK141" s="26"/>
      <c r="BL141" s="26"/>
      <c r="BM141" s="26"/>
      <c r="BN141" s="26"/>
      <c r="BO141" s="26"/>
      <c r="BP141" s="16" t="n">
        <v>45684</v>
      </c>
      <c r="BQ141" s="28" t="str">
        <f>HYPERLINK("https://organic.ams.usda.gov/Integrity/Certificate.aspx?cid=68&amp;nopid=8210002399")</f>
        <v>https://organic.ams.usda.gov/Integrity/Certificate.aspx?cid=68&amp;nopid=8210002399</v>
      </c>
    </row>
    <row r="142">
      <c r="A142" t="s">
        <v>3</v>
      </c>
      <c r="B142" s="6" t="s">
        <v>7</v>
      </c>
      <c r="C142" s="6" t="s">
        <v>54</v>
      </c>
      <c r="D142" s="6" t="s">
        <v>100</v>
      </c>
      <c r="E142" s="10" t="s">
        <v>283</v>
      </c>
      <c r="F142" s="6" t="s">
        <v>3021</v>
      </c>
      <c r="G142" s="6" t="s">
        <v>81</v>
      </c>
      <c r="H142" s="6" t="s">
        <v>6017</v>
      </c>
      <c r="I142" s="6" t="s">
        <v>8461</v>
      </c>
      <c r="J142" s="6" t="s">
        <v>9697</v>
      </c>
      <c r="K142" s="6" t="s">
        <v>10886</v>
      </c>
      <c r="L142" s="16" t="n">
        <v>43738</v>
      </c>
      <c r="M142" s="16" t="n">
        <v>45716</v>
      </c>
      <c r="N142" s="6" t="s">
        <v>10886</v>
      </c>
      <c r="O142" s="16" t="n">
        <v>43738</v>
      </c>
      <c r="P142" s="6" t="s">
        <v>10991</v>
      </c>
      <c r="Q142" s="6" t="s">
        <v>81</v>
      </c>
      <c r="R142" s="6" t="s">
        <v>81</v>
      </c>
      <c r="S142" s="6" t="s">
        <v>10886</v>
      </c>
      <c r="T142" s="16" t="n">
        <v>43738</v>
      </c>
      <c r="U142" s="6" t="s">
        <v>13160</v>
      </c>
      <c r="V142" s="6" t="s">
        <v>81</v>
      </c>
      <c r="W142" s="6" t="s">
        <v>81</v>
      </c>
      <c r="X142" s="6" t="s">
        <v>81</v>
      </c>
      <c r="Y142" s="21" t="s">
        <v>81</v>
      </c>
      <c r="Z142" s="6" t="s">
        <v>81</v>
      </c>
      <c r="AA142" s="6" t="s">
        <v>81</v>
      </c>
      <c r="AB142" s="6" t="s">
        <v>81</v>
      </c>
      <c r="AC142" s="6" t="s">
        <v>81</v>
      </c>
      <c r="AD142" s="21" t="s">
        <v>81</v>
      </c>
      <c r="AE142" s="6" t="s">
        <v>81</v>
      </c>
      <c r="AF142" s="6" t="s">
        <v>81</v>
      </c>
      <c r="AG142" s="6" t="s">
        <v>81</v>
      </c>
      <c r="AH142" s="6" t="s">
        <v>14750</v>
      </c>
      <c r="AI142" s="6" t="s">
        <v>81</v>
      </c>
      <c r="AJ142" s="6" t="s">
        <v>17416</v>
      </c>
      <c r="AK142" s="6" t="s">
        <v>17712</v>
      </c>
      <c r="AL142" s="6" t="s">
        <v>18444</v>
      </c>
      <c r="AM142" s="6" t="s">
        <v>18572</v>
      </c>
      <c r="AN142" s="6" t="s">
        <v>19646</v>
      </c>
      <c r="AO142" s="6" t="s">
        <v>19729</v>
      </c>
      <c r="AP142" s="6" t="s">
        <v>14750</v>
      </c>
      <c r="AQ142" s="6" t="s">
        <v>81</v>
      </c>
      <c r="AR142" s="6" t="s">
        <v>17416</v>
      </c>
      <c r="AS142" s="6" t="s">
        <v>17712</v>
      </c>
      <c r="AT142" s="6" t="s">
        <v>18444</v>
      </c>
      <c r="AU142" s="6" t="s">
        <v>18572</v>
      </c>
      <c r="AV142" s="6" t="s">
        <v>81</v>
      </c>
      <c r="AW142" s="6" t="s">
        <v>81</v>
      </c>
      <c r="AX142" s="6" t="s">
        <v>81</v>
      </c>
      <c r="AY142" s="6" t="s">
        <v>81</v>
      </c>
      <c r="AZ142" s="6" t="s">
        <v>81</v>
      </c>
      <c r="BA142" s="6" t="s">
        <v>81</v>
      </c>
      <c r="BB142" s="24" t="n">
        <v>193</v>
      </c>
      <c r="BC142" s="26"/>
      <c r="BD142" s="26"/>
      <c r="BE142" s="26"/>
      <c r="BF142" s="26" t="s">
        <v>23900</v>
      </c>
      <c r="BG142" s="26"/>
      <c r="BH142" s="26"/>
      <c r="BI142" s="26"/>
      <c r="BJ142" s="26"/>
      <c r="BK142" s="26"/>
      <c r="BL142" s="26"/>
      <c r="BM142" s="26"/>
      <c r="BN142" s="26"/>
      <c r="BO142" s="26"/>
      <c r="BP142" s="16" t="n">
        <v>45611</v>
      </c>
      <c r="BQ142" s="28" t="str">
        <f>HYPERLINK("https://organic.ams.usda.gov/Integrity/Certificate.aspx?cid=57&amp;nopid=3252019076")</f>
        <v>https://organic.ams.usda.gov/Integrity/Certificate.aspx?cid=57&amp;nopid=3252019076</v>
      </c>
    </row>
    <row r="143">
      <c r="A143" t="s">
        <v>3</v>
      </c>
      <c r="B143" s="6" t="s">
        <v>9</v>
      </c>
      <c r="C143" s="6" t="s">
        <v>56</v>
      </c>
      <c r="D143" s="6" t="s">
        <v>102</v>
      </c>
      <c r="E143" s="10" t="s">
        <v>284</v>
      </c>
      <c r="F143" s="6" t="s">
        <v>3022</v>
      </c>
      <c r="G143" s="6" t="s">
        <v>81</v>
      </c>
      <c r="H143" s="6" t="s">
        <v>6018</v>
      </c>
      <c r="I143" s="6" t="s">
        <v>8461</v>
      </c>
      <c r="J143" s="6" t="s">
        <v>9744</v>
      </c>
      <c r="K143" s="6" t="s">
        <v>10886</v>
      </c>
      <c r="L143" s="16" t="n">
        <v>43026</v>
      </c>
      <c r="M143" s="16" t="n">
        <v>46113</v>
      </c>
      <c r="N143" s="6" t="s">
        <v>10886</v>
      </c>
      <c r="O143" s="16" t="n">
        <v>43026</v>
      </c>
      <c r="P143" s="6" t="s">
        <v>10992</v>
      </c>
      <c r="Q143" s="6" t="s">
        <v>81</v>
      </c>
      <c r="R143" s="6" t="s">
        <v>12466</v>
      </c>
      <c r="S143" s="6" t="s">
        <v>10886</v>
      </c>
      <c r="T143" s="16" t="n">
        <v>43026</v>
      </c>
      <c r="U143" s="6" t="s">
        <v>13168</v>
      </c>
      <c r="V143" s="6" t="s">
        <v>81</v>
      </c>
      <c r="W143" s="6" t="s">
        <v>12466</v>
      </c>
      <c r="X143" s="6" t="s">
        <v>81</v>
      </c>
      <c r="Y143" s="21" t="s">
        <v>81</v>
      </c>
      <c r="Z143" s="6" t="s">
        <v>81</v>
      </c>
      <c r="AA143" s="6" t="s">
        <v>81</v>
      </c>
      <c r="AB143" s="6" t="s">
        <v>81</v>
      </c>
      <c r="AC143" s="6" t="s">
        <v>81</v>
      </c>
      <c r="AD143" s="21" t="s">
        <v>81</v>
      </c>
      <c r="AE143" s="6" t="s">
        <v>81</v>
      </c>
      <c r="AF143" s="6" t="s">
        <v>81</v>
      </c>
      <c r="AG143" s="6" t="s">
        <v>81</v>
      </c>
      <c r="AH143" s="6" t="s">
        <v>14751</v>
      </c>
      <c r="AI143" s="6" t="s">
        <v>81</v>
      </c>
      <c r="AJ143" s="6" t="s">
        <v>10457</v>
      </c>
      <c r="AK143" s="6" t="s">
        <v>18378</v>
      </c>
      <c r="AL143" s="6" t="s">
        <v>18444</v>
      </c>
      <c r="AM143" s="6" t="s">
        <v>18573</v>
      </c>
      <c r="AN143" s="6" t="s">
        <v>19673</v>
      </c>
      <c r="AO143" s="6" t="s">
        <v>19786</v>
      </c>
      <c r="AP143" s="6" t="s">
        <v>81</v>
      </c>
      <c r="AQ143" s="6" t="s">
        <v>81</v>
      </c>
      <c r="AR143" s="6" t="s">
        <v>81</v>
      </c>
      <c r="AS143" s="6" t="s">
        <v>81</v>
      </c>
      <c r="AT143" s="6" t="s">
        <v>81</v>
      </c>
      <c r="AU143" s="6" t="s">
        <v>81</v>
      </c>
      <c r="AV143" s="6" t="s">
        <v>81</v>
      </c>
      <c r="AW143" s="6" t="s">
        <v>81</v>
      </c>
      <c r="AX143" s="6" t="s">
        <v>81</v>
      </c>
      <c r="AY143" s="6" t="s">
        <v>81</v>
      </c>
      <c r="AZ143" s="6" t="s">
        <v>81</v>
      </c>
      <c r="BA143" s="6" t="s">
        <v>81</v>
      </c>
      <c r="BB143" s="24" t="n">
        <v>151</v>
      </c>
      <c r="BC143" s="26"/>
      <c r="BD143" s="26"/>
      <c r="BE143" s="26"/>
      <c r="BF143" s="26"/>
      <c r="BG143" s="26"/>
      <c r="BH143" s="26"/>
      <c r="BI143" s="26"/>
      <c r="BJ143" s="26"/>
      <c r="BK143" s="26"/>
      <c r="BL143" s="26"/>
      <c r="BM143" s="26"/>
      <c r="BN143" s="26"/>
      <c r="BO143" s="26"/>
      <c r="BP143" s="16" t="n">
        <v>45738</v>
      </c>
      <c r="BQ143" s="28" t="str">
        <f>HYPERLINK("https://organic.ams.usda.gov/Integrity/Certificate.aspx?cid=52&amp;nopid=8431701351")</f>
        <v>https://organic.ams.usda.gov/Integrity/Certificate.aspx?cid=52&amp;nopid=8431701351</v>
      </c>
    </row>
    <row r="144">
      <c r="A144" t="s">
        <v>3</v>
      </c>
      <c r="B144" s="6" t="s">
        <v>12</v>
      </c>
      <c r="C144" s="6" t="s">
        <v>59</v>
      </c>
      <c r="D144" s="6" t="s">
        <v>105</v>
      </c>
      <c r="E144" s="10" t="s">
        <v>285</v>
      </c>
      <c r="F144" s="6" t="s">
        <v>3023</v>
      </c>
      <c r="G144" s="6" t="s">
        <v>5604</v>
      </c>
      <c r="H144" s="6" t="s">
        <v>6019</v>
      </c>
      <c r="I144" s="6" t="s">
        <v>8471</v>
      </c>
      <c r="J144" s="6" t="s">
        <v>9679</v>
      </c>
      <c r="K144" s="6" t="s">
        <v>10886</v>
      </c>
      <c r="L144" s="16" t="n">
        <v>39347</v>
      </c>
      <c r="M144" s="16" t="n">
        <v>45717</v>
      </c>
      <c r="N144" s="6" t="s">
        <v>10886</v>
      </c>
      <c r="O144" s="16" t="n">
        <v>39347</v>
      </c>
      <c r="P144" s="6" t="s">
        <v>10993</v>
      </c>
      <c r="Q144" s="6" t="s">
        <v>81</v>
      </c>
      <c r="R144" s="6" t="s">
        <v>81</v>
      </c>
      <c r="S144" s="6" t="s">
        <v>10886</v>
      </c>
      <c r="T144" s="16" t="n">
        <v>39347</v>
      </c>
      <c r="U144" s="6" t="s">
        <v>13183</v>
      </c>
      <c r="V144" s="6" t="s">
        <v>81</v>
      </c>
      <c r="W144" s="6" t="s">
        <v>81</v>
      </c>
      <c r="X144" s="6" t="s">
        <v>81</v>
      </c>
      <c r="Y144" s="21" t="s">
        <v>81</v>
      </c>
      <c r="Z144" s="6" t="s">
        <v>81</v>
      </c>
      <c r="AA144" s="6" t="s">
        <v>81</v>
      </c>
      <c r="AB144" s="6" t="s">
        <v>81</v>
      </c>
      <c r="AC144" s="6" t="s">
        <v>81</v>
      </c>
      <c r="AD144" s="21" t="s">
        <v>81</v>
      </c>
      <c r="AE144" s="6" t="s">
        <v>81</v>
      </c>
      <c r="AF144" s="6" t="s">
        <v>81</v>
      </c>
      <c r="AG144" s="6" t="s">
        <v>81</v>
      </c>
      <c r="AH144" s="6" t="s">
        <v>14752</v>
      </c>
      <c r="AI144" s="6" t="s">
        <v>81</v>
      </c>
      <c r="AJ144" s="6" t="s">
        <v>17341</v>
      </c>
      <c r="AK144" s="6" t="s">
        <v>17712</v>
      </c>
      <c r="AL144" s="6" t="s">
        <v>18444</v>
      </c>
      <c r="AM144" s="6" t="s">
        <v>18495</v>
      </c>
      <c r="AN144" s="6" t="s">
        <v>7195</v>
      </c>
      <c r="AO144" s="6" t="s">
        <v>19735</v>
      </c>
      <c r="AP144" s="6" t="s">
        <v>14752</v>
      </c>
      <c r="AQ144" s="6" t="s">
        <v>81</v>
      </c>
      <c r="AR144" s="6" t="s">
        <v>17341</v>
      </c>
      <c r="AS144" s="6" t="s">
        <v>17712</v>
      </c>
      <c r="AT144" s="6" t="s">
        <v>18444</v>
      </c>
      <c r="AU144" s="6" t="s">
        <v>18495</v>
      </c>
      <c r="AV144" s="6" t="s">
        <v>81</v>
      </c>
      <c r="AW144" s="6" t="s">
        <v>81</v>
      </c>
      <c r="AX144" s="6" t="s">
        <v>20838</v>
      </c>
      <c r="AY144" s="6" t="s">
        <v>81</v>
      </c>
      <c r="AZ144" s="6" t="s">
        <v>81</v>
      </c>
      <c r="BA144" s="6" t="s">
        <v>81</v>
      </c>
      <c r="BB144" s="24" t="n">
        <v>182</v>
      </c>
      <c r="BC144" s="26"/>
      <c r="BD144" s="26"/>
      <c r="BE144" s="26"/>
      <c r="BF144" s="26"/>
      <c r="BG144" s="26"/>
      <c r="BH144" s="26"/>
      <c r="BI144" s="26"/>
      <c r="BJ144" s="26"/>
      <c r="BK144" s="26"/>
      <c r="BL144" s="26"/>
      <c r="BM144" s="26"/>
      <c r="BN144" s="26"/>
      <c r="BO144" s="26"/>
      <c r="BP144" s="16" t="n">
        <v>45684</v>
      </c>
      <c r="BQ144" s="28" t="str">
        <f>HYPERLINK("https://organic.ams.usda.gov/Integrity/Certificate.aspx?cid=68&amp;nopid=8210002553")</f>
        <v>https://organic.ams.usda.gov/Integrity/Certificate.aspx?cid=68&amp;nopid=8210002553</v>
      </c>
    </row>
    <row r="145">
      <c r="A145" t="s">
        <v>3</v>
      </c>
      <c r="B145" s="6" t="s">
        <v>30</v>
      </c>
      <c r="C145" s="6" t="s">
        <v>77</v>
      </c>
      <c r="D145" s="6" t="s">
        <v>123</v>
      </c>
      <c r="E145" s="10" t="s">
        <v>286</v>
      </c>
      <c r="F145" s="6" t="s">
        <v>3024</v>
      </c>
      <c r="G145" s="6" t="s">
        <v>81</v>
      </c>
      <c r="H145" s="6" t="s">
        <v>6020</v>
      </c>
      <c r="I145" s="6" t="s">
        <v>8461</v>
      </c>
      <c r="J145" s="6" t="s">
        <v>9677</v>
      </c>
      <c r="K145" s="6" t="s">
        <v>10886</v>
      </c>
      <c r="L145" s="16" t="n">
        <v>45611</v>
      </c>
      <c r="M145" s="16" t="n">
        <v>45747</v>
      </c>
      <c r="N145" s="6" t="s">
        <v>10886</v>
      </c>
      <c r="O145" s="16" t="n">
        <v>45611</v>
      </c>
      <c r="P145" s="6" t="s">
        <v>10994</v>
      </c>
      <c r="Q145" s="6" t="s">
        <v>81</v>
      </c>
      <c r="R145" s="6" t="s">
        <v>81</v>
      </c>
      <c r="S145" s="6" t="s">
        <v>10886</v>
      </c>
      <c r="T145" s="16" t="n">
        <v>45611</v>
      </c>
      <c r="U145" s="6" t="s">
        <v>13218</v>
      </c>
      <c r="V145" s="6" t="s">
        <v>81</v>
      </c>
      <c r="W145" s="6" t="s">
        <v>81</v>
      </c>
      <c r="X145" s="6" t="s">
        <v>81</v>
      </c>
      <c r="Y145" s="21" t="s">
        <v>81</v>
      </c>
      <c r="Z145" s="6" t="s">
        <v>81</v>
      </c>
      <c r="AA145" s="6" t="s">
        <v>81</v>
      </c>
      <c r="AB145" s="6" t="s">
        <v>81</v>
      </c>
      <c r="AC145" s="6" t="s">
        <v>81</v>
      </c>
      <c r="AD145" s="21" t="s">
        <v>81</v>
      </c>
      <c r="AE145" s="6" t="s">
        <v>81</v>
      </c>
      <c r="AF145" s="6" t="s">
        <v>81</v>
      </c>
      <c r="AG145" s="6" t="s">
        <v>81</v>
      </c>
      <c r="AH145" s="6" t="s">
        <v>14753</v>
      </c>
      <c r="AI145" s="6" t="s">
        <v>81</v>
      </c>
      <c r="AJ145" s="6" t="s">
        <v>17417</v>
      </c>
      <c r="AK145" s="6" t="s">
        <v>18380</v>
      </c>
      <c r="AL145" s="6" t="s">
        <v>18444</v>
      </c>
      <c r="AM145" s="6" t="s">
        <v>18574</v>
      </c>
      <c r="AN145" s="6" t="s">
        <v>81</v>
      </c>
      <c r="AO145" s="6" t="s">
        <v>81</v>
      </c>
      <c r="AP145" s="6" t="s">
        <v>14753</v>
      </c>
      <c r="AQ145" s="6" t="s">
        <v>81</v>
      </c>
      <c r="AR145" s="6" t="s">
        <v>17417</v>
      </c>
      <c r="AS145" s="6" t="s">
        <v>18380</v>
      </c>
      <c r="AT145" s="6" t="s">
        <v>18444</v>
      </c>
      <c r="AU145" s="6" t="s">
        <v>18574</v>
      </c>
      <c r="AV145" s="6" t="s">
        <v>81</v>
      </c>
      <c r="AW145" s="6" t="s">
        <v>81</v>
      </c>
      <c r="AX145" s="6" t="s">
        <v>20839</v>
      </c>
      <c r="AY145" s="6" t="s">
        <v>81</v>
      </c>
      <c r="AZ145" s="6" t="s">
        <v>81</v>
      </c>
      <c r="BA145" s="6" t="s">
        <v>81</v>
      </c>
      <c r="BB145" s="24" t="n">
        <v>50</v>
      </c>
      <c r="BC145" s="26"/>
      <c r="BD145" s="26"/>
      <c r="BE145" s="26"/>
      <c r="BF145" s="26"/>
      <c r="BG145" s="26"/>
      <c r="BH145" s="26"/>
      <c r="BI145" s="26"/>
      <c r="BJ145" s="26"/>
      <c r="BK145" s="26"/>
      <c r="BL145" s="26"/>
      <c r="BM145" s="26"/>
      <c r="BN145" s="26"/>
      <c r="BO145" s="26"/>
      <c r="BP145" s="16" t="n">
        <v>45611</v>
      </c>
      <c r="BQ145" s="28" t="str">
        <f>HYPERLINK("https://organic.ams.usda.gov/Integrity/Certificate.aspx?cid=70&amp;nopid=6431242083")</f>
        <v>https://organic.ams.usda.gov/Integrity/Certificate.aspx?cid=70&amp;nopid=6431242083</v>
      </c>
    </row>
    <row r="146">
      <c r="A146" t="s">
        <v>3</v>
      </c>
      <c r="B146" s="6" t="s">
        <v>10</v>
      </c>
      <c r="C146" s="6" t="s">
        <v>57</v>
      </c>
      <c r="D146" s="6" t="s">
        <v>103</v>
      </c>
      <c r="E146" s="10" t="s">
        <v>287</v>
      </c>
      <c r="F146" s="6" t="s">
        <v>3025</v>
      </c>
      <c r="G146" s="6" t="s">
        <v>81</v>
      </c>
      <c r="H146" s="6" t="s">
        <v>6021</v>
      </c>
      <c r="I146" s="6" t="s">
        <v>8472</v>
      </c>
      <c r="J146" s="6" t="s">
        <v>9671</v>
      </c>
      <c r="K146" s="6" t="s">
        <v>10886</v>
      </c>
      <c r="L146" s="16" t="n">
        <v>45166</v>
      </c>
      <c r="M146" s="16" t="n">
        <v>45748</v>
      </c>
      <c r="N146" s="6" t="s">
        <v>10886</v>
      </c>
      <c r="O146" s="16" t="n">
        <v>45166</v>
      </c>
      <c r="P146" s="6" t="s">
        <v>10910</v>
      </c>
      <c r="Q146" s="6" t="s">
        <v>81</v>
      </c>
      <c r="R146" s="6" t="s">
        <v>12467</v>
      </c>
      <c r="S146" s="6" t="s">
        <v>10886</v>
      </c>
      <c r="T146" s="16" t="n">
        <v>45166</v>
      </c>
      <c r="U146" s="6" t="s">
        <v>13163</v>
      </c>
      <c r="V146" s="6" t="s">
        <v>81</v>
      </c>
      <c r="W146" s="6" t="s">
        <v>81</v>
      </c>
      <c r="X146" s="6" t="s">
        <v>81</v>
      </c>
      <c r="Y146" s="21" t="s">
        <v>81</v>
      </c>
      <c r="Z146" s="6" t="s">
        <v>81</v>
      </c>
      <c r="AA146" s="6" t="s">
        <v>81</v>
      </c>
      <c r="AB146" s="6" t="s">
        <v>81</v>
      </c>
      <c r="AC146" s="6" t="s">
        <v>81</v>
      </c>
      <c r="AD146" s="21" t="s">
        <v>81</v>
      </c>
      <c r="AE146" s="6" t="s">
        <v>81</v>
      </c>
      <c r="AF146" s="6" t="s">
        <v>81</v>
      </c>
      <c r="AG146" s="6" t="s">
        <v>81</v>
      </c>
      <c r="AH146" s="6" t="s">
        <v>14754</v>
      </c>
      <c r="AI146" s="6" t="s">
        <v>81</v>
      </c>
      <c r="AJ146" s="6" t="s">
        <v>17418</v>
      </c>
      <c r="AK146" s="6" t="s">
        <v>18379</v>
      </c>
      <c r="AL146" s="6" t="s">
        <v>18444</v>
      </c>
      <c r="AM146" s="6" t="s">
        <v>18575</v>
      </c>
      <c r="AN146" s="6" t="s">
        <v>19671</v>
      </c>
      <c r="AO146" s="6" t="s">
        <v>19784</v>
      </c>
      <c r="AP146" s="6" t="s">
        <v>14754</v>
      </c>
      <c r="AQ146" s="6" t="s">
        <v>81</v>
      </c>
      <c r="AR146" s="6" t="s">
        <v>17418</v>
      </c>
      <c r="AS146" s="6" t="s">
        <v>18379</v>
      </c>
      <c r="AT146" s="6" t="s">
        <v>18444</v>
      </c>
      <c r="AU146" s="6" t="s">
        <v>18575</v>
      </c>
      <c r="AV146" s="6" t="s">
        <v>81</v>
      </c>
      <c r="AW146" s="6" t="s">
        <v>81</v>
      </c>
      <c r="AX146" s="6" t="s">
        <v>20840</v>
      </c>
      <c r="AY146" s="6" t="s">
        <v>81</v>
      </c>
      <c r="AZ146" s="6" t="s">
        <v>81</v>
      </c>
      <c r="BA146" s="6" t="s">
        <v>81</v>
      </c>
      <c r="BB146" s="24" t="n">
        <v>133</v>
      </c>
      <c r="BC146" s="26"/>
      <c r="BD146" s="26"/>
      <c r="BE146" s="26"/>
      <c r="BF146" s="26"/>
      <c r="BG146" s="26"/>
      <c r="BH146" s="26"/>
      <c r="BI146" s="26"/>
      <c r="BJ146" s="26"/>
      <c r="BK146" s="26"/>
      <c r="BL146" s="26"/>
      <c r="BM146" s="26"/>
      <c r="BN146" s="26"/>
      <c r="BO146" s="26"/>
      <c r="BP146" s="16" t="n">
        <v>45730</v>
      </c>
      <c r="BQ146" s="28" t="str">
        <f>HYPERLINK("https://organic.ams.usda.gov/Integrity/Certificate.aspx?cid=90&amp;nopid=7170230693")</f>
        <v>https://organic.ams.usda.gov/Integrity/Certificate.aspx?cid=90&amp;nopid=7170230693</v>
      </c>
    </row>
    <row r="147">
      <c r="A147" t="s">
        <v>3</v>
      </c>
      <c r="B147" s="6" t="s">
        <v>12</v>
      </c>
      <c r="C147" s="6" t="s">
        <v>59</v>
      </c>
      <c r="D147" s="6" t="s">
        <v>105</v>
      </c>
      <c r="E147" s="10" t="s">
        <v>288</v>
      </c>
      <c r="F147" s="6" t="s">
        <v>3026</v>
      </c>
      <c r="G147" s="6" t="s">
        <v>81</v>
      </c>
      <c r="H147" s="6" t="s">
        <v>81</v>
      </c>
      <c r="I147" s="6" t="s">
        <v>8473</v>
      </c>
      <c r="J147" s="6" t="s">
        <v>9745</v>
      </c>
      <c r="K147" s="6" t="s">
        <v>10886</v>
      </c>
      <c r="L147" s="16" t="n">
        <v>39939</v>
      </c>
      <c r="M147" s="16" t="n">
        <v>44621</v>
      </c>
      <c r="N147" s="6" t="s">
        <v>10886</v>
      </c>
      <c r="O147" s="16" t="n">
        <v>39939</v>
      </c>
      <c r="P147" s="6" t="s">
        <v>10995</v>
      </c>
      <c r="Q147" s="6" t="s">
        <v>81</v>
      </c>
      <c r="R147" s="6" t="s">
        <v>81</v>
      </c>
      <c r="S147" s="6" t="s">
        <v>10886</v>
      </c>
      <c r="T147" s="16" t="n">
        <v>39939</v>
      </c>
      <c r="U147" s="6" t="s">
        <v>13219</v>
      </c>
      <c r="V147" s="6" t="s">
        <v>81</v>
      </c>
      <c r="W147" s="6" t="s">
        <v>81</v>
      </c>
      <c r="X147" s="6" t="s">
        <v>81</v>
      </c>
      <c r="Y147" s="21" t="s">
        <v>81</v>
      </c>
      <c r="Z147" s="6" t="s">
        <v>81</v>
      </c>
      <c r="AA147" s="6" t="s">
        <v>81</v>
      </c>
      <c r="AB147" s="6" t="s">
        <v>81</v>
      </c>
      <c r="AC147" s="6" t="s">
        <v>81</v>
      </c>
      <c r="AD147" s="21" t="s">
        <v>81</v>
      </c>
      <c r="AE147" s="6" t="s">
        <v>81</v>
      </c>
      <c r="AF147" s="6" t="s">
        <v>81</v>
      </c>
      <c r="AG147" s="6" t="s">
        <v>81</v>
      </c>
      <c r="AH147" s="6" t="s">
        <v>81</v>
      </c>
      <c r="AI147" s="6" t="s">
        <v>81</v>
      </c>
      <c r="AJ147" s="6" t="s">
        <v>81</v>
      </c>
      <c r="AK147" s="6" t="s">
        <v>81</v>
      </c>
      <c r="AL147" s="6" t="s">
        <v>81</v>
      </c>
      <c r="AM147" s="6" t="s">
        <v>81</v>
      </c>
      <c r="AN147" s="6" t="s">
        <v>81</v>
      </c>
      <c r="AO147" s="6" t="s">
        <v>81</v>
      </c>
      <c r="AP147" s="6" t="s">
        <v>20101</v>
      </c>
      <c r="AQ147" s="6" t="s">
        <v>81</v>
      </c>
      <c r="AR147" s="6" t="s">
        <v>17670</v>
      </c>
      <c r="AS147" s="6" t="s">
        <v>18380</v>
      </c>
      <c r="AT147" s="6" t="s">
        <v>18444</v>
      </c>
      <c r="AU147" s="6" t="s">
        <v>18837</v>
      </c>
      <c r="AV147" s="6" t="s">
        <v>19686</v>
      </c>
      <c r="AW147" s="6" t="s">
        <v>19817</v>
      </c>
      <c r="AX147" s="6" t="s">
        <v>81</v>
      </c>
      <c r="AY147" s="6" t="s">
        <v>81</v>
      </c>
      <c r="AZ147" s="6" t="s">
        <v>81</v>
      </c>
      <c r="BA147" s="6" t="s">
        <v>81</v>
      </c>
      <c r="BB147" s="6" t="s">
        <v>81</v>
      </c>
      <c r="BC147" s="26"/>
      <c r="BD147" s="26"/>
      <c r="BE147" s="26"/>
      <c r="BF147" s="26"/>
      <c r="BG147" s="26"/>
      <c r="BH147" s="26"/>
      <c r="BI147" s="26"/>
      <c r="BJ147" s="26"/>
      <c r="BK147" s="26"/>
      <c r="BL147" s="26"/>
      <c r="BM147" s="26"/>
      <c r="BN147" s="26"/>
      <c r="BO147" s="26"/>
      <c r="BP147" s="16" t="n">
        <v>44561</v>
      </c>
      <c r="BQ147" s="28" t="str">
        <f>HYPERLINK("https://organic.ams.usda.gov/Integrity/Certificate.aspx?cid=68&amp;nopid=8210002403")</f>
        <v>https://organic.ams.usda.gov/Integrity/Certificate.aspx?cid=68&amp;nopid=8210002403</v>
      </c>
    </row>
    <row r="148">
      <c r="A148" t="s">
        <v>3</v>
      </c>
      <c r="B148" s="6" t="s">
        <v>25</v>
      </c>
      <c r="C148" s="6" t="s">
        <v>72</v>
      </c>
      <c r="D148" s="6" t="s">
        <v>118</v>
      </c>
      <c r="E148" s="10" t="s">
        <v>289</v>
      </c>
      <c r="F148" s="6" t="s">
        <v>3027</v>
      </c>
      <c r="G148" s="6" t="s">
        <v>81</v>
      </c>
      <c r="H148" s="6" t="s">
        <v>6022</v>
      </c>
      <c r="I148" s="6" t="s">
        <v>8474</v>
      </c>
      <c r="J148" s="6" t="s">
        <v>9746</v>
      </c>
      <c r="K148" s="6" t="s">
        <v>10886</v>
      </c>
      <c r="L148" s="16" t="n">
        <v>45722</v>
      </c>
      <c r="M148" s="16" t="n">
        <v>46023</v>
      </c>
      <c r="N148" s="6" t="s">
        <v>81</v>
      </c>
      <c r="O148" s="21" t="s">
        <v>81</v>
      </c>
      <c r="P148" s="6" t="s">
        <v>81</v>
      </c>
      <c r="Q148" s="6" t="s">
        <v>81</v>
      </c>
      <c r="R148" s="6" t="s">
        <v>81</v>
      </c>
      <c r="S148" s="6" t="s">
        <v>81</v>
      </c>
      <c r="T148" s="21" t="s">
        <v>81</v>
      </c>
      <c r="U148" s="6" t="s">
        <v>81</v>
      </c>
      <c r="V148" s="6" t="s">
        <v>81</v>
      </c>
      <c r="W148" s="6" t="s">
        <v>81</v>
      </c>
      <c r="X148" s="6" t="s">
        <v>81</v>
      </c>
      <c r="Y148" s="21" t="s">
        <v>81</v>
      </c>
      <c r="Z148" s="6" t="s">
        <v>81</v>
      </c>
      <c r="AA148" s="6" t="s">
        <v>81</v>
      </c>
      <c r="AB148" s="6" t="s">
        <v>81</v>
      </c>
      <c r="AC148" s="6" t="s">
        <v>10886</v>
      </c>
      <c r="AD148" s="16" t="n">
        <v>45722</v>
      </c>
      <c r="AE148" s="6" t="s">
        <v>14030</v>
      </c>
      <c r="AF148" s="6" t="s">
        <v>81</v>
      </c>
      <c r="AG148" s="6" t="s">
        <v>81</v>
      </c>
      <c r="AH148" s="6" t="s">
        <v>14755</v>
      </c>
      <c r="AI148" s="6" t="s">
        <v>17275</v>
      </c>
      <c r="AJ148" s="6" t="s">
        <v>17419</v>
      </c>
      <c r="AK148" s="6" t="s">
        <v>18392</v>
      </c>
      <c r="AL148" s="6" t="s">
        <v>18444</v>
      </c>
      <c r="AM148" s="6" t="s">
        <v>18576</v>
      </c>
      <c r="AN148" s="6" t="s">
        <v>81</v>
      </c>
      <c r="AO148" s="6" t="s">
        <v>81</v>
      </c>
      <c r="AP148" s="6" t="s">
        <v>14755</v>
      </c>
      <c r="AQ148" s="6" t="s">
        <v>17275</v>
      </c>
      <c r="AR148" s="6" t="s">
        <v>17419</v>
      </c>
      <c r="AS148" s="6" t="s">
        <v>18392</v>
      </c>
      <c r="AT148" s="6" t="s">
        <v>18444</v>
      </c>
      <c r="AU148" s="6" t="s">
        <v>18576</v>
      </c>
      <c r="AV148" s="6" t="s">
        <v>81</v>
      </c>
      <c r="AW148" s="6" t="s">
        <v>81</v>
      </c>
      <c r="AX148" s="6" t="s">
        <v>20841</v>
      </c>
      <c r="AY148" s="6" t="s">
        <v>22591</v>
      </c>
      <c r="AZ148" s="6" t="s">
        <v>23584</v>
      </c>
      <c r="BA148" s="6" t="s">
        <v>23827</v>
      </c>
      <c r="BB148" s="6" t="s">
        <v>81</v>
      </c>
      <c r="BC148" s="26"/>
      <c r="BD148" s="26"/>
      <c r="BE148" s="26"/>
      <c r="BF148" s="26"/>
      <c r="BG148" s="26" t="s">
        <v>23900</v>
      </c>
      <c r="BH148" s="26"/>
      <c r="BI148" s="26"/>
      <c r="BJ148" s="26"/>
      <c r="BK148" s="26"/>
      <c r="BL148" s="26"/>
      <c r="BM148" s="26"/>
      <c r="BN148" s="26"/>
      <c r="BO148" s="26"/>
      <c r="BP148" s="16" t="n">
        <v>45723</v>
      </c>
      <c r="BQ148" s="28" t="str">
        <f>HYPERLINK("https://organic.ams.usda.gov/Integrity/Certificate.aspx?cid=15&amp;nopid=5561007912")</f>
        <v>https://organic.ams.usda.gov/Integrity/Certificate.aspx?cid=15&amp;nopid=5561007912</v>
      </c>
    </row>
    <row r="149">
      <c r="A149" t="s">
        <v>3</v>
      </c>
      <c r="B149" s="6" t="s">
        <v>20</v>
      </c>
      <c r="C149" s="6" t="s">
        <v>67</v>
      </c>
      <c r="D149" s="6" t="s">
        <v>113</v>
      </c>
      <c r="E149" s="10" t="s">
        <v>290</v>
      </c>
      <c r="F149" s="6" t="s">
        <v>3028</v>
      </c>
      <c r="G149" s="6" t="s">
        <v>81</v>
      </c>
      <c r="H149" s="6" t="s">
        <v>6023</v>
      </c>
      <c r="I149" s="6" t="s">
        <v>8475</v>
      </c>
      <c r="J149" s="6" t="s">
        <v>9747</v>
      </c>
      <c r="K149" s="6" t="s">
        <v>10886</v>
      </c>
      <c r="L149" s="16" t="n">
        <v>39002</v>
      </c>
      <c r="M149" s="16" t="n">
        <v>45734</v>
      </c>
      <c r="N149" s="6" t="s">
        <v>81</v>
      </c>
      <c r="O149" s="21" t="s">
        <v>81</v>
      </c>
      <c r="P149" s="6" t="s">
        <v>81</v>
      </c>
      <c r="Q149" s="6" t="s">
        <v>81</v>
      </c>
      <c r="R149" s="6" t="s">
        <v>81</v>
      </c>
      <c r="S149" s="6" t="s">
        <v>81</v>
      </c>
      <c r="T149" s="21" t="s">
        <v>81</v>
      </c>
      <c r="U149" s="6" t="s">
        <v>81</v>
      </c>
      <c r="V149" s="6" t="s">
        <v>81</v>
      </c>
      <c r="W149" s="6" t="s">
        <v>81</v>
      </c>
      <c r="X149" s="6" t="s">
        <v>81</v>
      </c>
      <c r="Y149" s="21" t="s">
        <v>81</v>
      </c>
      <c r="Z149" s="6" t="s">
        <v>81</v>
      </c>
      <c r="AA149" s="6" t="s">
        <v>81</v>
      </c>
      <c r="AB149" s="6" t="s">
        <v>81</v>
      </c>
      <c r="AC149" s="6" t="s">
        <v>10886</v>
      </c>
      <c r="AD149" s="16" t="n">
        <v>39002</v>
      </c>
      <c r="AE149" s="6" t="s">
        <v>14031</v>
      </c>
      <c r="AF149" s="6" t="s">
        <v>81</v>
      </c>
      <c r="AG149" s="6" t="s">
        <v>14516</v>
      </c>
      <c r="AH149" s="6" t="s">
        <v>14756</v>
      </c>
      <c r="AI149" s="6" t="s">
        <v>81</v>
      </c>
      <c r="AJ149" s="6" t="s">
        <v>17420</v>
      </c>
      <c r="AK149" s="6" t="s">
        <v>18393</v>
      </c>
      <c r="AL149" s="6" t="s">
        <v>18444</v>
      </c>
      <c r="AM149" s="6" t="s">
        <v>18577</v>
      </c>
      <c r="AN149" s="6" t="s">
        <v>19665</v>
      </c>
      <c r="AO149" s="6" t="s">
        <v>19772</v>
      </c>
      <c r="AP149" s="6" t="s">
        <v>20102</v>
      </c>
      <c r="AQ149" s="6" t="s">
        <v>81</v>
      </c>
      <c r="AR149" s="6" t="s">
        <v>17561</v>
      </c>
      <c r="AS149" s="6" t="s">
        <v>18386</v>
      </c>
      <c r="AT149" s="6" t="s">
        <v>18444</v>
      </c>
      <c r="AU149" s="6" t="s">
        <v>18760</v>
      </c>
      <c r="AV149" s="6" t="s">
        <v>81</v>
      </c>
      <c r="AW149" s="6" t="s">
        <v>81</v>
      </c>
      <c r="AX149" s="6" t="s">
        <v>20842</v>
      </c>
      <c r="AY149" s="6" t="s">
        <v>22592</v>
      </c>
      <c r="AZ149" s="6" t="s">
        <v>81</v>
      </c>
      <c r="BA149" s="6" t="s">
        <v>81</v>
      </c>
      <c r="BB149" s="6" t="s">
        <v>81</v>
      </c>
      <c r="BC149" s="26"/>
      <c r="BD149" s="26"/>
      <c r="BE149" s="26"/>
      <c r="BF149" s="26"/>
      <c r="BG149" s="26"/>
      <c r="BH149" s="26"/>
      <c r="BI149" s="26"/>
      <c r="BJ149" s="26"/>
      <c r="BK149" s="26"/>
      <c r="BL149" s="26"/>
      <c r="BM149" s="26"/>
      <c r="BN149" s="26"/>
      <c r="BO149" s="26"/>
      <c r="BP149" s="16" t="n">
        <v>45737</v>
      </c>
      <c r="BQ149" s="28" t="str">
        <f>HYPERLINK("https://organic.ams.usda.gov/Integrity/Certificate.aspx?cid=71&amp;nopid=5520031166")</f>
        <v>https://organic.ams.usda.gov/Integrity/Certificate.aspx?cid=71&amp;nopid=5520031166</v>
      </c>
    </row>
    <row r="150">
      <c r="A150" t="s">
        <v>3</v>
      </c>
      <c r="B150" s="6" t="s">
        <v>20</v>
      </c>
      <c r="C150" s="6" t="s">
        <v>67</v>
      </c>
      <c r="D150" s="6" t="s">
        <v>113</v>
      </c>
      <c r="E150" s="10" t="s">
        <v>291</v>
      </c>
      <c r="F150" s="6" t="s">
        <v>3029</v>
      </c>
      <c r="G150" s="6" t="s">
        <v>81</v>
      </c>
      <c r="H150" s="6" t="s">
        <v>6024</v>
      </c>
      <c r="I150" s="6" t="s">
        <v>8475</v>
      </c>
      <c r="J150" s="6" t="s">
        <v>9747</v>
      </c>
      <c r="K150" s="6" t="s">
        <v>10886</v>
      </c>
      <c r="L150" s="16" t="n">
        <v>37375</v>
      </c>
      <c r="M150" s="16" t="n">
        <v>45819</v>
      </c>
      <c r="N150" s="6" t="s">
        <v>81</v>
      </c>
      <c r="O150" s="21" t="s">
        <v>81</v>
      </c>
      <c r="P150" s="6" t="s">
        <v>81</v>
      </c>
      <c r="Q150" s="6" t="s">
        <v>81</v>
      </c>
      <c r="R150" s="6" t="s">
        <v>81</v>
      </c>
      <c r="S150" s="6" t="s">
        <v>81</v>
      </c>
      <c r="T150" s="21" t="s">
        <v>81</v>
      </c>
      <c r="U150" s="6" t="s">
        <v>81</v>
      </c>
      <c r="V150" s="6" t="s">
        <v>81</v>
      </c>
      <c r="W150" s="6" t="s">
        <v>81</v>
      </c>
      <c r="X150" s="6" t="s">
        <v>81</v>
      </c>
      <c r="Y150" s="21" t="s">
        <v>81</v>
      </c>
      <c r="Z150" s="6" t="s">
        <v>81</v>
      </c>
      <c r="AA150" s="6" t="s">
        <v>81</v>
      </c>
      <c r="AB150" s="6" t="s">
        <v>81</v>
      </c>
      <c r="AC150" s="6" t="s">
        <v>10886</v>
      </c>
      <c r="AD150" s="16" t="n">
        <v>37375</v>
      </c>
      <c r="AE150" s="6" t="s">
        <v>14032</v>
      </c>
      <c r="AF150" s="6" t="s">
        <v>81</v>
      </c>
      <c r="AG150" s="6" t="s">
        <v>14517</v>
      </c>
      <c r="AH150" s="6" t="s">
        <v>14757</v>
      </c>
      <c r="AI150" s="6" t="s">
        <v>81</v>
      </c>
      <c r="AJ150" s="6" t="s">
        <v>17421</v>
      </c>
      <c r="AK150" s="6" t="s">
        <v>18386</v>
      </c>
      <c r="AL150" s="6" t="s">
        <v>18444</v>
      </c>
      <c r="AM150" s="6" t="s">
        <v>18578</v>
      </c>
      <c r="AN150" s="6" t="s">
        <v>19672</v>
      </c>
      <c r="AO150" s="6" t="s">
        <v>19787</v>
      </c>
      <c r="AP150" s="6" t="s">
        <v>20102</v>
      </c>
      <c r="AQ150" s="6" t="s">
        <v>81</v>
      </c>
      <c r="AR150" s="6" t="s">
        <v>17561</v>
      </c>
      <c r="AS150" s="6" t="s">
        <v>18386</v>
      </c>
      <c r="AT150" s="6" t="s">
        <v>18444</v>
      </c>
      <c r="AU150" s="6" t="s">
        <v>18760</v>
      </c>
      <c r="AV150" s="6" t="s">
        <v>81</v>
      </c>
      <c r="AW150" s="6" t="s">
        <v>81</v>
      </c>
      <c r="AX150" s="6" t="s">
        <v>20843</v>
      </c>
      <c r="AY150" s="6" t="s">
        <v>22592</v>
      </c>
      <c r="AZ150" s="6" t="s">
        <v>81</v>
      </c>
      <c r="BA150" s="6" t="s">
        <v>81</v>
      </c>
      <c r="BB150" s="6" t="s">
        <v>81</v>
      </c>
      <c r="BC150" s="26"/>
      <c r="BD150" s="26"/>
      <c r="BE150" s="26"/>
      <c r="BF150" s="26"/>
      <c r="BG150" s="26"/>
      <c r="BH150" s="26"/>
      <c r="BI150" s="26"/>
      <c r="BJ150" s="26"/>
      <c r="BK150" s="26"/>
      <c r="BL150" s="26"/>
      <c r="BM150" s="26"/>
      <c r="BN150" s="26"/>
      <c r="BO150" s="26"/>
      <c r="BP150" s="16" t="n">
        <v>45739</v>
      </c>
      <c r="BQ150" s="28" t="str">
        <f>HYPERLINK("https://organic.ams.usda.gov/Integrity/Certificate.aspx?cid=71&amp;nopid=5520030078")</f>
        <v>https://organic.ams.usda.gov/Integrity/Certificate.aspx?cid=71&amp;nopid=5520030078</v>
      </c>
    </row>
    <row r="151">
      <c r="A151" t="s">
        <v>3</v>
      </c>
      <c r="B151" s="6" t="s">
        <v>8</v>
      </c>
      <c r="C151" s="6" t="s">
        <v>55</v>
      </c>
      <c r="D151" s="6" t="s">
        <v>101</v>
      </c>
      <c r="E151" s="10" t="s">
        <v>292</v>
      </c>
      <c r="F151" s="6" t="s">
        <v>3030</v>
      </c>
      <c r="G151" s="6" t="s">
        <v>81</v>
      </c>
      <c r="H151" s="6" t="s">
        <v>6025</v>
      </c>
      <c r="I151" s="6" t="s">
        <v>8476</v>
      </c>
      <c r="J151" s="6" t="s">
        <v>9748</v>
      </c>
      <c r="K151" s="6" t="s">
        <v>10886</v>
      </c>
      <c r="L151" s="16" t="n">
        <v>37699</v>
      </c>
      <c r="M151" s="16" t="n">
        <v>46054</v>
      </c>
      <c r="N151" s="6" t="s">
        <v>81</v>
      </c>
      <c r="O151" s="21" t="s">
        <v>81</v>
      </c>
      <c r="P151" s="6" t="s">
        <v>81</v>
      </c>
      <c r="Q151" s="6" t="s">
        <v>81</v>
      </c>
      <c r="R151" s="6" t="s">
        <v>81</v>
      </c>
      <c r="S151" s="6" t="s">
        <v>81</v>
      </c>
      <c r="T151" s="21" t="s">
        <v>81</v>
      </c>
      <c r="U151" s="6" t="s">
        <v>81</v>
      </c>
      <c r="V151" s="6" t="s">
        <v>81</v>
      </c>
      <c r="W151" s="6" t="s">
        <v>81</v>
      </c>
      <c r="X151" s="6" t="s">
        <v>81</v>
      </c>
      <c r="Y151" s="21" t="s">
        <v>81</v>
      </c>
      <c r="Z151" s="6" t="s">
        <v>81</v>
      </c>
      <c r="AA151" s="6" t="s">
        <v>81</v>
      </c>
      <c r="AB151" s="6" t="s">
        <v>81</v>
      </c>
      <c r="AC151" s="6" t="s">
        <v>10886</v>
      </c>
      <c r="AD151" s="16" t="n">
        <v>37699</v>
      </c>
      <c r="AE151" s="6" t="s">
        <v>14033</v>
      </c>
      <c r="AF151" s="6" t="s">
        <v>81</v>
      </c>
      <c r="AG151" s="6" t="s">
        <v>6025</v>
      </c>
      <c r="AH151" s="6" t="s">
        <v>14758</v>
      </c>
      <c r="AI151" s="6" t="s">
        <v>81</v>
      </c>
      <c r="AJ151" s="6" t="s">
        <v>17422</v>
      </c>
      <c r="AK151" s="6" t="s">
        <v>18377</v>
      </c>
      <c r="AL151" s="6" t="s">
        <v>18444</v>
      </c>
      <c r="AM151" s="6" t="s">
        <v>18579</v>
      </c>
      <c r="AN151" s="6" t="s">
        <v>6842</v>
      </c>
      <c r="AO151" s="6" t="s">
        <v>19788</v>
      </c>
      <c r="AP151" s="6" t="s">
        <v>20103</v>
      </c>
      <c r="AQ151" s="6" t="s">
        <v>81</v>
      </c>
      <c r="AR151" s="6" t="s">
        <v>17422</v>
      </c>
      <c r="AS151" s="6" t="s">
        <v>18377</v>
      </c>
      <c r="AT151" s="6" t="s">
        <v>18444</v>
      </c>
      <c r="AU151" s="6" t="s">
        <v>18579</v>
      </c>
      <c r="AV151" s="6" t="s">
        <v>81</v>
      </c>
      <c r="AW151" s="6" t="s">
        <v>81</v>
      </c>
      <c r="AX151" s="6" t="s">
        <v>20844</v>
      </c>
      <c r="AY151" s="6" t="s">
        <v>22593</v>
      </c>
      <c r="AZ151" s="6" t="s">
        <v>23585</v>
      </c>
      <c r="BA151" s="6" t="s">
        <v>81</v>
      </c>
      <c r="BB151" s="24" t="n">
        <v>0</v>
      </c>
      <c r="BC151" s="26"/>
      <c r="BD151" s="26"/>
      <c r="BE151" s="26"/>
      <c r="BF151" s="26"/>
      <c r="BG151" s="26"/>
      <c r="BH151" s="26"/>
      <c r="BI151" s="26"/>
      <c r="BJ151" s="26"/>
      <c r="BK151" s="26"/>
      <c r="BL151" s="26"/>
      <c r="BM151" s="26"/>
      <c r="BN151" s="26"/>
      <c r="BO151" s="26"/>
      <c r="BP151" s="16" t="n">
        <v>45737</v>
      </c>
      <c r="BQ151" s="28" t="str">
        <f>HYPERLINK("https://organic.ams.usda.gov/Integrity/Certificate.aspx?cid=45&amp;nopid=9950001229")</f>
        <v>https://organic.ams.usda.gov/Integrity/Certificate.aspx?cid=45&amp;nopid=9950001229</v>
      </c>
    </row>
    <row r="152">
      <c r="A152" t="s">
        <v>3</v>
      </c>
      <c r="B152" s="6" t="s">
        <v>8</v>
      </c>
      <c r="C152" s="6" t="s">
        <v>55</v>
      </c>
      <c r="D152" s="6" t="s">
        <v>101</v>
      </c>
      <c r="E152" s="10" t="s">
        <v>293</v>
      </c>
      <c r="F152" s="6" t="s">
        <v>3031</v>
      </c>
      <c r="G152" s="6" t="s">
        <v>81</v>
      </c>
      <c r="H152" s="6" t="s">
        <v>6026</v>
      </c>
      <c r="I152" s="6" t="s">
        <v>8477</v>
      </c>
      <c r="J152" s="6" t="s">
        <v>9749</v>
      </c>
      <c r="K152" s="6" t="s">
        <v>10886</v>
      </c>
      <c r="L152" s="16" t="n">
        <v>41207</v>
      </c>
      <c r="M152" s="16" t="n">
        <v>45689</v>
      </c>
      <c r="N152" s="6" t="s">
        <v>10886</v>
      </c>
      <c r="O152" s="16" t="n">
        <v>41207</v>
      </c>
      <c r="P152" s="6" t="s">
        <v>10996</v>
      </c>
      <c r="Q152" s="6" t="s">
        <v>81</v>
      </c>
      <c r="R152" s="6" t="s">
        <v>6026</v>
      </c>
      <c r="S152" s="6" t="s">
        <v>10886</v>
      </c>
      <c r="T152" s="16" t="n">
        <v>41207</v>
      </c>
      <c r="U152" s="6" t="s">
        <v>13179</v>
      </c>
      <c r="V152" s="6" t="s">
        <v>81</v>
      </c>
      <c r="W152" s="6" t="s">
        <v>6026</v>
      </c>
      <c r="X152" s="6" t="s">
        <v>81</v>
      </c>
      <c r="Y152" s="21" t="s">
        <v>81</v>
      </c>
      <c r="Z152" s="6" t="s">
        <v>81</v>
      </c>
      <c r="AA152" s="6" t="s">
        <v>81</v>
      </c>
      <c r="AB152" s="6" t="s">
        <v>81</v>
      </c>
      <c r="AC152" s="6" t="s">
        <v>81</v>
      </c>
      <c r="AD152" s="21" t="s">
        <v>81</v>
      </c>
      <c r="AE152" s="6" t="s">
        <v>81</v>
      </c>
      <c r="AF152" s="6" t="s">
        <v>81</v>
      </c>
      <c r="AG152" s="6" t="s">
        <v>81</v>
      </c>
      <c r="AH152" s="6" t="s">
        <v>14759</v>
      </c>
      <c r="AI152" s="6" t="s">
        <v>81</v>
      </c>
      <c r="AJ152" s="6" t="s">
        <v>17423</v>
      </c>
      <c r="AK152" s="6" t="s">
        <v>18381</v>
      </c>
      <c r="AL152" s="6" t="s">
        <v>18444</v>
      </c>
      <c r="AM152" s="6" t="s">
        <v>18580</v>
      </c>
      <c r="AN152" s="6" t="s">
        <v>19674</v>
      </c>
      <c r="AO152" s="6" t="s">
        <v>19789</v>
      </c>
      <c r="AP152" s="6" t="s">
        <v>81</v>
      </c>
      <c r="AQ152" s="6" t="s">
        <v>81</v>
      </c>
      <c r="AR152" s="6" t="s">
        <v>81</v>
      </c>
      <c r="AS152" s="6" t="s">
        <v>81</v>
      </c>
      <c r="AT152" s="6" t="s">
        <v>81</v>
      </c>
      <c r="AU152" s="6" t="s">
        <v>81</v>
      </c>
      <c r="AV152" s="6" t="s">
        <v>81</v>
      </c>
      <c r="AW152" s="6" t="s">
        <v>81</v>
      </c>
      <c r="AX152" s="6" t="s">
        <v>81</v>
      </c>
      <c r="AY152" s="6" t="s">
        <v>22594</v>
      </c>
      <c r="AZ152" s="6" t="s">
        <v>81</v>
      </c>
      <c r="BA152" s="6" t="s">
        <v>23819</v>
      </c>
      <c r="BB152" s="24" t="n">
        <v>1525</v>
      </c>
      <c r="BC152" s="26"/>
      <c r="BD152" s="26"/>
      <c r="BE152" s="26"/>
      <c r="BF152" s="26" t="s">
        <v>23900</v>
      </c>
      <c r="BG152" s="26"/>
      <c r="BH152" s="26"/>
      <c r="BI152" s="26"/>
      <c r="BJ152" s="26"/>
      <c r="BK152" s="26"/>
      <c r="BL152" s="26"/>
      <c r="BM152" s="26"/>
      <c r="BN152" s="26"/>
      <c r="BO152" s="26"/>
      <c r="BP152" s="16" t="n">
        <v>45700</v>
      </c>
      <c r="BQ152" s="28" t="str">
        <f>HYPERLINK("https://organic.ams.usda.gov/Integrity/Certificate.aspx?cid=45&amp;nopid=9950004953")</f>
        <v>https://organic.ams.usda.gov/Integrity/Certificate.aspx?cid=45&amp;nopid=9950004953</v>
      </c>
    </row>
    <row r="153">
      <c r="A153" t="s">
        <v>3</v>
      </c>
      <c r="B153" s="6" t="s">
        <v>12</v>
      </c>
      <c r="C153" s="6" t="s">
        <v>59</v>
      </c>
      <c r="D153" s="6" t="s">
        <v>105</v>
      </c>
      <c r="E153" s="10" t="s">
        <v>294</v>
      </c>
      <c r="F153" s="6" t="s">
        <v>3032</v>
      </c>
      <c r="G153" s="6" t="s">
        <v>81</v>
      </c>
      <c r="H153" s="6" t="s">
        <v>6027</v>
      </c>
      <c r="I153" s="6" t="s">
        <v>8478</v>
      </c>
      <c r="J153" s="6" t="s">
        <v>9750</v>
      </c>
      <c r="K153" s="6" t="s">
        <v>10886</v>
      </c>
      <c r="L153" s="16" t="n">
        <v>38798</v>
      </c>
      <c r="M153" s="16" t="n">
        <v>45717</v>
      </c>
      <c r="N153" s="6" t="s">
        <v>10886</v>
      </c>
      <c r="O153" s="16" t="n">
        <v>38798</v>
      </c>
      <c r="P153" s="6" t="s">
        <v>10997</v>
      </c>
      <c r="Q153" s="6" t="s">
        <v>81</v>
      </c>
      <c r="R153" s="6" t="s">
        <v>81</v>
      </c>
      <c r="S153" s="6" t="s">
        <v>10886</v>
      </c>
      <c r="T153" s="16" t="n">
        <v>38798</v>
      </c>
      <c r="U153" s="6" t="s">
        <v>13166</v>
      </c>
      <c r="V153" s="6" t="s">
        <v>81</v>
      </c>
      <c r="W153" s="6" t="s">
        <v>81</v>
      </c>
      <c r="X153" s="6" t="s">
        <v>81</v>
      </c>
      <c r="Y153" s="21" t="s">
        <v>81</v>
      </c>
      <c r="Z153" s="6" t="s">
        <v>81</v>
      </c>
      <c r="AA153" s="6" t="s">
        <v>81</v>
      </c>
      <c r="AB153" s="6" t="s">
        <v>81</v>
      </c>
      <c r="AC153" s="6" t="s">
        <v>81</v>
      </c>
      <c r="AD153" s="21" t="s">
        <v>81</v>
      </c>
      <c r="AE153" s="6" t="s">
        <v>81</v>
      </c>
      <c r="AF153" s="6" t="s">
        <v>81</v>
      </c>
      <c r="AG153" s="6" t="s">
        <v>81</v>
      </c>
      <c r="AH153" s="6" t="s">
        <v>14760</v>
      </c>
      <c r="AI153" s="6" t="s">
        <v>81</v>
      </c>
      <c r="AJ153" s="6" t="s">
        <v>17424</v>
      </c>
      <c r="AK153" s="6" t="s">
        <v>17712</v>
      </c>
      <c r="AL153" s="6" t="s">
        <v>18444</v>
      </c>
      <c r="AM153" s="6" t="s">
        <v>18581</v>
      </c>
      <c r="AN153" s="6" t="s">
        <v>19667</v>
      </c>
      <c r="AO153" s="6" t="s">
        <v>19774</v>
      </c>
      <c r="AP153" s="6" t="s">
        <v>14760</v>
      </c>
      <c r="AQ153" s="6" t="s">
        <v>81</v>
      </c>
      <c r="AR153" s="6" t="s">
        <v>17424</v>
      </c>
      <c r="AS153" s="6" t="s">
        <v>17712</v>
      </c>
      <c r="AT153" s="6" t="s">
        <v>18444</v>
      </c>
      <c r="AU153" s="6" t="s">
        <v>18581</v>
      </c>
      <c r="AV153" s="6" t="s">
        <v>81</v>
      </c>
      <c r="AW153" s="6" t="s">
        <v>81</v>
      </c>
      <c r="AX153" s="6" t="s">
        <v>20845</v>
      </c>
      <c r="AY153" s="6" t="s">
        <v>81</v>
      </c>
      <c r="AZ153" s="6" t="s">
        <v>81</v>
      </c>
      <c r="BA153" s="6" t="s">
        <v>81</v>
      </c>
      <c r="BB153" s="24" t="n">
        <v>352</v>
      </c>
      <c r="BC153" s="26"/>
      <c r="BD153" s="26"/>
      <c r="BE153" s="26"/>
      <c r="BF153" s="26"/>
      <c r="BG153" s="26"/>
      <c r="BH153" s="26"/>
      <c r="BI153" s="26"/>
      <c r="BJ153" s="26"/>
      <c r="BK153" s="26"/>
      <c r="BL153" s="26"/>
      <c r="BM153" s="26"/>
      <c r="BN153" s="26"/>
      <c r="BO153" s="26"/>
      <c r="BP153" s="16" t="n">
        <v>45684</v>
      </c>
      <c r="BQ153" s="28" t="str">
        <f>HYPERLINK("https://organic.ams.usda.gov/Integrity/Certificate.aspx?cid=68&amp;nopid=8210001712")</f>
        <v>https://organic.ams.usda.gov/Integrity/Certificate.aspx?cid=68&amp;nopid=8210001712</v>
      </c>
    </row>
    <row r="154">
      <c r="A154" t="s">
        <v>3</v>
      </c>
      <c r="B154" s="6" t="s">
        <v>13</v>
      </c>
      <c r="C154" s="6" t="s">
        <v>60</v>
      </c>
      <c r="D154" s="6" t="s">
        <v>106</v>
      </c>
      <c r="E154" s="10" t="s">
        <v>295</v>
      </c>
      <c r="F154" s="6" t="s">
        <v>3033</v>
      </c>
      <c r="G154" s="6" t="s">
        <v>81</v>
      </c>
      <c r="H154" s="6" t="s">
        <v>6028</v>
      </c>
      <c r="I154" s="6" t="s">
        <v>8478</v>
      </c>
      <c r="J154" s="6" t="s">
        <v>9751</v>
      </c>
      <c r="K154" s="6" t="s">
        <v>10886</v>
      </c>
      <c r="L154" s="16" t="n">
        <v>40071</v>
      </c>
      <c r="M154" s="16" t="n">
        <v>45748</v>
      </c>
      <c r="N154" s="6" t="s">
        <v>10886</v>
      </c>
      <c r="O154" s="16" t="n">
        <v>40071</v>
      </c>
      <c r="P154" s="6" t="s">
        <v>10998</v>
      </c>
      <c r="Q154" s="6" t="s">
        <v>81</v>
      </c>
      <c r="R154" s="6" t="s">
        <v>12468</v>
      </c>
      <c r="S154" s="6" t="s">
        <v>10886</v>
      </c>
      <c r="T154" s="16" t="n">
        <v>40071</v>
      </c>
      <c r="U154" s="6" t="s">
        <v>13220</v>
      </c>
      <c r="V154" s="6" t="s">
        <v>81</v>
      </c>
      <c r="W154" s="6" t="s">
        <v>12468</v>
      </c>
      <c r="X154" s="6" t="s">
        <v>81</v>
      </c>
      <c r="Y154" s="21" t="s">
        <v>81</v>
      </c>
      <c r="Z154" s="6" t="s">
        <v>81</v>
      </c>
      <c r="AA154" s="6" t="s">
        <v>81</v>
      </c>
      <c r="AB154" s="6" t="s">
        <v>81</v>
      </c>
      <c r="AC154" s="6" t="s">
        <v>81</v>
      </c>
      <c r="AD154" s="21" t="s">
        <v>81</v>
      </c>
      <c r="AE154" s="6" t="s">
        <v>81</v>
      </c>
      <c r="AF154" s="6" t="s">
        <v>81</v>
      </c>
      <c r="AG154" s="6" t="s">
        <v>81</v>
      </c>
      <c r="AH154" s="6" t="s">
        <v>14761</v>
      </c>
      <c r="AI154" s="6" t="s">
        <v>81</v>
      </c>
      <c r="AJ154" s="6" t="s">
        <v>17335</v>
      </c>
      <c r="AK154" s="6" t="s">
        <v>18378</v>
      </c>
      <c r="AL154" s="6" t="s">
        <v>18444</v>
      </c>
      <c r="AM154" s="6" t="s">
        <v>18489</v>
      </c>
      <c r="AN154" s="6" t="s">
        <v>19640</v>
      </c>
      <c r="AO154" s="6" t="s">
        <v>19726</v>
      </c>
      <c r="AP154" s="6" t="s">
        <v>14761</v>
      </c>
      <c r="AQ154" s="6" t="s">
        <v>81</v>
      </c>
      <c r="AR154" s="6" t="s">
        <v>17335</v>
      </c>
      <c r="AS154" s="6" t="s">
        <v>18378</v>
      </c>
      <c r="AT154" s="6" t="s">
        <v>18444</v>
      </c>
      <c r="AU154" s="6" t="s">
        <v>18489</v>
      </c>
      <c r="AV154" s="6" t="s">
        <v>81</v>
      </c>
      <c r="AW154" s="6" t="s">
        <v>81</v>
      </c>
      <c r="AX154" s="6" t="s">
        <v>20846</v>
      </c>
      <c r="AY154" s="6" t="s">
        <v>81</v>
      </c>
      <c r="AZ154" s="6" t="s">
        <v>81</v>
      </c>
      <c r="BA154" s="6" t="s">
        <v>81</v>
      </c>
      <c r="BB154" s="24" t="n">
        <v>200</v>
      </c>
      <c r="BC154" s="26"/>
      <c r="BD154" s="26"/>
      <c r="BE154" s="26"/>
      <c r="BF154" s="26" t="s">
        <v>23900</v>
      </c>
      <c r="BG154" s="26"/>
      <c r="BH154" s="26"/>
      <c r="BI154" s="26"/>
      <c r="BJ154" s="26"/>
      <c r="BK154" s="26"/>
      <c r="BL154" s="26"/>
      <c r="BM154" s="26"/>
      <c r="BN154" s="26"/>
      <c r="BO154" s="26"/>
      <c r="BP154" s="16" t="n">
        <v>45663</v>
      </c>
      <c r="BQ154" s="28" t="str">
        <f>HYPERLINK("https://organic.ams.usda.gov/Integrity/Certificate.aspx?cid=72&amp;nopid=5870001613")</f>
        <v>https://organic.ams.usda.gov/Integrity/Certificate.aspx?cid=72&amp;nopid=5870001613</v>
      </c>
    </row>
    <row r="155">
      <c r="A155" t="s">
        <v>3</v>
      </c>
      <c r="B155" s="6" t="s">
        <v>8</v>
      </c>
      <c r="C155" s="6" t="s">
        <v>55</v>
      </c>
      <c r="D155" s="6" t="s">
        <v>101</v>
      </c>
      <c r="E155" s="10" t="s">
        <v>296</v>
      </c>
      <c r="F155" s="6" t="s">
        <v>3034</v>
      </c>
      <c r="G155" s="6" t="s">
        <v>81</v>
      </c>
      <c r="H155" s="6" t="s">
        <v>6029</v>
      </c>
      <c r="I155" s="6" t="s">
        <v>8478</v>
      </c>
      <c r="J155" s="6" t="s">
        <v>9672</v>
      </c>
      <c r="K155" s="6" t="s">
        <v>10886</v>
      </c>
      <c r="L155" s="16" t="n">
        <v>41555</v>
      </c>
      <c r="M155" s="16" t="n">
        <v>45383</v>
      </c>
      <c r="N155" s="6" t="s">
        <v>10886</v>
      </c>
      <c r="O155" s="16" t="n">
        <v>41555</v>
      </c>
      <c r="P155" s="6" t="s">
        <v>10999</v>
      </c>
      <c r="Q155" s="6" t="s">
        <v>81</v>
      </c>
      <c r="R155" s="6" t="s">
        <v>6029</v>
      </c>
      <c r="S155" s="6" t="s">
        <v>10886</v>
      </c>
      <c r="T155" s="16" t="n">
        <v>41555</v>
      </c>
      <c r="U155" s="6" t="s">
        <v>13221</v>
      </c>
      <c r="V155" s="6" t="s">
        <v>81</v>
      </c>
      <c r="W155" s="6" t="s">
        <v>6029</v>
      </c>
      <c r="X155" s="6" t="s">
        <v>81</v>
      </c>
      <c r="Y155" s="21" t="s">
        <v>81</v>
      </c>
      <c r="Z155" s="6" t="s">
        <v>81</v>
      </c>
      <c r="AA155" s="6" t="s">
        <v>81</v>
      </c>
      <c r="AB155" s="6" t="s">
        <v>81</v>
      </c>
      <c r="AC155" s="6" t="s">
        <v>81</v>
      </c>
      <c r="AD155" s="21" t="s">
        <v>81</v>
      </c>
      <c r="AE155" s="6" t="s">
        <v>81</v>
      </c>
      <c r="AF155" s="6" t="s">
        <v>81</v>
      </c>
      <c r="AG155" s="6" t="s">
        <v>81</v>
      </c>
      <c r="AH155" s="6" t="s">
        <v>14762</v>
      </c>
      <c r="AI155" s="6" t="s">
        <v>81</v>
      </c>
      <c r="AJ155" s="6" t="s">
        <v>17425</v>
      </c>
      <c r="AK155" s="6" t="s">
        <v>18380</v>
      </c>
      <c r="AL155" s="6" t="s">
        <v>18444</v>
      </c>
      <c r="AM155" s="6" t="s">
        <v>18582</v>
      </c>
      <c r="AN155" s="6" t="s">
        <v>19650</v>
      </c>
      <c r="AO155" s="6" t="s">
        <v>19739</v>
      </c>
      <c r="AP155" s="6" t="s">
        <v>81</v>
      </c>
      <c r="AQ155" s="6" t="s">
        <v>81</v>
      </c>
      <c r="AR155" s="6" t="s">
        <v>81</v>
      </c>
      <c r="AS155" s="6" t="s">
        <v>81</v>
      </c>
      <c r="AT155" s="6" t="s">
        <v>81</v>
      </c>
      <c r="AU155" s="6" t="s">
        <v>81</v>
      </c>
      <c r="AV155" s="6" t="s">
        <v>81</v>
      </c>
      <c r="AW155" s="6" t="s">
        <v>81</v>
      </c>
      <c r="AX155" s="6" t="s">
        <v>81</v>
      </c>
      <c r="AY155" s="6" t="s">
        <v>81</v>
      </c>
      <c r="AZ155" s="6" t="s">
        <v>81</v>
      </c>
      <c r="BA155" s="6" t="s">
        <v>23824</v>
      </c>
      <c r="BB155" s="24" t="n">
        <v>98</v>
      </c>
      <c r="BC155" s="26"/>
      <c r="BD155" s="26"/>
      <c r="BE155" s="26"/>
      <c r="BF155" s="26" t="s">
        <v>23900</v>
      </c>
      <c r="BG155" s="26"/>
      <c r="BH155" s="26"/>
      <c r="BI155" s="26"/>
      <c r="BJ155" s="26"/>
      <c r="BK155" s="26"/>
      <c r="BL155" s="26"/>
      <c r="BM155" s="26"/>
      <c r="BN155" s="26"/>
      <c r="BO155" s="26"/>
      <c r="BP155" s="16" t="n">
        <v>45461</v>
      </c>
      <c r="BQ155" s="28" t="str">
        <f>HYPERLINK("https://organic.ams.usda.gov/Integrity/Certificate.aspx?cid=45&amp;nopid=9950005075")</f>
        <v>https://organic.ams.usda.gov/Integrity/Certificate.aspx?cid=45&amp;nopid=9950005075</v>
      </c>
    </row>
    <row r="156">
      <c r="A156" t="s">
        <v>3</v>
      </c>
      <c r="B156" s="6" t="s">
        <v>9</v>
      </c>
      <c r="C156" s="6" t="s">
        <v>56</v>
      </c>
      <c r="D156" s="6" t="s">
        <v>102</v>
      </c>
      <c r="E156" s="10" t="s">
        <v>297</v>
      </c>
      <c r="F156" s="6" t="s">
        <v>3035</v>
      </c>
      <c r="G156" s="6" t="s">
        <v>81</v>
      </c>
      <c r="H156" s="6" t="s">
        <v>6030</v>
      </c>
      <c r="I156" s="6" t="s">
        <v>8478</v>
      </c>
      <c r="J156" s="6" t="s">
        <v>9752</v>
      </c>
      <c r="K156" s="6" t="s">
        <v>10886</v>
      </c>
      <c r="L156" s="16" t="n">
        <v>41306</v>
      </c>
      <c r="M156" s="16" t="n">
        <v>46113</v>
      </c>
      <c r="N156" s="6" t="s">
        <v>10886</v>
      </c>
      <c r="O156" s="16" t="n">
        <v>41306</v>
      </c>
      <c r="P156" s="6" t="s">
        <v>11000</v>
      </c>
      <c r="Q156" s="6" t="s">
        <v>81</v>
      </c>
      <c r="R156" s="6" t="s">
        <v>12469</v>
      </c>
      <c r="S156" s="6" t="s">
        <v>10886</v>
      </c>
      <c r="T156" s="16" t="n">
        <v>41306</v>
      </c>
      <c r="U156" s="6" t="s">
        <v>13162</v>
      </c>
      <c r="V156" s="6" t="s">
        <v>81</v>
      </c>
      <c r="W156" s="6" t="s">
        <v>12469</v>
      </c>
      <c r="X156" s="6" t="s">
        <v>81</v>
      </c>
      <c r="Y156" s="21" t="s">
        <v>81</v>
      </c>
      <c r="Z156" s="6" t="s">
        <v>81</v>
      </c>
      <c r="AA156" s="6" t="s">
        <v>81</v>
      </c>
      <c r="AB156" s="6" t="s">
        <v>81</v>
      </c>
      <c r="AC156" s="6" t="s">
        <v>81</v>
      </c>
      <c r="AD156" s="21" t="s">
        <v>81</v>
      </c>
      <c r="AE156" s="6" t="s">
        <v>81</v>
      </c>
      <c r="AF156" s="6" t="s">
        <v>81</v>
      </c>
      <c r="AG156" s="6" t="s">
        <v>81</v>
      </c>
      <c r="AH156" s="6" t="s">
        <v>14763</v>
      </c>
      <c r="AI156" s="6" t="s">
        <v>81</v>
      </c>
      <c r="AJ156" s="6" t="s">
        <v>17339</v>
      </c>
      <c r="AK156" s="6" t="s">
        <v>18377</v>
      </c>
      <c r="AL156" s="6" t="s">
        <v>18444</v>
      </c>
      <c r="AM156" s="6" t="s">
        <v>18493</v>
      </c>
      <c r="AN156" s="6" t="s">
        <v>19643</v>
      </c>
      <c r="AO156" s="6" t="s">
        <v>19730</v>
      </c>
      <c r="AP156" s="6" t="s">
        <v>81</v>
      </c>
      <c r="AQ156" s="6" t="s">
        <v>81</v>
      </c>
      <c r="AR156" s="6" t="s">
        <v>81</v>
      </c>
      <c r="AS156" s="6" t="s">
        <v>81</v>
      </c>
      <c r="AT156" s="6" t="s">
        <v>81</v>
      </c>
      <c r="AU156" s="6" t="s">
        <v>81</v>
      </c>
      <c r="AV156" s="6" t="s">
        <v>81</v>
      </c>
      <c r="AW156" s="6" t="s">
        <v>81</v>
      </c>
      <c r="AX156" s="6" t="s">
        <v>20847</v>
      </c>
      <c r="AY156" s="6" t="s">
        <v>81</v>
      </c>
      <c r="AZ156" s="6" t="s">
        <v>81</v>
      </c>
      <c r="BA156" s="6" t="s">
        <v>81</v>
      </c>
      <c r="BB156" s="24" t="n">
        <v>114</v>
      </c>
      <c r="BC156" s="26"/>
      <c r="BD156" s="26"/>
      <c r="BE156" s="26"/>
      <c r="BF156" s="26"/>
      <c r="BG156" s="26"/>
      <c r="BH156" s="26"/>
      <c r="BI156" s="26"/>
      <c r="BJ156" s="26"/>
      <c r="BK156" s="26"/>
      <c r="BL156" s="26"/>
      <c r="BM156" s="26"/>
      <c r="BN156" s="26"/>
      <c r="BO156" s="26"/>
      <c r="BP156" s="16" t="n">
        <v>45738</v>
      </c>
      <c r="BQ156" s="28" t="str">
        <f>HYPERLINK("https://organic.ams.usda.gov/Integrity/Certificate.aspx?cid=52&amp;nopid=8430900170")</f>
        <v>https://organic.ams.usda.gov/Integrity/Certificate.aspx?cid=52&amp;nopid=8430900170</v>
      </c>
    </row>
    <row r="157">
      <c r="A157" t="s">
        <v>3</v>
      </c>
      <c r="B157" s="6" t="s">
        <v>9</v>
      </c>
      <c r="C157" s="6" t="s">
        <v>56</v>
      </c>
      <c r="D157" s="6" t="s">
        <v>102</v>
      </c>
      <c r="E157" s="10" t="s">
        <v>298</v>
      </c>
      <c r="F157" s="6" t="s">
        <v>3036</v>
      </c>
      <c r="G157" s="6" t="s">
        <v>81</v>
      </c>
      <c r="H157" s="6" t="s">
        <v>6031</v>
      </c>
      <c r="I157" s="6" t="s">
        <v>8478</v>
      </c>
      <c r="J157" s="6" t="s">
        <v>9667</v>
      </c>
      <c r="K157" s="6" t="s">
        <v>10886</v>
      </c>
      <c r="L157" s="16" t="n">
        <v>43810</v>
      </c>
      <c r="M157" s="16" t="n">
        <v>45748</v>
      </c>
      <c r="N157" s="6" t="s">
        <v>10886</v>
      </c>
      <c r="O157" s="16" t="n">
        <v>43810</v>
      </c>
      <c r="P157" s="6" t="s">
        <v>11001</v>
      </c>
      <c r="Q157" s="6" t="s">
        <v>81</v>
      </c>
      <c r="R157" s="6" t="s">
        <v>12470</v>
      </c>
      <c r="S157" s="6" t="s">
        <v>10886</v>
      </c>
      <c r="T157" s="16" t="n">
        <v>43810</v>
      </c>
      <c r="U157" s="6" t="s">
        <v>13162</v>
      </c>
      <c r="V157" s="6" t="s">
        <v>81</v>
      </c>
      <c r="W157" s="6" t="s">
        <v>12470</v>
      </c>
      <c r="X157" s="6" t="s">
        <v>81</v>
      </c>
      <c r="Y157" s="21" t="s">
        <v>81</v>
      </c>
      <c r="Z157" s="6" t="s">
        <v>81</v>
      </c>
      <c r="AA157" s="6" t="s">
        <v>81</v>
      </c>
      <c r="AB157" s="6" t="s">
        <v>81</v>
      </c>
      <c r="AC157" s="6" t="s">
        <v>81</v>
      </c>
      <c r="AD157" s="21" t="s">
        <v>81</v>
      </c>
      <c r="AE157" s="6" t="s">
        <v>81</v>
      </c>
      <c r="AF157" s="6" t="s">
        <v>81</v>
      </c>
      <c r="AG157" s="6" t="s">
        <v>81</v>
      </c>
      <c r="AH157" s="6" t="s">
        <v>14764</v>
      </c>
      <c r="AI157" s="6" t="s">
        <v>81</v>
      </c>
      <c r="AJ157" s="6" t="s">
        <v>17337</v>
      </c>
      <c r="AK157" s="6" t="s">
        <v>18377</v>
      </c>
      <c r="AL157" s="6" t="s">
        <v>18444</v>
      </c>
      <c r="AM157" s="6" t="s">
        <v>18491</v>
      </c>
      <c r="AN157" s="6" t="s">
        <v>19643</v>
      </c>
      <c r="AO157" s="6" t="s">
        <v>19730</v>
      </c>
      <c r="AP157" s="6" t="s">
        <v>81</v>
      </c>
      <c r="AQ157" s="6" t="s">
        <v>81</v>
      </c>
      <c r="AR157" s="6" t="s">
        <v>81</v>
      </c>
      <c r="AS157" s="6" t="s">
        <v>81</v>
      </c>
      <c r="AT157" s="6" t="s">
        <v>81</v>
      </c>
      <c r="AU157" s="6" t="s">
        <v>81</v>
      </c>
      <c r="AV157" s="6" t="s">
        <v>81</v>
      </c>
      <c r="AW157" s="6" t="s">
        <v>81</v>
      </c>
      <c r="AX157" s="6" t="s">
        <v>81</v>
      </c>
      <c r="AY157" s="6" t="s">
        <v>81</v>
      </c>
      <c r="AZ157" s="6" t="s">
        <v>81</v>
      </c>
      <c r="BA157" s="6" t="s">
        <v>81</v>
      </c>
      <c r="BB157" s="24" t="n">
        <v>131</v>
      </c>
      <c r="BC157" s="26"/>
      <c r="BD157" s="26"/>
      <c r="BE157" s="26"/>
      <c r="BF157" s="26"/>
      <c r="BG157" s="26"/>
      <c r="BH157" s="26"/>
      <c r="BI157" s="26"/>
      <c r="BJ157" s="26"/>
      <c r="BK157" s="26"/>
      <c r="BL157" s="26"/>
      <c r="BM157" s="26"/>
      <c r="BN157" s="26"/>
      <c r="BO157" s="26"/>
      <c r="BP157" s="16" t="n">
        <v>45738</v>
      </c>
      <c r="BQ157" s="28" t="str">
        <f>HYPERLINK("https://organic.ams.usda.gov/Integrity/Certificate.aspx?cid=52&amp;nopid=8431901759")</f>
        <v>https://organic.ams.usda.gov/Integrity/Certificate.aspx?cid=52&amp;nopid=8431901759</v>
      </c>
    </row>
    <row r="158">
      <c r="A158" t="s">
        <v>3</v>
      </c>
      <c r="B158" s="6" t="s">
        <v>29</v>
      </c>
      <c r="C158" s="6" t="s">
        <v>76</v>
      </c>
      <c r="D158" s="6" t="s">
        <v>122</v>
      </c>
      <c r="E158" s="10" t="s">
        <v>299</v>
      </c>
      <c r="F158" s="6" t="s">
        <v>3037</v>
      </c>
      <c r="G158" s="6" t="s">
        <v>81</v>
      </c>
      <c r="H158" s="6" t="s">
        <v>6032</v>
      </c>
      <c r="I158" s="6" t="s">
        <v>8479</v>
      </c>
      <c r="J158" s="6" t="s">
        <v>9669</v>
      </c>
      <c r="K158" s="6" t="s">
        <v>10886</v>
      </c>
      <c r="L158" s="16" t="n">
        <v>44747</v>
      </c>
      <c r="M158" s="16" t="n">
        <v>45870</v>
      </c>
      <c r="N158" s="6" t="s">
        <v>10886</v>
      </c>
      <c r="O158" s="16" t="n">
        <v>44747</v>
      </c>
      <c r="P158" s="6" t="s">
        <v>11002</v>
      </c>
      <c r="Q158" s="6" t="s">
        <v>81</v>
      </c>
      <c r="R158" s="6" t="s">
        <v>12471</v>
      </c>
      <c r="S158" s="6" t="s">
        <v>10886</v>
      </c>
      <c r="T158" s="16" t="n">
        <v>44803</v>
      </c>
      <c r="U158" s="6" t="s">
        <v>13222</v>
      </c>
      <c r="V158" s="6" t="s">
        <v>81</v>
      </c>
      <c r="W158" s="6" t="s">
        <v>12471</v>
      </c>
      <c r="X158" s="6" t="s">
        <v>81</v>
      </c>
      <c r="Y158" s="21" t="s">
        <v>81</v>
      </c>
      <c r="Z158" s="6" t="s">
        <v>81</v>
      </c>
      <c r="AA158" s="6" t="s">
        <v>81</v>
      </c>
      <c r="AB158" s="6" t="s">
        <v>81</v>
      </c>
      <c r="AC158" s="6" t="s">
        <v>81</v>
      </c>
      <c r="AD158" s="21" t="s">
        <v>81</v>
      </c>
      <c r="AE158" s="6" t="s">
        <v>81</v>
      </c>
      <c r="AF158" s="6" t="s">
        <v>81</v>
      </c>
      <c r="AG158" s="6" t="s">
        <v>81</v>
      </c>
      <c r="AH158" s="6" t="s">
        <v>14765</v>
      </c>
      <c r="AI158" s="6" t="s">
        <v>81</v>
      </c>
      <c r="AJ158" s="6" t="s">
        <v>17426</v>
      </c>
      <c r="AK158" s="6" t="s">
        <v>18384</v>
      </c>
      <c r="AL158" s="6" t="s">
        <v>18444</v>
      </c>
      <c r="AM158" s="6" t="s">
        <v>18583</v>
      </c>
      <c r="AN158" s="6" t="s">
        <v>19675</v>
      </c>
      <c r="AO158" s="6" t="s">
        <v>19721</v>
      </c>
      <c r="AP158" s="6" t="s">
        <v>81</v>
      </c>
      <c r="AQ158" s="6" t="s">
        <v>81</v>
      </c>
      <c r="AR158" s="6" t="s">
        <v>81</v>
      </c>
      <c r="AS158" s="6" t="s">
        <v>81</v>
      </c>
      <c r="AT158" s="6" t="s">
        <v>81</v>
      </c>
      <c r="AU158" s="6" t="s">
        <v>81</v>
      </c>
      <c r="AV158" s="6" t="s">
        <v>81</v>
      </c>
      <c r="AW158" s="6" t="s">
        <v>81</v>
      </c>
      <c r="AX158" s="6" t="s">
        <v>81</v>
      </c>
      <c r="AY158" s="6" t="s">
        <v>81</v>
      </c>
      <c r="AZ158" s="6" t="s">
        <v>81</v>
      </c>
      <c r="BA158" s="6" t="s">
        <v>81</v>
      </c>
      <c r="BB158" s="24" t="n">
        <v>91</v>
      </c>
      <c r="BC158" s="26"/>
      <c r="BD158" s="26"/>
      <c r="BE158" s="26"/>
      <c r="BF158" s="26" t="s">
        <v>23900</v>
      </c>
      <c r="BG158" s="26"/>
      <c r="BH158" s="26"/>
      <c r="BI158" s="26"/>
      <c r="BJ158" s="26"/>
      <c r="BK158" s="26"/>
      <c r="BL158" s="26"/>
      <c r="BM158" s="26"/>
      <c r="BN158" s="26"/>
      <c r="BO158" s="26"/>
      <c r="BP158" s="16" t="n">
        <v>45737</v>
      </c>
      <c r="BQ158" s="28" t="str">
        <f>HYPERLINK("https://organic.ams.usda.gov/Integrity/Certificate.aspx?cid=31&amp;nopid=3928972280")</f>
        <v>https://organic.ams.usda.gov/Integrity/Certificate.aspx?cid=31&amp;nopid=3928972280</v>
      </c>
    </row>
    <row r="159">
      <c r="A159" t="s">
        <v>3</v>
      </c>
      <c r="B159" s="6" t="s">
        <v>9</v>
      </c>
      <c r="C159" s="6" t="s">
        <v>56</v>
      </c>
      <c r="D159" s="6" t="s">
        <v>102</v>
      </c>
      <c r="E159" s="10" t="s">
        <v>300</v>
      </c>
      <c r="F159" s="6" t="s">
        <v>3037</v>
      </c>
      <c r="G159" s="6" t="s">
        <v>81</v>
      </c>
      <c r="H159" s="6" t="s">
        <v>6033</v>
      </c>
      <c r="I159" s="6" t="s">
        <v>8478</v>
      </c>
      <c r="J159" s="6" t="s">
        <v>9669</v>
      </c>
      <c r="K159" s="6" t="s">
        <v>10886</v>
      </c>
      <c r="L159" s="16" t="n">
        <v>42309</v>
      </c>
      <c r="M159" s="16" t="n">
        <v>46113</v>
      </c>
      <c r="N159" s="6" t="s">
        <v>10886</v>
      </c>
      <c r="O159" s="16" t="n">
        <v>42309</v>
      </c>
      <c r="P159" s="6" t="s">
        <v>11003</v>
      </c>
      <c r="Q159" s="6" t="s">
        <v>81</v>
      </c>
      <c r="R159" s="6" t="s">
        <v>12472</v>
      </c>
      <c r="S159" s="6" t="s">
        <v>10886</v>
      </c>
      <c r="T159" s="16" t="n">
        <v>42309</v>
      </c>
      <c r="U159" s="6" t="s">
        <v>13223</v>
      </c>
      <c r="V159" s="6" t="s">
        <v>81</v>
      </c>
      <c r="W159" s="6" t="s">
        <v>12472</v>
      </c>
      <c r="X159" s="6" t="s">
        <v>81</v>
      </c>
      <c r="Y159" s="21" t="s">
        <v>81</v>
      </c>
      <c r="Z159" s="6" t="s">
        <v>81</v>
      </c>
      <c r="AA159" s="6" t="s">
        <v>81</v>
      </c>
      <c r="AB159" s="6" t="s">
        <v>81</v>
      </c>
      <c r="AC159" s="6" t="s">
        <v>81</v>
      </c>
      <c r="AD159" s="21" t="s">
        <v>81</v>
      </c>
      <c r="AE159" s="6" t="s">
        <v>81</v>
      </c>
      <c r="AF159" s="6" t="s">
        <v>81</v>
      </c>
      <c r="AG159" s="6" t="s">
        <v>81</v>
      </c>
      <c r="AH159" s="6" t="s">
        <v>14766</v>
      </c>
      <c r="AI159" s="6" t="s">
        <v>81</v>
      </c>
      <c r="AJ159" s="6" t="s">
        <v>17381</v>
      </c>
      <c r="AK159" s="6" t="s">
        <v>18379</v>
      </c>
      <c r="AL159" s="6" t="s">
        <v>18444</v>
      </c>
      <c r="AM159" s="6" t="s">
        <v>18534</v>
      </c>
      <c r="AN159" s="6" t="s">
        <v>19654</v>
      </c>
      <c r="AO159" s="6" t="s">
        <v>19765</v>
      </c>
      <c r="AP159" s="6" t="s">
        <v>81</v>
      </c>
      <c r="AQ159" s="6" t="s">
        <v>81</v>
      </c>
      <c r="AR159" s="6" t="s">
        <v>81</v>
      </c>
      <c r="AS159" s="6" t="s">
        <v>81</v>
      </c>
      <c r="AT159" s="6" t="s">
        <v>81</v>
      </c>
      <c r="AU159" s="6" t="s">
        <v>81</v>
      </c>
      <c r="AV159" s="6" t="s">
        <v>81</v>
      </c>
      <c r="AW159" s="6" t="s">
        <v>81</v>
      </c>
      <c r="AX159" s="6" t="s">
        <v>81</v>
      </c>
      <c r="AY159" s="6" t="s">
        <v>81</v>
      </c>
      <c r="AZ159" s="6" t="s">
        <v>81</v>
      </c>
      <c r="BA159" s="6" t="s">
        <v>81</v>
      </c>
      <c r="BB159" s="24" t="n">
        <v>165</v>
      </c>
      <c r="BC159" s="26"/>
      <c r="BD159" s="26"/>
      <c r="BE159" s="26"/>
      <c r="BF159" s="26"/>
      <c r="BG159" s="26"/>
      <c r="BH159" s="26"/>
      <c r="BI159" s="26"/>
      <c r="BJ159" s="26"/>
      <c r="BK159" s="26"/>
      <c r="BL159" s="26"/>
      <c r="BM159" s="26"/>
      <c r="BN159" s="26"/>
      <c r="BO159" s="26"/>
      <c r="BP159" s="16" t="n">
        <v>45738</v>
      </c>
      <c r="BQ159" s="28" t="str">
        <f>HYPERLINK("https://organic.ams.usda.gov/Integrity/Certificate.aspx?cid=52&amp;nopid=8431501101")</f>
        <v>https://organic.ams.usda.gov/Integrity/Certificate.aspx?cid=52&amp;nopid=8431501101</v>
      </c>
    </row>
    <row r="160">
      <c r="A160" t="s">
        <v>3</v>
      </c>
      <c r="B160" s="6" t="s">
        <v>9</v>
      </c>
      <c r="C160" s="6" t="s">
        <v>56</v>
      </c>
      <c r="D160" s="6" t="s">
        <v>102</v>
      </c>
      <c r="E160" s="10" t="s">
        <v>301</v>
      </c>
      <c r="F160" s="6" t="s">
        <v>3038</v>
      </c>
      <c r="G160" s="6" t="s">
        <v>81</v>
      </c>
      <c r="H160" s="6" t="s">
        <v>6034</v>
      </c>
      <c r="I160" s="6" t="s">
        <v>8478</v>
      </c>
      <c r="J160" s="6" t="s">
        <v>9665</v>
      </c>
      <c r="K160" s="6" t="s">
        <v>10886</v>
      </c>
      <c r="L160" s="16" t="n">
        <v>42045</v>
      </c>
      <c r="M160" s="16" t="n">
        <v>46113</v>
      </c>
      <c r="N160" s="6" t="s">
        <v>10886</v>
      </c>
      <c r="O160" s="16" t="n">
        <v>42045</v>
      </c>
      <c r="P160" s="6" t="s">
        <v>11004</v>
      </c>
      <c r="Q160" s="6" t="s">
        <v>81</v>
      </c>
      <c r="R160" s="6" t="s">
        <v>12473</v>
      </c>
      <c r="S160" s="6" t="s">
        <v>10886</v>
      </c>
      <c r="T160" s="16" t="n">
        <v>42045</v>
      </c>
      <c r="U160" s="6" t="s">
        <v>13162</v>
      </c>
      <c r="V160" s="6" t="s">
        <v>81</v>
      </c>
      <c r="W160" s="6" t="s">
        <v>12473</v>
      </c>
      <c r="X160" s="6" t="s">
        <v>81</v>
      </c>
      <c r="Y160" s="21" t="s">
        <v>81</v>
      </c>
      <c r="Z160" s="6" t="s">
        <v>81</v>
      </c>
      <c r="AA160" s="6" t="s">
        <v>81</v>
      </c>
      <c r="AB160" s="6" t="s">
        <v>81</v>
      </c>
      <c r="AC160" s="6" t="s">
        <v>10886</v>
      </c>
      <c r="AD160" s="16" t="n">
        <v>42045</v>
      </c>
      <c r="AE160" s="6" t="s">
        <v>81</v>
      </c>
      <c r="AF160" s="6" t="s">
        <v>81</v>
      </c>
      <c r="AG160" s="6" t="s">
        <v>81</v>
      </c>
      <c r="AH160" s="6" t="s">
        <v>14767</v>
      </c>
      <c r="AI160" s="6" t="s">
        <v>81</v>
      </c>
      <c r="AJ160" s="6" t="s">
        <v>17427</v>
      </c>
      <c r="AK160" s="6" t="s">
        <v>18377</v>
      </c>
      <c r="AL160" s="6" t="s">
        <v>18444</v>
      </c>
      <c r="AM160" s="6" t="s">
        <v>18584</v>
      </c>
      <c r="AN160" s="6" t="s">
        <v>19634</v>
      </c>
      <c r="AO160" s="6" t="s">
        <v>19764</v>
      </c>
      <c r="AP160" s="6" t="s">
        <v>81</v>
      </c>
      <c r="AQ160" s="6" t="s">
        <v>81</v>
      </c>
      <c r="AR160" s="6" t="s">
        <v>81</v>
      </c>
      <c r="AS160" s="6" t="s">
        <v>81</v>
      </c>
      <c r="AT160" s="6" t="s">
        <v>81</v>
      </c>
      <c r="AU160" s="6" t="s">
        <v>81</v>
      </c>
      <c r="AV160" s="6" t="s">
        <v>81</v>
      </c>
      <c r="AW160" s="6" t="s">
        <v>81</v>
      </c>
      <c r="AX160" s="6" t="s">
        <v>81</v>
      </c>
      <c r="AY160" s="6" t="s">
        <v>81</v>
      </c>
      <c r="AZ160" s="6" t="s">
        <v>81</v>
      </c>
      <c r="BA160" s="6" t="s">
        <v>81</v>
      </c>
      <c r="BB160" s="24" t="n">
        <v>148</v>
      </c>
      <c r="BC160" s="26"/>
      <c r="BD160" s="26"/>
      <c r="BE160" s="26"/>
      <c r="BF160" s="26"/>
      <c r="BG160" s="26"/>
      <c r="BH160" s="26"/>
      <c r="BI160" s="26"/>
      <c r="BJ160" s="26"/>
      <c r="BK160" s="26"/>
      <c r="BL160" s="26"/>
      <c r="BM160" s="26"/>
      <c r="BN160" s="26"/>
      <c r="BO160" s="26"/>
      <c r="BP160" s="16" t="n">
        <v>45738</v>
      </c>
      <c r="BQ160" s="28" t="str">
        <f>HYPERLINK("https://organic.ams.usda.gov/Integrity/Certificate.aspx?cid=52&amp;nopid=8431400920")</f>
        <v>https://organic.ams.usda.gov/Integrity/Certificate.aspx?cid=52&amp;nopid=8431400920</v>
      </c>
    </row>
    <row r="161">
      <c r="A161" t="s">
        <v>3</v>
      </c>
      <c r="B161" s="6" t="s">
        <v>10</v>
      </c>
      <c r="C161" s="6" t="s">
        <v>57</v>
      </c>
      <c r="D161" s="6" t="s">
        <v>103</v>
      </c>
      <c r="E161" s="10" t="s">
        <v>302</v>
      </c>
      <c r="F161" s="6" t="s">
        <v>3039</v>
      </c>
      <c r="G161" s="6" t="s">
        <v>81</v>
      </c>
      <c r="H161" s="6" t="s">
        <v>6035</v>
      </c>
      <c r="I161" s="6" t="s">
        <v>8480</v>
      </c>
      <c r="J161" s="6" t="s">
        <v>9665</v>
      </c>
      <c r="K161" s="6" t="s">
        <v>10886</v>
      </c>
      <c r="L161" s="16" t="n">
        <v>45155</v>
      </c>
      <c r="M161" s="16" t="n">
        <v>45748</v>
      </c>
      <c r="N161" s="6" t="s">
        <v>10886</v>
      </c>
      <c r="O161" s="16" t="n">
        <v>45155</v>
      </c>
      <c r="P161" s="6" t="s">
        <v>11005</v>
      </c>
      <c r="Q161" s="6" t="s">
        <v>81</v>
      </c>
      <c r="R161" s="6" t="s">
        <v>12474</v>
      </c>
      <c r="S161" s="6" t="s">
        <v>10886</v>
      </c>
      <c r="T161" s="16" t="n">
        <v>45181</v>
      </c>
      <c r="U161" s="6" t="s">
        <v>13163</v>
      </c>
      <c r="V161" s="6" t="s">
        <v>81</v>
      </c>
      <c r="W161" s="6" t="s">
        <v>81</v>
      </c>
      <c r="X161" s="6" t="s">
        <v>81</v>
      </c>
      <c r="Y161" s="21" t="s">
        <v>81</v>
      </c>
      <c r="Z161" s="6" t="s">
        <v>81</v>
      </c>
      <c r="AA161" s="6" t="s">
        <v>81</v>
      </c>
      <c r="AB161" s="6" t="s">
        <v>81</v>
      </c>
      <c r="AC161" s="6" t="s">
        <v>81</v>
      </c>
      <c r="AD161" s="21" t="s">
        <v>81</v>
      </c>
      <c r="AE161" s="6" t="s">
        <v>81</v>
      </c>
      <c r="AF161" s="6" t="s">
        <v>81</v>
      </c>
      <c r="AG161" s="6" t="s">
        <v>81</v>
      </c>
      <c r="AH161" s="6" t="s">
        <v>14768</v>
      </c>
      <c r="AI161" s="6" t="s">
        <v>81</v>
      </c>
      <c r="AJ161" s="6" t="s">
        <v>17319</v>
      </c>
      <c r="AK161" s="6" t="s">
        <v>18378</v>
      </c>
      <c r="AL161" s="6" t="s">
        <v>18444</v>
      </c>
      <c r="AM161" s="6" t="s">
        <v>18471</v>
      </c>
      <c r="AN161" s="6" t="s">
        <v>19676</v>
      </c>
      <c r="AO161" s="6" t="s">
        <v>19784</v>
      </c>
      <c r="AP161" s="6" t="s">
        <v>14768</v>
      </c>
      <c r="AQ161" s="6" t="s">
        <v>81</v>
      </c>
      <c r="AR161" s="6" t="s">
        <v>17319</v>
      </c>
      <c r="AS161" s="6" t="s">
        <v>18378</v>
      </c>
      <c r="AT161" s="6" t="s">
        <v>18444</v>
      </c>
      <c r="AU161" s="6" t="s">
        <v>18471</v>
      </c>
      <c r="AV161" s="6" t="s">
        <v>81</v>
      </c>
      <c r="AW161" s="6" t="s">
        <v>81</v>
      </c>
      <c r="AX161" s="6" t="s">
        <v>20848</v>
      </c>
      <c r="AY161" s="6" t="s">
        <v>81</v>
      </c>
      <c r="AZ161" s="6" t="s">
        <v>81</v>
      </c>
      <c r="BA161" s="6" t="s">
        <v>81</v>
      </c>
      <c r="BB161" s="24" t="n">
        <v>57</v>
      </c>
      <c r="BC161" s="26"/>
      <c r="BD161" s="26"/>
      <c r="BE161" s="26"/>
      <c r="BF161" s="26"/>
      <c r="BG161" s="26"/>
      <c r="BH161" s="26"/>
      <c r="BI161" s="26"/>
      <c r="BJ161" s="26"/>
      <c r="BK161" s="26"/>
      <c r="BL161" s="26"/>
      <c r="BM161" s="26"/>
      <c r="BN161" s="26"/>
      <c r="BO161" s="26"/>
      <c r="BP161" s="16" t="n">
        <v>45730</v>
      </c>
      <c r="BQ161" s="28" t="str">
        <f>HYPERLINK("https://organic.ams.usda.gov/Integrity/Certificate.aspx?cid=90&amp;nopid=7170230703")</f>
        <v>https://organic.ams.usda.gov/Integrity/Certificate.aspx?cid=90&amp;nopid=7170230703</v>
      </c>
    </row>
    <row r="162">
      <c r="A162" t="s">
        <v>3</v>
      </c>
      <c r="B162" s="6" t="s">
        <v>12</v>
      </c>
      <c r="C162" s="6" t="s">
        <v>59</v>
      </c>
      <c r="D162" s="6" t="s">
        <v>105</v>
      </c>
      <c r="E162" s="10" t="s">
        <v>303</v>
      </c>
      <c r="F162" s="6" t="s">
        <v>3040</v>
      </c>
      <c r="G162" s="6" t="s">
        <v>81</v>
      </c>
      <c r="H162" s="6" t="s">
        <v>6036</v>
      </c>
      <c r="I162" s="6" t="s">
        <v>8481</v>
      </c>
      <c r="J162" s="6" t="s">
        <v>9753</v>
      </c>
      <c r="K162" s="6" t="s">
        <v>10886</v>
      </c>
      <c r="L162" s="16" t="n">
        <v>41578</v>
      </c>
      <c r="M162" s="16" t="n">
        <v>45717</v>
      </c>
      <c r="N162" s="6" t="s">
        <v>10886</v>
      </c>
      <c r="O162" s="16" t="n">
        <v>41578</v>
      </c>
      <c r="P162" s="6" t="s">
        <v>11006</v>
      </c>
      <c r="Q162" s="6" t="s">
        <v>81</v>
      </c>
      <c r="R162" s="6" t="s">
        <v>81</v>
      </c>
      <c r="S162" s="6" t="s">
        <v>10886</v>
      </c>
      <c r="T162" s="16" t="n">
        <v>41578</v>
      </c>
      <c r="U162" s="6" t="s">
        <v>13187</v>
      </c>
      <c r="V162" s="6" t="s">
        <v>81</v>
      </c>
      <c r="W162" s="6" t="s">
        <v>81</v>
      </c>
      <c r="X162" s="6" t="s">
        <v>81</v>
      </c>
      <c r="Y162" s="21" t="s">
        <v>81</v>
      </c>
      <c r="Z162" s="6" t="s">
        <v>81</v>
      </c>
      <c r="AA162" s="6" t="s">
        <v>81</v>
      </c>
      <c r="AB162" s="6" t="s">
        <v>81</v>
      </c>
      <c r="AC162" s="6" t="s">
        <v>81</v>
      </c>
      <c r="AD162" s="21" t="s">
        <v>81</v>
      </c>
      <c r="AE162" s="6" t="s">
        <v>81</v>
      </c>
      <c r="AF162" s="6" t="s">
        <v>81</v>
      </c>
      <c r="AG162" s="6" t="s">
        <v>81</v>
      </c>
      <c r="AH162" s="6" t="s">
        <v>14769</v>
      </c>
      <c r="AI162" s="6" t="s">
        <v>81</v>
      </c>
      <c r="AJ162" s="6" t="s">
        <v>17428</v>
      </c>
      <c r="AK162" s="6" t="s">
        <v>17712</v>
      </c>
      <c r="AL162" s="6" t="s">
        <v>18444</v>
      </c>
      <c r="AM162" s="6" t="s">
        <v>18585</v>
      </c>
      <c r="AN162" s="6" t="s">
        <v>19669</v>
      </c>
      <c r="AO162" s="6" t="s">
        <v>19790</v>
      </c>
      <c r="AP162" s="6" t="s">
        <v>14769</v>
      </c>
      <c r="AQ162" s="6" t="s">
        <v>81</v>
      </c>
      <c r="AR162" s="6" t="s">
        <v>17428</v>
      </c>
      <c r="AS162" s="6" t="s">
        <v>17712</v>
      </c>
      <c r="AT162" s="6" t="s">
        <v>18444</v>
      </c>
      <c r="AU162" s="6" t="s">
        <v>18585</v>
      </c>
      <c r="AV162" s="6" t="s">
        <v>81</v>
      </c>
      <c r="AW162" s="6" t="s">
        <v>81</v>
      </c>
      <c r="AX162" s="6" t="s">
        <v>20849</v>
      </c>
      <c r="AY162" s="6" t="s">
        <v>81</v>
      </c>
      <c r="AZ162" s="6" t="s">
        <v>81</v>
      </c>
      <c r="BA162" s="6" t="s">
        <v>81</v>
      </c>
      <c r="BB162" s="24" t="n">
        <v>717</v>
      </c>
      <c r="BC162" s="26"/>
      <c r="BD162" s="26"/>
      <c r="BE162" s="26"/>
      <c r="BF162" s="26"/>
      <c r="BG162" s="26"/>
      <c r="BH162" s="26"/>
      <c r="BI162" s="26"/>
      <c r="BJ162" s="26"/>
      <c r="BK162" s="26"/>
      <c r="BL162" s="26"/>
      <c r="BM162" s="26"/>
      <c r="BN162" s="26"/>
      <c r="BO162" s="26"/>
      <c r="BP162" s="16" t="n">
        <v>45686</v>
      </c>
      <c r="BQ162" s="28" t="str">
        <f>HYPERLINK("https://organic.ams.usda.gov/Integrity/Certificate.aspx?cid=68&amp;nopid=8210001911")</f>
        <v>https://organic.ams.usda.gov/Integrity/Certificate.aspx?cid=68&amp;nopid=8210001911</v>
      </c>
    </row>
    <row r="163">
      <c r="A163" t="s">
        <v>3</v>
      </c>
      <c r="B163" s="6" t="s">
        <v>11</v>
      </c>
      <c r="C163" s="6" t="s">
        <v>58</v>
      </c>
      <c r="D163" s="6" t="s">
        <v>104</v>
      </c>
      <c r="E163" s="10" t="s">
        <v>304</v>
      </c>
      <c r="F163" s="6" t="s">
        <v>3041</v>
      </c>
      <c r="G163" s="6" t="s">
        <v>81</v>
      </c>
      <c r="H163" s="6" t="s">
        <v>81</v>
      </c>
      <c r="I163" s="6" t="s">
        <v>8482</v>
      </c>
      <c r="J163" s="6" t="s">
        <v>9666</v>
      </c>
      <c r="K163" s="6" t="s">
        <v>10886</v>
      </c>
      <c r="L163" s="16" t="n">
        <v>45016</v>
      </c>
      <c r="M163" s="16" t="n">
        <v>45383</v>
      </c>
      <c r="N163" s="6" t="s">
        <v>10886</v>
      </c>
      <c r="O163" s="16" t="n">
        <v>45016</v>
      </c>
      <c r="P163" s="6" t="s">
        <v>11007</v>
      </c>
      <c r="Q163" s="6" t="s">
        <v>81</v>
      </c>
      <c r="R163" s="6" t="s">
        <v>81</v>
      </c>
      <c r="S163" s="6" t="s">
        <v>10886</v>
      </c>
      <c r="T163" s="16" t="n">
        <v>45016</v>
      </c>
      <c r="U163" s="6" t="s">
        <v>13224</v>
      </c>
      <c r="V163" s="6" t="s">
        <v>81</v>
      </c>
      <c r="W163" s="6" t="s">
        <v>81</v>
      </c>
      <c r="X163" s="6" t="s">
        <v>81</v>
      </c>
      <c r="Y163" s="21" t="s">
        <v>81</v>
      </c>
      <c r="Z163" s="6" t="s">
        <v>81</v>
      </c>
      <c r="AA163" s="6" t="s">
        <v>81</v>
      </c>
      <c r="AB163" s="6" t="s">
        <v>81</v>
      </c>
      <c r="AC163" s="6" t="s">
        <v>81</v>
      </c>
      <c r="AD163" s="21" t="s">
        <v>81</v>
      </c>
      <c r="AE163" s="6" t="s">
        <v>81</v>
      </c>
      <c r="AF163" s="6" t="s">
        <v>81</v>
      </c>
      <c r="AG163" s="6" t="s">
        <v>81</v>
      </c>
      <c r="AH163" s="6" t="s">
        <v>14770</v>
      </c>
      <c r="AI163" s="6" t="s">
        <v>81</v>
      </c>
      <c r="AJ163" s="6" t="s">
        <v>17429</v>
      </c>
      <c r="AK163" s="6" t="s">
        <v>18377</v>
      </c>
      <c r="AL163" s="6" t="s">
        <v>18444</v>
      </c>
      <c r="AM163" s="6" t="s">
        <v>18586</v>
      </c>
      <c r="AN163" s="6" t="s">
        <v>19638</v>
      </c>
      <c r="AO163" s="6" t="s">
        <v>19724</v>
      </c>
      <c r="AP163" s="6" t="s">
        <v>14770</v>
      </c>
      <c r="AQ163" s="6" t="s">
        <v>81</v>
      </c>
      <c r="AR163" s="6" t="s">
        <v>17429</v>
      </c>
      <c r="AS163" s="6" t="s">
        <v>18377</v>
      </c>
      <c r="AT163" s="6" t="s">
        <v>18444</v>
      </c>
      <c r="AU163" s="6" t="s">
        <v>18586</v>
      </c>
      <c r="AV163" s="6" t="s">
        <v>81</v>
      </c>
      <c r="AW163" s="6" t="s">
        <v>81</v>
      </c>
      <c r="AX163" s="6" t="s">
        <v>81</v>
      </c>
      <c r="AY163" s="6" t="s">
        <v>81</v>
      </c>
      <c r="AZ163" s="6" t="s">
        <v>81</v>
      </c>
      <c r="BA163" s="6" t="s">
        <v>23825</v>
      </c>
      <c r="BB163" s="24" t="n">
        <v>109</v>
      </c>
      <c r="BC163" s="26"/>
      <c r="BD163" s="26"/>
      <c r="BE163" s="26"/>
      <c r="BF163" s="26"/>
      <c r="BG163" s="26"/>
      <c r="BH163" s="26"/>
      <c r="BI163" s="26"/>
      <c r="BJ163" s="26"/>
      <c r="BK163" s="26"/>
      <c r="BL163" s="26"/>
      <c r="BM163" s="26"/>
      <c r="BN163" s="26"/>
      <c r="BO163" s="26"/>
      <c r="BP163" s="16" t="n">
        <v>45441</v>
      </c>
      <c r="BQ163" s="28" t="str">
        <f>HYPERLINK("https://organic.ams.usda.gov/Integrity/Certificate.aspx?cid=46&amp;nopid=3672300015")</f>
        <v>https://organic.ams.usda.gov/Integrity/Certificate.aspx?cid=46&amp;nopid=3672300015</v>
      </c>
    </row>
    <row r="164">
      <c r="A164" t="s">
        <v>3</v>
      </c>
      <c r="B164" s="6" t="s">
        <v>7</v>
      </c>
      <c r="C164" s="6" t="s">
        <v>54</v>
      </c>
      <c r="D164" s="6" t="s">
        <v>100</v>
      </c>
      <c r="E164" s="10" t="s">
        <v>305</v>
      </c>
      <c r="F164" s="6" t="s">
        <v>3042</v>
      </c>
      <c r="G164" s="6" t="s">
        <v>81</v>
      </c>
      <c r="H164" s="6" t="s">
        <v>6037</v>
      </c>
      <c r="I164" s="6" t="s">
        <v>8423</v>
      </c>
      <c r="J164" s="6" t="s">
        <v>9669</v>
      </c>
      <c r="K164" s="6" t="s">
        <v>10886</v>
      </c>
      <c r="L164" s="16" t="n">
        <v>42528</v>
      </c>
      <c r="M164" s="16" t="n">
        <v>45716</v>
      </c>
      <c r="N164" s="6" t="s">
        <v>10886</v>
      </c>
      <c r="O164" s="16" t="n">
        <v>42528</v>
      </c>
      <c r="P164" s="6" t="s">
        <v>11008</v>
      </c>
      <c r="Q164" s="6" t="s">
        <v>81</v>
      </c>
      <c r="R164" s="6" t="s">
        <v>81</v>
      </c>
      <c r="S164" s="6" t="s">
        <v>10886</v>
      </c>
      <c r="T164" s="16" t="n">
        <v>43070</v>
      </c>
      <c r="U164" s="6" t="s">
        <v>13160</v>
      </c>
      <c r="V164" s="6" t="s">
        <v>81</v>
      </c>
      <c r="W164" s="6" t="s">
        <v>81</v>
      </c>
      <c r="X164" s="6" t="s">
        <v>81</v>
      </c>
      <c r="Y164" s="21" t="s">
        <v>81</v>
      </c>
      <c r="Z164" s="6" t="s">
        <v>81</v>
      </c>
      <c r="AA164" s="6" t="s">
        <v>81</v>
      </c>
      <c r="AB164" s="6" t="s">
        <v>81</v>
      </c>
      <c r="AC164" s="6" t="s">
        <v>81</v>
      </c>
      <c r="AD164" s="21" t="s">
        <v>81</v>
      </c>
      <c r="AE164" s="6" t="s">
        <v>81</v>
      </c>
      <c r="AF164" s="6" t="s">
        <v>81</v>
      </c>
      <c r="AG164" s="6" t="s">
        <v>81</v>
      </c>
      <c r="AH164" s="6" t="s">
        <v>14771</v>
      </c>
      <c r="AI164" s="6" t="s">
        <v>81</v>
      </c>
      <c r="AJ164" s="6" t="s">
        <v>17410</v>
      </c>
      <c r="AK164" s="6" t="s">
        <v>17712</v>
      </c>
      <c r="AL164" s="6" t="s">
        <v>18444</v>
      </c>
      <c r="AM164" s="6" t="s">
        <v>18566</v>
      </c>
      <c r="AN164" s="6" t="s">
        <v>19670</v>
      </c>
      <c r="AO164" s="6" t="s">
        <v>19782</v>
      </c>
      <c r="AP164" s="6" t="s">
        <v>14771</v>
      </c>
      <c r="AQ164" s="6" t="s">
        <v>81</v>
      </c>
      <c r="AR164" s="6" t="s">
        <v>17410</v>
      </c>
      <c r="AS164" s="6" t="s">
        <v>17712</v>
      </c>
      <c r="AT164" s="6" t="s">
        <v>18444</v>
      </c>
      <c r="AU164" s="6" t="s">
        <v>18566</v>
      </c>
      <c r="AV164" s="6" t="s">
        <v>81</v>
      </c>
      <c r="AW164" s="6" t="s">
        <v>81</v>
      </c>
      <c r="AX164" s="6" t="s">
        <v>81</v>
      </c>
      <c r="AY164" s="6" t="s">
        <v>81</v>
      </c>
      <c r="AZ164" s="6" t="s">
        <v>81</v>
      </c>
      <c r="BA164" s="6" t="s">
        <v>81</v>
      </c>
      <c r="BB164" s="24" t="n">
        <v>194</v>
      </c>
      <c r="BC164" s="26"/>
      <c r="BD164" s="26"/>
      <c r="BE164" s="26"/>
      <c r="BF164" s="26"/>
      <c r="BG164" s="26"/>
      <c r="BH164" s="26"/>
      <c r="BI164" s="26"/>
      <c r="BJ164" s="26"/>
      <c r="BK164" s="26"/>
      <c r="BL164" s="26"/>
      <c r="BM164" s="26"/>
      <c r="BN164" s="26"/>
      <c r="BO164" s="26"/>
      <c r="BP164" s="16" t="n">
        <v>45644</v>
      </c>
      <c r="BQ164" s="28" t="str">
        <f>HYPERLINK("https://organic.ams.usda.gov/Integrity/Certificate.aspx?cid=57&amp;nopid=3252016021")</f>
        <v>https://organic.ams.usda.gov/Integrity/Certificate.aspx?cid=57&amp;nopid=3252016021</v>
      </c>
    </row>
    <row r="165">
      <c r="A165" t="s">
        <v>3</v>
      </c>
      <c r="B165" s="6" t="s">
        <v>7</v>
      </c>
      <c r="C165" s="6" t="s">
        <v>54</v>
      </c>
      <c r="D165" s="6" t="s">
        <v>100</v>
      </c>
      <c r="E165" s="10" t="s">
        <v>306</v>
      </c>
      <c r="F165" s="6" t="s">
        <v>3042</v>
      </c>
      <c r="G165" s="6" t="s">
        <v>81</v>
      </c>
      <c r="H165" s="6" t="s">
        <v>6038</v>
      </c>
      <c r="I165" s="6" t="s">
        <v>8423</v>
      </c>
      <c r="J165" s="6" t="s">
        <v>9669</v>
      </c>
      <c r="K165" s="6" t="s">
        <v>10886</v>
      </c>
      <c r="L165" s="16" t="n">
        <v>42166</v>
      </c>
      <c r="M165" s="16" t="n">
        <v>45716</v>
      </c>
      <c r="N165" s="6" t="s">
        <v>10886</v>
      </c>
      <c r="O165" s="16" t="n">
        <v>42166</v>
      </c>
      <c r="P165" s="6" t="s">
        <v>11009</v>
      </c>
      <c r="Q165" s="6" t="s">
        <v>81</v>
      </c>
      <c r="R165" s="6" t="s">
        <v>81</v>
      </c>
      <c r="S165" s="6" t="s">
        <v>10886</v>
      </c>
      <c r="T165" s="16" t="n">
        <v>42180</v>
      </c>
      <c r="U165" s="6" t="s">
        <v>13169</v>
      </c>
      <c r="V165" s="6" t="s">
        <v>81</v>
      </c>
      <c r="W165" s="6" t="s">
        <v>81</v>
      </c>
      <c r="X165" s="6" t="s">
        <v>81</v>
      </c>
      <c r="Y165" s="21" t="s">
        <v>81</v>
      </c>
      <c r="Z165" s="6" t="s">
        <v>81</v>
      </c>
      <c r="AA165" s="6" t="s">
        <v>81</v>
      </c>
      <c r="AB165" s="6" t="s">
        <v>81</v>
      </c>
      <c r="AC165" s="6" t="s">
        <v>81</v>
      </c>
      <c r="AD165" s="21" t="s">
        <v>81</v>
      </c>
      <c r="AE165" s="6" t="s">
        <v>81</v>
      </c>
      <c r="AF165" s="6" t="s">
        <v>81</v>
      </c>
      <c r="AG165" s="6" t="s">
        <v>81</v>
      </c>
      <c r="AH165" s="6" t="s">
        <v>14772</v>
      </c>
      <c r="AI165" s="6" t="s">
        <v>81</v>
      </c>
      <c r="AJ165" s="6" t="s">
        <v>17406</v>
      </c>
      <c r="AK165" s="6" t="s">
        <v>17712</v>
      </c>
      <c r="AL165" s="6" t="s">
        <v>18444</v>
      </c>
      <c r="AM165" s="6" t="s">
        <v>18562</v>
      </c>
      <c r="AN165" s="6" t="s">
        <v>19657</v>
      </c>
      <c r="AO165" s="6" t="s">
        <v>19751</v>
      </c>
      <c r="AP165" s="6" t="s">
        <v>14772</v>
      </c>
      <c r="AQ165" s="6" t="s">
        <v>81</v>
      </c>
      <c r="AR165" s="6" t="s">
        <v>17406</v>
      </c>
      <c r="AS165" s="6" t="s">
        <v>17712</v>
      </c>
      <c r="AT165" s="6" t="s">
        <v>18444</v>
      </c>
      <c r="AU165" s="6" t="s">
        <v>18562</v>
      </c>
      <c r="AV165" s="6" t="s">
        <v>81</v>
      </c>
      <c r="AW165" s="6" t="s">
        <v>81</v>
      </c>
      <c r="AX165" s="6" t="s">
        <v>81</v>
      </c>
      <c r="AY165" s="6" t="s">
        <v>81</v>
      </c>
      <c r="AZ165" s="6" t="s">
        <v>81</v>
      </c>
      <c r="BA165" s="6" t="s">
        <v>81</v>
      </c>
      <c r="BB165" s="24" t="n">
        <v>70</v>
      </c>
      <c r="BC165" s="26"/>
      <c r="BD165" s="26"/>
      <c r="BE165" s="26"/>
      <c r="BF165" s="26" t="s">
        <v>23900</v>
      </c>
      <c r="BG165" s="26"/>
      <c r="BH165" s="26"/>
      <c r="BI165" s="26"/>
      <c r="BJ165" s="26"/>
      <c r="BK165" s="26"/>
      <c r="BL165" s="26"/>
      <c r="BM165" s="26"/>
      <c r="BN165" s="26"/>
      <c r="BO165" s="26"/>
      <c r="BP165" s="16" t="n">
        <v>45672</v>
      </c>
      <c r="BQ165" s="28" t="str">
        <f>HYPERLINK("https://organic.ams.usda.gov/Integrity/Certificate.aspx?cid=57&amp;nopid=3252015023")</f>
        <v>https://organic.ams.usda.gov/Integrity/Certificate.aspx?cid=57&amp;nopid=3252015023</v>
      </c>
    </row>
    <row r="166">
      <c r="A166" t="s">
        <v>3</v>
      </c>
      <c r="B166" s="6" t="s">
        <v>22</v>
      </c>
      <c r="C166" s="6" t="s">
        <v>69</v>
      </c>
      <c r="D166" s="6" t="s">
        <v>115</v>
      </c>
      <c r="E166" s="10" t="s">
        <v>307</v>
      </c>
      <c r="F166" s="6" t="s">
        <v>3043</v>
      </c>
      <c r="G166" s="6" t="s">
        <v>5605</v>
      </c>
      <c r="H166" s="6" t="s">
        <v>5605</v>
      </c>
      <c r="I166" s="6" t="s">
        <v>8483</v>
      </c>
      <c r="J166" s="6" t="s">
        <v>9754</v>
      </c>
      <c r="K166" s="6" t="s">
        <v>10886</v>
      </c>
      <c r="L166" s="16" t="n">
        <v>42789</v>
      </c>
      <c r="M166" s="16" t="n">
        <v>45931</v>
      </c>
      <c r="N166" s="6" t="s">
        <v>10886</v>
      </c>
      <c r="O166" s="16" t="n">
        <v>42789</v>
      </c>
      <c r="P166" s="6" t="s">
        <v>11010</v>
      </c>
      <c r="Q166" s="6" t="s">
        <v>81</v>
      </c>
      <c r="R166" s="6" t="s">
        <v>5605</v>
      </c>
      <c r="S166" s="6" t="s">
        <v>81</v>
      </c>
      <c r="T166" s="21" t="s">
        <v>81</v>
      </c>
      <c r="U166" s="6" t="s">
        <v>81</v>
      </c>
      <c r="V166" s="6" t="s">
        <v>81</v>
      </c>
      <c r="W166" s="6" t="s">
        <v>81</v>
      </c>
      <c r="X166" s="6" t="s">
        <v>81</v>
      </c>
      <c r="Y166" s="21" t="s">
        <v>81</v>
      </c>
      <c r="Z166" s="6" t="s">
        <v>81</v>
      </c>
      <c r="AA166" s="6" t="s">
        <v>81</v>
      </c>
      <c r="AB166" s="6" t="s">
        <v>81</v>
      </c>
      <c r="AC166" s="6" t="s">
        <v>10886</v>
      </c>
      <c r="AD166" s="16" t="n">
        <v>42789</v>
      </c>
      <c r="AE166" s="6" t="s">
        <v>14034</v>
      </c>
      <c r="AF166" s="6" t="s">
        <v>81</v>
      </c>
      <c r="AG166" s="6" t="s">
        <v>5605</v>
      </c>
      <c r="AH166" s="6" t="s">
        <v>14773</v>
      </c>
      <c r="AI166" s="6" t="s">
        <v>81</v>
      </c>
      <c r="AJ166" s="6" t="s">
        <v>17430</v>
      </c>
      <c r="AK166" s="6" t="s">
        <v>18394</v>
      </c>
      <c r="AL166" s="6" t="s">
        <v>18445</v>
      </c>
      <c r="AM166" s="6" t="s">
        <v>18587</v>
      </c>
      <c r="AN166" s="6" t="s">
        <v>81</v>
      </c>
      <c r="AO166" s="6" t="s">
        <v>81</v>
      </c>
      <c r="AP166" s="6" t="s">
        <v>14773</v>
      </c>
      <c r="AQ166" s="6" t="s">
        <v>81</v>
      </c>
      <c r="AR166" s="6" t="s">
        <v>17430</v>
      </c>
      <c r="AS166" s="6" t="s">
        <v>18394</v>
      </c>
      <c r="AT166" s="6" t="s">
        <v>18445</v>
      </c>
      <c r="AU166" s="6" t="s">
        <v>18587</v>
      </c>
      <c r="AV166" s="6" t="s">
        <v>81</v>
      </c>
      <c r="AW166" s="6" t="s">
        <v>81</v>
      </c>
      <c r="AX166" s="6" t="s">
        <v>20850</v>
      </c>
      <c r="AY166" s="6" t="s">
        <v>22595</v>
      </c>
      <c r="AZ166" s="6" t="s">
        <v>81</v>
      </c>
      <c r="BA166" s="6" t="s">
        <v>23821</v>
      </c>
      <c r="BB166" s="24" t="n">
        <v>273</v>
      </c>
      <c r="BC166" s="26"/>
      <c r="BD166" s="26"/>
      <c r="BE166" s="26"/>
      <c r="BF166" s="26"/>
      <c r="BG166" s="26"/>
      <c r="BH166" s="26"/>
      <c r="BI166" s="26"/>
      <c r="BJ166" s="26"/>
      <c r="BK166" s="26"/>
      <c r="BL166" s="26"/>
      <c r="BM166" s="26"/>
      <c r="BN166" s="26"/>
      <c r="BO166" s="26"/>
      <c r="BP166" s="16" t="n">
        <v>45638</v>
      </c>
      <c r="BQ166" s="28" t="str">
        <f>HYPERLINK("https://organic.ams.usda.gov/Integrity/Certificate.aspx?cid=21&amp;nopid=1780845414")</f>
        <v>https://organic.ams.usda.gov/Integrity/Certificate.aspx?cid=21&amp;nopid=1780845414</v>
      </c>
    </row>
    <row r="167">
      <c r="A167" t="s">
        <v>3</v>
      </c>
      <c r="B167" s="6" t="s">
        <v>9</v>
      </c>
      <c r="C167" s="6" t="s">
        <v>56</v>
      </c>
      <c r="D167" s="6" t="s">
        <v>102</v>
      </c>
      <c r="E167" s="10" t="s">
        <v>308</v>
      </c>
      <c r="F167" s="6" t="s">
        <v>3044</v>
      </c>
      <c r="G167" s="6" t="s">
        <v>81</v>
      </c>
      <c r="H167" s="6" t="s">
        <v>6039</v>
      </c>
      <c r="I167" s="6" t="s">
        <v>8423</v>
      </c>
      <c r="J167" s="6" t="s">
        <v>9755</v>
      </c>
      <c r="K167" s="6" t="s">
        <v>10886</v>
      </c>
      <c r="L167" s="16" t="n">
        <v>40375</v>
      </c>
      <c r="M167" s="16" t="n">
        <v>45748</v>
      </c>
      <c r="N167" s="6" t="s">
        <v>10886</v>
      </c>
      <c r="O167" s="16" t="n">
        <v>40375</v>
      </c>
      <c r="P167" s="6" t="s">
        <v>11011</v>
      </c>
      <c r="Q167" s="6" t="s">
        <v>81</v>
      </c>
      <c r="R167" s="6" t="s">
        <v>12475</v>
      </c>
      <c r="S167" s="6" t="s">
        <v>10886</v>
      </c>
      <c r="T167" s="16" t="n">
        <v>40375</v>
      </c>
      <c r="U167" s="6" t="s">
        <v>13162</v>
      </c>
      <c r="V167" s="6" t="s">
        <v>81</v>
      </c>
      <c r="W167" s="6" t="s">
        <v>12475</v>
      </c>
      <c r="X167" s="6" t="s">
        <v>81</v>
      </c>
      <c r="Y167" s="21" t="s">
        <v>81</v>
      </c>
      <c r="Z167" s="6" t="s">
        <v>81</v>
      </c>
      <c r="AA167" s="6" t="s">
        <v>81</v>
      </c>
      <c r="AB167" s="6" t="s">
        <v>81</v>
      </c>
      <c r="AC167" s="6" t="s">
        <v>81</v>
      </c>
      <c r="AD167" s="21" t="s">
        <v>81</v>
      </c>
      <c r="AE167" s="6" t="s">
        <v>81</v>
      </c>
      <c r="AF167" s="6" t="s">
        <v>81</v>
      </c>
      <c r="AG167" s="6" t="s">
        <v>81</v>
      </c>
      <c r="AH167" s="6" t="s">
        <v>14774</v>
      </c>
      <c r="AI167" s="6" t="s">
        <v>81</v>
      </c>
      <c r="AJ167" s="6" t="s">
        <v>17316</v>
      </c>
      <c r="AK167" s="6" t="s">
        <v>18377</v>
      </c>
      <c r="AL167" s="6" t="s">
        <v>18444</v>
      </c>
      <c r="AM167" s="6" t="s">
        <v>18468</v>
      </c>
      <c r="AN167" s="6" t="s">
        <v>19638</v>
      </c>
      <c r="AO167" s="6" t="s">
        <v>19724</v>
      </c>
      <c r="AP167" s="6" t="s">
        <v>81</v>
      </c>
      <c r="AQ167" s="6" t="s">
        <v>81</v>
      </c>
      <c r="AR167" s="6" t="s">
        <v>81</v>
      </c>
      <c r="AS167" s="6" t="s">
        <v>81</v>
      </c>
      <c r="AT167" s="6" t="s">
        <v>81</v>
      </c>
      <c r="AU167" s="6" t="s">
        <v>81</v>
      </c>
      <c r="AV167" s="6" t="s">
        <v>81</v>
      </c>
      <c r="AW167" s="6" t="s">
        <v>81</v>
      </c>
      <c r="AX167" s="6" t="s">
        <v>81</v>
      </c>
      <c r="AY167" s="6" t="s">
        <v>81</v>
      </c>
      <c r="AZ167" s="6" t="s">
        <v>81</v>
      </c>
      <c r="BA167" s="6" t="s">
        <v>81</v>
      </c>
      <c r="BB167" s="24" t="n">
        <v>41</v>
      </c>
      <c r="BC167" s="26"/>
      <c r="BD167" s="26"/>
      <c r="BE167" s="26"/>
      <c r="BF167" s="26"/>
      <c r="BG167" s="26"/>
      <c r="BH167" s="26"/>
      <c r="BI167" s="26"/>
      <c r="BJ167" s="26"/>
      <c r="BK167" s="26"/>
      <c r="BL167" s="26"/>
      <c r="BM167" s="26"/>
      <c r="BN167" s="26"/>
      <c r="BO167" s="26"/>
      <c r="BP167" s="16" t="n">
        <v>45738</v>
      </c>
      <c r="BQ167" s="28" t="str">
        <f>HYPERLINK("https://organic.ams.usda.gov/Integrity/Certificate.aspx?cid=52&amp;nopid=8431000198")</f>
        <v>https://organic.ams.usda.gov/Integrity/Certificate.aspx?cid=52&amp;nopid=8431000198</v>
      </c>
    </row>
    <row r="168">
      <c r="A168" t="s">
        <v>3</v>
      </c>
      <c r="B168" s="6" t="s">
        <v>7</v>
      </c>
      <c r="C168" s="6" t="s">
        <v>54</v>
      </c>
      <c r="D168" s="6" t="s">
        <v>100</v>
      </c>
      <c r="E168" s="10" t="s">
        <v>309</v>
      </c>
      <c r="F168" s="6" t="s">
        <v>3045</v>
      </c>
      <c r="G168" s="6" t="s">
        <v>81</v>
      </c>
      <c r="H168" s="6" t="s">
        <v>6040</v>
      </c>
      <c r="I168" s="6" t="s">
        <v>8423</v>
      </c>
      <c r="J168" s="6" t="s">
        <v>9669</v>
      </c>
      <c r="K168" s="6" t="s">
        <v>10886</v>
      </c>
      <c r="L168" s="16" t="n">
        <v>42801</v>
      </c>
      <c r="M168" s="16" t="n">
        <v>45716</v>
      </c>
      <c r="N168" s="6" t="s">
        <v>10886</v>
      </c>
      <c r="O168" s="16" t="n">
        <v>42801</v>
      </c>
      <c r="P168" s="6" t="s">
        <v>11012</v>
      </c>
      <c r="Q168" s="6" t="s">
        <v>81</v>
      </c>
      <c r="R168" s="6" t="s">
        <v>81</v>
      </c>
      <c r="S168" s="6" t="s">
        <v>10886</v>
      </c>
      <c r="T168" s="16" t="n">
        <v>42822</v>
      </c>
      <c r="U168" s="6" t="s">
        <v>13169</v>
      </c>
      <c r="V168" s="6" t="s">
        <v>81</v>
      </c>
      <c r="W168" s="6" t="s">
        <v>81</v>
      </c>
      <c r="X168" s="6" t="s">
        <v>81</v>
      </c>
      <c r="Y168" s="21" t="s">
        <v>81</v>
      </c>
      <c r="Z168" s="6" t="s">
        <v>81</v>
      </c>
      <c r="AA168" s="6" t="s">
        <v>81</v>
      </c>
      <c r="AB168" s="6" t="s">
        <v>81</v>
      </c>
      <c r="AC168" s="6" t="s">
        <v>81</v>
      </c>
      <c r="AD168" s="21" t="s">
        <v>81</v>
      </c>
      <c r="AE168" s="6" t="s">
        <v>81</v>
      </c>
      <c r="AF168" s="6" t="s">
        <v>81</v>
      </c>
      <c r="AG168" s="6" t="s">
        <v>81</v>
      </c>
      <c r="AH168" s="6" t="s">
        <v>14775</v>
      </c>
      <c r="AI168" s="6" t="s">
        <v>81</v>
      </c>
      <c r="AJ168" s="6" t="s">
        <v>17341</v>
      </c>
      <c r="AK168" s="6" t="s">
        <v>17712</v>
      </c>
      <c r="AL168" s="6" t="s">
        <v>18444</v>
      </c>
      <c r="AM168" s="6" t="s">
        <v>18495</v>
      </c>
      <c r="AN168" s="6" t="s">
        <v>19649</v>
      </c>
      <c r="AO168" s="6" t="s">
        <v>19738</v>
      </c>
      <c r="AP168" s="6" t="s">
        <v>14775</v>
      </c>
      <c r="AQ168" s="6" t="s">
        <v>81</v>
      </c>
      <c r="AR168" s="6" t="s">
        <v>17341</v>
      </c>
      <c r="AS168" s="6" t="s">
        <v>17712</v>
      </c>
      <c r="AT168" s="6" t="s">
        <v>18444</v>
      </c>
      <c r="AU168" s="6" t="s">
        <v>18495</v>
      </c>
      <c r="AV168" s="6" t="s">
        <v>81</v>
      </c>
      <c r="AW168" s="6" t="s">
        <v>81</v>
      </c>
      <c r="AX168" s="6" t="s">
        <v>81</v>
      </c>
      <c r="AY168" s="6" t="s">
        <v>81</v>
      </c>
      <c r="AZ168" s="6" t="s">
        <v>81</v>
      </c>
      <c r="BA168" s="6" t="s">
        <v>81</v>
      </c>
      <c r="BB168" s="24" t="n">
        <v>112</v>
      </c>
      <c r="BC168" s="26"/>
      <c r="BD168" s="26"/>
      <c r="BE168" s="26"/>
      <c r="BF168" s="26"/>
      <c r="BG168" s="26"/>
      <c r="BH168" s="26"/>
      <c r="BI168" s="26"/>
      <c r="BJ168" s="26"/>
      <c r="BK168" s="26"/>
      <c r="BL168" s="26"/>
      <c r="BM168" s="26"/>
      <c r="BN168" s="26"/>
      <c r="BO168" s="26"/>
      <c r="BP168" s="16" t="n">
        <v>45595</v>
      </c>
      <c r="BQ168" s="28" t="str">
        <f>HYPERLINK("https://organic.ams.usda.gov/Integrity/Certificate.aspx?cid=57&amp;nopid=3252017035")</f>
        <v>https://organic.ams.usda.gov/Integrity/Certificate.aspx?cid=57&amp;nopid=3252017035</v>
      </c>
    </row>
    <row r="169">
      <c r="A169" t="s">
        <v>3</v>
      </c>
      <c r="B169" s="6" t="s">
        <v>7</v>
      </c>
      <c r="C169" s="6" t="s">
        <v>54</v>
      </c>
      <c r="D169" s="6" t="s">
        <v>100</v>
      </c>
      <c r="E169" s="10" t="s">
        <v>310</v>
      </c>
      <c r="F169" s="6" t="s">
        <v>3046</v>
      </c>
      <c r="G169" s="6" t="s">
        <v>81</v>
      </c>
      <c r="H169" s="6" t="s">
        <v>6041</v>
      </c>
      <c r="I169" s="6" t="s">
        <v>8423</v>
      </c>
      <c r="J169" s="6" t="s">
        <v>9669</v>
      </c>
      <c r="K169" s="6" t="s">
        <v>10886</v>
      </c>
      <c r="L169" s="16" t="n">
        <v>45120</v>
      </c>
      <c r="M169" s="16" t="n">
        <v>45716</v>
      </c>
      <c r="N169" s="6" t="s">
        <v>10886</v>
      </c>
      <c r="O169" s="16" t="n">
        <v>45120</v>
      </c>
      <c r="P169" s="6" t="s">
        <v>11013</v>
      </c>
      <c r="Q169" s="6" t="s">
        <v>81</v>
      </c>
      <c r="R169" s="6" t="s">
        <v>81</v>
      </c>
      <c r="S169" s="6" t="s">
        <v>10886</v>
      </c>
      <c r="T169" s="16" t="n">
        <v>45132</v>
      </c>
      <c r="U169" s="6" t="s">
        <v>13175</v>
      </c>
      <c r="V169" s="6" t="s">
        <v>81</v>
      </c>
      <c r="W169" s="6" t="s">
        <v>81</v>
      </c>
      <c r="X169" s="6" t="s">
        <v>81</v>
      </c>
      <c r="Y169" s="21" t="s">
        <v>81</v>
      </c>
      <c r="Z169" s="6" t="s">
        <v>81</v>
      </c>
      <c r="AA169" s="6" t="s">
        <v>81</v>
      </c>
      <c r="AB169" s="6" t="s">
        <v>81</v>
      </c>
      <c r="AC169" s="6" t="s">
        <v>81</v>
      </c>
      <c r="AD169" s="21" t="s">
        <v>81</v>
      </c>
      <c r="AE169" s="6" t="s">
        <v>81</v>
      </c>
      <c r="AF169" s="6" t="s">
        <v>81</v>
      </c>
      <c r="AG169" s="6" t="s">
        <v>81</v>
      </c>
      <c r="AH169" s="6" t="s">
        <v>14776</v>
      </c>
      <c r="AI169" s="6" t="s">
        <v>81</v>
      </c>
      <c r="AJ169" s="6" t="s">
        <v>17406</v>
      </c>
      <c r="AK169" s="6" t="s">
        <v>17712</v>
      </c>
      <c r="AL169" s="6" t="s">
        <v>18444</v>
      </c>
      <c r="AM169" s="6" t="s">
        <v>18562</v>
      </c>
      <c r="AN169" s="6" t="s">
        <v>81</v>
      </c>
      <c r="AO169" s="6" t="s">
        <v>81</v>
      </c>
      <c r="AP169" s="6" t="s">
        <v>14776</v>
      </c>
      <c r="AQ169" s="6" t="s">
        <v>81</v>
      </c>
      <c r="AR169" s="6" t="s">
        <v>17406</v>
      </c>
      <c r="AS169" s="6" t="s">
        <v>17712</v>
      </c>
      <c r="AT169" s="6" t="s">
        <v>18444</v>
      </c>
      <c r="AU169" s="6" t="s">
        <v>18562</v>
      </c>
      <c r="AV169" s="6" t="s">
        <v>81</v>
      </c>
      <c r="AW169" s="6" t="s">
        <v>81</v>
      </c>
      <c r="AX169" s="6" t="s">
        <v>81</v>
      </c>
      <c r="AY169" s="6" t="s">
        <v>81</v>
      </c>
      <c r="AZ169" s="6" t="s">
        <v>81</v>
      </c>
      <c r="BA169" s="6" t="s">
        <v>81</v>
      </c>
      <c r="BB169" s="24" t="n">
        <v>62</v>
      </c>
      <c r="BC169" s="26"/>
      <c r="BD169" s="26"/>
      <c r="BE169" s="26"/>
      <c r="BF169" s="26" t="s">
        <v>23900</v>
      </c>
      <c r="BG169" s="26"/>
      <c r="BH169" s="26"/>
      <c r="BI169" s="26"/>
      <c r="BJ169" s="26"/>
      <c r="BK169" s="26"/>
      <c r="BL169" s="26"/>
      <c r="BM169" s="26"/>
      <c r="BN169" s="26"/>
      <c r="BO169" s="26"/>
      <c r="BP169" s="16" t="n">
        <v>45686</v>
      </c>
      <c r="BQ169" s="28" t="str">
        <f>HYPERLINK("https://organic.ams.usda.gov/Integrity/Certificate.aspx?cid=57&amp;nopid=3252023040")</f>
        <v>https://organic.ams.usda.gov/Integrity/Certificate.aspx?cid=57&amp;nopid=3252023040</v>
      </c>
    </row>
    <row r="170">
      <c r="A170" t="s">
        <v>3</v>
      </c>
      <c r="B170" s="6" t="s">
        <v>7</v>
      </c>
      <c r="C170" s="6" t="s">
        <v>54</v>
      </c>
      <c r="D170" s="6" t="s">
        <v>100</v>
      </c>
      <c r="E170" s="10" t="s">
        <v>311</v>
      </c>
      <c r="F170" s="6" t="s">
        <v>3047</v>
      </c>
      <c r="G170" s="6" t="s">
        <v>81</v>
      </c>
      <c r="H170" s="6" t="s">
        <v>6042</v>
      </c>
      <c r="I170" s="6" t="s">
        <v>8423</v>
      </c>
      <c r="J170" s="6" t="s">
        <v>9669</v>
      </c>
      <c r="K170" s="6" t="s">
        <v>10886</v>
      </c>
      <c r="L170" s="16" t="n">
        <v>45517</v>
      </c>
      <c r="M170" s="16" t="n">
        <v>45716</v>
      </c>
      <c r="N170" s="6" t="s">
        <v>10886</v>
      </c>
      <c r="O170" s="16" t="n">
        <v>45517</v>
      </c>
      <c r="P170" s="6" t="s">
        <v>10944</v>
      </c>
      <c r="Q170" s="6" t="s">
        <v>81</v>
      </c>
      <c r="R170" s="6" t="s">
        <v>81</v>
      </c>
      <c r="S170" s="6" t="s">
        <v>10886</v>
      </c>
      <c r="T170" s="16" t="n">
        <v>45517</v>
      </c>
      <c r="U170" s="6" t="s">
        <v>13169</v>
      </c>
      <c r="V170" s="6" t="s">
        <v>81</v>
      </c>
      <c r="W170" s="6" t="s">
        <v>81</v>
      </c>
      <c r="X170" s="6" t="s">
        <v>81</v>
      </c>
      <c r="Y170" s="21" t="s">
        <v>81</v>
      </c>
      <c r="Z170" s="6" t="s">
        <v>81</v>
      </c>
      <c r="AA170" s="6" t="s">
        <v>81</v>
      </c>
      <c r="AB170" s="6" t="s">
        <v>81</v>
      </c>
      <c r="AC170" s="6" t="s">
        <v>81</v>
      </c>
      <c r="AD170" s="21" t="s">
        <v>81</v>
      </c>
      <c r="AE170" s="6" t="s">
        <v>81</v>
      </c>
      <c r="AF170" s="6" t="s">
        <v>81</v>
      </c>
      <c r="AG170" s="6" t="s">
        <v>81</v>
      </c>
      <c r="AH170" s="6" t="s">
        <v>14777</v>
      </c>
      <c r="AI170" s="6" t="s">
        <v>81</v>
      </c>
      <c r="AJ170" s="6" t="s">
        <v>17431</v>
      </c>
      <c r="AK170" s="6" t="s">
        <v>17712</v>
      </c>
      <c r="AL170" s="6" t="s">
        <v>18444</v>
      </c>
      <c r="AM170" s="6" t="s">
        <v>18588</v>
      </c>
      <c r="AN170" s="6" t="s">
        <v>81</v>
      </c>
      <c r="AO170" s="6" t="s">
        <v>81</v>
      </c>
      <c r="AP170" s="6" t="s">
        <v>14777</v>
      </c>
      <c r="AQ170" s="6" t="s">
        <v>81</v>
      </c>
      <c r="AR170" s="6" t="s">
        <v>17431</v>
      </c>
      <c r="AS170" s="6" t="s">
        <v>17712</v>
      </c>
      <c r="AT170" s="6" t="s">
        <v>18444</v>
      </c>
      <c r="AU170" s="6" t="s">
        <v>18588</v>
      </c>
      <c r="AV170" s="6" t="s">
        <v>81</v>
      </c>
      <c r="AW170" s="6" t="s">
        <v>81</v>
      </c>
      <c r="AX170" s="6" t="s">
        <v>81</v>
      </c>
      <c r="AY170" s="6" t="s">
        <v>81</v>
      </c>
      <c r="AZ170" s="6" t="s">
        <v>81</v>
      </c>
      <c r="BA170" s="6" t="s">
        <v>81</v>
      </c>
      <c r="BB170" s="24" t="n">
        <v>198</v>
      </c>
      <c r="BC170" s="26"/>
      <c r="BD170" s="26"/>
      <c r="BE170" s="26"/>
      <c r="BF170" s="26" t="s">
        <v>23900</v>
      </c>
      <c r="BG170" s="26"/>
      <c r="BH170" s="26"/>
      <c r="BI170" s="26"/>
      <c r="BJ170" s="26"/>
      <c r="BK170" s="26"/>
      <c r="BL170" s="26"/>
      <c r="BM170" s="26"/>
      <c r="BN170" s="26"/>
      <c r="BO170" s="26"/>
      <c r="BP170" s="16" t="n">
        <v>45595</v>
      </c>
      <c r="BQ170" s="28" t="str">
        <f>HYPERLINK("https://organic.ams.usda.gov/Integrity/Certificate.aspx?cid=57&amp;nopid=3252024028")</f>
        <v>https://organic.ams.usda.gov/Integrity/Certificate.aspx?cid=57&amp;nopid=3252024028</v>
      </c>
    </row>
    <row r="171">
      <c r="A171" t="s">
        <v>3</v>
      </c>
      <c r="B171" s="6" t="s">
        <v>9</v>
      </c>
      <c r="C171" s="6" t="s">
        <v>56</v>
      </c>
      <c r="D171" s="6" t="s">
        <v>102</v>
      </c>
      <c r="E171" s="10" t="s">
        <v>312</v>
      </c>
      <c r="F171" s="6" t="s">
        <v>3048</v>
      </c>
      <c r="G171" s="6" t="s">
        <v>81</v>
      </c>
      <c r="H171" s="6" t="s">
        <v>6043</v>
      </c>
      <c r="I171" s="6" t="s">
        <v>8423</v>
      </c>
      <c r="J171" s="6" t="s">
        <v>9698</v>
      </c>
      <c r="K171" s="6" t="s">
        <v>10886</v>
      </c>
      <c r="L171" s="16" t="n">
        <v>41445</v>
      </c>
      <c r="M171" s="16" t="n">
        <v>46113</v>
      </c>
      <c r="N171" s="6" t="s">
        <v>10886</v>
      </c>
      <c r="O171" s="16" t="n">
        <v>41445</v>
      </c>
      <c r="P171" s="6" t="s">
        <v>11014</v>
      </c>
      <c r="Q171" s="6" t="s">
        <v>81</v>
      </c>
      <c r="R171" s="6" t="s">
        <v>12476</v>
      </c>
      <c r="S171" s="6" t="s">
        <v>10886</v>
      </c>
      <c r="T171" s="16" t="n">
        <v>41445</v>
      </c>
      <c r="U171" s="6" t="s">
        <v>13162</v>
      </c>
      <c r="V171" s="6" t="s">
        <v>81</v>
      </c>
      <c r="W171" s="6" t="s">
        <v>12476</v>
      </c>
      <c r="X171" s="6" t="s">
        <v>81</v>
      </c>
      <c r="Y171" s="21" t="s">
        <v>81</v>
      </c>
      <c r="Z171" s="6" t="s">
        <v>81</v>
      </c>
      <c r="AA171" s="6" t="s">
        <v>81</v>
      </c>
      <c r="AB171" s="6" t="s">
        <v>81</v>
      </c>
      <c r="AC171" s="6" t="s">
        <v>81</v>
      </c>
      <c r="AD171" s="21" t="s">
        <v>81</v>
      </c>
      <c r="AE171" s="6" t="s">
        <v>81</v>
      </c>
      <c r="AF171" s="6" t="s">
        <v>81</v>
      </c>
      <c r="AG171" s="6" t="s">
        <v>81</v>
      </c>
      <c r="AH171" s="6" t="s">
        <v>14778</v>
      </c>
      <c r="AI171" s="6" t="s">
        <v>81</v>
      </c>
      <c r="AJ171" s="6" t="s">
        <v>17432</v>
      </c>
      <c r="AK171" s="6" t="s">
        <v>18384</v>
      </c>
      <c r="AL171" s="6" t="s">
        <v>18444</v>
      </c>
      <c r="AM171" s="6" t="s">
        <v>18589</v>
      </c>
      <c r="AN171" s="6" t="s">
        <v>6132</v>
      </c>
      <c r="AO171" s="6" t="s">
        <v>19791</v>
      </c>
      <c r="AP171" s="6" t="s">
        <v>81</v>
      </c>
      <c r="AQ171" s="6" t="s">
        <v>81</v>
      </c>
      <c r="AR171" s="6" t="s">
        <v>81</v>
      </c>
      <c r="AS171" s="6" t="s">
        <v>81</v>
      </c>
      <c r="AT171" s="6" t="s">
        <v>81</v>
      </c>
      <c r="AU171" s="6" t="s">
        <v>81</v>
      </c>
      <c r="AV171" s="6" t="s">
        <v>81</v>
      </c>
      <c r="AW171" s="6" t="s">
        <v>81</v>
      </c>
      <c r="AX171" s="6" t="s">
        <v>20851</v>
      </c>
      <c r="AY171" s="6" t="s">
        <v>81</v>
      </c>
      <c r="AZ171" s="6" t="s">
        <v>81</v>
      </c>
      <c r="BA171" s="6" t="s">
        <v>81</v>
      </c>
      <c r="BB171" s="24" t="n">
        <v>121</v>
      </c>
      <c r="BC171" s="26"/>
      <c r="BD171" s="26"/>
      <c r="BE171" s="26"/>
      <c r="BF171" s="26"/>
      <c r="BG171" s="26"/>
      <c r="BH171" s="26"/>
      <c r="BI171" s="26"/>
      <c r="BJ171" s="26"/>
      <c r="BK171" s="26"/>
      <c r="BL171" s="26"/>
      <c r="BM171" s="26"/>
      <c r="BN171" s="26"/>
      <c r="BO171" s="26"/>
      <c r="BP171" s="16" t="n">
        <v>45738</v>
      </c>
      <c r="BQ171" s="28" t="str">
        <f>HYPERLINK("https://organic.ams.usda.gov/Integrity/Certificate.aspx?cid=52&amp;nopid=8431300480")</f>
        <v>https://organic.ams.usda.gov/Integrity/Certificate.aspx?cid=52&amp;nopid=8431300480</v>
      </c>
    </row>
    <row r="172">
      <c r="A172" t="s">
        <v>3</v>
      </c>
      <c r="B172" s="6" t="s">
        <v>7</v>
      </c>
      <c r="C172" s="6" t="s">
        <v>54</v>
      </c>
      <c r="D172" s="6" t="s">
        <v>100</v>
      </c>
      <c r="E172" s="10" t="s">
        <v>313</v>
      </c>
      <c r="F172" s="6" t="s">
        <v>3049</v>
      </c>
      <c r="G172" s="6" t="s">
        <v>81</v>
      </c>
      <c r="H172" s="6" t="s">
        <v>6044</v>
      </c>
      <c r="I172" s="6" t="s">
        <v>8423</v>
      </c>
      <c r="J172" s="6" t="s">
        <v>9675</v>
      </c>
      <c r="K172" s="6" t="s">
        <v>10886</v>
      </c>
      <c r="L172" s="16" t="n">
        <v>44735</v>
      </c>
      <c r="M172" s="16" t="n">
        <v>45716</v>
      </c>
      <c r="N172" s="6" t="s">
        <v>10886</v>
      </c>
      <c r="O172" s="16" t="n">
        <v>44735</v>
      </c>
      <c r="P172" s="6" t="s">
        <v>10944</v>
      </c>
      <c r="Q172" s="6" t="s">
        <v>81</v>
      </c>
      <c r="R172" s="6" t="s">
        <v>81</v>
      </c>
      <c r="S172" s="6" t="s">
        <v>10886</v>
      </c>
      <c r="T172" s="16" t="n">
        <v>44862</v>
      </c>
      <c r="U172" s="6" t="s">
        <v>13169</v>
      </c>
      <c r="V172" s="6" t="s">
        <v>81</v>
      </c>
      <c r="W172" s="6" t="s">
        <v>81</v>
      </c>
      <c r="X172" s="6" t="s">
        <v>81</v>
      </c>
      <c r="Y172" s="21" t="s">
        <v>81</v>
      </c>
      <c r="Z172" s="6" t="s">
        <v>81</v>
      </c>
      <c r="AA172" s="6" t="s">
        <v>81</v>
      </c>
      <c r="AB172" s="6" t="s">
        <v>81</v>
      </c>
      <c r="AC172" s="6" t="s">
        <v>81</v>
      </c>
      <c r="AD172" s="21" t="s">
        <v>81</v>
      </c>
      <c r="AE172" s="6" t="s">
        <v>81</v>
      </c>
      <c r="AF172" s="6" t="s">
        <v>81</v>
      </c>
      <c r="AG172" s="6" t="s">
        <v>81</v>
      </c>
      <c r="AH172" s="6" t="s">
        <v>14779</v>
      </c>
      <c r="AI172" s="6" t="s">
        <v>81</v>
      </c>
      <c r="AJ172" s="6" t="s">
        <v>17433</v>
      </c>
      <c r="AK172" s="6" t="s">
        <v>17712</v>
      </c>
      <c r="AL172" s="6" t="s">
        <v>18444</v>
      </c>
      <c r="AM172" s="6" t="s">
        <v>18590</v>
      </c>
      <c r="AN172" s="6" t="s">
        <v>19670</v>
      </c>
      <c r="AO172" s="6" t="s">
        <v>19782</v>
      </c>
      <c r="AP172" s="6" t="s">
        <v>14779</v>
      </c>
      <c r="AQ172" s="6" t="s">
        <v>81</v>
      </c>
      <c r="AR172" s="6" t="s">
        <v>17433</v>
      </c>
      <c r="AS172" s="6" t="s">
        <v>17712</v>
      </c>
      <c r="AT172" s="6" t="s">
        <v>18444</v>
      </c>
      <c r="AU172" s="6" t="s">
        <v>18590</v>
      </c>
      <c r="AV172" s="6" t="s">
        <v>81</v>
      </c>
      <c r="AW172" s="6" t="s">
        <v>81</v>
      </c>
      <c r="AX172" s="6" t="s">
        <v>81</v>
      </c>
      <c r="AY172" s="6" t="s">
        <v>81</v>
      </c>
      <c r="AZ172" s="6" t="s">
        <v>81</v>
      </c>
      <c r="BA172" s="6" t="s">
        <v>81</v>
      </c>
      <c r="BB172" s="24" t="n">
        <v>72</v>
      </c>
      <c r="BC172" s="26"/>
      <c r="BD172" s="26"/>
      <c r="BE172" s="26"/>
      <c r="BF172" s="26" t="s">
        <v>23900</v>
      </c>
      <c r="BG172" s="26"/>
      <c r="BH172" s="26"/>
      <c r="BI172" s="26"/>
      <c r="BJ172" s="26"/>
      <c r="BK172" s="26"/>
      <c r="BL172" s="26"/>
      <c r="BM172" s="26"/>
      <c r="BN172" s="26"/>
      <c r="BO172" s="26"/>
      <c r="BP172" s="16" t="n">
        <v>45693</v>
      </c>
      <c r="BQ172" s="28" t="str">
        <f>HYPERLINK("https://organic.ams.usda.gov/Integrity/Certificate.aspx?cid=57&amp;nopid=3252022027")</f>
        <v>https://organic.ams.usda.gov/Integrity/Certificate.aspx?cid=57&amp;nopid=3252022027</v>
      </c>
    </row>
    <row r="173">
      <c r="A173" t="s">
        <v>3</v>
      </c>
      <c r="B173" s="6" t="s">
        <v>12</v>
      </c>
      <c r="C173" s="6" t="s">
        <v>59</v>
      </c>
      <c r="D173" s="6" t="s">
        <v>105</v>
      </c>
      <c r="E173" s="10" t="s">
        <v>314</v>
      </c>
      <c r="F173" s="6" t="s">
        <v>3050</v>
      </c>
      <c r="G173" s="6" t="s">
        <v>81</v>
      </c>
      <c r="H173" s="6" t="s">
        <v>6045</v>
      </c>
      <c r="I173" s="6" t="s">
        <v>8423</v>
      </c>
      <c r="J173" s="6" t="s">
        <v>9666</v>
      </c>
      <c r="K173" s="6" t="s">
        <v>10886</v>
      </c>
      <c r="L173" s="16" t="n">
        <v>43347</v>
      </c>
      <c r="M173" s="16" t="n">
        <v>45717</v>
      </c>
      <c r="N173" s="6" t="s">
        <v>10886</v>
      </c>
      <c r="O173" s="16" t="n">
        <v>43347</v>
      </c>
      <c r="P173" s="6" t="s">
        <v>11015</v>
      </c>
      <c r="Q173" s="6" t="s">
        <v>81</v>
      </c>
      <c r="R173" s="6" t="s">
        <v>81</v>
      </c>
      <c r="S173" s="6" t="s">
        <v>10886</v>
      </c>
      <c r="T173" s="16" t="n">
        <v>43347</v>
      </c>
      <c r="U173" s="6" t="s">
        <v>13183</v>
      </c>
      <c r="V173" s="6" t="s">
        <v>81</v>
      </c>
      <c r="W173" s="6" t="s">
        <v>81</v>
      </c>
      <c r="X173" s="6" t="s">
        <v>81</v>
      </c>
      <c r="Y173" s="21" t="s">
        <v>81</v>
      </c>
      <c r="Z173" s="6" t="s">
        <v>81</v>
      </c>
      <c r="AA173" s="6" t="s">
        <v>81</v>
      </c>
      <c r="AB173" s="6" t="s">
        <v>81</v>
      </c>
      <c r="AC173" s="6" t="s">
        <v>81</v>
      </c>
      <c r="AD173" s="21" t="s">
        <v>81</v>
      </c>
      <c r="AE173" s="6" t="s">
        <v>81</v>
      </c>
      <c r="AF173" s="6" t="s">
        <v>81</v>
      </c>
      <c r="AG173" s="6" t="s">
        <v>81</v>
      </c>
      <c r="AH173" s="6" t="s">
        <v>14780</v>
      </c>
      <c r="AI173" s="6" t="s">
        <v>81</v>
      </c>
      <c r="AJ173" s="6" t="s">
        <v>17341</v>
      </c>
      <c r="AK173" s="6" t="s">
        <v>17712</v>
      </c>
      <c r="AL173" s="6" t="s">
        <v>18444</v>
      </c>
      <c r="AM173" s="6" t="s">
        <v>18495</v>
      </c>
      <c r="AN173" s="6" t="s">
        <v>19649</v>
      </c>
      <c r="AO173" s="6" t="s">
        <v>19738</v>
      </c>
      <c r="AP173" s="6" t="s">
        <v>14780</v>
      </c>
      <c r="AQ173" s="6" t="s">
        <v>81</v>
      </c>
      <c r="AR173" s="6" t="s">
        <v>17341</v>
      </c>
      <c r="AS173" s="6" t="s">
        <v>17712</v>
      </c>
      <c r="AT173" s="6" t="s">
        <v>18444</v>
      </c>
      <c r="AU173" s="6" t="s">
        <v>18495</v>
      </c>
      <c r="AV173" s="6" t="s">
        <v>81</v>
      </c>
      <c r="AW173" s="6" t="s">
        <v>81</v>
      </c>
      <c r="AX173" s="6" t="s">
        <v>81</v>
      </c>
      <c r="AY173" s="6" t="s">
        <v>81</v>
      </c>
      <c r="AZ173" s="6" t="s">
        <v>81</v>
      </c>
      <c r="BA173" s="6" t="s">
        <v>81</v>
      </c>
      <c r="BB173" s="24" t="n">
        <v>116</v>
      </c>
      <c r="BC173" s="26"/>
      <c r="BD173" s="26"/>
      <c r="BE173" s="26"/>
      <c r="BF173" s="26"/>
      <c r="BG173" s="26"/>
      <c r="BH173" s="26"/>
      <c r="BI173" s="26"/>
      <c r="BJ173" s="26"/>
      <c r="BK173" s="26"/>
      <c r="BL173" s="26"/>
      <c r="BM173" s="26"/>
      <c r="BN173" s="26"/>
      <c r="BO173" s="26"/>
      <c r="BP173" s="16" t="n">
        <v>45684</v>
      </c>
      <c r="BQ173" s="28" t="str">
        <f>HYPERLINK("https://organic.ams.usda.gov/Integrity/Certificate.aspx?cid=68&amp;nopid=8210006234")</f>
        <v>https://organic.ams.usda.gov/Integrity/Certificate.aspx?cid=68&amp;nopid=8210006234</v>
      </c>
    </row>
    <row r="174">
      <c r="A174" t="s">
        <v>3</v>
      </c>
      <c r="B174" s="6" t="s">
        <v>7</v>
      </c>
      <c r="C174" s="6" t="s">
        <v>54</v>
      </c>
      <c r="D174" s="6" t="s">
        <v>100</v>
      </c>
      <c r="E174" s="10" t="s">
        <v>315</v>
      </c>
      <c r="F174" s="6" t="s">
        <v>3051</v>
      </c>
      <c r="G174" s="6" t="s">
        <v>81</v>
      </c>
      <c r="H174" s="6" t="s">
        <v>6046</v>
      </c>
      <c r="I174" s="6" t="s">
        <v>8423</v>
      </c>
      <c r="J174" s="6" t="s">
        <v>9727</v>
      </c>
      <c r="K174" s="6" t="s">
        <v>10886</v>
      </c>
      <c r="L174" s="16" t="n">
        <v>41908</v>
      </c>
      <c r="M174" s="16" t="n">
        <v>45716</v>
      </c>
      <c r="N174" s="6" t="s">
        <v>10886</v>
      </c>
      <c r="O174" s="16" t="n">
        <v>41908</v>
      </c>
      <c r="P174" s="6" t="s">
        <v>11016</v>
      </c>
      <c r="Q174" s="6" t="s">
        <v>81</v>
      </c>
      <c r="R174" s="6" t="s">
        <v>81</v>
      </c>
      <c r="S174" s="6" t="s">
        <v>10886</v>
      </c>
      <c r="T174" s="16" t="n">
        <v>42123</v>
      </c>
      <c r="U174" s="6" t="s">
        <v>13169</v>
      </c>
      <c r="V174" s="6" t="s">
        <v>81</v>
      </c>
      <c r="W174" s="6" t="s">
        <v>81</v>
      </c>
      <c r="X174" s="6" t="s">
        <v>81</v>
      </c>
      <c r="Y174" s="21" t="s">
        <v>81</v>
      </c>
      <c r="Z174" s="6" t="s">
        <v>81</v>
      </c>
      <c r="AA174" s="6" t="s">
        <v>81</v>
      </c>
      <c r="AB174" s="6" t="s">
        <v>81</v>
      </c>
      <c r="AC174" s="6" t="s">
        <v>81</v>
      </c>
      <c r="AD174" s="21" t="s">
        <v>81</v>
      </c>
      <c r="AE174" s="6" t="s">
        <v>81</v>
      </c>
      <c r="AF174" s="6" t="s">
        <v>81</v>
      </c>
      <c r="AG174" s="6" t="s">
        <v>81</v>
      </c>
      <c r="AH174" s="6" t="s">
        <v>14781</v>
      </c>
      <c r="AI174" s="6" t="s">
        <v>81</v>
      </c>
      <c r="AJ174" s="6" t="s">
        <v>17431</v>
      </c>
      <c r="AK174" s="6" t="s">
        <v>17712</v>
      </c>
      <c r="AL174" s="6" t="s">
        <v>18444</v>
      </c>
      <c r="AM174" s="6" t="s">
        <v>18588</v>
      </c>
      <c r="AN174" s="6" t="s">
        <v>19646</v>
      </c>
      <c r="AO174" s="6" t="s">
        <v>19729</v>
      </c>
      <c r="AP174" s="6" t="s">
        <v>14781</v>
      </c>
      <c r="AQ174" s="6" t="s">
        <v>81</v>
      </c>
      <c r="AR174" s="6" t="s">
        <v>17431</v>
      </c>
      <c r="AS174" s="6" t="s">
        <v>17712</v>
      </c>
      <c r="AT174" s="6" t="s">
        <v>18444</v>
      </c>
      <c r="AU174" s="6" t="s">
        <v>18588</v>
      </c>
      <c r="AV174" s="6" t="s">
        <v>81</v>
      </c>
      <c r="AW174" s="6" t="s">
        <v>81</v>
      </c>
      <c r="AX174" s="6" t="s">
        <v>81</v>
      </c>
      <c r="AY174" s="6" t="s">
        <v>81</v>
      </c>
      <c r="AZ174" s="6" t="s">
        <v>81</v>
      </c>
      <c r="BA174" s="6" t="s">
        <v>81</v>
      </c>
      <c r="BB174" s="24" t="n">
        <v>251</v>
      </c>
      <c r="BC174" s="26"/>
      <c r="BD174" s="26"/>
      <c r="BE174" s="26"/>
      <c r="BF174" s="26"/>
      <c r="BG174" s="26"/>
      <c r="BH174" s="26"/>
      <c r="BI174" s="26"/>
      <c r="BJ174" s="26"/>
      <c r="BK174" s="26"/>
      <c r="BL174" s="26"/>
      <c r="BM174" s="26"/>
      <c r="BN174" s="26"/>
      <c r="BO174" s="26"/>
      <c r="BP174" s="16" t="n">
        <v>45595</v>
      </c>
      <c r="BQ174" s="28" t="str">
        <f>HYPERLINK("https://organic.ams.usda.gov/Integrity/Certificate.aspx?cid=57&amp;nopid=3252014052")</f>
        <v>https://organic.ams.usda.gov/Integrity/Certificate.aspx?cid=57&amp;nopid=3252014052</v>
      </c>
    </row>
    <row r="175">
      <c r="A175" t="s">
        <v>3</v>
      </c>
      <c r="B175" s="6" t="s">
        <v>7</v>
      </c>
      <c r="C175" s="6" t="s">
        <v>54</v>
      </c>
      <c r="D175" s="6" t="s">
        <v>100</v>
      </c>
      <c r="E175" s="10" t="s">
        <v>316</v>
      </c>
      <c r="F175" s="6" t="s">
        <v>3052</v>
      </c>
      <c r="G175" s="6" t="s">
        <v>81</v>
      </c>
      <c r="H175" s="6" t="s">
        <v>6047</v>
      </c>
      <c r="I175" s="6" t="s">
        <v>8423</v>
      </c>
      <c r="J175" s="6" t="s">
        <v>9669</v>
      </c>
      <c r="K175" s="6" t="s">
        <v>10886</v>
      </c>
      <c r="L175" s="16" t="n">
        <v>41908</v>
      </c>
      <c r="M175" s="16" t="n">
        <v>45716</v>
      </c>
      <c r="N175" s="6" t="s">
        <v>10886</v>
      </c>
      <c r="O175" s="16" t="n">
        <v>41908</v>
      </c>
      <c r="P175" s="6" t="s">
        <v>11017</v>
      </c>
      <c r="Q175" s="6" t="s">
        <v>81</v>
      </c>
      <c r="R175" s="6" t="s">
        <v>81</v>
      </c>
      <c r="S175" s="6" t="s">
        <v>10886</v>
      </c>
      <c r="T175" s="16" t="n">
        <v>42139</v>
      </c>
      <c r="U175" s="6" t="s">
        <v>13225</v>
      </c>
      <c r="V175" s="6" t="s">
        <v>81</v>
      </c>
      <c r="W175" s="6" t="s">
        <v>81</v>
      </c>
      <c r="X175" s="6" t="s">
        <v>81</v>
      </c>
      <c r="Y175" s="21" t="s">
        <v>81</v>
      </c>
      <c r="Z175" s="6" t="s">
        <v>81</v>
      </c>
      <c r="AA175" s="6" t="s">
        <v>81</v>
      </c>
      <c r="AB175" s="6" t="s">
        <v>81</v>
      </c>
      <c r="AC175" s="6" t="s">
        <v>81</v>
      </c>
      <c r="AD175" s="21" t="s">
        <v>81</v>
      </c>
      <c r="AE175" s="6" t="s">
        <v>81</v>
      </c>
      <c r="AF175" s="6" t="s">
        <v>81</v>
      </c>
      <c r="AG175" s="6" t="s">
        <v>81</v>
      </c>
      <c r="AH175" s="6" t="s">
        <v>14782</v>
      </c>
      <c r="AI175" s="6" t="s">
        <v>81</v>
      </c>
      <c r="AJ175" s="6" t="s">
        <v>17434</v>
      </c>
      <c r="AK175" s="6" t="s">
        <v>17712</v>
      </c>
      <c r="AL175" s="6" t="s">
        <v>18444</v>
      </c>
      <c r="AM175" s="6" t="s">
        <v>18591</v>
      </c>
      <c r="AN175" s="6" t="s">
        <v>19646</v>
      </c>
      <c r="AO175" s="6" t="s">
        <v>19729</v>
      </c>
      <c r="AP175" s="6" t="s">
        <v>14782</v>
      </c>
      <c r="AQ175" s="6" t="s">
        <v>81</v>
      </c>
      <c r="AR175" s="6" t="s">
        <v>17434</v>
      </c>
      <c r="AS175" s="6" t="s">
        <v>17712</v>
      </c>
      <c r="AT175" s="6" t="s">
        <v>18444</v>
      </c>
      <c r="AU175" s="6" t="s">
        <v>18591</v>
      </c>
      <c r="AV175" s="6" t="s">
        <v>81</v>
      </c>
      <c r="AW175" s="6" t="s">
        <v>81</v>
      </c>
      <c r="AX175" s="6" t="s">
        <v>81</v>
      </c>
      <c r="AY175" s="6" t="s">
        <v>81</v>
      </c>
      <c r="AZ175" s="6" t="s">
        <v>81</v>
      </c>
      <c r="BA175" s="6" t="s">
        <v>81</v>
      </c>
      <c r="BB175" s="24" t="n">
        <v>320</v>
      </c>
      <c r="BC175" s="26"/>
      <c r="BD175" s="26"/>
      <c r="BE175" s="26"/>
      <c r="BF175" s="26" t="s">
        <v>23900</v>
      </c>
      <c r="BG175" s="26"/>
      <c r="BH175" s="26"/>
      <c r="BI175" s="26"/>
      <c r="BJ175" s="26"/>
      <c r="BK175" s="26"/>
      <c r="BL175" s="26"/>
      <c r="BM175" s="26"/>
      <c r="BN175" s="26"/>
      <c r="BO175" s="26"/>
      <c r="BP175" s="16" t="n">
        <v>45735</v>
      </c>
      <c r="BQ175" s="28" t="str">
        <f>HYPERLINK("https://organic.ams.usda.gov/Integrity/Certificate.aspx?cid=57&amp;nopid=3252014054")</f>
        <v>https://organic.ams.usda.gov/Integrity/Certificate.aspx?cid=57&amp;nopid=3252014054</v>
      </c>
    </row>
    <row r="176">
      <c r="A176" t="s">
        <v>3</v>
      </c>
      <c r="B176" s="6" t="s">
        <v>7</v>
      </c>
      <c r="C176" s="6" t="s">
        <v>54</v>
      </c>
      <c r="D176" s="6" t="s">
        <v>100</v>
      </c>
      <c r="E176" s="10" t="s">
        <v>317</v>
      </c>
      <c r="F176" s="6" t="s">
        <v>3053</v>
      </c>
      <c r="G176" s="6" t="s">
        <v>81</v>
      </c>
      <c r="H176" s="6" t="s">
        <v>6048</v>
      </c>
      <c r="I176" s="6" t="s">
        <v>8423</v>
      </c>
      <c r="J176" s="6" t="s">
        <v>9699</v>
      </c>
      <c r="K176" s="6" t="s">
        <v>10886</v>
      </c>
      <c r="L176" s="16" t="n">
        <v>45251</v>
      </c>
      <c r="M176" s="16" t="n">
        <v>45716</v>
      </c>
      <c r="N176" s="6" t="s">
        <v>10886</v>
      </c>
      <c r="O176" s="16" t="n">
        <v>45251</v>
      </c>
      <c r="P176" s="6" t="s">
        <v>10944</v>
      </c>
      <c r="Q176" s="6" t="s">
        <v>81</v>
      </c>
      <c r="R176" s="6" t="s">
        <v>81</v>
      </c>
      <c r="S176" s="6" t="s">
        <v>10886</v>
      </c>
      <c r="T176" s="16" t="n">
        <v>45293</v>
      </c>
      <c r="U176" s="6" t="s">
        <v>13169</v>
      </c>
      <c r="V176" s="6" t="s">
        <v>81</v>
      </c>
      <c r="W176" s="6" t="s">
        <v>81</v>
      </c>
      <c r="X176" s="6" t="s">
        <v>81</v>
      </c>
      <c r="Y176" s="21" t="s">
        <v>81</v>
      </c>
      <c r="Z176" s="6" t="s">
        <v>81</v>
      </c>
      <c r="AA176" s="6" t="s">
        <v>81</v>
      </c>
      <c r="AB176" s="6" t="s">
        <v>81</v>
      </c>
      <c r="AC176" s="6" t="s">
        <v>81</v>
      </c>
      <c r="AD176" s="21" t="s">
        <v>81</v>
      </c>
      <c r="AE176" s="6" t="s">
        <v>81</v>
      </c>
      <c r="AF176" s="6" t="s">
        <v>81</v>
      </c>
      <c r="AG176" s="6" t="s">
        <v>81</v>
      </c>
      <c r="AH176" s="6" t="s">
        <v>14783</v>
      </c>
      <c r="AI176" s="6" t="s">
        <v>81</v>
      </c>
      <c r="AJ176" s="6" t="s">
        <v>17435</v>
      </c>
      <c r="AK176" s="6" t="s">
        <v>17712</v>
      </c>
      <c r="AL176" s="6" t="s">
        <v>18444</v>
      </c>
      <c r="AM176" s="6" t="s">
        <v>5928</v>
      </c>
      <c r="AN176" s="6" t="s">
        <v>81</v>
      </c>
      <c r="AO176" s="6" t="s">
        <v>81</v>
      </c>
      <c r="AP176" s="6" t="s">
        <v>14783</v>
      </c>
      <c r="AQ176" s="6" t="s">
        <v>81</v>
      </c>
      <c r="AR176" s="6" t="s">
        <v>17435</v>
      </c>
      <c r="AS176" s="6" t="s">
        <v>17712</v>
      </c>
      <c r="AT176" s="6" t="s">
        <v>18444</v>
      </c>
      <c r="AU176" s="6" t="s">
        <v>5928</v>
      </c>
      <c r="AV176" s="6" t="s">
        <v>81</v>
      </c>
      <c r="AW176" s="6" t="s">
        <v>81</v>
      </c>
      <c r="AX176" s="6" t="s">
        <v>81</v>
      </c>
      <c r="AY176" s="6" t="s">
        <v>81</v>
      </c>
      <c r="AZ176" s="6" t="s">
        <v>81</v>
      </c>
      <c r="BA176" s="6" t="s">
        <v>81</v>
      </c>
      <c r="BB176" s="24" t="n">
        <v>94</v>
      </c>
      <c r="BC176" s="26"/>
      <c r="BD176" s="26"/>
      <c r="BE176" s="26"/>
      <c r="BF176" s="26" t="s">
        <v>23900</v>
      </c>
      <c r="BG176" s="26"/>
      <c r="BH176" s="26"/>
      <c r="BI176" s="26"/>
      <c r="BJ176" s="26"/>
      <c r="BK176" s="26"/>
      <c r="BL176" s="26"/>
      <c r="BM176" s="26"/>
      <c r="BN176" s="26"/>
      <c r="BO176" s="26"/>
      <c r="BP176" s="16" t="n">
        <v>45595</v>
      </c>
      <c r="BQ176" s="28" t="str">
        <f>HYPERLINK("https://organic.ams.usda.gov/Integrity/Certificate.aspx?cid=57&amp;nopid=3252023070")</f>
        <v>https://organic.ams.usda.gov/Integrity/Certificate.aspx?cid=57&amp;nopid=3252023070</v>
      </c>
    </row>
    <row r="177">
      <c r="A177" t="s">
        <v>3</v>
      </c>
      <c r="B177" s="6" t="s">
        <v>9</v>
      </c>
      <c r="C177" s="6" t="s">
        <v>56</v>
      </c>
      <c r="D177" s="6" t="s">
        <v>102</v>
      </c>
      <c r="E177" s="10" t="s">
        <v>318</v>
      </c>
      <c r="F177" s="6" t="s">
        <v>3054</v>
      </c>
      <c r="G177" s="6" t="s">
        <v>81</v>
      </c>
      <c r="H177" s="6" t="s">
        <v>6049</v>
      </c>
      <c r="I177" s="6" t="s">
        <v>8423</v>
      </c>
      <c r="J177" s="6" t="s">
        <v>9666</v>
      </c>
      <c r="K177" s="6" t="s">
        <v>10886</v>
      </c>
      <c r="L177" s="16" t="n">
        <v>42978</v>
      </c>
      <c r="M177" s="16" t="n">
        <v>45748</v>
      </c>
      <c r="N177" s="6" t="s">
        <v>10886</v>
      </c>
      <c r="O177" s="16" t="n">
        <v>42978</v>
      </c>
      <c r="P177" s="6" t="s">
        <v>11018</v>
      </c>
      <c r="Q177" s="6" t="s">
        <v>81</v>
      </c>
      <c r="R177" s="6" t="s">
        <v>12477</v>
      </c>
      <c r="S177" s="6" t="s">
        <v>10886</v>
      </c>
      <c r="T177" s="16" t="n">
        <v>42978</v>
      </c>
      <c r="U177" s="6" t="s">
        <v>13162</v>
      </c>
      <c r="V177" s="6" t="s">
        <v>81</v>
      </c>
      <c r="W177" s="6" t="s">
        <v>12477</v>
      </c>
      <c r="X177" s="6" t="s">
        <v>81</v>
      </c>
      <c r="Y177" s="21" t="s">
        <v>81</v>
      </c>
      <c r="Z177" s="6" t="s">
        <v>81</v>
      </c>
      <c r="AA177" s="6" t="s">
        <v>81</v>
      </c>
      <c r="AB177" s="6" t="s">
        <v>81</v>
      </c>
      <c r="AC177" s="6" t="s">
        <v>81</v>
      </c>
      <c r="AD177" s="21" t="s">
        <v>81</v>
      </c>
      <c r="AE177" s="6" t="s">
        <v>81</v>
      </c>
      <c r="AF177" s="6" t="s">
        <v>81</v>
      </c>
      <c r="AG177" s="6" t="s">
        <v>81</v>
      </c>
      <c r="AH177" s="6" t="s">
        <v>14784</v>
      </c>
      <c r="AI177" s="6" t="s">
        <v>81</v>
      </c>
      <c r="AJ177" s="6" t="s">
        <v>17385</v>
      </c>
      <c r="AK177" s="6" t="s">
        <v>18378</v>
      </c>
      <c r="AL177" s="6" t="s">
        <v>18444</v>
      </c>
      <c r="AM177" s="6" t="s">
        <v>18592</v>
      </c>
      <c r="AN177" s="6" t="s">
        <v>19639</v>
      </c>
      <c r="AO177" s="6" t="s">
        <v>19768</v>
      </c>
      <c r="AP177" s="6" t="s">
        <v>81</v>
      </c>
      <c r="AQ177" s="6" t="s">
        <v>81</v>
      </c>
      <c r="AR177" s="6" t="s">
        <v>81</v>
      </c>
      <c r="AS177" s="6" t="s">
        <v>81</v>
      </c>
      <c r="AT177" s="6" t="s">
        <v>81</v>
      </c>
      <c r="AU177" s="6" t="s">
        <v>81</v>
      </c>
      <c r="AV177" s="6" t="s">
        <v>81</v>
      </c>
      <c r="AW177" s="6" t="s">
        <v>81</v>
      </c>
      <c r="AX177" s="6" t="s">
        <v>20852</v>
      </c>
      <c r="AY177" s="6" t="s">
        <v>81</v>
      </c>
      <c r="AZ177" s="6" t="s">
        <v>81</v>
      </c>
      <c r="BA177" s="6" t="s">
        <v>81</v>
      </c>
      <c r="BB177" s="24" t="n">
        <v>45</v>
      </c>
      <c r="BC177" s="26"/>
      <c r="BD177" s="26"/>
      <c r="BE177" s="26"/>
      <c r="BF177" s="26"/>
      <c r="BG177" s="26"/>
      <c r="BH177" s="26"/>
      <c r="BI177" s="26"/>
      <c r="BJ177" s="26"/>
      <c r="BK177" s="26"/>
      <c r="BL177" s="26"/>
      <c r="BM177" s="26"/>
      <c r="BN177" s="26"/>
      <c r="BO177" s="26"/>
      <c r="BP177" s="16" t="n">
        <v>45738</v>
      </c>
      <c r="BQ177" s="28" t="str">
        <f>HYPERLINK("https://organic.ams.usda.gov/Integrity/Certificate.aspx?cid=52&amp;nopid=8431701282")</f>
        <v>https://organic.ams.usda.gov/Integrity/Certificate.aspx?cid=52&amp;nopid=8431701282</v>
      </c>
    </row>
    <row r="178">
      <c r="A178" t="s">
        <v>3</v>
      </c>
      <c r="B178" s="6" t="s">
        <v>8</v>
      </c>
      <c r="C178" s="6" t="s">
        <v>55</v>
      </c>
      <c r="D178" s="6" t="s">
        <v>101</v>
      </c>
      <c r="E178" s="10" t="s">
        <v>319</v>
      </c>
      <c r="F178" s="6" t="s">
        <v>3055</v>
      </c>
      <c r="G178" s="6" t="s">
        <v>81</v>
      </c>
      <c r="H178" s="6" t="s">
        <v>6050</v>
      </c>
      <c r="I178" s="6" t="s">
        <v>8423</v>
      </c>
      <c r="J178" s="6" t="s">
        <v>9756</v>
      </c>
      <c r="K178" s="6" t="s">
        <v>10886</v>
      </c>
      <c r="L178" s="16" t="n">
        <v>40396</v>
      </c>
      <c r="M178" s="16" t="n">
        <v>45748</v>
      </c>
      <c r="N178" s="6" t="s">
        <v>10886</v>
      </c>
      <c r="O178" s="16" t="n">
        <v>40396</v>
      </c>
      <c r="P178" s="6" t="s">
        <v>11019</v>
      </c>
      <c r="Q178" s="6" t="s">
        <v>81</v>
      </c>
      <c r="R178" s="6" t="s">
        <v>6050</v>
      </c>
      <c r="S178" s="6" t="s">
        <v>10886</v>
      </c>
      <c r="T178" s="16" t="n">
        <v>40396</v>
      </c>
      <c r="U178" s="6" t="s">
        <v>13226</v>
      </c>
      <c r="V178" s="6" t="s">
        <v>81</v>
      </c>
      <c r="W178" s="6" t="s">
        <v>6050</v>
      </c>
      <c r="X178" s="6" t="s">
        <v>81</v>
      </c>
      <c r="Y178" s="21" t="s">
        <v>81</v>
      </c>
      <c r="Z178" s="6" t="s">
        <v>81</v>
      </c>
      <c r="AA178" s="6" t="s">
        <v>81</v>
      </c>
      <c r="AB178" s="6" t="s">
        <v>81</v>
      </c>
      <c r="AC178" s="6" t="s">
        <v>81</v>
      </c>
      <c r="AD178" s="21" t="s">
        <v>81</v>
      </c>
      <c r="AE178" s="6" t="s">
        <v>81</v>
      </c>
      <c r="AF178" s="6" t="s">
        <v>81</v>
      </c>
      <c r="AG178" s="6" t="s">
        <v>81</v>
      </c>
      <c r="AH178" s="6" t="s">
        <v>14785</v>
      </c>
      <c r="AI178" s="6" t="s">
        <v>81</v>
      </c>
      <c r="AJ178" s="6" t="s">
        <v>17436</v>
      </c>
      <c r="AK178" s="6" t="s">
        <v>18377</v>
      </c>
      <c r="AL178" s="6" t="s">
        <v>18444</v>
      </c>
      <c r="AM178" s="6" t="s">
        <v>18593</v>
      </c>
      <c r="AN178" s="6" t="s">
        <v>19677</v>
      </c>
      <c r="AO178" s="6" t="s">
        <v>19792</v>
      </c>
      <c r="AP178" s="6" t="s">
        <v>20104</v>
      </c>
      <c r="AQ178" s="6" t="s">
        <v>81</v>
      </c>
      <c r="AR178" s="6" t="s">
        <v>17436</v>
      </c>
      <c r="AS178" s="6" t="s">
        <v>18377</v>
      </c>
      <c r="AT178" s="6" t="s">
        <v>18444</v>
      </c>
      <c r="AU178" s="6" t="s">
        <v>18593</v>
      </c>
      <c r="AV178" s="6" t="s">
        <v>81</v>
      </c>
      <c r="AW178" s="6" t="s">
        <v>81</v>
      </c>
      <c r="AX178" s="6" t="s">
        <v>81</v>
      </c>
      <c r="AY178" s="6" t="s">
        <v>22596</v>
      </c>
      <c r="AZ178" s="6" t="s">
        <v>81</v>
      </c>
      <c r="BA178" s="6" t="s">
        <v>23819</v>
      </c>
      <c r="BB178" s="24" t="n">
        <v>139</v>
      </c>
      <c r="BC178" s="26"/>
      <c r="BD178" s="26"/>
      <c r="BE178" s="26"/>
      <c r="BF178" s="26"/>
      <c r="BG178" s="26"/>
      <c r="BH178" s="26"/>
      <c r="BI178" s="26"/>
      <c r="BJ178" s="26"/>
      <c r="BK178" s="26"/>
      <c r="BL178" s="26"/>
      <c r="BM178" s="26"/>
      <c r="BN178" s="26"/>
      <c r="BO178" s="26"/>
      <c r="BP178" s="16" t="n">
        <v>45547</v>
      </c>
      <c r="BQ178" s="28" t="str">
        <f>HYPERLINK("https://organic.ams.usda.gov/Integrity/Certificate.aspx?cid=45&amp;nopid=9950004005")</f>
        <v>https://organic.ams.usda.gov/Integrity/Certificate.aspx?cid=45&amp;nopid=9950004005</v>
      </c>
    </row>
    <row r="179">
      <c r="A179" t="s">
        <v>3</v>
      </c>
      <c r="B179" s="6" t="s">
        <v>20</v>
      </c>
      <c r="C179" s="6" t="s">
        <v>67</v>
      </c>
      <c r="D179" s="6" t="s">
        <v>113</v>
      </c>
      <c r="E179" s="10" t="s">
        <v>320</v>
      </c>
      <c r="F179" s="6" t="s">
        <v>3056</v>
      </c>
      <c r="G179" s="6" t="s">
        <v>81</v>
      </c>
      <c r="H179" s="6" t="s">
        <v>6051</v>
      </c>
      <c r="I179" s="6" t="s">
        <v>8484</v>
      </c>
      <c r="J179" s="6" t="s">
        <v>9757</v>
      </c>
      <c r="K179" s="6" t="s">
        <v>10886</v>
      </c>
      <c r="L179" s="16" t="n">
        <v>37375</v>
      </c>
      <c r="M179" s="16" t="n">
        <v>46030</v>
      </c>
      <c r="N179" s="6" t="s">
        <v>81</v>
      </c>
      <c r="O179" s="21" t="s">
        <v>81</v>
      </c>
      <c r="P179" s="6" t="s">
        <v>81</v>
      </c>
      <c r="Q179" s="6" t="s">
        <v>81</v>
      </c>
      <c r="R179" s="6" t="s">
        <v>81</v>
      </c>
      <c r="S179" s="6" t="s">
        <v>81</v>
      </c>
      <c r="T179" s="21" t="s">
        <v>81</v>
      </c>
      <c r="U179" s="6" t="s">
        <v>81</v>
      </c>
      <c r="V179" s="6" t="s">
        <v>81</v>
      </c>
      <c r="W179" s="6" t="s">
        <v>81</v>
      </c>
      <c r="X179" s="6" t="s">
        <v>81</v>
      </c>
      <c r="Y179" s="21" t="s">
        <v>81</v>
      </c>
      <c r="Z179" s="6" t="s">
        <v>81</v>
      </c>
      <c r="AA179" s="6" t="s">
        <v>81</v>
      </c>
      <c r="AB179" s="6" t="s">
        <v>81</v>
      </c>
      <c r="AC179" s="6" t="s">
        <v>10886</v>
      </c>
      <c r="AD179" s="16" t="n">
        <v>37375</v>
      </c>
      <c r="AE179" s="6" t="s">
        <v>14035</v>
      </c>
      <c r="AF179" s="6" t="s">
        <v>81</v>
      </c>
      <c r="AG179" s="6" t="s">
        <v>14518</v>
      </c>
      <c r="AH179" s="6" t="s">
        <v>14786</v>
      </c>
      <c r="AI179" s="6" t="s">
        <v>81</v>
      </c>
      <c r="AJ179" s="6" t="s">
        <v>17437</v>
      </c>
      <c r="AK179" s="6" t="s">
        <v>18386</v>
      </c>
      <c r="AL179" s="6" t="s">
        <v>18444</v>
      </c>
      <c r="AM179" s="6" t="s">
        <v>18594</v>
      </c>
      <c r="AN179" s="6" t="s">
        <v>19639</v>
      </c>
      <c r="AO179" s="6" t="s">
        <v>19793</v>
      </c>
      <c r="AP179" s="6" t="s">
        <v>14786</v>
      </c>
      <c r="AQ179" s="6" t="s">
        <v>81</v>
      </c>
      <c r="AR179" s="6" t="s">
        <v>17437</v>
      </c>
      <c r="AS179" s="6" t="s">
        <v>18386</v>
      </c>
      <c r="AT179" s="6" t="s">
        <v>18444</v>
      </c>
      <c r="AU179" s="6" t="s">
        <v>18594</v>
      </c>
      <c r="AV179" s="6" t="s">
        <v>81</v>
      </c>
      <c r="AW179" s="6" t="s">
        <v>81</v>
      </c>
      <c r="AX179" s="6" t="s">
        <v>20782</v>
      </c>
      <c r="AY179" s="6" t="s">
        <v>22597</v>
      </c>
      <c r="AZ179" s="6" t="s">
        <v>81</v>
      </c>
      <c r="BA179" s="6" t="s">
        <v>81</v>
      </c>
      <c r="BB179" s="6" t="s">
        <v>81</v>
      </c>
      <c r="BC179" s="26"/>
      <c r="BD179" s="26"/>
      <c r="BE179" s="26"/>
      <c r="BF179" s="26"/>
      <c r="BG179" s="26"/>
      <c r="BH179" s="26"/>
      <c r="BI179" s="26"/>
      <c r="BJ179" s="26"/>
      <c r="BK179" s="26"/>
      <c r="BL179" s="26"/>
      <c r="BM179" s="26"/>
      <c r="BN179" s="26"/>
      <c r="BO179" s="26"/>
      <c r="BP179" s="16" t="n">
        <v>45737</v>
      </c>
      <c r="BQ179" s="28" t="str">
        <f>HYPERLINK("https://organic.ams.usda.gov/Integrity/Certificate.aspx?cid=71&amp;nopid=5520031464")</f>
        <v>https://organic.ams.usda.gov/Integrity/Certificate.aspx?cid=71&amp;nopid=5520031464</v>
      </c>
    </row>
    <row r="180">
      <c r="A180" t="s">
        <v>3</v>
      </c>
      <c r="B180" s="6" t="s">
        <v>9</v>
      </c>
      <c r="C180" s="6" t="s">
        <v>56</v>
      </c>
      <c r="D180" s="6" t="s">
        <v>102</v>
      </c>
      <c r="E180" s="10" t="s">
        <v>321</v>
      </c>
      <c r="F180" s="6" t="s">
        <v>3057</v>
      </c>
      <c r="G180" s="6" t="s">
        <v>81</v>
      </c>
      <c r="H180" s="6" t="s">
        <v>6052</v>
      </c>
      <c r="I180" s="6" t="s">
        <v>8485</v>
      </c>
      <c r="J180" s="6" t="s">
        <v>9758</v>
      </c>
      <c r="K180" s="6" t="s">
        <v>10886</v>
      </c>
      <c r="L180" s="16" t="n">
        <v>43661</v>
      </c>
      <c r="M180" s="16" t="n">
        <v>46113</v>
      </c>
      <c r="N180" s="6" t="s">
        <v>10886</v>
      </c>
      <c r="O180" s="16" t="n">
        <v>43661</v>
      </c>
      <c r="P180" s="6" t="s">
        <v>10922</v>
      </c>
      <c r="Q180" s="6" t="s">
        <v>81</v>
      </c>
      <c r="R180" s="6" t="s">
        <v>12478</v>
      </c>
      <c r="S180" s="6" t="s">
        <v>10886</v>
      </c>
      <c r="T180" s="16" t="n">
        <v>43661</v>
      </c>
      <c r="U180" s="6" t="s">
        <v>13227</v>
      </c>
      <c r="V180" s="6" t="s">
        <v>81</v>
      </c>
      <c r="W180" s="6" t="s">
        <v>12478</v>
      </c>
      <c r="X180" s="6" t="s">
        <v>81</v>
      </c>
      <c r="Y180" s="21" t="s">
        <v>81</v>
      </c>
      <c r="Z180" s="6" t="s">
        <v>81</v>
      </c>
      <c r="AA180" s="6" t="s">
        <v>81</v>
      </c>
      <c r="AB180" s="6" t="s">
        <v>81</v>
      </c>
      <c r="AC180" s="6" t="s">
        <v>81</v>
      </c>
      <c r="AD180" s="21" t="s">
        <v>81</v>
      </c>
      <c r="AE180" s="6" t="s">
        <v>81</v>
      </c>
      <c r="AF180" s="6" t="s">
        <v>81</v>
      </c>
      <c r="AG180" s="6" t="s">
        <v>81</v>
      </c>
      <c r="AH180" s="6" t="s">
        <v>14787</v>
      </c>
      <c r="AI180" s="6" t="s">
        <v>81</v>
      </c>
      <c r="AJ180" s="6" t="s">
        <v>17438</v>
      </c>
      <c r="AK180" s="6" t="s">
        <v>18377</v>
      </c>
      <c r="AL180" s="6" t="s">
        <v>18444</v>
      </c>
      <c r="AM180" s="6" t="s">
        <v>18595</v>
      </c>
      <c r="AN180" s="6" t="s">
        <v>19678</v>
      </c>
      <c r="AO180" s="6" t="s">
        <v>19794</v>
      </c>
      <c r="AP180" s="6" t="s">
        <v>81</v>
      </c>
      <c r="AQ180" s="6" t="s">
        <v>81</v>
      </c>
      <c r="AR180" s="6" t="s">
        <v>81</v>
      </c>
      <c r="AS180" s="6" t="s">
        <v>81</v>
      </c>
      <c r="AT180" s="6" t="s">
        <v>81</v>
      </c>
      <c r="AU180" s="6" t="s">
        <v>81</v>
      </c>
      <c r="AV180" s="6" t="s">
        <v>81</v>
      </c>
      <c r="AW180" s="6" t="s">
        <v>81</v>
      </c>
      <c r="AX180" s="6" t="s">
        <v>20853</v>
      </c>
      <c r="AY180" s="6" t="s">
        <v>22598</v>
      </c>
      <c r="AZ180" s="6" t="s">
        <v>81</v>
      </c>
      <c r="BA180" s="6" t="s">
        <v>81</v>
      </c>
      <c r="BB180" s="24" t="n">
        <v>547</v>
      </c>
      <c r="BC180" s="26"/>
      <c r="BD180" s="26"/>
      <c r="BE180" s="26"/>
      <c r="BF180" s="26"/>
      <c r="BG180" s="26"/>
      <c r="BH180" s="26"/>
      <c r="BI180" s="26"/>
      <c r="BJ180" s="26"/>
      <c r="BK180" s="26"/>
      <c r="BL180" s="26"/>
      <c r="BM180" s="26"/>
      <c r="BN180" s="26"/>
      <c r="BO180" s="26"/>
      <c r="BP180" s="16" t="n">
        <v>45738</v>
      </c>
      <c r="BQ180" s="28" t="str">
        <f>HYPERLINK("https://organic.ams.usda.gov/Integrity/Certificate.aspx?cid=52&amp;nopid=8431901627")</f>
        <v>https://organic.ams.usda.gov/Integrity/Certificate.aspx?cid=52&amp;nopid=8431901627</v>
      </c>
    </row>
    <row r="181">
      <c r="A181" t="s">
        <v>3</v>
      </c>
      <c r="B181" s="6" t="s">
        <v>12</v>
      </c>
      <c r="C181" s="6" t="s">
        <v>59</v>
      </c>
      <c r="D181" s="6" t="s">
        <v>105</v>
      </c>
      <c r="E181" s="10" t="s">
        <v>322</v>
      </c>
      <c r="F181" s="6" t="s">
        <v>3058</v>
      </c>
      <c r="G181" s="6" t="s">
        <v>81</v>
      </c>
      <c r="H181" s="6" t="s">
        <v>6053</v>
      </c>
      <c r="I181" s="6" t="s">
        <v>8486</v>
      </c>
      <c r="J181" s="6" t="s">
        <v>9759</v>
      </c>
      <c r="K181" s="6" t="s">
        <v>10886</v>
      </c>
      <c r="L181" s="16" t="n">
        <v>44414</v>
      </c>
      <c r="M181" s="16" t="n">
        <v>45717</v>
      </c>
      <c r="N181" s="6" t="s">
        <v>10886</v>
      </c>
      <c r="O181" s="16" t="n">
        <v>41127</v>
      </c>
      <c r="P181" s="6" t="s">
        <v>11020</v>
      </c>
      <c r="Q181" s="6" t="s">
        <v>81</v>
      </c>
      <c r="R181" s="6" t="s">
        <v>81</v>
      </c>
      <c r="S181" s="6" t="s">
        <v>10886</v>
      </c>
      <c r="T181" s="16" t="n">
        <v>41127</v>
      </c>
      <c r="U181" s="6" t="s">
        <v>13183</v>
      </c>
      <c r="V181" s="6" t="s">
        <v>81</v>
      </c>
      <c r="W181" s="6" t="s">
        <v>81</v>
      </c>
      <c r="X181" s="6" t="s">
        <v>81</v>
      </c>
      <c r="Y181" s="21" t="s">
        <v>81</v>
      </c>
      <c r="Z181" s="6" t="s">
        <v>81</v>
      </c>
      <c r="AA181" s="6" t="s">
        <v>81</v>
      </c>
      <c r="AB181" s="6" t="s">
        <v>81</v>
      </c>
      <c r="AC181" s="6" t="s">
        <v>81</v>
      </c>
      <c r="AD181" s="21" t="s">
        <v>81</v>
      </c>
      <c r="AE181" s="6" t="s">
        <v>81</v>
      </c>
      <c r="AF181" s="6" t="s">
        <v>81</v>
      </c>
      <c r="AG181" s="6" t="s">
        <v>81</v>
      </c>
      <c r="AH181" s="6" t="s">
        <v>14788</v>
      </c>
      <c r="AI181" s="6" t="s">
        <v>81</v>
      </c>
      <c r="AJ181" s="6" t="s">
        <v>17439</v>
      </c>
      <c r="AK181" s="6" t="s">
        <v>17712</v>
      </c>
      <c r="AL181" s="6" t="s">
        <v>18444</v>
      </c>
      <c r="AM181" s="6" t="s">
        <v>18596</v>
      </c>
      <c r="AN181" s="6" t="s">
        <v>19669</v>
      </c>
      <c r="AO181" s="6" t="s">
        <v>19790</v>
      </c>
      <c r="AP181" s="6" t="s">
        <v>14788</v>
      </c>
      <c r="AQ181" s="6" t="s">
        <v>81</v>
      </c>
      <c r="AR181" s="6" t="s">
        <v>17439</v>
      </c>
      <c r="AS181" s="6" t="s">
        <v>17712</v>
      </c>
      <c r="AT181" s="6" t="s">
        <v>18444</v>
      </c>
      <c r="AU181" s="6" t="s">
        <v>18596</v>
      </c>
      <c r="AV181" s="6" t="s">
        <v>81</v>
      </c>
      <c r="AW181" s="6" t="s">
        <v>81</v>
      </c>
      <c r="AX181" s="6" t="s">
        <v>20854</v>
      </c>
      <c r="AY181" s="6" t="s">
        <v>81</v>
      </c>
      <c r="AZ181" s="6" t="s">
        <v>81</v>
      </c>
      <c r="BA181" s="6" t="s">
        <v>81</v>
      </c>
      <c r="BB181" s="24" t="n">
        <v>280</v>
      </c>
      <c r="BC181" s="26"/>
      <c r="BD181" s="26"/>
      <c r="BE181" s="26"/>
      <c r="BF181" s="26"/>
      <c r="BG181" s="26"/>
      <c r="BH181" s="26"/>
      <c r="BI181" s="26"/>
      <c r="BJ181" s="26"/>
      <c r="BK181" s="26"/>
      <c r="BL181" s="26"/>
      <c r="BM181" s="26"/>
      <c r="BN181" s="26"/>
      <c r="BO181" s="26"/>
      <c r="BP181" s="16" t="n">
        <v>45684</v>
      </c>
      <c r="BQ181" s="28" t="str">
        <f>HYPERLINK("https://organic.ams.usda.gov/Integrity/Certificate.aspx?cid=68&amp;nopid=8210002418")</f>
        <v>https://organic.ams.usda.gov/Integrity/Certificate.aspx?cid=68&amp;nopid=8210002418</v>
      </c>
    </row>
    <row r="182">
      <c r="A182" t="s">
        <v>3</v>
      </c>
      <c r="B182" s="6" t="s">
        <v>10</v>
      </c>
      <c r="C182" s="6" t="s">
        <v>57</v>
      </c>
      <c r="D182" s="6" t="s">
        <v>103</v>
      </c>
      <c r="E182" s="10" t="s">
        <v>323</v>
      </c>
      <c r="F182" s="6" t="s">
        <v>3059</v>
      </c>
      <c r="G182" s="6" t="s">
        <v>81</v>
      </c>
      <c r="H182" s="6" t="s">
        <v>6054</v>
      </c>
      <c r="I182" s="6" t="s">
        <v>8487</v>
      </c>
      <c r="J182" s="6" t="s">
        <v>9760</v>
      </c>
      <c r="K182" s="6" t="s">
        <v>10886</v>
      </c>
      <c r="L182" s="16" t="n">
        <v>43777</v>
      </c>
      <c r="M182" s="16" t="n">
        <v>45748</v>
      </c>
      <c r="N182" s="6" t="s">
        <v>10886</v>
      </c>
      <c r="O182" s="16" t="n">
        <v>44638</v>
      </c>
      <c r="P182" s="6" t="s">
        <v>11021</v>
      </c>
      <c r="Q182" s="6" t="s">
        <v>81</v>
      </c>
      <c r="R182" s="6" t="s">
        <v>12479</v>
      </c>
      <c r="S182" s="6" t="s">
        <v>10886</v>
      </c>
      <c r="T182" s="16" t="n">
        <v>44638</v>
      </c>
      <c r="U182" s="6" t="s">
        <v>13163</v>
      </c>
      <c r="V182" s="6" t="s">
        <v>81</v>
      </c>
      <c r="W182" s="6" t="s">
        <v>81</v>
      </c>
      <c r="X182" s="6" t="s">
        <v>81</v>
      </c>
      <c r="Y182" s="21" t="s">
        <v>81</v>
      </c>
      <c r="Z182" s="6" t="s">
        <v>81</v>
      </c>
      <c r="AA182" s="6" t="s">
        <v>81</v>
      </c>
      <c r="AB182" s="6" t="s">
        <v>81</v>
      </c>
      <c r="AC182" s="6" t="s">
        <v>81</v>
      </c>
      <c r="AD182" s="21" t="s">
        <v>81</v>
      </c>
      <c r="AE182" s="6" t="s">
        <v>81</v>
      </c>
      <c r="AF182" s="6" t="s">
        <v>81</v>
      </c>
      <c r="AG182" s="6" t="s">
        <v>81</v>
      </c>
      <c r="AH182" s="6" t="s">
        <v>14789</v>
      </c>
      <c r="AI182" s="6" t="s">
        <v>81</v>
      </c>
      <c r="AJ182" s="6" t="s">
        <v>17440</v>
      </c>
      <c r="AK182" s="6" t="s">
        <v>18378</v>
      </c>
      <c r="AL182" s="6" t="s">
        <v>18444</v>
      </c>
      <c r="AM182" s="6" t="s">
        <v>18597</v>
      </c>
      <c r="AN182" s="6" t="s">
        <v>19676</v>
      </c>
      <c r="AO182" s="6" t="s">
        <v>19784</v>
      </c>
      <c r="AP182" s="6" t="s">
        <v>14789</v>
      </c>
      <c r="AQ182" s="6" t="s">
        <v>81</v>
      </c>
      <c r="AR182" s="6" t="s">
        <v>17440</v>
      </c>
      <c r="AS182" s="6" t="s">
        <v>18378</v>
      </c>
      <c r="AT182" s="6" t="s">
        <v>18444</v>
      </c>
      <c r="AU182" s="6" t="s">
        <v>18597</v>
      </c>
      <c r="AV182" s="6" t="s">
        <v>81</v>
      </c>
      <c r="AW182" s="6" t="s">
        <v>81</v>
      </c>
      <c r="AX182" s="6" t="s">
        <v>20855</v>
      </c>
      <c r="AY182" s="6" t="s">
        <v>22599</v>
      </c>
      <c r="AZ182" s="6" t="s">
        <v>81</v>
      </c>
      <c r="BA182" s="6" t="s">
        <v>81</v>
      </c>
      <c r="BB182" s="24" t="n">
        <v>195</v>
      </c>
      <c r="BC182" s="26"/>
      <c r="BD182" s="26"/>
      <c r="BE182" s="26"/>
      <c r="BF182" s="26"/>
      <c r="BG182" s="26"/>
      <c r="BH182" s="26"/>
      <c r="BI182" s="26"/>
      <c r="BJ182" s="26"/>
      <c r="BK182" s="26"/>
      <c r="BL182" s="26"/>
      <c r="BM182" s="26"/>
      <c r="BN182" s="26"/>
      <c r="BO182" s="26"/>
      <c r="BP182" s="16" t="n">
        <v>45730</v>
      </c>
      <c r="BQ182" s="28" t="str">
        <f>HYPERLINK("https://organic.ams.usda.gov/Integrity/Certificate.aspx?cid=90&amp;nopid=7170220490")</f>
        <v>https://organic.ams.usda.gov/Integrity/Certificate.aspx?cid=90&amp;nopid=7170220490</v>
      </c>
    </row>
    <row r="183">
      <c r="A183" t="s">
        <v>3</v>
      </c>
      <c r="B183" s="6" t="s">
        <v>20</v>
      </c>
      <c r="C183" s="6" t="s">
        <v>67</v>
      </c>
      <c r="D183" s="6" t="s">
        <v>113</v>
      </c>
      <c r="E183" s="10" t="s">
        <v>324</v>
      </c>
      <c r="F183" s="6" t="s">
        <v>3060</v>
      </c>
      <c r="G183" s="6" t="s">
        <v>81</v>
      </c>
      <c r="H183" s="6" t="s">
        <v>6055</v>
      </c>
      <c r="I183" s="6" t="s">
        <v>8488</v>
      </c>
      <c r="J183" s="6" t="s">
        <v>9761</v>
      </c>
      <c r="K183" s="6" t="s">
        <v>10886</v>
      </c>
      <c r="L183" s="16" t="n">
        <v>44897</v>
      </c>
      <c r="M183" s="16" t="n">
        <v>45821</v>
      </c>
      <c r="N183" s="6" t="s">
        <v>10886</v>
      </c>
      <c r="O183" s="16" t="n">
        <v>44897</v>
      </c>
      <c r="P183" s="6" t="s">
        <v>11022</v>
      </c>
      <c r="Q183" s="6" t="s">
        <v>81</v>
      </c>
      <c r="R183" s="6" t="s">
        <v>12480</v>
      </c>
      <c r="S183" s="6" t="s">
        <v>10886</v>
      </c>
      <c r="T183" s="16" t="n">
        <v>44897</v>
      </c>
      <c r="U183" s="6" t="s">
        <v>13228</v>
      </c>
      <c r="V183" s="6" t="s">
        <v>81</v>
      </c>
      <c r="W183" s="6" t="s">
        <v>13967</v>
      </c>
      <c r="X183" s="6" t="s">
        <v>81</v>
      </c>
      <c r="Y183" s="21" t="s">
        <v>81</v>
      </c>
      <c r="Z183" s="6" t="s">
        <v>81</v>
      </c>
      <c r="AA183" s="6" t="s">
        <v>81</v>
      </c>
      <c r="AB183" s="6" t="s">
        <v>81</v>
      </c>
      <c r="AC183" s="6" t="s">
        <v>81</v>
      </c>
      <c r="AD183" s="21" t="s">
        <v>81</v>
      </c>
      <c r="AE183" s="6" t="s">
        <v>81</v>
      </c>
      <c r="AF183" s="6" t="s">
        <v>81</v>
      </c>
      <c r="AG183" s="6" t="s">
        <v>81</v>
      </c>
      <c r="AH183" s="6" t="s">
        <v>14790</v>
      </c>
      <c r="AI183" s="6" t="s">
        <v>81</v>
      </c>
      <c r="AJ183" s="6" t="s">
        <v>17441</v>
      </c>
      <c r="AK183" s="6" t="s">
        <v>18152</v>
      </c>
      <c r="AL183" s="6" t="s">
        <v>18444</v>
      </c>
      <c r="AM183" s="6" t="s">
        <v>18598</v>
      </c>
      <c r="AN183" s="6" t="s">
        <v>19674</v>
      </c>
      <c r="AO183" s="6" t="s">
        <v>19795</v>
      </c>
      <c r="AP183" s="6" t="s">
        <v>14790</v>
      </c>
      <c r="AQ183" s="6" t="s">
        <v>81</v>
      </c>
      <c r="AR183" s="6" t="s">
        <v>17441</v>
      </c>
      <c r="AS183" s="6" t="s">
        <v>18152</v>
      </c>
      <c r="AT183" s="6" t="s">
        <v>18444</v>
      </c>
      <c r="AU183" s="6" t="s">
        <v>18598</v>
      </c>
      <c r="AV183" s="6" t="s">
        <v>81</v>
      </c>
      <c r="AW183" s="6" t="s">
        <v>81</v>
      </c>
      <c r="AX183" s="6" t="s">
        <v>20856</v>
      </c>
      <c r="AY183" s="6" t="s">
        <v>22600</v>
      </c>
      <c r="AZ183" s="6" t="s">
        <v>81</v>
      </c>
      <c r="BA183" s="6" t="s">
        <v>81</v>
      </c>
      <c r="BB183" s="24" t="n">
        <v>617</v>
      </c>
      <c r="BC183" s="26"/>
      <c r="BD183" s="26"/>
      <c r="BE183" s="26"/>
      <c r="BF183" s="26" t="s">
        <v>23900</v>
      </c>
      <c r="BG183" s="26"/>
      <c r="BH183" s="26"/>
      <c r="BI183" s="26"/>
      <c r="BJ183" s="26"/>
      <c r="BK183" s="26"/>
      <c r="BL183" s="26"/>
      <c r="BM183" s="26"/>
      <c r="BN183" s="26"/>
      <c r="BO183" s="26"/>
      <c r="BP183" s="16" t="n">
        <v>45737</v>
      </c>
      <c r="BQ183" s="28" t="str">
        <f>HYPERLINK("https://organic.ams.usda.gov/Integrity/Certificate.aspx?cid=71&amp;nopid=5520691113")</f>
        <v>https://organic.ams.usda.gov/Integrity/Certificate.aspx?cid=71&amp;nopid=5520691113</v>
      </c>
    </row>
    <row r="184">
      <c r="A184" t="s">
        <v>3</v>
      </c>
      <c r="B184" s="6" t="s">
        <v>8</v>
      </c>
      <c r="C184" s="6" t="s">
        <v>55</v>
      </c>
      <c r="D184" s="6" t="s">
        <v>101</v>
      </c>
      <c r="E184" s="10" t="s">
        <v>325</v>
      </c>
      <c r="F184" s="6" t="s">
        <v>3061</v>
      </c>
      <c r="G184" s="6" t="s">
        <v>81</v>
      </c>
      <c r="H184" s="6" t="s">
        <v>6056</v>
      </c>
      <c r="I184" s="6" t="s">
        <v>8489</v>
      </c>
      <c r="J184" s="6" t="s">
        <v>9665</v>
      </c>
      <c r="K184" s="6" t="s">
        <v>10886</v>
      </c>
      <c r="L184" s="16" t="n">
        <v>39273</v>
      </c>
      <c r="M184" s="16" t="n">
        <v>45689</v>
      </c>
      <c r="N184" s="6" t="s">
        <v>10886</v>
      </c>
      <c r="O184" s="16" t="n">
        <v>39273</v>
      </c>
      <c r="P184" s="6" t="s">
        <v>11023</v>
      </c>
      <c r="Q184" s="6" t="s">
        <v>81</v>
      </c>
      <c r="R184" s="6" t="s">
        <v>6056</v>
      </c>
      <c r="S184" s="6" t="s">
        <v>10886</v>
      </c>
      <c r="T184" s="16" t="n">
        <v>39273</v>
      </c>
      <c r="U184" s="6" t="s">
        <v>13173</v>
      </c>
      <c r="V184" s="6" t="s">
        <v>81</v>
      </c>
      <c r="W184" s="6" t="s">
        <v>6056</v>
      </c>
      <c r="X184" s="6" t="s">
        <v>81</v>
      </c>
      <c r="Y184" s="21" t="s">
        <v>81</v>
      </c>
      <c r="Z184" s="6" t="s">
        <v>81</v>
      </c>
      <c r="AA184" s="6" t="s">
        <v>81</v>
      </c>
      <c r="AB184" s="6" t="s">
        <v>81</v>
      </c>
      <c r="AC184" s="6" t="s">
        <v>81</v>
      </c>
      <c r="AD184" s="21" t="s">
        <v>81</v>
      </c>
      <c r="AE184" s="6" t="s">
        <v>81</v>
      </c>
      <c r="AF184" s="6" t="s">
        <v>81</v>
      </c>
      <c r="AG184" s="6" t="s">
        <v>81</v>
      </c>
      <c r="AH184" s="6" t="s">
        <v>14791</v>
      </c>
      <c r="AI184" s="6" t="s">
        <v>81</v>
      </c>
      <c r="AJ184" s="6" t="s">
        <v>17442</v>
      </c>
      <c r="AK184" s="6" t="s">
        <v>18391</v>
      </c>
      <c r="AL184" s="6" t="s">
        <v>18444</v>
      </c>
      <c r="AM184" s="6" t="s">
        <v>18599</v>
      </c>
      <c r="AN184" s="6" t="s">
        <v>5924</v>
      </c>
      <c r="AO184" s="6" t="s">
        <v>19796</v>
      </c>
      <c r="AP184" s="6" t="s">
        <v>81</v>
      </c>
      <c r="AQ184" s="6" t="s">
        <v>81</v>
      </c>
      <c r="AR184" s="6" t="s">
        <v>81</v>
      </c>
      <c r="AS184" s="6" t="s">
        <v>81</v>
      </c>
      <c r="AT184" s="6" t="s">
        <v>81</v>
      </c>
      <c r="AU184" s="6" t="s">
        <v>81</v>
      </c>
      <c r="AV184" s="6" t="s">
        <v>81</v>
      </c>
      <c r="AW184" s="6" t="s">
        <v>81</v>
      </c>
      <c r="AX184" s="6" t="s">
        <v>20857</v>
      </c>
      <c r="AY184" s="6" t="s">
        <v>81</v>
      </c>
      <c r="AZ184" s="6" t="s">
        <v>81</v>
      </c>
      <c r="BA184" s="6" t="s">
        <v>23819</v>
      </c>
      <c r="BB184" s="24" t="n">
        <v>86</v>
      </c>
      <c r="BC184" s="26"/>
      <c r="BD184" s="26"/>
      <c r="BE184" s="26"/>
      <c r="BF184" s="26" t="s">
        <v>23900</v>
      </c>
      <c r="BG184" s="26"/>
      <c r="BH184" s="26"/>
      <c r="BI184" s="26"/>
      <c r="BJ184" s="26"/>
      <c r="BK184" s="26"/>
      <c r="BL184" s="26"/>
      <c r="BM184" s="26"/>
      <c r="BN184" s="26"/>
      <c r="BO184" s="26"/>
      <c r="BP184" s="16" t="n">
        <v>45723</v>
      </c>
      <c r="BQ184" s="28" t="str">
        <f>HYPERLINK("https://organic.ams.usda.gov/Integrity/Certificate.aspx?cid=45&amp;nopid=9950002607")</f>
        <v>https://organic.ams.usda.gov/Integrity/Certificate.aspx?cid=45&amp;nopid=9950002607</v>
      </c>
    </row>
    <row r="185">
      <c r="A185" t="s">
        <v>3</v>
      </c>
      <c r="B185" s="6" t="s">
        <v>8</v>
      </c>
      <c r="C185" s="6" t="s">
        <v>55</v>
      </c>
      <c r="D185" s="6" t="s">
        <v>101</v>
      </c>
      <c r="E185" s="10" t="s">
        <v>326</v>
      </c>
      <c r="F185" s="6" t="s">
        <v>3062</v>
      </c>
      <c r="G185" s="6" t="s">
        <v>81</v>
      </c>
      <c r="H185" s="6" t="s">
        <v>6057</v>
      </c>
      <c r="I185" s="6" t="s">
        <v>8409</v>
      </c>
      <c r="J185" s="6" t="s">
        <v>9666</v>
      </c>
      <c r="K185" s="6" t="s">
        <v>10886</v>
      </c>
      <c r="L185" s="16" t="n">
        <v>43971</v>
      </c>
      <c r="M185" s="18" t="s">
        <v>81</v>
      </c>
      <c r="N185" s="6" t="s">
        <v>10886</v>
      </c>
      <c r="O185" s="16" t="n">
        <v>43971</v>
      </c>
      <c r="P185" s="6" t="s">
        <v>11024</v>
      </c>
      <c r="Q185" s="6" t="s">
        <v>81</v>
      </c>
      <c r="R185" s="6" t="s">
        <v>81</v>
      </c>
      <c r="S185" s="6" t="s">
        <v>10886</v>
      </c>
      <c r="T185" s="16" t="n">
        <v>43971</v>
      </c>
      <c r="U185" s="6" t="s">
        <v>13229</v>
      </c>
      <c r="V185" s="6" t="s">
        <v>81</v>
      </c>
      <c r="W185" s="6" t="s">
        <v>81</v>
      </c>
      <c r="X185" s="6" t="s">
        <v>81</v>
      </c>
      <c r="Y185" s="21" t="s">
        <v>81</v>
      </c>
      <c r="Z185" s="6" t="s">
        <v>81</v>
      </c>
      <c r="AA185" s="6" t="s">
        <v>81</v>
      </c>
      <c r="AB185" s="6" t="s">
        <v>81</v>
      </c>
      <c r="AC185" s="6" t="s">
        <v>81</v>
      </c>
      <c r="AD185" s="21" t="s">
        <v>81</v>
      </c>
      <c r="AE185" s="6" t="s">
        <v>81</v>
      </c>
      <c r="AF185" s="6" t="s">
        <v>81</v>
      </c>
      <c r="AG185" s="6" t="s">
        <v>81</v>
      </c>
      <c r="AH185" s="6" t="s">
        <v>14792</v>
      </c>
      <c r="AI185" s="6" t="s">
        <v>81</v>
      </c>
      <c r="AJ185" s="6" t="s">
        <v>17385</v>
      </c>
      <c r="AK185" s="6" t="s">
        <v>18377</v>
      </c>
      <c r="AL185" s="6" t="s">
        <v>18444</v>
      </c>
      <c r="AM185" s="6" t="s">
        <v>18539</v>
      </c>
      <c r="AN185" s="6" t="s">
        <v>19634</v>
      </c>
      <c r="AO185" s="6" t="s">
        <v>19764</v>
      </c>
      <c r="AP185" s="6" t="s">
        <v>81</v>
      </c>
      <c r="AQ185" s="6" t="s">
        <v>81</v>
      </c>
      <c r="AR185" s="6" t="s">
        <v>81</v>
      </c>
      <c r="AS185" s="6" t="s">
        <v>81</v>
      </c>
      <c r="AT185" s="6" t="s">
        <v>81</v>
      </c>
      <c r="AU185" s="6" t="s">
        <v>81</v>
      </c>
      <c r="AV185" s="6" t="s">
        <v>81</v>
      </c>
      <c r="AW185" s="6" t="s">
        <v>81</v>
      </c>
      <c r="AX185" s="6" t="s">
        <v>81</v>
      </c>
      <c r="AY185" s="6" t="s">
        <v>81</v>
      </c>
      <c r="AZ185" s="6" t="s">
        <v>81</v>
      </c>
      <c r="BA185" s="6" t="s">
        <v>81</v>
      </c>
      <c r="BB185" s="24" t="n">
        <v>40</v>
      </c>
      <c r="BC185" s="26"/>
      <c r="BD185" s="26"/>
      <c r="BE185" s="26"/>
      <c r="BF185" s="26"/>
      <c r="BG185" s="26"/>
      <c r="BH185" s="26"/>
      <c r="BI185" s="26"/>
      <c r="BJ185" s="26"/>
      <c r="BK185" s="26"/>
      <c r="BL185" s="26"/>
      <c r="BM185" s="26"/>
      <c r="BN185" s="26"/>
      <c r="BO185" s="26"/>
      <c r="BP185" s="16" t="n">
        <v>45292</v>
      </c>
      <c r="BQ185" s="28" t="str">
        <f>HYPERLINK("https://organic.ams.usda.gov/Integrity/Certificate.aspx?cid=45&amp;nopid=9950012157")</f>
        <v>https://organic.ams.usda.gov/Integrity/Certificate.aspx?cid=45&amp;nopid=9950012157</v>
      </c>
    </row>
    <row r="186">
      <c r="A186" t="s">
        <v>3</v>
      </c>
      <c r="B186" s="6" t="s">
        <v>29</v>
      </c>
      <c r="C186" s="6" t="s">
        <v>76</v>
      </c>
      <c r="D186" s="6" t="s">
        <v>122</v>
      </c>
      <c r="E186" s="10" t="s">
        <v>327</v>
      </c>
      <c r="F186" s="6" t="s">
        <v>3063</v>
      </c>
      <c r="G186" s="6" t="s">
        <v>81</v>
      </c>
      <c r="H186" s="6" t="s">
        <v>6058</v>
      </c>
      <c r="I186" s="6" t="s">
        <v>8490</v>
      </c>
      <c r="J186" s="6" t="s">
        <v>9762</v>
      </c>
      <c r="K186" s="6" t="s">
        <v>10886</v>
      </c>
      <c r="L186" s="16" t="n">
        <v>42873</v>
      </c>
      <c r="M186" s="16" t="n">
        <v>45505</v>
      </c>
      <c r="N186" s="6" t="s">
        <v>10886</v>
      </c>
      <c r="O186" s="16" t="n">
        <v>42873</v>
      </c>
      <c r="P186" s="6" t="s">
        <v>11025</v>
      </c>
      <c r="Q186" s="6" t="s">
        <v>81</v>
      </c>
      <c r="R186" s="6" t="s">
        <v>12481</v>
      </c>
      <c r="S186" s="6" t="s">
        <v>10886</v>
      </c>
      <c r="T186" s="16" t="n">
        <v>42873</v>
      </c>
      <c r="U186" s="6" t="s">
        <v>13230</v>
      </c>
      <c r="V186" s="6" t="s">
        <v>81</v>
      </c>
      <c r="W186" s="6" t="s">
        <v>12481</v>
      </c>
      <c r="X186" s="6" t="s">
        <v>81</v>
      </c>
      <c r="Y186" s="21" t="s">
        <v>81</v>
      </c>
      <c r="Z186" s="6" t="s">
        <v>81</v>
      </c>
      <c r="AA186" s="6" t="s">
        <v>81</v>
      </c>
      <c r="AB186" s="6" t="s">
        <v>81</v>
      </c>
      <c r="AC186" s="6" t="s">
        <v>81</v>
      </c>
      <c r="AD186" s="21" t="s">
        <v>81</v>
      </c>
      <c r="AE186" s="6" t="s">
        <v>81</v>
      </c>
      <c r="AF186" s="6" t="s">
        <v>81</v>
      </c>
      <c r="AG186" s="6" t="s">
        <v>81</v>
      </c>
      <c r="AH186" s="6" t="s">
        <v>14793</v>
      </c>
      <c r="AI186" s="6" t="s">
        <v>81</v>
      </c>
      <c r="AJ186" s="6" t="s">
        <v>17443</v>
      </c>
      <c r="AK186" s="6" t="s">
        <v>18380</v>
      </c>
      <c r="AL186" s="6" t="s">
        <v>18444</v>
      </c>
      <c r="AM186" s="6" t="s">
        <v>18600</v>
      </c>
      <c r="AN186" s="6" t="s">
        <v>19665</v>
      </c>
      <c r="AO186" s="6" t="s">
        <v>19755</v>
      </c>
      <c r="AP186" s="6" t="s">
        <v>81</v>
      </c>
      <c r="AQ186" s="6" t="s">
        <v>81</v>
      </c>
      <c r="AR186" s="6" t="s">
        <v>81</v>
      </c>
      <c r="AS186" s="6" t="s">
        <v>81</v>
      </c>
      <c r="AT186" s="6" t="s">
        <v>81</v>
      </c>
      <c r="AU186" s="6" t="s">
        <v>81</v>
      </c>
      <c r="AV186" s="6" t="s">
        <v>81</v>
      </c>
      <c r="AW186" s="6" t="s">
        <v>81</v>
      </c>
      <c r="AX186" s="6" t="s">
        <v>81</v>
      </c>
      <c r="AY186" s="6" t="s">
        <v>81</v>
      </c>
      <c r="AZ186" s="6" t="s">
        <v>81</v>
      </c>
      <c r="BA186" s="6" t="s">
        <v>81</v>
      </c>
      <c r="BB186" s="24" t="n">
        <v>38</v>
      </c>
      <c r="BC186" s="26"/>
      <c r="BD186" s="26"/>
      <c r="BE186" s="26"/>
      <c r="BF186" s="26" t="s">
        <v>23900</v>
      </c>
      <c r="BG186" s="26"/>
      <c r="BH186" s="26"/>
      <c r="BI186" s="26"/>
      <c r="BJ186" s="26"/>
      <c r="BK186" s="26"/>
      <c r="BL186" s="26"/>
      <c r="BM186" s="26"/>
      <c r="BN186" s="26"/>
      <c r="BO186" s="26"/>
      <c r="BP186" s="16" t="n">
        <v>45737</v>
      </c>
      <c r="BQ186" s="28" t="str">
        <f>HYPERLINK("https://organic.ams.usda.gov/Integrity/Certificate.aspx?cid=31&amp;nopid=3928971772")</f>
        <v>https://organic.ams.usda.gov/Integrity/Certificate.aspx?cid=31&amp;nopid=3928971772</v>
      </c>
    </row>
    <row r="187">
      <c r="A187" t="s">
        <v>3</v>
      </c>
      <c r="B187" s="6" t="s">
        <v>30</v>
      </c>
      <c r="C187" s="6" t="s">
        <v>77</v>
      </c>
      <c r="D187" s="6" t="s">
        <v>123</v>
      </c>
      <c r="E187" s="10" t="s">
        <v>328</v>
      </c>
      <c r="F187" s="6" t="s">
        <v>3064</v>
      </c>
      <c r="G187" s="6" t="s">
        <v>81</v>
      </c>
      <c r="H187" s="6" t="s">
        <v>6059</v>
      </c>
      <c r="I187" s="6" t="s">
        <v>8491</v>
      </c>
      <c r="J187" s="6" t="s">
        <v>9763</v>
      </c>
      <c r="K187" s="6" t="s">
        <v>10886</v>
      </c>
      <c r="L187" s="16" t="n">
        <v>40445</v>
      </c>
      <c r="M187" s="16" t="n">
        <v>45747</v>
      </c>
      <c r="N187" s="6" t="s">
        <v>10886</v>
      </c>
      <c r="O187" s="16" t="n">
        <v>40445</v>
      </c>
      <c r="P187" s="6" t="s">
        <v>10922</v>
      </c>
      <c r="Q187" s="6" t="s">
        <v>81</v>
      </c>
      <c r="R187" s="6" t="s">
        <v>6059</v>
      </c>
      <c r="S187" s="6" t="s">
        <v>10886</v>
      </c>
      <c r="T187" s="16" t="n">
        <v>40445</v>
      </c>
      <c r="U187" s="6" t="s">
        <v>13231</v>
      </c>
      <c r="V187" s="6" t="s">
        <v>81</v>
      </c>
      <c r="W187" s="6" t="s">
        <v>6059</v>
      </c>
      <c r="X187" s="6" t="s">
        <v>81</v>
      </c>
      <c r="Y187" s="21" t="s">
        <v>81</v>
      </c>
      <c r="Z187" s="6" t="s">
        <v>81</v>
      </c>
      <c r="AA187" s="6" t="s">
        <v>81</v>
      </c>
      <c r="AB187" s="6" t="s">
        <v>81</v>
      </c>
      <c r="AC187" s="6" t="s">
        <v>81</v>
      </c>
      <c r="AD187" s="21" t="s">
        <v>81</v>
      </c>
      <c r="AE187" s="6" t="s">
        <v>81</v>
      </c>
      <c r="AF187" s="6" t="s">
        <v>81</v>
      </c>
      <c r="AG187" s="6" t="s">
        <v>81</v>
      </c>
      <c r="AH187" s="6" t="s">
        <v>14794</v>
      </c>
      <c r="AI187" s="6" t="s">
        <v>81</v>
      </c>
      <c r="AJ187" s="6" t="s">
        <v>17444</v>
      </c>
      <c r="AK187" s="6" t="s">
        <v>17712</v>
      </c>
      <c r="AL187" s="6" t="s">
        <v>18444</v>
      </c>
      <c r="AM187" s="6" t="s">
        <v>18601</v>
      </c>
      <c r="AN187" s="6" t="s">
        <v>19657</v>
      </c>
      <c r="AO187" s="6" t="s">
        <v>19751</v>
      </c>
      <c r="AP187" s="6" t="s">
        <v>14794</v>
      </c>
      <c r="AQ187" s="6" t="s">
        <v>81</v>
      </c>
      <c r="AR187" s="6" t="s">
        <v>17444</v>
      </c>
      <c r="AS187" s="6" t="s">
        <v>17712</v>
      </c>
      <c r="AT187" s="6" t="s">
        <v>18444</v>
      </c>
      <c r="AU187" s="6" t="s">
        <v>18601</v>
      </c>
      <c r="AV187" s="6" t="s">
        <v>81</v>
      </c>
      <c r="AW187" s="6" t="s">
        <v>81</v>
      </c>
      <c r="AX187" s="6" t="s">
        <v>20858</v>
      </c>
      <c r="AY187" s="6" t="s">
        <v>81</v>
      </c>
      <c r="AZ187" s="6" t="s">
        <v>81</v>
      </c>
      <c r="BA187" s="6" t="s">
        <v>81</v>
      </c>
      <c r="BB187" s="24" t="n">
        <v>370</v>
      </c>
      <c r="BC187" s="26"/>
      <c r="BD187" s="26"/>
      <c r="BE187" s="26"/>
      <c r="BF187" s="26"/>
      <c r="BG187" s="26"/>
      <c r="BH187" s="26"/>
      <c r="BI187" s="26"/>
      <c r="BJ187" s="26"/>
      <c r="BK187" s="26"/>
      <c r="BL187" s="26"/>
      <c r="BM187" s="26"/>
      <c r="BN187" s="26"/>
      <c r="BO187" s="26"/>
      <c r="BP187" s="16" t="n">
        <v>45601</v>
      </c>
      <c r="BQ187" s="28" t="str">
        <f>HYPERLINK("https://organic.ams.usda.gov/Integrity/Certificate.aspx?cid=70&amp;nopid=6431033600")</f>
        <v>https://organic.ams.usda.gov/Integrity/Certificate.aspx?cid=70&amp;nopid=6431033600</v>
      </c>
    </row>
    <row r="188">
      <c r="A188" t="s">
        <v>3</v>
      </c>
      <c r="B188" s="6" t="s">
        <v>23</v>
      </c>
      <c r="C188" s="6" t="s">
        <v>70</v>
      </c>
      <c r="D188" s="6" t="s">
        <v>116</v>
      </c>
      <c r="E188" s="10" t="s">
        <v>329</v>
      </c>
      <c r="F188" s="6" t="s">
        <v>3065</v>
      </c>
      <c r="G188" s="6" t="s">
        <v>81</v>
      </c>
      <c r="H188" s="6" t="s">
        <v>6060</v>
      </c>
      <c r="I188" s="6" t="s">
        <v>8492</v>
      </c>
      <c r="J188" s="6" t="s">
        <v>9764</v>
      </c>
      <c r="K188" s="6" t="s">
        <v>10886</v>
      </c>
      <c r="L188" s="16" t="n">
        <v>45258</v>
      </c>
      <c r="M188" s="16" t="n">
        <v>45989</v>
      </c>
      <c r="N188" s="6" t="s">
        <v>10886</v>
      </c>
      <c r="O188" s="16" t="n">
        <v>45258</v>
      </c>
      <c r="P188" s="6" t="s">
        <v>11026</v>
      </c>
      <c r="Q188" s="6" t="s">
        <v>81</v>
      </c>
      <c r="R188" s="6" t="s">
        <v>12482</v>
      </c>
      <c r="S188" s="6" t="s">
        <v>10886</v>
      </c>
      <c r="T188" s="16" t="n">
        <v>45258</v>
      </c>
      <c r="U188" s="6" t="s">
        <v>13232</v>
      </c>
      <c r="V188" s="6" t="s">
        <v>81</v>
      </c>
      <c r="W188" s="6" t="s">
        <v>12482</v>
      </c>
      <c r="X188" s="6" t="s">
        <v>81</v>
      </c>
      <c r="Y188" s="21" t="s">
        <v>81</v>
      </c>
      <c r="Z188" s="6" t="s">
        <v>81</v>
      </c>
      <c r="AA188" s="6" t="s">
        <v>81</v>
      </c>
      <c r="AB188" s="6" t="s">
        <v>81</v>
      </c>
      <c r="AC188" s="6" t="s">
        <v>81</v>
      </c>
      <c r="AD188" s="21" t="s">
        <v>81</v>
      </c>
      <c r="AE188" s="6" t="s">
        <v>81</v>
      </c>
      <c r="AF188" s="6" t="s">
        <v>81</v>
      </c>
      <c r="AG188" s="6" t="s">
        <v>81</v>
      </c>
      <c r="AH188" s="6" t="s">
        <v>14795</v>
      </c>
      <c r="AI188" s="6" t="s">
        <v>81</v>
      </c>
      <c r="AJ188" s="6" t="s">
        <v>17372</v>
      </c>
      <c r="AK188" s="6" t="s">
        <v>18395</v>
      </c>
      <c r="AL188" s="6" t="s">
        <v>18444</v>
      </c>
      <c r="AM188" s="6" t="s">
        <v>18602</v>
      </c>
      <c r="AN188" s="6" t="s">
        <v>81</v>
      </c>
      <c r="AO188" s="6" t="s">
        <v>81</v>
      </c>
      <c r="AP188" s="6" t="s">
        <v>20105</v>
      </c>
      <c r="AQ188" s="6" t="s">
        <v>81</v>
      </c>
      <c r="AR188" s="6" t="s">
        <v>17372</v>
      </c>
      <c r="AS188" s="6" t="s">
        <v>18395</v>
      </c>
      <c r="AT188" s="6" t="s">
        <v>18444</v>
      </c>
      <c r="AU188" s="6" t="s">
        <v>18602</v>
      </c>
      <c r="AV188" s="6" t="s">
        <v>81</v>
      </c>
      <c r="AW188" s="6" t="s">
        <v>81</v>
      </c>
      <c r="AX188" s="6" t="s">
        <v>20859</v>
      </c>
      <c r="AY188" s="6" t="s">
        <v>22601</v>
      </c>
      <c r="AZ188" s="6" t="s">
        <v>81</v>
      </c>
      <c r="BA188" s="6" t="s">
        <v>81</v>
      </c>
      <c r="BB188" s="24" t="n">
        <v>680</v>
      </c>
      <c r="BC188" s="26"/>
      <c r="BD188" s="26"/>
      <c r="BE188" s="26"/>
      <c r="BF188" s="26"/>
      <c r="BG188" s="26"/>
      <c r="BH188" s="26"/>
      <c r="BI188" s="26"/>
      <c r="BJ188" s="26"/>
      <c r="BK188" s="26"/>
      <c r="BL188" s="26"/>
      <c r="BM188" s="26"/>
      <c r="BN188" s="26"/>
      <c r="BO188" s="26"/>
      <c r="BP188" s="16" t="n">
        <v>45700</v>
      </c>
      <c r="BQ188" s="28" t="str">
        <f>HYPERLINK("https://organic.ams.usda.gov/Integrity/Certificate.aspx?cid=63&amp;nopid=6220009164")</f>
        <v>https://organic.ams.usda.gov/Integrity/Certificate.aspx?cid=63&amp;nopid=6220009164</v>
      </c>
    </row>
    <row r="189">
      <c r="A189" t="s">
        <v>3</v>
      </c>
      <c r="B189" s="6" t="s">
        <v>10</v>
      </c>
      <c r="C189" s="6" t="s">
        <v>57</v>
      </c>
      <c r="D189" s="6" t="s">
        <v>103</v>
      </c>
      <c r="E189" s="10" t="s">
        <v>330</v>
      </c>
      <c r="F189" s="6" t="s">
        <v>3066</v>
      </c>
      <c r="G189" s="6" t="s">
        <v>81</v>
      </c>
      <c r="H189" s="6" t="s">
        <v>6061</v>
      </c>
      <c r="I189" s="6" t="s">
        <v>8493</v>
      </c>
      <c r="J189" s="6" t="s">
        <v>9665</v>
      </c>
      <c r="K189" s="6" t="s">
        <v>10886</v>
      </c>
      <c r="L189" s="16" t="n">
        <v>41204</v>
      </c>
      <c r="M189" s="16" t="n">
        <v>45748</v>
      </c>
      <c r="N189" s="6" t="s">
        <v>10886</v>
      </c>
      <c r="O189" s="16" t="n">
        <v>41204</v>
      </c>
      <c r="P189" s="6" t="s">
        <v>11027</v>
      </c>
      <c r="Q189" s="6" t="s">
        <v>81</v>
      </c>
      <c r="R189" s="6" t="s">
        <v>12483</v>
      </c>
      <c r="S189" s="6" t="s">
        <v>10886</v>
      </c>
      <c r="T189" s="16" t="n">
        <v>41204</v>
      </c>
      <c r="U189" s="6" t="s">
        <v>13163</v>
      </c>
      <c r="V189" s="6" t="s">
        <v>81</v>
      </c>
      <c r="W189" s="6" t="s">
        <v>81</v>
      </c>
      <c r="X189" s="6" t="s">
        <v>81</v>
      </c>
      <c r="Y189" s="21" t="s">
        <v>81</v>
      </c>
      <c r="Z189" s="6" t="s">
        <v>81</v>
      </c>
      <c r="AA189" s="6" t="s">
        <v>81</v>
      </c>
      <c r="AB189" s="6" t="s">
        <v>81</v>
      </c>
      <c r="AC189" s="6" t="s">
        <v>81</v>
      </c>
      <c r="AD189" s="21" t="s">
        <v>81</v>
      </c>
      <c r="AE189" s="6" t="s">
        <v>81</v>
      </c>
      <c r="AF189" s="6" t="s">
        <v>81</v>
      </c>
      <c r="AG189" s="6" t="s">
        <v>81</v>
      </c>
      <c r="AH189" s="6" t="s">
        <v>14796</v>
      </c>
      <c r="AI189" s="6" t="s">
        <v>81</v>
      </c>
      <c r="AJ189" s="6" t="s">
        <v>17380</v>
      </c>
      <c r="AK189" s="6" t="s">
        <v>18379</v>
      </c>
      <c r="AL189" s="6" t="s">
        <v>18444</v>
      </c>
      <c r="AM189" s="6" t="s">
        <v>18533</v>
      </c>
      <c r="AN189" s="6" t="s">
        <v>19637</v>
      </c>
      <c r="AO189" s="6" t="s">
        <v>19723</v>
      </c>
      <c r="AP189" s="6" t="s">
        <v>20106</v>
      </c>
      <c r="AQ189" s="6" t="s">
        <v>81</v>
      </c>
      <c r="AR189" s="6" t="s">
        <v>17380</v>
      </c>
      <c r="AS189" s="6" t="s">
        <v>18379</v>
      </c>
      <c r="AT189" s="6" t="s">
        <v>18444</v>
      </c>
      <c r="AU189" s="6" t="s">
        <v>18533</v>
      </c>
      <c r="AV189" s="6" t="s">
        <v>81</v>
      </c>
      <c r="AW189" s="6" t="s">
        <v>81</v>
      </c>
      <c r="AX189" s="6" t="s">
        <v>20860</v>
      </c>
      <c r="AY189" s="6" t="s">
        <v>81</v>
      </c>
      <c r="AZ189" s="6" t="s">
        <v>81</v>
      </c>
      <c r="BA189" s="6" t="s">
        <v>81</v>
      </c>
      <c r="BB189" s="24" t="n">
        <v>107</v>
      </c>
      <c r="BC189" s="26"/>
      <c r="BD189" s="26"/>
      <c r="BE189" s="26"/>
      <c r="BF189" s="26"/>
      <c r="BG189" s="26"/>
      <c r="BH189" s="26"/>
      <c r="BI189" s="26"/>
      <c r="BJ189" s="26"/>
      <c r="BK189" s="26"/>
      <c r="BL189" s="26"/>
      <c r="BM189" s="26"/>
      <c r="BN189" s="26"/>
      <c r="BO189" s="26"/>
      <c r="BP189" s="16" t="n">
        <v>45730</v>
      </c>
      <c r="BQ189" s="28" t="str">
        <f>HYPERLINK("https://organic.ams.usda.gov/Integrity/Certificate.aspx?cid=90&amp;nopid=7170220516")</f>
        <v>https://organic.ams.usda.gov/Integrity/Certificate.aspx?cid=90&amp;nopid=7170220516</v>
      </c>
    </row>
    <row r="190">
      <c r="A190" t="s">
        <v>3</v>
      </c>
      <c r="B190" s="6" t="s">
        <v>9</v>
      </c>
      <c r="C190" s="6" t="s">
        <v>56</v>
      </c>
      <c r="D190" s="6" t="s">
        <v>102</v>
      </c>
      <c r="E190" s="10" t="s">
        <v>331</v>
      </c>
      <c r="F190" s="6" t="s">
        <v>3067</v>
      </c>
      <c r="G190" s="6" t="s">
        <v>81</v>
      </c>
      <c r="H190" s="6" t="s">
        <v>6062</v>
      </c>
      <c r="I190" s="6" t="s">
        <v>8494</v>
      </c>
      <c r="J190" s="6" t="s">
        <v>9765</v>
      </c>
      <c r="K190" s="6" t="s">
        <v>10886</v>
      </c>
      <c r="L190" s="16" t="n">
        <v>41136</v>
      </c>
      <c r="M190" s="16" t="n">
        <v>46113</v>
      </c>
      <c r="N190" s="6" t="s">
        <v>10886</v>
      </c>
      <c r="O190" s="16" t="n">
        <v>41136</v>
      </c>
      <c r="P190" s="6" t="s">
        <v>10922</v>
      </c>
      <c r="Q190" s="6" t="s">
        <v>81</v>
      </c>
      <c r="R190" s="6" t="s">
        <v>12484</v>
      </c>
      <c r="S190" s="6" t="s">
        <v>10886</v>
      </c>
      <c r="T190" s="16" t="n">
        <v>41136</v>
      </c>
      <c r="U190" s="6" t="s">
        <v>13233</v>
      </c>
      <c r="V190" s="6" t="s">
        <v>81</v>
      </c>
      <c r="W190" s="6" t="s">
        <v>12484</v>
      </c>
      <c r="X190" s="6" t="s">
        <v>81</v>
      </c>
      <c r="Y190" s="21" t="s">
        <v>81</v>
      </c>
      <c r="Z190" s="6" t="s">
        <v>81</v>
      </c>
      <c r="AA190" s="6" t="s">
        <v>81</v>
      </c>
      <c r="AB190" s="6" t="s">
        <v>81</v>
      </c>
      <c r="AC190" s="6" t="s">
        <v>81</v>
      </c>
      <c r="AD190" s="21" t="s">
        <v>81</v>
      </c>
      <c r="AE190" s="6" t="s">
        <v>81</v>
      </c>
      <c r="AF190" s="6" t="s">
        <v>81</v>
      </c>
      <c r="AG190" s="6" t="s">
        <v>81</v>
      </c>
      <c r="AH190" s="6" t="s">
        <v>14797</v>
      </c>
      <c r="AI190" s="6" t="s">
        <v>81</v>
      </c>
      <c r="AJ190" s="6" t="s">
        <v>17445</v>
      </c>
      <c r="AK190" s="6" t="s">
        <v>18381</v>
      </c>
      <c r="AL190" s="6" t="s">
        <v>18444</v>
      </c>
      <c r="AM190" s="6" t="s">
        <v>18603</v>
      </c>
      <c r="AN190" s="6" t="s">
        <v>19676</v>
      </c>
      <c r="AO190" s="6" t="s">
        <v>19797</v>
      </c>
      <c r="AP190" s="6" t="s">
        <v>81</v>
      </c>
      <c r="AQ190" s="6" t="s">
        <v>81</v>
      </c>
      <c r="AR190" s="6" t="s">
        <v>81</v>
      </c>
      <c r="AS190" s="6" t="s">
        <v>81</v>
      </c>
      <c r="AT190" s="6" t="s">
        <v>81</v>
      </c>
      <c r="AU190" s="6" t="s">
        <v>81</v>
      </c>
      <c r="AV190" s="6" t="s">
        <v>81</v>
      </c>
      <c r="AW190" s="6" t="s">
        <v>81</v>
      </c>
      <c r="AX190" s="6" t="s">
        <v>20861</v>
      </c>
      <c r="AY190" s="6" t="s">
        <v>22602</v>
      </c>
      <c r="AZ190" s="6" t="s">
        <v>81</v>
      </c>
      <c r="BA190" s="6" t="s">
        <v>81</v>
      </c>
      <c r="BB190" s="24" t="n">
        <v>580</v>
      </c>
      <c r="BC190" s="26"/>
      <c r="BD190" s="26"/>
      <c r="BE190" s="26"/>
      <c r="BF190" s="26"/>
      <c r="BG190" s="26"/>
      <c r="BH190" s="26"/>
      <c r="BI190" s="26"/>
      <c r="BJ190" s="26"/>
      <c r="BK190" s="26"/>
      <c r="BL190" s="26"/>
      <c r="BM190" s="26"/>
      <c r="BN190" s="26"/>
      <c r="BO190" s="26"/>
      <c r="BP190" s="16" t="n">
        <v>45738</v>
      </c>
      <c r="BQ190" s="28" t="str">
        <f>HYPERLINK("https://organic.ams.usda.gov/Integrity/Certificate.aspx?cid=52&amp;nopid=8431200343")</f>
        <v>https://organic.ams.usda.gov/Integrity/Certificate.aspx?cid=52&amp;nopid=8431200343</v>
      </c>
    </row>
    <row r="191">
      <c r="A191" t="s">
        <v>3</v>
      </c>
      <c r="B191" s="6" t="s">
        <v>22</v>
      </c>
      <c r="C191" s="6" t="s">
        <v>69</v>
      </c>
      <c r="D191" s="6" t="s">
        <v>115</v>
      </c>
      <c r="E191" s="10" t="s">
        <v>332</v>
      </c>
      <c r="F191" s="6" t="s">
        <v>3068</v>
      </c>
      <c r="G191" s="6" t="s">
        <v>81</v>
      </c>
      <c r="H191" s="6" t="s">
        <v>6063</v>
      </c>
      <c r="I191" s="6" t="s">
        <v>8495</v>
      </c>
      <c r="J191" s="6" t="s">
        <v>9766</v>
      </c>
      <c r="K191" s="6" t="s">
        <v>10886</v>
      </c>
      <c r="L191" s="16" t="n">
        <v>43514</v>
      </c>
      <c r="M191" s="16" t="n">
        <v>46071</v>
      </c>
      <c r="N191" s="6" t="s">
        <v>10893</v>
      </c>
      <c r="O191" s="16" t="n">
        <v>45697</v>
      </c>
      <c r="P191" s="6" t="s">
        <v>81</v>
      </c>
      <c r="Q191" s="6" t="s">
        <v>81</v>
      </c>
      <c r="R191" s="6" t="s">
        <v>81</v>
      </c>
      <c r="S191" s="6" t="s">
        <v>81</v>
      </c>
      <c r="T191" s="21" t="s">
        <v>81</v>
      </c>
      <c r="U191" s="6" t="s">
        <v>81</v>
      </c>
      <c r="V191" s="6" t="s">
        <v>81</v>
      </c>
      <c r="W191" s="6" t="s">
        <v>81</v>
      </c>
      <c r="X191" s="6" t="s">
        <v>81</v>
      </c>
      <c r="Y191" s="21" t="s">
        <v>81</v>
      </c>
      <c r="Z191" s="6" t="s">
        <v>81</v>
      </c>
      <c r="AA191" s="6" t="s">
        <v>81</v>
      </c>
      <c r="AB191" s="6" t="s">
        <v>81</v>
      </c>
      <c r="AC191" s="6" t="s">
        <v>10886</v>
      </c>
      <c r="AD191" s="16" t="n">
        <v>43514</v>
      </c>
      <c r="AE191" s="6" t="s">
        <v>14036</v>
      </c>
      <c r="AF191" s="6" t="s">
        <v>81</v>
      </c>
      <c r="AG191" s="6" t="s">
        <v>81</v>
      </c>
      <c r="AH191" s="6" t="s">
        <v>14798</v>
      </c>
      <c r="AI191" s="6" t="s">
        <v>17276</v>
      </c>
      <c r="AJ191" s="6" t="s">
        <v>81</v>
      </c>
      <c r="AK191" s="6" t="s">
        <v>18396</v>
      </c>
      <c r="AL191" s="6" t="s">
        <v>18447</v>
      </c>
      <c r="AM191" s="6" t="s">
        <v>81</v>
      </c>
      <c r="AN191" s="6" t="s">
        <v>81</v>
      </c>
      <c r="AO191" s="6" t="s">
        <v>81</v>
      </c>
      <c r="AP191" s="6" t="s">
        <v>14798</v>
      </c>
      <c r="AQ191" s="6" t="s">
        <v>17276</v>
      </c>
      <c r="AR191" s="6" t="s">
        <v>81</v>
      </c>
      <c r="AS191" s="6" t="s">
        <v>18396</v>
      </c>
      <c r="AT191" s="6" t="s">
        <v>18447</v>
      </c>
      <c r="AU191" s="6" t="s">
        <v>81</v>
      </c>
      <c r="AV191" s="6" t="s">
        <v>81</v>
      </c>
      <c r="AW191" s="6" t="s">
        <v>81</v>
      </c>
      <c r="AX191" s="6" t="s">
        <v>20862</v>
      </c>
      <c r="AY191" s="6" t="s">
        <v>22603</v>
      </c>
      <c r="AZ191" s="6" t="s">
        <v>81</v>
      </c>
      <c r="BA191" s="6" t="s">
        <v>81</v>
      </c>
      <c r="BB191" s="6" t="s">
        <v>81</v>
      </c>
      <c r="BC191" s="26"/>
      <c r="BD191" s="26"/>
      <c r="BE191" s="26"/>
      <c r="BF191" s="26"/>
      <c r="BG191" s="26"/>
      <c r="BH191" s="26"/>
      <c r="BI191" s="26"/>
      <c r="BJ191" s="26"/>
      <c r="BK191" s="26"/>
      <c r="BL191" s="26"/>
      <c r="BM191" s="26"/>
      <c r="BN191" s="26"/>
      <c r="BO191" s="26"/>
      <c r="BP191" s="16" t="n">
        <v>45701</v>
      </c>
      <c r="BQ191" s="28" t="str">
        <f>HYPERLINK("https://organic.ams.usda.gov/Integrity/Certificate.aspx?cid=21&amp;nopid=1780863170")</f>
        <v>https://organic.ams.usda.gov/Integrity/Certificate.aspx?cid=21&amp;nopid=1780863170</v>
      </c>
    </row>
    <row r="192">
      <c r="A192" t="s">
        <v>3</v>
      </c>
      <c r="B192" s="6" t="s">
        <v>31</v>
      </c>
      <c r="C192" s="6" t="s">
        <v>78</v>
      </c>
      <c r="D192" s="6" t="s">
        <v>124</v>
      </c>
      <c r="E192" s="10" t="s">
        <v>333</v>
      </c>
      <c r="F192" s="6" t="s">
        <v>3069</v>
      </c>
      <c r="G192" s="6" t="s">
        <v>5606</v>
      </c>
      <c r="H192" s="6" t="s">
        <v>6064</v>
      </c>
      <c r="I192" s="6" t="s">
        <v>8496</v>
      </c>
      <c r="J192" s="6" t="s">
        <v>9767</v>
      </c>
      <c r="K192" s="6" t="s">
        <v>10886</v>
      </c>
      <c r="L192" s="16" t="n">
        <v>43726</v>
      </c>
      <c r="M192" s="16" t="n">
        <v>45807</v>
      </c>
      <c r="N192" s="6" t="s">
        <v>81</v>
      </c>
      <c r="O192" s="21" t="s">
        <v>81</v>
      </c>
      <c r="P192" s="6" t="s">
        <v>81</v>
      </c>
      <c r="Q192" s="6" t="s">
        <v>81</v>
      </c>
      <c r="R192" s="6" t="s">
        <v>81</v>
      </c>
      <c r="S192" s="6" t="s">
        <v>81</v>
      </c>
      <c r="T192" s="21" t="s">
        <v>81</v>
      </c>
      <c r="U192" s="6" t="s">
        <v>81</v>
      </c>
      <c r="V192" s="6" t="s">
        <v>81</v>
      </c>
      <c r="W192" s="6" t="s">
        <v>81</v>
      </c>
      <c r="X192" s="6" t="s">
        <v>81</v>
      </c>
      <c r="Y192" s="21" t="s">
        <v>81</v>
      </c>
      <c r="Z192" s="6" t="s">
        <v>81</v>
      </c>
      <c r="AA192" s="6" t="s">
        <v>81</v>
      </c>
      <c r="AB192" s="6" t="s">
        <v>81</v>
      </c>
      <c r="AC192" s="6" t="s">
        <v>10886</v>
      </c>
      <c r="AD192" s="16" t="n">
        <v>43726</v>
      </c>
      <c r="AE192" s="6" t="s">
        <v>14037</v>
      </c>
      <c r="AF192" s="6" t="s">
        <v>81</v>
      </c>
      <c r="AG192" s="6" t="s">
        <v>6064</v>
      </c>
      <c r="AH192" s="6" t="s">
        <v>14799</v>
      </c>
      <c r="AI192" s="6" t="s">
        <v>81</v>
      </c>
      <c r="AJ192" s="6" t="s">
        <v>17446</v>
      </c>
      <c r="AK192" s="6" t="s">
        <v>18397</v>
      </c>
      <c r="AL192" s="6" t="s">
        <v>17856</v>
      </c>
      <c r="AM192" s="6" t="s">
        <v>18604</v>
      </c>
      <c r="AN192" s="6" t="s">
        <v>81</v>
      </c>
      <c r="AO192" s="6" t="s">
        <v>81</v>
      </c>
      <c r="AP192" s="6" t="s">
        <v>20107</v>
      </c>
      <c r="AQ192" s="6" t="s">
        <v>20472</v>
      </c>
      <c r="AR192" s="6" t="s">
        <v>20496</v>
      </c>
      <c r="AS192" s="6" t="s">
        <v>81</v>
      </c>
      <c r="AT192" s="6" t="s">
        <v>17856</v>
      </c>
      <c r="AU192" s="6" t="s">
        <v>20603</v>
      </c>
      <c r="AV192" s="6" t="s">
        <v>81</v>
      </c>
      <c r="AW192" s="6" t="s">
        <v>81</v>
      </c>
      <c r="AX192" s="6" t="s">
        <v>20863</v>
      </c>
      <c r="AY192" s="6" t="s">
        <v>22604</v>
      </c>
      <c r="AZ192" s="6" t="s">
        <v>81</v>
      </c>
      <c r="BA192" s="6" t="s">
        <v>23828</v>
      </c>
      <c r="BB192" s="24" t="n">
        <v>0</v>
      </c>
      <c r="BC192" s="26"/>
      <c r="BD192" s="26"/>
      <c r="BE192" s="26"/>
      <c r="BF192" s="26"/>
      <c r="BG192" s="26"/>
      <c r="BH192" s="26"/>
      <c r="BI192" s="26"/>
      <c r="BJ192" s="26"/>
      <c r="BK192" s="26"/>
      <c r="BL192" s="26"/>
      <c r="BM192" s="26"/>
      <c r="BN192" s="26"/>
      <c r="BO192" s="26"/>
      <c r="BP192" s="16" t="n">
        <v>45644</v>
      </c>
      <c r="BQ192" s="28" t="str">
        <f>HYPERLINK("https://organic.ams.usda.gov/Integrity/Certificate.aspx?cid=7&amp;nopid=3950000907")</f>
        <v>https://organic.ams.usda.gov/Integrity/Certificate.aspx?cid=7&amp;nopid=3950000907</v>
      </c>
    </row>
    <row r="193">
      <c r="A193" t="s">
        <v>3</v>
      </c>
      <c r="B193" s="6" t="s">
        <v>25</v>
      </c>
      <c r="C193" s="6" t="s">
        <v>72</v>
      </c>
      <c r="D193" s="6" t="s">
        <v>118</v>
      </c>
      <c r="E193" s="10" t="s">
        <v>334</v>
      </c>
      <c r="F193" s="6" t="s">
        <v>3070</v>
      </c>
      <c r="G193" s="6" t="s">
        <v>5607</v>
      </c>
      <c r="H193" s="6" t="s">
        <v>6065</v>
      </c>
      <c r="I193" s="6" t="s">
        <v>8497</v>
      </c>
      <c r="J193" s="6" t="s">
        <v>9768</v>
      </c>
      <c r="K193" s="6" t="s">
        <v>10886</v>
      </c>
      <c r="L193" s="16" t="n">
        <v>42215</v>
      </c>
      <c r="M193" s="16" t="n">
        <v>46023</v>
      </c>
      <c r="N193" s="6" t="s">
        <v>81</v>
      </c>
      <c r="O193" s="21" t="s">
        <v>81</v>
      </c>
      <c r="P193" s="6" t="s">
        <v>81</v>
      </c>
      <c r="Q193" s="6" t="s">
        <v>81</v>
      </c>
      <c r="R193" s="6" t="s">
        <v>81</v>
      </c>
      <c r="S193" s="6" t="s">
        <v>81</v>
      </c>
      <c r="T193" s="21" t="s">
        <v>81</v>
      </c>
      <c r="U193" s="6" t="s">
        <v>81</v>
      </c>
      <c r="V193" s="6" t="s">
        <v>81</v>
      </c>
      <c r="W193" s="6" t="s">
        <v>81</v>
      </c>
      <c r="X193" s="6" t="s">
        <v>81</v>
      </c>
      <c r="Y193" s="21" t="s">
        <v>81</v>
      </c>
      <c r="Z193" s="6" t="s">
        <v>81</v>
      </c>
      <c r="AA193" s="6" t="s">
        <v>81</v>
      </c>
      <c r="AB193" s="6" t="s">
        <v>81</v>
      </c>
      <c r="AC193" s="6" t="s">
        <v>10886</v>
      </c>
      <c r="AD193" s="16" t="n">
        <v>42215</v>
      </c>
      <c r="AE193" s="6" t="s">
        <v>14038</v>
      </c>
      <c r="AF193" s="6" t="s">
        <v>81</v>
      </c>
      <c r="AG193" s="6" t="s">
        <v>81</v>
      </c>
      <c r="AH193" s="6" t="s">
        <v>14800</v>
      </c>
      <c r="AI193" s="6" t="s">
        <v>81</v>
      </c>
      <c r="AJ193" s="6" t="s">
        <v>17447</v>
      </c>
      <c r="AK193" s="6" t="s">
        <v>18386</v>
      </c>
      <c r="AL193" s="6" t="s">
        <v>18444</v>
      </c>
      <c r="AM193" s="6" t="s">
        <v>18605</v>
      </c>
      <c r="AN193" s="6" t="s">
        <v>19642</v>
      </c>
      <c r="AO193" s="6" t="s">
        <v>19798</v>
      </c>
      <c r="AP193" s="6" t="s">
        <v>14800</v>
      </c>
      <c r="AQ193" s="6" t="s">
        <v>81</v>
      </c>
      <c r="AR193" s="6" t="s">
        <v>17447</v>
      </c>
      <c r="AS193" s="6" t="s">
        <v>18386</v>
      </c>
      <c r="AT193" s="6" t="s">
        <v>18444</v>
      </c>
      <c r="AU193" s="6" t="s">
        <v>18605</v>
      </c>
      <c r="AV193" s="6" t="s">
        <v>81</v>
      </c>
      <c r="AW193" s="6" t="s">
        <v>81</v>
      </c>
      <c r="AX193" s="6" t="s">
        <v>20864</v>
      </c>
      <c r="AY193" s="6" t="s">
        <v>22605</v>
      </c>
      <c r="AZ193" s="6" t="s">
        <v>23586</v>
      </c>
      <c r="BA193" s="6" t="s">
        <v>23829</v>
      </c>
      <c r="BB193" s="6" t="s">
        <v>81</v>
      </c>
      <c r="BC193" s="26"/>
      <c r="BD193" s="26"/>
      <c r="BE193" s="26"/>
      <c r="BF193" s="26"/>
      <c r="BG193" s="26"/>
      <c r="BH193" s="26"/>
      <c r="BI193" s="26"/>
      <c r="BJ193" s="26"/>
      <c r="BK193" s="26"/>
      <c r="BL193" s="26"/>
      <c r="BM193" s="26"/>
      <c r="BN193" s="26"/>
      <c r="BO193" s="26"/>
      <c r="BP193" s="16" t="n">
        <v>45667</v>
      </c>
      <c r="BQ193" s="28" t="str">
        <f>HYPERLINK("https://organic.ams.usda.gov/Integrity/Certificate.aspx?cid=15&amp;nopid=5561002056")</f>
        <v>https://organic.ams.usda.gov/Integrity/Certificate.aspx?cid=15&amp;nopid=5561002056</v>
      </c>
    </row>
    <row r="194">
      <c r="A194" t="s">
        <v>3</v>
      </c>
      <c r="B194" s="6" t="s">
        <v>30</v>
      </c>
      <c r="C194" s="6" t="s">
        <v>77</v>
      </c>
      <c r="D194" s="6" t="s">
        <v>123</v>
      </c>
      <c r="E194" s="10" t="s">
        <v>335</v>
      </c>
      <c r="F194" s="6" t="s">
        <v>3071</v>
      </c>
      <c r="G194" s="6" t="s">
        <v>81</v>
      </c>
      <c r="H194" s="6" t="s">
        <v>6066</v>
      </c>
      <c r="I194" s="6" t="s">
        <v>8498</v>
      </c>
      <c r="J194" s="6" t="s">
        <v>9769</v>
      </c>
      <c r="K194" s="6" t="s">
        <v>10886</v>
      </c>
      <c r="L194" s="16" t="n">
        <v>39396</v>
      </c>
      <c r="M194" s="16" t="n">
        <v>45382</v>
      </c>
      <c r="N194" s="6" t="s">
        <v>10886</v>
      </c>
      <c r="O194" s="16" t="n">
        <v>39396</v>
      </c>
      <c r="P194" s="6" t="s">
        <v>11028</v>
      </c>
      <c r="Q194" s="6" t="s">
        <v>81</v>
      </c>
      <c r="R194" s="6" t="s">
        <v>12485</v>
      </c>
      <c r="S194" s="6" t="s">
        <v>10886</v>
      </c>
      <c r="T194" s="16" t="n">
        <v>45447</v>
      </c>
      <c r="U194" s="6" t="s">
        <v>13218</v>
      </c>
      <c r="V194" s="6" t="s">
        <v>81</v>
      </c>
      <c r="W194" s="6" t="s">
        <v>81</v>
      </c>
      <c r="X194" s="6" t="s">
        <v>81</v>
      </c>
      <c r="Y194" s="21" t="s">
        <v>81</v>
      </c>
      <c r="Z194" s="6" t="s">
        <v>81</v>
      </c>
      <c r="AA194" s="6" t="s">
        <v>81</v>
      </c>
      <c r="AB194" s="6" t="s">
        <v>81</v>
      </c>
      <c r="AC194" s="6" t="s">
        <v>81</v>
      </c>
      <c r="AD194" s="21" t="s">
        <v>81</v>
      </c>
      <c r="AE194" s="6" t="s">
        <v>81</v>
      </c>
      <c r="AF194" s="6" t="s">
        <v>81</v>
      </c>
      <c r="AG194" s="6" t="s">
        <v>81</v>
      </c>
      <c r="AH194" s="6" t="s">
        <v>14801</v>
      </c>
      <c r="AI194" s="6" t="s">
        <v>81</v>
      </c>
      <c r="AJ194" s="6" t="s">
        <v>17354</v>
      </c>
      <c r="AK194" s="6" t="s">
        <v>17712</v>
      </c>
      <c r="AL194" s="6" t="s">
        <v>18444</v>
      </c>
      <c r="AM194" s="6" t="s">
        <v>18508</v>
      </c>
      <c r="AN194" s="6" t="s">
        <v>19649</v>
      </c>
      <c r="AO194" s="6" t="s">
        <v>19738</v>
      </c>
      <c r="AP194" s="6" t="s">
        <v>14801</v>
      </c>
      <c r="AQ194" s="6" t="s">
        <v>81</v>
      </c>
      <c r="AR194" s="6" t="s">
        <v>17354</v>
      </c>
      <c r="AS194" s="6" t="s">
        <v>17712</v>
      </c>
      <c r="AT194" s="6" t="s">
        <v>18444</v>
      </c>
      <c r="AU194" s="6" t="s">
        <v>18508</v>
      </c>
      <c r="AV194" s="6" t="s">
        <v>81</v>
      </c>
      <c r="AW194" s="6" t="s">
        <v>81</v>
      </c>
      <c r="AX194" s="6" t="s">
        <v>81</v>
      </c>
      <c r="AY194" s="6" t="s">
        <v>81</v>
      </c>
      <c r="AZ194" s="6" t="s">
        <v>81</v>
      </c>
      <c r="BA194" s="6" t="s">
        <v>81</v>
      </c>
      <c r="BB194" s="24" t="n">
        <v>128</v>
      </c>
      <c r="BC194" s="26"/>
      <c r="BD194" s="26"/>
      <c r="BE194" s="26"/>
      <c r="BF194" s="26"/>
      <c r="BG194" s="26"/>
      <c r="BH194" s="26"/>
      <c r="BI194" s="26"/>
      <c r="BJ194" s="26"/>
      <c r="BK194" s="26"/>
      <c r="BL194" s="26"/>
      <c r="BM194" s="26"/>
      <c r="BN194" s="26"/>
      <c r="BO194" s="26"/>
      <c r="BP194" s="16" t="n">
        <v>45447</v>
      </c>
      <c r="BQ194" s="28" t="str">
        <f>HYPERLINK("https://organic.ams.usda.gov/Integrity/Certificate.aspx?cid=70&amp;nopid=6430712940")</f>
        <v>https://organic.ams.usda.gov/Integrity/Certificate.aspx?cid=70&amp;nopid=6430712940</v>
      </c>
    </row>
    <row r="195">
      <c r="A195" t="s">
        <v>3</v>
      </c>
      <c r="B195" s="6" t="s">
        <v>10</v>
      </c>
      <c r="C195" s="6" t="s">
        <v>57</v>
      </c>
      <c r="D195" s="6" t="s">
        <v>103</v>
      </c>
      <c r="E195" s="10" t="s">
        <v>336</v>
      </c>
      <c r="F195" s="6" t="s">
        <v>3072</v>
      </c>
      <c r="G195" s="6" t="s">
        <v>81</v>
      </c>
      <c r="H195" s="6" t="s">
        <v>6067</v>
      </c>
      <c r="I195" s="6" t="s">
        <v>8498</v>
      </c>
      <c r="J195" s="6" t="s">
        <v>9770</v>
      </c>
      <c r="K195" s="6" t="s">
        <v>10886</v>
      </c>
      <c r="L195" s="16" t="n">
        <v>41206</v>
      </c>
      <c r="M195" s="16" t="n">
        <v>45748</v>
      </c>
      <c r="N195" s="6" t="s">
        <v>10886</v>
      </c>
      <c r="O195" s="16" t="n">
        <v>44642</v>
      </c>
      <c r="P195" s="6" t="s">
        <v>10925</v>
      </c>
      <c r="Q195" s="6" t="s">
        <v>81</v>
      </c>
      <c r="R195" s="6" t="s">
        <v>12486</v>
      </c>
      <c r="S195" s="6" t="s">
        <v>10886</v>
      </c>
      <c r="T195" s="16" t="n">
        <v>44642</v>
      </c>
      <c r="U195" s="6" t="s">
        <v>13234</v>
      </c>
      <c r="V195" s="6" t="s">
        <v>81</v>
      </c>
      <c r="W195" s="6" t="s">
        <v>81</v>
      </c>
      <c r="X195" s="6" t="s">
        <v>81</v>
      </c>
      <c r="Y195" s="21" t="s">
        <v>81</v>
      </c>
      <c r="Z195" s="6" t="s">
        <v>81</v>
      </c>
      <c r="AA195" s="6" t="s">
        <v>81</v>
      </c>
      <c r="AB195" s="6" t="s">
        <v>81</v>
      </c>
      <c r="AC195" s="6" t="s">
        <v>81</v>
      </c>
      <c r="AD195" s="21" t="s">
        <v>81</v>
      </c>
      <c r="AE195" s="6" t="s">
        <v>81</v>
      </c>
      <c r="AF195" s="6" t="s">
        <v>81</v>
      </c>
      <c r="AG195" s="6" t="s">
        <v>81</v>
      </c>
      <c r="AH195" s="6" t="s">
        <v>14802</v>
      </c>
      <c r="AI195" s="6" t="s">
        <v>81</v>
      </c>
      <c r="AJ195" s="6" t="s">
        <v>17448</v>
      </c>
      <c r="AK195" s="6" t="s">
        <v>18379</v>
      </c>
      <c r="AL195" s="6" t="s">
        <v>18444</v>
      </c>
      <c r="AM195" s="6" t="s">
        <v>18606</v>
      </c>
      <c r="AN195" s="6" t="s">
        <v>19642</v>
      </c>
      <c r="AO195" s="6" t="s">
        <v>19799</v>
      </c>
      <c r="AP195" s="6" t="s">
        <v>14802</v>
      </c>
      <c r="AQ195" s="6" t="s">
        <v>81</v>
      </c>
      <c r="AR195" s="6" t="s">
        <v>17448</v>
      </c>
      <c r="AS195" s="6" t="s">
        <v>18379</v>
      </c>
      <c r="AT195" s="6" t="s">
        <v>18444</v>
      </c>
      <c r="AU195" s="6" t="s">
        <v>18606</v>
      </c>
      <c r="AV195" s="6" t="s">
        <v>81</v>
      </c>
      <c r="AW195" s="6" t="s">
        <v>81</v>
      </c>
      <c r="AX195" s="6" t="s">
        <v>20865</v>
      </c>
      <c r="AY195" s="6" t="s">
        <v>81</v>
      </c>
      <c r="AZ195" s="6" t="s">
        <v>81</v>
      </c>
      <c r="BA195" s="6" t="s">
        <v>81</v>
      </c>
      <c r="BB195" s="24" t="n">
        <v>75</v>
      </c>
      <c r="BC195" s="26"/>
      <c r="BD195" s="26"/>
      <c r="BE195" s="26"/>
      <c r="BF195" s="26"/>
      <c r="BG195" s="26"/>
      <c r="BH195" s="26"/>
      <c r="BI195" s="26"/>
      <c r="BJ195" s="26"/>
      <c r="BK195" s="26"/>
      <c r="BL195" s="26"/>
      <c r="BM195" s="26"/>
      <c r="BN195" s="26"/>
      <c r="BO195" s="26"/>
      <c r="BP195" s="16" t="n">
        <v>45730</v>
      </c>
      <c r="BQ195" s="28" t="str">
        <f>HYPERLINK("https://organic.ams.usda.gov/Integrity/Certificate.aspx?cid=90&amp;nopid=7170220487")</f>
        <v>https://organic.ams.usda.gov/Integrity/Certificate.aspx?cid=90&amp;nopid=7170220487</v>
      </c>
    </row>
    <row r="196">
      <c r="A196" t="s">
        <v>3</v>
      </c>
      <c r="B196" s="6" t="s">
        <v>7</v>
      </c>
      <c r="C196" s="6" t="s">
        <v>54</v>
      </c>
      <c r="D196" s="6" t="s">
        <v>100</v>
      </c>
      <c r="E196" s="10" t="s">
        <v>337</v>
      </c>
      <c r="F196" s="6" t="s">
        <v>3073</v>
      </c>
      <c r="G196" s="6" t="s">
        <v>81</v>
      </c>
      <c r="H196" s="6" t="s">
        <v>6068</v>
      </c>
      <c r="I196" s="6" t="s">
        <v>8499</v>
      </c>
      <c r="J196" s="6" t="s">
        <v>9665</v>
      </c>
      <c r="K196" s="6" t="s">
        <v>10886</v>
      </c>
      <c r="L196" s="16" t="n">
        <v>45446</v>
      </c>
      <c r="M196" s="16" t="n">
        <v>45716</v>
      </c>
      <c r="N196" s="6" t="s">
        <v>10886</v>
      </c>
      <c r="O196" s="16" t="n">
        <v>45446</v>
      </c>
      <c r="P196" s="6" t="s">
        <v>10944</v>
      </c>
      <c r="Q196" s="6" t="s">
        <v>81</v>
      </c>
      <c r="R196" s="6" t="s">
        <v>81</v>
      </c>
      <c r="S196" s="6" t="s">
        <v>10886</v>
      </c>
      <c r="T196" s="16" t="n">
        <v>45454</v>
      </c>
      <c r="U196" s="6" t="s">
        <v>13188</v>
      </c>
      <c r="V196" s="6" t="s">
        <v>81</v>
      </c>
      <c r="W196" s="6" t="s">
        <v>81</v>
      </c>
      <c r="X196" s="6" t="s">
        <v>81</v>
      </c>
      <c r="Y196" s="21" t="s">
        <v>81</v>
      </c>
      <c r="Z196" s="6" t="s">
        <v>81</v>
      </c>
      <c r="AA196" s="6" t="s">
        <v>81</v>
      </c>
      <c r="AB196" s="6" t="s">
        <v>81</v>
      </c>
      <c r="AC196" s="6" t="s">
        <v>81</v>
      </c>
      <c r="AD196" s="21" t="s">
        <v>81</v>
      </c>
      <c r="AE196" s="6" t="s">
        <v>81</v>
      </c>
      <c r="AF196" s="6" t="s">
        <v>81</v>
      </c>
      <c r="AG196" s="6" t="s">
        <v>81</v>
      </c>
      <c r="AH196" s="6" t="s">
        <v>14803</v>
      </c>
      <c r="AI196" s="6" t="s">
        <v>81</v>
      </c>
      <c r="AJ196" s="6" t="s">
        <v>17393</v>
      </c>
      <c r="AK196" s="6" t="s">
        <v>17712</v>
      </c>
      <c r="AL196" s="6" t="s">
        <v>18444</v>
      </c>
      <c r="AM196" s="6" t="s">
        <v>18549</v>
      </c>
      <c r="AN196" s="6" t="s">
        <v>81</v>
      </c>
      <c r="AO196" s="6" t="s">
        <v>81</v>
      </c>
      <c r="AP196" s="6" t="s">
        <v>14803</v>
      </c>
      <c r="AQ196" s="6" t="s">
        <v>81</v>
      </c>
      <c r="AR196" s="6" t="s">
        <v>17393</v>
      </c>
      <c r="AS196" s="6" t="s">
        <v>17712</v>
      </c>
      <c r="AT196" s="6" t="s">
        <v>18444</v>
      </c>
      <c r="AU196" s="6" t="s">
        <v>18549</v>
      </c>
      <c r="AV196" s="6" t="s">
        <v>81</v>
      </c>
      <c r="AW196" s="6" t="s">
        <v>81</v>
      </c>
      <c r="AX196" s="6" t="s">
        <v>81</v>
      </c>
      <c r="AY196" s="6" t="s">
        <v>81</v>
      </c>
      <c r="AZ196" s="6" t="s">
        <v>81</v>
      </c>
      <c r="BA196" s="6" t="s">
        <v>81</v>
      </c>
      <c r="BB196" s="24" t="n">
        <v>95</v>
      </c>
      <c r="BC196" s="26"/>
      <c r="BD196" s="26"/>
      <c r="BE196" s="26"/>
      <c r="BF196" s="26"/>
      <c r="BG196" s="26"/>
      <c r="BH196" s="26"/>
      <c r="BI196" s="26"/>
      <c r="BJ196" s="26"/>
      <c r="BK196" s="26"/>
      <c r="BL196" s="26"/>
      <c r="BM196" s="26"/>
      <c r="BN196" s="26"/>
      <c r="BO196" s="26"/>
      <c r="BP196" s="16" t="n">
        <v>45595</v>
      </c>
      <c r="BQ196" s="28" t="str">
        <f>HYPERLINK("https://organic.ams.usda.gov/Integrity/Certificate.aspx?cid=57&amp;nopid=3252024067")</f>
        <v>https://organic.ams.usda.gov/Integrity/Certificate.aspx?cid=57&amp;nopid=3252024067</v>
      </c>
    </row>
    <row r="197">
      <c r="A197" t="s">
        <v>3</v>
      </c>
      <c r="B197" s="6" t="s">
        <v>32</v>
      </c>
      <c r="C197" s="6" t="s">
        <v>79</v>
      </c>
      <c r="D197" s="6" t="s">
        <v>125</v>
      </c>
      <c r="E197" s="10" t="s">
        <v>338</v>
      </c>
      <c r="F197" s="6" t="s">
        <v>3074</v>
      </c>
      <c r="G197" s="6" t="s">
        <v>81</v>
      </c>
      <c r="H197" s="6" t="s">
        <v>6069</v>
      </c>
      <c r="I197" s="6" t="s">
        <v>8500</v>
      </c>
      <c r="J197" s="6" t="s">
        <v>9771</v>
      </c>
      <c r="K197" s="6" t="s">
        <v>10886</v>
      </c>
      <c r="L197" s="16" t="n">
        <v>38089</v>
      </c>
      <c r="M197" s="16" t="n">
        <v>46082</v>
      </c>
      <c r="N197" s="6" t="s">
        <v>81</v>
      </c>
      <c r="O197" s="21" t="s">
        <v>81</v>
      </c>
      <c r="P197" s="6" t="s">
        <v>81</v>
      </c>
      <c r="Q197" s="6" t="s">
        <v>81</v>
      </c>
      <c r="R197" s="6" t="s">
        <v>81</v>
      </c>
      <c r="S197" s="6" t="s">
        <v>81</v>
      </c>
      <c r="T197" s="21" t="s">
        <v>81</v>
      </c>
      <c r="U197" s="6" t="s">
        <v>81</v>
      </c>
      <c r="V197" s="6" t="s">
        <v>81</v>
      </c>
      <c r="W197" s="6" t="s">
        <v>81</v>
      </c>
      <c r="X197" s="6" t="s">
        <v>81</v>
      </c>
      <c r="Y197" s="21" t="s">
        <v>81</v>
      </c>
      <c r="Z197" s="6" t="s">
        <v>81</v>
      </c>
      <c r="AA197" s="6" t="s">
        <v>81</v>
      </c>
      <c r="AB197" s="6" t="s">
        <v>81</v>
      </c>
      <c r="AC197" s="6" t="s">
        <v>10886</v>
      </c>
      <c r="AD197" s="16" t="n">
        <v>38089</v>
      </c>
      <c r="AE197" s="6" t="s">
        <v>14039</v>
      </c>
      <c r="AF197" s="6" t="s">
        <v>81</v>
      </c>
      <c r="AG197" s="6" t="s">
        <v>5606</v>
      </c>
      <c r="AH197" s="6" t="s">
        <v>14804</v>
      </c>
      <c r="AI197" s="6" t="s">
        <v>81</v>
      </c>
      <c r="AJ197" s="6" t="s">
        <v>17449</v>
      </c>
      <c r="AK197" s="6" t="s">
        <v>18152</v>
      </c>
      <c r="AL197" s="6" t="s">
        <v>18444</v>
      </c>
      <c r="AM197" s="6" t="s">
        <v>18607</v>
      </c>
      <c r="AN197" s="6" t="s">
        <v>81</v>
      </c>
      <c r="AO197" s="6" t="s">
        <v>81</v>
      </c>
      <c r="AP197" s="6" t="s">
        <v>14804</v>
      </c>
      <c r="AQ197" s="6" t="s">
        <v>81</v>
      </c>
      <c r="AR197" s="6" t="s">
        <v>17449</v>
      </c>
      <c r="AS197" s="6" t="s">
        <v>18152</v>
      </c>
      <c r="AT197" s="6" t="s">
        <v>18444</v>
      </c>
      <c r="AU197" s="6" t="s">
        <v>18607</v>
      </c>
      <c r="AV197" s="6" t="s">
        <v>19657</v>
      </c>
      <c r="AW197" s="6" t="s">
        <v>19914</v>
      </c>
      <c r="AX197" s="6" t="s">
        <v>20866</v>
      </c>
      <c r="AY197" s="6" t="s">
        <v>22606</v>
      </c>
      <c r="AZ197" s="6" t="s">
        <v>23587</v>
      </c>
      <c r="BA197" s="6" t="s">
        <v>81</v>
      </c>
      <c r="BB197" s="6" t="s">
        <v>81</v>
      </c>
      <c r="BC197" s="26"/>
      <c r="BD197" s="26"/>
      <c r="BE197" s="26" t="s">
        <v>23900</v>
      </c>
      <c r="BF197" s="26"/>
      <c r="BG197" s="26"/>
      <c r="BH197" s="26"/>
      <c r="BI197" s="26"/>
      <c r="BJ197" s="26"/>
      <c r="BK197" s="26"/>
      <c r="BL197" s="26"/>
      <c r="BM197" s="26"/>
      <c r="BN197" s="26"/>
      <c r="BO197" s="26"/>
      <c r="BP197" s="16" t="n">
        <v>45739</v>
      </c>
      <c r="BQ197" s="28" t="str">
        <f>HYPERLINK("https://organic.ams.usda.gov/Integrity/Certificate.aspx?cid=82&amp;nopid=2780023936")</f>
        <v>https://organic.ams.usda.gov/Integrity/Certificate.aspx?cid=82&amp;nopid=2780023936</v>
      </c>
    </row>
    <row r="198">
      <c r="A198" t="s">
        <v>3</v>
      </c>
      <c r="B198" s="6" t="s">
        <v>20</v>
      </c>
      <c r="C198" s="6" t="s">
        <v>67</v>
      </c>
      <c r="D198" s="6" t="s">
        <v>113</v>
      </c>
      <c r="E198" s="10" t="s">
        <v>339</v>
      </c>
      <c r="F198" s="6" t="s">
        <v>3075</v>
      </c>
      <c r="G198" s="6" t="s">
        <v>81</v>
      </c>
      <c r="H198" s="6" t="s">
        <v>6070</v>
      </c>
      <c r="I198" s="6" t="s">
        <v>8501</v>
      </c>
      <c r="J198" s="6" t="s">
        <v>9772</v>
      </c>
      <c r="K198" s="6" t="s">
        <v>10886</v>
      </c>
      <c r="L198" s="16" t="n">
        <v>44797</v>
      </c>
      <c r="M198" s="16" t="n">
        <v>45863</v>
      </c>
      <c r="N198" s="6" t="s">
        <v>10886</v>
      </c>
      <c r="O198" s="16" t="n">
        <v>44797</v>
      </c>
      <c r="P198" s="6" t="s">
        <v>11029</v>
      </c>
      <c r="Q198" s="6" t="s">
        <v>81</v>
      </c>
      <c r="R198" s="6" t="s">
        <v>12487</v>
      </c>
      <c r="S198" s="6" t="s">
        <v>10886</v>
      </c>
      <c r="T198" s="16" t="n">
        <v>40572</v>
      </c>
      <c r="U198" s="6" t="s">
        <v>13235</v>
      </c>
      <c r="V198" s="6" t="s">
        <v>81</v>
      </c>
      <c r="W198" s="6" t="s">
        <v>13968</v>
      </c>
      <c r="X198" s="6" t="s">
        <v>81</v>
      </c>
      <c r="Y198" s="21" t="s">
        <v>81</v>
      </c>
      <c r="Z198" s="6" t="s">
        <v>81</v>
      </c>
      <c r="AA198" s="6" t="s">
        <v>81</v>
      </c>
      <c r="AB198" s="6" t="s">
        <v>81</v>
      </c>
      <c r="AC198" s="6" t="s">
        <v>81</v>
      </c>
      <c r="AD198" s="21" t="s">
        <v>81</v>
      </c>
      <c r="AE198" s="6" t="s">
        <v>81</v>
      </c>
      <c r="AF198" s="6" t="s">
        <v>81</v>
      </c>
      <c r="AG198" s="6" t="s">
        <v>81</v>
      </c>
      <c r="AH198" s="6" t="s">
        <v>14805</v>
      </c>
      <c r="AI198" s="6" t="s">
        <v>81</v>
      </c>
      <c r="AJ198" s="6" t="s">
        <v>17450</v>
      </c>
      <c r="AK198" s="6" t="s">
        <v>18395</v>
      </c>
      <c r="AL198" s="6" t="s">
        <v>18444</v>
      </c>
      <c r="AM198" s="6" t="s">
        <v>18608</v>
      </c>
      <c r="AN198" s="6" t="s">
        <v>19679</v>
      </c>
      <c r="AO198" s="6" t="s">
        <v>19800</v>
      </c>
      <c r="AP198" s="6" t="s">
        <v>20108</v>
      </c>
      <c r="AQ198" s="6" t="s">
        <v>81</v>
      </c>
      <c r="AR198" s="6" t="s">
        <v>17991</v>
      </c>
      <c r="AS198" s="6" t="s">
        <v>18398</v>
      </c>
      <c r="AT198" s="6" t="s">
        <v>18444</v>
      </c>
      <c r="AU198" s="6" t="s">
        <v>19182</v>
      </c>
      <c r="AV198" s="6" t="s">
        <v>81</v>
      </c>
      <c r="AW198" s="6" t="s">
        <v>81</v>
      </c>
      <c r="AX198" s="6" t="s">
        <v>20782</v>
      </c>
      <c r="AY198" s="6" t="s">
        <v>81</v>
      </c>
      <c r="AZ198" s="6" t="s">
        <v>81</v>
      </c>
      <c r="BA198" s="6" t="s">
        <v>81</v>
      </c>
      <c r="BB198" s="24" t="n">
        <v>7319</v>
      </c>
      <c r="BC198" s="26"/>
      <c r="BD198" s="26"/>
      <c r="BE198" s="26"/>
      <c r="BF198" s="26" t="s">
        <v>23900</v>
      </c>
      <c r="BG198" s="26"/>
      <c r="BH198" s="26"/>
      <c r="BI198" s="26"/>
      <c r="BJ198" s="26"/>
      <c r="BK198" s="26"/>
      <c r="BL198" s="26"/>
      <c r="BM198" s="26"/>
      <c r="BN198" s="26"/>
      <c r="BO198" s="26"/>
      <c r="BP198" s="16" t="n">
        <v>45737</v>
      </c>
      <c r="BQ198" s="28" t="str">
        <f>HYPERLINK("https://organic.ams.usda.gov/Integrity/Certificate.aspx?cid=71&amp;nopid=5520054291")</f>
        <v>https://organic.ams.usda.gov/Integrity/Certificate.aspx?cid=71&amp;nopid=5520054291</v>
      </c>
    </row>
    <row r="199">
      <c r="A199" t="s">
        <v>3</v>
      </c>
      <c r="B199" s="6" t="s">
        <v>20</v>
      </c>
      <c r="C199" s="6" t="s">
        <v>67</v>
      </c>
      <c r="D199" s="6" t="s">
        <v>113</v>
      </c>
      <c r="E199" s="10" t="s">
        <v>340</v>
      </c>
      <c r="F199" s="6" t="s">
        <v>3076</v>
      </c>
      <c r="G199" s="6" t="s">
        <v>81</v>
      </c>
      <c r="H199" s="6" t="s">
        <v>6071</v>
      </c>
      <c r="I199" s="6" t="s">
        <v>8501</v>
      </c>
      <c r="J199" s="6" t="s">
        <v>9772</v>
      </c>
      <c r="K199" s="6" t="s">
        <v>10886</v>
      </c>
      <c r="L199" s="16" t="n">
        <v>44691</v>
      </c>
      <c r="M199" s="16" t="n">
        <v>45870</v>
      </c>
      <c r="N199" s="6" t="s">
        <v>10886</v>
      </c>
      <c r="O199" s="16" t="n">
        <v>44691</v>
      </c>
      <c r="P199" s="6" t="s">
        <v>11030</v>
      </c>
      <c r="Q199" s="6" t="s">
        <v>81</v>
      </c>
      <c r="R199" s="6" t="s">
        <v>12488</v>
      </c>
      <c r="S199" s="6" t="s">
        <v>10886</v>
      </c>
      <c r="T199" s="16" t="n">
        <v>40572</v>
      </c>
      <c r="U199" s="6" t="s">
        <v>13235</v>
      </c>
      <c r="V199" s="6" t="s">
        <v>81</v>
      </c>
      <c r="W199" s="6" t="s">
        <v>13969</v>
      </c>
      <c r="X199" s="6" t="s">
        <v>81</v>
      </c>
      <c r="Y199" s="21" t="s">
        <v>81</v>
      </c>
      <c r="Z199" s="6" t="s">
        <v>81</v>
      </c>
      <c r="AA199" s="6" t="s">
        <v>81</v>
      </c>
      <c r="AB199" s="6" t="s">
        <v>81</v>
      </c>
      <c r="AC199" s="6" t="s">
        <v>81</v>
      </c>
      <c r="AD199" s="21" t="s">
        <v>81</v>
      </c>
      <c r="AE199" s="6" t="s">
        <v>81</v>
      </c>
      <c r="AF199" s="6" t="s">
        <v>81</v>
      </c>
      <c r="AG199" s="6" t="s">
        <v>81</v>
      </c>
      <c r="AH199" s="6" t="s">
        <v>14806</v>
      </c>
      <c r="AI199" s="6" t="s">
        <v>81</v>
      </c>
      <c r="AJ199" s="6" t="s">
        <v>17372</v>
      </c>
      <c r="AK199" s="6" t="s">
        <v>18395</v>
      </c>
      <c r="AL199" s="6" t="s">
        <v>18444</v>
      </c>
      <c r="AM199" s="6" t="s">
        <v>18602</v>
      </c>
      <c r="AN199" s="6" t="s">
        <v>19680</v>
      </c>
      <c r="AO199" s="6" t="s">
        <v>19801</v>
      </c>
      <c r="AP199" s="6" t="s">
        <v>20108</v>
      </c>
      <c r="AQ199" s="6" t="s">
        <v>81</v>
      </c>
      <c r="AR199" s="6" t="s">
        <v>17991</v>
      </c>
      <c r="AS199" s="6" t="s">
        <v>18398</v>
      </c>
      <c r="AT199" s="6" t="s">
        <v>18444</v>
      </c>
      <c r="AU199" s="6" t="s">
        <v>19182</v>
      </c>
      <c r="AV199" s="6" t="s">
        <v>81</v>
      </c>
      <c r="AW199" s="6" t="s">
        <v>81</v>
      </c>
      <c r="AX199" s="6" t="s">
        <v>20782</v>
      </c>
      <c r="AY199" s="6" t="s">
        <v>81</v>
      </c>
      <c r="AZ199" s="6" t="s">
        <v>81</v>
      </c>
      <c r="BA199" s="6" t="s">
        <v>81</v>
      </c>
      <c r="BB199" s="24" t="n">
        <v>3779</v>
      </c>
      <c r="BC199" s="26"/>
      <c r="BD199" s="26"/>
      <c r="BE199" s="26"/>
      <c r="BF199" s="26" t="s">
        <v>23900</v>
      </c>
      <c r="BG199" s="26"/>
      <c r="BH199" s="26"/>
      <c r="BI199" s="26"/>
      <c r="BJ199" s="26"/>
      <c r="BK199" s="26"/>
      <c r="BL199" s="26"/>
      <c r="BM199" s="26"/>
      <c r="BN199" s="26"/>
      <c r="BO199" s="26"/>
      <c r="BP199" s="16" t="n">
        <v>45737</v>
      </c>
      <c r="BQ199" s="28" t="str">
        <f>HYPERLINK("https://organic.ams.usda.gov/Integrity/Certificate.aspx?cid=71&amp;nopid=5520054290")</f>
        <v>https://organic.ams.usda.gov/Integrity/Certificate.aspx?cid=71&amp;nopid=5520054290</v>
      </c>
    </row>
    <row r="200">
      <c r="A200" t="s">
        <v>3</v>
      </c>
      <c r="B200" s="6" t="s">
        <v>24</v>
      </c>
      <c r="C200" s="6" t="s">
        <v>71</v>
      </c>
      <c r="D200" s="6" t="s">
        <v>117</v>
      </c>
      <c r="E200" s="10" t="s">
        <v>341</v>
      </c>
      <c r="F200" s="6" t="s">
        <v>3077</v>
      </c>
      <c r="G200" s="6" t="s">
        <v>81</v>
      </c>
      <c r="H200" s="6" t="s">
        <v>81</v>
      </c>
      <c r="I200" s="6" t="s">
        <v>8501</v>
      </c>
      <c r="J200" s="6" t="s">
        <v>9772</v>
      </c>
      <c r="K200" s="6" t="s">
        <v>10886</v>
      </c>
      <c r="L200" s="16" t="n">
        <v>45420</v>
      </c>
      <c r="M200" s="16" t="n">
        <v>45809</v>
      </c>
      <c r="N200" s="6" t="s">
        <v>10886</v>
      </c>
      <c r="O200" s="16" t="n">
        <v>45420</v>
      </c>
      <c r="P200" s="6" t="s">
        <v>11031</v>
      </c>
      <c r="Q200" s="6" t="s">
        <v>81</v>
      </c>
      <c r="R200" s="6" t="s">
        <v>81</v>
      </c>
      <c r="S200" s="6" t="s">
        <v>10886</v>
      </c>
      <c r="T200" s="16" t="n">
        <v>45420</v>
      </c>
      <c r="U200" s="6" t="s">
        <v>13236</v>
      </c>
      <c r="V200" s="6" t="s">
        <v>81</v>
      </c>
      <c r="W200" s="6" t="s">
        <v>81</v>
      </c>
      <c r="X200" s="6" t="s">
        <v>81</v>
      </c>
      <c r="Y200" s="21" t="s">
        <v>81</v>
      </c>
      <c r="Z200" s="6" t="s">
        <v>81</v>
      </c>
      <c r="AA200" s="6" t="s">
        <v>81</v>
      </c>
      <c r="AB200" s="6" t="s">
        <v>81</v>
      </c>
      <c r="AC200" s="6" t="s">
        <v>10886</v>
      </c>
      <c r="AD200" s="16" t="n">
        <v>45420</v>
      </c>
      <c r="AE200" s="6" t="s">
        <v>14040</v>
      </c>
      <c r="AF200" s="6" t="s">
        <v>81</v>
      </c>
      <c r="AG200" s="6" t="s">
        <v>81</v>
      </c>
      <c r="AH200" s="6" t="s">
        <v>14807</v>
      </c>
      <c r="AI200" s="6" t="s">
        <v>81</v>
      </c>
      <c r="AJ200" s="6" t="s">
        <v>17450</v>
      </c>
      <c r="AK200" s="6" t="s">
        <v>18395</v>
      </c>
      <c r="AL200" s="6" t="s">
        <v>18444</v>
      </c>
      <c r="AM200" s="6" t="s">
        <v>18608</v>
      </c>
      <c r="AN200" s="6" t="s">
        <v>81</v>
      </c>
      <c r="AO200" s="6" t="s">
        <v>81</v>
      </c>
      <c r="AP200" s="6" t="s">
        <v>20108</v>
      </c>
      <c r="AQ200" s="6" t="s">
        <v>81</v>
      </c>
      <c r="AR200" s="6" t="s">
        <v>17991</v>
      </c>
      <c r="AS200" s="6" t="s">
        <v>18398</v>
      </c>
      <c r="AT200" s="6" t="s">
        <v>18444</v>
      </c>
      <c r="AU200" s="6" t="s">
        <v>19182</v>
      </c>
      <c r="AV200" s="6" t="s">
        <v>81</v>
      </c>
      <c r="AW200" s="6" t="s">
        <v>81</v>
      </c>
      <c r="AX200" s="6" t="s">
        <v>81</v>
      </c>
      <c r="AY200" s="6" t="s">
        <v>22607</v>
      </c>
      <c r="AZ200" s="6" t="s">
        <v>81</v>
      </c>
      <c r="BA200" s="6" t="s">
        <v>81</v>
      </c>
      <c r="BB200" s="24" t="n">
        <v>7250</v>
      </c>
      <c r="BC200" s="26"/>
      <c r="BD200" s="26"/>
      <c r="BE200" s="26"/>
      <c r="BF200" s="26"/>
      <c r="BG200" s="26"/>
      <c r="BH200" s="26"/>
      <c r="BI200" s="26"/>
      <c r="BJ200" s="26"/>
      <c r="BK200" s="26"/>
      <c r="BL200" s="26"/>
      <c r="BM200" s="26"/>
      <c r="BN200" s="26"/>
      <c r="BO200" s="26"/>
      <c r="BP200" s="16" t="n">
        <v>45671</v>
      </c>
      <c r="BQ200" s="28" t="str">
        <f>HYPERLINK("https://organic.ams.usda.gov/Integrity/Certificate.aspx?cid=1&amp;nopid=9092404702")</f>
        <v>https://organic.ams.usda.gov/Integrity/Certificate.aspx?cid=1&amp;nopid=9092404702</v>
      </c>
    </row>
    <row r="201">
      <c r="A201" t="s">
        <v>3</v>
      </c>
      <c r="B201" s="6" t="s">
        <v>24</v>
      </c>
      <c r="C201" s="6" t="s">
        <v>71</v>
      </c>
      <c r="D201" s="6" t="s">
        <v>117</v>
      </c>
      <c r="E201" s="10" t="s">
        <v>342</v>
      </c>
      <c r="F201" s="6" t="s">
        <v>3078</v>
      </c>
      <c r="G201" s="6" t="s">
        <v>81</v>
      </c>
      <c r="H201" s="6" t="s">
        <v>81</v>
      </c>
      <c r="I201" s="6" t="s">
        <v>8501</v>
      </c>
      <c r="J201" s="6" t="s">
        <v>9772</v>
      </c>
      <c r="K201" s="6" t="s">
        <v>10886</v>
      </c>
      <c r="L201" s="16" t="n">
        <v>45393</v>
      </c>
      <c r="M201" s="16" t="n">
        <v>45778</v>
      </c>
      <c r="N201" s="6" t="s">
        <v>10886</v>
      </c>
      <c r="O201" s="16" t="n">
        <v>45393</v>
      </c>
      <c r="P201" s="6" t="s">
        <v>11032</v>
      </c>
      <c r="Q201" s="6" t="s">
        <v>81</v>
      </c>
      <c r="R201" s="6" t="s">
        <v>12489</v>
      </c>
      <c r="S201" s="6" t="s">
        <v>10886</v>
      </c>
      <c r="T201" s="16" t="n">
        <v>45393</v>
      </c>
      <c r="U201" s="6" t="s">
        <v>13237</v>
      </c>
      <c r="V201" s="6" t="s">
        <v>81</v>
      </c>
      <c r="W201" s="6" t="s">
        <v>12489</v>
      </c>
      <c r="X201" s="6" t="s">
        <v>81</v>
      </c>
      <c r="Y201" s="21" t="s">
        <v>81</v>
      </c>
      <c r="Z201" s="6" t="s">
        <v>81</v>
      </c>
      <c r="AA201" s="6" t="s">
        <v>81</v>
      </c>
      <c r="AB201" s="6" t="s">
        <v>81</v>
      </c>
      <c r="AC201" s="6" t="s">
        <v>10886</v>
      </c>
      <c r="AD201" s="16" t="n">
        <v>45393</v>
      </c>
      <c r="AE201" s="6" t="s">
        <v>14041</v>
      </c>
      <c r="AF201" s="6" t="s">
        <v>81</v>
      </c>
      <c r="AG201" s="6" t="s">
        <v>12489</v>
      </c>
      <c r="AH201" s="6" t="s">
        <v>14808</v>
      </c>
      <c r="AI201" s="6" t="s">
        <v>81</v>
      </c>
      <c r="AJ201" s="6" t="s">
        <v>17451</v>
      </c>
      <c r="AK201" s="6" t="s">
        <v>18398</v>
      </c>
      <c r="AL201" s="6" t="s">
        <v>18444</v>
      </c>
      <c r="AM201" s="6" t="s">
        <v>18609</v>
      </c>
      <c r="AN201" s="6" t="s">
        <v>81</v>
      </c>
      <c r="AO201" s="6" t="s">
        <v>81</v>
      </c>
      <c r="AP201" s="6" t="s">
        <v>20108</v>
      </c>
      <c r="AQ201" s="6" t="s">
        <v>81</v>
      </c>
      <c r="AR201" s="6" t="s">
        <v>17991</v>
      </c>
      <c r="AS201" s="6" t="s">
        <v>18398</v>
      </c>
      <c r="AT201" s="6" t="s">
        <v>18444</v>
      </c>
      <c r="AU201" s="6" t="s">
        <v>19182</v>
      </c>
      <c r="AV201" s="6" t="s">
        <v>81</v>
      </c>
      <c r="AW201" s="6" t="s">
        <v>81</v>
      </c>
      <c r="AX201" s="6" t="s">
        <v>81</v>
      </c>
      <c r="AY201" s="6" t="s">
        <v>22607</v>
      </c>
      <c r="AZ201" s="6" t="s">
        <v>81</v>
      </c>
      <c r="BA201" s="6" t="s">
        <v>81</v>
      </c>
      <c r="BB201" s="24" t="n">
        <v>5903</v>
      </c>
      <c r="BC201" s="26"/>
      <c r="BD201" s="26"/>
      <c r="BE201" s="26"/>
      <c r="BF201" s="26"/>
      <c r="BG201" s="26"/>
      <c r="BH201" s="26"/>
      <c r="BI201" s="26"/>
      <c r="BJ201" s="26"/>
      <c r="BK201" s="26"/>
      <c r="BL201" s="26"/>
      <c r="BM201" s="26"/>
      <c r="BN201" s="26"/>
      <c r="BO201" s="26"/>
      <c r="BP201" s="16" t="n">
        <v>45667</v>
      </c>
      <c r="BQ201" s="28" t="str">
        <f>HYPERLINK("https://organic.ams.usda.gov/Integrity/Certificate.aspx?cid=1&amp;nopid=9092433301")</f>
        <v>https://organic.ams.usda.gov/Integrity/Certificate.aspx?cid=1&amp;nopid=9092433301</v>
      </c>
    </row>
    <row r="202">
      <c r="A202" t="s">
        <v>3</v>
      </c>
      <c r="B202" s="6" t="s">
        <v>24</v>
      </c>
      <c r="C202" s="6" t="s">
        <v>71</v>
      </c>
      <c r="D202" s="6" t="s">
        <v>117</v>
      </c>
      <c r="E202" s="10" t="s">
        <v>343</v>
      </c>
      <c r="F202" s="6" t="s">
        <v>3079</v>
      </c>
      <c r="G202" s="6" t="s">
        <v>81</v>
      </c>
      <c r="H202" s="6" t="s">
        <v>81</v>
      </c>
      <c r="I202" s="6" t="s">
        <v>8501</v>
      </c>
      <c r="J202" s="6" t="s">
        <v>9772</v>
      </c>
      <c r="K202" s="6" t="s">
        <v>10886</v>
      </c>
      <c r="L202" s="16" t="n">
        <v>45418</v>
      </c>
      <c r="M202" s="16" t="n">
        <v>45809</v>
      </c>
      <c r="N202" s="6" t="s">
        <v>10886</v>
      </c>
      <c r="O202" s="16" t="n">
        <v>45418</v>
      </c>
      <c r="P202" s="6" t="s">
        <v>11033</v>
      </c>
      <c r="Q202" s="6" t="s">
        <v>81</v>
      </c>
      <c r="R202" s="6" t="s">
        <v>81</v>
      </c>
      <c r="S202" s="6" t="s">
        <v>10886</v>
      </c>
      <c r="T202" s="16" t="n">
        <v>45418</v>
      </c>
      <c r="U202" s="6" t="s">
        <v>13238</v>
      </c>
      <c r="V202" s="6" t="s">
        <v>81</v>
      </c>
      <c r="W202" s="6" t="s">
        <v>81</v>
      </c>
      <c r="X202" s="6" t="s">
        <v>81</v>
      </c>
      <c r="Y202" s="21" t="s">
        <v>81</v>
      </c>
      <c r="Z202" s="6" t="s">
        <v>81</v>
      </c>
      <c r="AA202" s="6" t="s">
        <v>81</v>
      </c>
      <c r="AB202" s="6" t="s">
        <v>81</v>
      </c>
      <c r="AC202" s="6" t="s">
        <v>10886</v>
      </c>
      <c r="AD202" s="16" t="n">
        <v>45418</v>
      </c>
      <c r="AE202" s="6" t="s">
        <v>14042</v>
      </c>
      <c r="AF202" s="6" t="s">
        <v>81</v>
      </c>
      <c r="AG202" s="6" t="s">
        <v>81</v>
      </c>
      <c r="AH202" s="6" t="s">
        <v>14806</v>
      </c>
      <c r="AI202" s="6" t="s">
        <v>81</v>
      </c>
      <c r="AJ202" s="6" t="s">
        <v>17372</v>
      </c>
      <c r="AK202" s="6" t="s">
        <v>18395</v>
      </c>
      <c r="AL202" s="6" t="s">
        <v>18444</v>
      </c>
      <c r="AM202" s="6" t="s">
        <v>18602</v>
      </c>
      <c r="AN202" s="6" t="s">
        <v>81</v>
      </c>
      <c r="AO202" s="6" t="s">
        <v>81</v>
      </c>
      <c r="AP202" s="6" t="s">
        <v>20108</v>
      </c>
      <c r="AQ202" s="6" t="s">
        <v>81</v>
      </c>
      <c r="AR202" s="6" t="s">
        <v>17991</v>
      </c>
      <c r="AS202" s="6" t="s">
        <v>18398</v>
      </c>
      <c r="AT202" s="6" t="s">
        <v>18444</v>
      </c>
      <c r="AU202" s="6" t="s">
        <v>19182</v>
      </c>
      <c r="AV202" s="6" t="s">
        <v>81</v>
      </c>
      <c r="AW202" s="6" t="s">
        <v>81</v>
      </c>
      <c r="AX202" s="6" t="s">
        <v>81</v>
      </c>
      <c r="AY202" s="6" t="s">
        <v>22607</v>
      </c>
      <c r="AZ202" s="6" t="s">
        <v>81</v>
      </c>
      <c r="BA202" s="6" t="s">
        <v>81</v>
      </c>
      <c r="BB202" s="24" t="n">
        <v>3555</v>
      </c>
      <c r="BC202" s="26"/>
      <c r="BD202" s="26"/>
      <c r="BE202" s="26"/>
      <c r="BF202" s="26"/>
      <c r="BG202" s="26"/>
      <c r="BH202" s="26"/>
      <c r="BI202" s="26"/>
      <c r="BJ202" s="26"/>
      <c r="BK202" s="26"/>
      <c r="BL202" s="26"/>
      <c r="BM202" s="26"/>
      <c r="BN202" s="26"/>
      <c r="BO202" s="26"/>
      <c r="BP202" s="16" t="n">
        <v>45670</v>
      </c>
      <c r="BQ202" s="28" t="str">
        <f>HYPERLINK("https://organic.ams.usda.gov/Integrity/Certificate.aspx?cid=1&amp;nopid=9092404701")</f>
        <v>https://organic.ams.usda.gov/Integrity/Certificate.aspx?cid=1&amp;nopid=9092404701</v>
      </c>
    </row>
    <row r="203">
      <c r="A203" t="s">
        <v>3</v>
      </c>
      <c r="B203" s="6" t="s">
        <v>24</v>
      </c>
      <c r="C203" s="6" t="s">
        <v>71</v>
      </c>
      <c r="D203" s="6" t="s">
        <v>117</v>
      </c>
      <c r="E203" s="10" t="s">
        <v>344</v>
      </c>
      <c r="F203" s="6" t="s">
        <v>3080</v>
      </c>
      <c r="G203" s="6" t="s">
        <v>81</v>
      </c>
      <c r="H203" s="6" t="s">
        <v>81</v>
      </c>
      <c r="I203" s="6" t="s">
        <v>8501</v>
      </c>
      <c r="J203" s="6" t="s">
        <v>9773</v>
      </c>
      <c r="K203" s="6" t="s">
        <v>10886</v>
      </c>
      <c r="L203" s="16" t="n">
        <v>45357</v>
      </c>
      <c r="M203" s="16" t="n">
        <v>45748</v>
      </c>
      <c r="N203" s="6" t="s">
        <v>10886</v>
      </c>
      <c r="O203" s="16" t="n">
        <v>45357</v>
      </c>
      <c r="P203" s="6" t="s">
        <v>11034</v>
      </c>
      <c r="Q203" s="6" t="s">
        <v>81</v>
      </c>
      <c r="R203" s="6" t="s">
        <v>81</v>
      </c>
      <c r="S203" s="6" t="s">
        <v>10886</v>
      </c>
      <c r="T203" s="16" t="n">
        <v>45357</v>
      </c>
      <c r="U203" s="6" t="s">
        <v>13239</v>
      </c>
      <c r="V203" s="6" t="s">
        <v>81</v>
      </c>
      <c r="W203" s="6" t="s">
        <v>81</v>
      </c>
      <c r="X203" s="6" t="s">
        <v>81</v>
      </c>
      <c r="Y203" s="21" t="s">
        <v>81</v>
      </c>
      <c r="Z203" s="6" t="s">
        <v>81</v>
      </c>
      <c r="AA203" s="6" t="s">
        <v>81</v>
      </c>
      <c r="AB203" s="6" t="s">
        <v>81</v>
      </c>
      <c r="AC203" s="6" t="s">
        <v>10886</v>
      </c>
      <c r="AD203" s="16" t="n">
        <v>45357</v>
      </c>
      <c r="AE203" s="6" t="s">
        <v>14043</v>
      </c>
      <c r="AF203" s="6" t="s">
        <v>81</v>
      </c>
      <c r="AG203" s="6" t="s">
        <v>81</v>
      </c>
      <c r="AH203" s="6" t="s">
        <v>14809</v>
      </c>
      <c r="AI203" s="6" t="s">
        <v>81</v>
      </c>
      <c r="AJ203" s="6" t="s">
        <v>17339</v>
      </c>
      <c r="AK203" s="6" t="s">
        <v>18398</v>
      </c>
      <c r="AL203" s="6" t="s">
        <v>18444</v>
      </c>
      <c r="AM203" s="6" t="s">
        <v>18610</v>
      </c>
      <c r="AN203" s="6" t="s">
        <v>81</v>
      </c>
      <c r="AO203" s="6" t="s">
        <v>81</v>
      </c>
      <c r="AP203" s="6" t="s">
        <v>20108</v>
      </c>
      <c r="AQ203" s="6" t="s">
        <v>81</v>
      </c>
      <c r="AR203" s="6" t="s">
        <v>17991</v>
      </c>
      <c r="AS203" s="6" t="s">
        <v>18398</v>
      </c>
      <c r="AT203" s="6" t="s">
        <v>18444</v>
      </c>
      <c r="AU203" s="6" t="s">
        <v>19182</v>
      </c>
      <c r="AV203" s="6" t="s">
        <v>81</v>
      </c>
      <c r="AW203" s="6" t="s">
        <v>81</v>
      </c>
      <c r="AX203" s="6" t="s">
        <v>81</v>
      </c>
      <c r="AY203" s="6" t="s">
        <v>22607</v>
      </c>
      <c r="AZ203" s="6" t="s">
        <v>81</v>
      </c>
      <c r="BA203" s="6" t="s">
        <v>81</v>
      </c>
      <c r="BB203" s="24" t="n">
        <v>725</v>
      </c>
      <c r="BC203" s="26"/>
      <c r="BD203" s="26"/>
      <c r="BE203" s="26"/>
      <c r="BF203" s="26"/>
      <c r="BG203" s="26"/>
      <c r="BH203" s="26"/>
      <c r="BI203" s="26"/>
      <c r="BJ203" s="26"/>
      <c r="BK203" s="26"/>
      <c r="BL203" s="26"/>
      <c r="BM203" s="26"/>
      <c r="BN203" s="26"/>
      <c r="BO203" s="26"/>
      <c r="BP203" s="16" t="n">
        <v>45670</v>
      </c>
      <c r="BQ203" s="28" t="str">
        <f>HYPERLINK("https://organic.ams.usda.gov/Integrity/Certificate.aspx?cid=1&amp;nopid=9092433101")</f>
        <v>https://organic.ams.usda.gov/Integrity/Certificate.aspx?cid=1&amp;nopid=9092433101</v>
      </c>
    </row>
    <row r="204">
      <c r="A204" t="s">
        <v>3</v>
      </c>
      <c r="B204" s="6" t="s">
        <v>31</v>
      </c>
      <c r="C204" s="6" t="s">
        <v>78</v>
      </c>
      <c r="D204" s="6" t="s">
        <v>124</v>
      </c>
      <c r="E204" s="10" t="s">
        <v>345</v>
      </c>
      <c r="F204" s="6" t="s">
        <v>3081</v>
      </c>
      <c r="G204" s="6" t="s">
        <v>5606</v>
      </c>
      <c r="H204" s="6" t="s">
        <v>6072</v>
      </c>
      <c r="I204" s="6" t="s">
        <v>8502</v>
      </c>
      <c r="J204" s="6" t="s">
        <v>9774</v>
      </c>
      <c r="K204" s="6" t="s">
        <v>10886</v>
      </c>
      <c r="L204" s="16" t="n">
        <v>41521</v>
      </c>
      <c r="M204" s="16" t="n">
        <v>45747</v>
      </c>
      <c r="N204" s="6" t="s">
        <v>81</v>
      </c>
      <c r="O204" s="21" t="s">
        <v>81</v>
      </c>
      <c r="P204" s="6" t="s">
        <v>81</v>
      </c>
      <c r="Q204" s="6" t="s">
        <v>81</v>
      </c>
      <c r="R204" s="6" t="s">
        <v>81</v>
      </c>
      <c r="S204" s="6" t="s">
        <v>81</v>
      </c>
      <c r="T204" s="21" t="s">
        <v>81</v>
      </c>
      <c r="U204" s="6" t="s">
        <v>81</v>
      </c>
      <c r="V204" s="6" t="s">
        <v>81</v>
      </c>
      <c r="W204" s="6" t="s">
        <v>81</v>
      </c>
      <c r="X204" s="6" t="s">
        <v>81</v>
      </c>
      <c r="Y204" s="21" t="s">
        <v>81</v>
      </c>
      <c r="Z204" s="6" t="s">
        <v>81</v>
      </c>
      <c r="AA204" s="6" t="s">
        <v>81</v>
      </c>
      <c r="AB204" s="6" t="s">
        <v>81</v>
      </c>
      <c r="AC204" s="6" t="s">
        <v>10886</v>
      </c>
      <c r="AD204" s="16" t="n">
        <v>41521</v>
      </c>
      <c r="AE204" s="6" t="s">
        <v>14044</v>
      </c>
      <c r="AF204" s="6" t="s">
        <v>81</v>
      </c>
      <c r="AG204" s="6" t="s">
        <v>6072</v>
      </c>
      <c r="AH204" s="6" t="s">
        <v>14810</v>
      </c>
      <c r="AI204" s="6" t="s">
        <v>81</v>
      </c>
      <c r="AJ204" s="6" t="s">
        <v>17452</v>
      </c>
      <c r="AK204" s="6" t="s">
        <v>18399</v>
      </c>
      <c r="AL204" s="6" t="s">
        <v>18448</v>
      </c>
      <c r="AM204" s="6" t="s">
        <v>18611</v>
      </c>
      <c r="AN204" s="6" t="s">
        <v>81</v>
      </c>
      <c r="AO204" s="6" t="s">
        <v>81</v>
      </c>
      <c r="AP204" s="6" t="s">
        <v>14810</v>
      </c>
      <c r="AQ204" s="6" t="s">
        <v>81</v>
      </c>
      <c r="AR204" s="6" t="s">
        <v>17452</v>
      </c>
      <c r="AS204" s="6" t="s">
        <v>18399</v>
      </c>
      <c r="AT204" s="6" t="s">
        <v>18448</v>
      </c>
      <c r="AU204" s="6" t="s">
        <v>18611</v>
      </c>
      <c r="AV204" s="6" t="s">
        <v>81</v>
      </c>
      <c r="AW204" s="6" t="s">
        <v>81</v>
      </c>
      <c r="AX204" s="6" t="s">
        <v>20867</v>
      </c>
      <c r="AY204" s="6" t="s">
        <v>22608</v>
      </c>
      <c r="AZ204" s="6" t="s">
        <v>81</v>
      </c>
      <c r="BA204" s="6" t="s">
        <v>23830</v>
      </c>
      <c r="BB204" s="24" t="n">
        <v>0</v>
      </c>
      <c r="BC204" s="26"/>
      <c r="BD204" s="26"/>
      <c r="BE204" s="26"/>
      <c r="BF204" s="26" t="s">
        <v>23900</v>
      </c>
      <c r="BG204" s="26"/>
      <c r="BH204" s="26"/>
      <c r="BI204" s="26"/>
      <c r="BJ204" s="26"/>
      <c r="BK204" s="26"/>
      <c r="BL204" s="26"/>
      <c r="BM204" s="26"/>
      <c r="BN204" s="26"/>
      <c r="BO204" s="26"/>
      <c r="BP204" s="16" t="n">
        <v>45513</v>
      </c>
      <c r="BQ204" s="28" t="str">
        <f>HYPERLINK("https://organic.ams.usda.gov/Integrity/Certificate.aspx?cid=7&amp;nopid=3950000038")</f>
        <v>https://organic.ams.usda.gov/Integrity/Certificate.aspx?cid=7&amp;nopid=3950000038</v>
      </c>
    </row>
    <row r="205">
      <c r="A205" t="s">
        <v>3</v>
      </c>
      <c r="B205" s="6" t="s">
        <v>7</v>
      </c>
      <c r="C205" s="6" t="s">
        <v>54</v>
      </c>
      <c r="D205" s="6" t="s">
        <v>100</v>
      </c>
      <c r="E205" s="10" t="s">
        <v>346</v>
      </c>
      <c r="F205" s="6" t="s">
        <v>3082</v>
      </c>
      <c r="G205" s="6" t="s">
        <v>81</v>
      </c>
      <c r="H205" s="6" t="s">
        <v>6073</v>
      </c>
      <c r="I205" s="6" t="s">
        <v>8503</v>
      </c>
      <c r="J205" s="6" t="s">
        <v>9775</v>
      </c>
      <c r="K205" s="6" t="s">
        <v>10886</v>
      </c>
      <c r="L205" s="16" t="n">
        <v>43623</v>
      </c>
      <c r="M205" s="16" t="n">
        <v>45716</v>
      </c>
      <c r="N205" s="6" t="s">
        <v>10886</v>
      </c>
      <c r="O205" s="16" t="n">
        <v>43623</v>
      </c>
      <c r="P205" s="6" t="s">
        <v>10910</v>
      </c>
      <c r="Q205" s="6" t="s">
        <v>81</v>
      </c>
      <c r="R205" s="6" t="s">
        <v>81</v>
      </c>
      <c r="S205" s="6" t="s">
        <v>10886</v>
      </c>
      <c r="T205" s="16" t="n">
        <v>43623</v>
      </c>
      <c r="U205" s="6" t="s">
        <v>13160</v>
      </c>
      <c r="V205" s="6" t="s">
        <v>81</v>
      </c>
      <c r="W205" s="6" t="s">
        <v>81</v>
      </c>
      <c r="X205" s="6" t="s">
        <v>81</v>
      </c>
      <c r="Y205" s="21" t="s">
        <v>81</v>
      </c>
      <c r="Z205" s="6" t="s">
        <v>81</v>
      </c>
      <c r="AA205" s="6" t="s">
        <v>81</v>
      </c>
      <c r="AB205" s="6" t="s">
        <v>81</v>
      </c>
      <c r="AC205" s="6" t="s">
        <v>81</v>
      </c>
      <c r="AD205" s="21" t="s">
        <v>81</v>
      </c>
      <c r="AE205" s="6" t="s">
        <v>81</v>
      </c>
      <c r="AF205" s="6" t="s">
        <v>81</v>
      </c>
      <c r="AG205" s="6" t="s">
        <v>81</v>
      </c>
      <c r="AH205" s="6" t="s">
        <v>14811</v>
      </c>
      <c r="AI205" s="6" t="s">
        <v>81</v>
      </c>
      <c r="AJ205" s="6" t="s">
        <v>17453</v>
      </c>
      <c r="AK205" s="6" t="s">
        <v>17712</v>
      </c>
      <c r="AL205" s="6" t="s">
        <v>18444</v>
      </c>
      <c r="AM205" s="6" t="s">
        <v>18612</v>
      </c>
      <c r="AN205" s="6" t="s">
        <v>19670</v>
      </c>
      <c r="AO205" s="6" t="s">
        <v>19782</v>
      </c>
      <c r="AP205" s="6" t="s">
        <v>14811</v>
      </c>
      <c r="AQ205" s="6" t="s">
        <v>81</v>
      </c>
      <c r="AR205" s="6" t="s">
        <v>17453</v>
      </c>
      <c r="AS205" s="6" t="s">
        <v>17712</v>
      </c>
      <c r="AT205" s="6" t="s">
        <v>18444</v>
      </c>
      <c r="AU205" s="6" t="s">
        <v>18612</v>
      </c>
      <c r="AV205" s="6" t="s">
        <v>81</v>
      </c>
      <c r="AW205" s="6" t="s">
        <v>81</v>
      </c>
      <c r="AX205" s="6" t="s">
        <v>20868</v>
      </c>
      <c r="AY205" s="6" t="s">
        <v>81</v>
      </c>
      <c r="AZ205" s="6" t="s">
        <v>81</v>
      </c>
      <c r="BA205" s="6" t="s">
        <v>81</v>
      </c>
      <c r="BB205" s="24" t="n">
        <v>216</v>
      </c>
      <c r="BC205" s="26"/>
      <c r="BD205" s="26"/>
      <c r="BE205" s="26"/>
      <c r="BF205" s="26"/>
      <c r="BG205" s="26"/>
      <c r="BH205" s="26"/>
      <c r="BI205" s="26"/>
      <c r="BJ205" s="26"/>
      <c r="BK205" s="26"/>
      <c r="BL205" s="26"/>
      <c r="BM205" s="26"/>
      <c r="BN205" s="26"/>
      <c r="BO205" s="26"/>
      <c r="BP205" s="16" t="n">
        <v>45595</v>
      </c>
      <c r="BQ205" s="28" t="str">
        <f>HYPERLINK("https://organic.ams.usda.gov/Integrity/Certificate.aspx?cid=57&amp;nopid=3252019033")</f>
        <v>https://organic.ams.usda.gov/Integrity/Certificate.aspx?cid=57&amp;nopid=3252019033</v>
      </c>
    </row>
    <row r="206">
      <c r="A206" t="s">
        <v>3</v>
      </c>
      <c r="B206" s="6" t="s">
        <v>22</v>
      </c>
      <c r="C206" s="6" t="s">
        <v>69</v>
      </c>
      <c r="D206" s="6" t="s">
        <v>115</v>
      </c>
      <c r="E206" s="10" t="s">
        <v>347</v>
      </c>
      <c r="F206" s="6" t="s">
        <v>3083</v>
      </c>
      <c r="G206" s="6" t="s">
        <v>5608</v>
      </c>
      <c r="H206" s="6" t="s">
        <v>5608</v>
      </c>
      <c r="I206" s="6" t="s">
        <v>8504</v>
      </c>
      <c r="J206" s="6" t="s">
        <v>9776</v>
      </c>
      <c r="K206" s="6" t="s">
        <v>10886</v>
      </c>
      <c r="L206" s="16" t="n">
        <v>42229</v>
      </c>
      <c r="M206" s="16" t="n">
        <v>45839</v>
      </c>
      <c r="N206" s="6" t="s">
        <v>10893</v>
      </c>
      <c r="O206" s="16" t="n">
        <v>45633</v>
      </c>
      <c r="P206" s="6" t="s">
        <v>81</v>
      </c>
      <c r="Q206" s="6" t="s">
        <v>81</v>
      </c>
      <c r="R206" s="6" t="s">
        <v>81</v>
      </c>
      <c r="S206" s="6" t="s">
        <v>81</v>
      </c>
      <c r="T206" s="21" t="s">
        <v>81</v>
      </c>
      <c r="U206" s="6" t="s">
        <v>81</v>
      </c>
      <c r="V206" s="6" t="s">
        <v>81</v>
      </c>
      <c r="W206" s="6" t="s">
        <v>81</v>
      </c>
      <c r="X206" s="6" t="s">
        <v>81</v>
      </c>
      <c r="Y206" s="21" t="s">
        <v>81</v>
      </c>
      <c r="Z206" s="6" t="s">
        <v>81</v>
      </c>
      <c r="AA206" s="6" t="s">
        <v>81</v>
      </c>
      <c r="AB206" s="6" t="s">
        <v>81</v>
      </c>
      <c r="AC206" s="6" t="s">
        <v>10886</v>
      </c>
      <c r="AD206" s="16" t="n">
        <v>42229</v>
      </c>
      <c r="AE206" s="6" t="s">
        <v>14045</v>
      </c>
      <c r="AF206" s="6" t="s">
        <v>81</v>
      </c>
      <c r="AG206" s="6" t="s">
        <v>5608</v>
      </c>
      <c r="AH206" s="6" t="s">
        <v>14812</v>
      </c>
      <c r="AI206" s="6" t="s">
        <v>81</v>
      </c>
      <c r="AJ206" s="6" t="s">
        <v>17454</v>
      </c>
      <c r="AK206" s="6" t="s">
        <v>81</v>
      </c>
      <c r="AL206" s="6" t="s">
        <v>18445</v>
      </c>
      <c r="AM206" s="6" t="s">
        <v>81</v>
      </c>
      <c r="AN206" s="6" t="s">
        <v>81</v>
      </c>
      <c r="AO206" s="6" t="s">
        <v>81</v>
      </c>
      <c r="AP206" s="6" t="s">
        <v>14812</v>
      </c>
      <c r="AQ206" s="6" t="s">
        <v>81</v>
      </c>
      <c r="AR206" s="6" t="s">
        <v>17454</v>
      </c>
      <c r="AS206" s="6" t="s">
        <v>81</v>
      </c>
      <c r="AT206" s="6" t="s">
        <v>18445</v>
      </c>
      <c r="AU206" s="6" t="s">
        <v>81</v>
      </c>
      <c r="AV206" s="6" t="s">
        <v>81</v>
      </c>
      <c r="AW206" s="6" t="s">
        <v>81</v>
      </c>
      <c r="AX206" s="6" t="s">
        <v>20869</v>
      </c>
      <c r="AY206" s="6" t="s">
        <v>22609</v>
      </c>
      <c r="AZ206" s="6" t="s">
        <v>81</v>
      </c>
      <c r="BA206" s="6" t="s">
        <v>23821</v>
      </c>
      <c r="BB206" s="6" t="s">
        <v>81</v>
      </c>
      <c r="BC206" s="26"/>
      <c r="BD206" s="26"/>
      <c r="BE206" s="26"/>
      <c r="BF206" s="26"/>
      <c r="BG206" s="26"/>
      <c r="BH206" s="26"/>
      <c r="BI206" s="26"/>
      <c r="BJ206" s="26"/>
      <c r="BK206" s="26"/>
      <c r="BL206" s="26"/>
      <c r="BM206" s="26"/>
      <c r="BN206" s="26"/>
      <c r="BO206" s="26"/>
      <c r="BP206" s="16" t="n">
        <v>45674</v>
      </c>
      <c r="BQ206" s="28" t="str">
        <f>HYPERLINK("https://organic.ams.usda.gov/Integrity/Certificate.aspx?cid=21&amp;nopid=1780833920")</f>
        <v>https://organic.ams.usda.gov/Integrity/Certificate.aspx?cid=21&amp;nopid=1780833920</v>
      </c>
    </row>
    <row r="207">
      <c r="A207" t="s">
        <v>3</v>
      </c>
      <c r="B207" s="6" t="s">
        <v>28</v>
      </c>
      <c r="C207" s="6" t="s">
        <v>75</v>
      </c>
      <c r="D207" s="6" t="s">
        <v>121</v>
      </c>
      <c r="E207" s="10" t="s">
        <v>348</v>
      </c>
      <c r="F207" s="6" t="s">
        <v>3084</v>
      </c>
      <c r="G207" s="6" t="s">
        <v>81</v>
      </c>
      <c r="H207" s="6" t="s">
        <v>6074</v>
      </c>
      <c r="I207" s="6" t="s">
        <v>8505</v>
      </c>
      <c r="J207" s="6" t="s">
        <v>9777</v>
      </c>
      <c r="K207" s="6" t="s">
        <v>10886</v>
      </c>
      <c r="L207" s="16" t="n">
        <v>44392</v>
      </c>
      <c r="M207" s="16" t="n">
        <v>45352</v>
      </c>
      <c r="N207" s="6" t="s">
        <v>81</v>
      </c>
      <c r="O207" s="21" t="s">
        <v>81</v>
      </c>
      <c r="P207" s="6" t="s">
        <v>81</v>
      </c>
      <c r="Q207" s="6" t="s">
        <v>81</v>
      </c>
      <c r="R207" s="6" t="s">
        <v>81</v>
      </c>
      <c r="S207" s="6" t="s">
        <v>81</v>
      </c>
      <c r="T207" s="21" t="s">
        <v>81</v>
      </c>
      <c r="U207" s="6" t="s">
        <v>81</v>
      </c>
      <c r="V207" s="6" t="s">
        <v>81</v>
      </c>
      <c r="W207" s="6" t="s">
        <v>81</v>
      </c>
      <c r="X207" s="6" t="s">
        <v>81</v>
      </c>
      <c r="Y207" s="21" t="s">
        <v>81</v>
      </c>
      <c r="Z207" s="6" t="s">
        <v>81</v>
      </c>
      <c r="AA207" s="6" t="s">
        <v>81</v>
      </c>
      <c r="AB207" s="6" t="s">
        <v>81</v>
      </c>
      <c r="AC207" s="6" t="s">
        <v>10886</v>
      </c>
      <c r="AD207" s="16" t="n">
        <v>44392</v>
      </c>
      <c r="AE207" s="6" t="s">
        <v>14046</v>
      </c>
      <c r="AF207" s="6" t="s">
        <v>81</v>
      </c>
      <c r="AG207" s="6" t="s">
        <v>81</v>
      </c>
      <c r="AH207" s="6" t="s">
        <v>14813</v>
      </c>
      <c r="AI207" s="6" t="s">
        <v>81</v>
      </c>
      <c r="AJ207" s="6" t="s">
        <v>17455</v>
      </c>
      <c r="AK207" s="6" t="s">
        <v>18386</v>
      </c>
      <c r="AL207" s="6" t="s">
        <v>18444</v>
      </c>
      <c r="AM207" s="6" t="s">
        <v>18613</v>
      </c>
      <c r="AN207" s="6" t="s">
        <v>8233</v>
      </c>
      <c r="AO207" s="6" t="s">
        <v>19802</v>
      </c>
      <c r="AP207" s="6" t="s">
        <v>81</v>
      </c>
      <c r="AQ207" s="6" t="s">
        <v>81</v>
      </c>
      <c r="AR207" s="6" t="s">
        <v>81</v>
      </c>
      <c r="AS207" s="6" t="s">
        <v>81</v>
      </c>
      <c r="AT207" s="6" t="s">
        <v>81</v>
      </c>
      <c r="AU207" s="6" t="s">
        <v>81</v>
      </c>
      <c r="AV207" s="6" t="s">
        <v>81</v>
      </c>
      <c r="AW207" s="6" t="s">
        <v>81</v>
      </c>
      <c r="AX207" s="6" t="s">
        <v>20870</v>
      </c>
      <c r="AY207" s="6" t="s">
        <v>22610</v>
      </c>
      <c r="AZ207" s="6" t="s">
        <v>23588</v>
      </c>
      <c r="BA207" s="6" t="s">
        <v>81</v>
      </c>
      <c r="BB207" s="6" t="s">
        <v>81</v>
      </c>
      <c r="BC207" s="26" t="s">
        <v>23900</v>
      </c>
      <c r="BD207" s="26"/>
      <c r="BE207" s="26"/>
      <c r="BF207" s="26"/>
      <c r="BG207" s="26"/>
      <c r="BH207" s="26" t="s">
        <v>23900</v>
      </c>
      <c r="BI207" s="26"/>
      <c r="BJ207" s="26"/>
      <c r="BK207" s="26"/>
      <c r="BL207" s="26"/>
      <c r="BM207" s="26"/>
      <c r="BN207" s="26"/>
      <c r="BO207" s="26"/>
      <c r="BP207" s="16" t="n">
        <v>45377</v>
      </c>
      <c r="BQ207" s="28" t="str">
        <f>HYPERLINK("https://organic.ams.usda.gov/Integrity/Certificate.aspx?cid=64&amp;nopid=8830001542")</f>
        <v>https://organic.ams.usda.gov/Integrity/Certificate.aspx?cid=64&amp;nopid=8830001542</v>
      </c>
    </row>
    <row r="208">
      <c r="A208" t="s">
        <v>3</v>
      </c>
      <c r="B208" s="6" t="s">
        <v>25</v>
      </c>
      <c r="C208" s="6" t="s">
        <v>72</v>
      </c>
      <c r="D208" s="6" t="s">
        <v>118</v>
      </c>
      <c r="E208" s="10" t="s">
        <v>349</v>
      </c>
      <c r="F208" s="6" t="s">
        <v>3085</v>
      </c>
      <c r="G208" s="6" t="s">
        <v>81</v>
      </c>
      <c r="H208" s="6" t="s">
        <v>6075</v>
      </c>
      <c r="I208" s="6" t="s">
        <v>8506</v>
      </c>
      <c r="J208" s="6" t="s">
        <v>9763</v>
      </c>
      <c r="K208" s="6" t="s">
        <v>10886</v>
      </c>
      <c r="L208" s="16" t="n">
        <v>41625</v>
      </c>
      <c r="M208" s="16" t="n">
        <v>46023</v>
      </c>
      <c r="N208" s="6" t="s">
        <v>10886</v>
      </c>
      <c r="O208" s="16" t="n">
        <v>41625</v>
      </c>
      <c r="P208" s="6" t="s">
        <v>11035</v>
      </c>
      <c r="Q208" s="6" t="s">
        <v>81</v>
      </c>
      <c r="R208" s="6" t="s">
        <v>81</v>
      </c>
      <c r="S208" s="6" t="s">
        <v>10886</v>
      </c>
      <c r="T208" s="16" t="n">
        <v>41625</v>
      </c>
      <c r="U208" s="6" t="s">
        <v>13240</v>
      </c>
      <c r="V208" s="6" t="s">
        <v>81</v>
      </c>
      <c r="W208" s="6" t="s">
        <v>81</v>
      </c>
      <c r="X208" s="6" t="s">
        <v>81</v>
      </c>
      <c r="Y208" s="21" t="s">
        <v>81</v>
      </c>
      <c r="Z208" s="6" t="s">
        <v>81</v>
      </c>
      <c r="AA208" s="6" t="s">
        <v>81</v>
      </c>
      <c r="AB208" s="6" t="s">
        <v>81</v>
      </c>
      <c r="AC208" s="6" t="s">
        <v>81</v>
      </c>
      <c r="AD208" s="21" t="s">
        <v>81</v>
      </c>
      <c r="AE208" s="6" t="s">
        <v>81</v>
      </c>
      <c r="AF208" s="6" t="s">
        <v>81</v>
      </c>
      <c r="AG208" s="6" t="s">
        <v>81</v>
      </c>
      <c r="AH208" s="6" t="s">
        <v>14814</v>
      </c>
      <c r="AI208" s="6" t="s">
        <v>81</v>
      </c>
      <c r="AJ208" s="6" t="s">
        <v>10323</v>
      </c>
      <c r="AK208" s="6" t="s">
        <v>18386</v>
      </c>
      <c r="AL208" s="6" t="s">
        <v>18444</v>
      </c>
      <c r="AM208" s="6" t="s">
        <v>18614</v>
      </c>
      <c r="AN208" s="6" t="s">
        <v>19674</v>
      </c>
      <c r="AO208" s="6" t="s">
        <v>19803</v>
      </c>
      <c r="AP208" s="6" t="s">
        <v>20109</v>
      </c>
      <c r="AQ208" s="6" t="s">
        <v>81</v>
      </c>
      <c r="AR208" s="6" t="s">
        <v>10323</v>
      </c>
      <c r="AS208" s="6" t="s">
        <v>18386</v>
      </c>
      <c r="AT208" s="6" t="s">
        <v>18444</v>
      </c>
      <c r="AU208" s="6" t="s">
        <v>18614</v>
      </c>
      <c r="AV208" s="6" t="s">
        <v>81</v>
      </c>
      <c r="AW208" s="6" t="s">
        <v>81</v>
      </c>
      <c r="AX208" s="6" t="s">
        <v>20871</v>
      </c>
      <c r="AY208" s="6" t="s">
        <v>22611</v>
      </c>
      <c r="AZ208" s="6" t="s">
        <v>81</v>
      </c>
      <c r="BA208" s="6" t="s">
        <v>23827</v>
      </c>
      <c r="BB208" s="24" t="n">
        <v>586</v>
      </c>
      <c r="BC208" s="26"/>
      <c r="BD208" s="26"/>
      <c r="BE208" s="26"/>
      <c r="BF208" s="26"/>
      <c r="BG208" s="26"/>
      <c r="BH208" s="26"/>
      <c r="BI208" s="26"/>
      <c r="BJ208" s="26"/>
      <c r="BK208" s="26"/>
      <c r="BL208" s="26"/>
      <c r="BM208" s="26"/>
      <c r="BN208" s="26"/>
      <c r="BO208" s="26"/>
      <c r="BP208" s="16" t="n">
        <v>45681</v>
      </c>
      <c r="BQ208" s="28" t="str">
        <f>HYPERLINK("https://organic.ams.usda.gov/Integrity/Certificate.aspx?cid=15&amp;nopid=5561001417")</f>
        <v>https://organic.ams.usda.gov/Integrity/Certificate.aspx?cid=15&amp;nopid=5561001417</v>
      </c>
    </row>
    <row r="209">
      <c r="A209" t="s">
        <v>3</v>
      </c>
      <c r="B209" s="6" t="s">
        <v>10</v>
      </c>
      <c r="C209" s="6" t="s">
        <v>57</v>
      </c>
      <c r="D209" s="6" t="s">
        <v>103</v>
      </c>
      <c r="E209" s="10" t="s">
        <v>350</v>
      </c>
      <c r="F209" s="6" t="s">
        <v>3086</v>
      </c>
      <c r="G209" s="6" t="s">
        <v>81</v>
      </c>
      <c r="H209" s="6" t="s">
        <v>6076</v>
      </c>
      <c r="I209" s="6" t="s">
        <v>8507</v>
      </c>
      <c r="J209" s="6" t="s">
        <v>9778</v>
      </c>
      <c r="K209" s="6" t="s">
        <v>10886</v>
      </c>
      <c r="L209" s="16" t="n">
        <v>44676</v>
      </c>
      <c r="M209" s="16" t="n">
        <v>45748</v>
      </c>
      <c r="N209" s="6" t="s">
        <v>10886</v>
      </c>
      <c r="O209" s="16" t="n">
        <v>44676</v>
      </c>
      <c r="P209" s="6" t="s">
        <v>11036</v>
      </c>
      <c r="Q209" s="6" t="s">
        <v>81</v>
      </c>
      <c r="R209" s="6" t="s">
        <v>12490</v>
      </c>
      <c r="S209" s="6" t="s">
        <v>10886</v>
      </c>
      <c r="T209" s="16" t="n">
        <v>45083</v>
      </c>
      <c r="U209" s="6" t="s">
        <v>13163</v>
      </c>
      <c r="V209" s="6" t="s">
        <v>81</v>
      </c>
      <c r="W209" s="6" t="s">
        <v>81</v>
      </c>
      <c r="X209" s="6" t="s">
        <v>81</v>
      </c>
      <c r="Y209" s="21" t="s">
        <v>81</v>
      </c>
      <c r="Z209" s="6" t="s">
        <v>81</v>
      </c>
      <c r="AA209" s="6" t="s">
        <v>81</v>
      </c>
      <c r="AB209" s="6" t="s">
        <v>81</v>
      </c>
      <c r="AC209" s="6" t="s">
        <v>81</v>
      </c>
      <c r="AD209" s="21" t="s">
        <v>81</v>
      </c>
      <c r="AE209" s="6" t="s">
        <v>81</v>
      </c>
      <c r="AF209" s="6" t="s">
        <v>81</v>
      </c>
      <c r="AG209" s="6" t="s">
        <v>81</v>
      </c>
      <c r="AH209" s="6" t="s">
        <v>14815</v>
      </c>
      <c r="AI209" s="6" t="s">
        <v>81</v>
      </c>
      <c r="AJ209" s="6" t="s">
        <v>17456</v>
      </c>
      <c r="AK209" s="6" t="s">
        <v>18378</v>
      </c>
      <c r="AL209" s="6" t="s">
        <v>18444</v>
      </c>
      <c r="AM209" s="6" t="s">
        <v>18615</v>
      </c>
      <c r="AN209" s="6" t="s">
        <v>19676</v>
      </c>
      <c r="AO209" s="6" t="s">
        <v>19784</v>
      </c>
      <c r="AP209" s="6" t="s">
        <v>14815</v>
      </c>
      <c r="AQ209" s="6" t="s">
        <v>81</v>
      </c>
      <c r="AR209" s="6" t="s">
        <v>17456</v>
      </c>
      <c r="AS209" s="6" t="s">
        <v>18378</v>
      </c>
      <c r="AT209" s="6" t="s">
        <v>18444</v>
      </c>
      <c r="AU209" s="6" t="s">
        <v>18615</v>
      </c>
      <c r="AV209" s="6" t="s">
        <v>81</v>
      </c>
      <c r="AW209" s="6" t="s">
        <v>81</v>
      </c>
      <c r="AX209" s="6" t="s">
        <v>20872</v>
      </c>
      <c r="AY209" s="6" t="s">
        <v>22612</v>
      </c>
      <c r="AZ209" s="6" t="s">
        <v>81</v>
      </c>
      <c r="BA209" s="6" t="s">
        <v>81</v>
      </c>
      <c r="BB209" s="24" t="n">
        <v>128</v>
      </c>
      <c r="BC209" s="26"/>
      <c r="BD209" s="26"/>
      <c r="BE209" s="26"/>
      <c r="BF209" s="26"/>
      <c r="BG209" s="26"/>
      <c r="BH209" s="26"/>
      <c r="BI209" s="26"/>
      <c r="BJ209" s="26"/>
      <c r="BK209" s="26"/>
      <c r="BL209" s="26"/>
      <c r="BM209" s="26"/>
      <c r="BN209" s="26"/>
      <c r="BO209" s="26"/>
      <c r="BP209" s="16" t="n">
        <v>45730</v>
      </c>
      <c r="BQ209" s="28" t="str">
        <f>HYPERLINK("https://organic.ams.usda.gov/Integrity/Certificate.aspx?cid=90&amp;nopid=7170220530")</f>
        <v>https://organic.ams.usda.gov/Integrity/Certificate.aspx?cid=90&amp;nopid=7170220530</v>
      </c>
    </row>
    <row r="210">
      <c r="A210" t="s">
        <v>3</v>
      </c>
      <c r="B210" s="6" t="s">
        <v>8</v>
      </c>
      <c r="C210" s="6" t="s">
        <v>55</v>
      </c>
      <c r="D210" s="6" t="s">
        <v>101</v>
      </c>
      <c r="E210" s="10" t="s">
        <v>351</v>
      </c>
      <c r="F210" s="6" t="s">
        <v>3087</v>
      </c>
      <c r="G210" s="6" t="s">
        <v>81</v>
      </c>
      <c r="H210" s="6" t="s">
        <v>6077</v>
      </c>
      <c r="I210" s="6" t="s">
        <v>8508</v>
      </c>
      <c r="J210" s="6" t="s">
        <v>9677</v>
      </c>
      <c r="K210" s="6" t="s">
        <v>10886</v>
      </c>
      <c r="L210" s="16" t="n">
        <v>41782</v>
      </c>
      <c r="M210" s="16" t="n">
        <v>45748</v>
      </c>
      <c r="N210" s="6" t="s">
        <v>10886</v>
      </c>
      <c r="O210" s="16" t="n">
        <v>41782</v>
      </c>
      <c r="P210" s="6" t="s">
        <v>11037</v>
      </c>
      <c r="Q210" s="6" t="s">
        <v>81</v>
      </c>
      <c r="R210" s="6" t="s">
        <v>6077</v>
      </c>
      <c r="S210" s="6" t="s">
        <v>10886</v>
      </c>
      <c r="T210" s="16" t="n">
        <v>41782</v>
      </c>
      <c r="U210" s="6" t="s">
        <v>13173</v>
      </c>
      <c r="V210" s="6" t="s">
        <v>81</v>
      </c>
      <c r="W210" s="6" t="s">
        <v>6077</v>
      </c>
      <c r="X210" s="6" t="s">
        <v>10893</v>
      </c>
      <c r="Y210" s="16" t="n">
        <v>44684</v>
      </c>
      <c r="Z210" s="6" t="s">
        <v>81</v>
      </c>
      <c r="AA210" s="6" t="s">
        <v>81</v>
      </c>
      <c r="AB210" s="6" t="s">
        <v>81</v>
      </c>
      <c r="AC210" s="6" t="s">
        <v>81</v>
      </c>
      <c r="AD210" s="21" t="s">
        <v>81</v>
      </c>
      <c r="AE210" s="6" t="s">
        <v>81</v>
      </c>
      <c r="AF210" s="6" t="s">
        <v>81</v>
      </c>
      <c r="AG210" s="6" t="s">
        <v>81</v>
      </c>
      <c r="AH210" s="6" t="s">
        <v>14816</v>
      </c>
      <c r="AI210" s="6" t="s">
        <v>81</v>
      </c>
      <c r="AJ210" s="6" t="s">
        <v>17317</v>
      </c>
      <c r="AK210" s="6" t="s">
        <v>18380</v>
      </c>
      <c r="AL210" s="6" t="s">
        <v>18444</v>
      </c>
      <c r="AM210" s="6" t="s">
        <v>18469</v>
      </c>
      <c r="AN210" s="6" t="s">
        <v>19639</v>
      </c>
      <c r="AO210" s="6" t="s">
        <v>19725</v>
      </c>
      <c r="AP210" s="6" t="s">
        <v>81</v>
      </c>
      <c r="AQ210" s="6" t="s">
        <v>81</v>
      </c>
      <c r="AR210" s="6" t="s">
        <v>81</v>
      </c>
      <c r="AS210" s="6" t="s">
        <v>81</v>
      </c>
      <c r="AT210" s="6" t="s">
        <v>81</v>
      </c>
      <c r="AU210" s="6" t="s">
        <v>81</v>
      </c>
      <c r="AV210" s="6" t="s">
        <v>81</v>
      </c>
      <c r="AW210" s="6" t="s">
        <v>81</v>
      </c>
      <c r="AX210" s="6" t="s">
        <v>81</v>
      </c>
      <c r="AY210" s="6" t="s">
        <v>81</v>
      </c>
      <c r="AZ210" s="6" t="s">
        <v>81</v>
      </c>
      <c r="BA210" s="6" t="s">
        <v>23819</v>
      </c>
      <c r="BB210" s="24" t="n">
        <v>59</v>
      </c>
      <c r="BC210" s="26"/>
      <c r="BD210" s="26"/>
      <c r="BE210" s="26"/>
      <c r="BF210" s="26" t="s">
        <v>23900</v>
      </c>
      <c r="BG210" s="26"/>
      <c r="BH210" s="26"/>
      <c r="BI210" s="26"/>
      <c r="BJ210" s="26"/>
      <c r="BK210" s="26"/>
      <c r="BL210" s="26"/>
      <c r="BM210" s="26"/>
      <c r="BN210" s="26"/>
      <c r="BO210" s="26"/>
      <c r="BP210" s="16" t="n">
        <v>45505</v>
      </c>
      <c r="BQ210" s="28" t="str">
        <f>HYPERLINK("https://organic.ams.usda.gov/Integrity/Certificate.aspx?cid=45&amp;nopid=9950007444")</f>
        <v>https://organic.ams.usda.gov/Integrity/Certificate.aspx?cid=45&amp;nopid=9950007444</v>
      </c>
    </row>
    <row r="211">
      <c r="A211" t="s">
        <v>3</v>
      </c>
      <c r="B211" s="6" t="s">
        <v>8</v>
      </c>
      <c r="C211" s="6" t="s">
        <v>55</v>
      </c>
      <c r="D211" s="6" t="s">
        <v>101</v>
      </c>
      <c r="E211" s="10" t="s">
        <v>352</v>
      </c>
      <c r="F211" s="6" t="s">
        <v>3088</v>
      </c>
      <c r="G211" s="6" t="s">
        <v>81</v>
      </c>
      <c r="H211" s="6" t="s">
        <v>6078</v>
      </c>
      <c r="I211" s="6" t="s">
        <v>8509</v>
      </c>
      <c r="J211" s="6" t="s">
        <v>9779</v>
      </c>
      <c r="K211" s="6" t="s">
        <v>10886</v>
      </c>
      <c r="L211" s="16" t="n">
        <v>37116</v>
      </c>
      <c r="M211" s="16" t="n">
        <v>45689</v>
      </c>
      <c r="N211" s="6" t="s">
        <v>10886</v>
      </c>
      <c r="O211" s="16" t="n">
        <v>37116</v>
      </c>
      <c r="P211" s="6" t="s">
        <v>11038</v>
      </c>
      <c r="Q211" s="6" t="s">
        <v>81</v>
      </c>
      <c r="R211" s="6" t="s">
        <v>6078</v>
      </c>
      <c r="S211" s="6" t="s">
        <v>10886</v>
      </c>
      <c r="T211" s="16" t="n">
        <v>37116</v>
      </c>
      <c r="U211" s="6" t="s">
        <v>13179</v>
      </c>
      <c r="V211" s="6" t="s">
        <v>81</v>
      </c>
      <c r="W211" s="6" t="s">
        <v>6078</v>
      </c>
      <c r="X211" s="6" t="s">
        <v>81</v>
      </c>
      <c r="Y211" s="21" t="s">
        <v>81</v>
      </c>
      <c r="Z211" s="6" t="s">
        <v>81</v>
      </c>
      <c r="AA211" s="6" t="s">
        <v>81</v>
      </c>
      <c r="AB211" s="6" t="s">
        <v>81</v>
      </c>
      <c r="AC211" s="6" t="s">
        <v>81</v>
      </c>
      <c r="AD211" s="21" t="s">
        <v>81</v>
      </c>
      <c r="AE211" s="6" t="s">
        <v>81</v>
      </c>
      <c r="AF211" s="6" t="s">
        <v>81</v>
      </c>
      <c r="AG211" s="6" t="s">
        <v>81</v>
      </c>
      <c r="AH211" s="6" t="s">
        <v>14817</v>
      </c>
      <c r="AI211" s="6" t="s">
        <v>81</v>
      </c>
      <c r="AJ211" s="6" t="s">
        <v>17457</v>
      </c>
      <c r="AK211" s="6" t="s">
        <v>18377</v>
      </c>
      <c r="AL211" s="6" t="s">
        <v>18444</v>
      </c>
      <c r="AM211" s="6" t="s">
        <v>18616</v>
      </c>
      <c r="AN211" s="6" t="s">
        <v>19660</v>
      </c>
      <c r="AO211" s="6" t="s">
        <v>19804</v>
      </c>
      <c r="AP211" s="6" t="s">
        <v>81</v>
      </c>
      <c r="AQ211" s="6" t="s">
        <v>81</v>
      </c>
      <c r="AR211" s="6" t="s">
        <v>81</v>
      </c>
      <c r="AS211" s="6" t="s">
        <v>81</v>
      </c>
      <c r="AT211" s="6" t="s">
        <v>81</v>
      </c>
      <c r="AU211" s="6" t="s">
        <v>81</v>
      </c>
      <c r="AV211" s="6" t="s">
        <v>81</v>
      </c>
      <c r="AW211" s="6" t="s">
        <v>81</v>
      </c>
      <c r="AX211" s="6" t="s">
        <v>81</v>
      </c>
      <c r="AY211" s="6" t="s">
        <v>22613</v>
      </c>
      <c r="AZ211" s="6" t="s">
        <v>81</v>
      </c>
      <c r="BA211" s="6" t="s">
        <v>23819</v>
      </c>
      <c r="BB211" s="24" t="n">
        <v>203</v>
      </c>
      <c r="BC211" s="26"/>
      <c r="BD211" s="26"/>
      <c r="BE211" s="26"/>
      <c r="BF211" s="26" t="s">
        <v>23900</v>
      </c>
      <c r="BG211" s="26"/>
      <c r="BH211" s="26"/>
      <c r="BI211" s="26"/>
      <c r="BJ211" s="26"/>
      <c r="BK211" s="26"/>
      <c r="BL211" s="26"/>
      <c r="BM211" s="26"/>
      <c r="BN211" s="26"/>
      <c r="BO211" s="26"/>
      <c r="BP211" s="16" t="n">
        <v>45678</v>
      </c>
      <c r="BQ211" s="28" t="str">
        <f>HYPERLINK("https://organic.ams.usda.gov/Integrity/Certificate.aspx?cid=45&amp;nopid=9950000675")</f>
        <v>https://organic.ams.usda.gov/Integrity/Certificate.aspx?cid=45&amp;nopid=9950000675</v>
      </c>
    </row>
    <row r="212">
      <c r="A212" t="s">
        <v>3</v>
      </c>
      <c r="B212" s="6" t="s">
        <v>12</v>
      </c>
      <c r="C212" s="6" t="s">
        <v>59</v>
      </c>
      <c r="D212" s="6" t="s">
        <v>105</v>
      </c>
      <c r="E212" s="10" t="s">
        <v>353</v>
      </c>
      <c r="F212" s="6" t="s">
        <v>3089</v>
      </c>
      <c r="G212" s="6" t="s">
        <v>81</v>
      </c>
      <c r="H212" s="6" t="s">
        <v>6079</v>
      </c>
      <c r="I212" s="6" t="s">
        <v>8510</v>
      </c>
      <c r="J212" s="6" t="s">
        <v>9780</v>
      </c>
      <c r="K212" s="6" t="s">
        <v>10886</v>
      </c>
      <c r="L212" s="16" t="n">
        <v>43153</v>
      </c>
      <c r="M212" s="16" t="n">
        <v>45717</v>
      </c>
      <c r="N212" s="6" t="s">
        <v>10886</v>
      </c>
      <c r="O212" s="16" t="n">
        <v>43153</v>
      </c>
      <c r="P212" s="6" t="s">
        <v>11039</v>
      </c>
      <c r="Q212" s="6" t="s">
        <v>81</v>
      </c>
      <c r="R212" s="6" t="s">
        <v>81</v>
      </c>
      <c r="S212" s="6" t="s">
        <v>10886</v>
      </c>
      <c r="T212" s="16" t="n">
        <v>43153</v>
      </c>
      <c r="U212" s="6" t="s">
        <v>13241</v>
      </c>
      <c r="V212" s="6" t="s">
        <v>81</v>
      </c>
      <c r="W212" s="6" t="s">
        <v>81</v>
      </c>
      <c r="X212" s="6" t="s">
        <v>81</v>
      </c>
      <c r="Y212" s="21" t="s">
        <v>81</v>
      </c>
      <c r="Z212" s="6" t="s">
        <v>81</v>
      </c>
      <c r="AA212" s="6" t="s">
        <v>81</v>
      </c>
      <c r="AB212" s="6" t="s">
        <v>81</v>
      </c>
      <c r="AC212" s="6" t="s">
        <v>81</v>
      </c>
      <c r="AD212" s="21" t="s">
        <v>81</v>
      </c>
      <c r="AE212" s="6" t="s">
        <v>81</v>
      </c>
      <c r="AF212" s="6" t="s">
        <v>81</v>
      </c>
      <c r="AG212" s="6" t="s">
        <v>81</v>
      </c>
      <c r="AH212" s="6" t="s">
        <v>14818</v>
      </c>
      <c r="AI212" s="6" t="s">
        <v>81</v>
      </c>
      <c r="AJ212" s="6" t="s">
        <v>17458</v>
      </c>
      <c r="AK212" s="6" t="s">
        <v>18380</v>
      </c>
      <c r="AL212" s="6" t="s">
        <v>18444</v>
      </c>
      <c r="AM212" s="6" t="s">
        <v>18617</v>
      </c>
      <c r="AN212" s="6" t="s">
        <v>19681</v>
      </c>
      <c r="AO212" s="6" t="s">
        <v>19805</v>
      </c>
      <c r="AP212" s="6" t="s">
        <v>14818</v>
      </c>
      <c r="AQ212" s="6" t="s">
        <v>81</v>
      </c>
      <c r="AR212" s="6" t="s">
        <v>17458</v>
      </c>
      <c r="AS212" s="6" t="s">
        <v>18380</v>
      </c>
      <c r="AT212" s="6" t="s">
        <v>18444</v>
      </c>
      <c r="AU212" s="6" t="s">
        <v>18617</v>
      </c>
      <c r="AV212" s="6" t="s">
        <v>81</v>
      </c>
      <c r="AW212" s="6" t="s">
        <v>81</v>
      </c>
      <c r="AX212" s="6" t="s">
        <v>20873</v>
      </c>
      <c r="AY212" s="6" t="s">
        <v>81</v>
      </c>
      <c r="AZ212" s="6" t="s">
        <v>81</v>
      </c>
      <c r="BA212" s="6" t="s">
        <v>81</v>
      </c>
      <c r="BB212" s="24" t="n">
        <v>461</v>
      </c>
      <c r="BC212" s="26"/>
      <c r="BD212" s="26"/>
      <c r="BE212" s="26"/>
      <c r="BF212" s="26"/>
      <c r="BG212" s="26"/>
      <c r="BH212" s="26"/>
      <c r="BI212" s="26"/>
      <c r="BJ212" s="26"/>
      <c r="BK212" s="26"/>
      <c r="BL212" s="26"/>
      <c r="BM212" s="26"/>
      <c r="BN212" s="26"/>
      <c r="BO212" s="26"/>
      <c r="BP212" s="16" t="n">
        <v>45684</v>
      </c>
      <c r="BQ212" s="28" t="str">
        <f>HYPERLINK("https://organic.ams.usda.gov/Integrity/Certificate.aspx?cid=68&amp;nopid=8210004689")</f>
        <v>https://organic.ams.usda.gov/Integrity/Certificate.aspx?cid=68&amp;nopid=8210004689</v>
      </c>
    </row>
    <row r="213">
      <c r="A213" t="s">
        <v>3</v>
      </c>
      <c r="B213" s="6" t="s">
        <v>8</v>
      </c>
      <c r="C213" s="6" t="s">
        <v>55</v>
      </c>
      <c r="D213" s="6" t="s">
        <v>101</v>
      </c>
      <c r="E213" s="10" t="s">
        <v>354</v>
      </c>
      <c r="F213" s="6" t="s">
        <v>3090</v>
      </c>
      <c r="G213" s="6" t="s">
        <v>5609</v>
      </c>
      <c r="H213" s="6" t="s">
        <v>6080</v>
      </c>
      <c r="I213" s="6" t="s">
        <v>8511</v>
      </c>
      <c r="J213" s="6" t="s">
        <v>9781</v>
      </c>
      <c r="K213" s="6" t="s">
        <v>10886</v>
      </c>
      <c r="L213" s="16" t="n">
        <v>36838</v>
      </c>
      <c r="M213" s="16" t="n">
        <v>45383</v>
      </c>
      <c r="N213" s="6" t="s">
        <v>10886</v>
      </c>
      <c r="O213" s="16" t="n">
        <v>36838</v>
      </c>
      <c r="P213" s="6" t="s">
        <v>11040</v>
      </c>
      <c r="Q213" s="6" t="s">
        <v>81</v>
      </c>
      <c r="R213" s="6" t="s">
        <v>6080</v>
      </c>
      <c r="S213" s="6" t="s">
        <v>10886</v>
      </c>
      <c r="T213" s="16" t="n">
        <v>36838</v>
      </c>
      <c r="U213" s="6" t="s">
        <v>13242</v>
      </c>
      <c r="V213" s="6" t="s">
        <v>81</v>
      </c>
      <c r="W213" s="6" t="s">
        <v>6080</v>
      </c>
      <c r="X213" s="6" t="s">
        <v>81</v>
      </c>
      <c r="Y213" s="21" t="s">
        <v>81</v>
      </c>
      <c r="Z213" s="6" t="s">
        <v>81</v>
      </c>
      <c r="AA213" s="6" t="s">
        <v>81</v>
      </c>
      <c r="AB213" s="6" t="s">
        <v>81</v>
      </c>
      <c r="AC213" s="6" t="s">
        <v>81</v>
      </c>
      <c r="AD213" s="21" t="s">
        <v>81</v>
      </c>
      <c r="AE213" s="6" t="s">
        <v>81</v>
      </c>
      <c r="AF213" s="6" t="s">
        <v>81</v>
      </c>
      <c r="AG213" s="6" t="s">
        <v>81</v>
      </c>
      <c r="AH213" s="6" t="s">
        <v>14819</v>
      </c>
      <c r="AI213" s="6" t="s">
        <v>81</v>
      </c>
      <c r="AJ213" s="6" t="s">
        <v>17459</v>
      </c>
      <c r="AK213" s="6" t="s">
        <v>18377</v>
      </c>
      <c r="AL213" s="6" t="s">
        <v>18444</v>
      </c>
      <c r="AM213" s="6" t="s">
        <v>18618</v>
      </c>
      <c r="AN213" s="6" t="s">
        <v>19682</v>
      </c>
      <c r="AO213" s="6" t="s">
        <v>19806</v>
      </c>
      <c r="AP213" s="6" t="s">
        <v>20110</v>
      </c>
      <c r="AQ213" s="6" t="s">
        <v>81</v>
      </c>
      <c r="AR213" s="6" t="s">
        <v>17459</v>
      </c>
      <c r="AS213" s="6" t="s">
        <v>18377</v>
      </c>
      <c r="AT213" s="6" t="s">
        <v>18444</v>
      </c>
      <c r="AU213" s="6" t="s">
        <v>18618</v>
      </c>
      <c r="AV213" s="6" t="s">
        <v>81</v>
      </c>
      <c r="AW213" s="6" t="s">
        <v>81</v>
      </c>
      <c r="AX213" s="6" t="s">
        <v>20874</v>
      </c>
      <c r="AY213" s="6" t="s">
        <v>22614</v>
      </c>
      <c r="AZ213" s="6" t="s">
        <v>23589</v>
      </c>
      <c r="BA213" s="6" t="s">
        <v>23819</v>
      </c>
      <c r="BB213" s="24" t="n">
        <v>634</v>
      </c>
      <c r="BC213" s="26"/>
      <c r="BD213" s="26"/>
      <c r="BE213" s="26"/>
      <c r="BF213" s="26" t="s">
        <v>23900</v>
      </c>
      <c r="BG213" s="26"/>
      <c r="BH213" s="26"/>
      <c r="BI213" s="26"/>
      <c r="BJ213" s="26"/>
      <c r="BK213" s="26"/>
      <c r="BL213" s="26"/>
      <c r="BM213" s="26"/>
      <c r="BN213" s="26"/>
      <c r="BO213" s="26"/>
      <c r="BP213" s="16" t="n">
        <v>45506</v>
      </c>
      <c r="BQ213" s="28" t="str">
        <f>HYPERLINK("https://organic.ams.usda.gov/Integrity/Certificate.aspx?cid=45&amp;nopid=9950000419")</f>
        <v>https://organic.ams.usda.gov/Integrity/Certificate.aspx?cid=45&amp;nopid=9950000419</v>
      </c>
    </row>
    <row r="214">
      <c r="A214" t="s">
        <v>3</v>
      </c>
      <c r="B214" s="6" t="s">
        <v>29</v>
      </c>
      <c r="C214" s="6" t="s">
        <v>76</v>
      </c>
      <c r="D214" s="6" t="s">
        <v>122</v>
      </c>
      <c r="E214" s="10" t="s">
        <v>355</v>
      </c>
      <c r="F214" s="6" t="s">
        <v>3091</v>
      </c>
      <c r="G214" s="6" t="s">
        <v>81</v>
      </c>
      <c r="H214" s="6" t="s">
        <v>6081</v>
      </c>
      <c r="I214" s="6" t="s">
        <v>8512</v>
      </c>
      <c r="J214" s="6" t="s">
        <v>9782</v>
      </c>
      <c r="K214" s="6" t="s">
        <v>10886</v>
      </c>
      <c r="L214" s="16" t="n">
        <v>41141</v>
      </c>
      <c r="M214" s="16" t="n">
        <v>45505</v>
      </c>
      <c r="N214" s="6" t="s">
        <v>10886</v>
      </c>
      <c r="O214" s="16" t="n">
        <v>41141</v>
      </c>
      <c r="P214" s="6" t="s">
        <v>11041</v>
      </c>
      <c r="Q214" s="6" t="s">
        <v>81</v>
      </c>
      <c r="R214" s="6" t="s">
        <v>12491</v>
      </c>
      <c r="S214" s="6" t="s">
        <v>10886</v>
      </c>
      <c r="T214" s="16" t="n">
        <v>41141</v>
      </c>
      <c r="U214" s="6" t="s">
        <v>13243</v>
      </c>
      <c r="V214" s="6" t="s">
        <v>81</v>
      </c>
      <c r="W214" s="6" t="s">
        <v>12491</v>
      </c>
      <c r="X214" s="6" t="s">
        <v>81</v>
      </c>
      <c r="Y214" s="21" t="s">
        <v>81</v>
      </c>
      <c r="Z214" s="6" t="s">
        <v>81</v>
      </c>
      <c r="AA214" s="6" t="s">
        <v>81</v>
      </c>
      <c r="AB214" s="6" t="s">
        <v>81</v>
      </c>
      <c r="AC214" s="6" t="s">
        <v>10886</v>
      </c>
      <c r="AD214" s="16" t="n">
        <v>43450</v>
      </c>
      <c r="AE214" s="6" t="s">
        <v>14047</v>
      </c>
      <c r="AF214" s="6" t="s">
        <v>81</v>
      </c>
      <c r="AG214" s="6" t="s">
        <v>14519</v>
      </c>
      <c r="AH214" s="6" t="s">
        <v>14820</v>
      </c>
      <c r="AI214" s="6" t="s">
        <v>81</v>
      </c>
      <c r="AJ214" s="6" t="s">
        <v>17460</v>
      </c>
      <c r="AK214" s="6" t="s">
        <v>18391</v>
      </c>
      <c r="AL214" s="6" t="s">
        <v>18444</v>
      </c>
      <c r="AM214" s="6" t="s">
        <v>18619</v>
      </c>
      <c r="AN214" s="6" t="s">
        <v>8233</v>
      </c>
      <c r="AO214" s="6" t="s">
        <v>19729</v>
      </c>
      <c r="AP214" s="6" t="s">
        <v>81</v>
      </c>
      <c r="AQ214" s="6" t="s">
        <v>81</v>
      </c>
      <c r="AR214" s="6" t="s">
        <v>81</v>
      </c>
      <c r="AS214" s="6" t="s">
        <v>81</v>
      </c>
      <c r="AT214" s="6" t="s">
        <v>81</v>
      </c>
      <c r="AU214" s="6" t="s">
        <v>81</v>
      </c>
      <c r="AV214" s="6" t="s">
        <v>81</v>
      </c>
      <c r="AW214" s="6" t="s">
        <v>81</v>
      </c>
      <c r="AX214" s="6" t="s">
        <v>20875</v>
      </c>
      <c r="AY214" s="6" t="s">
        <v>22615</v>
      </c>
      <c r="AZ214" s="6" t="s">
        <v>81</v>
      </c>
      <c r="BA214" s="6" t="s">
        <v>81</v>
      </c>
      <c r="BB214" s="24" t="n">
        <v>1650</v>
      </c>
      <c r="BC214" s="26"/>
      <c r="BD214" s="26"/>
      <c r="BE214" s="26" t="s">
        <v>23900</v>
      </c>
      <c r="BF214" s="26" t="s">
        <v>23900</v>
      </c>
      <c r="BG214" s="26"/>
      <c r="BH214" s="26"/>
      <c r="BI214" s="26"/>
      <c r="BJ214" s="26"/>
      <c r="BK214" s="26"/>
      <c r="BL214" s="26"/>
      <c r="BM214" s="26"/>
      <c r="BN214" s="26" t="s">
        <v>23900</v>
      </c>
      <c r="BO214" s="26"/>
      <c r="BP214" s="16" t="n">
        <v>45737</v>
      </c>
      <c r="BQ214" s="28" t="str">
        <f>HYPERLINK("https://organic.ams.usda.gov/Integrity/Certificate.aspx?cid=31&amp;nopid=3928971193")</f>
        <v>https://organic.ams.usda.gov/Integrity/Certificate.aspx?cid=31&amp;nopid=3928971193</v>
      </c>
    </row>
    <row r="215">
      <c r="A215" t="s">
        <v>3</v>
      </c>
      <c r="B215" s="6" t="s">
        <v>8</v>
      </c>
      <c r="C215" s="6" t="s">
        <v>55</v>
      </c>
      <c r="D215" s="6" t="s">
        <v>101</v>
      </c>
      <c r="E215" s="10" t="s">
        <v>356</v>
      </c>
      <c r="F215" s="6" t="s">
        <v>3092</v>
      </c>
      <c r="G215" s="6" t="s">
        <v>81</v>
      </c>
      <c r="H215" s="6" t="s">
        <v>6082</v>
      </c>
      <c r="I215" s="6" t="s">
        <v>8513</v>
      </c>
      <c r="J215" s="6" t="s">
        <v>9783</v>
      </c>
      <c r="K215" s="6" t="s">
        <v>10886</v>
      </c>
      <c r="L215" s="16" t="n">
        <v>40647</v>
      </c>
      <c r="M215" s="18" t="s">
        <v>81</v>
      </c>
      <c r="N215" s="6" t="s">
        <v>10886</v>
      </c>
      <c r="O215" s="16" t="n">
        <v>40647</v>
      </c>
      <c r="P215" s="6" t="s">
        <v>11042</v>
      </c>
      <c r="Q215" s="6" t="s">
        <v>81</v>
      </c>
      <c r="R215" s="6" t="s">
        <v>81</v>
      </c>
      <c r="S215" s="6" t="s">
        <v>10886</v>
      </c>
      <c r="T215" s="16" t="n">
        <v>40647</v>
      </c>
      <c r="U215" s="6" t="s">
        <v>13244</v>
      </c>
      <c r="V215" s="6" t="s">
        <v>81</v>
      </c>
      <c r="W215" s="6" t="s">
        <v>81</v>
      </c>
      <c r="X215" s="6" t="s">
        <v>81</v>
      </c>
      <c r="Y215" s="21" t="s">
        <v>81</v>
      </c>
      <c r="Z215" s="6" t="s">
        <v>81</v>
      </c>
      <c r="AA215" s="6" t="s">
        <v>81</v>
      </c>
      <c r="AB215" s="6" t="s">
        <v>81</v>
      </c>
      <c r="AC215" s="6" t="s">
        <v>81</v>
      </c>
      <c r="AD215" s="21" t="s">
        <v>81</v>
      </c>
      <c r="AE215" s="6" t="s">
        <v>81</v>
      </c>
      <c r="AF215" s="6" t="s">
        <v>81</v>
      </c>
      <c r="AG215" s="6" t="s">
        <v>81</v>
      </c>
      <c r="AH215" s="6" t="s">
        <v>14821</v>
      </c>
      <c r="AI215" s="6" t="s">
        <v>81</v>
      </c>
      <c r="AJ215" s="6" t="s">
        <v>8500</v>
      </c>
      <c r="AK215" s="6" t="s">
        <v>18378</v>
      </c>
      <c r="AL215" s="6" t="s">
        <v>18444</v>
      </c>
      <c r="AM215" s="6" t="s">
        <v>18620</v>
      </c>
      <c r="AN215" s="6" t="s">
        <v>7595</v>
      </c>
      <c r="AO215" s="6" t="s">
        <v>19807</v>
      </c>
      <c r="AP215" s="6" t="s">
        <v>20111</v>
      </c>
      <c r="AQ215" s="6" t="s">
        <v>81</v>
      </c>
      <c r="AR215" s="6" t="s">
        <v>8500</v>
      </c>
      <c r="AS215" s="6" t="s">
        <v>18378</v>
      </c>
      <c r="AT215" s="6" t="s">
        <v>18444</v>
      </c>
      <c r="AU215" s="6" t="s">
        <v>20604</v>
      </c>
      <c r="AV215" s="6" t="s">
        <v>81</v>
      </c>
      <c r="AW215" s="6" t="s">
        <v>81</v>
      </c>
      <c r="AX215" s="6" t="s">
        <v>81</v>
      </c>
      <c r="AY215" s="6" t="s">
        <v>81</v>
      </c>
      <c r="AZ215" s="6" t="s">
        <v>81</v>
      </c>
      <c r="BA215" s="6" t="s">
        <v>81</v>
      </c>
      <c r="BB215" s="24" t="n">
        <v>307</v>
      </c>
      <c r="BC215" s="26"/>
      <c r="BD215" s="26"/>
      <c r="BE215" s="26"/>
      <c r="BF215" s="26"/>
      <c r="BG215" s="26"/>
      <c r="BH215" s="26"/>
      <c r="BI215" s="26"/>
      <c r="BJ215" s="26"/>
      <c r="BK215" s="26"/>
      <c r="BL215" s="26"/>
      <c r="BM215" s="26"/>
      <c r="BN215" s="26"/>
      <c r="BO215" s="26"/>
      <c r="BP215" s="16" t="n">
        <v>45292</v>
      </c>
      <c r="BQ215" s="28" t="str">
        <f>HYPERLINK("https://organic.ams.usda.gov/Integrity/Certificate.aspx?cid=45&amp;nopid=9950004315")</f>
        <v>https://organic.ams.usda.gov/Integrity/Certificate.aspx?cid=45&amp;nopid=9950004315</v>
      </c>
    </row>
    <row r="216">
      <c r="A216" t="s">
        <v>3</v>
      </c>
      <c r="B216" s="6" t="s">
        <v>7</v>
      </c>
      <c r="C216" s="6" t="s">
        <v>54</v>
      </c>
      <c r="D216" s="6" t="s">
        <v>100</v>
      </c>
      <c r="E216" s="10" t="s">
        <v>357</v>
      </c>
      <c r="F216" s="6" t="s">
        <v>3093</v>
      </c>
      <c r="G216" s="6" t="s">
        <v>81</v>
      </c>
      <c r="H216" s="6" t="s">
        <v>6083</v>
      </c>
      <c r="I216" s="6" t="s">
        <v>8514</v>
      </c>
      <c r="J216" s="6" t="s">
        <v>9784</v>
      </c>
      <c r="K216" s="6" t="s">
        <v>10886</v>
      </c>
      <c r="L216" s="16" t="n">
        <v>38171</v>
      </c>
      <c r="M216" s="16" t="n">
        <v>45716</v>
      </c>
      <c r="N216" s="6" t="s">
        <v>10886</v>
      </c>
      <c r="O216" s="16" t="n">
        <v>38171</v>
      </c>
      <c r="P216" s="6" t="s">
        <v>10910</v>
      </c>
      <c r="Q216" s="6" t="s">
        <v>81</v>
      </c>
      <c r="R216" s="6" t="s">
        <v>81</v>
      </c>
      <c r="S216" s="6" t="s">
        <v>10886</v>
      </c>
      <c r="T216" s="16" t="n">
        <v>38171</v>
      </c>
      <c r="U216" s="6" t="s">
        <v>13169</v>
      </c>
      <c r="V216" s="6" t="s">
        <v>81</v>
      </c>
      <c r="W216" s="6" t="s">
        <v>81</v>
      </c>
      <c r="X216" s="6" t="s">
        <v>81</v>
      </c>
      <c r="Y216" s="21" t="s">
        <v>81</v>
      </c>
      <c r="Z216" s="6" t="s">
        <v>81</v>
      </c>
      <c r="AA216" s="6" t="s">
        <v>81</v>
      </c>
      <c r="AB216" s="6" t="s">
        <v>81</v>
      </c>
      <c r="AC216" s="6" t="s">
        <v>81</v>
      </c>
      <c r="AD216" s="21" t="s">
        <v>81</v>
      </c>
      <c r="AE216" s="6" t="s">
        <v>81</v>
      </c>
      <c r="AF216" s="6" t="s">
        <v>81</v>
      </c>
      <c r="AG216" s="6" t="s">
        <v>81</v>
      </c>
      <c r="AH216" s="6" t="s">
        <v>14822</v>
      </c>
      <c r="AI216" s="6" t="s">
        <v>81</v>
      </c>
      <c r="AJ216" s="6" t="s">
        <v>17461</v>
      </c>
      <c r="AK216" s="6" t="s">
        <v>17712</v>
      </c>
      <c r="AL216" s="6" t="s">
        <v>18444</v>
      </c>
      <c r="AM216" s="6" t="s">
        <v>18621</v>
      </c>
      <c r="AN216" s="6" t="s">
        <v>19669</v>
      </c>
      <c r="AO216" s="6" t="s">
        <v>19790</v>
      </c>
      <c r="AP216" s="6" t="s">
        <v>20112</v>
      </c>
      <c r="AQ216" s="6" t="s">
        <v>81</v>
      </c>
      <c r="AR216" s="6" t="s">
        <v>17461</v>
      </c>
      <c r="AS216" s="6" t="s">
        <v>17712</v>
      </c>
      <c r="AT216" s="6" t="s">
        <v>18444</v>
      </c>
      <c r="AU216" s="6" t="s">
        <v>18621</v>
      </c>
      <c r="AV216" s="6" t="s">
        <v>81</v>
      </c>
      <c r="AW216" s="6" t="s">
        <v>81</v>
      </c>
      <c r="AX216" s="6" t="s">
        <v>20876</v>
      </c>
      <c r="AY216" s="6" t="s">
        <v>22616</v>
      </c>
      <c r="AZ216" s="6" t="s">
        <v>81</v>
      </c>
      <c r="BA216" s="6" t="s">
        <v>81</v>
      </c>
      <c r="BB216" s="24" t="n">
        <v>332</v>
      </c>
      <c r="BC216" s="26"/>
      <c r="BD216" s="26"/>
      <c r="BE216" s="26"/>
      <c r="BF216" s="26" t="s">
        <v>23900</v>
      </c>
      <c r="BG216" s="26"/>
      <c r="BH216" s="26"/>
      <c r="BI216" s="26"/>
      <c r="BJ216" s="26"/>
      <c r="BK216" s="26"/>
      <c r="BL216" s="26"/>
      <c r="BM216" s="26"/>
      <c r="BN216" s="26"/>
      <c r="BO216" s="26"/>
      <c r="BP216" s="16" t="n">
        <v>45595</v>
      </c>
      <c r="BQ216" s="28" t="str">
        <f>HYPERLINK("https://organic.ams.usda.gov/Integrity/Certificate.aspx?cid=57&amp;nopid=3250200419")</f>
        <v>https://organic.ams.usda.gov/Integrity/Certificate.aspx?cid=57&amp;nopid=3250200419</v>
      </c>
    </row>
    <row r="217">
      <c r="A217" t="s">
        <v>3</v>
      </c>
      <c r="B217" s="6" t="s">
        <v>13</v>
      </c>
      <c r="C217" s="6" t="s">
        <v>60</v>
      </c>
      <c r="D217" s="6" t="s">
        <v>106</v>
      </c>
      <c r="E217" s="10" t="s">
        <v>358</v>
      </c>
      <c r="F217" s="6" t="s">
        <v>3094</v>
      </c>
      <c r="G217" s="6" t="s">
        <v>81</v>
      </c>
      <c r="H217" s="6" t="s">
        <v>6084</v>
      </c>
      <c r="I217" s="6" t="s">
        <v>8515</v>
      </c>
      <c r="J217" s="6" t="s">
        <v>9785</v>
      </c>
      <c r="K217" s="6" t="s">
        <v>10886</v>
      </c>
      <c r="L217" s="16" t="n">
        <v>42494</v>
      </c>
      <c r="M217" s="16" t="n">
        <v>45992</v>
      </c>
      <c r="N217" s="6" t="s">
        <v>81</v>
      </c>
      <c r="O217" s="21" t="s">
        <v>81</v>
      </c>
      <c r="P217" s="6" t="s">
        <v>81</v>
      </c>
      <c r="Q217" s="6" t="s">
        <v>81</v>
      </c>
      <c r="R217" s="6" t="s">
        <v>81</v>
      </c>
      <c r="S217" s="6" t="s">
        <v>81</v>
      </c>
      <c r="T217" s="21" t="s">
        <v>81</v>
      </c>
      <c r="U217" s="6" t="s">
        <v>81</v>
      </c>
      <c r="V217" s="6" t="s">
        <v>81</v>
      </c>
      <c r="W217" s="6" t="s">
        <v>81</v>
      </c>
      <c r="X217" s="6" t="s">
        <v>81</v>
      </c>
      <c r="Y217" s="21" t="s">
        <v>81</v>
      </c>
      <c r="Z217" s="6" t="s">
        <v>81</v>
      </c>
      <c r="AA217" s="6" t="s">
        <v>81</v>
      </c>
      <c r="AB217" s="6" t="s">
        <v>81</v>
      </c>
      <c r="AC217" s="6" t="s">
        <v>10886</v>
      </c>
      <c r="AD217" s="16" t="n">
        <v>42494</v>
      </c>
      <c r="AE217" s="6" t="s">
        <v>14048</v>
      </c>
      <c r="AF217" s="6" t="s">
        <v>81</v>
      </c>
      <c r="AG217" s="6" t="s">
        <v>14520</v>
      </c>
      <c r="AH217" s="6" t="s">
        <v>14823</v>
      </c>
      <c r="AI217" s="6" t="s">
        <v>81</v>
      </c>
      <c r="AJ217" s="6" t="s">
        <v>17462</v>
      </c>
      <c r="AK217" s="6" t="s">
        <v>17955</v>
      </c>
      <c r="AL217" s="6" t="s">
        <v>18444</v>
      </c>
      <c r="AM217" s="6" t="s">
        <v>18622</v>
      </c>
      <c r="AN217" s="6" t="s">
        <v>6842</v>
      </c>
      <c r="AO217" s="6" t="s">
        <v>19808</v>
      </c>
      <c r="AP217" s="6" t="s">
        <v>14823</v>
      </c>
      <c r="AQ217" s="6" t="s">
        <v>81</v>
      </c>
      <c r="AR217" s="6" t="s">
        <v>17462</v>
      </c>
      <c r="AS217" s="6" t="s">
        <v>17955</v>
      </c>
      <c r="AT217" s="6" t="s">
        <v>18444</v>
      </c>
      <c r="AU217" s="6" t="s">
        <v>18622</v>
      </c>
      <c r="AV217" s="6" t="s">
        <v>81</v>
      </c>
      <c r="AW217" s="6" t="s">
        <v>81</v>
      </c>
      <c r="AX217" s="6" t="s">
        <v>20877</v>
      </c>
      <c r="AY217" s="6" t="s">
        <v>22617</v>
      </c>
      <c r="AZ217" s="6" t="s">
        <v>23590</v>
      </c>
      <c r="BA217" s="6" t="s">
        <v>81</v>
      </c>
      <c r="BB217" s="6" t="s">
        <v>81</v>
      </c>
      <c r="BC217" s="26"/>
      <c r="BD217" s="26"/>
      <c r="BE217" s="26"/>
      <c r="BF217" s="26"/>
      <c r="BG217" s="26"/>
      <c r="BH217" s="26"/>
      <c r="BI217" s="26"/>
      <c r="BJ217" s="26"/>
      <c r="BK217" s="26"/>
      <c r="BL217" s="26"/>
      <c r="BM217" s="26"/>
      <c r="BN217" s="26"/>
      <c r="BO217" s="26"/>
      <c r="BP217" s="16" t="n">
        <v>45663</v>
      </c>
      <c r="BQ217" s="28" t="str">
        <f>HYPERLINK("https://organic.ams.usda.gov/Integrity/Certificate.aspx?cid=72&amp;nopid=5870002328")</f>
        <v>https://organic.ams.usda.gov/Integrity/Certificate.aspx?cid=72&amp;nopid=5870002328</v>
      </c>
    </row>
    <row r="218">
      <c r="A218" t="s">
        <v>3</v>
      </c>
      <c r="B218" s="6" t="s">
        <v>25</v>
      </c>
      <c r="C218" s="6" t="s">
        <v>72</v>
      </c>
      <c r="D218" s="6" t="s">
        <v>118</v>
      </c>
      <c r="E218" s="10" t="s">
        <v>359</v>
      </c>
      <c r="F218" s="6" t="s">
        <v>3095</v>
      </c>
      <c r="G218" s="6" t="s">
        <v>5610</v>
      </c>
      <c r="H218" s="6" t="s">
        <v>6085</v>
      </c>
      <c r="I218" s="6" t="s">
        <v>8516</v>
      </c>
      <c r="J218" s="6" t="s">
        <v>9786</v>
      </c>
      <c r="K218" s="6" t="s">
        <v>10886</v>
      </c>
      <c r="L218" s="16" t="n">
        <v>41121</v>
      </c>
      <c r="M218" s="16" t="n">
        <v>46023</v>
      </c>
      <c r="N218" s="6" t="s">
        <v>81</v>
      </c>
      <c r="O218" s="21" t="s">
        <v>81</v>
      </c>
      <c r="P218" s="6" t="s">
        <v>81</v>
      </c>
      <c r="Q218" s="6" t="s">
        <v>81</v>
      </c>
      <c r="R218" s="6" t="s">
        <v>81</v>
      </c>
      <c r="S218" s="6" t="s">
        <v>81</v>
      </c>
      <c r="T218" s="21" t="s">
        <v>81</v>
      </c>
      <c r="U218" s="6" t="s">
        <v>81</v>
      </c>
      <c r="V218" s="6" t="s">
        <v>81</v>
      </c>
      <c r="W218" s="6" t="s">
        <v>81</v>
      </c>
      <c r="X218" s="6" t="s">
        <v>81</v>
      </c>
      <c r="Y218" s="21" t="s">
        <v>81</v>
      </c>
      <c r="Z218" s="6" t="s">
        <v>81</v>
      </c>
      <c r="AA218" s="6" t="s">
        <v>81</v>
      </c>
      <c r="AB218" s="6" t="s">
        <v>81</v>
      </c>
      <c r="AC218" s="6" t="s">
        <v>10886</v>
      </c>
      <c r="AD218" s="16" t="n">
        <v>41121</v>
      </c>
      <c r="AE218" s="6" t="s">
        <v>14049</v>
      </c>
      <c r="AF218" s="6" t="s">
        <v>81</v>
      </c>
      <c r="AG218" s="6" t="s">
        <v>81</v>
      </c>
      <c r="AH218" s="6" t="s">
        <v>14824</v>
      </c>
      <c r="AI218" s="6" t="s">
        <v>81</v>
      </c>
      <c r="AJ218" s="6" t="s">
        <v>10555</v>
      </c>
      <c r="AK218" s="6" t="s">
        <v>18386</v>
      </c>
      <c r="AL218" s="6" t="s">
        <v>18444</v>
      </c>
      <c r="AM218" s="6" t="s">
        <v>18623</v>
      </c>
      <c r="AN218" s="6" t="s">
        <v>19683</v>
      </c>
      <c r="AO218" s="6" t="s">
        <v>19809</v>
      </c>
      <c r="AP218" s="6" t="s">
        <v>20113</v>
      </c>
      <c r="AQ218" s="6" t="s">
        <v>81</v>
      </c>
      <c r="AR218" s="6" t="s">
        <v>10555</v>
      </c>
      <c r="AS218" s="6" t="s">
        <v>18386</v>
      </c>
      <c r="AT218" s="6" t="s">
        <v>18444</v>
      </c>
      <c r="AU218" s="6" t="s">
        <v>18623</v>
      </c>
      <c r="AV218" s="6" t="s">
        <v>81</v>
      </c>
      <c r="AW218" s="6" t="s">
        <v>81</v>
      </c>
      <c r="AX218" s="6" t="s">
        <v>20878</v>
      </c>
      <c r="AY218" s="6" t="s">
        <v>22618</v>
      </c>
      <c r="AZ218" s="6" t="s">
        <v>23591</v>
      </c>
      <c r="BA218" s="6" t="s">
        <v>23831</v>
      </c>
      <c r="BB218" s="6" t="s">
        <v>81</v>
      </c>
      <c r="BC218" s="26"/>
      <c r="BD218" s="26"/>
      <c r="BE218" s="26"/>
      <c r="BF218" s="26"/>
      <c r="BG218" s="26"/>
      <c r="BH218" s="26"/>
      <c r="BI218" s="26"/>
      <c r="BJ218" s="26"/>
      <c r="BK218" s="26"/>
      <c r="BL218" s="26"/>
      <c r="BM218" s="26"/>
      <c r="BN218" s="26"/>
      <c r="BO218" s="26"/>
      <c r="BP218" s="16" t="n">
        <v>45667</v>
      </c>
      <c r="BQ218" s="28" t="str">
        <f>HYPERLINK("https://organic.ams.usda.gov/Integrity/Certificate.aspx?cid=15&amp;nopid=5561001758")</f>
        <v>https://organic.ams.usda.gov/Integrity/Certificate.aspx?cid=15&amp;nopid=5561001758</v>
      </c>
    </row>
    <row r="219">
      <c r="A219" t="s">
        <v>3</v>
      </c>
      <c r="B219" s="6" t="s">
        <v>8</v>
      </c>
      <c r="C219" s="6" t="s">
        <v>55</v>
      </c>
      <c r="D219" s="6" t="s">
        <v>101</v>
      </c>
      <c r="E219" s="10" t="s">
        <v>360</v>
      </c>
      <c r="F219" s="6" t="s">
        <v>3096</v>
      </c>
      <c r="G219" s="6" t="s">
        <v>81</v>
      </c>
      <c r="H219" s="6" t="s">
        <v>6086</v>
      </c>
      <c r="I219" s="6" t="s">
        <v>8517</v>
      </c>
      <c r="J219" s="6" t="s">
        <v>9787</v>
      </c>
      <c r="K219" s="6" t="s">
        <v>10886</v>
      </c>
      <c r="L219" s="16" t="n">
        <v>37417</v>
      </c>
      <c r="M219" s="16" t="n">
        <v>45748</v>
      </c>
      <c r="N219" s="6" t="s">
        <v>10886</v>
      </c>
      <c r="O219" s="16" t="n">
        <v>37417</v>
      </c>
      <c r="P219" s="6" t="s">
        <v>11043</v>
      </c>
      <c r="Q219" s="6" t="s">
        <v>81</v>
      </c>
      <c r="R219" s="6" t="s">
        <v>6086</v>
      </c>
      <c r="S219" s="6" t="s">
        <v>10886</v>
      </c>
      <c r="T219" s="16" t="n">
        <v>37417</v>
      </c>
      <c r="U219" s="6" t="s">
        <v>13173</v>
      </c>
      <c r="V219" s="6" t="s">
        <v>81</v>
      </c>
      <c r="W219" s="6" t="s">
        <v>6086</v>
      </c>
      <c r="X219" s="6" t="s">
        <v>81</v>
      </c>
      <c r="Y219" s="21" t="s">
        <v>81</v>
      </c>
      <c r="Z219" s="6" t="s">
        <v>81</v>
      </c>
      <c r="AA219" s="6" t="s">
        <v>81</v>
      </c>
      <c r="AB219" s="6" t="s">
        <v>81</v>
      </c>
      <c r="AC219" s="6" t="s">
        <v>81</v>
      </c>
      <c r="AD219" s="21" t="s">
        <v>81</v>
      </c>
      <c r="AE219" s="6" t="s">
        <v>81</v>
      </c>
      <c r="AF219" s="6" t="s">
        <v>81</v>
      </c>
      <c r="AG219" s="6" t="s">
        <v>81</v>
      </c>
      <c r="AH219" s="6" t="s">
        <v>14825</v>
      </c>
      <c r="AI219" s="6" t="s">
        <v>81</v>
      </c>
      <c r="AJ219" s="6" t="s">
        <v>17463</v>
      </c>
      <c r="AK219" s="6" t="s">
        <v>18377</v>
      </c>
      <c r="AL219" s="6" t="s">
        <v>18444</v>
      </c>
      <c r="AM219" s="6" t="s">
        <v>18624</v>
      </c>
      <c r="AN219" s="6" t="s">
        <v>19661</v>
      </c>
      <c r="AO219" s="6" t="s">
        <v>19761</v>
      </c>
      <c r="AP219" s="6" t="s">
        <v>81</v>
      </c>
      <c r="AQ219" s="6" t="s">
        <v>81</v>
      </c>
      <c r="AR219" s="6" t="s">
        <v>81</v>
      </c>
      <c r="AS219" s="6" t="s">
        <v>81</v>
      </c>
      <c r="AT219" s="6" t="s">
        <v>81</v>
      </c>
      <c r="AU219" s="6" t="s">
        <v>81</v>
      </c>
      <c r="AV219" s="6" t="s">
        <v>81</v>
      </c>
      <c r="AW219" s="6" t="s">
        <v>81</v>
      </c>
      <c r="AX219" s="6" t="s">
        <v>81</v>
      </c>
      <c r="AY219" s="6" t="s">
        <v>22619</v>
      </c>
      <c r="AZ219" s="6" t="s">
        <v>81</v>
      </c>
      <c r="BA219" s="6" t="s">
        <v>23819</v>
      </c>
      <c r="BB219" s="24" t="n">
        <v>197</v>
      </c>
      <c r="BC219" s="26"/>
      <c r="BD219" s="26"/>
      <c r="BE219" s="26"/>
      <c r="BF219" s="26" t="s">
        <v>23900</v>
      </c>
      <c r="BG219" s="26"/>
      <c r="BH219" s="26"/>
      <c r="BI219" s="26"/>
      <c r="BJ219" s="26"/>
      <c r="BK219" s="26"/>
      <c r="BL219" s="26"/>
      <c r="BM219" s="26"/>
      <c r="BN219" s="26"/>
      <c r="BO219" s="26"/>
      <c r="BP219" s="16" t="n">
        <v>45665</v>
      </c>
      <c r="BQ219" s="28" t="str">
        <f>HYPERLINK("https://organic.ams.usda.gov/Integrity/Certificate.aspx?cid=45&amp;nopid=9950000702")</f>
        <v>https://organic.ams.usda.gov/Integrity/Certificate.aspx?cid=45&amp;nopid=9950000702</v>
      </c>
    </row>
    <row r="220">
      <c r="A220" t="s">
        <v>3</v>
      </c>
      <c r="B220" s="6" t="s">
        <v>20</v>
      </c>
      <c r="C220" s="6" t="s">
        <v>67</v>
      </c>
      <c r="D220" s="6" t="s">
        <v>113</v>
      </c>
      <c r="E220" s="10" t="s">
        <v>361</v>
      </c>
      <c r="F220" s="6" t="s">
        <v>3097</v>
      </c>
      <c r="G220" s="6" t="s">
        <v>81</v>
      </c>
      <c r="H220" s="6" t="s">
        <v>6087</v>
      </c>
      <c r="I220" s="6" t="s">
        <v>8518</v>
      </c>
      <c r="J220" s="6" t="s">
        <v>9788</v>
      </c>
      <c r="K220" s="6" t="s">
        <v>10886</v>
      </c>
      <c r="L220" s="16" t="n">
        <v>45436</v>
      </c>
      <c r="M220" s="16" t="n">
        <v>45685</v>
      </c>
      <c r="N220" s="6" t="s">
        <v>81</v>
      </c>
      <c r="O220" s="21" t="s">
        <v>81</v>
      </c>
      <c r="P220" s="6" t="s">
        <v>81</v>
      </c>
      <c r="Q220" s="6" t="s">
        <v>81</v>
      </c>
      <c r="R220" s="6" t="s">
        <v>81</v>
      </c>
      <c r="S220" s="6" t="s">
        <v>81</v>
      </c>
      <c r="T220" s="21" t="s">
        <v>81</v>
      </c>
      <c r="U220" s="6" t="s">
        <v>81</v>
      </c>
      <c r="V220" s="6" t="s">
        <v>81</v>
      </c>
      <c r="W220" s="6" t="s">
        <v>81</v>
      </c>
      <c r="X220" s="6" t="s">
        <v>81</v>
      </c>
      <c r="Y220" s="21" t="s">
        <v>81</v>
      </c>
      <c r="Z220" s="6" t="s">
        <v>81</v>
      </c>
      <c r="AA220" s="6" t="s">
        <v>81</v>
      </c>
      <c r="AB220" s="6" t="s">
        <v>81</v>
      </c>
      <c r="AC220" s="6" t="s">
        <v>10886</v>
      </c>
      <c r="AD220" s="16" t="n">
        <v>45436</v>
      </c>
      <c r="AE220" s="6" t="s">
        <v>14050</v>
      </c>
      <c r="AF220" s="6" t="s">
        <v>81</v>
      </c>
      <c r="AG220" s="6" t="s">
        <v>14521</v>
      </c>
      <c r="AH220" s="6" t="s">
        <v>14826</v>
      </c>
      <c r="AI220" s="6" t="s">
        <v>17277</v>
      </c>
      <c r="AJ220" s="6" t="s">
        <v>17464</v>
      </c>
      <c r="AK220" s="6" t="s">
        <v>18385</v>
      </c>
      <c r="AL220" s="6" t="s">
        <v>18444</v>
      </c>
      <c r="AM220" s="6" t="s">
        <v>18625</v>
      </c>
      <c r="AN220" s="6" t="s">
        <v>81</v>
      </c>
      <c r="AO220" s="6" t="s">
        <v>81</v>
      </c>
      <c r="AP220" s="6" t="s">
        <v>14826</v>
      </c>
      <c r="AQ220" s="6" t="s">
        <v>17277</v>
      </c>
      <c r="AR220" s="6" t="s">
        <v>17464</v>
      </c>
      <c r="AS220" s="6" t="s">
        <v>18385</v>
      </c>
      <c r="AT220" s="6" t="s">
        <v>18444</v>
      </c>
      <c r="AU220" s="6" t="s">
        <v>18625</v>
      </c>
      <c r="AV220" s="6" t="s">
        <v>81</v>
      </c>
      <c r="AW220" s="6" t="s">
        <v>81</v>
      </c>
      <c r="AX220" s="6" t="s">
        <v>20879</v>
      </c>
      <c r="AY220" s="6" t="s">
        <v>22620</v>
      </c>
      <c r="AZ220" s="6" t="s">
        <v>23592</v>
      </c>
      <c r="BA220" s="6" t="s">
        <v>81</v>
      </c>
      <c r="BB220" s="6" t="s">
        <v>81</v>
      </c>
      <c r="BC220" s="26"/>
      <c r="BD220" s="26"/>
      <c r="BE220" s="26"/>
      <c r="BF220" s="26"/>
      <c r="BG220" s="26"/>
      <c r="BH220" s="26"/>
      <c r="BI220" s="26"/>
      <c r="BJ220" s="26"/>
      <c r="BK220" s="26"/>
      <c r="BL220" s="26"/>
      <c r="BM220" s="26"/>
      <c r="BN220" s="26"/>
      <c r="BO220" s="26"/>
      <c r="BP220" s="16" t="n">
        <v>45737</v>
      </c>
      <c r="BQ220" s="28" t="str">
        <f>HYPERLINK("https://organic.ams.usda.gov/Integrity/Certificate.aspx?cid=71&amp;nopid=5520803920")</f>
        <v>https://organic.ams.usda.gov/Integrity/Certificate.aspx?cid=71&amp;nopid=5520803920</v>
      </c>
    </row>
    <row r="221">
      <c r="A221" t="s">
        <v>3</v>
      </c>
      <c r="B221" s="6" t="s">
        <v>8</v>
      </c>
      <c r="C221" s="6" t="s">
        <v>55</v>
      </c>
      <c r="D221" s="6" t="s">
        <v>101</v>
      </c>
      <c r="E221" s="10" t="s">
        <v>362</v>
      </c>
      <c r="F221" s="6" t="s">
        <v>3098</v>
      </c>
      <c r="G221" s="6" t="s">
        <v>81</v>
      </c>
      <c r="H221" s="6" t="s">
        <v>5908</v>
      </c>
      <c r="I221" s="6" t="s">
        <v>8401</v>
      </c>
      <c r="J221" s="6" t="s">
        <v>9789</v>
      </c>
      <c r="K221" s="6" t="s">
        <v>10886</v>
      </c>
      <c r="L221" s="16" t="n">
        <v>44922</v>
      </c>
      <c r="M221" s="16" t="n">
        <v>45689</v>
      </c>
      <c r="N221" s="6" t="s">
        <v>10886</v>
      </c>
      <c r="O221" s="16" t="n">
        <v>44922</v>
      </c>
      <c r="P221" s="6" t="s">
        <v>10946</v>
      </c>
      <c r="Q221" s="6" t="s">
        <v>81</v>
      </c>
      <c r="R221" s="6" t="s">
        <v>5908</v>
      </c>
      <c r="S221" s="6" t="s">
        <v>10886</v>
      </c>
      <c r="T221" s="16" t="n">
        <v>44922</v>
      </c>
      <c r="U221" s="6" t="s">
        <v>13179</v>
      </c>
      <c r="V221" s="6" t="s">
        <v>81</v>
      </c>
      <c r="W221" s="6" t="s">
        <v>5908</v>
      </c>
      <c r="X221" s="6" t="s">
        <v>81</v>
      </c>
      <c r="Y221" s="21" t="s">
        <v>81</v>
      </c>
      <c r="Z221" s="6" t="s">
        <v>81</v>
      </c>
      <c r="AA221" s="6" t="s">
        <v>81</v>
      </c>
      <c r="AB221" s="6" t="s">
        <v>81</v>
      </c>
      <c r="AC221" s="6" t="s">
        <v>81</v>
      </c>
      <c r="AD221" s="21" t="s">
        <v>81</v>
      </c>
      <c r="AE221" s="6" t="s">
        <v>81</v>
      </c>
      <c r="AF221" s="6" t="s">
        <v>81</v>
      </c>
      <c r="AG221" s="6" t="s">
        <v>81</v>
      </c>
      <c r="AH221" s="6" t="s">
        <v>14827</v>
      </c>
      <c r="AI221" s="6" t="s">
        <v>81</v>
      </c>
      <c r="AJ221" s="6" t="s">
        <v>17465</v>
      </c>
      <c r="AK221" s="6" t="s">
        <v>18377</v>
      </c>
      <c r="AL221" s="6" t="s">
        <v>18444</v>
      </c>
      <c r="AM221" s="6" t="s">
        <v>18626</v>
      </c>
      <c r="AN221" s="6" t="s">
        <v>19635</v>
      </c>
      <c r="AO221" s="6" t="s">
        <v>19720</v>
      </c>
      <c r="AP221" s="6" t="s">
        <v>81</v>
      </c>
      <c r="AQ221" s="6" t="s">
        <v>81</v>
      </c>
      <c r="AR221" s="6" t="s">
        <v>81</v>
      </c>
      <c r="AS221" s="6" t="s">
        <v>81</v>
      </c>
      <c r="AT221" s="6" t="s">
        <v>81</v>
      </c>
      <c r="AU221" s="6" t="s">
        <v>81</v>
      </c>
      <c r="AV221" s="6" t="s">
        <v>81</v>
      </c>
      <c r="AW221" s="6" t="s">
        <v>81</v>
      </c>
      <c r="AX221" s="6" t="s">
        <v>81</v>
      </c>
      <c r="AY221" s="6" t="s">
        <v>22621</v>
      </c>
      <c r="AZ221" s="6" t="s">
        <v>81</v>
      </c>
      <c r="BA221" s="6" t="s">
        <v>23819</v>
      </c>
      <c r="BB221" s="24" t="n">
        <v>176</v>
      </c>
      <c r="BC221" s="26"/>
      <c r="BD221" s="26"/>
      <c r="BE221" s="26"/>
      <c r="BF221" s="26" t="s">
        <v>23900</v>
      </c>
      <c r="BG221" s="26"/>
      <c r="BH221" s="26"/>
      <c r="BI221" s="26"/>
      <c r="BJ221" s="26"/>
      <c r="BK221" s="26"/>
      <c r="BL221" s="26"/>
      <c r="BM221" s="26"/>
      <c r="BN221" s="26"/>
      <c r="BO221" s="26"/>
      <c r="BP221" s="16" t="n">
        <v>45712</v>
      </c>
      <c r="BQ221" s="28" t="str">
        <f>HYPERLINK("https://organic.ams.usda.gov/Integrity/Certificate.aspx?cid=45&amp;nopid=9950013334")</f>
        <v>https://organic.ams.usda.gov/Integrity/Certificate.aspx?cid=45&amp;nopid=9950013334</v>
      </c>
    </row>
    <row r="222">
      <c r="A222" t="s">
        <v>3</v>
      </c>
      <c r="B222" s="6" t="s">
        <v>8</v>
      </c>
      <c r="C222" s="6" t="s">
        <v>55</v>
      </c>
      <c r="D222" s="6" t="s">
        <v>101</v>
      </c>
      <c r="E222" s="10" t="s">
        <v>363</v>
      </c>
      <c r="F222" s="6" t="s">
        <v>3099</v>
      </c>
      <c r="G222" s="6" t="s">
        <v>81</v>
      </c>
      <c r="H222" s="6" t="s">
        <v>6088</v>
      </c>
      <c r="I222" s="6" t="s">
        <v>8519</v>
      </c>
      <c r="J222" s="6" t="s">
        <v>9790</v>
      </c>
      <c r="K222" s="6" t="s">
        <v>10886</v>
      </c>
      <c r="L222" s="16" t="n">
        <v>42606</v>
      </c>
      <c r="M222" s="16" t="n">
        <v>45689</v>
      </c>
      <c r="N222" s="6" t="s">
        <v>81</v>
      </c>
      <c r="O222" s="21" t="s">
        <v>81</v>
      </c>
      <c r="P222" s="6" t="s">
        <v>81</v>
      </c>
      <c r="Q222" s="6" t="s">
        <v>81</v>
      </c>
      <c r="R222" s="6" t="s">
        <v>81</v>
      </c>
      <c r="S222" s="6" t="s">
        <v>81</v>
      </c>
      <c r="T222" s="21" t="s">
        <v>81</v>
      </c>
      <c r="U222" s="6" t="s">
        <v>81</v>
      </c>
      <c r="V222" s="6" t="s">
        <v>81</v>
      </c>
      <c r="W222" s="6" t="s">
        <v>81</v>
      </c>
      <c r="X222" s="6" t="s">
        <v>81</v>
      </c>
      <c r="Y222" s="21" t="s">
        <v>81</v>
      </c>
      <c r="Z222" s="6" t="s">
        <v>81</v>
      </c>
      <c r="AA222" s="6" t="s">
        <v>81</v>
      </c>
      <c r="AB222" s="6" t="s">
        <v>81</v>
      </c>
      <c r="AC222" s="6" t="s">
        <v>10886</v>
      </c>
      <c r="AD222" s="16" t="n">
        <v>42606</v>
      </c>
      <c r="AE222" s="6" t="s">
        <v>14051</v>
      </c>
      <c r="AF222" s="6" t="s">
        <v>81</v>
      </c>
      <c r="AG222" s="6" t="s">
        <v>6088</v>
      </c>
      <c r="AH222" s="6" t="s">
        <v>14828</v>
      </c>
      <c r="AI222" s="6" t="s">
        <v>81</v>
      </c>
      <c r="AJ222" s="6" t="s">
        <v>17466</v>
      </c>
      <c r="AK222" s="6" t="s">
        <v>18385</v>
      </c>
      <c r="AL222" s="6" t="s">
        <v>18444</v>
      </c>
      <c r="AM222" s="6" t="s">
        <v>18627</v>
      </c>
      <c r="AN222" s="6" t="s">
        <v>7195</v>
      </c>
      <c r="AO222" s="6" t="s">
        <v>19810</v>
      </c>
      <c r="AP222" s="6" t="s">
        <v>81</v>
      </c>
      <c r="AQ222" s="6" t="s">
        <v>81</v>
      </c>
      <c r="AR222" s="6" t="s">
        <v>81</v>
      </c>
      <c r="AS222" s="6" t="s">
        <v>81</v>
      </c>
      <c r="AT222" s="6" t="s">
        <v>81</v>
      </c>
      <c r="AU222" s="6" t="s">
        <v>81</v>
      </c>
      <c r="AV222" s="6" t="s">
        <v>81</v>
      </c>
      <c r="AW222" s="6" t="s">
        <v>81</v>
      </c>
      <c r="AX222" s="6" t="s">
        <v>20880</v>
      </c>
      <c r="AY222" s="6" t="s">
        <v>22622</v>
      </c>
      <c r="AZ222" s="6" t="s">
        <v>23593</v>
      </c>
      <c r="BA222" s="6" t="s">
        <v>23824</v>
      </c>
      <c r="BB222" s="24" t="n">
        <v>0</v>
      </c>
      <c r="BC222" s="26"/>
      <c r="BD222" s="26"/>
      <c r="BE222" s="26"/>
      <c r="BF222" s="26"/>
      <c r="BG222" s="26" t="s">
        <v>23900</v>
      </c>
      <c r="BH222" s="26" t="s">
        <v>23900</v>
      </c>
      <c r="BI222" s="26"/>
      <c r="BJ222" s="26"/>
      <c r="BK222" s="26"/>
      <c r="BL222" s="26"/>
      <c r="BM222" s="26"/>
      <c r="BN222" s="26"/>
      <c r="BO222" s="26"/>
      <c r="BP222" s="16" t="n">
        <v>45737</v>
      </c>
      <c r="BQ222" s="28" t="str">
        <f>HYPERLINK("https://organic.ams.usda.gov/Integrity/Certificate.aspx?cid=45&amp;nopid=9950009745")</f>
        <v>https://organic.ams.usda.gov/Integrity/Certificate.aspx?cid=45&amp;nopid=9950009745</v>
      </c>
    </row>
    <row r="223">
      <c r="A223" t="s">
        <v>3</v>
      </c>
      <c r="B223" s="6" t="s">
        <v>7</v>
      </c>
      <c r="C223" s="6" t="s">
        <v>54</v>
      </c>
      <c r="D223" s="6" t="s">
        <v>100</v>
      </c>
      <c r="E223" s="10" t="s">
        <v>364</v>
      </c>
      <c r="F223" s="6" t="s">
        <v>3100</v>
      </c>
      <c r="G223" s="6" t="s">
        <v>81</v>
      </c>
      <c r="H223" s="6" t="s">
        <v>6089</v>
      </c>
      <c r="I223" s="6" t="s">
        <v>8520</v>
      </c>
      <c r="J223" s="6" t="s">
        <v>9791</v>
      </c>
      <c r="K223" s="6" t="s">
        <v>10886</v>
      </c>
      <c r="L223" s="16" t="n">
        <v>40640</v>
      </c>
      <c r="M223" s="16" t="n">
        <v>45716</v>
      </c>
      <c r="N223" s="6" t="s">
        <v>10886</v>
      </c>
      <c r="O223" s="16" t="n">
        <v>40640</v>
      </c>
      <c r="P223" s="6" t="s">
        <v>10910</v>
      </c>
      <c r="Q223" s="6" t="s">
        <v>81</v>
      </c>
      <c r="R223" s="6" t="s">
        <v>81</v>
      </c>
      <c r="S223" s="6" t="s">
        <v>10886</v>
      </c>
      <c r="T223" s="16" t="n">
        <v>40640</v>
      </c>
      <c r="U223" s="6" t="s">
        <v>13225</v>
      </c>
      <c r="V223" s="6" t="s">
        <v>81</v>
      </c>
      <c r="W223" s="6" t="s">
        <v>81</v>
      </c>
      <c r="X223" s="6" t="s">
        <v>81</v>
      </c>
      <c r="Y223" s="21" t="s">
        <v>81</v>
      </c>
      <c r="Z223" s="6" t="s">
        <v>81</v>
      </c>
      <c r="AA223" s="6" t="s">
        <v>81</v>
      </c>
      <c r="AB223" s="6" t="s">
        <v>81</v>
      </c>
      <c r="AC223" s="6" t="s">
        <v>81</v>
      </c>
      <c r="AD223" s="21" t="s">
        <v>81</v>
      </c>
      <c r="AE223" s="6" t="s">
        <v>81</v>
      </c>
      <c r="AF223" s="6" t="s">
        <v>81</v>
      </c>
      <c r="AG223" s="6" t="s">
        <v>81</v>
      </c>
      <c r="AH223" s="6" t="s">
        <v>14829</v>
      </c>
      <c r="AI223" s="6" t="s">
        <v>81</v>
      </c>
      <c r="AJ223" s="6" t="s">
        <v>10590</v>
      </c>
      <c r="AK223" s="6" t="s">
        <v>17712</v>
      </c>
      <c r="AL223" s="6" t="s">
        <v>18444</v>
      </c>
      <c r="AM223" s="6" t="s">
        <v>18628</v>
      </c>
      <c r="AN223" s="6" t="s">
        <v>19670</v>
      </c>
      <c r="AO223" s="6" t="s">
        <v>19782</v>
      </c>
      <c r="AP223" s="6" t="s">
        <v>14829</v>
      </c>
      <c r="AQ223" s="6" t="s">
        <v>81</v>
      </c>
      <c r="AR223" s="6" t="s">
        <v>10590</v>
      </c>
      <c r="AS223" s="6" t="s">
        <v>17712</v>
      </c>
      <c r="AT223" s="6" t="s">
        <v>18444</v>
      </c>
      <c r="AU223" s="6" t="s">
        <v>18628</v>
      </c>
      <c r="AV223" s="6" t="s">
        <v>81</v>
      </c>
      <c r="AW223" s="6" t="s">
        <v>81</v>
      </c>
      <c r="AX223" s="6" t="s">
        <v>20881</v>
      </c>
      <c r="AY223" s="6" t="s">
        <v>22623</v>
      </c>
      <c r="AZ223" s="6" t="s">
        <v>81</v>
      </c>
      <c r="BA223" s="6" t="s">
        <v>81</v>
      </c>
      <c r="BB223" s="24" t="n">
        <v>457</v>
      </c>
      <c r="BC223" s="26"/>
      <c r="BD223" s="26"/>
      <c r="BE223" s="26"/>
      <c r="BF223" s="26" t="s">
        <v>23900</v>
      </c>
      <c r="BG223" s="26"/>
      <c r="BH223" s="26"/>
      <c r="BI223" s="26"/>
      <c r="BJ223" s="26"/>
      <c r="BK223" s="26"/>
      <c r="BL223" s="26"/>
      <c r="BM223" s="26"/>
      <c r="BN223" s="26"/>
      <c r="BO223" s="26"/>
      <c r="BP223" s="16" t="n">
        <v>45595</v>
      </c>
      <c r="BQ223" s="28" t="str">
        <f>HYPERLINK("https://organic.ams.usda.gov/Integrity/Certificate.aspx?cid=57&amp;nopid=3250200007")</f>
        <v>https://organic.ams.usda.gov/Integrity/Certificate.aspx?cid=57&amp;nopid=3250200007</v>
      </c>
    </row>
    <row r="224">
      <c r="A224" t="s">
        <v>3</v>
      </c>
      <c r="B224" s="6" t="s">
        <v>24</v>
      </c>
      <c r="C224" s="6" t="s">
        <v>71</v>
      </c>
      <c r="D224" s="6" t="s">
        <v>117</v>
      </c>
      <c r="E224" s="10" t="s">
        <v>365</v>
      </c>
      <c r="F224" s="6" t="s">
        <v>3101</v>
      </c>
      <c r="G224" s="6" t="s">
        <v>81</v>
      </c>
      <c r="H224" s="6" t="s">
        <v>81</v>
      </c>
      <c r="I224" s="6" t="s">
        <v>8521</v>
      </c>
      <c r="J224" s="6" t="s">
        <v>9792</v>
      </c>
      <c r="K224" s="6" t="s">
        <v>10886</v>
      </c>
      <c r="L224" s="16" t="n">
        <v>44778</v>
      </c>
      <c r="M224" s="16" t="n">
        <v>45901</v>
      </c>
      <c r="N224" s="6" t="s">
        <v>10886</v>
      </c>
      <c r="O224" s="16" t="n">
        <v>45146</v>
      </c>
      <c r="P224" s="6" t="s">
        <v>11044</v>
      </c>
      <c r="Q224" s="6" t="s">
        <v>81</v>
      </c>
      <c r="R224" s="6" t="s">
        <v>81</v>
      </c>
      <c r="S224" s="6" t="s">
        <v>10886</v>
      </c>
      <c r="T224" s="16" t="n">
        <v>44778</v>
      </c>
      <c r="U224" s="6" t="s">
        <v>13245</v>
      </c>
      <c r="V224" s="6" t="s">
        <v>81</v>
      </c>
      <c r="W224" s="6" t="s">
        <v>81</v>
      </c>
      <c r="X224" s="6" t="s">
        <v>81</v>
      </c>
      <c r="Y224" s="21" t="s">
        <v>81</v>
      </c>
      <c r="Z224" s="6" t="s">
        <v>81</v>
      </c>
      <c r="AA224" s="6" t="s">
        <v>81</v>
      </c>
      <c r="AB224" s="6" t="s">
        <v>81</v>
      </c>
      <c r="AC224" s="6" t="s">
        <v>10886</v>
      </c>
      <c r="AD224" s="16" t="n">
        <v>44778</v>
      </c>
      <c r="AE224" s="6" t="s">
        <v>14014</v>
      </c>
      <c r="AF224" s="6" t="s">
        <v>81</v>
      </c>
      <c r="AG224" s="6" t="s">
        <v>81</v>
      </c>
      <c r="AH224" s="6" t="s">
        <v>14830</v>
      </c>
      <c r="AI224" s="6" t="s">
        <v>81</v>
      </c>
      <c r="AJ224" s="6" t="s">
        <v>17467</v>
      </c>
      <c r="AK224" s="6" t="s">
        <v>18400</v>
      </c>
      <c r="AL224" s="6" t="s">
        <v>18444</v>
      </c>
      <c r="AM224" s="6" t="s">
        <v>18629</v>
      </c>
      <c r="AN224" s="6" t="s">
        <v>19636</v>
      </c>
      <c r="AO224" s="6" t="s">
        <v>19811</v>
      </c>
      <c r="AP224" s="6" t="s">
        <v>14830</v>
      </c>
      <c r="AQ224" s="6" t="s">
        <v>81</v>
      </c>
      <c r="AR224" s="6" t="s">
        <v>17467</v>
      </c>
      <c r="AS224" s="6" t="s">
        <v>18400</v>
      </c>
      <c r="AT224" s="6" t="s">
        <v>18444</v>
      </c>
      <c r="AU224" s="6" t="s">
        <v>18629</v>
      </c>
      <c r="AV224" s="6" t="s">
        <v>81</v>
      </c>
      <c r="AW224" s="6" t="s">
        <v>81</v>
      </c>
      <c r="AX224" s="6" t="s">
        <v>81</v>
      </c>
      <c r="AY224" s="6" t="s">
        <v>22624</v>
      </c>
      <c r="AZ224" s="6" t="s">
        <v>81</v>
      </c>
      <c r="BA224" s="6" t="s">
        <v>81</v>
      </c>
      <c r="BB224" s="24" t="n">
        <v>597</v>
      </c>
      <c r="BC224" s="26"/>
      <c r="BD224" s="26"/>
      <c r="BE224" s="26"/>
      <c r="BF224" s="26"/>
      <c r="BG224" s="26"/>
      <c r="BH224" s="26"/>
      <c r="BI224" s="26"/>
      <c r="BJ224" s="26"/>
      <c r="BK224" s="26"/>
      <c r="BL224" s="26"/>
      <c r="BM224" s="26"/>
      <c r="BN224" s="26"/>
      <c r="BO224" s="26"/>
      <c r="BP224" s="16" t="n">
        <v>45628</v>
      </c>
      <c r="BQ224" s="28" t="str">
        <f>HYPERLINK("https://organic.ams.usda.gov/Integrity/Certificate.aspx?cid=1&amp;nopid=9092206003")</f>
        <v>https://organic.ams.usda.gov/Integrity/Certificate.aspx?cid=1&amp;nopid=9092206003</v>
      </c>
    </row>
    <row r="225">
      <c r="A225" t="s">
        <v>3</v>
      </c>
      <c r="B225" s="6" t="s">
        <v>8</v>
      </c>
      <c r="C225" s="6" t="s">
        <v>55</v>
      </c>
      <c r="D225" s="6" t="s">
        <v>101</v>
      </c>
      <c r="E225" s="10" t="s">
        <v>366</v>
      </c>
      <c r="F225" s="6" t="s">
        <v>3102</v>
      </c>
      <c r="G225" s="6" t="s">
        <v>81</v>
      </c>
      <c r="H225" s="6" t="s">
        <v>6090</v>
      </c>
      <c r="I225" s="6" t="s">
        <v>8437</v>
      </c>
      <c r="J225" s="6" t="s">
        <v>9793</v>
      </c>
      <c r="K225" s="6" t="s">
        <v>10886</v>
      </c>
      <c r="L225" s="16" t="n">
        <v>37167</v>
      </c>
      <c r="M225" s="16" t="n">
        <v>45689</v>
      </c>
      <c r="N225" s="6" t="s">
        <v>10886</v>
      </c>
      <c r="O225" s="16" t="n">
        <v>37167</v>
      </c>
      <c r="P225" s="6" t="s">
        <v>11045</v>
      </c>
      <c r="Q225" s="6" t="s">
        <v>81</v>
      </c>
      <c r="R225" s="6" t="s">
        <v>6090</v>
      </c>
      <c r="S225" s="6" t="s">
        <v>10886</v>
      </c>
      <c r="T225" s="16" t="n">
        <v>37167</v>
      </c>
      <c r="U225" s="6" t="s">
        <v>13246</v>
      </c>
      <c r="V225" s="6" t="s">
        <v>81</v>
      </c>
      <c r="W225" s="6" t="s">
        <v>6090</v>
      </c>
      <c r="X225" s="6" t="s">
        <v>81</v>
      </c>
      <c r="Y225" s="21" t="s">
        <v>81</v>
      </c>
      <c r="Z225" s="6" t="s">
        <v>81</v>
      </c>
      <c r="AA225" s="6" t="s">
        <v>81</v>
      </c>
      <c r="AB225" s="6" t="s">
        <v>81</v>
      </c>
      <c r="AC225" s="6" t="s">
        <v>10886</v>
      </c>
      <c r="AD225" s="16" t="n">
        <v>37167</v>
      </c>
      <c r="AE225" s="6" t="s">
        <v>14052</v>
      </c>
      <c r="AF225" s="6" t="s">
        <v>81</v>
      </c>
      <c r="AG225" s="6" t="s">
        <v>6090</v>
      </c>
      <c r="AH225" s="6" t="s">
        <v>14831</v>
      </c>
      <c r="AI225" s="6" t="s">
        <v>81</v>
      </c>
      <c r="AJ225" s="6" t="s">
        <v>17468</v>
      </c>
      <c r="AK225" s="6" t="s">
        <v>18384</v>
      </c>
      <c r="AL225" s="6" t="s">
        <v>18444</v>
      </c>
      <c r="AM225" s="6" t="s">
        <v>18630</v>
      </c>
      <c r="AN225" s="6" t="s">
        <v>7195</v>
      </c>
      <c r="AO225" s="6" t="s">
        <v>19743</v>
      </c>
      <c r="AP225" s="6" t="s">
        <v>81</v>
      </c>
      <c r="AQ225" s="6" t="s">
        <v>81</v>
      </c>
      <c r="AR225" s="6" t="s">
        <v>81</v>
      </c>
      <c r="AS225" s="6" t="s">
        <v>81</v>
      </c>
      <c r="AT225" s="6" t="s">
        <v>81</v>
      </c>
      <c r="AU225" s="6" t="s">
        <v>81</v>
      </c>
      <c r="AV225" s="6" t="s">
        <v>81</v>
      </c>
      <c r="AW225" s="6" t="s">
        <v>81</v>
      </c>
      <c r="AX225" s="6" t="s">
        <v>20882</v>
      </c>
      <c r="AY225" s="6" t="s">
        <v>22625</v>
      </c>
      <c r="AZ225" s="6" t="s">
        <v>23594</v>
      </c>
      <c r="BA225" s="6" t="s">
        <v>23824</v>
      </c>
      <c r="BB225" s="24" t="n">
        <v>211</v>
      </c>
      <c r="BC225" s="26"/>
      <c r="BD225" s="26"/>
      <c r="BE225" s="26"/>
      <c r="BF225" s="26" t="s">
        <v>23900</v>
      </c>
      <c r="BG225" s="26" t="s">
        <v>23900</v>
      </c>
      <c r="BH225" s="26"/>
      <c r="BI225" s="26"/>
      <c r="BJ225" s="26"/>
      <c r="BK225" s="26" t="s">
        <v>23900</v>
      </c>
      <c r="BL225" s="26"/>
      <c r="BM225" s="26"/>
      <c r="BN225" s="26"/>
      <c r="BO225" s="26"/>
      <c r="BP225" s="16" t="n">
        <v>45736</v>
      </c>
      <c r="BQ225" s="28" t="str">
        <f>HYPERLINK("https://organic.ams.usda.gov/Integrity/Certificate.aspx?cid=45&amp;nopid=9950000791")</f>
        <v>https://organic.ams.usda.gov/Integrity/Certificate.aspx?cid=45&amp;nopid=9950000791</v>
      </c>
    </row>
    <row r="226">
      <c r="A226" t="s">
        <v>3</v>
      </c>
      <c r="B226" s="6" t="s">
        <v>7</v>
      </c>
      <c r="C226" s="6" t="s">
        <v>54</v>
      </c>
      <c r="D226" s="6" t="s">
        <v>100</v>
      </c>
      <c r="E226" s="10" t="s">
        <v>367</v>
      </c>
      <c r="F226" s="6" t="s">
        <v>3103</v>
      </c>
      <c r="G226" s="6" t="s">
        <v>81</v>
      </c>
      <c r="H226" s="6" t="s">
        <v>6091</v>
      </c>
      <c r="I226" s="6" t="s">
        <v>8522</v>
      </c>
      <c r="J226" s="6" t="s">
        <v>9665</v>
      </c>
      <c r="K226" s="6" t="s">
        <v>10886</v>
      </c>
      <c r="L226" s="16" t="n">
        <v>40417</v>
      </c>
      <c r="M226" s="16" t="n">
        <v>45716</v>
      </c>
      <c r="N226" s="6" t="s">
        <v>10886</v>
      </c>
      <c r="O226" s="16" t="n">
        <v>40417</v>
      </c>
      <c r="P226" s="6" t="s">
        <v>11046</v>
      </c>
      <c r="Q226" s="6" t="s">
        <v>81</v>
      </c>
      <c r="R226" s="6" t="s">
        <v>81</v>
      </c>
      <c r="S226" s="6" t="s">
        <v>10886</v>
      </c>
      <c r="T226" s="16" t="n">
        <v>40708</v>
      </c>
      <c r="U226" s="6" t="s">
        <v>13169</v>
      </c>
      <c r="V226" s="6" t="s">
        <v>81</v>
      </c>
      <c r="W226" s="6" t="s">
        <v>81</v>
      </c>
      <c r="X226" s="6" t="s">
        <v>81</v>
      </c>
      <c r="Y226" s="21" t="s">
        <v>81</v>
      </c>
      <c r="Z226" s="6" t="s">
        <v>81</v>
      </c>
      <c r="AA226" s="6" t="s">
        <v>81</v>
      </c>
      <c r="AB226" s="6" t="s">
        <v>81</v>
      </c>
      <c r="AC226" s="6" t="s">
        <v>81</v>
      </c>
      <c r="AD226" s="21" t="s">
        <v>81</v>
      </c>
      <c r="AE226" s="6" t="s">
        <v>81</v>
      </c>
      <c r="AF226" s="6" t="s">
        <v>81</v>
      </c>
      <c r="AG226" s="6" t="s">
        <v>81</v>
      </c>
      <c r="AH226" s="6" t="s">
        <v>14832</v>
      </c>
      <c r="AI226" s="6" t="s">
        <v>81</v>
      </c>
      <c r="AJ226" s="6" t="s">
        <v>17435</v>
      </c>
      <c r="AK226" s="6" t="s">
        <v>17712</v>
      </c>
      <c r="AL226" s="6" t="s">
        <v>18444</v>
      </c>
      <c r="AM226" s="6" t="s">
        <v>5928</v>
      </c>
      <c r="AN226" s="6" t="s">
        <v>19651</v>
      </c>
      <c r="AO226" s="6" t="s">
        <v>19741</v>
      </c>
      <c r="AP226" s="6" t="s">
        <v>14832</v>
      </c>
      <c r="AQ226" s="6" t="s">
        <v>81</v>
      </c>
      <c r="AR226" s="6" t="s">
        <v>17435</v>
      </c>
      <c r="AS226" s="6" t="s">
        <v>17712</v>
      </c>
      <c r="AT226" s="6" t="s">
        <v>18444</v>
      </c>
      <c r="AU226" s="6" t="s">
        <v>5928</v>
      </c>
      <c r="AV226" s="6" t="s">
        <v>81</v>
      </c>
      <c r="AW226" s="6" t="s">
        <v>81</v>
      </c>
      <c r="AX226" s="6" t="s">
        <v>81</v>
      </c>
      <c r="AY226" s="6" t="s">
        <v>81</v>
      </c>
      <c r="AZ226" s="6" t="s">
        <v>81</v>
      </c>
      <c r="BA226" s="6" t="s">
        <v>81</v>
      </c>
      <c r="BB226" s="24" t="n">
        <v>114</v>
      </c>
      <c r="BC226" s="26"/>
      <c r="BD226" s="26"/>
      <c r="BE226" s="26"/>
      <c r="BF226" s="26"/>
      <c r="BG226" s="26"/>
      <c r="BH226" s="26"/>
      <c r="BI226" s="26"/>
      <c r="BJ226" s="26"/>
      <c r="BK226" s="26"/>
      <c r="BL226" s="26"/>
      <c r="BM226" s="26"/>
      <c r="BN226" s="26"/>
      <c r="BO226" s="26"/>
      <c r="BP226" s="16" t="n">
        <v>45721</v>
      </c>
      <c r="BQ226" s="28" t="str">
        <f>HYPERLINK("https://organic.ams.usda.gov/Integrity/Certificate.aspx?cid=57&amp;nopid=3252010051")</f>
        <v>https://organic.ams.usda.gov/Integrity/Certificate.aspx?cid=57&amp;nopid=3252010051</v>
      </c>
    </row>
    <row r="227">
      <c r="A227" t="s">
        <v>3</v>
      </c>
      <c r="B227" s="6" t="s">
        <v>8</v>
      </c>
      <c r="C227" s="6" t="s">
        <v>55</v>
      </c>
      <c r="D227" s="6" t="s">
        <v>101</v>
      </c>
      <c r="E227" s="10" t="s">
        <v>368</v>
      </c>
      <c r="F227" s="6" t="s">
        <v>3104</v>
      </c>
      <c r="G227" s="6" t="s">
        <v>5611</v>
      </c>
      <c r="H227" s="6" t="s">
        <v>6092</v>
      </c>
      <c r="I227" s="6" t="s">
        <v>8401</v>
      </c>
      <c r="J227" s="6" t="s">
        <v>9794</v>
      </c>
      <c r="K227" s="6" t="s">
        <v>10886</v>
      </c>
      <c r="L227" s="16" t="n">
        <v>38828</v>
      </c>
      <c r="M227" s="16" t="n">
        <v>45383</v>
      </c>
      <c r="N227" s="6" t="s">
        <v>10886</v>
      </c>
      <c r="O227" s="16" t="n">
        <v>38828</v>
      </c>
      <c r="P227" s="6" t="s">
        <v>11047</v>
      </c>
      <c r="Q227" s="6" t="s">
        <v>81</v>
      </c>
      <c r="R227" s="6" t="s">
        <v>6092</v>
      </c>
      <c r="S227" s="6" t="s">
        <v>10886</v>
      </c>
      <c r="T227" s="16" t="n">
        <v>38828</v>
      </c>
      <c r="U227" s="6" t="s">
        <v>13179</v>
      </c>
      <c r="V227" s="6" t="s">
        <v>81</v>
      </c>
      <c r="W227" s="6" t="s">
        <v>6092</v>
      </c>
      <c r="X227" s="6" t="s">
        <v>81</v>
      </c>
      <c r="Y227" s="21" t="s">
        <v>81</v>
      </c>
      <c r="Z227" s="6" t="s">
        <v>81</v>
      </c>
      <c r="AA227" s="6" t="s">
        <v>81</v>
      </c>
      <c r="AB227" s="6" t="s">
        <v>81</v>
      </c>
      <c r="AC227" s="6" t="s">
        <v>81</v>
      </c>
      <c r="AD227" s="21" t="s">
        <v>81</v>
      </c>
      <c r="AE227" s="6" t="s">
        <v>81</v>
      </c>
      <c r="AF227" s="6" t="s">
        <v>81</v>
      </c>
      <c r="AG227" s="6" t="s">
        <v>81</v>
      </c>
      <c r="AH227" s="6" t="s">
        <v>14833</v>
      </c>
      <c r="AI227" s="6" t="s">
        <v>81</v>
      </c>
      <c r="AJ227" s="6" t="s">
        <v>17469</v>
      </c>
      <c r="AK227" s="6" t="s">
        <v>18381</v>
      </c>
      <c r="AL227" s="6" t="s">
        <v>18444</v>
      </c>
      <c r="AM227" s="6" t="s">
        <v>18631</v>
      </c>
      <c r="AN227" s="6" t="s">
        <v>19676</v>
      </c>
      <c r="AO227" s="6" t="s">
        <v>19797</v>
      </c>
      <c r="AP227" s="6" t="s">
        <v>81</v>
      </c>
      <c r="AQ227" s="6" t="s">
        <v>81</v>
      </c>
      <c r="AR227" s="6" t="s">
        <v>81</v>
      </c>
      <c r="AS227" s="6" t="s">
        <v>81</v>
      </c>
      <c r="AT227" s="6" t="s">
        <v>81</v>
      </c>
      <c r="AU227" s="6" t="s">
        <v>81</v>
      </c>
      <c r="AV227" s="6" t="s">
        <v>81</v>
      </c>
      <c r="AW227" s="6" t="s">
        <v>81</v>
      </c>
      <c r="AX227" s="6" t="s">
        <v>81</v>
      </c>
      <c r="AY227" s="6" t="s">
        <v>22626</v>
      </c>
      <c r="AZ227" s="6" t="s">
        <v>81</v>
      </c>
      <c r="BA227" s="6" t="s">
        <v>23819</v>
      </c>
      <c r="BB227" s="24" t="n">
        <v>397</v>
      </c>
      <c r="BC227" s="26"/>
      <c r="BD227" s="26"/>
      <c r="BE227" s="26"/>
      <c r="BF227" s="26" t="s">
        <v>23900</v>
      </c>
      <c r="BG227" s="26"/>
      <c r="BH227" s="26"/>
      <c r="BI227" s="26"/>
      <c r="BJ227" s="26"/>
      <c r="BK227" s="26"/>
      <c r="BL227" s="26"/>
      <c r="BM227" s="26"/>
      <c r="BN227" s="26"/>
      <c r="BO227" s="26"/>
      <c r="BP227" s="16" t="n">
        <v>45373</v>
      </c>
      <c r="BQ227" s="28" t="str">
        <f>HYPERLINK("https://organic.ams.usda.gov/Integrity/Certificate.aspx?cid=45&amp;nopid=9950002190")</f>
        <v>https://organic.ams.usda.gov/Integrity/Certificate.aspx?cid=45&amp;nopid=9950002190</v>
      </c>
    </row>
    <row r="228">
      <c r="A228" t="s">
        <v>3</v>
      </c>
      <c r="B228" s="6" t="s">
        <v>7</v>
      </c>
      <c r="C228" s="6" t="s">
        <v>54</v>
      </c>
      <c r="D228" s="6" t="s">
        <v>100</v>
      </c>
      <c r="E228" s="10" t="s">
        <v>369</v>
      </c>
      <c r="F228" s="6" t="s">
        <v>3105</v>
      </c>
      <c r="G228" s="6" t="s">
        <v>81</v>
      </c>
      <c r="H228" s="6" t="s">
        <v>6093</v>
      </c>
      <c r="I228" s="6" t="s">
        <v>8523</v>
      </c>
      <c r="J228" s="6" t="s">
        <v>9795</v>
      </c>
      <c r="K228" s="6" t="s">
        <v>10886</v>
      </c>
      <c r="L228" s="16" t="n">
        <v>42930</v>
      </c>
      <c r="M228" s="16" t="n">
        <v>45716</v>
      </c>
      <c r="N228" s="6" t="s">
        <v>10886</v>
      </c>
      <c r="O228" s="16" t="n">
        <v>42930</v>
      </c>
      <c r="P228" s="6" t="s">
        <v>11048</v>
      </c>
      <c r="Q228" s="6" t="s">
        <v>81</v>
      </c>
      <c r="R228" s="6" t="s">
        <v>81</v>
      </c>
      <c r="S228" s="6" t="s">
        <v>10886</v>
      </c>
      <c r="T228" s="16" t="n">
        <v>43035</v>
      </c>
      <c r="U228" s="6" t="s">
        <v>13160</v>
      </c>
      <c r="V228" s="6" t="s">
        <v>81</v>
      </c>
      <c r="W228" s="6" t="s">
        <v>81</v>
      </c>
      <c r="X228" s="6" t="s">
        <v>81</v>
      </c>
      <c r="Y228" s="21" t="s">
        <v>81</v>
      </c>
      <c r="Z228" s="6" t="s">
        <v>81</v>
      </c>
      <c r="AA228" s="6" t="s">
        <v>81</v>
      </c>
      <c r="AB228" s="6" t="s">
        <v>81</v>
      </c>
      <c r="AC228" s="6" t="s">
        <v>81</v>
      </c>
      <c r="AD228" s="21" t="s">
        <v>81</v>
      </c>
      <c r="AE228" s="6" t="s">
        <v>81</v>
      </c>
      <c r="AF228" s="6" t="s">
        <v>81</v>
      </c>
      <c r="AG228" s="6" t="s">
        <v>81</v>
      </c>
      <c r="AH228" s="6" t="s">
        <v>14834</v>
      </c>
      <c r="AI228" s="6" t="s">
        <v>81</v>
      </c>
      <c r="AJ228" s="6" t="s">
        <v>17470</v>
      </c>
      <c r="AK228" s="6" t="s">
        <v>17712</v>
      </c>
      <c r="AL228" s="6" t="s">
        <v>18444</v>
      </c>
      <c r="AM228" s="6" t="s">
        <v>18632</v>
      </c>
      <c r="AN228" s="6" t="s">
        <v>7895</v>
      </c>
      <c r="AO228" s="6" t="s">
        <v>19721</v>
      </c>
      <c r="AP228" s="6" t="s">
        <v>20114</v>
      </c>
      <c r="AQ228" s="6" t="s">
        <v>81</v>
      </c>
      <c r="AR228" s="6" t="s">
        <v>17470</v>
      </c>
      <c r="AS228" s="6" t="s">
        <v>17712</v>
      </c>
      <c r="AT228" s="6" t="s">
        <v>18444</v>
      </c>
      <c r="AU228" s="6" t="s">
        <v>18632</v>
      </c>
      <c r="AV228" s="6" t="s">
        <v>81</v>
      </c>
      <c r="AW228" s="6" t="s">
        <v>81</v>
      </c>
      <c r="AX228" s="6" t="s">
        <v>20883</v>
      </c>
      <c r="AY228" s="6" t="s">
        <v>22627</v>
      </c>
      <c r="AZ228" s="6" t="s">
        <v>81</v>
      </c>
      <c r="BA228" s="6" t="s">
        <v>81</v>
      </c>
      <c r="BB228" s="24" t="n">
        <v>445</v>
      </c>
      <c r="BC228" s="26"/>
      <c r="BD228" s="26"/>
      <c r="BE228" s="26"/>
      <c r="BF228" s="26" t="s">
        <v>23900</v>
      </c>
      <c r="BG228" s="26"/>
      <c r="BH228" s="26"/>
      <c r="BI228" s="26"/>
      <c r="BJ228" s="26"/>
      <c r="BK228" s="26"/>
      <c r="BL228" s="26"/>
      <c r="BM228" s="26"/>
      <c r="BN228" s="26"/>
      <c r="BO228" s="26"/>
      <c r="BP228" s="16" t="n">
        <v>45595</v>
      </c>
      <c r="BQ228" s="28" t="str">
        <f>HYPERLINK("https://organic.ams.usda.gov/Integrity/Certificate.aspx?cid=57&amp;nopid=3252017003")</f>
        <v>https://organic.ams.usda.gov/Integrity/Certificate.aspx?cid=57&amp;nopid=3252017003</v>
      </c>
    </row>
    <row r="229">
      <c r="A229" t="s">
        <v>3</v>
      </c>
      <c r="B229" s="6" t="s">
        <v>8</v>
      </c>
      <c r="C229" s="6" t="s">
        <v>55</v>
      </c>
      <c r="D229" s="6" t="s">
        <v>101</v>
      </c>
      <c r="E229" s="10" t="s">
        <v>370</v>
      </c>
      <c r="F229" s="6" t="s">
        <v>3106</v>
      </c>
      <c r="G229" s="6" t="s">
        <v>81</v>
      </c>
      <c r="H229" s="6" t="s">
        <v>6094</v>
      </c>
      <c r="I229" s="6" t="s">
        <v>8524</v>
      </c>
      <c r="J229" s="6" t="s">
        <v>9731</v>
      </c>
      <c r="K229" s="6" t="s">
        <v>10886</v>
      </c>
      <c r="L229" s="16" t="n">
        <v>40036</v>
      </c>
      <c r="M229" s="16" t="n">
        <v>45748</v>
      </c>
      <c r="N229" s="6" t="s">
        <v>10886</v>
      </c>
      <c r="O229" s="16" t="n">
        <v>40036</v>
      </c>
      <c r="P229" s="6" t="s">
        <v>11049</v>
      </c>
      <c r="Q229" s="6" t="s">
        <v>81</v>
      </c>
      <c r="R229" s="6" t="s">
        <v>6094</v>
      </c>
      <c r="S229" s="6" t="s">
        <v>10886</v>
      </c>
      <c r="T229" s="16" t="n">
        <v>40036</v>
      </c>
      <c r="U229" s="6" t="s">
        <v>13173</v>
      </c>
      <c r="V229" s="6" t="s">
        <v>81</v>
      </c>
      <c r="W229" s="6" t="s">
        <v>6094</v>
      </c>
      <c r="X229" s="6" t="s">
        <v>81</v>
      </c>
      <c r="Y229" s="21" t="s">
        <v>81</v>
      </c>
      <c r="Z229" s="6" t="s">
        <v>81</v>
      </c>
      <c r="AA229" s="6" t="s">
        <v>81</v>
      </c>
      <c r="AB229" s="6" t="s">
        <v>81</v>
      </c>
      <c r="AC229" s="6" t="s">
        <v>81</v>
      </c>
      <c r="AD229" s="21" t="s">
        <v>81</v>
      </c>
      <c r="AE229" s="6" t="s">
        <v>81</v>
      </c>
      <c r="AF229" s="6" t="s">
        <v>81</v>
      </c>
      <c r="AG229" s="6" t="s">
        <v>81</v>
      </c>
      <c r="AH229" s="6" t="s">
        <v>14835</v>
      </c>
      <c r="AI229" s="6" t="s">
        <v>81</v>
      </c>
      <c r="AJ229" s="6" t="s">
        <v>17315</v>
      </c>
      <c r="AK229" s="6" t="s">
        <v>18379</v>
      </c>
      <c r="AL229" s="6" t="s">
        <v>18444</v>
      </c>
      <c r="AM229" s="6" t="s">
        <v>18467</v>
      </c>
      <c r="AN229" s="6" t="s">
        <v>19637</v>
      </c>
      <c r="AO229" s="6" t="s">
        <v>19723</v>
      </c>
      <c r="AP229" s="6" t="s">
        <v>81</v>
      </c>
      <c r="AQ229" s="6" t="s">
        <v>81</v>
      </c>
      <c r="AR229" s="6" t="s">
        <v>81</v>
      </c>
      <c r="AS229" s="6" t="s">
        <v>81</v>
      </c>
      <c r="AT229" s="6" t="s">
        <v>81</v>
      </c>
      <c r="AU229" s="6" t="s">
        <v>81</v>
      </c>
      <c r="AV229" s="6" t="s">
        <v>81</v>
      </c>
      <c r="AW229" s="6" t="s">
        <v>81</v>
      </c>
      <c r="AX229" s="6" t="s">
        <v>81</v>
      </c>
      <c r="AY229" s="6" t="s">
        <v>81</v>
      </c>
      <c r="AZ229" s="6" t="s">
        <v>81</v>
      </c>
      <c r="BA229" s="6" t="s">
        <v>23819</v>
      </c>
      <c r="BB229" s="24" t="n">
        <v>111</v>
      </c>
      <c r="BC229" s="26"/>
      <c r="BD229" s="26"/>
      <c r="BE229" s="26"/>
      <c r="BF229" s="26" t="s">
        <v>23900</v>
      </c>
      <c r="BG229" s="26"/>
      <c r="BH229" s="26"/>
      <c r="BI229" s="26"/>
      <c r="BJ229" s="26"/>
      <c r="BK229" s="26"/>
      <c r="BL229" s="26"/>
      <c r="BM229" s="26"/>
      <c r="BN229" s="26"/>
      <c r="BO229" s="26"/>
      <c r="BP229" s="16" t="n">
        <v>45617</v>
      </c>
      <c r="BQ229" s="28" t="str">
        <f>HYPERLINK("https://organic.ams.usda.gov/Integrity/Certificate.aspx?cid=45&amp;nopid=9950003472")</f>
        <v>https://organic.ams.usda.gov/Integrity/Certificate.aspx?cid=45&amp;nopid=9950003472</v>
      </c>
    </row>
    <row r="230">
      <c r="A230" t="s">
        <v>3</v>
      </c>
      <c r="B230" s="6" t="s">
        <v>8</v>
      </c>
      <c r="C230" s="6" t="s">
        <v>55</v>
      </c>
      <c r="D230" s="6" t="s">
        <v>101</v>
      </c>
      <c r="E230" s="10" t="s">
        <v>371</v>
      </c>
      <c r="F230" s="6" t="s">
        <v>3107</v>
      </c>
      <c r="G230" s="6" t="s">
        <v>81</v>
      </c>
      <c r="H230" s="6" t="s">
        <v>6095</v>
      </c>
      <c r="I230" s="6" t="s">
        <v>8516</v>
      </c>
      <c r="J230" s="6" t="s">
        <v>9668</v>
      </c>
      <c r="K230" s="6" t="s">
        <v>10886</v>
      </c>
      <c r="L230" s="16" t="n">
        <v>42654</v>
      </c>
      <c r="M230" s="16" t="n">
        <v>45383</v>
      </c>
      <c r="N230" s="6" t="s">
        <v>10886</v>
      </c>
      <c r="O230" s="16" t="n">
        <v>42654</v>
      </c>
      <c r="P230" s="6" t="s">
        <v>11050</v>
      </c>
      <c r="Q230" s="6" t="s">
        <v>81</v>
      </c>
      <c r="R230" s="6" t="s">
        <v>6095</v>
      </c>
      <c r="S230" s="6" t="s">
        <v>10886</v>
      </c>
      <c r="T230" s="16" t="n">
        <v>42654</v>
      </c>
      <c r="U230" s="6" t="s">
        <v>13247</v>
      </c>
      <c r="V230" s="6" t="s">
        <v>81</v>
      </c>
      <c r="W230" s="6" t="s">
        <v>6095</v>
      </c>
      <c r="X230" s="6" t="s">
        <v>81</v>
      </c>
      <c r="Y230" s="21" t="s">
        <v>81</v>
      </c>
      <c r="Z230" s="6" t="s">
        <v>81</v>
      </c>
      <c r="AA230" s="6" t="s">
        <v>81</v>
      </c>
      <c r="AB230" s="6" t="s">
        <v>81</v>
      </c>
      <c r="AC230" s="6" t="s">
        <v>81</v>
      </c>
      <c r="AD230" s="21" t="s">
        <v>81</v>
      </c>
      <c r="AE230" s="6" t="s">
        <v>81</v>
      </c>
      <c r="AF230" s="6" t="s">
        <v>81</v>
      </c>
      <c r="AG230" s="6" t="s">
        <v>81</v>
      </c>
      <c r="AH230" s="6" t="s">
        <v>14836</v>
      </c>
      <c r="AI230" s="6" t="s">
        <v>81</v>
      </c>
      <c r="AJ230" s="6" t="s">
        <v>17471</v>
      </c>
      <c r="AK230" s="6" t="s">
        <v>18380</v>
      </c>
      <c r="AL230" s="6" t="s">
        <v>18444</v>
      </c>
      <c r="AM230" s="6" t="s">
        <v>18633</v>
      </c>
      <c r="AN230" s="6" t="s">
        <v>19650</v>
      </c>
      <c r="AO230" s="6" t="s">
        <v>19739</v>
      </c>
      <c r="AP230" s="6" t="s">
        <v>81</v>
      </c>
      <c r="AQ230" s="6" t="s">
        <v>81</v>
      </c>
      <c r="AR230" s="6" t="s">
        <v>81</v>
      </c>
      <c r="AS230" s="6" t="s">
        <v>81</v>
      </c>
      <c r="AT230" s="6" t="s">
        <v>81</v>
      </c>
      <c r="AU230" s="6" t="s">
        <v>81</v>
      </c>
      <c r="AV230" s="6" t="s">
        <v>81</v>
      </c>
      <c r="AW230" s="6" t="s">
        <v>81</v>
      </c>
      <c r="AX230" s="6" t="s">
        <v>81</v>
      </c>
      <c r="AY230" s="6" t="s">
        <v>81</v>
      </c>
      <c r="AZ230" s="6" t="s">
        <v>81</v>
      </c>
      <c r="BA230" s="6" t="s">
        <v>23824</v>
      </c>
      <c r="BB230" s="24" t="n">
        <v>88</v>
      </c>
      <c r="BC230" s="26"/>
      <c r="BD230" s="26"/>
      <c r="BE230" s="26"/>
      <c r="BF230" s="26" t="s">
        <v>23900</v>
      </c>
      <c r="BG230" s="26"/>
      <c r="BH230" s="26"/>
      <c r="BI230" s="26"/>
      <c r="BJ230" s="26"/>
      <c r="BK230" s="26" t="s">
        <v>23900</v>
      </c>
      <c r="BL230" s="26"/>
      <c r="BM230" s="26"/>
      <c r="BN230" s="26"/>
      <c r="BO230" s="26"/>
      <c r="BP230" s="16" t="n">
        <v>45476</v>
      </c>
      <c r="BQ230" s="28" t="str">
        <f>HYPERLINK("https://organic.ams.usda.gov/Integrity/Certificate.aspx?cid=45&amp;nopid=9950009111")</f>
        <v>https://organic.ams.usda.gov/Integrity/Certificate.aspx?cid=45&amp;nopid=9950009111</v>
      </c>
    </row>
    <row r="231">
      <c r="A231" t="s">
        <v>3</v>
      </c>
      <c r="B231" s="6" t="s">
        <v>20</v>
      </c>
      <c r="C231" s="6" t="s">
        <v>67</v>
      </c>
      <c r="D231" s="6" t="s">
        <v>113</v>
      </c>
      <c r="E231" s="10" t="s">
        <v>372</v>
      </c>
      <c r="F231" s="6" t="s">
        <v>3108</v>
      </c>
      <c r="G231" s="6" t="s">
        <v>81</v>
      </c>
      <c r="H231" s="6" t="s">
        <v>6096</v>
      </c>
      <c r="I231" s="6" t="s">
        <v>8525</v>
      </c>
      <c r="J231" s="6" t="s">
        <v>9796</v>
      </c>
      <c r="K231" s="6" t="s">
        <v>10886</v>
      </c>
      <c r="L231" s="16" t="n">
        <v>43567</v>
      </c>
      <c r="M231" s="16" t="n">
        <v>45958</v>
      </c>
      <c r="N231" s="6" t="s">
        <v>81</v>
      </c>
      <c r="O231" s="21" t="s">
        <v>81</v>
      </c>
      <c r="P231" s="6" t="s">
        <v>81</v>
      </c>
      <c r="Q231" s="6" t="s">
        <v>81</v>
      </c>
      <c r="R231" s="6" t="s">
        <v>81</v>
      </c>
      <c r="S231" s="6" t="s">
        <v>81</v>
      </c>
      <c r="T231" s="21" t="s">
        <v>81</v>
      </c>
      <c r="U231" s="6" t="s">
        <v>81</v>
      </c>
      <c r="V231" s="6" t="s">
        <v>81</v>
      </c>
      <c r="W231" s="6" t="s">
        <v>81</v>
      </c>
      <c r="X231" s="6" t="s">
        <v>81</v>
      </c>
      <c r="Y231" s="21" t="s">
        <v>81</v>
      </c>
      <c r="Z231" s="6" t="s">
        <v>81</v>
      </c>
      <c r="AA231" s="6" t="s">
        <v>81</v>
      </c>
      <c r="AB231" s="6" t="s">
        <v>81</v>
      </c>
      <c r="AC231" s="6" t="s">
        <v>10886</v>
      </c>
      <c r="AD231" s="16" t="n">
        <v>43567</v>
      </c>
      <c r="AE231" s="6" t="s">
        <v>14053</v>
      </c>
      <c r="AF231" s="6" t="s">
        <v>81</v>
      </c>
      <c r="AG231" s="6" t="s">
        <v>14522</v>
      </c>
      <c r="AH231" s="6" t="s">
        <v>14837</v>
      </c>
      <c r="AI231" s="6" t="s">
        <v>81</v>
      </c>
      <c r="AJ231" s="6" t="s">
        <v>17472</v>
      </c>
      <c r="AK231" s="6" t="s">
        <v>18385</v>
      </c>
      <c r="AL231" s="6" t="s">
        <v>18444</v>
      </c>
      <c r="AM231" s="6" t="s">
        <v>18634</v>
      </c>
      <c r="AN231" s="6" t="s">
        <v>19647</v>
      </c>
      <c r="AO231" s="6" t="s">
        <v>19812</v>
      </c>
      <c r="AP231" s="6" t="s">
        <v>14837</v>
      </c>
      <c r="AQ231" s="6" t="s">
        <v>81</v>
      </c>
      <c r="AR231" s="6" t="s">
        <v>17472</v>
      </c>
      <c r="AS231" s="6" t="s">
        <v>18385</v>
      </c>
      <c r="AT231" s="6" t="s">
        <v>18444</v>
      </c>
      <c r="AU231" s="6" t="s">
        <v>18634</v>
      </c>
      <c r="AV231" s="6" t="s">
        <v>81</v>
      </c>
      <c r="AW231" s="6" t="s">
        <v>81</v>
      </c>
      <c r="AX231" s="6" t="s">
        <v>20884</v>
      </c>
      <c r="AY231" s="6" t="s">
        <v>81</v>
      </c>
      <c r="AZ231" s="6" t="s">
        <v>81</v>
      </c>
      <c r="BA231" s="6" t="s">
        <v>81</v>
      </c>
      <c r="BB231" s="6" t="s">
        <v>81</v>
      </c>
      <c r="BC231" s="26"/>
      <c r="BD231" s="26"/>
      <c r="BE231" s="26"/>
      <c r="BF231" s="26"/>
      <c r="BG231" s="26"/>
      <c r="BH231" s="26"/>
      <c r="BI231" s="26"/>
      <c r="BJ231" s="26"/>
      <c r="BK231" s="26"/>
      <c r="BL231" s="26"/>
      <c r="BM231" s="26"/>
      <c r="BN231" s="26"/>
      <c r="BO231" s="26"/>
      <c r="BP231" s="16" t="n">
        <v>45737</v>
      </c>
      <c r="BQ231" s="28" t="str">
        <f>HYPERLINK("https://organic.ams.usda.gov/Integrity/Certificate.aspx?cid=71&amp;nopid=5520665594")</f>
        <v>https://organic.ams.usda.gov/Integrity/Certificate.aspx?cid=71&amp;nopid=5520665594</v>
      </c>
    </row>
    <row r="232">
      <c r="A232" t="s">
        <v>3</v>
      </c>
      <c r="B232" s="6" t="s">
        <v>18</v>
      </c>
      <c r="C232" s="6" t="s">
        <v>65</v>
      </c>
      <c r="D232" s="6" t="s">
        <v>111</v>
      </c>
      <c r="E232" s="10" t="s">
        <v>373</v>
      </c>
      <c r="F232" s="6" t="s">
        <v>3109</v>
      </c>
      <c r="G232" s="6" t="s">
        <v>81</v>
      </c>
      <c r="H232" s="6" t="s">
        <v>373</v>
      </c>
      <c r="I232" s="6" t="s">
        <v>8511</v>
      </c>
      <c r="J232" s="6" t="s">
        <v>9797</v>
      </c>
      <c r="K232" s="6" t="s">
        <v>10886</v>
      </c>
      <c r="L232" s="16" t="n">
        <v>44585</v>
      </c>
      <c r="M232" s="16" t="n">
        <v>45748</v>
      </c>
      <c r="N232" s="6" t="s">
        <v>10886</v>
      </c>
      <c r="O232" s="16" t="n">
        <v>44585</v>
      </c>
      <c r="P232" s="6" t="s">
        <v>11051</v>
      </c>
      <c r="Q232" s="6" t="s">
        <v>81</v>
      </c>
      <c r="R232" s="6" t="s">
        <v>3109</v>
      </c>
      <c r="S232" s="6" t="s">
        <v>10886</v>
      </c>
      <c r="T232" s="16" t="n">
        <v>44585</v>
      </c>
      <c r="U232" s="6" t="s">
        <v>13248</v>
      </c>
      <c r="V232" s="6" t="s">
        <v>81</v>
      </c>
      <c r="W232" s="6" t="s">
        <v>3109</v>
      </c>
      <c r="X232" s="6" t="s">
        <v>81</v>
      </c>
      <c r="Y232" s="21" t="s">
        <v>81</v>
      </c>
      <c r="Z232" s="6" t="s">
        <v>81</v>
      </c>
      <c r="AA232" s="6" t="s">
        <v>81</v>
      </c>
      <c r="AB232" s="6" t="s">
        <v>81</v>
      </c>
      <c r="AC232" s="6" t="s">
        <v>81</v>
      </c>
      <c r="AD232" s="21" t="s">
        <v>81</v>
      </c>
      <c r="AE232" s="6" t="s">
        <v>81</v>
      </c>
      <c r="AF232" s="6" t="s">
        <v>81</v>
      </c>
      <c r="AG232" s="6" t="s">
        <v>81</v>
      </c>
      <c r="AH232" s="6" t="s">
        <v>14838</v>
      </c>
      <c r="AI232" s="6" t="s">
        <v>81</v>
      </c>
      <c r="AJ232" s="6" t="s">
        <v>17473</v>
      </c>
      <c r="AK232" s="6" t="s">
        <v>17712</v>
      </c>
      <c r="AL232" s="6" t="s">
        <v>18444</v>
      </c>
      <c r="AM232" s="6" t="s">
        <v>18635</v>
      </c>
      <c r="AN232" s="6" t="s">
        <v>19653</v>
      </c>
      <c r="AO232" s="6" t="s">
        <v>19744</v>
      </c>
      <c r="AP232" s="6" t="s">
        <v>14838</v>
      </c>
      <c r="AQ232" s="6" t="s">
        <v>81</v>
      </c>
      <c r="AR232" s="6" t="s">
        <v>17473</v>
      </c>
      <c r="AS232" s="6" t="s">
        <v>17712</v>
      </c>
      <c r="AT232" s="6" t="s">
        <v>18444</v>
      </c>
      <c r="AU232" s="6" t="s">
        <v>18635</v>
      </c>
      <c r="AV232" s="6" t="s">
        <v>81</v>
      </c>
      <c r="AW232" s="6" t="s">
        <v>81</v>
      </c>
      <c r="AX232" s="6" t="s">
        <v>20885</v>
      </c>
      <c r="AY232" s="6" t="s">
        <v>81</v>
      </c>
      <c r="AZ232" s="6" t="s">
        <v>81</v>
      </c>
      <c r="BA232" s="6" t="s">
        <v>81</v>
      </c>
      <c r="BB232" s="24" t="n">
        <v>575</v>
      </c>
      <c r="BC232" s="26"/>
      <c r="BD232" s="26"/>
      <c r="BE232" s="26"/>
      <c r="BF232" s="26" t="s">
        <v>23900</v>
      </c>
      <c r="BG232" s="26"/>
      <c r="BH232" s="26"/>
      <c r="BI232" s="26"/>
      <c r="BJ232" s="26"/>
      <c r="BK232" s="26"/>
      <c r="BL232" s="26"/>
      <c r="BM232" s="26"/>
      <c r="BN232" s="26"/>
      <c r="BO232" s="26"/>
      <c r="BP232" s="16" t="n">
        <v>45677</v>
      </c>
      <c r="BQ232" s="28" t="str">
        <f>HYPERLINK("https://organic.ams.usda.gov/Integrity/Certificate.aspx?cid=8&amp;nopid=2202106200")</f>
        <v>https://organic.ams.usda.gov/Integrity/Certificate.aspx?cid=8&amp;nopid=2202106200</v>
      </c>
    </row>
    <row r="233">
      <c r="A233" t="s">
        <v>3</v>
      </c>
      <c r="B233" s="6" t="s">
        <v>9</v>
      </c>
      <c r="C233" s="6" t="s">
        <v>56</v>
      </c>
      <c r="D233" s="6" t="s">
        <v>102</v>
      </c>
      <c r="E233" s="10" t="s">
        <v>374</v>
      </c>
      <c r="F233" s="6" t="s">
        <v>3110</v>
      </c>
      <c r="G233" s="6" t="s">
        <v>81</v>
      </c>
      <c r="H233" s="6" t="s">
        <v>6097</v>
      </c>
      <c r="I233" s="6" t="s">
        <v>8419</v>
      </c>
      <c r="J233" s="6" t="s">
        <v>9798</v>
      </c>
      <c r="K233" s="6" t="s">
        <v>10886</v>
      </c>
      <c r="L233" s="16" t="n">
        <v>41928</v>
      </c>
      <c r="M233" s="16" t="n">
        <v>46113</v>
      </c>
      <c r="N233" s="6" t="s">
        <v>10886</v>
      </c>
      <c r="O233" s="16" t="n">
        <v>41928</v>
      </c>
      <c r="P233" s="6" t="s">
        <v>11052</v>
      </c>
      <c r="Q233" s="6" t="s">
        <v>81</v>
      </c>
      <c r="R233" s="6" t="s">
        <v>12492</v>
      </c>
      <c r="S233" s="6" t="s">
        <v>10886</v>
      </c>
      <c r="T233" s="16" t="n">
        <v>41928</v>
      </c>
      <c r="U233" s="6" t="s">
        <v>13168</v>
      </c>
      <c r="V233" s="6" t="s">
        <v>81</v>
      </c>
      <c r="W233" s="6" t="s">
        <v>12492</v>
      </c>
      <c r="X233" s="6" t="s">
        <v>81</v>
      </c>
      <c r="Y233" s="21" t="s">
        <v>81</v>
      </c>
      <c r="Z233" s="6" t="s">
        <v>81</v>
      </c>
      <c r="AA233" s="6" t="s">
        <v>81</v>
      </c>
      <c r="AB233" s="6" t="s">
        <v>81</v>
      </c>
      <c r="AC233" s="6" t="s">
        <v>81</v>
      </c>
      <c r="AD233" s="21" t="s">
        <v>81</v>
      </c>
      <c r="AE233" s="6" t="s">
        <v>81</v>
      </c>
      <c r="AF233" s="6" t="s">
        <v>81</v>
      </c>
      <c r="AG233" s="6" t="s">
        <v>81</v>
      </c>
      <c r="AH233" s="6" t="s">
        <v>14839</v>
      </c>
      <c r="AI233" s="6" t="s">
        <v>81</v>
      </c>
      <c r="AJ233" s="6" t="s">
        <v>17474</v>
      </c>
      <c r="AK233" s="6" t="s">
        <v>18377</v>
      </c>
      <c r="AL233" s="6" t="s">
        <v>18444</v>
      </c>
      <c r="AM233" s="6" t="s">
        <v>18636</v>
      </c>
      <c r="AN233" s="6" t="s">
        <v>19684</v>
      </c>
      <c r="AO233" s="6" t="s">
        <v>19813</v>
      </c>
      <c r="AP233" s="6" t="s">
        <v>81</v>
      </c>
      <c r="AQ233" s="6" t="s">
        <v>81</v>
      </c>
      <c r="AR233" s="6" t="s">
        <v>81</v>
      </c>
      <c r="AS233" s="6" t="s">
        <v>81</v>
      </c>
      <c r="AT233" s="6" t="s">
        <v>81</v>
      </c>
      <c r="AU233" s="6" t="s">
        <v>81</v>
      </c>
      <c r="AV233" s="6" t="s">
        <v>81</v>
      </c>
      <c r="AW233" s="6" t="s">
        <v>81</v>
      </c>
      <c r="AX233" s="6" t="s">
        <v>20886</v>
      </c>
      <c r="AY233" s="6" t="s">
        <v>22628</v>
      </c>
      <c r="AZ233" s="6" t="s">
        <v>81</v>
      </c>
      <c r="BA233" s="6" t="s">
        <v>81</v>
      </c>
      <c r="BB233" s="24" t="n">
        <v>198</v>
      </c>
      <c r="BC233" s="26"/>
      <c r="BD233" s="26"/>
      <c r="BE233" s="26"/>
      <c r="BF233" s="26"/>
      <c r="BG233" s="26"/>
      <c r="BH233" s="26"/>
      <c r="BI233" s="26"/>
      <c r="BJ233" s="26"/>
      <c r="BK233" s="26"/>
      <c r="BL233" s="26"/>
      <c r="BM233" s="26"/>
      <c r="BN233" s="26"/>
      <c r="BO233" s="26"/>
      <c r="BP233" s="16" t="n">
        <v>45738</v>
      </c>
      <c r="BQ233" s="28" t="str">
        <f>HYPERLINK("https://organic.ams.usda.gov/Integrity/Certificate.aspx?cid=52&amp;nopid=8431400362")</f>
        <v>https://organic.ams.usda.gov/Integrity/Certificate.aspx?cid=52&amp;nopid=8431400362</v>
      </c>
    </row>
    <row r="234">
      <c r="A234" t="s">
        <v>3</v>
      </c>
      <c r="B234" s="6" t="s">
        <v>11</v>
      </c>
      <c r="C234" s="6" t="s">
        <v>58</v>
      </c>
      <c r="D234" s="6" t="s">
        <v>104</v>
      </c>
      <c r="E234" s="10" t="s">
        <v>375</v>
      </c>
      <c r="F234" s="6" t="s">
        <v>3111</v>
      </c>
      <c r="G234" s="6" t="s">
        <v>81</v>
      </c>
      <c r="H234" s="6" t="s">
        <v>81</v>
      </c>
      <c r="I234" s="6" t="s">
        <v>8526</v>
      </c>
      <c r="J234" s="6" t="s">
        <v>9755</v>
      </c>
      <c r="K234" s="6" t="s">
        <v>10886</v>
      </c>
      <c r="L234" s="16" t="n">
        <v>43911</v>
      </c>
      <c r="M234" s="16" t="n">
        <v>45383</v>
      </c>
      <c r="N234" s="6" t="s">
        <v>10886</v>
      </c>
      <c r="O234" s="16" t="n">
        <v>43911</v>
      </c>
      <c r="P234" s="6" t="s">
        <v>11053</v>
      </c>
      <c r="Q234" s="6" t="s">
        <v>81</v>
      </c>
      <c r="R234" s="6" t="s">
        <v>81</v>
      </c>
      <c r="S234" s="6" t="s">
        <v>10886</v>
      </c>
      <c r="T234" s="16" t="n">
        <v>43962</v>
      </c>
      <c r="U234" s="6" t="s">
        <v>13249</v>
      </c>
      <c r="V234" s="6" t="s">
        <v>81</v>
      </c>
      <c r="W234" s="6" t="s">
        <v>81</v>
      </c>
      <c r="X234" s="6" t="s">
        <v>81</v>
      </c>
      <c r="Y234" s="21" t="s">
        <v>81</v>
      </c>
      <c r="Z234" s="6" t="s">
        <v>81</v>
      </c>
      <c r="AA234" s="6" t="s">
        <v>81</v>
      </c>
      <c r="AB234" s="6" t="s">
        <v>81</v>
      </c>
      <c r="AC234" s="6" t="s">
        <v>81</v>
      </c>
      <c r="AD234" s="21" t="s">
        <v>81</v>
      </c>
      <c r="AE234" s="6" t="s">
        <v>81</v>
      </c>
      <c r="AF234" s="6" t="s">
        <v>81</v>
      </c>
      <c r="AG234" s="6" t="s">
        <v>81</v>
      </c>
      <c r="AH234" s="6" t="s">
        <v>14840</v>
      </c>
      <c r="AI234" s="6" t="s">
        <v>81</v>
      </c>
      <c r="AJ234" s="6" t="s">
        <v>17475</v>
      </c>
      <c r="AK234" s="6" t="s">
        <v>18377</v>
      </c>
      <c r="AL234" s="6" t="s">
        <v>18444</v>
      </c>
      <c r="AM234" s="6" t="s">
        <v>18637</v>
      </c>
      <c r="AN234" s="6" t="s">
        <v>6139</v>
      </c>
      <c r="AO234" s="6" t="s">
        <v>19814</v>
      </c>
      <c r="AP234" s="6" t="s">
        <v>14840</v>
      </c>
      <c r="AQ234" s="6" t="s">
        <v>81</v>
      </c>
      <c r="AR234" s="6" t="s">
        <v>17475</v>
      </c>
      <c r="AS234" s="6" t="s">
        <v>18377</v>
      </c>
      <c r="AT234" s="6" t="s">
        <v>18444</v>
      </c>
      <c r="AU234" s="6" t="s">
        <v>18637</v>
      </c>
      <c r="AV234" s="6" t="s">
        <v>81</v>
      </c>
      <c r="AW234" s="6" t="s">
        <v>81</v>
      </c>
      <c r="AX234" s="6" t="s">
        <v>81</v>
      </c>
      <c r="AY234" s="6" t="s">
        <v>81</v>
      </c>
      <c r="AZ234" s="6" t="s">
        <v>81</v>
      </c>
      <c r="BA234" s="6" t="s">
        <v>81</v>
      </c>
      <c r="BB234" s="24" t="n">
        <v>116</v>
      </c>
      <c r="BC234" s="26"/>
      <c r="BD234" s="26"/>
      <c r="BE234" s="26"/>
      <c r="BF234" s="26"/>
      <c r="BG234" s="26"/>
      <c r="BH234" s="26"/>
      <c r="BI234" s="26"/>
      <c r="BJ234" s="26"/>
      <c r="BK234" s="26"/>
      <c r="BL234" s="26"/>
      <c r="BM234" s="26"/>
      <c r="BN234" s="26"/>
      <c r="BO234" s="26"/>
      <c r="BP234" s="16" t="n">
        <v>45594</v>
      </c>
      <c r="BQ234" s="28" t="str">
        <f>HYPERLINK("https://organic.ams.usda.gov/Integrity/Certificate.aspx?cid=46&amp;nopid=3672000007")</f>
        <v>https://organic.ams.usda.gov/Integrity/Certificate.aspx?cid=46&amp;nopid=3672000007</v>
      </c>
    </row>
    <row r="235">
      <c r="A235" t="s">
        <v>3</v>
      </c>
      <c r="B235" s="6" t="s">
        <v>13</v>
      </c>
      <c r="C235" s="6" t="s">
        <v>60</v>
      </c>
      <c r="D235" s="6" t="s">
        <v>106</v>
      </c>
      <c r="E235" s="10" t="s">
        <v>376</v>
      </c>
      <c r="F235" s="6" t="s">
        <v>3112</v>
      </c>
      <c r="G235" s="6" t="s">
        <v>81</v>
      </c>
      <c r="H235" s="6" t="s">
        <v>6098</v>
      </c>
      <c r="I235" s="6" t="s">
        <v>8419</v>
      </c>
      <c r="J235" s="6" t="s">
        <v>9727</v>
      </c>
      <c r="K235" s="6" t="s">
        <v>10886</v>
      </c>
      <c r="L235" s="16" t="n">
        <v>42635</v>
      </c>
      <c r="M235" s="16" t="n">
        <v>45748</v>
      </c>
      <c r="N235" s="6" t="s">
        <v>10886</v>
      </c>
      <c r="O235" s="16" t="n">
        <v>42635</v>
      </c>
      <c r="P235" s="6" t="s">
        <v>11054</v>
      </c>
      <c r="Q235" s="6" t="s">
        <v>81</v>
      </c>
      <c r="R235" s="6" t="s">
        <v>12493</v>
      </c>
      <c r="S235" s="6" t="s">
        <v>10886</v>
      </c>
      <c r="T235" s="16" t="n">
        <v>42635</v>
      </c>
      <c r="U235" s="6" t="s">
        <v>13250</v>
      </c>
      <c r="V235" s="6" t="s">
        <v>81</v>
      </c>
      <c r="W235" s="6" t="s">
        <v>12493</v>
      </c>
      <c r="X235" s="6" t="s">
        <v>81</v>
      </c>
      <c r="Y235" s="21" t="s">
        <v>81</v>
      </c>
      <c r="Z235" s="6" t="s">
        <v>81</v>
      </c>
      <c r="AA235" s="6" t="s">
        <v>81</v>
      </c>
      <c r="AB235" s="6" t="s">
        <v>81</v>
      </c>
      <c r="AC235" s="6" t="s">
        <v>81</v>
      </c>
      <c r="AD235" s="21" t="s">
        <v>81</v>
      </c>
      <c r="AE235" s="6" t="s">
        <v>81</v>
      </c>
      <c r="AF235" s="6" t="s">
        <v>81</v>
      </c>
      <c r="AG235" s="6" t="s">
        <v>81</v>
      </c>
      <c r="AH235" s="6" t="s">
        <v>14841</v>
      </c>
      <c r="AI235" s="6" t="s">
        <v>81</v>
      </c>
      <c r="AJ235" s="6" t="s">
        <v>17386</v>
      </c>
      <c r="AK235" s="6" t="s">
        <v>18378</v>
      </c>
      <c r="AL235" s="6" t="s">
        <v>18444</v>
      </c>
      <c r="AM235" s="6" t="s">
        <v>18540</v>
      </c>
      <c r="AN235" s="6" t="s">
        <v>19639</v>
      </c>
      <c r="AO235" s="6" t="s">
        <v>19768</v>
      </c>
      <c r="AP235" s="6" t="s">
        <v>14841</v>
      </c>
      <c r="AQ235" s="6" t="s">
        <v>81</v>
      </c>
      <c r="AR235" s="6" t="s">
        <v>17386</v>
      </c>
      <c r="AS235" s="6" t="s">
        <v>18378</v>
      </c>
      <c r="AT235" s="6" t="s">
        <v>18444</v>
      </c>
      <c r="AU235" s="6" t="s">
        <v>18540</v>
      </c>
      <c r="AV235" s="6" t="s">
        <v>81</v>
      </c>
      <c r="AW235" s="6" t="s">
        <v>81</v>
      </c>
      <c r="AX235" s="6" t="s">
        <v>20887</v>
      </c>
      <c r="AY235" s="6" t="s">
        <v>81</v>
      </c>
      <c r="AZ235" s="6" t="s">
        <v>81</v>
      </c>
      <c r="BA235" s="6" t="s">
        <v>81</v>
      </c>
      <c r="BB235" s="24" t="n">
        <v>165</v>
      </c>
      <c r="BC235" s="26"/>
      <c r="BD235" s="26"/>
      <c r="BE235" s="26"/>
      <c r="BF235" s="26" t="s">
        <v>23900</v>
      </c>
      <c r="BG235" s="26"/>
      <c r="BH235" s="26"/>
      <c r="BI235" s="26"/>
      <c r="BJ235" s="26"/>
      <c r="BK235" s="26"/>
      <c r="BL235" s="26"/>
      <c r="BM235" s="26"/>
      <c r="BN235" s="26"/>
      <c r="BO235" s="26"/>
      <c r="BP235" s="16" t="n">
        <v>45663</v>
      </c>
      <c r="BQ235" s="28" t="str">
        <f>HYPERLINK("https://organic.ams.usda.gov/Integrity/Certificate.aspx?cid=72&amp;nopid=5870002430")</f>
        <v>https://organic.ams.usda.gov/Integrity/Certificate.aspx?cid=72&amp;nopid=5870002430</v>
      </c>
    </row>
    <row r="236">
      <c r="A236" t="s">
        <v>3</v>
      </c>
      <c r="B236" s="6" t="s">
        <v>7</v>
      </c>
      <c r="C236" s="6" t="s">
        <v>54</v>
      </c>
      <c r="D236" s="6" t="s">
        <v>100</v>
      </c>
      <c r="E236" s="10" t="s">
        <v>377</v>
      </c>
      <c r="F236" s="6" t="s">
        <v>3113</v>
      </c>
      <c r="G236" s="6" t="s">
        <v>81</v>
      </c>
      <c r="H236" s="6" t="s">
        <v>6099</v>
      </c>
      <c r="I236" s="6" t="s">
        <v>8419</v>
      </c>
      <c r="J236" s="6" t="s">
        <v>9799</v>
      </c>
      <c r="K236" s="6" t="s">
        <v>10886</v>
      </c>
      <c r="L236" s="16" t="n">
        <v>43342</v>
      </c>
      <c r="M236" s="16" t="n">
        <v>45716</v>
      </c>
      <c r="N236" s="6" t="s">
        <v>10886</v>
      </c>
      <c r="O236" s="16" t="n">
        <v>43342</v>
      </c>
      <c r="P236" s="6" t="s">
        <v>11055</v>
      </c>
      <c r="Q236" s="6" t="s">
        <v>81</v>
      </c>
      <c r="R236" s="6" t="s">
        <v>81</v>
      </c>
      <c r="S236" s="6" t="s">
        <v>10886</v>
      </c>
      <c r="T236" s="16" t="n">
        <v>43342</v>
      </c>
      <c r="U236" s="6" t="s">
        <v>13169</v>
      </c>
      <c r="V236" s="6" t="s">
        <v>81</v>
      </c>
      <c r="W236" s="6" t="s">
        <v>81</v>
      </c>
      <c r="X236" s="6" t="s">
        <v>81</v>
      </c>
      <c r="Y236" s="21" t="s">
        <v>81</v>
      </c>
      <c r="Z236" s="6" t="s">
        <v>81</v>
      </c>
      <c r="AA236" s="6" t="s">
        <v>81</v>
      </c>
      <c r="AB236" s="6" t="s">
        <v>81</v>
      </c>
      <c r="AC236" s="6" t="s">
        <v>81</v>
      </c>
      <c r="AD236" s="21" t="s">
        <v>81</v>
      </c>
      <c r="AE236" s="6" t="s">
        <v>81</v>
      </c>
      <c r="AF236" s="6" t="s">
        <v>81</v>
      </c>
      <c r="AG236" s="6" t="s">
        <v>81</v>
      </c>
      <c r="AH236" s="6" t="s">
        <v>14842</v>
      </c>
      <c r="AI236" s="6" t="s">
        <v>81</v>
      </c>
      <c r="AJ236" s="6" t="s">
        <v>17393</v>
      </c>
      <c r="AK236" s="6" t="s">
        <v>17712</v>
      </c>
      <c r="AL236" s="6" t="s">
        <v>18444</v>
      </c>
      <c r="AM236" s="6" t="s">
        <v>18549</v>
      </c>
      <c r="AN236" s="6" t="s">
        <v>19643</v>
      </c>
      <c r="AO236" s="6" t="s">
        <v>19766</v>
      </c>
      <c r="AP236" s="6" t="s">
        <v>14842</v>
      </c>
      <c r="AQ236" s="6" t="s">
        <v>81</v>
      </c>
      <c r="AR236" s="6" t="s">
        <v>17393</v>
      </c>
      <c r="AS236" s="6" t="s">
        <v>17712</v>
      </c>
      <c r="AT236" s="6" t="s">
        <v>18444</v>
      </c>
      <c r="AU236" s="6" t="s">
        <v>18549</v>
      </c>
      <c r="AV236" s="6" t="s">
        <v>81</v>
      </c>
      <c r="AW236" s="6" t="s">
        <v>81</v>
      </c>
      <c r="AX236" s="6" t="s">
        <v>81</v>
      </c>
      <c r="AY236" s="6" t="s">
        <v>81</v>
      </c>
      <c r="AZ236" s="6" t="s">
        <v>81</v>
      </c>
      <c r="BA236" s="6" t="s">
        <v>81</v>
      </c>
      <c r="BB236" s="24" t="n">
        <v>62</v>
      </c>
      <c r="BC236" s="26"/>
      <c r="BD236" s="26"/>
      <c r="BE236" s="26"/>
      <c r="BF236" s="26"/>
      <c r="BG236" s="26"/>
      <c r="BH236" s="26"/>
      <c r="BI236" s="26"/>
      <c r="BJ236" s="26"/>
      <c r="BK236" s="26"/>
      <c r="BL236" s="26"/>
      <c r="BM236" s="26"/>
      <c r="BN236" s="26"/>
      <c r="BO236" s="26"/>
      <c r="BP236" s="16" t="n">
        <v>45595</v>
      </c>
      <c r="BQ236" s="28" t="str">
        <f>HYPERLINK("https://organic.ams.usda.gov/Integrity/Certificate.aspx?cid=57&amp;nopid=3252018064")</f>
        <v>https://organic.ams.usda.gov/Integrity/Certificate.aspx?cid=57&amp;nopid=3252018064</v>
      </c>
    </row>
    <row r="237">
      <c r="A237" t="s">
        <v>3</v>
      </c>
      <c r="B237" s="6" t="s">
        <v>7</v>
      </c>
      <c r="C237" s="6" t="s">
        <v>54</v>
      </c>
      <c r="D237" s="6" t="s">
        <v>100</v>
      </c>
      <c r="E237" s="10" t="s">
        <v>378</v>
      </c>
      <c r="F237" s="6" t="s">
        <v>3114</v>
      </c>
      <c r="G237" s="6" t="s">
        <v>81</v>
      </c>
      <c r="H237" s="6" t="s">
        <v>6100</v>
      </c>
      <c r="I237" s="6" t="s">
        <v>8419</v>
      </c>
      <c r="J237" s="6" t="s">
        <v>9666</v>
      </c>
      <c r="K237" s="6" t="s">
        <v>10886</v>
      </c>
      <c r="L237" s="16" t="n">
        <v>45510</v>
      </c>
      <c r="M237" s="16" t="n">
        <v>45716</v>
      </c>
      <c r="N237" s="6" t="s">
        <v>10886</v>
      </c>
      <c r="O237" s="16" t="n">
        <v>45510</v>
      </c>
      <c r="P237" s="6" t="s">
        <v>10925</v>
      </c>
      <c r="Q237" s="6" t="s">
        <v>81</v>
      </c>
      <c r="R237" s="6" t="s">
        <v>81</v>
      </c>
      <c r="S237" s="6" t="s">
        <v>10886</v>
      </c>
      <c r="T237" s="16" t="n">
        <v>45576</v>
      </c>
      <c r="U237" s="6" t="s">
        <v>13188</v>
      </c>
      <c r="V237" s="6" t="s">
        <v>81</v>
      </c>
      <c r="W237" s="6" t="s">
        <v>81</v>
      </c>
      <c r="X237" s="6" t="s">
        <v>81</v>
      </c>
      <c r="Y237" s="21" t="s">
        <v>81</v>
      </c>
      <c r="Z237" s="6" t="s">
        <v>81</v>
      </c>
      <c r="AA237" s="6" t="s">
        <v>81</v>
      </c>
      <c r="AB237" s="6" t="s">
        <v>81</v>
      </c>
      <c r="AC237" s="6" t="s">
        <v>81</v>
      </c>
      <c r="AD237" s="21" t="s">
        <v>81</v>
      </c>
      <c r="AE237" s="6" t="s">
        <v>81</v>
      </c>
      <c r="AF237" s="6" t="s">
        <v>81</v>
      </c>
      <c r="AG237" s="6" t="s">
        <v>81</v>
      </c>
      <c r="AH237" s="6" t="s">
        <v>14843</v>
      </c>
      <c r="AI237" s="6" t="s">
        <v>81</v>
      </c>
      <c r="AJ237" s="6" t="s">
        <v>17476</v>
      </c>
      <c r="AK237" s="6" t="s">
        <v>17712</v>
      </c>
      <c r="AL237" s="6" t="s">
        <v>18444</v>
      </c>
      <c r="AM237" s="6" t="s">
        <v>18638</v>
      </c>
      <c r="AN237" s="6" t="s">
        <v>81</v>
      </c>
      <c r="AO237" s="6" t="s">
        <v>81</v>
      </c>
      <c r="AP237" s="6" t="s">
        <v>14843</v>
      </c>
      <c r="AQ237" s="6" t="s">
        <v>81</v>
      </c>
      <c r="AR237" s="6" t="s">
        <v>17476</v>
      </c>
      <c r="AS237" s="6" t="s">
        <v>17712</v>
      </c>
      <c r="AT237" s="6" t="s">
        <v>18444</v>
      </c>
      <c r="AU237" s="6" t="s">
        <v>18638</v>
      </c>
      <c r="AV237" s="6" t="s">
        <v>81</v>
      </c>
      <c r="AW237" s="6" t="s">
        <v>81</v>
      </c>
      <c r="AX237" s="6" t="s">
        <v>81</v>
      </c>
      <c r="AY237" s="6" t="s">
        <v>81</v>
      </c>
      <c r="AZ237" s="6" t="s">
        <v>81</v>
      </c>
      <c r="BA237" s="6" t="s">
        <v>81</v>
      </c>
      <c r="BB237" s="24" t="n">
        <v>66</v>
      </c>
      <c r="BC237" s="26"/>
      <c r="BD237" s="26"/>
      <c r="BE237" s="26"/>
      <c r="BF237" s="26" t="s">
        <v>23900</v>
      </c>
      <c r="BG237" s="26"/>
      <c r="BH237" s="26"/>
      <c r="BI237" s="26"/>
      <c r="BJ237" s="26"/>
      <c r="BK237" s="26"/>
      <c r="BL237" s="26"/>
      <c r="BM237" s="26"/>
      <c r="BN237" s="26"/>
      <c r="BO237" s="26"/>
      <c r="BP237" s="16" t="n">
        <v>45595</v>
      </c>
      <c r="BQ237" s="28" t="str">
        <f>HYPERLINK("https://organic.ams.usda.gov/Integrity/Certificate.aspx?cid=57&amp;nopid=3252024091")</f>
        <v>https://organic.ams.usda.gov/Integrity/Certificate.aspx?cid=57&amp;nopid=3252024091</v>
      </c>
    </row>
    <row r="238">
      <c r="A238" t="s">
        <v>3</v>
      </c>
      <c r="B238" s="6" t="s">
        <v>9</v>
      </c>
      <c r="C238" s="6" t="s">
        <v>56</v>
      </c>
      <c r="D238" s="6" t="s">
        <v>102</v>
      </c>
      <c r="E238" s="10" t="s">
        <v>379</v>
      </c>
      <c r="F238" s="6" t="s">
        <v>3115</v>
      </c>
      <c r="G238" s="6" t="s">
        <v>81</v>
      </c>
      <c r="H238" s="6" t="s">
        <v>6101</v>
      </c>
      <c r="I238" s="6" t="s">
        <v>8419</v>
      </c>
      <c r="J238" s="6" t="s">
        <v>9701</v>
      </c>
      <c r="K238" s="6" t="s">
        <v>10886</v>
      </c>
      <c r="L238" s="16" t="n">
        <v>44930</v>
      </c>
      <c r="M238" s="16" t="n">
        <v>45748</v>
      </c>
      <c r="N238" s="6" t="s">
        <v>10886</v>
      </c>
      <c r="O238" s="16" t="n">
        <v>44930</v>
      </c>
      <c r="P238" s="6" t="s">
        <v>10946</v>
      </c>
      <c r="Q238" s="6" t="s">
        <v>81</v>
      </c>
      <c r="R238" s="6" t="s">
        <v>12494</v>
      </c>
      <c r="S238" s="6" t="s">
        <v>10886</v>
      </c>
      <c r="T238" s="16" t="n">
        <v>44930</v>
      </c>
      <c r="U238" s="6" t="s">
        <v>13176</v>
      </c>
      <c r="V238" s="6" t="s">
        <v>81</v>
      </c>
      <c r="W238" s="6" t="s">
        <v>12494</v>
      </c>
      <c r="X238" s="6" t="s">
        <v>81</v>
      </c>
      <c r="Y238" s="21" t="s">
        <v>81</v>
      </c>
      <c r="Z238" s="6" t="s">
        <v>81</v>
      </c>
      <c r="AA238" s="6" t="s">
        <v>81</v>
      </c>
      <c r="AB238" s="6" t="s">
        <v>81</v>
      </c>
      <c r="AC238" s="6" t="s">
        <v>81</v>
      </c>
      <c r="AD238" s="21" t="s">
        <v>81</v>
      </c>
      <c r="AE238" s="6" t="s">
        <v>81</v>
      </c>
      <c r="AF238" s="6" t="s">
        <v>81</v>
      </c>
      <c r="AG238" s="6" t="s">
        <v>81</v>
      </c>
      <c r="AH238" s="6" t="s">
        <v>14844</v>
      </c>
      <c r="AI238" s="6" t="s">
        <v>81</v>
      </c>
      <c r="AJ238" s="6" t="s">
        <v>17477</v>
      </c>
      <c r="AK238" s="6" t="s">
        <v>18380</v>
      </c>
      <c r="AL238" s="6" t="s">
        <v>18444</v>
      </c>
      <c r="AM238" s="6" t="s">
        <v>18639</v>
      </c>
      <c r="AN238" s="6" t="s">
        <v>19665</v>
      </c>
      <c r="AO238" s="6" t="s">
        <v>19755</v>
      </c>
      <c r="AP238" s="6" t="s">
        <v>81</v>
      </c>
      <c r="AQ238" s="6" t="s">
        <v>81</v>
      </c>
      <c r="AR238" s="6" t="s">
        <v>81</v>
      </c>
      <c r="AS238" s="6" t="s">
        <v>81</v>
      </c>
      <c r="AT238" s="6" t="s">
        <v>81</v>
      </c>
      <c r="AU238" s="6" t="s">
        <v>81</v>
      </c>
      <c r="AV238" s="6" t="s">
        <v>81</v>
      </c>
      <c r="AW238" s="6" t="s">
        <v>81</v>
      </c>
      <c r="AX238" s="6" t="s">
        <v>20888</v>
      </c>
      <c r="AY238" s="6" t="s">
        <v>81</v>
      </c>
      <c r="AZ238" s="6" t="s">
        <v>81</v>
      </c>
      <c r="BA238" s="6" t="s">
        <v>81</v>
      </c>
      <c r="BB238" s="24" t="n">
        <v>49</v>
      </c>
      <c r="BC238" s="26"/>
      <c r="BD238" s="26"/>
      <c r="BE238" s="26"/>
      <c r="BF238" s="26"/>
      <c r="BG238" s="26"/>
      <c r="BH238" s="26"/>
      <c r="BI238" s="26"/>
      <c r="BJ238" s="26"/>
      <c r="BK238" s="26"/>
      <c r="BL238" s="26"/>
      <c r="BM238" s="26"/>
      <c r="BN238" s="26"/>
      <c r="BO238" s="26"/>
      <c r="BP238" s="16" t="n">
        <v>45738</v>
      </c>
      <c r="BQ238" s="28" t="str">
        <f>HYPERLINK("https://organic.ams.usda.gov/Integrity/Certificate.aspx?cid=52&amp;nopid=8432202099")</f>
        <v>https://organic.ams.usda.gov/Integrity/Certificate.aspx?cid=52&amp;nopid=8432202099</v>
      </c>
    </row>
    <row r="239">
      <c r="A239" t="s">
        <v>3</v>
      </c>
      <c r="B239" s="6" t="s">
        <v>11</v>
      </c>
      <c r="C239" s="6" t="s">
        <v>58</v>
      </c>
      <c r="D239" s="6" t="s">
        <v>104</v>
      </c>
      <c r="E239" s="10" t="s">
        <v>380</v>
      </c>
      <c r="F239" s="6" t="s">
        <v>3116</v>
      </c>
      <c r="G239" s="6" t="s">
        <v>81</v>
      </c>
      <c r="H239" s="6" t="s">
        <v>81</v>
      </c>
      <c r="I239" s="6" t="s">
        <v>8527</v>
      </c>
      <c r="J239" s="6" t="s">
        <v>9755</v>
      </c>
      <c r="K239" s="6" t="s">
        <v>10886</v>
      </c>
      <c r="L239" s="16" t="n">
        <v>41814</v>
      </c>
      <c r="M239" s="16" t="n">
        <v>45748</v>
      </c>
      <c r="N239" s="6" t="s">
        <v>10886</v>
      </c>
      <c r="O239" s="16" t="n">
        <v>41814</v>
      </c>
      <c r="P239" s="6" t="s">
        <v>11056</v>
      </c>
      <c r="Q239" s="6" t="s">
        <v>81</v>
      </c>
      <c r="R239" s="6" t="s">
        <v>81</v>
      </c>
      <c r="S239" s="6" t="s">
        <v>10886</v>
      </c>
      <c r="T239" s="16" t="n">
        <v>42703</v>
      </c>
      <c r="U239" s="6" t="s">
        <v>13251</v>
      </c>
      <c r="V239" s="6" t="s">
        <v>81</v>
      </c>
      <c r="W239" s="6" t="s">
        <v>81</v>
      </c>
      <c r="X239" s="6" t="s">
        <v>81</v>
      </c>
      <c r="Y239" s="21" t="s">
        <v>81</v>
      </c>
      <c r="Z239" s="6" t="s">
        <v>81</v>
      </c>
      <c r="AA239" s="6" t="s">
        <v>81</v>
      </c>
      <c r="AB239" s="6" t="s">
        <v>81</v>
      </c>
      <c r="AC239" s="6" t="s">
        <v>81</v>
      </c>
      <c r="AD239" s="21" t="s">
        <v>81</v>
      </c>
      <c r="AE239" s="6" t="s">
        <v>81</v>
      </c>
      <c r="AF239" s="6" t="s">
        <v>81</v>
      </c>
      <c r="AG239" s="6" t="s">
        <v>81</v>
      </c>
      <c r="AH239" s="6" t="s">
        <v>14845</v>
      </c>
      <c r="AI239" s="6" t="s">
        <v>81</v>
      </c>
      <c r="AJ239" s="6" t="s">
        <v>17478</v>
      </c>
      <c r="AK239" s="6" t="s">
        <v>18377</v>
      </c>
      <c r="AL239" s="6" t="s">
        <v>18444</v>
      </c>
      <c r="AM239" s="6" t="s">
        <v>18640</v>
      </c>
      <c r="AN239" s="6" t="s">
        <v>19638</v>
      </c>
      <c r="AO239" s="6" t="s">
        <v>19724</v>
      </c>
      <c r="AP239" s="6" t="s">
        <v>14845</v>
      </c>
      <c r="AQ239" s="6" t="s">
        <v>81</v>
      </c>
      <c r="AR239" s="6" t="s">
        <v>17478</v>
      </c>
      <c r="AS239" s="6" t="s">
        <v>18377</v>
      </c>
      <c r="AT239" s="6" t="s">
        <v>18444</v>
      </c>
      <c r="AU239" s="6" t="s">
        <v>18640</v>
      </c>
      <c r="AV239" s="6" t="s">
        <v>81</v>
      </c>
      <c r="AW239" s="6" t="s">
        <v>81</v>
      </c>
      <c r="AX239" s="6" t="s">
        <v>81</v>
      </c>
      <c r="AY239" s="6" t="s">
        <v>81</v>
      </c>
      <c r="AZ239" s="6" t="s">
        <v>81</v>
      </c>
      <c r="BA239" s="6" t="s">
        <v>23820</v>
      </c>
      <c r="BB239" s="24" t="n">
        <v>58</v>
      </c>
      <c r="BC239" s="26"/>
      <c r="BD239" s="26"/>
      <c r="BE239" s="26"/>
      <c r="BF239" s="26"/>
      <c r="BG239" s="26"/>
      <c r="BH239" s="26"/>
      <c r="BI239" s="26"/>
      <c r="BJ239" s="26"/>
      <c r="BK239" s="26"/>
      <c r="BL239" s="26"/>
      <c r="BM239" s="26"/>
      <c r="BN239" s="26"/>
      <c r="BO239" s="26"/>
      <c r="BP239" s="16" t="n">
        <v>45706</v>
      </c>
      <c r="BQ239" s="28" t="str">
        <f>HYPERLINK("https://organic.ams.usda.gov/Integrity/Certificate.aspx?cid=46&amp;nopid=3671400014")</f>
        <v>https://organic.ams.usda.gov/Integrity/Certificate.aspx?cid=46&amp;nopid=3671400014</v>
      </c>
    </row>
    <row r="240">
      <c r="A240" t="s">
        <v>3</v>
      </c>
      <c r="B240" s="6" t="s">
        <v>9</v>
      </c>
      <c r="C240" s="6" t="s">
        <v>56</v>
      </c>
      <c r="D240" s="6" t="s">
        <v>102</v>
      </c>
      <c r="E240" s="10" t="s">
        <v>381</v>
      </c>
      <c r="F240" s="6" t="s">
        <v>3117</v>
      </c>
      <c r="G240" s="6" t="s">
        <v>81</v>
      </c>
      <c r="H240" s="6" t="s">
        <v>6102</v>
      </c>
      <c r="I240" s="6" t="s">
        <v>8419</v>
      </c>
      <c r="J240" s="6" t="s">
        <v>9800</v>
      </c>
      <c r="K240" s="6" t="s">
        <v>10886</v>
      </c>
      <c r="L240" s="16" t="n">
        <v>40392</v>
      </c>
      <c r="M240" s="16" t="n">
        <v>45748</v>
      </c>
      <c r="N240" s="6" t="s">
        <v>10886</v>
      </c>
      <c r="O240" s="16" t="n">
        <v>40392</v>
      </c>
      <c r="P240" s="6" t="s">
        <v>10918</v>
      </c>
      <c r="Q240" s="6" t="s">
        <v>81</v>
      </c>
      <c r="R240" s="6" t="s">
        <v>12495</v>
      </c>
      <c r="S240" s="6" t="s">
        <v>10886</v>
      </c>
      <c r="T240" s="16" t="n">
        <v>40392</v>
      </c>
      <c r="U240" s="6" t="s">
        <v>13168</v>
      </c>
      <c r="V240" s="6" t="s">
        <v>81</v>
      </c>
      <c r="W240" s="6" t="s">
        <v>12495</v>
      </c>
      <c r="X240" s="6" t="s">
        <v>81</v>
      </c>
      <c r="Y240" s="21" t="s">
        <v>81</v>
      </c>
      <c r="Z240" s="6" t="s">
        <v>81</v>
      </c>
      <c r="AA240" s="6" t="s">
        <v>81</v>
      </c>
      <c r="AB240" s="6" t="s">
        <v>81</v>
      </c>
      <c r="AC240" s="6" t="s">
        <v>81</v>
      </c>
      <c r="AD240" s="21" t="s">
        <v>81</v>
      </c>
      <c r="AE240" s="6" t="s">
        <v>81</v>
      </c>
      <c r="AF240" s="6" t="s">
        <v>81</v>
      </c>
      <c r="AG240" s="6" t="s">
        <v>81</v>
      </c>
      <c r="AH240" s="6" t="s">
        <v>14846</v>
      </c>
      <c r="AI240" s="6" t="s">
        <v>81</v>
      </c>
      <c r="AJ240" s="6" t="s">
        <v>17478</v>
      </c>
      <c r="AK240" s="6" t="s">
        <v>18377</v>
      </c>
      <c r="AL240" s="6" t="s">
        <v>18444</v>
      </c>
      <c r="AM240" s="6" t="s">
        <v>18640</v>
      </c>
      <c r="AN240" s="6" t="s">
        <v>19638</v>
      </c>
      <c r="AO240" s="6" t="s">
        <v>19724</v>
      </c>
      <c r="AP240" s="6" t="s">
        <v>81</v>
      </c>
      <c r="AQ240" s="6" t="s">
        <v>81</v>
      </c>
      <c r="AR240" s="6" t="s">
        <v>81</v>
      </c>
      <c r="AS240" s="6" t="s">
        <v>81</v>
      </c>
      <c r="AT240" s="6" t="s">
        <v>81</v>
      </c>
      <c r="AU240" s="6" t="s">
        <v>81</v>
      </c>
      <c r="AV240" s="6" t="s">
        <v>81</v>
      </c>
      <c r="AW240" s="6" t="s">
        <v>81</v>
      </c>
      <c r="AX240" s="6" t="s">
        <v>81</v>
      </c>
      <c r="AY240" s="6" t="s">
        <v>81</v>
      </c>
      <c r="AZ240" s="6" t="s">
        <v>81</v>
      </c>
      <c r="BA240" s="6" t="s">
        <v>81</v>
      </c>
      <c r="BB240" s="24" t="n">
        <v>126</v>
      </c>
      <c r="BC240" s="26"/>
      <c r="BD240" s="26"/>
      <c r="BE240" s="26"/>
      <c r="BF240" s="26"/>
      <c r="BG240" s="26"/>
      <c r="BH240" s="26"/>
      <c r="BI240" s="26"/>
      <c r="BJ240" s="26"/>
      <c r="BK240" s="26"/>
      <c r="BL240" s="26"/>
      <c r="BM240" s="26"/>
      <c r="BN240" s="26"/>
      <c r="BO240" s="26"/>
      <c r="BP240" s="16" t="n">
        <v>45738</v>
      </c>
      <c r="BQ240" s="28" t="str">
        <f>HYPERLINK("https://organic.ams.usda.gov/Integrity/Certificate.aspx?cid=52&amp;nopid=8431000201")</f>
        <v>https://organic.ams.usda.gov/Integrity/Certificate.aspx?cid=52&amp;nopid=8431000201</v>
      </c>
    </row>
    <row r="241">
      <c r="A241" t="s">
        <v>3</v>
      </c>
      <c r="B241" s="6" t="s">
        <v>29</v>
      </c>
      <c r="C241" s="6" t="s">
        <v>76</v>
      </c>
      <c r="D241" s="6" t="s">
        <v>122</v>
      </c>
      <c r="E241" s="10" t="s">
        <v>382</v>
      </c>
      <c r="F241" s="6" t="s">
        <v>3118</v>
      </c>
      <c r="G241" s="6" t="s">
        <v>81</v>
      </c>
      <c r="H241" s="6" t="s">
        <v>6103</v>
      </c>
      <c r="I241" s="6" t="s">
        <v>8528</v>
      </c>
      <c r="J241" s="6" t="s">
        <v>9755</v>
      </c>
      <c r="K241" s="6" t="s">
        <v>10886</v>
      </c>
      <c r="L241" s="16" t="n">
        <v>41109</v>
      </c>
      <c r="M241" s="16" t="n">
        <v>45870</v>
      </c>
      <c r="N241" s="6" t="s">
        <v>10886</v>
      </c>
      <c r="O241" s="16" t="n">
        <v>41102</v>
      </c>
      <c r="P241" s="6" t="s">
        <v>11002</v>
      </c>
      <c r="Q241" s="6" t="s">
        <v>81</v>
      </c>
      <c r="R241" s="6" t="s">
        <v>12496</v>
      </c>
      <c r="S241" s="6" t="s">
        <v>10886</v>
      </c>
      <c r="T241" s="16" t="n">
        <v>41102</v>
      </c>
      <c r="U241" s="6" t="s">
        <v>13252</v>
      </c>
      <c r="V241" s="6" t="s">
        <v>81</v>
      </c>
      <c r="W241" s="6" t="s">
        <v>12496</v>
      </c>
      <c r="X241" s="6" t="s">
        <v>81</v>
      </c>
      <c r="Y241" s="21" t="s">
        <v>81</v>
      </c>
      <c r="Z241" s="6" t="s">
        <v>81</v>
      </c>
      <c r="AA241" s="6" t="s">
        <v>81</v>
      </c>
      <c r="AB241" s="6" t="s">
        <v>81</v>
      </c>
      <c r="AC241" s="6" t="s">
        <v>10893</v>
      </c>
      <c r="AD241" s="16" t="n">
        <v>45698</v>
      </c>
      <c r="AE241" s="6" t="s">
        <v>81</v>
      </c>
      <c r="AF241" s="6" t="s">
        <v>81</v>
      </c>
      <c r="AG241" s="6" t="s">
        <v>81</v>
      </c>
      <c r="AH241" s="6" t="s">
        <v>14847</v>
      </c>
      <c r="AI241" s="6" t="s">
        <v>81</v>
      </c>
      <c r="AJ241" s="6" t="s">
        <v>17377</v>
      </c>
      <c r="AK241" s="6" t="s">
        <v>18377</v>
      </c>
      <c r="AL241" s="6" t="s">
        <v>18444</v>
      </c>
      <c r="AM241" s="6" t="s">
        <v>18530</v>
      </c>
      <c r="AN241" s="6" t="s">
        <v>19634</v>
      </c>
      <c r="AO241" s="6" t="s">
        <v>19764</v>
      </c>
      <c r="AP241" s="6" t="s">
        <v>81</v>
      </c>
      <c r="AQ241" s="6" t="s">
        <v>81</v>
      </c>
      <c r="AR241" s="6" t="s">
        <v>81</v>
      </c>
      <c r="AS241" s="6" t="s">
        <v>81</v>
      </c>
      <c r="AT241" s="6" t="s">
        <v>81</v>
      </c>
      <c r="AU241" s="6" t="s">
        <v>81</v>
      </c>
      <c r="AV241" s="6" t="s">
        <v>81</v>
      </c>
      <c r="AW241" s="6" t="s">
        <v>81</v>
      </c>
      <c r="AX241" s="6" t="s">
        <v>81</v>
      </c>
      <c r="AY241" s="6" t="s">
        <v>81</v>
      </c>
      <c r="AZ241" s="6" t="s">
        <v>81</v>
      </c>
      <c r="BA241" s="6" t="s">
        <v>81</v>
      </c>
      <c r="BB241" s="24" t="n">
        <v>88</v>
      </c>
      <c r="BC241" s="26"/>
      <c r="BD241" s="26"/>
      <c r="BE241" s="26"/>
      <c r="BF241" s="26" t="s">
        <v>23900</v>
      </c>
      <c r="BG241" s="26"/>
      <c r="BH241" s="26"/>
      <c r="BI241" s="26"/>
      <c r="BJ241" s="26"/>
      <c r="BK241" s="26"/>
      <c r="BL241" s="26"/>
      <c r="BM241" s="26"/>
      <c r="BN241" s="26"/>
      <c r="BO241" s="26"/>
      <c r="BP241" s="16" t="n">
        <v>45737</v>
      </c>
      <c r="BQ241" s="28" t="str">
        <f>HYPERLINK("https://organic.ams.usda.gov/Integrity/Certificate.aspx?cid=31&amp;nopid=3928971142")</f>
        <v>https://organic.ams.usda.gov/Integrity/Certificate.aspx?cid=31&amp;nopid=3928971142</v>
      </c>
    </row>
    <row r="242">
      <c r="A242" t="s">
        <v>3</v>
      </c>
      <c r="B242" s="6" t="s">
        <v>7</v>
      </c>
      <c r="C242" s="6" t="s">
        <v>54</v>
      </c>
      <c r="D242" s="6" t="s">
        <v>100</v>
      </c>
      <c r="E242" s="10" t="s">
        <v>383</v>
      </c>
      <c r="F242" s="6" t="s">
        <v>3119</v>
      </c>
      <c r="G242" s="6" t="s">
        <v>81</v>
      </c>
      <c r="H242" s="6" t="s">
        <v>6104</v>
      </c>
      <c r="I242" s="6" t="s">
        <v>8419</v>
      </c>
      <c r="J242" s="6" t="s">
        <v>9699</v>
      </c>
      <c r="K242" s="6" t="s">
        <v>10886</v>
      </c>
      <c r="L242" s="16" t="n">
        <v>41103</v>
      </c>
      <c r="M242" s="16" t="n">
        <v>45716</v>
      </c>
      <c r="N242" s="6" t="s">
        <v>10886</v>
      </c>
      <c r="O242" s="16" t="n">
        <v>41103</v>
      </c>
      <c r="P242" s="6" t="s">
        <v>11057</v>
      </c>
      <c r="Q242" s="6" t="s">
        <v>81</v>
      </c>
      <c r="R242" s="6" t="s">
        <v>81</v>
      </c>
      <c r="S242" s="6" t="s">
        <v>10886</v>
      </c>
      <c r="T242" s="16" t="n">
        <v>41278</v>
      </c>
      <c r="U242" s="6" t="s">
        <v>13160</v>
      </c>
      <c r="V242" s="6" t="s">
        <v>81</v>
      </c>
      <c r="W242" s="6" t="s">
        <v>81</v>
      </c>
      <c r="X242" s="6" t="s">
        <v>81</v>
      </c>
      <c r="Y242" s="21" t="s">
        <v>81</v>
      </c>
      <c r="Z242" s="6" t="s">
        <v>81</v>
      </c>
      <c r="AA242" s="6" t="s">
        <v>81</v>
      </c>
      <c r="AB242" s="6" t="s">
        <v>81</v>
      </c>
      <c r="AC242" s="6" t="s">
        <v>81</v>
      </c>
      <c r="AD242" s="21" t="s">
        <v>81</v>
      </c>
      <c r="AE242" s="6" t="s">
        <v>81</v>
      </c>
      <c r="AF242" s="6" t="s">
        <v>81</v>
      </c>
      <c r="AG242" s="6" t="s">
        <v>81</v>
      </c>
      <c r="AH242" s="6" t="s">
        <v>14848</v>
      </c>
      <c r="AI242" s="6" t="s">
        <v>81</v>
      </c>
      <c r="AJ242" s="6" t="s">
        <v>17382</v>
      </c>
      <c r="AK242" s="6" t="s">
        <v>17712</v>
      </c>
      <c r="AL242" s="6" t="s">
        <v>18444</v>
      </c>
      <c r="AM242" s="6" t="s">
        <v>18535</v>
      </c>
      <c r="AN242" s="6" t="s">
        <v>19643</v>
      </c>
      <c r="AO242" s="6" t="s">
        <v>19766</v>
      </c>
      <c r="AP242" s="6" t="s">
        <v>14848</v>
      </c>
      <c r="AQ242" s="6" t="s">
        <v>81</v>
      </c>
      <c r="AR242" s="6" t="s">
        <v>17382</v>
      </c>
      <c r="AS242" s="6" t="s">
        <v>17712</v>
      </c>
      <c r="AT242" s="6" t="s">
        <v>18444</v>
      </c>
      <c r="AU242" s="6" t="s">
        <v>20605</v>
      </c>
      <c r="AV242" s="6" t="s">
        <v>81</v>
      </c>
      <c r="AW242" s="6" t="s">
        <v>81</v>
      </c>
      <c r="AX242" s="6" t="s">
        <v>81</v>
      </c>
      <c r="AY242" s="6" t="s">
        <v>81</v>
      </c>
      <c r="AZ242" s="6" t="s">
        <v>81</v>
      </c>
      <c r="BA242" s="6" t="s">
        <v>81</v>
      </c>
      <c r="BB242" s="24" t="n">
        <v>248</v>
      </c>
      <c r="BC242" s="26"/>
      <c r="BD242" s="26"/>
      <c r="BE242" s="26"/>
      <c r="BF242" s="26"/>
      <c r="BG242" s="26"/>
      <c r="BH242" s="26"/>
      <c r="BI242" s="26"/>
      <c r="BJ242" s="26"/>
      <c r="BK242" s="26"/>
      <c r="BL242" s="26"/>
      <c r="BM242" s="26"/>
      <c r="BN242" s="26"/>
      <c r="BO242" s="26"/>
      <c r="BP242" s="16" t="n">
        <v>45595</v>
      </c>
      <c r="BQ242" s="28" t="str">
        <f>HYPERLINK("https://organic.ams.usda.gov/Integrity/Certificate.aspx?cid=57&amp;nopid=3252012037")</f>
        <v>https://organic.ams.usda.gov/Integrity/Certificate.aspx?cid=57&amp;nopid=3252012037</v>
      </c>
    </row>
    <row r="243">
      <c r="A243" t="s">
        <v>3</v>
      </c>
      <c r="B243" s="6" t="s">
        <v>10</v>
      </c>
      <c r="C243" s="6" t="s">
        <v>57</v>
      </c>
      <c r="D243" s="6" t="s">
        <v>103</v>
      </c>
      <c r="E243" s="10" t="s">
        <v>384</v>
      </c>
      <c r="F243" s="6" t="s">
        <v>3120</v>
      </c>
      <c r="G243" s="6" t="s">
        <v>81</v>
      </c>
      <c r="H243" s="6" t="s">
        <v>6105</v>
      </c>
      <c r="I243" s="6" t="s">
        <v>8419</v>
      </c>
      <c r="J243" s="6" t="s">
        <v>9770</v>
      </c>
      <c r="K243" s="6" t="s">
        <v>10886</v>
      </c>
      <c r="L243" s="16" t="n">
        <v>41101</v>
      </c>
      <c r="M243" s="16" t="n">
        <v>45748</v>
      </c>
      <c r="N243" s="6" t="s">
        <v>10886</v>
      </c>
      <c r="O243" s="16" t="n">
        <v>41101</v>
      </c>
      <c r="P243" s="6" t="s">
        <v>10910</v>
      </c>
      <c r="Q243" s="6" t="s">
        <v>81</v>
      </c>
      <c r="R243" s="6" t="s">
        <v>12497</v>
      </c>
      <c r="S243" s="6" t="s">
        <v>10886</v>
      </c>
      <c r="T243" s="16" t="n">
        <v>41101</v>
      </c>
      <c r="U243" s="6" t="s">
        <v>13163</v>
      </c>
      <c r="V243" s="6" t="s">
        <v>81</v>
      </c>
      <c r="W243" s="6" t="s">
        <v>81</v>
      </c>
      <c r="X243" s="6" t="s">
        <v>81</v>
      </c>
      <c r="Y243" s="21" t="s">
        <v>81</v>
      </c>
      <c r="Z243" s="6" t="s">
        <v>81</v>
      </c>
      <c r="AA243" s="6" t="s">
        <v>81</v>
      </c>
      <c r="AB243" s="6" t="s">
        <v>81</v>
      </c>
      <c r="AC243" s="6" t="s">
        <v>81</v>
      </c>
      <c r="AD243" s="21" t="s">
        <v>81</v>
      </c>
      <c r="AE243" s="6" t="s">
        <v>81</v>
      </c>
      <c r="AF243" s="6" t="s">
        <v>81</v>
      </c>
      <c r="AG243" s="6" t="s">
        <v>81</v>
      </c>
      <c r="AH243" s="6" t="s">
        <v>14849</v>
      </c>
      <c r="AI243" s="6" t="s">
        <v>81</v>
      </c>
      <c r="AJ243" s="6" t="s">
        <v>17402</v>
      </c>
      <c r="AK243" s="6" t="s">
        <v>18391</v>
      </c>
      <c r="AL243" s="6" t="s">
        <v>18444</v>
      </c>
      <c r="AM243" s="6" t="s">
        <v>18558</v>
      </c>
      <c r="AN243" s="6" t="s">
        <v>19669</v>
      </c>
      <c r="AO243" s="6" t="s">
        <v>19780</v>
      </c>
      <c r="AP243" s="6" t="s">
        <v>14849</v>
      </c>
      <c r="AQ243" s="6" t="s">
        <v>81</v>
      </c>
      <c r="AR243" s="6" t="s">
        <v>17402</v>
      </c>
      <c r="AS243" s="6" t="s">
        <v>18391</v>
      </c>
      <c r="AT243" s="6" t="s">
        <v>18444</v>
      </c>
      <c r="AU243" s="6" t="s">
        <v>18558</v>
      </c>
      <c r="AV243" s="6" t="s">
        <v>81</v>
      </c>
      <c r="AW243" s="6" t="s">
        <v>81</v>
      </c>
      <c r="AX243" s="6" t="s">
        <v>20889</v>
      </c>
      <c r="AY243" s="6" t="s">
        <v>81</v>
      </c>
      <c r="AZ243" s="6" t="s">
        <v>81</v>
      </c>
      <c r="BA243" s="6" t="s">
        <v>81</v>
      </c>
      <c r="BB243" s="24" t="n">
        <v>106</v>
      </c>
      <c r="BC243" s="26"/>
      <c r="BD243" s="26"/>
      <c r="BE243" s="26"/>
      <c r="BF243" s="26"/>
      <c r="BG243" s="26"/>
      <c r="BH243" s="26"/>
      <c r="BI243" s="26"/>
      <c r="BJ243" s="26"/>
      <c r="BK243" s="26"/>
      <c r="BL243" s="26"/>
      <c r="BM243" s="26"/>
      <c r="BN243" s="26"/>
      <c r="BO243" s="26"/>
      <c r="BP243" s="16" t="n">
        <v>45730</v>
      </c>
      <c r="BQ243" s="28" t="str">
        <f>HYPERLINK("https://organic.ams.usda.gov/Integrity/Certificate.aspx?cid=90&amp;nopid=7170020074")</f>
        <v>https://organic.ams.usda.gov/Integrity/Certificate.aspx?cid=90&amp;nopid=7170020074</v>
      </c>
    </row>
    <row r="244">
      <c r="A244" t="s">
        <v>3</v>
      </c>
      <c r="B244" s="6" t="s">
        <v>7</v>
      </c>
      <c r="C244" s="6" t="s">
        <v>54</v>
      </c>
      <c r="D244" s="6" t="s">
        <v>100</v>
      </c>
      <c r="E244" s="10" t="s">
        <v>385</v>
      </c>
      <c r="F244" s="6" t="s">
        <v>3121</v>
      </c>
      <c r="G244" s="6" t="s">
        <v>81</v>
      </c>
      <c r="H244" s="6" t="s">
        <v>6106</v>
      </c>
      <c r="I244" s="6" t="s">
        <v>8529</v>
      </c>
      <c r="J244" s="6" t="s">
        <v>9801</v>
      </c>
      <c r="K244" s="6" t="s">
        <v>10886</v>
      </c>
      <c r="L244" s="16" t="n">
        <v>38696</v>
      </c>
      <c r="M244" s="16" t="n">
        <v>45716</v>
      </c>
      <c r="N244" s="6" t="s">
        <v>10886</v>
      </c>
      <c r="O244" s="16" t="n">
        <v>38696</v>
      </c>
      <c r="P244" s="6" t="s">
        <v>10910</v>
      </c>
      <c r="Q244" s="6" t="s">
        <v>81</v>
      </c>
      <c r="R244" s="6" t="s">
        <v>81</v>
      </c>
      <c r="S244" s="6" t="s">
        <v>10886</v>
      </c>
      <c r="T244" s="16" t="n">
        <v>38696</v>
      </c>
      <c r="U244" s="6" t="s">
        <v>13169</v>
      </c>
      <c r="V244" s="6" t="s">
        <v>81</v>
      </c>
      <c r="W244" s="6" t="s">
        <v>81</v>
      </c>
      <c r="X244" s="6" t="s">
        <v>81</v>
      </c>
      <c r="Y244" s="21" t="s">
        <v>81</v>
      </c>
      <c r="Z244" s="6" t="s">
        <v>81</v>
      </c>
      <c r="AA244" s="6" t="s">
        <v>81</v>
      </c>
      <c r="AB244" s="6" t="s">
        <v>81</v>
      </c>
      <c r="AC244" s="6" t="s">
        <v>81</v>
      </c>
      <c r="AD244" s="21" t="s">
        <v>81</v>
      </c>
      <c r="AE244" s="6" t="s">
        <v>81</v>
      </c>
      <c r="AF244" s="6" t="s">
        <v>81</v>
      </c>
      <c r="AG244" s="6" t="s">
        <v>81</v>
      </c>
      <c r="AH244" s="6" t="s">
        <v>14850</v>
      </c>
      <c r="AI244" s="6" t="s">
        <v>81</v>
      </c>
      <c r="AJ244" s="6" t="s">
        <v>17479</v>
      </c>
      <c r="AK244" s="6" t="s">
        <v>17712</v>
      </c>
      <c r="AL244" s="6" t="s">
        <v>18444</v>
      </c>
      <c r="AM244" s="6" t="s">
        <v>18641</v>
      </c>
      <c r="AN244" s="6" t="s">
        <v>6842</v>
      </c>
      <c r="AO244" s="6" t="s">
        <v>19815</v>
      </c>
      <c r="AP244" s="6" t="s">
        <v>20115</v>
      </c>
      <c r="AQ244" s="6" t="s">
        <v>81</v>
      </c>
      <c r="AR244" s="6" t="s">
        <v>17479</v>
      </c>
      <c r="AS244" s="6" t="s">
        <v>17712</v>
      </c>
      <c r="AT244" s="6" t="s">
        <v>18444</v>
      </c>
      <c r="AU244" s="6" t="s">
        <v>18641</v>
      </c>
      <c r="AV244" s="6" t="s">
        <v>81</v>
      </c>
      <c r="AW244" s="6" t="s">
        <v>81</v>
      </c>
      <c r="AX244" s="6" t="s">
        <v>20890</v>
      </c>
      <c r="AY244" s="6" t="s">
        <v>81</v>
      </c>
      <c r="AZ244" s="6" t="s">
        <v>81</v>
      </c>
      <c r="BA244" s="6" t="s">
        <v>81</v>
      </c>
      <c r="BB244" s="24" t="n">
        <v>479</v>
      </c>
      <c r="BC244" s="26"/>
      <c r="BD244" s="26"/>
      <c r="BE244" s="26"/>
      <c r="BF244" s="26"/>
      <c r="BG244" s="26"/>
      <c r="BH244" s="26"/>
      <c r="BI244" s="26"/>
      <c r="BJ244" s="26"/>
      <c r="BK244" s="26"/>
      <c r="BL244" s="26"/>
      <c r="BM244" s="26"/>
      <c r="BN244" s="26"/>
      <c r="BO244" s="26"/>
      <c r="BP244" s="16" t="n">
        <v>45595</v>
      </c>
      <c r="BQ244" s="28" t="str">
        <f>HYPERLINK("https://organic.ams.usda.gov/Integrity/Certificate.aspx?cid=57&amp;nopid=3250200563")</f>
        <v>https://organic.ams.usda.gov/Integrity/Certificate.aspx?cid=57&amp;nopid=3250200563</v>
      </c>
    </row>
    <row r="245">
      <c r="A245" t="s">
        <v>3</v>
      </c>
      <c r="B245" s="6" t="s">
        <v>8</v>
      </c>
      <c r="C245" s="6" t="s">
        <v>55</v>
      </c>
      <c r="D245" s="6" t="s">
        <v>101</v>
      </c>
      <c r="E245" s="10" t="s">
        <v>386</v>
      </c>
      <c r="F245" s="6" t="s">
        <v>3122</v>
      </c>
      <c r="G245" s="6" t="s">
        <v>81</v>
      </c>
      <c r="H245" s="6" t="s">
        <v>6107</v>
      </c>
      <c r="I245" s="6" t="s">
        <v>8530</v>
      </c>
      <c r="J245" s="6" t="s">
        <v>9802</v>
      </c>
      <c r="K245" s="6" t="s">
        <v>10886</v>
      </c>
      <c r="L245" s="16" t="n">
        <v>38884</v>
      </c>
      <c r="M245" s="16" t="n">
        <v>45383</v>
      </c>
      <c r="N245" s="6" t="s">
        <v>10886</v>
      </c>
      <c r="O245" s="16" t="n">
        <v>38884</v>
      </c>
      <c r="P245" s="6" t="s">
        <v>11058</v>
      </c>
      <c r="Q245" s="6" t="s">
        <v>81</v>
      </c>
      <c r="R245" s="6" t="s">
        <v>6107</v>
      </c>
      <c r="S245" s="6" t="s">
        <v>10886</v>
      </c>
      <c r="T245" s="16" t="n">
        <v>38884</v>
      </c>
      <c r="U245" s="6" t="s">
        <v>13179</v>
      </c>
      <c r="V245" s="6" t="s">
        <v>81</v>
      </c>
      <c r="W245" s="6" t="s">
        <v>6107</v>
      </c>
      <c r="X245" s="6" t="s">
        <v>81</v>
      </c>
      <c r="Y245" s="21" t="s">
        <v>81</v>
      </c>
      <c r="Z245" s="6" t="s">
        <v>81</v>
      </c>
      <c r="AA245" s="6" t="s">
        <v>81</v>
      </c>
      <c r="AB245" s="6" t="s">
        <v>81</v>
      </c>
      <c r="AC245" s="6" t="s">
        <v>81</v>
      </c>
      <c r="AD245" s="21" t="s">
        <v>81</v>
      </c>
      <c r="AE245" s="6" t="s">
        <v>81</v>
      </c>
      <c r="AF245" s="6" t="s">
        <v>81</v>
      </c>
      <c r="AG245" s="6" t="s">
        <v>81</v>
      </c>
      <c r="AH245" s="6" t="s">
        <v>14851</v>
      </c>
      <c r="AI245" s="6" t="s">
        <v>81</v>
      </c>
      <c r="AJ245" s="6" t="s">
        <v>17480</v>
      </c>
      <c r="AK245" s="6" t="s">
        <v>18377</v>
      </c>
      <c r="AL245" s="6" t="s">
        <v>18444</v>
      </c>
      <c r="AM245" s="6" t="s">
        <v>18642</v>
      </c>
      <c r="AN245" s="6" t="s">
        <v>19685</v>
      </c>
      <c r="AO245" s="6" t="s">
        <v>19816</v>
      </c>
      <c r="AP245" s="6" t="s">
        <v>20116</v>
      </c>
      <c r="AQ245" s="6" t="s">
        <v>81</v>
      </c>
      <c r="AR245" s="6" t="s">
        <v>17480</v>
      </c>
      <c r="AS245" s="6" t="s">
        <v>18377</v>
      </c>
      <c r="AT245" s="6" t="s">
        <v>18444</v>
      </c>
      <c r="AU245" s="6" t="s">
        <v>18642</v>
      </c>
      <c r="AV245" s="6" t="s">
        <v>81</v>
      </c>
      <c r="AW245" s="6" t="s">
        <v>81</v>
      </c>
      <c r="AX245" s="6" t="s">
        <v>81</v>
      </c>
      <c r="AY245" s="6" t="s">
        <v>81</v>
      </c>
      <c r="AZ245" s="6" t="s">
        <v>81</v>
      </c>
      <c r="BA245" s="6" t="s">
        <v>23819</v>
      </c>
      <c r="BB245" s="24" t="n">
        <v>534</v>
      </c>
      <c r="BC245" s="26"/>
      <c r="BD245" s="26"/>
      <c r="BE245" s="26"/>
      <c r="BF245" s="26" t="s">
        <v>23900</v>
      </c>
      <c r="BG245" s="26"/>
      <c r="BH245" s="26"/>
      <c r="BI245" s="26"/>
      <c r="BJ245" s="26"/>
      <c r="BK245" s="26"/>
      <c r="BL245" s="26"/>
      <c r="BM245" s="26"/>
      <c r="BN245" s="26"/>
      <c r="BO245" s="26"/>
      <c r="BP245" s="16" t="n">
        <v>45428</v>
      </c>
      <c r="BQ245" s="28" t="str">
        <f>HYPERLINK("https://organic.ams.usda.gov/Integrity/Certificate.aspx?cid=45&amp;nopid=9950002232")</f>
        <v>https://organic.ams.usda.gov/Integrity/Certificate.aspx?cid=45&amp;nopid=9950002232</v>
      </c>
    </row>
    <row r="246">
      <c r="A246" t="s">
        <v>3</v>
      </c>
      <c r="B246" s="6" t="s">
        <v>15</v>
      </c>
      <c r="C246" s="6" t="s">
        <v>62</v>
      </c>
      <c r="D246" s="6" t="s">
        <v>108</v>
      </c>
      <c r="E246" s="10" t="s">
        <v>387</v>
      </c>
      <c r="F246" s="6" t="s">
        <v>3123</v>
      </c>
      <c r="G246" s="6" t="s">
        <v>81</v>
      </c>
      <c r="H246" s="6" t="s">
        <v>6108</v>
      </c>
      <c r="I246" s="6" t="s">
        <v>8531</v>
      </c>
      <c r="J246" s="6" t="s">
        <v>9803</v>
      </c>
      <c r="K246" s="6" t="s">
        <v>10886</v>
      </c>
      <c r="L246" s="16" t="n">
        <v>40421</v>
      </c>
      <c r="M246" s="16" t="n">
        <v>46157</v>
      </c>
      <c r="N246" s="6" t="s">
        <v>10886</v>
      </c>
      <c r="O246" s="16" t="n">
        <v>40421</v>
      </c>
      <c r="P246" s="6" t="s">
        <v>10986</v>
      </c>
      <c r="Q246" s="6" t="s">
        <v>81</v>
      </c>
      <c r="R246" s="6" t="s">
        <v>81</v>
      </c>
      <c r="S246" s="6" t="s">
        <v>10886</v>
      </c>
      <c r="T246" s="16" t="n">
        <v>40421</v>
      </c>
      <c r="U246" s="6" t="s">
        <v>13215</v>
      </c>
      <c r="V246" s="6" t="s">
        <v>81</v>
      </c>
      <c r="W246" s="6" t="s">
        <v>81</v>
      </c>
      <c r="X246" s="6" t="s">
        <v>81</v>
      </c>
      <c r="Y246" s="21" t="s">
        <v>81</v>
      </c>
      <c r="Z246" s="6" t="s">
        <v>81</v>
      </c>
      <c r="AA246" s="6" t="s">
        <v>81</v>
      </c>
      <c r="AB246" s="6" t="s">
        <v>81</v>
      </c>
      <c r="AC246" s="6" t="s">
        <v>81</v>
      </c>
      <c r="AD246" s="21" t="s">
        <v>81</v>
      </c>
      <c r="AE246" s="6" t="s">
        <v>81</v>
      </c>
      <c r="AF246" s="6" t="s">
        <v>81</v>
      </c>
      <c r="AG246" s="6" t="s">
        <v>81</v>
      </c>
      <c r="AH246" s="6" t="s">
        <v>14852</v>
      </c>
      <c r="AI246" s="6" t="s">
        <v>81</v>
      </c>
      <c r="AJ246" s="6" t="s">
        <v>17481</v>
      </c>
      <c r="AK246" s="6" t="s">
        <v>18380</v>
      </c>
      <c r="AL246" s="6" t="s">
        <v>18444</v>
      </c>
      <c r="AM246" s="6" t="s">
        <v>18643</v>
      </c>
      <c r="AN246" s="6" t="s">
        <v>19686</v>
      </c>
      <c r="AO246" s="6" t="s">
        <v>19817</v>
      </c>
      <c r="AP246" s="6" t="s">
        <v>14852</v>
      </c>
      <c r="AQ246" s="6" t="s">
        <v>81</v>
      </c>
      <c r="AR246" s="6" t="s">
        <v>17481</v>
      </c>
      <c r="AS246" s="6" t="s">
        <v>18380</v>
      </c>
      <c r="AT246" s="6" t="s">
        <v>18444</v>
      </c>
      <c r="AU246" s="6" t="s">
        <v>18643</v>
      </c>
      <c r="AV246" s="6" t="s">
        <v>81</v>
      </c>
      <c r="AW246" s="6" t="s">
        <v>81</v>
      </c>
      <c r="AX246" s="6" t="s">
        <v>20891</v>
      </c>
      <c r="AY246" s="6" t="s">
        <v>81</v>
      </c>
      <c r="AZ246" s="6" t="s">
        <v>81</v>
      </c>
      <c r="BA246" s="6" t="s">
        <v>81</v>
      </c>
      <c r="BB246" s="24" t="n">
        <v>68</v>
      </c>
      <c r="BC246" s="26"/>
      <c r="BD246" s="26"/>
      <c r="BE246" s="26"/>
      <c r="BF246" s="26" t="s">
        <v>23900</v>
      </c>
      <c r="BG246" s="26"/>
      <c r="BH246" s="26"/>
      <c r="BI246" s="26"/>
      <c r="BJ246" s="26"/>
      <c r="BK246" s="26"/>
      <c r="BL246" s="26"/>
      <c r="BM246" s="26"/>
      <c r="BN246" s="26"/>
      <c r="BO246" s="26"/>
      <c r="BP246" s="16" t="n">
        <v>45737</v>
      </c>
      <c r="BQ246" s="28" t="str">
        <f>HYPERLINK("https://organic.ams.usda.gov/Integrity/Certificate.aspx?cid=58&amp;nopid=1600001766")</f>
        <v>https://organic.ams.usda.gov/Integrity/Certificate.aspx?cid=58&amp;nopid=1600001766</v>
      </c>
    </row>
    <row r="247">
      <c r="A247" t="s">
        <v>3</v>
      </c>
      <c r="B247" s="6" t="s">
        <v>8</v>
      </c>
      <c r="C247" s="6" t="s">
        <v>55</v>
      </c>
      <c r="D247" s="6" t="s">
        <v>101</v>
      </c>
      <c r="E247" s="10" t="s">
        <v>388</v>
      </c>
      <c r="F247" s="6" t="s">
        <v>3124</v>
      </c>
      <c r="G247" s="6" t="s">
        <v>81</v>
      </c>
      <c r="H247" s="6" t="s">
        <v>6109</v>
      </c>
      <c r="I247" s="6" t="s">
        <v>8530</v>
      </c>
      <c r="J247" s="6" t="s">
        <v>9687</v>
      </c>
      <c r="K247" s="6" t="s">
        <v>10886</v>
      </c>
      <c r="L247" s="16" t="n">
        <v>38650</v>
      </c>
      <c r="M247" s="16" t="n">
        <v>45689</v>
      </c>
      <c r="N247" s="6" t="s">
        <v>10886</v>
      </c>
      <c r="O247" s="16" t="n">
        <v>38650</v>
      </c>
      <c r="P247" s="6" t="s">
        <v>11059</v>
      </c>
      <c r="Q247" s="6" t="s">
        <v>81</v>
      </c>
      <c r="R247" s="6" t="s">
        <v>6109</v>
      </c>
      <c r="S247" s="6" t="s">
        <v>10886</v>
      </c>
      <c r="T247" s="16" t="n">
        <v>38650</v>
      </c>
      <c r="U247" s="6" t="s">
        <v>13242</v>
      </c>
      <c r="V247" s="6" t="s">
        <v>81</v>
      </c>
      <c r="W247" s="6" t="s">
        <v>6109</v>
      </c>
      <c r="X247" s="6" t="s">
        <v>81</v>
      </c>
      <c r="Y247" s="21" t="s">
        <v>81</v>
      </c>
      <c r="Z247" s="6" t="s">
        <v>81</v>
      </c>
      <c r="AA247" s="6" t="s">
        <v>81</v>
      </c>
      <c r="AB247" s="6" t="s">
        <v>81</v>
      </c>
      <c r="AC247" s="6" t="s">
        <v>81</v>
      </c>
      <c r="AD247" s="21" t="s">
        <v>81</v>
      </c>
      <c r="AE247" s="6" t="s">
        <v>81</v>
      </c>
      <c r="AF247" s="6" t="s">
        <v>81</v>
      </c>
      <c r="AG247" s="6" t="s">
        <v>81</v>
      </c>
      <c r="AH247" s="6" t="s">
        <v>14853</v>
      </c>
      <c r="AI247" s="6" t="s">
        <v>81</v>
      </c>
      <c r="AJ247" s="6" t="s">
        <v>17339</v>
      </c>
      <c r="AK247" s="6" t="s">
        <v>18377</v>
      </c>
      <c r="AL247" s="6" t="s">
        <v>18444</v>
      </c>
      <c r="AM247" s="6" t="s">
        <v>18493</v>
      </c>
      <c r="AN247" s="6" t="s">
        <v>19643</v>
      </c>
      <c r="AO247" s="6" t="s">
        <v>19730</v>
      </c>
      <c r="AP247" s="6" t="s">
        <v>81</v>
      </c>
      <c r="AQ247" s="6" t="s">
        <v>81</v>
      </c>
      <c r="AR247" s="6" t="s">
        <v>81</v>
      </c>
      <c r="AS247" s="6" t="s">
        <v>81</v>
      </c>
      <c r="AT247" s="6" t="s">
        <v>81</v>
      </c>
      <c r="AU247" s="6" t="s">
        <v>81</v>
      </c>
      <c r="AV247" s="6" t="s">
        <v>81</v>
      </c>
      <c r="AW247" s="6" t="s">
        <v>81</v>
      </c>
      <c r="AX247" s="6" t="s">
        <v>81</v>
      </c>
      <c r="AY247" s="6" t="s">
        <v>81</v>
      </c>
      <c r="AZ247" s="6" t="s">
        <v>81</v>
      </c>
      <c r="BA247" s="6" t="s">
        <v>23819</v>
      </c>
      <c r="BB247" s="24" t="n">
        <v>105</v>
      </c>
      <c r="BC247" s="26"/>
      <c r="BD247" s="26"/>
      <c r="BE247" s="26"/>
      <c r="BF247" s="26" t="s">
        <v>23900</v>
      </c>
      <c r="BG247" s="26"/>
      <c r="BH247" s="26"/>
      <c r="BI247" s="26"/>
      <c r="BJ247" s="26"/>
      <c r="BK247" s="26"/>
      <c r="BL247" s="26"/>
      <c r="BM247" s="26"/>
      <c r="BN247" s="26"/>
      <c r="BO247" s="26"/>
      <c r="BP247" s="16" t="n">
        <v>45679</v>
      </c>
      <c r="BQ247" s="28" t="str">
        <f>HYPERLINK("https://organic.ams.usda.gov/Integrity/Certificate.aspx?cid=45&amp;nopid=9950001993")</f>
        <v>https://organic.ams.usda.gov/Integrity/Certificate.aspx?cid=45&amp;nopid=9950001993</v>
      </c>
    </row>
    <row r="248">
      <c r="A248" t="s">
        <v>3</v>
      </c>
      <c r="B248" s="6" t="s">
        <v>30</v>
      </c>
      <c r="C248" s="6" t="s">
        <v>77</v>
      </c>
      <c r="D248" s="6" t="s">
        <v>123</v>
      </c>
      <c r="E248" s="10" t="s">
        <v>389</v>
      </c>
      <c r="F248" s="6" t="s">
        <v>3125</v>
      </c>
      <c r="G248" s="6" t="s">
        <v>81</v>
      </c>
      <c r="H248" s="6" t="s">
        <v>6110</v>
      </c>
      <c r="I248" s="6" t="s">
        <v>8532</v>
      </c>
      <c r="J248" s="6" t="s">
        <v>9804</v>
      </c>
      <c r="K248" s="6" t="s">
        <v>10886</v>
      </c>
      <c r="L248" s="16" t="n">
        <v>41211</v>
      </c>
      <c r="M248" s="16" t="n">
        <v>45747</v>
      </c>
      <c r="N248" s="6" t="s">
        <v>10886</v>
      </c>
      <c r="O248" s="16" t="n">
        <v>41211</v>
      </c>
      <c r="P248" s="6" t="s">
        <v>11060</v>
      </c>
      <c r="Q248" s="6" t="s">
        <v>81</v>
      </c>
      <c r="R248" s="6" t="s">
        <v>12498</v>
      </c>
      <c r="S248" s="6" t="s">
        <v>10886</v>
      </c>
      <c r="T248" s="16" t="n">
        <v>41211</v>
      </c>
      <c r="U248" s="6" t="s">
        <v>13216</v>
      </c>
      <c r="V248" s="6" t="s">
        <v>81</v>
      </c>
      <c r="W248" s="6" t="s">
        <v>6110</v>
      </c>
      <c r="X248" s="6" t="s">
        <v>81</v>
      </c>
      <c r="Y248" s="21" t="s">
        <v>81</v>
      </c>
      <c r="Z248" s="6" t="s">
        <v>81</v>
      </c>
      <c r="AA248" s="6" t="s">
        <v>81</v>
      </c>
      <c r="AB248" s="6" t="s">
        <v>81</v>
      </c>
      <c r="AC248" s="6" t="s">
        <v>81</v>
      </c>
      <c r="AD248" s="21" t="s">
        <v>81</v>
      </c>
      <c r="AE248" s="6" t="s">
        <v>81</v>
      </c>
      <c r="AF248" s="6" t="s">
        <v>81</v>
      </c>
      <c r="AG248" s="6" t="s">
        <v>81</v>
      </c>
      <c r="AH248" s="6" t="s">
        <v>14854</v>
      </c>
      <c r="AI248" s="6" t="s">
        <v>81</v>
      </c>
      <c r="AJ248" s="6" t="s">
        <v>17406</v>
      </c>
      <c r="AK248" s="6" t="s">
        <v>17712</v>
      </c>
      <c r="AL248" s="6" t="s">
        <v>18444</v>
      </c>
      <c r="AM248" s="6" t="s">
        <v>18562</v>
      </c>
      <c r="AN248" s="6" t="s">
        <v>19657</v>
      </c>
      <c r="AO248" s="6" t="s">
        <v>19751</v>
      </c>
      <c r="AP248" s="6" t="s">
        <v>14854</v>
      </c>
      <c r="AQ248" s="6" t="s">
        <v>81</v>
      </c>
      <c r="AR248" s="6" t="s">
        <v>17406</v>
      </c>
      <c r="AS248" s="6" t="s">
        <v>17712</v>
      </c>
      <c r="AT248" s="6" t="s">
        <v>18444</v>
      </c>
      <c r="AU248" s="6" t="s">
        <v>18562</v>
      </c>
      <c r="AV248" s="6" t="s">
        <v>81</v>
      </c>
      <c r="AW248" s="6" t="s">
        <v>81</v>
      </c>
      <c r="AX248" s="6" t="s">
        <v>81</v>
      </c>
      <c r="AY248" s="6" t="s">
        <v>81</v>
      </c>
      <c r="AZ248" s="6" t="s">
        <v>81</v>
      </c>
      <c r="BA248" s="6" t="s">
        <v>81</v>
      </c>
      <c r="BB248" s="24" t="n">
        <v>88</v>
      </c>
      <c r="BC248" s="26"/>
      <c r="BD248" s="26"/>
      <c r="BE248" s="26"/>
      <c r="BF248" s="26"/>
      <c r="BG248" s="26"/>
      <c r="BH248" s="26"/>
      <c r="BI248" s="26"/>
      <c r="BJ248" s="26"/>
      <c r="BK248" s="26"/>
      <c r="BL248" s="26"/>
      <c r="BM248" s="26"/>
      <c r="BN248" s="26"/>
      <c r="BO248" s="26"/>
      <c r="BP248" s="16" t="n">
        <v>45588</v>
      </c>
      <c r="BQ248" s="28" t="str">
        <f>HYPERLINK("https://organic.ams.usda.gov/Integrity/Certificate.aspx?cid=70&amp;nopid=6431255400")</f>
        <v>https://organic.ams.usda.gov/Integrity/Certificate.aspx?cid=70&amp;nopid=6431255400</v>
      </c>
    </row>
    <row r="249">
      <c r="A249" t="s">
        <v>3</v>
      </c>
      <c r="B249" s="6" t="s">
        <v>7</v>
      </c>
      <c r="C249" s="6" t="s">
        <v>54</v>
      </c>
      <c r="D249" s="6" t="s">
        <v>100</v>
      </c>
      <c r="E249" s="10" t="s">
        <v>390</v>
      </c>
      <c r="F249" s="6" t="s">
        <v>3126</v>
      </c>
      <c r="G249" s="6" t="s">
        <v>81</v>
      </c>
      <c r="H249" s="6" t="s">
        <v>6111</v>
      </c>
      <c r="I249" s="6" t="s">
        <v>8530</v>
      </c>
      <c r="J249" s="6" t="s">
        <v>9805</v>
      </c>
      <c r="K249" s="6" t="s">
        <v>10886</v>
      </c>
      <c r="L249" s="16" t="n">
        <v>43630</v>
      </c>
      <c r="M249" s="16" t="n">
        <v>45716</v>
      </c>
      <c r="N249" s="6" t="s">
        <v>10886</v>
      </c>
      <c r="O249" s="16" t="n">
        <v>43630</v>
      </c>
      <c r="P249" s="6" t="s">
        <v>10934</v>
      </c>
      <c r="Q249" s="6" t="s">
        <v>81</v>
      </c>
      <c r="R249" s="6" t="s">
        <v>81</v>
      </c>
      <c r="S249" s="6" t="s">
        <v>10886</v>
      </c>
      <c r="T249" s="16" t="n">
        <v>43719</v>
      </c>
      <c r="U249" s="6" t="s">
        <v>13169</v>
      </c>
      <c r="V249" s="6" t="s">
        <v>81</v>
      </c>
      <c r="W249" s="6" t="s">
        <v>81</v>
      </c>
      <c r="X249" s="6" t="s">
        <v>81</v>
      </c>
      <c r="Y249" s="21" t="s">
        <v>81</v>
      </c>
      <c r="Z249" s="6" t="s">
        <v>81</v>
      </c>
      <c r="AA249" s="6" t="s">
        <v>81</v>
      </c>
      <c r="AB249" s="6" t="s">
        <v>81</v>
      </c>
      <c r="AC249" s="6" t="s">
        <v>81</v>
      </c>
      <c r="AD249" s="21" t="s">
        <v>81</v>
      </c>
      <c r="AE249" s="6" t="s">
        <v>81</v>
      </c>
      <c r="AF249" s="6" t="s">
        <v>81</v>
      </c>
      <c r="AG249" s="6" t="s">
        <v>81</v>
      </c>
      <c r="AH249" s="6" t="s">
        <v>14855</v>
      </c>
      <c r="AI249" s="6" t="s">
        <v>81</v>
      </c>
      <c r="AJ249" s="6" t="s">
        <v>17482</v>
      </c>
      <c r="AK249" s="6" t="s">
        <v>17712</v>
      </c>
      <c r="AL249" s="6" t="s">
        <v>18444</v>
      </c>
      <c r="AM249" s="6" t="s">
        <v>18590</v>
      </c>
      <c r="AN249" s="6" t="s">
        <v>19670</v>
      </c>
      <c r="AO249" s="6" t="s">
        <v>19782</v>
      </c>
      <c r="AP249" s="6" t="s">
        <v>14855</v>
      </c>
      <c r="AQ249" s="6" t="s">
        <v>81</v>
      </c>
      <c r="AR249" s="6" t="s">
        <v>17482</v>
      </c>
      <c r="AS249" s="6" t="s">
        <v>17712</v>
      </c>
      <c r="AT249" s="6" t="s">
        <v>18444</v>
      </c>
      <c r="AU249" s="6" t="s">
        <v>18590</v>
      </c>
      <c r="AV249" s="6" t="s">
        <v>81</v>
      </c>
      <c r="AW249" s="6" t="s">
        <v>81</v>
      </c>
      <c r="AX249" s="6" t="s">
        <v>81</v>
      </c>
      <c r="AY249" s="6" t="s">
        <v>81</v>
      </c>
      <c r="AZ249" s="6" t="s">
        <v>81</v>
      </c>
      <c r="BA249" s="6" t="s">
        <v>81</v>
      </c>
      <c r="BB249" s="24" t="n">
        <v>62</v>
      </c>
      <c r="BC249" s="26"/>
      <c r="BD249" s="26"/>
      <c r="BE249" s="26"/>
      <c r="BF249" s="26"/>
      <c r="BG249" s="26"/>
      <c r="BH249" s="26"/>
      <c r="BI249" s="26"/>
      <c r="BJ249" s="26"/>
      <c r="BK249" s="26"/>
      <c r="BL249" s="26"/>
      <c r="BM249" s="26"/>
      <c r="BN249" s="26"/>
      <c r="BO249" s="26"/>
      <c r="BP249" s="16" t="n">
        <v>45595</v>
      </c>
      <c r="BQ249" s="28" t="str">
        <f>HYPERLINK("https://organic.ams.usda.gov/Integrity/Certificate.aspx?cid=57&amp;nopid=3252019055")</f>
        <v>https://organic.ams.usda.gov/Integrity/Certificate.aspx?cid=57&amp;nopid=3252019055</v>
      </c>
    </row>
    <row r="250">
      <c r="A250" t="s">
        <v>3</v>
      </c>
      <c r="B250" s="6" t="s">
        <v>12</v>
      </c>
      <c r="C250" s="6" t="s">
        <v>59</v>
      </c>
      <c r="D250" s="6" t="s">
        <v>105</v>
      </c>
      <c r="E250" s="10" t="s">
        <v>391</v>
      </c>
      <c r="F250" s="6" t="s">
        <v>3127</v>
      </c>
      <c r="G250" s="6" t="s">
        <v>81</v>
      </c>
      <c r="H250" s="6" t="s">
        <v>6112</v>
      </c>
      <c r="I250" s="6" t="s">
        <v>8533</v>
      </c>
      <c r="J250" s="6" t="s">
        <v>9671</v>
      </c>
      <c r="K250" s="6" t="s">
        <v>10886</v>
      </c>
      <c r="L250" s="16" t="n">
        <v>41837</v>
      </c>
      <c r="M250" s="16" t="n">
        <v>45717</v>
      </c>
      <c r="N250" s="6" t="s">
        <v>10886</v>
      </c>
      <c r="O250" s="16" t="n">
        <v>41837</v>
      </c>
      <c r="P250" s="6" t="s">
        <v>11061</v>
      </c>
      <c r="Q250" s="6" t="s">
        <v>81</v>
      </c>
      <c r="R250" s="6" t="s">
        <v>81</v>
      </c>
      <c r="S250" s="6" t="s">
        <v>10886</v>
      </c>
      <c r="T250" s="16" t="n">
        <v>41837</v>
      </c>
      <c r="U250" s="6" t="s">
        <v>13183</v>
      </c>
      <c r="V250" s="6" t="s">
        <v>81</v>
      </c>
      <c r="W250" s="6" t="s">
        <v>81</v>
      </c>
      <c r="X250" s="6" t="s">
        <v>81</v>
      </c>
      <c r="Y250" s="21" t="s">
        <v>81</v>
      </c>
      <c r="Z250" s="6" t="s">
        <v>81</v>
      </c>
      <c r="AA250" s="6" t="s">
        <v>81</v>
      </c>
      <c r="AB250" s="6" t="s">
        <v>81</v>
      </c>
      <c r="AC250" s="6" t="s">
        <v>81</v>
      </c>
      <c r="AD250" s="21" t="s">
        <v>81</v>
      </c>
      <c r="AE250" s="6" t="s">
        <v>81</v>
      </c>
      <c r="AF250" s="6" t="s">
        <v>81</v>
      </c>
      <c r="AG250" s="6" t="s">
        <v>81</v>
      </c>
      <c r="AH250" s="6" t="s">
        <v>14856</v>
      </c>
      <c r="AI250" s="6" t="s">
        <v>81</v>
      </c>
      <c r="AJ250" s="6" t="s">
        <v>17483</v>
      </c>
      <c r="AK250" s="6" t="s">
        <v>18380</v>
      </c>
      <c r="AL250" s="6" t="s">
        <v>18444</v>
      </c>
      <c r="AM250" s="6" t="s">
        <v>18479</v>
      </c>
      <c r="AN250" s="6" t="s">
        <v>19639</v>
      </c>
      <c r="AO250" s="6" t="s">
        <v>19725</v>
      </c>
      <c r="AP250" s="6" t="s">
        <v>14856</v>
      </c>
      <c r="AQ250" s="6" t="s">
        <v>81</v>
      </c>
      <c r="AR250" s="6" t="s">
        <v>17483</v>
      </c>
      <c r="AS250" s="6" t="s">
        <v>18380</v>
      </c>
      <c r="AT250" s="6" t="s">
        <v>18444</v>
      </c>
      <c r="AU250" s="6" t="s">
        <v>18479</v>
      </c>
      <c r="AV250" s="6" t="s">
        <v>19639</v>
      </c>
      <c r="AW250" s="6" t="s">
        <v>19725</v>
      </c>
      <c r="AX250" s="6" t="s">
        <v>20892</v>
      </c>
      <c r="AY250" s="6" t="s">
        <v>81</v>
      </c>
      <c r="AZ250" s="6" t="s">
        <v>81</v>
      </c>
      <c r="BA250" s="6" t="s">
        <v>81</v>
      </c>
      <c r="BB250" s="24" t="n">
        <v>146</v>
      </c>
      <c r="BC250" s="26"/>
      <c r="BD250" s="26"/>
      <c r="BE250" s="26"/>
      <c r="BF250" s="26"/>
      <c r="BG250" s="26"/>
      <c r="BH250" s="26"/>
      <c r="BI250" s="26"/>
      <c r="BJ250" s="26"/>
      <c r="BK250" s="26"/>
      <c r="BL250" s="26"/>
      <c r="BM250" s="26"/>
      <c r="BN250" s="26"/>
      <c r="BO250" s="26"/>
      <c r="BP250" s="16" t="n">
        <v>45684</v>
      </c>
      <c r="BQ250" s="28" t="str">
        <f>HYPERLINK("https://organic.ams.usda.gov/Integrity/Certificate.aspx?cid=68&amp;nopid=8210001248")</f>
        <v>https://organic.ams.usda.gov/Integrity/Certificate.aspx?cid=68&amp;nopid=8210001248</v>
      </c>
    </row>
    <row r="251">
      <c r="A251" t="s">
        <v>3</v>
      </c>
      <c r="B251" s="6" t="s">
        <v>11</v>
      </c>
      <c r="C251" s="6" t="s">
        <v>58</v>
      </c>
      <c r="D251" s="6" t="s">
        <v>104</v>
      </c>
      <c r="E251" s="10" t="s">
        <v>392</v>
      </c>
      <c r="F251" s="6" t="s">
        <v>3128</v>
      </c>
      <c r="G251" s="6" t="s">
        <v>81</v>
      </c>
      <c r="H251" s="6" t="s">
        <v>81</v>
      </c>
      <c r="I251" s="6" t="s">
        <v>8534</v>
      </c>
      <c r="J251" s="6" t="s">
        <v>9755</v>
      </c>
      <c r="K251" s="6" t="s">
        <v>10886</v>
      </c>
      <c r="L251" s="16" t="n">
        <v>45177</v>
      </c>
      <c r="M251" s="16" t="n">
        <v>45383</v>
      </c>
      <c r="N251" s="6" t="s">
        <v>10886</v>
      </c>
      <c r="O251" s="16" t="n">
        <v>45177</v>
      </c>
      <c r="P251" s="6" t="s">
        <v>10900</v>
      </c>
      <c r="Q251" s="6" t="s">
        <v>81</v>
      </c>
      <c r="R251" s="6" t="s">
        <v>81</v>
      </c>
      <c r="S251" s="6" t="s">
        <v>10886</v>
      </c>
      <c r="T251" s="16" t="n">
        <v>45177</v>
      </c>
      <c r="U251" s="6" t="s">
        <v>13253</v>
      </c>
      <c r="V251" s="6" t="s">
        <v>81</v>
      </c>
      <c r="W251" s="6" t="s">
        <v>81</v>
      </c>
      <c r="X251" s="6" t="s">
        <v>81</v>
      </c>
      <c r="Y251" s="21" t="s">
        <v>81</v>
      </c>
      <c r="Z251" s="6" t="s">
        <v>81</v>
      </c>
      <c r="AA251" s="6" t="s">
        <v>81</v>
      </c>
      <c r="AB251" s="6" t="s">
        <v>81</v>
      </c>
      <c r="AC251" s="6" t="s">
        <v>81</v>
      </c>
      <c r="AD251" s="21" t="s">
        <v>81</v>
      </c>
      <c r="AE251" s="6" t="s">
        <v>81</v>
      </c>
      <c r="AF251" s="6" t="s">
        <v>81</v>
      </c>
      <c r="AG251" s="6" t="s">
        <v>81</v>
      </c>
      <c r="AH251" s="6" t="s">
        <v>14857</v>
      </c>
      <c r="AI251" s="6" t="s">
        <v>81</v>
      </c>
      <c r="AJ251" s="6" t="s">
        <v>17484</v>
      </c>
      <c r="AK251" s="6" t="s">
        <v>18377</v>
      </c>
      <c r="AL251" s="6" t="s">
        <v>18444</v>
      </c>
      <c r="AM251" s="6" t="s">
        <v>18644</v>
      </c>
      <c r="AN251" s="6" t="s">
        <v>19636</v>
      </c>
      <c r="AO251" s="6" t="s">
        <v>19783</v>
      </c>
      <c r="AP251" s="6" t="s">
        <v>14857</v>
      </c>
      <c r="AQ251" s="6" t="s">
        <v>81</v>
      </c>
      <c r="AR251" s="6" t="s">
        <v>17484</v>
      </c>
      <c r="AS251" s="6" t="s">
        <v>18377</v>
      </c>
      <c r="AT251" s="6" t="s">
        <v>18444</v>
      </c>
      <c r="AU251" s="6" t="s">
        <v>18644</v>
      </c>
      <c r="AV251" s="6" t="s">
        <v>81</v>
      </c>
      <c r="AW251" s="6" t="s">
        <v>81</v>
      </c>
      <c r="AX251" s="6" t="s">
        <v>81</v>
      </c>
      <c r="AY251" s="6" t="s">
        <v>81</v>
      </c>
      <c r="AZ251" s="6" t="s">
        <v>81</v>
      </c>
      <c r="BA251" s="6" t="s">
        <v>81</v>
      </c>
      <c r="BB251" s="24" t="n">
        <v>46</v>
      </c>
      <c r="BC251" s="26"/>
      <c r="BD251" s="26"/>
      <c r="BE251" s="26"/>
      <c r="BF251" s="26"/>
      <c r="BG251" s="26"/>
      <c r="BH251" s="26"/>
      <c r="BI251" s="26"/>
      <c r="BJ251" s="26"/>
      <c r="BK251" s="26"/>
      <c r="BL251" s="26"/>
      <c r="BM251" s="26"/>
      <c r="BN251" s="26"/>
      <c r="BO251" s="26"/>
      <c r="BP251" s="16" t="n">
        <v>45441</v>
      </c>
      <c r="BQ251" s="28" t="str">
        <f>HYPERLINK("https://organic.ams.usda.gov/Integrity/Certificate.aspx?cid=46&amp;nopid=3672300055")</f>
        <v>https://organic.ams.usda.gov/Integrity/Certificate.aspx?cid=46&amp;nopid=3672300055</v>
      </c>
    </row>
    <row r="252">
      <c r="A252" t="s">
        <v>3</v>
      </c>
      <c r="B252" s="6" t="s">
        <v>7</v>
      </c>
      <c r="C252" s="6" t="s">
        <v>54</v>
      </c>
      <c r="D252" s="6" t="s">
        <v>100</v>
      </c>
      <c r="E252" s="10" t="s">
        <v>393</v>
      </c>
      <c r="F252" s="6" t="s">
        <v>3129</v>
      </c>
      <c r="G252" s="6" t="s">
        <v>81</v>
      </c>
      <c r="H252" s="6" t="s">
        <v>6113</v>
      </c>
      <c r="I252" s="6" t="s">
        <v>8530</v>
      </c>
      <c r="J252" s="6" t="s">
        <v>9671</v>
      </c>
      <c r="K252" s="6" t="s">
        <v>10886</v>
      </c>
      <c r="L252" s="16" t="n">
        <v>44385</v>
      </c>
      <c r="M252" s="16" t="n">
        <v>45716</v>
      </c>
      <c r="N252" s="6" t="s">
        <v>10886</v>
      </c>
      <c r="O252" s="16" t="n">
        <v>44385</v>
      </c>
      <c r="P252" s="6" t="s">
        <v>10925</v>
      </c>
      <c r="Q252" s="6" t="s">
        <v>81</v>
      </c>
      <c r="R252" s="6" t="s">
        <v>81</v>
      </c>
      <c r="S252" s="6" t="s">
        <v>10886</v>
      </c>
      <c r="T252" s="16" t="n">
        <v>44470</v>
      </c>
      <c r="U252" s="6" t="s">
        <v>13169</v>
      </c>
      <c r="V252" s="6" t="s">
        <v>81</v>
      </c>
      <c r="W252" s="6" t="s">
        <v>81</v>
      </c>
      <c r="X252" s="6" t="s">
        <v>81</v>
      </c>
      <c r="Y252" s="21" t="s">
        <v>81</v>
      </c>
      <c r="Z252" s="6" t="s">
        <v>81</v>
      </c>
      <c r="AA252" s="6" t="s">
        <v>81</v>
      </c>
      <c r="AB252" s="6" t="s">
        <v>81</v>
      </c>
      <c r="AC252" s="6" t="s">
        <v>81</v>
      </c>
      <c r="AD252" s="21" t="s">
        <v>81</v>
      </c>
      <c r="AE252" s="6" t="s">
        <v>81</v>
      </c>
      <c r="AF252" s="6" t="s">
        <v>81</v>
      </c>
      <c r="AG252" s="6" t="s">
        <v>81</v>
      </c>
      <c r="AH252" s="6" t="s">
        <v>14858</v>
      </c>
      <c r="AI252" s="6" t="s">
        <v>81</v>
      </c>
      <c r="AJ252" s="6" t="s">
        <v>17485</v>
      </c>
      <c r="AK252" s="6" t="s">
        <v>17712</v>
      </c>
      <c r="AL252" s="6" t="s">
        <v>18444</v>
      </c>
      <c r="AM252" s="6" t="s">
        <v>18645</v>
      </c>
      <c r="AN252" s="6" t="s">
        <v>19642</v>
      </c>
      <c r="AO252" s="6" t="s">
        <v>19728</v>
      </c>
      <c r="AP252" s="6" t="s">
        <v>14858</v>
      </c>
      <c r="AQ252" s="6" t="s">
        <v>81</v>
      </c>
      <c r="AR252" s="6" t="s">
        <v>17485</v>
      </c>
      <c r="AS252" s="6" t="s">
        <v>17712</v>
      </c>
      <c r="AT252" s="6" t="s">
        <v>18444</v>
      </c>
      <c r="AU252" s="6" t="s">
        <v>18645</v>
      </c>
      <c r="AV252" s="6" t="s">
        <v>81</v>
      </c>
      <c r="AW252" s="6" t="s">
        <v>81</v>
      </c>
      <c r="AX252" s="6" t="s">
        <v>20893</v>
      </c>
      <c r="AY252" s="6" t="s">
        <v>81</v>
      </c>
      <c r="AZ252" s="6" t="s">
        <v>81</v>
      </c>
      <c r="BA252" s="6" t="s">
        <v>81</v>
      </c>
      <c r="BB252" s="24" t="n">
        <v>682</v>
      </c>
      <c r="BC252" s="26"/>
      <c r="BD252" s="26"/>
      <c r="BE252" s="26"/>
      <c r="BF252" s="26" t="s">
        <v>23900</v>
      </c>
      <c r="BG252" s="26"/>
      <c r="BH252" s="26"/>
      <c r="BI252" s="26"/>
      <c r="BJ252" s="26"/>
      <c r="BK252" s="26"/>
      <c r="BL252" s="26"/>
      <c r="BM252" s="26"/>
      <c r="BN252" s="26"/>
      <c r="BO252" s="26"/>
      <c r="BP252" s="16" t="n">
        <v>45595</v>
      </c>
      <c r="BQ252" s="28" t="str">
        <f>HYPERLINK("https://organic.ams.usda.gov/Integrity/Certificate.aspx?cid=57&amp;nopid=3252021020")</f>
        <v>https://organic.ams.usda.gov/Integrity/Certificate.aspx?cid=57&amp;nopid=3252021020</v>
      </c>
    </row>
    <row r="253">
      <c r="A253" t="s">
        <v>3</v>
      </c>
      <c r="B253" s="6" t="s">
        <v>7</v>
      </c>
      <c r="C253" s="6" t="s">
        <v>54</v>
      </c>
      <c r="D253" s="6" t="s">
        <v>100</v>
      </c>
      <c r="E253" s="10" t="s">
        <v>394</v>
      </c>
      <c r="F253" s="6" t="s">
        <v>3129</v>
      </c>
      <c r="G253" s="6" t="s">
        <v>81</v>
      </c>
      <c r="H253" s="6" t="s">
        <v>6114</v>
      </c>
      <c r="I253" s="6" t="s">
        <v>8530</v>
      </c>
      <c r="J253" s="6" t="s">
        <v>9671</v>
      </c>
      <c r="K253" s="6" t="s">
        <v>10886</v>
      </c>
      <c r="L253" s="16" t="n">
        <v>44435</v>
      </c>
      <c r="M253" s="16" t="n">
        <v>45716</v>
      </c>
      <c r="N253" s="6" t="s">
        <v>10886</v>
      </c>
      <c r="O253" s="16" t="n">
        <v>44435</v>
      </c>
      <c r="P253" s="6" t="s">
        <v>10944</v>
      </c>
      <c r="Q253" s="6" t="s">
        <v>81</v>
      </c>
      <c r="R253" s="6" t="s">
        <v>81</v>
      </c>
      <c r="S253" s="6" t="s">
        <v>10886</v>
      </c>
      <c r="T253" s="16" t="n">
        <v>44769</v>
      </c>
      <c r="U253" s="6" t="s">
        <v>13169</v>
      </c>
      <c r="V253" s="6" t="s">
        <v>81</v>
      </c>
      <c r="W253" s="6" t="s">
        <v>81</v>
      </c>
      <c r="X253" s="6" t="s">
        <v>81</v>
      </c>
      <c r="Y253" s="21" t="s">
        <v>81</v>
      </c>
      <c r="Z253" s="6" t="s">
        <v>81</v>
      </c>
      <c r="AA253" s="6" t="s">
        <v>81</v>
      </c>
      <c r="AB253" s="6" t="s">
        <v>81</v>
      </c>
      <c r="AC253" s="6" t="s">
        <v>81</v>
      </c>
      <c r="AD253" s="21" t="s">
        <v>81</v>
      </c>
      <c r="AE253" s="6" t="s">
        <v>81</v>
      </c>
      <c r="AF253" s="6" t="s">
        <v>81</v>
      </c>
      <c r="AG253" s="6" t="s">
        <v>81</v>
      </c>
      <c r="AH253" s="6" t="s">
        <v>14859</v>
      </c>
      <c r="AI253" s="6" t="s">
        <v>81</v>
      </c>
      <c r="AJ253" s="6" t="s">
        <v>17486</v>
      </c>
      <c r="AK253" s="6" t="s">
        <v>17712</v>
      </c>
      <c r="AL253" s="6" t="s">
        <v>18444</v>
      </c>
      <c r="AM253" s="6" t="s">
        <v>18646</v>
      </c>
      <c r="AN253" s="6" t="s">
        <v>19635</v>
      </c>
      <c r="AO253" s="6" t="s">
        <v>19795</v>
      </c>
      <c r="AP253" s="6" t="s">
        <v>14859</v>
      </c>
      <c r="AQ253" s="6" t="s">
        <v>81</v>
      </c>
      <c r="AR253" s="6" t="s">
        <v>17486</v>
      </c>
      <c r="AS253" s="6" t="s">
        <v>17712</v>
      </c>
      <c r="AT253" s="6" t="s">
        <v>18444</v>
      </c>
      <c r="AU253" s="6" t="s">
        <v>18646</v>
      </c>
      <c r="AV253" s="6" t="s">
        <v>81</v>
      </c>
      <c r="AW253" s="6" t="s">
        <v>81</v>
      </c>
      <c r="AX253" s="6" t="s">
        <v>81</v>
      </c>
      <c r="AY253" s="6" t="s">
        <v>81</v>
      </c>
      <c r="AZ253" s="6" t="s">
        <v>81</v>
      </c>
      <c r="BA253" s="6" t="s">
        <v>81</v>
      </c>
      <c r="BB253" s="24" t="n">
        <v>90</v>
      </c>
      <c r="BC253" s="26"/>
      <c r="BD253" s="26"/>
      <c r="BE253" s="26"/>
      <c r="BF253" s="26" t="s">
        <v>23900</v>
      </c>
      <c r="BG253" s="26"/>
      <c r="BH253" s="26"/>
      <c r="BI253" s="26"/>
      <c r="BJ253" s="26"/>
      <c r="BK253" s="26"/>
      <c r="BL253" s="26"/>
      <c r="BM253" s="26"/>
      <c r="BN253" s="26"/>
      <c r="BO253" s="26"/>
      <c r="BP253" s="16" t="n">
        <v>45693</v>
      </c>
      <c r="BQ253" s="28" t="str">
        <f>HYPERLINK("https://organic.ams.usda.gov/Integrity/Certificate.aspx?cid=57&amp;nopid=3252021092")</f>
        <v>https://organic.ams.usda.gov/Integrity/Certificate.aspx?cid=57&amp;nopid=3252021092</v>
      </c>
    </row>
    <row r="254">
      <c r="A254" t="s">
        <v>3</v>
      </c>
      <c r="B254" s="6" t="s">
        <v>29</v>
      </c>
      <c r="C254" s="6" t="s">
        <v>76</v>
      </c>
      <c r="D254" s="6" t="s">
        <v>122</v>
      </c>
      <c r="E254" s="10" t="s">
        <v>395</v>
      </c>
      <c r="F254" s="6" t="s">
        <v>3130</v>
      </c>
      <c r="G254" s="6" t="s">
        <v>5612</v>
      </c>
      <c r="H254" s="6" t="s">
        <v>6115</v>
      </c>
      <c r="I254" s="6" t="s">
        <v>8535</v>
      </c>
      <c r="J254" s="6" t="s">
        <v>9671</v>
      </c>
      <c r="K254" s="6" t="s">
        <v>10886</v>
      </c>
      <c r="L254" s="16" t="n">
        <v>40137</v>
      </c>
      <c r="M254" s="16" t="n">
        <v>45505</v>
      </c>
      <c r="N254" s="6" t="s">
        <v>10886</v>
      </c>
      <c r="O254" s="16" t="n">
        <v>40137</v>
      </c>
      <c r="P254" s="6" t="s">
        <v>11062</v>
      </c>
      <c r="Q254" s="6" t="s">
        <v>81</v>
      </c>
      <c r="R254" s="6" t="s">
        <v>12499</v>
      </c>
      <c r="S254" s="6" t="s">
        <v>10886</v>
      </c>
      <c r="T254" s="16" t="n">
        <v>40137</v>
      </c>
      <c r="U254" s="6" t="s">
        <v>13254</v>
      </c>
      <c r="V254" s="6" t="s">
        <v>81</v>
      </c>
      <c r="W254" s="6" t="s">
        <v>12499</v>
      </c>
      <c r="X254" s="6" t="s">
        <v>81</v>
      </c>
      <c r="Y254" s="21" t="s">
        <v>81</v>
      </c>
      <c r="Z254" s="6" t="s">
        <v>81</v>
      </c>
      <c r="AA254" s="6" t="s">
        <v>81</v>
      </c>
      <c r="AB254" s="6" t="s">
        <v>81</v>
      </c>
      <c r="AC254" s="6" t="s">
        <v>81</v>
      </c>
      <c r="AD254" s="21" t="s">
        <v>81</v>
      </c>
      <c r="AE254" s="6" t="s">
        <v>81</v>
      </c>
      <c r="AF254" s="6" t="s">
        <v>81</v>
      </c>
      <c r="AG254" s="6" t="s">
        <v>81</v>
      </c>
      <c r="AH254" s="6" t="s">
        <v>14860</v>
      </c>
      <c r="AI254" s="6" t="s">
        <v>81</v>
      </c>
      <c r="AJ254" s="6" t="s">
        <v>17329</v>
      </c>
      <c r="AK254" s="6" t="s">
        <v>18380</v>
      </c>
      <c r="AL254" s="6" t="s">
        <v>18444</v>
      </c>
      <c r="AM254" s="6" t="s">
        <v>18481</v>
      </c>
      <c r="AN254" s="6" t="s">
        <v>19639</v>
      </c>
      <c r="AO254" s="6" t="s">
        <v>19725</v>
      </c>
      <c r="AP254" s="6" t="s">
        <v>81</v>
      </c>
      <c r="AQ254" s="6" t="s">
        <v>81</v>
      </c>
      <c r="AR254" s="6" t="s">
        <v>81</v>
      </c>
      <c r="AS254" s="6" t="s">
        <v>81</v>
      </c>
      <c r="AT254" s="6" t="s">
        <v>81</v>
      </c>
      <c r="AU254" s="6" t="s">
        <v>81</v>
      </c>
      <c r="AV254" s="6" t="s">
        <v>81</v>
      </c>
      <c r="AW254" s="6" t="s">
        <v>81</v>
      </c>
      <c r="AX254" s="6" t="s">
        <v>20894</v>
      </c>
      <c r="AY254" s="6" t="s">
        <v>81</v>
      </c>
      <c r="AZ254" s="6" t="s">
        <v>81</v>
      </c>
      <c r="BA254" s="6" t="s">
        <v>81</v>
      </c>
      <c r="BB254" s="24" t="n">
        <v>68</v>
      </c>
      <c r="BC254" s="26"/>
      <c r="BD254" s="26"/>
      <c r="BE254" s="26"/>
      <c r="BF254" s="26" t="s">
        <v>23900</v>
      </c>
      <c r="BG254" s="26"/>
      <c r="BH254" s="26"/>
      <c r="BI254" s="26"/>
      <c r="BJ254" s="26"/>
      <c r="BK254" s="26"/>
      <c r="BL254" s="26"/>
      <c r="BM254" s="26"/>
      <c r="BN254" s="26"/>
      <c r="BO254" s="26"/>
      <c r="BP254" s="16" t="n">
        <v>45737</v>
      </c>
      <c r="BQ254" s="28" t="str">
        <f>HYPERLINK("https://organic.ams.usda.gov/Integrity/Certificate.aspx?cid=31&amp;nopid=3920897917")</f>
        <v>https://organic.ams.usda.gov/Integrity/Certificate.aspx?cid=31&amp;nopid=3920897917</v>
      </c>
    </row>
    <row r="255">
      <c r="A255" t="s">
        <v>3</v>
      </c>
      <c r="B255" s="6" t="s">
        <v>7</v>
      </c>
      <c r="C255" s="6" t="s">
        <v>54</v>
      </c>
      <c r="D255" s="6" t="s">
        <v>100</v>
      </c>
      <c r="E255" s="10" t="s">
        <v>396</v>
      </c>
      <c r="F255" s="6" t="s">
        <v>3131</v>
      </c>
      <c r="G255" s="6" t="s">
        <v>81</v>
      </c>
      <c r="H255" s="6" t="s">
        <v>6116</v>
      </c>
      <c r="I255" s="6" t="s">
        <v>8536</v>
      </c>
      <c r="J255" s="6" t="s">
        <v>9727</v>
      </c>
      <c r="K255" s="6" t="s">
        <v>10886</v>
      </c>
      <c r="L255" s="16" t="n">
        <v>45524</v>
      </c>
      <c r="M255" s="16" t="n">
        <v>45716</v>
      </c>
      <c r="N255" s="6" t="s">
        <v>10886</v>
      </c>
      <c r="O255" s="16" t="n">
        <v>45524</v>
      </c>
      <c r="P255" s="6" t="s">
        <v>11015</v>
      </c>
      <c r="Q255" s="6" t="s">
        <v>81</v>
      </c>
      <c r="R255" s="6" t="s">
        <v>81</v>
      </c>
      <c r="S255" s="6" t="s">
        <v>10886</v>
      </c>
      <c r="T255" s="16" t="n">
        <v>45524</v>
      </c>
      <c r="U255" s="6" t="s">
        <v>13169</v>
      </c>
      <c r="V255" s="6" t="s">
        <v>81</v>
      </c>
      <c r="W255" s="6" t="s">
        <v>81</v>
      </c>
      <c r="X255" s="6" t="s">
        <v>81</v>
      </c>
      <c r="Y255" s="21" t="s">
        <v>81</v>
      </c>
      <c r="Z255" s="6" t="s">
        <v>81</v>
      </c>
      <c r="AA255" s="6" t="s">
        <v>81</v>
      </c>
      <c r="AB255" s="6" t="s">
        <v>81</v>
      </c>
      <c r="AC255" s="6" t="s">
        <v>81</v>
      </c>
      <c r="AD255" s="21" t="s">
        <v>81</v>
      </c>
      <c r="AE255" s="6" t="s">
        <v>81</v>
      </c>
      <c r="AF255" s="6" t="s">
        <v>81</v>
      </c>
      <c r="AG255" s="6" t="s">
        <v>81</v>
      </c>
      <c r="AH255" s="6" t="s">
        <v>14861</v>
      </c>
      <c r="AI255" s="6" t="s">
        <v>81</v>
      </c>
      <c r="AJ255" s="6" t="s">
        <v>17406</v>
      </c>
      <c r="AK255" s="6" t="s">
        <v>17712</v>
      </c>
      <c r="AL255" s="6" t="s">
        <v>18444</v>
      </c>
      <c r="AM255" s="6" t="s">
        <v>18562</v>
      </c>
      <c r="AN255" s="6" t="s">
        <v>81</v>
      </c>
      <c r="AO255" s="6" t="s">
        <v>81</v>
      </c>
      <c r="AP255" s="6" t="s">
        <v>14861</v>
      </c>
      <c r="AQ255" s="6" t="s">
        <v>81</v>
      </c>
      <c r="AR255" s="6" t="s">
        <v>17406</v>
      </c>
      <c r="AS255" s="6" t="s">
        <v>17712</v>
      </c>
      <c r="AT255" s="6" t="s">
        <v>18444</v>
      </c>
      <c r="AU255" s="6" t="s">
        <v>18562</v>
      </c>
      <c r="AV255" s="6" t="s">
        <v>81</v>
      </c>
      <c r="AW255" s="6" t="s">
        <v>81</v>
      </c>
      <c r="AX255" s="6" t="s">
        <v>81</v>
      </c>
      <c r="AY255" s="6" t="s">
        <v>81</v>
      </c>
      <c r="AZ255" s="6" t="s">
        <v>81</v>
      </c>
      <c r="BA255" s="6" t="s">
        <v>81</v>
      </c>
      <c r="BB255" s="24" t="n">
        <v>237</v>
      </c>
      <c r="BC255" s="26"/>
      <c r="BD255" s="26"/>
      <c r="BE255" s="26"/>
      <c r="BF255" s="26" t="s">
        <v>23900</v>
      </c>
      <c r="BG255" s="26"/>
      <c r="BH255" s="26"/>
      <c r="BI255" s="26"/>
      <c r="BJ255" s="26"/>
      <c r="BK255" s="26"/>
      <c r="BL255" s="26"/>
      <c r="BM255" s="26"/>
      <c r="BN255" s="26"/>
      <c r="BO255" s="26"/>
      <c r="BP255" s="16" t="n">
        <v>45595</v>
      </c>
      <c r="BQ255" s="28" t="str">
        <f>HYPERLINK("https://organic.ams.usda.gov/Integrity/Certificate.aspx?cid=57&amp;nopid=3252024012")</f>
        <v>https://organic.ams.usda.gov/Integrity/Certificate.aspx?cid=57&amp;nopid=3252024012</v>
      </c>
    </row>
    <row r="256">
      <c r="A256" t="s">
        <v>3</v>
      </c>
      <c r="B256" s="6" t="s">
        <v>29</v>
      </c>
      <c r="C256" s="6" t="s">
        <v>76</v>
      </c>
      <c r="D256" s="6" t="s">
        <v>122</v>
      </c>
      <c r="E256" s="10" t="s">
        <v>397</v>
      </c>
      <c r="F256" s="6" t="s">
        <v>3132</v>
      </c>
      <c r="G256" s="6" t="s">
        <v>81</v>
      </c>
      <c r="H256" s="6" t="s">
        <v>6117</v>
      </c>
      <c r="I256" s="6" t="s">
        <v>8537</v>
      </c>
      <c r="J256" s="6" t="s">
        <v>9806</v>
      </c>
      <c r="K256" s="6" t="s">
        <v>10886</v>
      </c>
      <c r="L256" s="16" t="n">
        <v>38855</v>
      </c>
      <c r="M256" s="16" t="n">
        <v>45505</v>
      </c>
      <c r="N256" s="6" t="s">
        <v>10886</v>
      </c>
      <c r="O256" s="16" t="n">
        <v>38855</v>
      </c>
      <c r="P256" s="6" t="s">
        <v>11063</v>
      </c>
      <c r="Q256" s="6" t="s">
        <v>81</v>
      </c>
      <c r="R256" s="6" t="s">
        <v>12500</v>
      </c>
      <c r="S256" s="6" t="s">
        <v>10886</v>
      </c>
      <c r="T256" s="16" t="n">
        <v>38855</v>
      </c>
      <c r="U256" s="6" t="s">
        <v>13252</v>
      </c>
      <c r="V256" s="6" t="s">
        <v>81</v>
      </c>
      <c r="W256" s="6" t="s">
        <v>12500</v>
      </c>
      <c r="X256" s="6" t="s">
        <v>81</v>
      </c>
      <c r="Y256" s="21" t="s">
        <v>81</v>
      </c>
      <c r="Z256" s="6" t="s">
        <v>81</v>
      </c>
      <c r="AA256" s="6" t="s">
        <v>81</v>
      </c>
      <c r="AB256" s="6" t="s">
        <v>81</v>
      </c>
      <c r="AC256" s="6" t="s">
        <v>81</v>
      </c>
      <c r="AD256" s="21" t="s">
        <v>81</v>
      </c>
      <c r="AE256" s="6" t="s">
        <v>81</v>
      </c>
      <c r="AF256" s="6" t="s">
        <v>81</v>
      </c>
      <c r="AG256" s="6" t="s">
        <v>81</v>
      </c>
      <c r="AH256" s="6" t="s">
        <v>14862</v>
      </c>
      <c r="AI256" s="6" t="s">
        <v>81</v>
      </c>
      <c r="AJ256" s="6" t="s">
        <v>17487</v>
      </c>
      <c r="AK256" s="6" t="s">
        <v>17712</v>
      </c>
      <c r="AL256" s="6" t="s">
        <v>18444</v>
      </c>
      <c r="AM256" s="6" t="s">
        <v>18647</v>
      </c>
      <c r="AN256" s="6" t="s">
        <v>7595</v>
      </c>
      <c r="AO256" s="6" t="s">
        <v>19818</v>
      </c>
      <c r="AP256" s="6" t="s">
        <v>81</v>
      </c>
      <c r="AQ256" s="6" t="s">
        <v>81</v>
      </c>
      <c r="AR256" s="6" t="s">
        <v>81</v>
      </c>
      <c r="AS256" s="6" t="s">
        <v>81</v>
      </c>
      <c r="AT256" s="6" t="s">
        <v>81</v>
      </c>
      <c r="AU256" s="6" t="s">
        <v>81</v>
      </c>
      <c r="AV256" s="6" t="s">
        <v>81</v>
      </c>
      <c r="AW256" s="6" t="s">
        <v>81</v>
      </c>
      <c r="AX256" s="6" t="s">
        <v>20895</v>
      </c>
      <c r="AY256" s="6" t="s">
        <v>22629</v>
      </c>
      <c r="AZ256" s="6" t="s">
        <v>81</v>
      </c>
      <c r="BA256" s="6" t="s">
        <v>81</v>
      </c>
      <c r="BB256" s="24" t="n">
        <v>1094</v>
      </c>
      <c r="BC256" s="26"/>
      <c r="BD256" s="26"/>
      <c r="BE256" s="26"/>
      <c r="BF256" s="26" t="s">
        <v>23900</v>
      </c>
      <c r="BG256" s="26"/>
      <c r="BH256" s="26"/>
      <c r="BI256" s="26"/>
      <c r="BJ256" s="26"/>
      <c r="BK256" s="26"/>
      <c r="BL256" s="26"/>
      <c r="BM256" s="26"/>
      <c r="BN256" s="26"/>
      <c r="BO256" s="26"/>
      <c r="BP256" s="16" t="n">
        <v>45737</v>
      </c>
      <c r="BQ256" s="28" t="str">
        <f>HYPERLINK("https://organic.ams.usda.gov/Integrity/Certificate.aspx?cid=31&amp;nopid=3920897538")</f>
        <v>https://organic.ams.usda.gov/Integrity/Certificate.aspx?cid=31&amp;nopid=3920897538</v>
      </c>
    </row>
    <row r="257">
      <c r="A257" t="s">
        <v>3</v>
      </c>
      <c r="B257" s="6" t="s">
        <v>22</v>
      </c>
      <c r="C257" s="6" t="s">
        <v>69</v>
      </c>
      <c r="D257" s="6" t="s">
        <v>115</v>
      </c>
      <c r="E257" s="10" t="s">
        <v>398</v>
      </c>
      <c r="F257" s="6" t="s">
        <v>3133</v>
      </c>
      <c r="G257" s="6" t="s">
        <v>81</v>
      </c>
      <c r="H257" s="6" t="s">
        <v>6118</v>
      </c>
      <c r="I257" s="6" t="s">
        <v>8538</v>
      </c>
      <c r="J257" s="6" t="s">
        <v>9807</v>
      </c>
      <c r="K257" s="6" t="s">
        <v>10886</v>
      </c>
      <c r="L257" s="16" t="n">
        <v>42212</v>
      </c>
      <c r="M257" s="16" t="n">
        <v>45781</v>
      </c>
      <c r="N257" s="6" t="s">
        <v>10886</v>
      </c>
      <c r="O257" s="16" t="n">
        <v>42212</v>
      </c>
      <c r="P257" s="6" t="s">
        <v>11064</v>
      </c>
      <c r="Q257" s="6" t="s">
        <v>81</v>
      </c>
      <c r="R257" s="6" t="s">
        <v>81</v>
      </c>
      <c r="S257" s="6" t="s">
        <v>81</v>
      </c>
      <c r="T257" s="21" t="s">
        <v>81</v>
      </c>
      <c r="U257" s="6" t="s">
        <v>81</v>
      </c>
      <c r="V257" s="6" t="s">
        <v>81</v>
      </c>
      <c r="W257" s="6" t="s">
        <v>81</v>
      </c>
      <c r="X257" s="6" t="s">
        <v>81</v>
      </c>
      <c r="Y257" s="21" t="s">
        <v>81</v>
      </c>
      <c r="Z257" s="6" t="s">
        <v>81</v>
      </c>
      <c r="AA257" s="6" t="s">
        <v>81</v>
      </c>
      <c r="AB257" s="6" t="s">
        <v>81</v>
      </c>
      <c r="AC257" s="6" t="s">
        <v>10886</v>
      </c>
      <c r="AD257" s="16" t="n">
        <v>42212</v>
      </c>
      <c r="AE257" s="6" t="s">
        <v>14054</v>
      </c>
      <c r="AF257" s="6" t="s">
        <v>81</v>
      </c>
      <c r="AG257" s="6" t="s">
        <v>81</v>
      </c>
      <c r="AH257" s="6" t="s">
        <v>14863</v>
      </c>
      <c r="AI257" s="6" t="s">
        <v>17278</v>
      </c>
      <c r="AJ257" s="6" t="s">
        <v>17488</v>
      </c>
      <c r="AK257" s="6" t="s">
        <v>18401</v>
      </c>
      <c r="AL257" s="6" t="s">
        <v>18447</v>
      </c>
      <c r="AM257" s="6" t="s">
        <v>18648</v>
      </c>
      <c r="AN257" s="6" t="s">
        <v>81</v>
      </c>
      <c r="AO257" s="6" t="s">
        <v>81</v>
      </c>
      <c r="AP257" s="6" t="s">
        <v>14863</v>
      </c>
      <c r="AQ257" s="6" t="s">
        <v>17278</v>
      </c>
      <c r="AR257" s="6" t="s">
        <v>17488</v>
      </c>
      <c r="AS257" s="6" t="s">
        <v>18401</v>
      </c>
      <c r="AT257" s="6" t="s">
        <v>18447</v>
      </c>
      <c r="AU257" s="6" t="s">
        <v>18648</v>
      </c>
      <c r="AV257" s="6" t="s">
        <v>81</v>
      </c>
      <c r="AW257" s="6" t="s">
        <v>81</v>
      </c>
      <c r="AX257" s="6" t="s">
        <v>20896</v>
      </c>
      <c r="AY257" s="6" t="s">
        <v>22630</v>
      </c>
      <c r="AZ257" s="6" t="s">
        <v>81</v>
      </c>
      <c r="BA257" s="6" t="s">
        <v>81</v>
      </c>
      <c r="BB257" s="24" t="n">
        <v>10581</v>
      </c>
      <c r="BC257" s="26"/>
      <c r="BD257" s="26"/>
      <c r="BE257" s="26"/>
      <c r="BF257" s="26"/>
      <c r="BG257" s="26"/>
      <c r="BH257" s="26"/>
      <c r="BI257" s="26"/>
      <c r="BJ257" s="26"/>
      <c r="BK257" s="26"/>
      <c r="BL257" s="26"/>
      <c r="BM257" s="26"/>
      <c r="BN257" s="26"/>
      <c r="BO257" s="26" t="s">
        <v>23900</v>
      </c>
      <c r="BP257" s="16" t="n">
        <v>45659</v>
      </c>
      <c r="BQ257" s="28" t="str">
        <f>HYPERLINK("https://organic.ams.usda.gov/Integrity/Certificate.aspx?cid=21&amp;nopid=1780835572")</f>
        <v>https://organic.ams.usda.gov/Integrity/Certificate.aspx?cid=21&amp;nopid=1780835572</v>
      </c>
    </row>
    <row r="258">
      <c r="A258" t="s">
        <v>3</v>
      </c>
      <c r="B258" s="6" t="s">
        <v>30</v>
      </c>
      <c r="C258" s="6" t="s">
        <v>77</v>
      </c>
      <c r="D258" s="6" t="s">
        <v>123</v>
      </c>
      <c r="E258" s="10" t="s">
        <v>399</v>
      </c>
      <c r="F258" s="6" t="s">
        <v>3134</v>
      </c>
      <c r="G258" s="6" t="s">
        <v>81</v>
      </c>
      <c r="H258" s="6" t="s">
        <v>6119</v>
      </c>
      <c r="I258" s="6" t="s">
        <v>8539</v>
      </c>
      <c r="J258" s="6" t="s">
        <v>9668</v>
      </c>
      <c r="K258" s="6" t="s">
        <v>10886</v>
      </c>
      <c r="L258" s="16" t="n">
        <v>42957</v>
      </c>
      <c r="M258" s="16" t="n">
        <v>45747</v>
      </c>
      <c r="N258" s="6" t="s">
        <v>10886</v>
      </c>
      <c r="O258" s="16" t="n">
        <v>42957</v>
      </c>
      <c r="P258" s="6" t="s">
        <v>10922</v>
      </c>
      <c r="Q258" s="6" t="s">
        <v>81</v>
      </c>
      <c r="R258" s="6" t="s">
        <v>81</v>
      </c>
      <c r="S258" s="6" t="s">
        <v>10886</v>
      </c>
      <c r="T258" s="16" t="n">
        <v>42957</v>
      </c>
      <c r="U258" s="6" t="s">
        <v>13216</v>
      </c>
      <c r="V258" s="6" t="s">
        <v>81</v>
      </c>
      <c r="W258" s="6" t="s">
        <v>81</v>
      </c>
      <c r="X258" s="6" t="s">
        <v>81</v>
      </c>
      <c r="Y258" s="21" t="s">
        <v>81</v>
      </c>
      <c r="Z258" s="6" t="s">
        <v>81</v>
      </c>
      <c r="AA258" s="6" t="s">
        <v>81</v>
      </c>
      <c r="AB258" s="6" t="s">
        <v>81</v>
      </c>
      <c r="AC258" s="6" t="s">
        <v>10893</v>
      </c>
      <c r="AD258" s="16" t="n">
        <v>45708</v>
      </c>
      <c r="AE258" s="6" t="s">
        <v>81</v>
      </c>
      <c r="AF258" s="6" t="s">
        <v>81</v>
      </c>
      <c r="AG258" s="6" t="s">
        <v>81</v>
      </c>
      <c r="AH258" s="6" t="s">
        <v>14864</v>
      </c>
      <c r="AI258" s="6" t="s">
        <v>81</v>
      </c>
      <c r="AJ258" s="6" t="s">
        <v>17413</v>
      </c>
      <c r="AK258" s="6" t="s">
        <v>18380</v>
      </c>
      <c r="AL258" s="6" t="s">
        <v>18444</v>
      </c>
      <c r="AM258" s="6" t="s">
        <v>18569</v>
      </c>
      <c r="AN258" s="6" t="s">
        <v>19639</v>
      </c>
      <c r="AO258" s="6" t="s">
        <v>19725</v>
      </c>
      <c r="AP258" s="6" t="s">
        <v>14864</v>
      </c>
      <c r="AQ258" s="6" t="s">
        <v>81</v>
      </c>
      <c r="AR258" s="6" t="s">
        <v>17413</v>
      </c>
      <c r="AS258" s="6" t="s">
        <v>18380</v>
      </c>
      <c r="AT258" s="6" t="s">
        <v>18444</v>
      </c>
      <c r="AU258" s="6" t="s">
        <v>18569</v>
      </c>
      <c r="AV258" s="6" t="s">
        <v>81</v>
      </c>
      <c r="AW258" s="6" t="s">
        <v>81</v>
      </c>
      <c r="AX258" s="6" t="s">
        <v>20897</v>
      </c>
      <c r="AY258" s="6" t="s">
        <v>81</v>
      </c>
      <c r="AZ258" s="6" t="s">
        <v>81</v>
      </c>
      <c r="BA258" s="6" t="s">
        <v>81</v>
      </c>
      <c r="BB258" s="24" t="n">
        <v>65</v>
      </c>
      <c r="BC258" s="26"/>
      <c r="BD258" s="26"/>
      <c r="BE258" s="26"/>
      <c r="BF258" s="26"/>
      <c r="BG258" s="26"/>
      <c r="BH258" s="26"/>
      <c r="BI258" s="26"/>
      <c r="BJ258" s="26"/>
      <c r="BK258" s="26"/>
      <c r="BL258" s="26"/>
      <c r="BM258" s="26"/>
      <c r="BN258" s="26"/>
      <c r="BO258" s="26"/>
      <c r="BP258" s="16" t="n">
        <v>45708</v>
      </c>
      <c r="BQ258" s="28" t="str">
        <f>HYPERLINK("https://organic.ams.usda.gov/Integrity/Certificate.aspx?cid=70&amp;nopid=6431712300")</f>
        <v>https://organic.ams.usda.gov/Integrity/Certificate.aspx?cid=70&amp;nopid=6431712300</v>
      </c>
    </row>
    <row r="259">
      <c r="A259" t="s">
        <v>3</v>
      </c>
      <c r="B259" s="6" t="s">
        <v>7</v>
      </c>
      <c r="C259" s="6" t="s">
        <v>54</v>
      </c>
      <c r="D259" s="6" t="s">
        <v>100</v>
      </c>
      <c r="E259" s="10" t="s">
        <v>400</v>
      </c>
      <c r="F259" s="6" t="s">
        <v>3135</v>
      </c>
      <c r="G259" s="6" t="s">
        <v>81</v>
      </c>
      <c r="H259" s="6" t="s">
        <v>6120</v>
      </c>
      <c r="I259" s="6" t="s">
        <v>8540</v>
      </c>
      <c r="J259" s="6" t="s">
        <v>9808</v>
      </c>
      <c r="K259" s="6" t="s">
        <v>10886</v>
      </c>
      <c r="L259" s="16" t="n">
        <v>45617</v>
      </c>
      <c r="M259" s="16" t="n">
        <v>45716</v>
      </c>
      <c r="N259" s="6" t="s">
        <v>10886</v>
      </c>
      <c r="O259" s="16" t="n">
        <v>45617</v>
      </c>
      <c r="P259" s="6" t="s">
        <v>11065</v>
      </c>
      <c r="Q259" s="6" t="s">
        <v>81</v>
      </c>
      <c r="R259" s="6" t="s">
        <v>81</v>
      </c>
      <c r="S259" s="6" t="s">
        <v>10886</v>
      </c>
      <c r="T259" s="16" t="n">
        <v>45617</v>
      </c>
      <c r="U259" s="6" t="s">
        <v>13169</v>
      </c>
      <c r="V259" s="6" t="s">
        <v>81</v>
      </c>
      <c r="W259" s="6" t="s">
        <v>81</v>
      </c>
      <c r="X259" s="6" t="s">
        <v>81</v>
      </c>
      <c r="Y259" s="21" t="s">
        <v>81</v>
      </c>
      <c r="Z259" s="6" t="s">
        <v>81</v>
      </c>
      <c r="AA259" s="6" t="s">
        <v>81</v>
      </c>
      <c r="AB259" s="6" t="s">
        <v>81</v>
      </c>
      <c r="AC259" s="6" t="s">
        <v>81</v>
      </c>
      <c r="AD259" s="21" t="s">
        <v>81</v>
      </c>
      <c r="AE259" s="6" t="s">
        <v>81</v>
      </c>
      <c r="AF259" s="6" t="s">
        <v>81</v>
      </c>
      <c r="AG259" s="6" t="s">
        <v>81</v>
      </c>
      <c r="AH259" s="6" t="s">
        <v>14865</v>
      </c>
      <c r="AI259" s="6" t="s">
        <v>81</v>
      </c>
      <c r="AJ259" s="6" t="s">
        <v>17489</v>
      </c>
      <c r="AK259" s="6" t="s">
        <v>18380</v>
      </c>
      <c r="AL259" s="6" t="s">
        <v>18444</v>
      </c>
      <c r="AM259" s="6" t="s">
        <v>18649</v>
      </c>
      <c r="AN259" s="6" t="s">
        <v>81</v>
      </c>
      <c r="AO259" s="6" t="s">
        <v>81</v>
      </c>
      <c r="AP259" s="6" t="s">
        <v>14865</v>
      </c>
      <c r="AQ259" s="6" t="s">
        <v>81</v>
      </c>
      <c r="AR259" s="6" t="s">
        <v>17489</v>
      </c>
      <c r="AS259" s="6" t="s">
        <v>18380</v>
      </c>
      <c r="AT259" s="6" t="s">
        <v>18444</v>
      </c>
      <c r="AU259" s="6" t="s">
        <v>18649</v>
      </c>
      <c r="AV259" s="6" t="s">
        <v>81</v>
      </c>
      <c r="AW259" s="6" t="s">
        <v>81</v>
      </c>
      <c r="AX259" s="6" t="s">
        <v>20898</v>
      </c>
      <c r="AY259" s="6" t="s">
        <v>81</v>
      </c>
      <c r="AZ259" s="6" t="s">
        <v>81</v>
      </c>
      <c r="BA259" s="6" t="s">
        <v>81</v>
      </c>
      <c r="BB259" s="24" t="n">
        <v>61</v>
      </c>
      <c r="BC259" s="26"/>
      <c r="BD259" s="26"/>
      <c r="BE259" s="26"/>
      <c r="BF259" s="26" t="s">
        <v>23900</v>
      </c>
      <c r="BG259" s="26"/>
      <c r="BH259" s="26"/>
      <c r="BI259" s="26"/>
      <c r="BJ259" s="26"/>
      <c r="BK259" s="26"/>
      <c r="BL259" s="26"/>
      <c r="BM259" s="26"/>
      <c r="BN259" s="26"/>
      <c r="BO259" s="26"/>
      <c r="BP259" s="16" t="n">
        <v>45623</v>
      </c>
      <c r="BQ259" s="28" t="str">
        <f>HYPERLINK("https://organic.ams.usda.gov/Integrity/Certificate.aspx?cid=57&amp;nopid=3252024076")</f>
        <v>https://organic.ams.usda.gov/Integrity/Certificate.aspx?cid=57&amp;nopid=3252024076</v>
      </c>
    </row>
    <row r="260">
      <c r="A260" t="s">
        <v>3</v>
      </c>
      <c r="B260" s="6" t="s">
        <v>12</v>
      </c>
      <c r="C260" s="6" t="s">
        <v>59</v>
      </c>
      <c r="D260" s="6" t="s">
        <v>105</v>
      </c>
      <c r="E260" s="10" t="s">
        <v>401</v>
      </c>
      <c r="F260" s="6" t="s">
        <v>3136</v>
      </c>
      <c r="G260" s="6" t="s">
        <v>81</v>
      </c>
      <c r="H260" s="6" t="s">
        <v>6121</v>
      </c>
      <c r="I260" s="6" t="s">
        <v>8541</v>
      </c>
      <c r="J260" s="6" t="s">
        <v>9677</v>
      </c>
      <c r="K260" s="6" t="s">
        <v>10886</v>
      </c>
      <c r="L260" s="16" t="n">
        <v>45050</v>
      </c>
      <c r="M260" s="16" t="n">
        <v>45717</v>
      </c>
      <c r="N260" s="6" t="s">
        <v>10886</v>
      </c>
      <c r="O260" s="16" t="n">
        <v>45050</v>
      </c>
      <c r="P260" s="6" t="s">
        <v>11031</v>
      </c>
      <c r="Q260" s="6" t="s">
        <v>81</v>
      </c>
      <c r="R260" s="6" t="s">
        <v>81</v>
      </c>
      <c r="S260" s="6" t="s">
        <v>10886</v>
      </c>
      <c r="T260" s="16" t="n">
        <v>45202</v>
      </c>
      <c r="U260" s="6" t="s">
        <v>13166</v>
      </c>
      <c r="V260" s="6" t="s">
        <v>81</v>
      </c>
      <c r="W260" s="6" t="s">
        <v>81</v>
      </c>
      <c r="X260" s="6" t="s">
        <v>81</v>
      </c>
      <c r="Y260" s="21" t="s">
        <v>81</v>
      </c>
      <c r="Z260" s="6" t="s">
        <v>81</v>
      </c>
      <c r="AA260" s="6" t="s">
        <v>81</v>
      </c>
      <c r="AB260" s="6" t="s">
        <v>81</v>
      </c>
      <c r="AC260" s="6" t="s">
        <v>81</v>
      </c>
      <c r="AD260" s="21" t="s">
        <v>81</v>
      </c>
      <c r="AE260" s="6" t="s">
        <v>81</v>
      </c>
      <c r="AF260" s="6" t="s">
        <v>81</v>
      </c>
      <c r="AG260" s="6" t="s">
        <v>81</v>
      </c>
      <c r="AH260" s="6" t="s">
        <v>14866</v>
      </c>
      <c r="AI260" s="6" t="s">
        <v>81</v>
      </c>
      <c r="AJ260" s="6" t="s">
        <v>17317</v>
      </c>
      <c r="AK260" s="6" t="s">
        <v>18380</v>
      </c>
      <c r="AL260" s="6" t="s">
        <v>18444</v>
      </c>
      <c r="AM260" s="6" t="s">
        <v>18469</v>
      </c>
      <c r="AN260" s="6" t="s">
        <v>81</v>
      </c>
      <c r="AO260" s="6" t="s">
        <v>81</v>
      </c>
      <c r="AP260" s="6" t="s">
        <v>14866</v>
      </c>
      <c r="AQ260" s="6" t="s">
        <v>81</v>
      </c>
      <c r="AR260" s="6" t="s">
        <v>17317</v>
      </c>
      <c r="AS260" s="6" t="s">
        <v>18380</v>
      </c>
      <c r="AT260" s="6" t="s">
        <v>18444</v>
      </c>
      <c r="AU260" s="6" t="s">
        <v>18469</v>
      </c>
      <c r="AV260" s="6" t="s">
        <v>81</v>
      </c>
      <c r="AW260" s="6" t="s">
        <v>81</v>
      </c>
      <c r="AX260" s="6" t="s">
        <v>20899</v>
      </c>
      <c r="AY260" s="6" t="s">
        <v>81</v>
      </c>
      <c r="AZ260" s="6" t="s">
        <v>81</v>
      </c>
      <c r="BA260" s="6" t="s">
        <v>81</v>
      </c>
      <c r="BB260" s="24" t="n">
        <v>62</v>
      </c>
      <c r="BC260" s="26"/>
      <c r="BD260" s="26"/>
      <c r="BE260" s="26"/>
      <c r="BF260" s="26"/>
      <c r="BG260" s="26"/>
      <c r="BH260" s="26"/>
      <c r="BI260" s="26"/>
      <c r="BJ260" s="26"/>
      <c r="BK260" s="26"/>
      <c r="BL260" s="26"/>
      <c r="BM260" s="26"/>
      <c r="BN260" s="26"/>
      <c r="BO260" s="26"/>
      <c r="BP260" s="16" t="n">
        <v>45684</v>
      </c>
      <c r="BQ260" s="28" t="str">
        <f>HYPERLINK("https://organic.ams.usda.gov/Integrity/Certificate.aspx?cid=68&amp;nopid=8210008627")</f>
        <v>https://organic.ams.usda.gov/Integrity/Certificate.aspx?cid=68&amp;nopid=8210008627</v>
      </c>
    </row>
    <row r="261">
      <c r="A261" t="s">
        <v>3</v>
      </c>
      <c r="B261" s="6" t="s">
        <v>7</v>
      </c>
      <c r="C261" s="6" t="s">
        <v>54</v>
      </c>
      <c r="D261" s="6" t="s">
        <v>100</v>
      </c>
      <c r="E261" s="10" t="s">
        <v>402</v>
      </c>
      <c r="F261" s="6" t="s">
        <v>3137</v>
      </c>
      <c r="G261" s="6" t="s">
        <v>81</v>
      </c>
      <c r="H261" s="6" t="s">
        <v>6122</v>
      </c>
      <c r="I261" s="6" t="s">
        <v>8540</v>
      </c>
      <c r="J261" s="6" t="s">
        <v>9671</v>
      </c>
      <c r="K261" s="6" t="s">
        <v>10886</v>
      </c>
      <c r="L261" s="16" t="n">
        <v>43720</v>
      </c>
      <c r="M261" s="16" t="n">
        <v>45716</v>
      </c>
      <c r="N261" s="6" t="s">
        <v>10886</v>
      </c>
      <c r="O261" s="16" t="n">
        <v>43720</v>
      </c>
      <c r="P261" s="6" t="s">
        <v>10944</v>
      </c>
      <c r="Q261" s="6" t="s">
        <v>81</v>
      </c>
      <c r="R261" s="6" t="s">
        <v>81</v>
      </c>
      <c r="S261" s="6" t="s">
        <v>10886</v>
      </c>
      <c r="T261" s="16" t="n">
        <v>43720</v>
      </c>
      <c r="U261" s="6" t="s">
        <v>13175</v>
      </c>
      <c r="V261" s="6" t="s">
        <v>81</v>
      </c>
      <c r="W261" s="6" t="s">
        <v>81</v>
      </c>
      <c r="X261" s="6" t="s">
        <v>81</v>
      </c>
      <c r="Y261" s="21" t="s">
        <v>81</v>
      </c>
      <c r="Z261" s="6" t="s">
        <v>81</v>
      </c>
      <c r="AA261" s="6" t="s">
        <v>81</v>
      </c>
      <c r="AB261" s="6" t="s">
        <v>81</v>
      </c>
      <c r="AC261" s="6" t="s">
        <v>81</v>
      </c>
      <c r="AD261" s="21" t="s">
        <v>81</v>
      </c>
      <c r="AE261" s="6" t="s">
        <v>81</v>
      </c>
      <c r="AF261" s="6" t="s">
        <v>81</v>
      </c>
      <c r="AG261" s="6" t="s">
        <v>81</v>
      </c>
      <c r="AH261" s="6" t="s">
        <v>14867</v>
      </c>
      <c r="AI261" s="6" t="s">
        <v>81</v>
      </c>
      <c r="AJ261" s="6" t="s">
        <v>17490</v>
      </c>
      <c r="AK261" s="6" t="s">
        <v>17712</v>
      </c>
      <c r="AL261" s="6" t="s">
        <v>18444</v>
      </c>
      <c r="AM261" s="6" t="s">
        <v>18650</v>
      </c>
      <c r="AN261" s="6" t="s">
        <v>19635</v>
      </c>
      <c r="AO261" s="6" t="s">
        <v>19795</v>
      </c>
      <c r="AP261" s="6" t="s">
        <v>14867</v>
      </c>
      <c r="AQ261" s="6" t="s">
        <v>81</v>
      </c>
      <c r="AR261" s="6" t="s">
        <v>17490</v>
      </c>
      <c r="AS261" s="6" t="s">
        <v>17712</v>
      </c>
      <c r="AT261" s="6" t="s">
        <v>18444</v>
      </c>
      <c r="AU261" s="6" t="s">
        <v>18650</v>
      </c>
      <c r="AV261" s="6" t="s">
        <v>81</v>
      </c>
      <c r="AW261" s="6" t="s">
        <v>81</v>
      </c>
      <c r="AX261" s="6" t="s">
        <v>81</v>
      </c>
      <c r="AY261" s="6" t="s">
        <v>81</v>
      </c>
      <c r="AZ261" s="6" t="s">
        <v>81</v>
      </c>
      <c r="BA261" s="6" t="s">
        <v>81</v>
      </c>
      <c r="BB261" s="24" t="n">
        <v>191</v>
      </c>
      <c r="BC261" s="26"/>
      <c r="BD261" s="26"/>
      <c r="BE261" s="26"/>
      <c r="BF261" s="26" t="s">
        <v>23900</v>
      </c>
      <c r="BG261" s="26"/>
      <c r="BH261" s="26"/>
      <c r="BI261" s="26"/>
      <c r="BJ261" s="26"/>
      <c r="BK261" s="26"/>
      <c r="BL261" s="26"/>
      <c r="BM261" s="26"/>
      <c r="BN261" s="26"/>
      <c r="BO261" s="26"/>
      <c r="BP261" s="16" t="n">
        <v>45595</v>
      </c>
      <c r="BQ261" s="28" t="str">
        <f>HYPERLINK("https://organic.ams.usda.gov/Integrity/Certificate.aspx?cid=57&amp;nopid=3252019074")</f>
        <v>https://organic.ams.usda.gov/Integrity/Certificate.aspx?cid=57&amp;nopid=3252019074</v>
      </c>
    </row>
    <row r="262">
      <c r="A262" t="s">
        <v>3</v>
      </c>
      <c r="B262" s="6" t="s">
        <v>7</v>
      </c>
      <c r="C262" s="6" t="s">
        <v>54</v>
      </c>
      <c r="D262" s="6" t="s">
        <v>100</v>
      </c>
      <c r="E262" s="10" t="s">
        <v>403</v>
      </c>
      <c r="F262" s="6" t="s">
        <v>3138</v>
      </c>
      <c r="G262" s="6" t="s">
        <v>81</v>
      </c>
      <c r="H262" s="6" t="s">
        <v>6123</v>
      </c>
      <c r="I262" s="6" t="s">
        <v>8540</v>
      </c>
      <c r="J262" s="6" t="s">
        <v>9671</v>
      </c>
      <c r="K262" s="6" t="s">
        <v>10886</v>
      </c>
      <c r="L262" s="16" t="n">
        <v>45086</v>
      </c>
      <c r="M262" s="16" t="n">
        <v>45716</v>
      </c>
      <c r="N262" s="6" t="s">
        <v>10886</v>
      </c>
      <c r="O262" s="16" t="n">
        <v>45086</v>
      </c>
      <c r="P262" s="6" t="s">
        <v>11016</v>
      </c>
      <c r="Q262" s="6" t="s">
        <v>81</v>
      </c>
      <c r="R262" s="6" t="s">
        <v>81</v>
      </c>
      <c r="S262" s="6" t="s">
        <v>10886</v>
      </c>
      <c r="T262" s="16" t="n">
        <v>45086</v>
      </c>
      <c r="U262" s="6" t="s">
        <v>13175</v>
      </c>
      <c r="V262" s="6" t="s">
        <v>81</v>
      </c>
      <c r="W262" s="6" t="s">
        <v>81</v>
      </c>
      <c r="X262" s="6" t="s">
        <v>81</v>
      </c>
      <c r="Y262" s="21" t="s">
        <v>81</v>
      </c>
      <c r="Z262" s="6" t="s">
        <v>81</v>
      </c>
      <c r="AA262" s="6" t="s">
        <v>81</v>
      </c>
      <c r="AB262" s="6" t="s">
        <v>81</v>
      </c>
      <c r="AC262" s="6" t="s">
        <v>81</v>
      </c>
      <c r="AD262" s="21" t="s">
        <v>81</v>
      </c>
      <c r="AE262" s="6" t="s">
        <v>81</v>
      </c>
      <c r="AF262" s="6" t="s">
        <v>81</v>
      </c>
      <c r="AG262" s="6" t="s">
        <v>81</v>
      </c>
      <c r="AH262" s="6" t="s">
        <v>14868</v>
      </c>
      <c r="AI262" s="6" t="s">
        <v>81</v>
      </c>
      <c r="AJ262" s="6" t="s">
        <v>17490</v>
      </c>
      <c r="AK262" s="6" t="s">
        <v>17712</v>
      </c>
      <c r="AL262" s="6" t="s">
        <v>18444</v>
      </c>
      <c r="AM262" s="6" t="s">
        <v>18650</v>
      </c>
      <c r="AN262" s="6" t="s">
        <v>81</v>
      </c>
      <c r="AO262" s="6" t="s">
        <v>81</v>
      </c>
      <c r="AP262" s="6" t="s">
        <v>14868</v>
      </c>
      <c r="AQ262" s="6" t="s">
        <v>81</v>
      </c>
      <c r="AR262" s="6" t="s">
        <v>17490</v>
      </c>
      <c r="AS262" s="6" t="s">
        <v>17712</v>
      </c>
      <c r="AT262" s="6" t="s">
        <v>18444</v>
      </c>
      <c r="AU262" s="6" t="s">
        <v>18650</v>
      </c>
      <c r="AV262" s="6" t="s">
        <v>81</v>
      </c>
      <c r="AW262" s="6" t="s">
        <v>81</v>
      </c>
      <c r="AX262" s="6" t="s">
        <v>81</v>
      </c>
      <c r="AY262" s="6" t="s">
        <v>81</v>
      </c>
      <c r="AZ262" s="6" t="s">
        <v>81</v>
      </c>
      <c r="BA262" s="6" t="s">
        <v>81</v>
      </c>
      <c r="BB262" s="24" t="n">
        <v>180</v>
      </c>
      <c r="BC262" s="26"/>
      <c r="BD262" s="26"/>
      <c r="BE262" s="26"/>
      <c r="BF262" s="26"/>
      <c r="BG262" s="26"/>
      <c r="BH262" s="26"/>
      <c r="BI262" s="26"/>
      <c r="BJ262" s="26"/>
      <c r="BK262" s="26"/>
      <c r="BL262" s="26"/>
      <c r="BM262" s="26"/>
      <c r="BN262" s="26"/>
      <c r="BO262" s="26"/>
      <c r="BP262" s="16" t="n">
        <v>45595</v>
      </c>
      <c r="BQ262" s="28" t="str">
        <f>HYPERLINK("https://organic.ams.usda.gov/Integrity/Certificate.aspx?cid=57&amp;nopid=3252023047")</f>
        <v>https://organic.ams.usda.gov/Integrity/Certificate.aspx?cid=57&amp;nopid=3252023047</v>
      </c>
    </row>
    <row r="263">
      <c r="A263" t="s">
        <v>3</v>
      </c>
      <c r="B263" s="6" t="s">
        <v>30</v>
      </c>
      <c r="C263" s="6" t="s">
        <v>77</v>
      </c>
      <c r="D263" s="6" t="s">
        <v>123</v>
      </c>
      <c r="E263" s="10" t="s">
        <v>404</v>
      </c>
      <c r="F263" s="6" t="s">
        <v>3139</v>
      </c>
      <c r="G263" s="6" t="s">
        <v>81</v>
      </c>
      <c r="H263" s="6" t="s">
        <v>6124</v>
      </c>
      <c r="I263" s="6" t="s">
        <v>8542</v>
      </c>
      <c r="J263" s="6" t="s">
        <v>9677</v>
      </c>
      <c r="K263" s="6" t="s">
        <v>10886</v>
      </c>
      <c r="L263" s="16" t="n">
        <v>42874</v>
      </c>
      <c r="M263" s="16" t="n">
        <v>45747</v>
      </c>
      <c r="N263" s="6" t="s">
        <v>10886</v>
      </c>
      <c r="O263" s="16" t="n">
        <v>42874</v>
      </c>
      <c r="P263" s="6" t="s">
        <v>11060</v>
      </c>
      <c r="Q263" s="6" t="s">
        <v>81</v>
      </c>
      <c r="R263" s="6" t="s">
        <v>12501</v>
      </c>
      <c r="S263" s="6" t="s">
        <v>10886</v>
      </c>
      <c r="T263" s="16" t="n">
        <v>43441</v>
      </c>
      <c r="U263" s="6" t="s">
        <v>13255</v>
      </c>
      <c r="V263" s="6" t="s">
        <v>81</v>
      </c>
      <c r="W263" s="6" t="s">
        <v>81</v>
      </c>
      <c r="X263" s="6" t="s">
        <v>81</v>
      </c>
      <c r="Y263" s="21" t="s">
        <v>81</v>
      </c>
      <c r="Z263" s="6" t="s">
        <v>81</v>
      </c>
      <c r="AA263" s="6" t="s">
        <v>81</v>
      </c>
      <c r="AB263" s="6" t="s">
        <v>81</v>
      </c>
      <c r="AC263" s="6" t="s">
        <v>81</v>
      </c>
      <c r="AD263" s="21" t="s">
        <v>81</v>
      </c>
      <c r="AE263" s="6" t="s">
        <v>81</v>
      </c>
      <c r="AF263" s="6" t="s">
        <v>81</v>
      </c>
      <c r="AG263" s="6" t="s">
        <v>81</v>
      </c>
      <c r="AH263" s="6" t="s">
        <v>14869</v>
      </c>
      <c r="AI263" s="6" t="s">
        <v>81</v>
      </c>
      <c r="AJ263" s="6" t="s">
        <v>17341</v>
      </c>
      <c r="AK263" s="6" t="s">
        <v>17712</v>
      </c>
      <c r="AL263" s="6" t="s">
        <v>18444</v>
      </c>
      <c r="AM263" s="6" t="s">
        <v>18495</v>
      </c>
      <c r="AN263" s="6" t="s">
        <v>19649</v>
      </c>
      <c r="AO263" s="6" t="s">
        <v>19738</v>
      </c>
      <c r="AP263" s="6" t="s">
        <v>14869</v>
      </c>
      <c r="AQ263" s="6" t="s">
        <v>81</v>
      </c>
      <c r="AR263" s="6" t="s">
        <v>17341</v>
      </c>
      <c r="AS263" s="6" t="s">
        <v>17712</v>
      </c>
      <c r="AT263" s="6" t="s">
        <v>18444</v>
      </c>
      <c r="AU263" s="6" t="s">
        <v>18495</v>
      </c>
      <c r="AV263" s="6" t="s">
        <v>81</v>
      </c>
      <c r="AW263" s="6" t="s">
        <v>81</v>
      </c>
      <c r="AX263" s="6" t="s">
        <v>20900</v>
      </c>
      <c r="AY263" s="6" t="s">
        <v>81</v>
      </c>
      <c r="AZ263" s="6" t="s">
        <v>81</v>
      </c>
      <c r="BA263" s="6" t="s">
        <v>81</v>
      </c>
      <c r="BB263" s="24" t="n">
        <v>159</v>
      </c>
      <c r="BC263" s="26"/>
      <c r="BD263" s="26"/>
      <c r="BE263" s="26"/>
      <c r="BF263" s="26"/>
      <c r="BG263" s="26"/>
      <c r="BH263" s="26"/>
      <c r="BI263" s="26"/>
      <c r="BJ263" s="26"/>
      <c r="BK263" s="26"/>
      <c r="BL263" s="26"/>
      <c r="BM263" s="26"/>
      <c r="BN263" s="26"/>
      <c r="BO263" s="26"/>
      <c r="BP263" s="16" t="n">
        <v>45674</v>
      </c>
      <c r="BQ263" s="28" t="str">
        <f>HYPERLINK("https://organic.ams.usda.gov/Integrity/Certificate.aspx?cid=70&amp;nopid=6431711510")</f>
        <v>https://organic.ams.usda.gov/Integrity/Certificate.aspx?cid=70&amp;nopid=6431711510</v>
      </c>
    </row>
    <row r="264">
      <c r="A264" t="s">
        <v>3</v>
      </c>
      <c r="B264" s="6" t="s">
        <v>12</v>
      </c>
      <c r="C264" s="6" t="s">
        <v>59</v>
      </c>
      <c r="D264" s="6" t="s">
        <v>105</v>
      </c>
      <c r="E264" s="10" t="s">
        <v>405</v>
      </c>
      <c r="F264" s="6" t="s">
        <v>3140</v>
      </c>
      <c r="G264" s="6" t="s">
        <v>81</v>
      </c>
      <c r="H264" s="6" t="s">
        <v>6125</v>
      </c>
      <c r="I264" s="6" t="s">
        <v>8543</v>
      </c>
      <c r="J264" s="6" t="s">
        <v>9671</v>
      </c>
      <c r="K264" s="6" t="s">
        <v>10886</v>
      </c>
      <c r="L264" s="16" t="n">
        <v>44924</v>
      </c>
      <c r="M264" s="16" t="n">
        <v>45717</v>
      </c>
      <c r="N264" s="6" t="s">
        <v>10886</v>
      </c>
      <c r="O264" s="16" t="n">
        <v>44924</v>
      </c>
      <c r="P264" s="6" t="s">
        <v>11066</v>
      </c>
      <c r="Q264" s="6" t="s">
        <v>81</v>
      </c>
      <c r="R264" s="6" t="s">
        <v>81</v>
      </c>
      <c r="S264" s="6" t="s">
        <v>10886</v>
      </c>
      <c r="T264" s="16" t="n">
        <v>44924</v>
      </c>
      <c r="U264" s="6" t="s">
        <v>13183</v>
      </c>
      <c r="V264" s="6" t="s">
        <v>81</v>
      </c>
      <c r="W264" s="6" t="s">
        <v>81</v>
      </c>
      <c r="X264" s="6" t="s">
        <v>81</v>
      </c>
      <c r="Y264" s="21" t="s">
        <v>81</v>
      </c>
      <c r="Z264" s="6" t="s">
        <v>81</v>
      </c>
      <c r="AA264" s="6" t="s">
        <v>81</v>
      </c>
      <c r="AB264" s="6" t="s">
        <v>81</v>
      </c>
      <c r="AC264" s="6" t="s">
        <v>81</v>
      </c>
      <c r="AD264" s="21" t="s">
        <v>81</v>
      </c>
      <c r="AE264" s="6" t="s">
        <v>81</v>
      </c>
      <c r="AF264" s="6" t="s">
        <v>81</v>
      </c>
      <c r="AG264" s="6" t="s">
        <v>81</v>
      </c>
      <c r="AH264" s="6" t="s">
        <v>14870</v>
      </c>
      <c r="AI264" s="6" t="s">
        <v>81</v>
      </c>
      <c r="AJ264" s="6" t="s">
        <v>17491</v>
      </c>
      <c r="AK264" s="6" t="s">
        <v>18380</v>
      </c>
      <c r="AL264" s="6" t="s">
        <v>18444</v>
      </c>
      <c r="AM264" s="6" t="s">
        <v>18651</v>
      </c>
      <c r="AN264" s="6" t="s">
        <v>19665</v>
      </c>
      <c r="AO264" s="6" t="s">
        <v>19755</v>
      </c>
      <c r="AP264" s="6" t="s">
        <v>14870</v>
      </c>
      <c r="AQ264" s="6" t="s">
        <v>81</v>
      </c>
      <c r="AR264" s="6" t="s">
        <v>17491</v>
      </c>
      <c r="AS264" s="6" t="s">
        <v>18380</v>
      </c>
      <c r="AT264" s="6" t="s">
        <v>18444</v>
      </c>
      <c r="AU264" s="6" t="s">
        <v>18651</v>
      </c>
      <c r="AV264" s="6" t="s">
        <v>81</v>
      </c>
      <c r="AW264" s="6" t="s">
        <v>81</v>
      </c>
      <c r="AX264" s="6" t="s">
        <v>20901</v>
      </c>
      <c r="AY264" s="6" t="s">
        <v>81</v>
      </c>
      <c r="AZ264" s="6" t="s">
        <v>81</v>
      </c>
      <c r="BA264" s="6" t="s">
        <v>81</v>
      </c>
      <c r="BB264" s="24" t="n">
        <v>56</v>
      </c>
      <c r="BC264" s="26"/>
      <c r="BD264" s="26"/>
      <c r="BE264" s="26"/>
      <c r="BF264" s="26"/>
      <c r="BG264" s="26"/>
      <c r="BH264" s="26"/>
      <c r="BI264" s="26"/>
      <c r="BJ264" s="26"/>
      <c r="BK264" s="26"/>
      <c r="BL264" s="26"/>
      <c r="BM264" s="26"/>
      <c r="BN264" s="26"/>
      <c r="BO264" s="26"/>
      <c r="BP264" s="16" t="n">
        <v>45684</v>
      </c>
      <c r="BQ264" s="28" t="str">
        <f>HYPERLINK("https://organic.ams.usda.gov/Integrity/Certificate.aspx?cid=68&amp;nopid=8210001247")</f>
        <v>https://organic.ams.usda.gov/Integrity/Certificate.aspx?cid=68&amp;nopid=8210001247</v>
      </c>
    </row>
    <row r="265">
      <c r="A265" t="s">
        <v>3</v>
      </c>
      <c r="B265" s="6" t="s">
        <v>25</v>
      </c>
      <c r="C265" s="6" t="s">
        <v>72</v>
      </c>
      <c r="D265" s="6" t="s">
        <v>118</v>
      </c>
      <c r="E265" s="10" t="s">
        <v>406</v>
      </c>
      <c r="F265" s="6" t="s">
        <v>3141</v>
      </c>
      <c r="G265" s="6" t="s">
        <v>81</v>
      </c>
      <c r="H265" s="6" t="s">
        <v>6126</v>
      </c>
      <c r="I265" s="6" t="s">
        <v>8544</v>
      </c>
      <c r="J265" s="6" t="s">
        <v>9809</v>
      </c>
      <c r="K265" s="6" t="s">
        <v>10886</v>
      </c>
      <c r="L265" s="16" t="n">
        <v>38909</v>
      </c>
      <c r="M265" s="16" t="n">
        <v>46023</v>
      </c>
      <c r="N265" s="6" t="s">
        <v>10886</v>
      </c>
      <c r="O265" s="16" t="n">
        <v>38909</v>
      </c>
      <c r="P265" s="6" t="s">
        <v>11067</v>
      </c>
      <c r="Q265" s="6" t="s">
        <v>81</v>
      </c>
      <c r="R265" s="6" t="s">
        <v>81</v>
      </c>
      <c r="S265" s="6" t="s">
        <v>10886</v>
      </c>
      <c r="T265" s="16" t="n">
        <v>38909</v>
      </c>
      <c r="U265" s="6" t="s">
        <v>13256</v>
      </c>
      <c r="V265" s="6" t="s">
        <v>81</v>
      </c>
      <c r="W265" s="6" t="s">
        <v>81</v>
      </c>
      <c r="X265" s="6" t="s">
        <v>81</v>
      </c>
      <c r="Y265" s="21" t="s">
        <v>81</v>
      </c>
      <c r="Z265" s="6" t="s">
        <v>81</v>
      </c>
      <c r="AA265" s="6" t="s">
        <v>81</v>
      </c>
      <c r="AB265" s="6" t="s">
        <v>81</v>
      </c>
      <c r="AC265" s="6" t="s">
        <v>10886</v>
      </c>
      <c r="AD265" s="16" t="n">
        <v>44733</v>
      </c>
      <c r="AE265" s="6" t="s">
        <v>14055</v>
      </c>
      <c r="AF265" s="6" t="s">
        <v>81</v>
      </c>
      <c r="AG265" s="6" t="s">
        <v>81</v>
      </c>
      <c r="AH265" s="6" t="s">
        <v>14871</v>
      </c>
      <c r="AI265" s="6" t="s">
        <v>81</v>
      </c>
      <c r="AJ265" s="6" t="s">
        <v>17421</v>
      </c>
      <c r="AK265" s="6" t="s">
        <v>18386</v>
      </c>
      <c r="AL265" s="6" t="s">
        <v>18444</v>
      </c>
      <c r="AM265" s="6" t="s">
        <v>18578</v>
      </c>
      <c r="AN265" s="6" t="s">
        <v>19672</v>
      </c>
      <c r="AO265" s="6" t="s">
        <v>19787</v>
      </c>
      <c r="AP265" s="6" t="s">
        <v>20117</v>
      </c>
      <c r="AQ265" s="6" t="s">
        <v>81</v>
      </c>
      <c r="AR265" s="6" t="s">
        <v>17421</v>
      </c>
      <c r="AS265" s="6" t="s">
        <v>18386</v>
      </c>
      <c r="AT265" s="6" t="s">
        <v>18444</v>
      </c>
      <c r="AU265" s="6" t="s">
        <v>18578</v>
      </c>
      <c r="AV265" s="6" t="s">
        <v>81</v>
      </c>
      <c r="AW265" s="6" t="s">
        <v>81</v>
      </c>
      <c r="AX265" s="6" t="s">
        <v>20902</v>
      </c>
      <c r="AY265" s="6" t="s">
        <v>22631</v>
      </c>
      <c r="AZ265" s="6" t="s">
        <v>81</v>
      </c>
      <c r="BA265" s="6" t="s">
        <v>23832</v>
      </c>
      <c r="BB265" s="24" t="n">
        <v>846</v>
      </c>
      <c r="BC265" s="26"/>
      <c r="BD265" s="26"/>
      <c r="BE265" s="26"/>
      <c r="BF265" s="26"/>
      <c r="BG265" s="26"/>
      <c r="BH265" s="26"/>
      <c r="BI265" s="26"/>
      <c r="BJ265" s="26"/>
      <c r="BK265" s="26"/>
      <c r="BL265" s="26"/>
      <c r="BM265" s="26"/>
      <c r="BN265" s="26"/>
      <c r="BO265" s="26"/>
      <c r="BP265" s="16" t="n">
        <v>45667</v>
      </c>
      <c r="BQ265" s="28" t="str">
        <f>HYPERLINK("https://organic.ams.usda.gov/Integrity/Certificate.aspx?cid=15&amp;nopid=5561001286")</f>
        <v>https://organic.ams.usda.gov/Integrity/Certificate.aspx?cid=15&amp;nopid=5561001286</v>
      </c>
    </row>
    <row r="266">
      <c r="A266" t="s">
        <v>3</v>
      </c>
      <c r="B266" s="6" t="s">
        <v>18</v>
      </c>
      <c r="C266" s="6" t="s">
        <v>65</v>
      </c>
      <c r="D266" s="6" t="s">
        <v>111</v>
      </c>
      <c r="E266" s="10" t="s">
        <v>407</v>
      </c>
      <c r="F266" s="6" t="s">
        <v>3142</v>
      </c>
      <c r="G266" s="6" t="s">
        <v>81</v>
      </c>
      <c r="H266" s="6" t="s">
        <v>407</v>
      </c>
      <c r="I266" s="6" t="s">
        <v>8545</v>
      </c>
      <c r="J266" s="6" t="s">
        <v>9810</v>
      </c>
      <c r="K266" s="6" t="s">
        <v>10886</v>
      </c>
      <c r="L266" s="16" t="n">
        <v>43388</v>
      </c>
      <c r="M266" s="16" t="n">
        <v>45748</v>
      </c>
      <c r="N266" s="6" t="s">
        <v>10886</v>
      </c>
      <c r="O266" s="16" t="n">
        <v>43388</v>
      </c>
      <c r="P266" s="6" t="s">
        <v>11068</v>
      </c>
      <c r="Q266" s="6" t="s">
        <v>81</v>
      </c>
      <c r="R266" s="6" t="s">
        <v>3142</v>
      </c>
      <c r="S266" s="6" t="s">
        <v>10886</v>
      </c>
      <c r="T266" s="16" t="n">
        <v>43388</v>
      </c>
      <c r="U266" s="6" t="s">
        <v>13257</v>
      </c>
      <c r="V266" s="6" t="s">
        <v>81</v>
      </c>
      <c r="W266" s="6" t="s">
        <v>3142</v>
      </c>
      <c r="X266" s="6" t="s">
        <v>81</v>
      </c>
      <c r="Y266" s="21" t="s">
        <v>81</v>
      </c>
      <c r="Z266" s="6" t="s">
        <v>81</v>
      </c>
      <c r="AA266" s="6" t="s">
        <v>81</v>
      </c>
      <c r="AB266" s="6" t="s">
        <v>81</v>
      </c>
      <c r="AC266" s="6" t="s">
        <v>10886</v>
      </c>
      <c r="AD266" s="16" t="n">
        <v>43388</v>
      </c>
      <c r="AE266" s="6" t="s">
        <v>14056</v>
      </c>
      <c r="AF266" s="6" t="s">
        <v>81</v>
      </c>
      <c r="AG266" s="6" t="s">
        <v>3142</v>
      </c>
      <c r="AH266" s="6" t="s">
        <v>14872</v>
      </c>
      <c r="AI266" s="6" t="s">
        <v>81</v>
      </c>
      <c r="AJ266" s="6" t="s">
        <v>17492</v>
      </c>
      <c r="AK266" s="6" t="s">
        <v>17712</v>
      </c>
      <c r="AL266" s="6" t="s">
        <v>18444</v>
      </c>
      <c r="AM266" s="6" t="s">
        <v>18652</v>
      </c>
      <c r="AN266" s="6" t="s">
        <v>19673</v>
      </c>
      <c r="AO266" s="6" t="s">
        <v>19819</v>
      </c>
      <c r="AP266" s="6" t="s">
        <v>14872</v>
      </c>
      <c r="AQ266" s="6" t="s">
        <v>81</v>
      </c>
      <c r="AR266" s="6" t="s">
        <v>17492</v>
      </c>
      <c r="AS266" s="6" t="s">
        <v>17712</v>
      </c>
      <c r="AT266" s="6" t="s">
        <v>18444</v>
      </c>
      <c r="AU266" s="6" t="s">
        <v>18652</v>
      </c>
      <c r="AV266" s="6" t="s">
        <v>81</v>
      </c>
      <c r="AW266" s="6" t="s">
        <v>81</v>
      </c>
      <c r="AX266" s="6" t="s">
        <v>20903</v>
      </c>
      <c r="AY266" s="6" t="s">
        <v>22632</v>
      </c>
      <c r="AZ266" s="6" t="s">
        <v>23595</v>
      </c>
      <c r="BA266" s="6" t="s">
        <v>81</v>
      </c>
      <c r="BB266" s="24" t="n">
        <v>591</v>
      </c>
      <c r="BC266" s="26"/>
      <c r="BD266" s="26"/>
      <c r="BE266" s="26"/>
      <c r="BF266" s="26" t="s">
        <v>23900</v>
      </c>
      <c r="BG266" s="26"/>
      <c r="BH266" s="26"/>
      <c r="BI266" s="26"/>
      <c r="BJ266" s="26"/>
      <c r="BK266" s="26"/>
      <c r="BL266" s="26"/>
      <c r="BM266" s="26"/>
      <c r="BN266" s="26"/>
      <c r="BO266" s="26"/>
      <c r="BP266" s="16" t="n">
        <v>45707</v>
      </c>
      <c r="BQ266" s="28" t="str">
        <f>HYPERLINK("https://organic.ams.usda.gov/Integrity/Certificate.aspx?cid=8&amp;nopid=2201806300")</f>
        <v>https://organic.ams.usda.gov/Integrity/Certificate.aspx?cid=8&amp;nopid=2201806300</v>
      </c>
    </row>
    <row r="267">
      <c r="A267" t="s">
        <v>3</v>
      </c>
      <c r="B267" s="6" t="s">
        <v>11</v>
      </c>
      <c r="C267" s="6" t="s">
        <v>58</v>
      </c>
      <c r="D267" s="6" t="s">
        <v>104</v>
      </c>
      <c r="E267" s="10" t="s">
        <v>408</v>
      </c>
      <c r="F267" s="6" t="s">
        <v>3143</v>
      </c>
      <c r="G267" s="6" t="s">
        <v>81</v>
      </c>
      <c r="H267" s="6" t="s">
        <v>81</v>
      </c>
      <c r="I267" s="6" t="s">
        <v>8546</v>
      </c>
      <c r="J267" s="6" t="s">
        <v>9811</v>
      </c>
      <c r="K267" s="6" t="s">
        <v>10886</v>
      </c>
      <c r="L267" s="16" t="n">
        <v>45561</v>
      </c>
      <c r="M267" s="16" t="n">
        <v>45748</v>
      </c>
      <c r="N267" s="6" t="s">
        <v>10886</v>
      </c>
      <c r="O267" s="16" t="n">
        <v>45561</v>
      </c>
      <c r="P267" s="6" t="s">
        <v>11069</v>
      </c>
      <c r="Q267" s="6" t="s">
        <v>81</v>
      </c>
      <c r="R267" s="6" t="s">
        <v>81</v>
      </c>
      <c r="S267" s="6" t="s">
        <v>10886</v>
      </c>
      <c r="T267" s="16" t="n">
        <v>45561</v>
      </c>
      <c r="U267" s="6" t="s">
        <v>13258</v>
      </c>
      <c r="V267" s="6" t="s">
        <v>81</v>
      </c>
      <c r="W267" s="6" t="s">
        <v>81</v>
      </c>
      <c r="X267" s="6" t="s">
        <v>81</v>
      </c>
      <c r="Y267" s="21" t="s">
        <v>81</v>
      </c>
      <c r="Z267" s="6" t="s">
        <v>81</v>
      </c>
      <c r="AA267" s="6" t="s">
        <v>81</v>
      </c>
      <c r="AB267" s="6" t="s">
        <v>81</v>
      </c>
      <c r="AC267" s="6" t="s">
        <v>81</v>
      </c>
      <c r="AD267" s="21" t="s">
        <v>81</v>
      </c>
      <c r="AE267" s="6" t="s">
        <v>81</v>
      </c>
      <c r="AF267" s="6" t="s">
        <v>81</v>
      </c>
      <c r="AG267" s="6" t="s">
        <v>81</v>
      </c>
      <c r="AH267" s="6" t="s">
        <v>14873</v>
      </c>
      <c r="AI267" s="6" t="s">
        <v>81</v>
      </c>
      <c r="AJ267" s="6" t="s">
        <v>17493</v>
      </c>
      <c r="AK267" s="6" t="s">
        <v>18377</v>
      </c>
      <c r="AL267" s="6" t="s">
        <v>18444</v>
      </c>
      <c r="AM267" s="6" t="s">
        <v>18653</v>
      </c>
      <c r="AN267" s="6" t="s">
        <v>81</v>
      </c>
      <c r="AO267" s="6" t="s">
        <v>81</v>
      </c>
      <c r="AP267" s="6" t="s">
        <v>14873</v>
      </c>
      <c r="AQ267" s="6" t="s">
        <v>81</v>
      </c>
      <c r="AR267" s="6" t="s">
        <v>17493</v>
      </c>
      <c r="AS267" s="6" t="s">
        <v>18377</v>
      </c>
      <c r="AT267" s="6" t="s">
        <v>18444</v>
      </c>
      <c r="AU267" s="6" t="s">
        <v>18653</v>
      </c>
      <c r="AV267" s="6" t="s">
        <v>81</v>
      </c>
      <c r="AW267" s="6" t="s">
        <v>81</v>
      </c>
      <c r="AX267" s="6" t="s">
        <v>81</v>
      </c>
      <c r="AY267" s="6" t="s">
        <v>81</v>
      </c>
      <c r="AZ267" s="6" t="s">
        <v>81</v>
      </c>
      <c r="BA267" s="6" t="s">
        <v>23820</v>
      </c>
      <c r="BB267" s="24" t="n">
        <v>154</v>
      </c>
      <c r="BC267" s="26"/>
      <c r="BD267" s="26"/>
      <c r="BE267" s="26"/>
      <c r="BF267" s="26"/>
      <c r="BG267" s="26"/>
      <c r="BH267" s="26"/>
      <c r="BI267" s="26"/>
      <c r="BJ267" s="26"/>
      <c r="BK267" s="26"/>
      <c r="BL267" s="26"/>
      <c r="BM267" s="26"/>
      <c r="BN267" s="26"/>
      <c r="BO267" s="26"/>
      <c r="BP267" s="16" t="n">
        <v>45561</v>
      </c>
      <c r="BQ267" s="28" t="str">
        <f>HYPERLINK("https://organic.ams.usda.gov/Integrity/Certificate.aspx?cid=46&amp;nopid=3672400056")</f>
        <v>https://organic.ams.usda.gov/Integrity/Certificate.aspx?cid=46&amp;nopid=3672400056</v>
      </c>
    </row>
    <row r="268">
      <c r="A268" t="s">
        <v>3</v>
      </c>
      <c r="B268" s="6" t="s">
        <v>33</v>
      </c>
      <c r="C268" s="6" t="s">
        <v>80</v>
      </c>
      <c r="D268" s="6" t="s">
        <v>126</v>
      </c>
      <c r="E268" s="10" t="s">
        <v>409</v>
      </c>
      <c r="F268" s="6" t="s">
        <v>3144</v>
      </c>
      <c r="G268" s="6" t="s">
        <v>81</v>
      </c>
      <c r="H268" s="6" t="s">
        <v>6127</v>
      </c>
      <c r="I268" s="6" t="s">
        <v>8547</v>
      </c>
      <c r="J268" s="6" t="s">
        <v>9029</v>
      </c>
      <c r="K268" s="6" t="s">
        <v>10886</v>
      </c>
      <c r="L268" s="16" t="n">
        <v>40765</v>
      </c>
      <c r="M268" s="16" t="n">
        <v>46054</v>
      </c>
      <c r="N268" s="6" t="s">
        <v>81</v>
      </c>
      <c r="O268" s="21" t="s">
        <v>81</v>
      </c>
      <c r="P268" s="6" t="s">
        <v>81</v>
      </c>
      <c r="Q268" s="6" t="s">
        <v>81</v>
      </c>
      <c r="R268" s="6" t="s">
        <v>81</v>
      </c>
      <c r="S268" s="6" t="s">
        <v>81</v>
      </c>
      <c r="T268" s="21" t="s">
        <v>81</v>
      </c>
      <c r="U268" s="6" t="s">
        <v>81</v>
      </c>
      <c r="V268" s="6" t="s">
        <v>81</v>
      </c>
      <c r="W268" s="6" t="s">
        <v>81</v>
      </c>
      <c r="X268" s="6" t="s">
        <v>81</v>
      </c>
      <c r="Y268" s="21" t="s">
        <v>81</v>
      </c>
      <c r="Z268" s="6" t="s">
        <v>81</v>
      </c>
      <c r="AA268" s="6" t="s">
        <v>81</v>
      </c>
      <c r="AB268" s="6" t="s">
        <v>81</v>
      </c>
      <c r="AC268" s="6" t="s">
        <v>10886</v>
      </c>
      <c r="AD268" s="16" t="n">
        <v>40765</v>
      </c>
      <c r="AE268" s="6" t="s">
        <v>14057</v>
      </c>
      <c r="AF268" s="6" t="s">
        <v>81</v>
      </c>
      <c r="AG268" s="6" t="s">
        <v>6127</v>
      </c>
      <c r="AH268" s="6" t="s">
        <v>14874</v>
      </c>
      <c r="AI268" s="6" t="s">
        <v>81</v>
      </c>
      <c r="AJ268" s="6" t="s">
        <v>17494</v>
      </c>
      <c r="AK268" s="6" t="s">
        <v>18402</v>
      </c>
      <c r="AL268" s="6" t="s">
        <v>18444</v>
      </c>
      <c r="AM268" s="6" t="s">
        <v>18654</v>
      </c>
      <c r="AN268" s="6" t="s">
        <v>19635</v>
      </c>
      <c r="AO268" s="6" t="s">
        <v>19820</v>
      </c>
      <c r="AP268" s="6" t="s">
        <v>14874</v>
      </c>
      <c r="AQ268" s="6" t="s">
        <v>81</v>
      </c>
      <c r="AR268" s="6" t="s">
        <v>17494</v>
      </c>
      <c r="AS268" s="6" t="s">
        <v>18402</v>
      </c>
      <c r="AT268" s="6" t="s">
        <v>18444</v>
      </c>
      <c r="AU268" s="6" t="s">
        <v>18654</v>
      </c>
      <c r="AV268" s="6" t="s">
        <v>81</v>
      </c>
      <c r="AW268" s="6" t="s">
        <v>81</v>
      </c>
      <c r="AX268" s="6" t="s">
        <v>20904</v>
      </c>
      <c r="AY268" s="6" t="s">
        <v>22633</v>
      </c>
      <c r="AZ268" s="6" t="s">
        <v>23596</v>
      </c>
      <c r="BA268" s="6" t="s">
        <v>81</v>
      </c>
      <c r="BB268" s="24" t="n">
        <v>0</v>
      </c>
      <c r="BC268" s="26"/>
      <c r="BD268" s="26"/>
      <c r="BE268" s="26" t="s">
        <v>23900</v>
      </c>
      <c r="BF268" s="26"/>
      <c r="BG268" s="26"/>
      <c r="BH268" s="26"/>
      <c r="BI268" s="26"/>
      <c r="BJ268" s="26"/>
      <c r="BK268" s="26"/>
      <c r="BL268" s="26" t="s">
        <v>23900</v>
      </c>
      <c r="BM268" s="26"/>
      <c r="BN268" s="26"/>
      <c r="BO268" s="26"/>
      <c r="BP268" s="16" t="n">
        <v>45699</v>
      </c>
      <c r="BQ268" s="28" t="str">
        <f>HYPERLINK("https://organic.ams.usda.gov/Integrity/Certificate.aspx?cid=80&amp;nopid=5090311501")</f>
        <v>https://organic.ams.usda.gov/Integrity/Certificate.aspx?cid=80&amp;nopid=5090311501</v>
      </c>
    </row>
    <row r="269">
      <c r="A269" t="s">
        <v>3</v>
      </c>
      <c r="B269" s="6" t="s">
        <v>10</v>
      </c>
      <c r="C269" s="6" t="s">
        <v>57</v>
      </c>
      <c r="D269" s="6" t="s">
        <v>103</v>
      </c>
      <c r="E269" s="10" t="s">
        <v>410</v>
      </c>
      <c r="F269" s="6" t="s">
        <v>3145</v>
      </c>
      <c r="G269" s="6" t="s">
        <v>81</v>
      </c>
      <c r="H269" s="6" t="s">
        <v>6128</v>
      </c>
      <c r="I269" s="6" t="s">
        <v>8548</v>
      </c>
      <c r="J269" s="6" t="s">
        <v>9726</v>
      </c>
      <c r="K269" s="6" t="s">
        <v>10886</v>
      </c>
      <c r="L269" s="16" t="n">
        <v>39970</v>
      </c>
      <c r="M269" s="16" t="n">
        <v>45748</v>
      </c>
      <c r="N269" s="6" t="s">
        <v>10886</v>
      </c>
      <c r="O269" s="16" t="n">
        <v>39970</v>
      </c>
      <c r="P269" s="6" t="s">
        <v>11036</v>
      </c>
      <c r="Q269" s="6" t="s">
        <v>81</v>
      </c>
      <c r="R269" s="6" t="s">
        <v>12502</v>
      </c>
      <c r="S269" s="6" t="s">
        <v>10886</v>
      </c>
      <c r="T269" s="16" t="n">
        <v>39970</v>
      </c>
      <c r="U269" s="6" t="s">
        <v>13259</v>
      </c>
      <c r="V269" s="6" t="s">
        <v>81</v>
      </c>
      <c r="W269" s="6" t="s">
        <v>81</v>
      </c>
      <c r="X269" s="6" t="s">
        <v>81</v>
      </c>
      <c r="Y269" s="21" t="s">
        <v>81</v>
      </c>
      <c r="Z269" s="6" t="s">
        <v>81</v>
      </c>
      <c r="AA269" s="6" t="s">
        <v>81</v>
      </c>
      <c r="AB269" s="6" t="s">
        <v>81</v>
      </c>
      <c r="AC269" s="6" t="s">
        <v>81</v>
      </c>
      <c r="AD269" s="21" t="s">
        <v>81</v>
      </c>
      <c r="AE269" s="6" t="s">
        <v>81</v>
      </c>
      <c r="AF269" s="6" t="s">
        <v>81</v>
      </c>
      <c r="AG269" s="6" t="s">
        <v>81</v>
      </c>
      <c r="AH269" s="6" t="s">
        <v>14875</v>
      </c>
      <c r="AI269" s="6" t="s">
        <v>81</v>
      </c>
      <c r="AJ269" s="6" t="s">
        <v>17495</v>
      </c>
      <c r="AK269" s="6" t="s">
        <v>18391</v>
      </c>
      <c r="AL269" s="6" t="s">
        <v>18444</v>
      </c>
      <c r="AM269" s="6" t="s">
        <v>18655</v>
      </c>
      <c r="AN269" s="6" t="s">
        <v>6842</v>
      </c>
      <c r="AO269" s="6" t="s">
        <v>19821</v>
      </c>
      <c r="AP269" s="6" t="s">
        <v>14875</v>
      </c>
      <c r="AQ269" s="6" t="s">
        <v>81</v>
      </c>
      <c r="AR269" s="6" t="s">
        <v>17495</v>
      </c>
      <c r="AS269" s="6" t="s">
        <v>18391</v>
      </c>
      <c r="AT269" s="6" t="s">
        <v>18444</v>
      </c>
      <c r="AU269" s="6" t="s">
        <v>18655</v>
      </c>
      <c r="AV269" s="6" t="s">
        <v>81</v>
      </c>
      <c r="AW269" s="6" t="s">
        <v>81</v>
      </c>
      <c r="AX269" s="6" t="s">
        <v>20905</v>
      </c>
      <c r="AY269" s="6" t="s">
        <v>22634</v>
      </c>
      <c r="AZ269" s="6" t="s">
        <v>81</v>
      </c>
      <c r="BA269" s="6" t="s">
        <v>81</v>
      </c>
      <c r="BB269" s="24" t="n">
        <v>152</v>
      </c>
      <c r="BC269" s="26"/>
      <c r="BD269" s="26"/>
      <c r="BE269" s="26"/>
      <c r="BF269" s="26"/>
      <c r="BG269" s="26"/>
      <c r="BH269" s="26"/>
      <c r="BI269" s="26"/>
      <c r="BJ269" s="26"/>
      <c r="BK269" s="26"/>
      <c r="BL269" s="26"/>
      <c r="BM269" s="26"/>
      <c r="BN269" s="26"/>
      <c r="BO269" s="26"/>
      <c r="BP269" s="16" t="n">
        <v>45730</v>
      </c>
      <c r="BQ269" s="28" t="str">
        <f>HYPERLINK("https://organic.ams.usda.gov/Integrity/Certificate.aspx?cid=90&amp;nopid=7170020212")</f>
        <v>https://organic.ams.usda.gov/Integrity/Certificate.aspx?cid=90&amp;nopid=7170020212</v>
      </c>
    </row>
    <row r="270">
      <c r="A270" t="s">
        <v>3</v>
      </c>
      <c r="B270" s="6" t="s">
        <v>12</v>
      </c>
      <c r="C270" s="6" t="s">
        <v>59</v>
      </c>
      <c r="D270" s="6" t="s">
        <v>105</v>
      </c>
      <c r="E270" s="10" t="s">
        <v>411</v>
      </c>
      <c r="F270" s="6" t="s">
        <v>3146</v>
      </c>
      <c r="G270" s="6" t="s">
        <v>81</v>
      </c>
      <c r="H270" s="6" t="s">
        <v>6129</v>
      </c>
      <c r="I270" s="6" t="s">
        <v>8549</v>
      </c>
      <c r="J270" s="6" t="s">
        <v>9812</v>
      </c>
      <c r="K270" s="6" t="s">
        <v>10886</v>
      </c>
      <c r="L270" s="16" t="n">
        <v>42265</v>
      </c>
      <c r="M270" s="16" t="n">
        <v>45717</v>
      </c>
      <c r="N270" s="6" t="s">
        <v>10886</v>
      </c>
      <c r="O270" s="16" t="n">
        <v>42265</v>
      </c>
      <c r="P270" s="6" t="s">
        <v>11070</v>
      </c>
      <c r="Q270" s="6" t="s">
        <v>81</v>
      </c>
      <c r="R270" s="6" t="s">
        <v>81</v>
      </c>
      <c r="S270" s="6" t="s">
        <v>10886</v>
      </c>
      <c r="T270" s="16" t="n">
        <v>42265</v>
      </c>
      <c r="U270" s="6" t="s">
        <v>13166</v>
      </c>
      <c r="V270" s="6" t="s">
        <v>81</v>
      </c>
      <c r="W270" s="6" t="s">
        <v>81</v>
      </c>
      <c r="X270" s="6" t="s">
        <v>81</v>
      </c>
      <c r="Y270" s="21" t="s">
        <v>81</v>
      </c>
      <c r="Z270" s="6" t="s">
        <v>81</v>
      </c>
      <c r="AA270" s="6" t="s">
        <v>81</v>
      </c>
      <c r="AB270" s="6" t="s">
        <v>81</v>
      </c>
      <c r="AC270" s="6" t="s">
        <v>81</v>
      </c>
      <c r="AD270" s="21" t="s">
        <v>81</v>
      </c>
      <c r="AE270" s="6" t="s">
        <v>81</v>
      </c>
      <c r="AF270" s="6" t="s">
        <v>81</v>
      </c>
      <c r="AG270" s="6" t="s">
        <v>81</v>
      </c>
      <c r="AH270" s="6" t="s">
        <v>14876</v>
      </c>
      <c r="AI270" s="6" t="s">
        <v>81</v>
      </c>
      <c r="AJ270" s="6" t="s">
        <v>17349</v>
      </c>
      <c r="AK270" s="6" t="s">
        <v>17712</v>
      </c>
      <c r="AL270" s="6" t="s">
        <v>18444</v>
      </c>
      <c r="AM270" s="6" t="s">
        <v>18503</v>
      </c>
      <c r="AN270" s="6" t="s">
        <v>19653</v>
      </c>
      <c r="AO270" s="6" t="s">
        <v>19744</v>
      </c>
      <c r="AP270" s="6" t="s">
        <v>14876</v>
      </c>
      <c r="AQ270" s="6" t="s">
        <v>81</v>
      </c>
      <c r="AR270" s="6" t="s">
        <v>17349</v>
      </c>
      <c r="AS270" s="6" t="s">
        <v>17712</v>
      </c>
      <c r="AT270" s="6" t="s">
        <v>18444</v>
      </c>
      <c r="AU270" s="6" t="s">
        <v>18503</v>
      </c>
      <c r="AV270" s="6" t="s">
        <v>81</v>
      </c>
      <c r="AW270" s="6" t="s">
        <v>81</v>
      </c>
      <c r="AX270" s="6" t="s">
        <v>20906</v>
      </c>
      <c r="AY270" s="6" t="s">
        <v>22635</v>
      </c>
      <c r="AZ270" s="6" t="s">
        <v>81</v>
      </c>
      <c r="BA270" s="6" t="s">
        <v>81</v>
      </c>
      <c r="BB270" s="24" t="n">
        <v>922</v>
      </c>
      <c r="BC270" s="26"/>
      <c r="BD270" s="26"/>
      <c r="BE270" s="26"/>
      <c r="BF270" s="26"/>
      <c r="BG270" s="26"/>
      <c r="BH270" s="26"/>
      <c r="BI270" s="26"/>
      <c r="BJ270" s="26"/>
      <c r="BK270" s="26"/>
      <c r="BL270" s="26"/>
      <c r="BM270" s="26"/>
      <c r="BN270" s="26"/>
      <c r="BO270" s="26"/>
      <c r="BP270" s="16" t="n">
        <v>45684</v>
      </c>
      <c r="BQ270" s="28" t="str">
        <f>HYPERLINK("https://organic.ams.usda.gov/Integrity/Certificate.aspx?cid=68&amp;nopid=8210003641")</f>
        <v>https://organic.ams.usda.gov/Integrity/Certificate.aspx?cid=68&amp;nopid=8210003641</v>
      </c>
    </row>
    <row r="271">
      <c r="A271" t="s">
        <v>3</v>
      </c>
      <c r="B271" s="6" t="s">
        <v>21</v>
      </c>
      <c r="C271" s="6" t="s">
        <v>68</v>
      </c>
      <c r="D271" s="6" t="s">
        <v>114</v>
      </c>
      <c r="E271" s="10" t="s">
        <v>412</v>
      </c>
      <c r="F271" s="6" t="s">
        <v>3147</v>
      </c>
      <c r="G271" s="6" t="s">
        <v>81</v>
      </c>
      <c r="H271" s="6" t="s">
        <v>6130</v>
      </c>
      <c r="I271" s="6" t="s">
        <v>8550</v>
      </c>
      <c r="J271" s="6" t="s">
        <v>9813</v>
      </c>
      <c r="K271" s="6" t="s">
        <v>10886</v>
      </c>
      <c r="L271" s="16" t="n">
        <v>40290</v>
      </c>
      <c r="M271" s="16" t="n">
        <v>46113</v>
      </c>
      <c r="N271" s="6" t="s">
        <v>81</v>
      </c>
      <c r="O271" s="21" t="s">
        <v>81</v>
      </c>
      <c r="P271" s="6" t="s">
        <v>81</v>
      </c>
      <c r="Q271" s="6" t="s">
        <v>81</v>
      </c>
      <c r="R271" s="6" t="s">
        <v>81</v>
      </c>
      <c r="S271" s="6" t="s">
        <v>81</v>
      </c>
      <c r="T271" s="21" t="s">
        <v>81</v>
      </c>
      <c r="U271" s="6" t="s">
        <v>81</v>
      </c>
      <c r="V271" s="6" t="s">
        <v>81</v>
      </c>
      <c r="W271" s="6" t="s">
        <v>81</v>
      </c>
      <c r="X271" s="6" t="s">
        <v>81</v>
      </c>
      <c r="Y271" s="21" t="s">
        <v>81</v>
      </c>
      <c r="Z271" s="6" t="s">
        <v>81</v>
      </c>
      <c r="AA271" s="6" t="s">
        <v>81</v>
      </c>
      <c r="AB271" s="6" t="s">
        <v>81</v>
      </c>
      <c r="AC271" s="6" t="s">
        <v>10886</v>
      </c>
      <c r="AD271" s="16" t="n">
        <v>40290</v>
      </c>
      <c r="AE271" s="6" t="s">
        <v>14058</v>
      </c>
      <c r="AF271" s="6" t="s">
        <v>81</v>
      </c>
      <c r="AG271" s="6" t="s">
        <v>81</v>
      </c>
      <c r="AH271" s="6" t="s">
        <v>81</v>
      </c>
      <c r="AI271" s="6" t="s">
        <v>81</v>
      </c>
      <c r="AJ271" s="6" t="s">
        <v>81</v>
      </c>
      <c r="AK271" s="6" t="s">
        <v>81</v>
      </c>
      <c r="AL271" s="6" t="s">
        <v>81</v>
      </c>
      <c r="AM271" s="6" t="s">
        <v>81</v>
      </c>
      <c r="AN271" s="6" t="s">
        <v>81</v>
      </c>
      <c r="AO271" s="6" t="s">
        <v>81</v>
      </c>
      <c r="AP271" s="6" t="s">
        <v>20118</v>
      </c>
      <c r="AQ271" s="6" t="s">
        <v>81</v>
      </c>
      <c r="AR271" s="6" t="s">
        <v>20497</v>
      </c>
      <c r="AS271" s="6" t="s">
        <v>18386</v>
      </c>
      <c r="AT271" s="6" t="s">
        <v>18444</v>
      </c>
      <c r="AU271" s="6" t="s">
        <v>20606</v>
      </c>
      <c r="AV271" s="6" t="s">
        <v>19704</v>
      </c>
      <c r="AW271" s="6" t="s">
        <v>19928</v>
      </c>
      <c r="AX271" s="6" t="s">
        <v>20907</v>
      </c>
      <c r="AY271" s="6" t="s">
        <v>22636</v>
      </c>
      <c r="AZ271" s="6" t="s">
        <v>81</v>
      </c>
      <c r="BA271" s="6" t="s">
        <v>81</v>
      </c>
      <c r="BB271" s="6" t="s">
        <v>81</v>
      </c>
      <c r="BC271" s="26"/>
      <c r="BD271" s="26"/>
      <c r="BE271" s="26" t="s">
        <v>23900</v>
      </c>
      <c r="BF271" s="26"/>
      <c r="BG271" s="26"/>
      <c r="BH271" s="26"/>
      <c r="BI271" s="26"/>
      <c r="BJ271" s="26"/>
      <c r="BK271" s="26"/>
      <c r="BL271" s="26"/>
      <c r="BM271" s="26"/>
      <c r="BN271" s="26" t="s">
        <v>23900</v>
      </c>
      <c r="BO271" s="26"/>
      <c r="BP271" s="16" t="n">
        <v>45737</v>
      </c>
      <c r="BQ271" s="28" t="str">
        <f>HYPERLINK("https://organic.ams.usda.gov/Integrity/Certificate.aspx?cid=62&amp;nopid=8150000183")</f>
        <v>https://organic.ams.usda.gov/Integrity/Certificate.aspx?cid=62&amp;nopid=8150000183</v>
      </c>
    </row>
    <row r="272">
      <c r="A272" t="s">
        <v>3</v>
      </c>
      <c r="B272" s="6" t="s">
        <v>9</v>
      </c>
      <c r="C272" s="6" t="s">
        <v>56</v>
      </c>
      <c r="D272" s="6" t="s">
        <v>102</v>
      </c>
      <c r="E272" s="10" t="s">
        <v>413</v>
      </c>
      <c r="F272" s="6" t="s">
        <v>3148</v>
      </c>
      <c r="G272" s="6" t="s">
        <v>81</v>
      </c>
      <c r="H272" s="6" t="s">
        <v>6131</v>
      </c>
      <c r="I272" s="6" t="s">
        <v>8551</v>
      </c>
      <c r="J272" s="6" t="s">
        <v>9814</v>
      </c>
      <c r="K272" s="6" t="s">
        <v>10886</v>
      </c>
      <c r="L272" s="16" t="n">
        <v>39784</v>
      </c>
      <c r="M272" s="16" t="n">
        <v>45748</v>
      </c>
      <c r="N272" s="6" t="s">
        <v>10886</v>
      </c>
      <c r="O272" s="16" t="n">
        <v>39784</v>
      </c>
      <c r="P272" s="6" t="s">
        <v>10922</v>
      </c>
      <c r="Q272" s="6" t="s">
        <v>81</v>
      </c>
      <c r="R272" s="6" t="s">
        <v>12503</v>
      </c>
      <c r="S272" s="6" t="s">
        <v>10886</v>
      </c>
      <c r="T272" s="16" t="n">
        <v>39784</v>
      </c>
      <c r="U272" s="6" t="s">
        <v>13168</v>
      </c>
      <c r="V272" s="6" t="s">
        <v>81</v>
      </c>
      <c r="W272" s="6" t="s">
        <v>12503</v>
      </c>
      <c r="X272" s="6" t="s">
        <v>81</v>
      </c>
      <c r="Y272" s="21" t="s">
        <v>81</v>
      </c>
      <c r="Z272" s="6" t="s">
        <v>81</v>
      </c>
      <c r="AA272" s="6" t="s">
        <v>81</v>
      </c>
      <c r="AB272" s="6" t="s">
        <v>81</v>
      </c>
      <c r="AC272" s="6" t="s">
        <v>81</v>
      </c>
      <c r="AD272" s="21" t="s">
        <v>81</v>
      </c>
      <c r="AE272" s="6" t="s">
        <v>81</v>
      </c>
      <c r="AF272" s="6" t="s">
        <v>81</v>
      </c>
      <c r="AG272" s="6" t="s">
        <v>81</v>
      </c>
      <c r="AH272" s="6" t="s">
        <v>14877</v>
      </c>
      <c r="AI272" s="6" t="s">
        <v>81</v>
      </c>
      <c r="AJ272" s="6" t="s">
        <v>17496</v>
      </c>
      <c r="AK272" s="6" t="s">
        <v>18381</v>
      </c>
      <c r="AL272" s="6" t="s">
        <v>18444</v>
      </c>
      <c r="AM272" s="6" t="s">
        <v>18656</v>
      </c>
      <c r="AN272" s="6" t="s">
        <v>19676</v>
      </c>
      <c r="AO272" s="6" t="s">
        <v>19797</v>
      </c>
      <c r="AP272" s="6" t="s">
        <v>81</v>
      </c>
      <c r="AQ272" s="6" t="s">
        <v>81</v>
      </c>
      <c r="AR272" s="6" t="s">
        <v>81</v>
      </c>
      <c r="AS272" s="6" t="s">
        <v>81</v>
      </c>
      <c r="AT272" s="6" t="s">
        <v>81</v>
      </c>
      <c r="AU272" s="6" t="s">
        <v>81</v>
      </c>
      <c r="AV272" s="6" t="s">
        <v>81</v>
      </c>
      <c r="AW272" s="6" t="s">
        <v>81</v>
      </c>
      <c r="AX272" s="6" t="s">
        <v>20908</v>
      </c>
      <c r="AY272" s="6" t="s">
        <v>22637</v>
      </c>
      <c r="AZ272" s="6" t="s">
        <v>81</v>
      </c>
      <c r="BA272" s="6" t="s">
        <v>81</v>
      </c>
      <c r="BB272" s="24" t="n">
        <v>162</v>
      </c>
      <c r="BC272" s="26"/>
      <c r="BD272" s="26"/>
      <c r="BE272" s="26"/>
      <c r="BF272" s="26"/>
      <c r="BG272" s="26"/>
      <c r="BH272" s="26"/>
      <c r="BI272" s="26"/>
      <c r="BJ272" s="26"/>
      <c r="BK272" s="26"/>
      <c r="BL272" s="26"/>
      <c r="BM272" s="26"/>
      <c r="BN272" s="26"/>
      <c r="BO272" s="26"/>
      <c r="BP272" s="16" t="n">
        <v>45738</v>
      </c>
      <c r="BQ272" s="28" t="str">
        <f>HYPERLINK("https://organic.ams.usda.gov/Integrity/Certificate.aspx?cid=52&amp;nopid=8430800104")</f>
        <v>https://organic.ams.usda.gov/Integrity/Certificate.aspx?cid=52&amp;nopid=8430800104</v>
      </c>
    </row>
    <row r="273">
      <c r="A273" t="s">
        <v>3</v>
      </c>
      <c r="B273" s="6" t="s">
        <v>34</v>
      </c>
      <c r="C273" s="6" t="s">
        <v>81</v>
      </c>
      <c r="D273" s="6" t="s">
        <v>81</v>
      </c>
      <c r="E273" s="10" t="s">
        <v>414</v>
      </c>
      <c r="F273" s="6" t="s">
        <v>3149</v>
      </c>
      <c r="G273" s="6" t="s">
        <v>5613</v>
      </c>
      <c r="H273" s="6" t="s">
        <v>6132</v>
      </c>
      <c r="I273" s="6" t="s">
        <v>8552</v>
      </c>
      <c r="J273" s="6" t="s">
        <v>9032</v>
      </c>
      <c r="K273" s="6" t="s">
        <v>10886</v>
      </c>
      <c r="L273" s="16" t="n">
        <v>39721</v>
      </c>
      <c r="M273" s="16" t="n">
        <v>45352</v>
      </c>
      <c r="N273" s="6" t="s">
        <v>10886</v>
      </c>
      <c r="O273" s="16" t="n">
        <v>39721</v>
      </c>
      <c r="P273" s="6" t="s">
        <v>11071</v>
      </c>
      <c r="Q273" s="6" t="s">
        <v>81</v>
      </c>
      <c r="R273" s="6" t="s">
        <v>6132</v>
      </c>
      <c r="S273" s="6" t="s">
        <v>10886</v>
      </c>
      <c r="T273" s="16" t="n">
        <v>39721</v>
      </c>
      <c r="U273" s="6" t="s">
        <v>13260</v>
      </c>
      <c r="V273" s="6" t="s">
        <v>81</v>
      </c>
      <c r="W273" s="6" t="s">
        <v>6132</v>
      </c>
      <c r="X273" s="6" t="s">
        <v>81</v>
      </c>
      <c r="Y273" s="21" t="s">
        <v>81</v>
      </c>
      <c r="Z273" s="6" t="s">
        <v>81</v>
      </c>
      <c r="AA273" s="6" t="s">
        <v>81</v>
      </c>
      <c r="AB273" s="6" t="s">
        <v>81</v>
      </c>
      <c r="AC273" s="6" t="s">
        <v>10886</v>
      </c>
      <c r="AD273" s="16" t="n">
        <v>43571</v>
      </c>
      <c r="AE273" s="6" t="s">
        <v>14059</v>
      </c>
      <c r="AF273" s="6" t="s">
        <v>81</v>
      </c>
      <c r="AG273" s="6" t="s">
        <v>14523</v>
      </c>
      <c r="AH273" s="6" t="s">
        <v>14878</v>
      </c>
      <c r="AI273" s="6" t="s">
        <v>81</v>
      </c>
      <c r="AJ273" s="6" t="s">
        <v>17497</v>
      </c>
      <c r="AK273" s="6" t="s">
        <v>18386</v>
      </c>
      <c r="AL273" s="6" t="s">
        <v>18444</v>
      </c>
      <c r="AM273" s="6" t="s">
        <v>18657</v>
      </c>
      <c r="AN273" s="6" t="s">
        <v>81</v>
      </c>
      <c r="AO273" s="6" t="s">
        <v>81</v>
      </c>
      <c r="AP273" s="6" t="s">
        <v>81</v>
      </c>
      <c r="AQ273" s="6" t="s">
        <v>81</v>
      </c>
      <c r="AR273" s="6" t="s">
        <v>81</v>
      </c>
      <c r="AS273" s="6" t="s">
        <v>81</v>
      </c>
      <c r="AT273" s="6" t="s">
        <v>81</v>
      </c>
      <c r="AU273" s="6" t="s">
        <v>81</v>
      </c>
      <c r="AV273" s="6" t="s">
        <v>81</v>
      </c>
      <c r="AW273" s="6" t="s">
        <v>81</v>
      </c>
      <c r="AX273" s="6" t="s">
        <v>20909</v>
      </c>
      <c r="AY273" s="6" t="s">
        <v>22638</v>
      </c>
      <c r="AZ273" s="6" t="s">
        <v>81</v>
      </c>
      <c r="BA273" s="6" t="s">
        <v>23833</v>
      </c>
      <c r="BB273" s="24" t="n">
        <v>1307</v>
      </c>
      <c r="BC273" s="26"/>
      <c r="BD273" s="26"/>
      <c r="BE273" s="26"/>
      <c r="BF273" s="26" t="s">
        <v>23900</v>
      </c>
      <c r="BG273" s="26"/>
      <c r="BH273" s="26"/>
      <c r="BI273" s="26"/>
      <c r="BJ273" s="26"/>
      <c r="BK273" s="26"/>
      <c r="BL273" s="26"/>
      <c r="BM273" s="26"/>
      <c r="BN273" s="26"/>
      <c r="BO273" s="26"/>
      <c r="BP273" s="16" t="n">
        <v>45629</v>
      </c>
      <c r="BQ273" s="28" t="str">
        <f>HYPERLINK("")</f>
      </c>
    </row>
    <row r="274">
      <c r="A274" t="s">
        <v>3</v>
      </c>
      <c r="B274" s="6" t="s">
        <v>15</v>
      </c>
      <c r="C274" s="6" t="s">
        <v>62</v>
      </c>
      <c r="D274" s="6" t="s">
        <v>108</v>
      </c>
      <c r="E274" s="10" t="s">
        <v>415</v>
      </c>
      <c r="F274" s="6" t="s">
        <v>3150</v>
      </c>
      <c r="G274" s="6" t="s">
        <v>5614</v>
      </c>
      <c r="H274" s="6" t="s">
        <v>6133</v>
      </c>
      <c r="I274" s="6" t="s">
        <v>8419</v>
      </c>
      <c r="J274" s="6" t="s">
        <v>9815</v>
      </c>
      <c r="K274" s="6" t="s">
        <v>10886</v>
      </c>
      <c r="L274" s="16" t="n">
        <v>38846</v>
      </c>
      <c r="M274" s="16" t="n">
        <v>45901</v>
      </c>
      <c r="N274" s="6" t="s">
        <v>81</v>
      </c>
      <c r="O274" s="21" t="s">
        <v>81</v>
      </c>
      <c r="P274" s="6" t="s">
        <v>81</v>
      </c>
      <c r="Q274" s="6" t="s">
        <v>81</v>
      </c>
      <c r="R274" s="6" t="s">
        <v>81</v>
      </c>
      <c r="S274" s="6" t="s">
        <v>81</v>
      </c>
      <c r="T274" s="21" t="s">
        <v>81</v>
      </c>
      <c r="U274" s="6" t="s">
        <v>81</v>
      </c>
      <c r="V274" s="6" t="s">
        <v>81</v>
      </c>
      <c r="W274" s="6" t="s">
        <v>81</v>
      </c>
      <c r="X274" s="6" t="s">
        <v>81</v>
      </c>
      <c r="Y274" s="21" t="s">
        <v>81</v>
      </c>
      <c r="Z274" s="6" t="s">
        <v>81</v>
      </c>
      <c r="AA274" s="6" t="s">
        <v>81</v>
      </c>
      <c r="AB274" s="6" t="s">
        <v>81</v>
      </c>
      <c r="AC274" s="6" t="s">
        <v>10886</v>
      </c>
      <c r="AD274" s="16" t="n">
        <v>38846</v>
      </c>
      <c r="AE274" s="6" t="s">
        <v>14060</v>
      </c>
      <c r="AF274" s="6" t="s">
        <v>81</v>
      </c>
      <c r="AG274" s="6" t="s">
        <v>81</v>
      </c>
      <c r="AH274" s="6" t="s">
        <v>14879</v>
      </c>
      <c r="AI274" s="6" t="s">
        <v>81</v>
      </c>
      <c r="AJ274" s="6" t="s">
        <v>17498</v>
      </c>
      <c r="AK274" s="6" t="s">
        <v>18378</v>
      </c>
      <c r="AL274" s="6" t="s">
        <v>18444</v>
      </c>
      <c r="AM274" s="6" t="s">
        <v>18658</v>
      </c>
      <c r="AN274" s="6" t="s">
        <v>5924</v>
      </c>
      <c r="AO274" s="6" t="s">
        <v>19822</v>
      </c>
      <c r="AP274" s="6" t="s">
        <v>14879</v>
      </c>
      <c r="AQ274" s="6" t="s">
        <v>81</v>
      </c>
      <c r="AR274" s="6" t="s">
        <v>17498</v>
      </c>
      <c r="AS274" s="6" t="s">
        <v>18378</v>
      </c>
      <c r="AT274" s="6" t="s">
        <v>18444</v>
      </c>
      <c r="AU274" s="6" t="s">
        <v>18658</v>
      </c>
      <c r="AV274" s="6" t="s">
        <v>81</v>
      </c>
      <c r="AW274" s="6" t="s">
        <v>81</v>
      </c>
      <c r="AX274" s="6" t="s">
        <v>20910</v>
      </c>
      <c r="AY274" s="6" t="s">
        <v>22639</v>
      </c>
      <c r="AZ274" s="6" t="s">
        <v>81</v>
      </c>
      <c r="BA274" s="6" t="s">
        <v>81</v>
      </c>
      <c r="BB274" s="6" t="s">
        <v>81</v>
      </c>
      <c r="BC274" s="26"/>
      <c r="BD274" s="26"/>
      <c r="BE274" s="26" t="s">
        <v>23900</v>
      </c>
      <c r="BF274" s="26"/>
      <c r="BG274" s="26"/>
      <c r="BH274" s="26"/>
      <c r="BI274" s="26"/>
      <c r="BJ274" s="26"/>
      <c r="BK274" s="26"/>
      <c r="BL274" s="26"/>
      <c r="BM274" s="26"/>
      <c r="BN274" s="26"/>
      <c r="BO274" s="26"/>
      <c r="BP274" s="16" t="n">
        <v>45737</v>
      </c>
      <c r="BQ274" s="28" t="str">
        <f>HYPERLINK("https://organic.ams.usda.gov/Integrity/Certificate.aspx?cid=58&amp;nopid=1600001071")</f>
        <v>https://organic.ams.usda.gov/Integrity/Certificate.aspx?cid=58&amp;nopid=1600001071</v>
      </c>
    </row>
    <row r="275">
      <c r="A275" t="s">
        <v>3</v>
      </c>
      <c r="B275" s="6" t="s">
        <v>29</v>
      </c>
      <c r="C275" s="6" t="s">
        <v>76</v>
      </c>
      <c r="D275" s="6" t="s">
        <v>122</v>
      </c>
      <c r="E275" s="10" t="s">
        <v>416</v>
      </c>
      <c r="F275" s="6" t="s">
        <v>3151</v>
      </c>
      <c r="G275" s="6" t="s">
        <v>81</v>
      </c>
      <c r="H275" s="6" t="s">
        <v>6134</v>
      </c>
      <c r="I275" s="6" t="s">
        <v>8553</v>
      </c>
      <c r="J275" s="6" t="s">
        <v>9816</v>
      </c>
      <c r="K275" s="6" t="s">
        <v>10886</v>
      </c>
      <c r="L275" s="16" t="n">
        <v>41158</v>
      </c>
      <c r="M275" s="16" t="n">
        <v>45505</v>
      </c>
      <c r="N275" s="6" t="s">
        <v>10886</v>
      </c>
      <c r="O275" s="16" t="n">
        <v>41158</v>
      </c>
      <c r="P275" s="6" t="s">
        <v>11072</v>
      </c>
      <c r="Q275" s="6" t="s">
        <v>81</v>
      </c>
      <c r="R275" s="6" t="s">
        <v>12504</v>
      </c>
      <c r="S275" s="6" t="s">
        <v>10886</v>
      </c>
      <c r="T275" s="16" t="n">
        <v>41158</v>
      </c>
      <c r="U275" s="6" t="s">
        <v>13222</v>
      </c>
      <c r="V275" s="6" t="s">
        <v>81</v>
      </c>
      <c r="W275" s="6" t="s">
        <v>12504</v>
      </c>
      <c r="X275" s="6" t="s">
        <v>81</v>
      </c>
      <c r="Y275" s="21" t="s">
        <v>81</v>
      </c>
      <c r="Z275" s="6" t="s">
        <v>81</v>
      </c>
      <c r="AA275" s="6" t="s">
        <v>81</v>
      </c>
      <c r="AB275" s="6" t="s">
        <v>81</v>
      </c>
      <c r="AC275" s="6" t="s">
        <v>81</v>
      </c>
      <c r="AD275" s="21" t="s">
        <v>81</v>
      </c>
      <c r="AE275" s="6" t="s">
        <v>81</v>
      </c>
      <c r="AF275" s="6" t="s">
        <v>81</v>
      </c>
      <c r="AG275" s="6" t="s">
        <v>81</v>
      </c>
      <c r="AH275" s="6" t="s">
        <v>14880</v>
      </c>
      <c r="AI275" s="6" t="s">
        <v>81</v>
      </c>
      <c r="AJ275" s="6" t="s">
        <v>17347</v>
      </c>
      <c r="AK275" s="6" t="s">
        <v>17712</v>
      </c>
      <c r="AL275" s="6" t="s">
        <v>18444</v>
      </c>
      <c r="AM275" s="6" t="s">
        <v>18659</v>
      </c>
      <c r="AN275" s="6" t="s">
        <v>19634</v>
      </c>
      <c r="AO275" s="6" t="s">
        <v>19719</v>
      </c>
      <c r="AP275" s="6" t="s">
        <v>81</v>
      </c>
      <c r="AQ275" s="6" t="s">
        <v>81</v>
      </c>
      <c r="AR275" s="6" t="s">
        <v>81</v>
      </c>
      <c r="AS275" s="6" t="s">
        <v>81</v>
      </c>
      <c r="AT275" s="6" t="s">
        <v>81</v>
      </c>
      <c r="AU275" s="6" t="s">
        <v>81</v>
      </c>
      <c r="AV275" s="6" t="s">
        <v>81</v>
      </c>
      <c r="AW275" s="6" t="s">
        <v>81</v>
      </c>
      <c r="AX275" s="6" t="s">
        <v>20911</v>
      </c>
      <c r="AY275" s="6" t="s">
        <v>81</v>
      </c>
      <c r="AZ275" s="6" t="s">
        <v>81</v>
      </c>
      <c r="BA275" s="6" t="s">
        <v>81</v>
      </c>
      <c r="BB275" s="24" t="n">
        <v>168</v>
      </c>
      <c r="BC275" s="26"/>
      <c r="BD275" s="26"/>
      <c r="BE275" s="26"/>
      <c r="BF275" s="26" t="s">
        <v>23900</v>
      </c>
      <c r="BG275" s="26"/>
      <c r="BH275" s="26"/>
      <c r="BI275" s="26"/>
      <c r="BJ275" s="26"/>
      <c r="BK275" s="26"/>
      <c r="BL275" s="26"/>
      <c r="BM275" s="26"/>
      <c r="BN275" s="26"/>
      <c r="BO275" s="26"/>
      <c r="BP275" s="16" t="n">
        <v>45737</v>
      </c>
      <c r="BQ275" s="28" t="str">
        <f>HYPERLINK("https://organic.ams.usda.gov/Integrity/Certificate.aspx?cid=31&amp;nopid=3928971209")</f>
        <v>https://organic.ams.usda.gov/Integrity/Certificate.aspx?cid=31&amp;nopid=3928971209</v>
      </c>
    </row>
    <row r="276">
      <c r="A276" t="s">
        <v>3</v>
      </c>
      <c r="B276" s="6" t="s">
        <v>16</v>
      </c>
      <c r="C276" s="6" t="s">
        <v>63</v>
      </c>
      <c r="D276" s="6" t="s">
        <v>109</v>
      </c>
      <c r="E276" s="10" t="s">
        <v>417</v>
      </c>
      <c r="F276" s="6" t="s">
        <v>3152</v>
      </c>
      <c r="G276" s="6" t="s">
        <v>81</v>
      </c>
      <c r="H276" s="6" t="s">
        <v>6135</v>
      </c>
      <c r="I276" s="6" t="s">
        <v>8554</v>
      </c>
      <c r="J276" s="6" t="s">
        <v>9817</v>
      </c>
      <c r="K276" s="6" t="s">
        <v>10886</v>
      </c>
      <c r="L276" s="16" t="n">
        <v>39960</v>
      </c>
      <c r="M276" s="16" t="n">
        <v>45731</v>
      </c>
      <c r="N276" s="6" t="s">
        <v>10886</v>
      </c>
      <c r="O276" s="16" t="n">
        <v>39960</v>
      </c>
      <c r="P276" s="6" t="s">
        <v>11073</v>
      </c>
      <c r="Q276" s="6" t="s">
        <v>81</v>
      </c>
      <c r="R276" s="6" t="s">
        <v>81</v>
      </c>
      <c r="S276" s="6" t="s">
        <v>10886</v>
      </c>
      <c r="T276" s="16" t="n">
        <v>39960</v>
      </c>
      <c r="U276" s="6" t="s">
        <v>13182</v>
      </c>
      <c r="V276" s="6" t="s">
        <v>81</v>
      </c>
      <c r="W276" s="6" t="s">
        <v>81</v>
      </c>
      <c r="X276" s="6" t="s">
        <v>81</v>
      </c>
      <c r="Y276" s="21" t="s">
        <v>81</v>
      </c>
      <c r="Z276" s="6" t="s">
        <v>81</v>
      </c>
      <c r="AA276" s="6" t="s">
        <v>81</v>
      </c>
      <c r="AB276" s="6" t="s">
        <v>81</v>
      </c>
      <c r="AC276" s="6" t="s">
        <v>10886</v>
      </c>
      <c r="AD276" s="16" t="n">
        <v>39960</v>
      </c>
      <c r="AE276" s="6" t="s">
        <v>81</v>
      </c>
      <c r="AF276" s="6" t="s">
        <v>81</v>
      </c>
      <c r="AG276" s="6" t="s">
        <v>81</v>
      </c>
      <c r="AH276" s="6" t="s">
        <v>14881</v>
      </c>
      <c r="AI276" s="6" t="s">
        <v>81</v>
      </c>
      <c r="AJ276" s="6" t="s">
        <v>17499</v>
      </c>
      <c r="AK276" s="6" t="s">
        <v>18383</v>
      </c>
      <c r="AL276" s="6" t="s">
        <v>18444</v>
      </c>
      <c r="AM276" s="6" t="s">
        <v>18660</v>
      </c>
      <c r="AN276" s="6" t="s">
        <v>19683</v>
      </c>
      <c r="AO276" s="6" t="s">
        <v>19751</v>
      </c>
      <c r="AP276" s="6" t="s">
        <v>20119</v>
      </c>
      <c r="AQ276" s="6" t="s">
        <v>81</v>
      </c>
      <c r="AR276" s="6" t="s">
        <v>20498</v>
      </c>
      <c r="AS276" s="6" t="s">
        <v>18383</v>
      </c>
      <c r="AT276" s="6" t="s">
        <v>18444</v>
      </c>
      <c r="AU276" s="6" t="s">
        <v>18660</v>
      </c>
      <c r="AV276" s="6" t="s">
        <v>81</v>
      </c>
      <c r="AW276" s="6" t="s">
        <v>81</v>
      </c>
      <c r="AX276" s="6" t="s">
        <v>20912</v>
      </c>
      <c r="AY276" s="6" t="s">
        <v>81</v>
      </c>
      <c r="AZ276" s="6" t="s">
        <v>81</v>
      </c>
      <c r="BA276" s="6" t="s">
        <v>81</v>
      </c>
      <c r="BB276" s="24" t="n">
        <v>540</v>
      </c>
      <c r="BC276" s="26"/>
      <c r="BD276" s="26"/>
      <c r="BE276" s="26"/>
      <c r="BF276" s="26"/>
      <c r="BG276" s="26"/>
      <c r="BH276" s="26"/>
      <c r="BI276" s="26"/>
      <c r="BJ276" s="26"/>
      <c r="BK276" s="26"/>
      <c r="BL276" s="26"/>
      <c r="BM276" s="26"/>
      <c r="BN276" s="26"/>
      <c r="BO276" s="26"/>
      <c r="BP276" s="16" t="n">
        <v>45701</v>
      </c>
      <c r="BQ276" s="28" t="str">
        <f>HYPERLINK("https://organic.ams.usda.gov/Integrity/Certificate.aspx?cid=81&amp;nopid=4210009023")</f>
        <v>https://organic.ams.usda.gov/Integrity/Certificate.aspx?cid=81&amp;nopid=4210009023</v>
      </c>
    </row>
    <row r="277">
      <c r="A277" t="s">
        <v>3</v>
      </c>
      <c r="B277" s="6" t="s">
        <v>29</v>
      </c>
      <c r="C277" s="6" t="s">
        <v>76</v>
      </c>
      <c r="D277" s="6" t="s">
        <v>122</v>
      </c>
      <c r="E277" s="10" t="s">
        <v>418</v>
      </c>
      <c r="F277" s="6" t="s">
        <v>3153</v>
      </c>
      <c r="G277" s="6" t="s">
        <v>81</v>
      </c>
      <c r="H277" s="6" t="s">
        <v>6136</v>
      </c>
      <c r="I277" s="6" t="s">
        <v>8555</v>
      </c>
      <c r="J277" s="6" t="s">
        <v>9755</v>
      </c>
      <c r="K277" s="6" t="s">
        <v>10886</v>
      </c>
      <c r="L277" s="16" t="n">
        <v>41211</v>
      </c>
      <c r="M277" s="16" t="n">
        <v>45870</v>
      </c>
      <c r="N277" s="6" t="s">
        <v>10886</v>
      </c>
      <c r="O277" s="16" t="n">
        <v>41211</v>
      </c>
      <c r="P277" s="6" t="s">
        <v>11074</v>
      </c>
      <c r="Q277" s="6" t="s">
        <v>81</v>
      </c>
      <c r="R277" s="6" t="s">
        <v>12505</v>
      </c>
      <c r="S277" s="6" t="s">
        <v>10886</v>
      </c>
      <c r="T277" s="16" t="n">
        <v>41211</v>
      </c>
      <c r="U277" s="6" t="s">
        <v>13261</v>
      </c>
      <c r="V277" s="6" t="s">
        <v>81</v>
      </c>
      <c r="W277" s="6" t="s">
        <v>12505</v>
      </c>
      <c r="X277" s="6" t="s">
        <v>81</v>
      </c>
      <c r="Y277" s="21" t="s">
        <v>81</v>
      </c>
      <c r="Z277" s="6" t="s">
        <v>81</v>
      </c>
      <c r="AA277" s="6" t="s">
        <v>81</v>
      </c>
      <c r="AB277" s="6" t="s">
        <v>81</v>
      </c>
      <c r="AC277" s="6" t="s">
        <v>81</v>
      </c>
      <c r="AD277" s="21" t="s">
        <v>81</v>
      </c>
      <c r="AE277" s="6" t="s">
        <v>81</v>
      </c>
      <c r="AF277" s="6" t="s">
        <v>81</v>
      </c>
      <c r="AG277" s="6" t="s">
        <v>81</v>
      </c>
      <c r="AH277" s="6" t="s">
        <v>14882</v>
      </c>
      <c r="AI277" s="6" t="s">
        <v>81</v>
      </c>
      <c r="AJ277" s="6" t="s">
        <v>17377</v>
      </c>
      <c r="AK277" s="6" t="s">
        <v>18377</v>
      </c>
      <c r="AL277" s="6" t="s">
        <v>18444</v>
      </c>
      <c r="AM277" s="6" t="s">
        <v>18530</v>
      </c>
      <c r="AN277" s="6" t="s">
        <v>19634</v>
      </c>
      <c r="AO277" s="6" t="s">
        <v>19764</v>
      </c>
      <c r="AP277" s="6" t="s">
        <v>81</v>
      </c>
      <c r="AQ277" s="6" t="s">
        <v>81</v>
      </c>
      <c r="AR277" s="6" t="s">
        <v>81</v>
      </c>
      <c r="AS277" s="6" t="s">
        <v>81</v>
      </c>
      <c r="AT277" s="6" t="s">
        <v>81</v>
      </c>
      <c r="AU277" s="6" t="s">
        <v>81</v>
      </c>
      <c r="AV277" s="6" t="s">
        <v>81</v>
      </c>
      <c r="AW277" s="6" t="s">
        <v>81</v>
      </c>
      <c r="AX277" s="6" t="s">
        <v>81</v>
      </c>
      <c r="AY277" s="6" t="s">
        <v>81</v>
      </c>
      <c r="AZ277" s="6" t="s">
        <v>81</v>
      </c>
      <c r="BA277" s="6" t="s">
        <v>81</v>
      </c>
      <c r="BB277" s="24" t="n">
        <v>96</v>
      </c>
      <c r="BC277" s="26"/>
      <c r="BD277" s="26"/>
      <c r="BE277" s="26"/>
      <c r="BF277" s="26" t="s">
        <v>23900</v>
      </c>
      <c r="BG277" s="26"/>
      <c r="BH277" s="26"/>
      <c r="BI277" s="26"/>
      <c r="BJ277" s="26"/>
      <c r="BK277" s="26"/>
      <c r="BL277" s="26"/>
      <c r="BM277" s="26"/>
      <c r="BN277" s="26"/>
      <c r="BO277" s="26"/>
      <c r="BP277" s="16" t="n">
        <v>45737</v>
      </c>
      <c r="BQ277" s="28" t="str">
        <f>HYPERLINK("https://organic.ams.usda.gov/Integrity/Certificate.aspx?cid=31&amp;nopid=3928971240")</f>
        <v>https://organic.ams.usda.gov/Integrity/Certificate.aspx?cid=31&amp;nopid=3928971240</v>
      </c>
    </row>
    <row r="278">
      <c r="A278" t="s">
        <v>3</v>
      </c>
      <c r="B278" s="6" t="s">
        <v>12</v>
      </c>
      <c r="C278" s="6" t="s">
        <v>59</v>
      </c>
      <c r="D278" s="6" t="s">
        <v>105</v>
      </c>
      <c r="E278" s="10" t="s">
        <v>419</v>
      </c>
      <c r="F278" s="6" t="s">
        <v>3154</v>
      </c>
      <c r="G278" s="6" t="s">
        <v>81</v>
      </c>
      <c r="H278" s="6" t="s">
        <v>6137</v>
      </c>
      <c r="I278" s="6" t="s">
        <v>8556</v>
      </c>
      <c r="J278" s="6" t="s">
        <v>9818</v>
      </c>
      <c r="K278" s="6" t="s">
        <v>10886</v>
      </c>
      <c r="L278" s="16" t="n">
        <v>41131</v>
      </c>
      <c r="M278" s="16" t="n">
        <v>45717</v>
      </c>
      <c r="N278" s="6" t="s">
        <v>10886</v>
      </c>
      <c r="O278" s="16" t="n">
        <v>41131</v>
      </c>
      <c r="P278" s="6" t="s">
        <v>10997</v>
      </c>
      <c r="Q278" s="6" t="s">
        <v>81</v>
      </c>
      <c r="R278" s="6" t="s">
        <v>81</v>
      </c>
      <c r="S278" s="6" t="s">
        <v>10886</v>
      </c>
      <c r="T278" s="16" t="n">
        <v>41131</v>
      </c>
      <c r="U278" s="6" t="s">
        <v>13262</v>
      </c>
      <c r="V278" s="6" t="s">
        <v>81</v>
      </c>
      <c r="W278" s="6" t="s">
        <v>81</v>
      </c>
      <c r="X278" s="6" t="s">
        <v>81</v>
      </c>
      <c r="Y278" s="21" t="s">
        <v>81</v>
      </c>
      <c r="Z278" s="6" t="s">
        <v>81</v>
      </c>
      <c r="AA278" s="6" t="s">
        <v>81</v>
      </c>
      <c r="AB278" s="6" t="s">
        <v>81</v>
      </c>
      <c r="AC278" s="6" t="s">
        <v>81</v>
      </c>
      <c r="AD278" s="21" t="s">
        <v>81</v>
      </c>
      <c r="AE278" s="6" t="s">
        <v>81</v>
      </c>
      <c r="AF278" s="6" t="s">
        <v>81</v>
      </c>
      <c r="AG278" s="6" t="s">
        <v>81</v>
      </c>
      <c r="AH278" s="6" t="s">
        <v>14883</v>
      </c>
      <c r="AI278" s="6" t="s">
        <v>81</v>
      </c>
      <c r="AJ278" s="6" t="s">
        <v>17500</v>
      </c>
      <c r="AK278" s="6" t="s">
        <v>18380</v>
      </c>
      <c r="AL278" s="6" t="s">
        <v>18444</v>
      </c>
      <c r="AM278" s="6" t="s">
        <v>18661</v>
      </c>
      <c r="AN278" s="6" t="s">
        <v>19685</v>
      </c>
      <c r="AO278" s="6" t="s">
        <v>19823</v>
      </c>
      <c r="AP278" s="6" t="s">
        <v>20120</v>
      </c>
      <c r="AQ278" s="6" t="s">
        <v>81</v>
      </c>
      <c r="AR278" s="6" t="s">
        <v>20499</v>
      </c>
      <c r="AS278" s="6" t="s">
        <v>18380</v>
      </c>
      <c r="AT278" s="6" t="s">
        <v>18444</v>
      </c>
      <c r="AU278" s="6" t="s">
        <v>20607</v>
      </c>
      <c r="AV278" s="6" t="s">
        <v>81</v>
      </c>
      <c r="AW278" s="6" t="s">
        <v>81</v>
      </c>
      <c r="AX278" s="6" t="s">
        <v>20913</v>
      </c>
      <c r="AY278" s="6" t="s">
        <v>22640</v>
      </c>
      <c r="AZ278" s="6" t="s">
        <v>81</v>
      </c>
      <c r="BA278" s="6" t="s">
        <v>81</v>
      </c>
      <c r="BB278" s="24" t="n">
        <v>245</v>
      </c>
      <c r="BC278" s="26"/>
      <c r="BD278" s="26"/>
      <c r="BE278" s="26"/>
      <c r="BF278" s="26"/>
      <c r="BG278" s="26"/>
      <c r="BH278" s="26"/>
      <c r="BI278" s="26"/>
      <c r="BJ278" s="26"/>
      <c r="BK278" s="26"/>
      <c r="BL278" s="26"/>
      <c r="BM278" s="26"/>
      <c r="BN278" s="26"/>
      <c r="BO278" s="26"/>
      <c r="BP278" s="16" t="n">
        <v>45701</v>
      </c>
      <c r="BQ278" s="28" t="str">
        <f>HYPERLINK("https://organic.ams.usda.gov/Integrity/Certificate.aspx?cid=68&amp;nopid=8210001515")</f>
        <v>https://organic.ams.usda.gov/Integrity/Certificate.aspx?cid=68&amp;nopid=8210001515</v>
      </c>
    </row>
    <row r="279">
      <c r="A279" t="s">
        <v>3</v>
      </c>
      <c r="B279" s="6" t="s">
        <v>8</v>
      </c>
      <c r="C279" s="6" t="s">
        <v>55</v>
      </c>
      <c r="D279" s="6" t="s">
        <v>101</v>
      </c>
      <c r="E279" s="10" t="s">
        <v>420</v>
      </c>
      <c r="F279" s="6" t="s">
        <v>3155</v>
      </c>
      <c r="G279" s="6" t="s">
        <v>81</v>
      </c>
      <c r="H279" s="6" t="s">
        <v>6138</v>
      </c>
      <c r="I279" s="6" t="s">
        <v>8557</v>
      </c>
      <c r="J279" s="6" t="s">
        <v>9463</v>
      </c>
      <c r="K279" s="6" t="s">
        <v>10886</v>
      </c>
      <c r="L279" s="16" t="n">
        <v>37523</v>
      </c>
      <c r="M279" s="16" t="n">
        <v>45383</v>
      </c>
      <c r="N279" s="6" t="s">
        <v>10886</v>
      </c>
      <c r="O279" s="16" t="n">
        <v>37523</v>
      </c>
      <c r="P279" s="6" t="s">
        <v>11075</v>
      </c>
      <c r="Q279" s="6" t="s">
        <v>81</v>
      </c>
      <c r="R279" s="6" t="s">
        <v>6138</v>
      </c>
      <c r="S279" s="6" t="s">
        <v>10886</v>
      </c>
      <c r="T279" s="16" t="n">
        <v>37523</v>
      </c>
      <c r="U279" s="6" t="s">
        <v>13263</v>
      </c>
      <c r="V279" s="6" t="s">
        <v>81</v>
      </c>
      <c r="W279" s="6" t="s">
        <v>6138</v>
      </c>
      <c r="X279" s="6" t="s">
        <v>81</v>
      </c>
      <c r="Y279" s="21" t="s">
        <v>81</v>
      </c>
      <c r="Z279" s="6" t="s">
        <v>81</v>
      </c>
      <c r="AA279" s="6" t="s">
        <v>81</v>
      </c>
      <c r="AB279" s="6" t="s">
        <v>81</v>
      </c>
      <c r="AC279" s="6" t="s">
        <v>81</v>
      </c>
      <c r="AD279" s="21" t="s">
        <v>81</v>
      </c>
      <c r="AE279" s="6" t="s">
        <v>81</v>
      </c>
      <c r="AF279" s="6" t="s">
        <v>81</v>
      </c>
      <c r="AG279" s="6" t="s">
        <v>81</v>
      </c>
      <c r="AH279" s="6" t="s">
        <v>14884</v>
      </c>
      <c r="AI279" s="6" t="s">
        <v>81</v>
      </c>
      <c r="AJ279" s="6" t="s">
        <v>17501</v>
      </c>
      <c r="AK279" s="6" t="s">
        <v>18384</v>
      </c>
      <c r="AL279" s="6" t="s">
        <v>18444</v>
      </c>
      <c r="AM279" s="6" t="s">
        <v>18662</v>
      </c>
      <c r="AN279" s="6" t="s">
        <v>19636</v>
      </c>
      <c r="AO279" s="6" t="s">
        <v>19745</v>
      </c>
      <c r="AP279" s="6" t="s">
        <v>81</v>
      </c>
      <c r="AQ279" s="6" t="s">
        <v>81</v>
      </c>
      <c r="AR279" s="6" t="s">
        <v>81</v>
      </c>
      <c r="AS279" s="6" t="s">
        <v>81</v>
      </c>
      <c r="AT279" s="6" t="s">
        <v>81</v>
      </c>
      <c r="AU279" s="6" t="s">
        <v>81</v>
      </c>
      <c r="AV279" s="6" t="s">
        <v>81</v>
      </c>
      <c r="AW279" s="6" t="s">
        <v>81</v>
      </c>
      <c r="AX279" s="6" t="s">
        <v>81</v>
      </c>
      <c r="AY279" s="6" t="s">
        <v>22641</v>
      </c>
      <c r="AZ279" s="6" t="s">
        <v>81</v>
      </c>
      <c r="BA279" s="6" t="s">
        <v>23824</v>
      </c>
      <c r="BB279" s="24" t="n">
        <v>783</v>
      </c>
      <c r="BC279" s="26"/>
      <c r="BD279" s="26"/>
      <c r="BE279" s="26"/>
      <c r="BF279" s="26"/>
      <c r="BG279" s="26"/>
      <c r="BH279" s="26"/>
      <c r="BI279" s="26"/>
      <c r="BJ279" s="26"/>
      <c r="BK279" s="26" t="s">
        <v>23900</v>
      </c>
      <c r="BL279" s="26"/>
      <c r="BM279" s="26"/>
      <c r="BN279" s="26"/>
      <c r="BO279" s="26"/>
      <c r="BP279" s="16" t="n">
        <v>45395</v>
      </c>
      <c r="BQ279" s="28" t="str">
        <f>HYPERLINK("https://organic.ams.usda.gov/Integrity/Certificate.aspx?cid=45&amp;nopid=9950001087")</f>
        <v>https://organic.ams.usda.gov/Integrity/Certificate.aspx?cid=45&amp;nopid=9950001087</v>
      </c>
    </row>
    <row r="280">
      <c r="A280" t="s">
        <v>3</v>
      </c>
      <c r="B280" s="6" t="s">
        <v>34</v>
      </c>
      <c r="C280" s="6" t="s">
        <v>81</v>
      </c>
      <c r="D280" s="6" t="s">
        <v>81</v>
      </c>
      <c r="E280" s="10" t="s">
        <v>421</v>
      </c>
      <c r="F280" s="6" t="s">
        <v>3156</v>
      </c>
      <c r="G280" s="6" t="s">
        <v>5615</v>
      </c>
      <c r="H280" s="6" t="s">
        <v>6139</v>
      </c>
      <c r="I280" s="6" t="s">
        <v>8420</v>
      </c>
      <c r="J280" s="6" t="s">
        <v>9819</v>
      </c>
      <c r="K280" s="6" t="s">
        <v>10886</v>
      </c>
      <c r="L280" s="16" t="n">
        <v>38204</v>
      </c>
      <c r="M280" s="16" t="n">
        <v>45717</v>
      </c>
      <c r="N280" s="6" t="s">
        <v>10886</v>
      </c>
      <c r="O280" s="16" t="n">
        <v>38204</v>
      </c>
      <c r="P280" s="6" t="s">
        <v>11076</v>
      </c>
      <c r="Q280" s="6" t="s">
        <v>81</v>
      </c>
      <c r="R280" s="6" t="s">
        <v>6139</v>
      </c>
      <c r="S280" s="6" t="s">
        <v>10886</v>
      </c>
      <c r="T280" s="16" t="n">
        <v>38204</v>
      </c>
      <c r="U280" s="6" t="s">
        <v>13264</v>
      </c>
      <c r="V280" s="6" t="s">
        <v>81</v>
      </c>
      <c r="W280" s="6" t="s">
        <v>6139</v>
      </c>
      <c r="X280" s="6" t="s">
        <v>81</v>
      </c>
      <c r="Y280" s="21" t="s">
        <v>81</v>
      </c>
      <c r="Z280" s="6" t="s">
        <v>81</v>
      </c>
      <c r="AA280" s="6" t="s">
        <v>81</v>
      </c>
      <c r="AB280" s="6" t="s">
        <v>81</v>
      </c>
      <c r="AC280" s="6" t="s">
        <v>81</v>
      </c>
      <c r="AD280" s="21" t="s">
        <v>81</v>
      </c>
      <c r="AE280" s="6" t="s">
        <v>81</v>
      </c>
      <c r="AF280" s="6" t="s">
        <v>81</v>
      </c>
      <c r="AG280" s="6" t="s">
        <v>81</v>
      </c>
      <c r="AH280" s="6" t="s">
        <v>14885</v>
      </c>
      <c r="AI280" s="6" t="s">
        <v>81</v>
      </c>
      <c r="AJ280" s="6" t="s">
        <v>10323</v>
      </c>
      <c r="AK280" s="6" t="s">
        <v>18386</v>
      </c>
      <c r="AL280" s="6" t="s">
        <v>18444</v>
      </c>
      <c r="AM280" s="6" t="s">
        <v>18614</v>
      </c>
      <c r="AN280" s="6" t="s">
        <v>81</v>
      </c>
      <c r="AO280" s="6" t="s">
        <v>81</v>
      </c>
      <c r="AP280" s="6" t="s">
        <v>81</v>
      </c>
      <c r="AQ280" s="6" t="s">
        <v>81</v>
      </c>
      <c r="AR280" s="6" t="s">
        <v>81</v>
      </c>
      <c r="AS280" s="6" t="s">
        <v>81</v>
      </c>
      <c r="AT280" s="6" t="s">
        <v>81</v>
      </c>
      <c r="AU280" s="6" t="s">
        <v>81</v>
      </c>
      <c r="AV280" s="6" t="s">
        <v>81</v>
      </c>
      <c r="AW280" s="6" t="s">
        <v>81</v>
      </c>
      <c r="AX280" s="6" t="s">
        <v>20914</v>
      </c>
      <c r="AY280" s="6" t="s">
        <v>22642</v>
      </c>
      <c r="AZ280" s="6" t="s">
        <v>81</v>
      </c>
      <c r="BA280" s="6" t="s">
        <v>23833</v>
      </c>
      <c r="BB280" s="24" t="n">
        <v>494</v>
      </c>
      <c r="BC280" s="26"/>
      <c r="BD280" s="26"/>
      <c r="BE280" s="26"/>
      <c r="BF280" s="26" t="s">
        <v>23900</v>
      </c>
      <c r="BG280" s="26"/>
      <c r="BH280" s="26"/>
      <c r="BI280" s="26"/>
      <c r="BJ280" s="26"/>
      <c r="BK280" s="26"/>
      <c r="BL280" s="26"/>
      <c r="BM280" s="26"/>
      <c r="BN280" s="26"/>
      <c r="BO280" s="26"/>
      <c r="BP280" s="16" t="n">
        <v>45629</v>
      </c>
      <c r="BQ280" s="28" t="str">
        <f>HYPERLINK("")</f>
      </c>
    </row>
    <row r="281">
      <c r="A281" t="s">
        <v>3</v>
      </c>
      <c r="B281" s="6" t="s">
        <v>8</v>
      </c>
      <c r="C281" s="6" t="s">
        <v>55</v>
      </c>
      <c r="D281" s="6" t="s">
        <v>101</v>
      </c>
      <c r="E281" s="10" t="s">
        <v>422</v>
      </c>
      <c r="F281" s="6" t="s">
        <v>3157</v>
      </c>
      <c r="G281" s="6" t="s">
        <v>81</v>
      </c>
      <c r="H281" s="6" t="s">
        <v>6140</v>
      </c>
      <c r="I281" s="6" t="s">
        <v>8507</v>
      </c>
      <c r="J281" s="6" t="s">
        <v>9820</v>
      </c>
      <c r="K281" s="6" t="s">
        <v>10886</v>
      </c>
      <c r="L281" s="16" t="n">
        <v>37132</v>
      </c>
      <c r="M281" s="16" t="n">
        <v>45748</v>
      </c>
      <c r="N281" s="6" t="s">
        <v>10886</v>
      </c>
      <c r="O281" s="16" t="n">
        <v>37132</v>
      </c>
      <c r="P281" s="6" t="s">
        <v>11077</v>
      </c>
      <c r="Q281" s="6" t="s">
        <v>81</v>
      </c>
      <c r="R281" s="6" t="s">
        <v>6140</v>
      </c>
      <c r="S281" s="6" t="s">
        <v>10886</v>
      </c>
      <c r="T281" s="16" t="n">
        <v>37132</v>
      </c>
      <c r="U281" s="6" t="s">
        <v>13179</v>
      </c>
      <c r="V281" s="6" t="s">
        <v>81</v>
      </c>
      <c r="W281" s="6" t="s">
        <v>6140</v>
      </c>
      <c r="X281" s="6" t="s">
        <v>81</v>
      </c>
      <c r="Y281" s="21" t="s">
        <v>81</v>
      </c>
      <c r="Z281" s="6" t="s">
        <v>81</v>
      </c>
      <c r="AA281" s="6" t="s">
        <v>81</v>
      </c>
      <c r="AB281" s="6" t="s">
        <v>81</v>
      </c>
      <c r="AC281" s="6" t="s">
        <v>81</v>
      </c>
      <c r="AD281" s="21" t="s">
        <v>81</v>
      </c>
      <c r="AE281" s="6" t="s">
        <v>81</v>
      </c>
      <c r="AF281" s="6" t="s">
        <v>81</v>
      </c>
      <c r="AG281" s="6" t="s">
        <v>81</v>
      </c>
      <c r="AH281" s="6" t="s">
        <v>14886</v>
      </c>
      <c r="AI281" s="6" t="s">
        <v>81</v>
      </c>
      <c r="AJ281" s="6" t="s">
        <v>17502</v>
      </c>
      <c r="AK281" s="6" t="s">
        <v>18377</v>
      </c>
      <c r="AL281" s="6" t="s">
        <v>18444</v>
      </c>
      <c r="AM281" s="6" t="s">
        <v>18663</v>
      </c>
      <c r="AN281" s="6" t="s">
        <v>19654</v>
      </c>
      <c r="AO281" s="6" t="s">
        <v>19824</v>
      </c>
      <c r="AP281" s="6" t="s">
        <v>81</v>
      </c>
      <c r="AQ281" s="6" t="s">
        <v>81</v>
      </c>
      <c r="AR281" s="6" t="s">
        <v>81</v>
      </c>
      <c r="AS281" s="6" t="s">
        <v>81</v>
      </c>
      <c r="AT281" s="6" t="s">
        <v>81</v>
      </c>
      <c r="AU281" s="6" t="s">
        <v>81</v>
      </c>
      <c r="AV281" s="6" t="s">
        <v>81</v>
      </c>
      <c r="AW281" s="6" t="s">
        <v>81</v>
      </c>
      <c r="AX281" s="6" t="s">
        <v>81</v>
      </c>
      <c r="AY281" s="6" t="s">
        <v>22643</v>
      </c>
      <c r="AZ281" s="6" t="s">
        <v>81</v>
      </c>
      <c r="BA281" s="6" t="s">
        <v>23819</v>
      </c>
      <c r="BB281" s="24" t="n">
        <v>237</v>
      </c>
      <c r="BC281" s="26"/>
      <c r="BD281" s="26"/>
      <c r="BE281" s="26"/>
      <c r="BF281" s="26" t="s">
        <v>23900</v>
      </c>
      <c r="BG281" s="26"/>
      <c r="BH281" s="26"/>
      <c r="BI281" s="26"/>
      <c r="BJ281" s="26"/>
      <c r="BK281" s="26"/>
      <c r="BL281" s="26"/>
      <c r="BM281" s="26"/>
      <c r="BN281" s="26"/>
      <c r="BO281" s="26"/>
      <c r="BP281" s="16" t="n">
        <v>45544</v>
      </c>
      <c r="BQ281" s="28" t="str">
        <f>HYPERLINK("https://organic.ams.usda.gov/Integrity/Certificate.aspx?cid=45&amp;nopid=9950000618")</f>
        <v>https://organic.ams.usda.gov/Integrity/Certificate.aspx?cid=45&amp;nopid=9950000618</v>
      </c>
    </row>
    <row r="282">
      <c r="A282" t="s">
        <v>3</v>
      </c>
      <c r="B282" s="6" t="s">
        <v>21</v>
      </c>
      <c r="C282" s="6" t="s">
        <v>68</v>
      </c>
      <c r="D282" s="6" t="s">
        <v>114</v>
      </c>
      <c r="E282" s="10" t="s">
        <v>423</v>
      </c>
      <c r="F282" s="6" t="s">
        <v>3158</v>
      </c>
      <c r="G282" s="6" t="s">
        <v>81</v>
      </c>
      <c r="H282" s="6" t="s">
        <v>6141</v>
      </c>
      <c r="I282" s="6" t="s">
        <v>8558</v>
      </c>
      <c r="J282" s="6" t="s">
        <v>9749</v>
      </c>
      <c r="K282" s="6" t="s">
        <v>10886</v>
      </c>
      <c r="L282" s="16" t="n">
        <v>45194</v>
      </c>
      <c r="M282" s="16" t="n">
        <v>46023</v>
      </c>
      <c r="N282" s="6" t="s">
        <v>81</v>
      </c>
      <c r="O282" s="21" t="s">
        <v>81</v>
      </c>
      <c r="P282" s="6" t="s">
        <v>81</v>
      </c>
      <c r="Q282" s="6" t="s">
        <v>81</v>
      </c>
      <c r="R282" s="6" t="s">
        <v>81</v>
      </c>
      <c r="S282" s="6" t="s">
        <v>81</v>
      </c>
      <c r="T282" s="21" t="s">
        <v>81</v>
      </c>
      <c r="U282" s="6" t="s">
        <v>81</v>
      </c>
      <c r="V282" s="6" t="s">
        <v>81</v>
      </c>
      <c r="W282" s="6" t="s">
        <v>81</v>
      </c>
      <c r="X282" s="6" t="s">
        <v>81</v>
      </c>
      <c r="Y282" s="21" t="s">
        <v>81</v>
      </c>
      <c r="Z282" s="6" t="s">
        <v>81</v>
      </c>
      <c r="AA282" s="6" t="s">
        <v>81</v>
      </c>
      <c r="AB282" s="6" t="s">
        <v>81</v>
      </c>
      <c r="AC282" s="6" t="s">
        <v>10886</v>
      </c>
      <c r="AD282" s="16" t="n">
        <v>45194</v>
      </c>
      <c r="AE282" s="6" t="s">
        <v>14061</v>
      </c>
      <c r="AF282" s="6" t="s">
        <v>81</v>
      </c>
      <c r="AG282" s="6" t="s">
        <v>81</v>
      </c>
      <c r="AH282" s="6" t="s">
        <v>81</v>
      </c>
      <c r="AI282" s="6" t="s">
        <v>81</v>
      </c>
      <c r="AJ282" s="6" t="s">
        <v>81</v>
      </c>
      <c r="AK282" s="6" t="s">
        <v>81</v>
      </c>
      <c r="AL282" s="6" t="s">
        <v>81</v>
      </c>
      <c r="AM282" s="6" t="s">
        <v>81</v>
      </c>
      <c r="AN282" s="6" t="s">
        <v>81</v>
      </c>
      <c r="AO282" s="6" t="s">
        <v>81</v>
      </c>
      <c r="AP282" s="6" t="s">
        <v>20121</v>
      </c>
      <c r="AQ282" s="6" t="s">
        <v>81</v>
      </c>
      <c r="AR282" s="6" t="s">
        <v>20500</v>
      </c>
      <c r="AS282" s="6" t="s">
        <v>18380</v>
      </c>
      <c r="AT282" s="6" t="s">
        <v>18444</v>
      </c>
      <c r="AU282" s="6" t="s">
        <v>20608</v>
      </c>
      <c r="AV282" s="6" t="s">
        <v>19665</v>
      </c>
      <c r="AW282" s="6" t="s">
        <v>19755</v>
      </c>
      <c r="AX282" s="6" t="s">
        <v>20915</v>
      </c>
      <c r="AY282" s="6" t="s">
        <v>22644</v>
      </c>
      <c r="AZ282" s="6" t="s">
        <v>81</v>
      </c>
      <c r="BA282" s="6" t="s">
        <v>81</v>
      </c>
      <c r="BB282" s="6" t="s">
        <v>81</v>
      </c>
      <c r="BC282" s="26"/>
      <c r="BD282" s="26"/>
      <c r="BE282" s="26" t="s">
        <v>23900</v>
      </c>
      <c r="BF282" s="26"/>
      <c r="BG282" s="26"/>
      <c r="BH282" s="26"/>
      <c r="BI282" s="26"/>
      <c r="BJ282" s="26"/>
      <c r="BK282" s="26"/>
      <c r="BL282" s="26"/>
      <c r="BM282" s="26"/>
      <c r="BN282" s="26" t="s">
        <v>23900</v>
      </c>
      <c r="BO282" s="26"/>
      <c r="BP282" s="16" t="n">
        <v>45738</v>
      </c>
      <c r="BQ282" s="28" t="str">
        <f>HYPERLINK("https://organic.ams.usda.gov/Integrity/Certificate.aspx?cid=62&amp;nopid=8150022876")</f>
        <v>https://organic.ams.usda.gov/Integrity/Certificate.aspx?cid=62&amp;nopid=8150022876</v>
      </c>
    </row>
    <row r="283">
      <c r="A283" t="s">
        <v>3</v>
      </c>
      <c r="B283" s="6" t="s">
        <v>23</v>
      </c>
      <c r="C283" s="6" t="s">
        <v>70</v>
      </c>
      <c r="D283" s="6" t="s">
        <v>116</v>
      </c>
      <c r="E283" s="10" t="s">
        <v>424</v>
      </c>
      <c r="F283" s="6" t="s">
        <v>3159</v>
      </c>
      <c r="G283" s="6" t="s">
        <v>81</v>
      </c>
      <c r="H283" s="6" t="s">
        <v>6142</v>
      </c>
      <c r="I283" s="6" t="s">
        <v>8559</v>
      </c>
      <c r="J283" s="6" t="s">
        <v>9665</v>
      </c>
      <c r="K283" s="6" t="s">
        <v>10886</v>
      </c>
      <c r="L283" s="16" t="n">
        <v>38922</v>
      </c>
      <c r="M283" s="16" t="n">
        <v>45862</v>
      </c>
      <c r="N283" s="6" t="s">
        <v>81</v>
      </c>
      <c r="O283" s="21" t="s">
        <v>81</v>
      </c>
      <c r="P283" s="6" t="s">
        <v>81</v>
      </c>
      <c r="Q283" s="6" t="s">
        <v>81</v>
      </c>
      <c r="R283" s="6" t="s">
        <v>81</v>
      </c>
      <c r="S283" s="6" t="s">
        <v>81</v>
      </c>
      <c r="T283" s="21" t="s">
        <v>81</v>
      </c>
      <c r="U283" s="6" t="s">
        <v>81</v>
      </c>
      <c r="V283" s="6" t="s">
        <v>81</v>
      </c>
      <c r="W283" s="6" t="s">
        <v>81</v>
      </c>
      <c r="X283" s="6" t="s">
        <v>81</v>
      </c>
      <c r="Y283" s="21" t="s">
        <v>81</v>
      </c>
      <c r="Z283" s="6" t="s">
        <v>81</v>
      </c>
      <c r="AA283" s="6" t="s">
        <v>81</v>
      </c>
      <c r="AB283" s="6" t="s">
        <v>81</v>
      </c>
      <c r="AC283" s="6" t="s">
        <v>10886</v>
      </c>
      <c r="AD283" s="16" t="n">
        <v>38922</v>
      </c>
      <c r="AE283" s="6" t="s">
        <v>14062</v>
      </c>
      <c r="AF283" s="6" t="s">
        <v>81</v>
      </c>
      <c r="AG283" s="6" t="s">
        <v>14524</v>
      </c>
      <c r="AH283" s="6" t="s">
        <v>81</v>
      </c>
      <c r="AI283" s="6" t="s">
        <v>81</v>
      </c>
      <c r="AJ283" s="6" t="s">
        <v>81</v>
      </c>
      <c r="AK283" s="6" t="s">
        <v>81</v>
      </c>
      <c r="AL283" s="6" t="s">
        <v>81</v>
      </c>
      <c r="AM283" s="6" t="s">
        <v>81</v>
      </c>
      <c r="AN283" s="6" t="s">
        <v>81</v>
      </c>
      <c r="AO283" s="6" t="s">
        <v>81</v>
      </c>
      <c r="AP283" s="6" t="s">
        <v>20122</v>
      </c>
      <c r="AQ283" s="6" t="s">
        <v>81</v>
      </c>
      <c r="AR283" s="6" t="s">
        <v>20501</v>
      </c>
      <c r="AS283" s="6" t="s">
        <v>18393</v>
      </c>
      <c r="AT283" s="6" t="s">
        <v>18444</v>
      </c>
      <c r="AU283" s="6" t="s">
        <v>20609</v>
      </c>
      <c r="AV283" s="6" t="s">
        <v>19654</v>
      </c>
      <c r="AW283" s="6" t="s">
        <v>20721</v>
      </c>
      <c r="AX283" s="6" t="s">
        <v>20916</v>
      </c>
      <c r="AY283" s="6" t="s">
        <v>22645</v>
      </c>
      <c r="AZ283" s="6" t="s">
        <v>81</v>
      </c>
      <c r="BA283" s="6" t="s">
        <v>81</v>
      </c>
      <c r="BB283" s="6" t="s">
        <v>81</v>
      </c>
      <c r="BC283" s="26"/>
      <c r="BD283" s="26"/>
      <c r="BE283" s="26"/>
      <c r="BF283" s="26"/>
      <c r="BG283" s="26"/>
      <c r="BH283" s="26"/>
      <c r="BI283" s="26"/>
      <c r="BJ283" s="26"/>
      <c r="BK283" s="26"/>
      <c r="BL283" s="26"/>
      <c r="BM283" s="26"/>
      <c r="BN283" s="26"/>
      <c r="BO283" s="26"/>
      <c r="BP283" s="16" t="n">
        <v>45635</v>
      </c>
      <c r="BQ283" s="28" t="str">
        <f>HYPERLINK("https://organic.ams.usda.gov/Integrity/Certificate.aspx?cid=63&amp;nopid=6220004937")</f>
        <v>https://organic.ams.usda.gov/Integrity/Certificate.aspx?cid=63&amp;nopid=6220004937</v>
      </c>
    </row>
    <row r="284">
      <c r="A284" t="s">
        <v>3</v>
      </c>
      <c r="B284" s="6" t="s">
        <v>8</v>
      </c>
      <c r="C284" s="6" t="s">
        <v>55</v>
      </c>
      <c r="D284" s="6" t="s">
        <v>101</v>
      </c>
      <c r="E284" s="10" t="s">
        <v>425</v>
      </c>
      <c r="F284" s="6" t="s">
        <v>3160</v>
      </c>
      <c r="G284" s="6" t="s">
        <v>81</v>
      </c>
      <c r="H284" s="6" t="s">
        <v>6143</v>
      </c>
      <c r="I284" s="6" t="s">
        <v>8560</v>
      </c>
      <c r="J284" s="6" t="s">
        <v>9671</v>
      </c>
      <c r="K284" s="6" t="s">
        <v>10886</v>
      </c>
      <c r="L284" s="16" t="n">
        <v>40668</v>
      </c>
      <c r="M284" s="16" t="n">
        <v>45748</v>
      </c>
      <c r="N284" s="6" t="s">
        <v>10886</v>
      </c>
      <c r="O284" s="16" t="n">
        <v>40668</v>
      </c>
      <c r="P284" s="6" t="s">
        <v>11078</v>
      </c>
      <c r="Q284" s="6" t="s">
        <v>81</v>
      </c>
      <c r="R284" s="6" t="s">
        <v>6143</v>
      </c>
      <c r="S284" s="6" t="s">
        <v>10886</v>
      </c>
      <c r="T284" s="16" t="n">
        <v>40668</v>
      </c>
      <c r="U284" s="6" t="s">
        <v>13265</v>
      </c>
      <c r="V284" s="6" t="s">
        <v>81</v>
      </c>
      <c r="W284" s="6" t="s">
        <v>6143</v>
      </c>
      <c r="X284" s="6" t="s">
        <v>81</v>
      </c>
      <c r="Y284" s="21" t="s">
        <v>81</v>
      </c>
      <c r="Z284" s="6" t="s">
        <v>81</v>
      </c>
      <c r="AA284" s="6" t="s">
        <v>81</v>
      </c>
      <c r="AB284" s="6" t="s">
        <v>81</v>
      </c>
      <c r="AC284" s="6" t="s">
        <v>10886</v>
      </c>
      <c r="AD284" s="16" t="n">
        <v>45510</v>
      </c>
      <c r="AE284" s="6" t="s">
        <v>14063</v>
      </c>
      <c r="AF284" s="6" t="s">
        <v>81</v>
      </c>
      <c r="AG284" s="6" t="s">
        <v>6143</v>
      </c>
      <c r="AH284" s="6" t="s">
        <v>14887</v>
      </c>
      <c r="AI284" s="6" t="s">
        <v>81</v>
      </c>
      <c r="AJ284" s="6" t="s">
        <v>17418</v>
      </c>
      <c r="AK284" s="6" t="s">
        <v>18379</v>
      </c>
      <c r="AL284" s="6" t="s">
        <v>18444</v>
      </c>
      <c r="AM284" s="6" t="s">
        <v>18575</v>
      </c>
      <c r="AN284" s="6" t="s">
        <v>19671</v>
      </c>
      <c r="AO284" s="6" t="s">
        <v>19784</v>
      </c>
      <c r="AP284" s="6" t="s">
        <v>81</v>
      </c>
      <c r="AQ284" s="6" t="s">
        <v>81</v>
      </c>
      <c r="AR284" s="6" t="s">
        <v>81</v>
      </c>
      <c r="AS284" s="6" t="s">
        <v>81</v>
      </c>
      <c r="AT284" s="6" t="s">
        <v>81</v>
      </c>
      <c r="AU284" s="6" t="s">
        <v>81</v>
      </c>
      <c r="AV284" s="6" t="s">
        <v>81</v>
      </c>
      <c r="AW284" s="6" t="s">
        <v>81</v>
      </c>
      <c r="AX284" s="6" t="s">
        <v>81</v>
      </c>
      <c r="AY284" s="6" t="s">
        <v>81</v>
      </c>
      <c r="AZ284" s="6" t="s">
        <v>81</v>
      </c>
      <c r="BA284" s="6" t="s">
        <v>23824</v>
      </c>
      <c r="BB284" s="24" t="n">
        <v>160</v>
      </c>
      <c r="BC284" s="26"/>
      <c r="BD284" s="26"/>
      <c r="BE284" s="26"/>
      <c r="BF284" s="26" t="s">
        <v>23900</v>
      </c>
      <c r="BG284" s="26" t="s">
        <v>23900</v>
      </c>
      <c r="BH284" s="26"/>
      <c r="BI284" s="26"/>
      <c r="BJ284" s="26"/>
      <c r="BK284" s="26"/>
      <c r="BL284" s="26"/>
      <c r="BM284" s="26"/>
      <c r="BN284" s="26"/>
      <c r="BO284" s="26"/>
      <c r="BP284" s="16" t="n">
        <v>45510</v>
      </c>
      <c r="BQ284" s="28" t="str">
        <f>HYPERLINK("https://organic.ams.usda.gov/Integrity/Certificate.aspx?cid=45&amp;nopid=9950004385")</f>
        <v>https://organic.ams.usda.gov/Integrity/Certificate.aspx?cid=45&amp;nopid=9950004385</v>
      </c>
    </row>
    <row r="285">
      <c r="A285" t="s">
        <v>3</v>
      </c>
      <c r="B285" s="6" t="s">
        <v>7</v>
      </c>
      <c r="C285" s="6" t="s">
        <v>54</v>
      </c>
      <c r="D285" s="6" t="s">
        <v>100</v>
      </c>
      <c r="E285" s="10" t="s">
        <v>426</v>
      </c>
      <c r="F285" s="6" t="s">
        <v>3161</v>
      </c>
      <c r="G285" s="6" t="s">
        <v>81</v>
      </c>
      <c r="H285" s="6" t="s">
        <v>2443</v>
      </c>
      <c r="I285" s="6" t="s">
        <v>8561</v>
      </c>
      <c r="J285" s="6" t="s">
        <v>9671</v>
      </c>
      <c r="K285" s="6" t="s">
        <v>10886</v>
      </c>
      <c r="L285" s="16" t="n">
        <v>44712</v>
      </c>
      <c r="M285" s="16" t="n">
        <v>44712</v>
      </c>
      <c r="N285" s="6" t="s">
        <v>10886</v>
      </c>
      <c r="O285" s="16" t="n">
        <v>44712</v>
      </c>
      <c r="P285" s="6" t="s">
        <v>11079</v>
      </c>
      <c r="Q285" s="6" t="s">
        <v>81</v>
      </c>
      <c r="R285" s="6" t="s">
        <v>2443</v>
      </c>
      <c r="S285" s="6" t="s">
        <v>10886</v>
      </c>
      <c r="T285" s="16" t="n">
        <v>44712</v>
      </c>
      <c r="U285" s="6" t="s">
        <v>13266</v>
      </c>
      <c r="V285" s="6" t="s">
        <v>81</v>
      </c>
      <c r="W285" s="6" t="s">
        <v>2443</v>
      </c>
      <c r="X285" s="6" t="s">
        <v>81</v>
      </c>
      <c r="Y285" s="21" t="s">
        <v>81</v>
      </c>
      <c r="Z285" s="6" t="s">
        <v>81</v>
      </c>
      <c r="AA285" s="6" t="s">
        <v>81</v>
      </c>
      <c r="AB285" s="6" t="s">
        <v>81</v>
      </c>
      <c r="AC285" s="6" t="s">
        <v>81</v>
      </c>
      <c r="AD285" s="21" t="s">
        <v>81</v>
      </c>
      <c r="AE285" s="6" t="s">
        <v>81</v>
      </c>
      <c r="AF285" s="6" t="s">
        <v>81</v>
      </c>
      <c r="AG285" s="6" t="s">
        <v>81</v>
      </c>
      <c r="AH285" s="6" t="s">
        <v>14888</v>
      </c>
      <c r="AI285" s="6" t="s">
        <v>81</v>
      </c>
      <c r="AJ285" s="6" t="s">
        <v>17485</v>
      </c>
      <c r="AK285" s="6" t="s">
        <v>17712</v>
      </c>
      <c r="AL285" s="6" t="s">
        <v>18444</v>
      </c>
      <c r="AM285" s="6" t="s">
        <v>18645</v>
      </c>
      <c r="AN285" s="6" t="s">
        <v>19642</v>
      </c>
      <c r="AO285" s="6" t="s">
        <v>19728</v>
      </c>
      <c r="AP285" s="6" t="s">
        <v>81</v>
      </c>
      <c r="AQ285" s="6" t="s">
        <v>81</v>
      </c>
      <c r="AR285" s="6" t="s">
        <v>81</v>
      </c>
      <c r="AS285" s="6" t="s">
        <v>81</v>
      </c>
      <c r="AT285" s="6" t="s">
        <v>81</v>
      </c>
      <c r="AU285" s="6" t="s">
        <v>81</v>
      </c>
      <c r="AV285" s="6" t="s">
        <v>81</v>
      </c>
      <c r="AW285" s="6" t="s">
        <v>81</v>
      </c>
      <c r="AX285" s="6" t="s">
        <v>20917</v>
      </c>
      <c r="AY285" s="6" t="s">
        <v>81</v>
      </c>
      <c r="AZ285" s="6" t="s">
        <v>81</v>
      </c>
      <c r="BA285" s="6" t="s">
        <v>81</v>
      </c>
      <c r="BB285" s="24" t="n">
        <v>124</v>
      </c>
      <c r="BC285" s="26"/>
      <c r="BD285" s="26"/>
      <c r="BE285" s="26"/>
      <c r="BF285" s="26"/>
      <c r="BG285" s="26"/>
      <c r="BH285" s="26"/>
      <c r="BI285" s="26"/>
      <c r="BJ285" s="26"/>
      <c r="BK285" s="26"/>
      <c r="BL285" s="26"/>
      <c r="BM285" s="26"/>
      <c r="BN285" s="26"/>
      <c r="BO285" s="26"/>
      <c r="BP285" s="16" t="n">
        <v>44909</v>
      </c>
      <c r="BQ285" s="28" t="str">
        <f>HYPERLINK("https://organic.ams.usda.gov/Integrity/Certificate.aspx?cid=57&amp;nopid=3252317279")</f>
        <v>https://organic.ams.usda.gov/Integrity/Certificate.aspx?cid=57&amp;nopid=3252317279</v>
      </c>
    </row>
    <row r="286">
      <c r="A286" t="s">
        <v>3</v>
      </c>
      <c r="B286" s="6" t="s">
        <v>8</v>
      </c>
      <c r="C286" s="6" t="s">
        <v>55</v>
      </c>
      <c r="D286" s="6" t="s">
        <v>101</v>
      </c>
      <c r="E286" s="10" t="s">
        <v>427</v>
      </c>
      <c r="F286" s="6" t="s">
        <v>3162</v>
      </c>
      <c r="G286" s="6" t="s">
        <v>81</v>
      </c>
      <c r="H286" s="6" t="s">
        <v>6144</v>
      </c>
      <c r="I286" s="6" t="s">
        <v>8562</v>
      </c>
      <c r="J286" s="6" t="s">
        <v>9821</v>
      </c>
      <c r="K286" s="6" t="s">
        <v>10886</v>
      </c>
      <c r="L286" s="16" t="n">
        <v>38587</v>
      </c>
      <c r="M286" s="16" t="n">
        <v>45748</v>
      </c>
      <c r="N286" s="6" t="s">
        <v>10886</v>
      </c>
      <c r="O286" s="16" t="n">
        <v>38587</v>
      </c>
      <c r="P286" s="6" t="s">
        <v>11080</v>
      </c>
      <c r="Q286" s="6" t="s">
        <v>81</v>
      </c>
      <c r="R286" s="6" t="s">
        <v>6144</v>
      </c>
      <c r="S286" s="6" t="s">
        <v>10886</v>
      </c>
      <c r="T286" s="16" t="n">
        <v>38587</v>
      </c>
      <c r="U286" s="6" t="s">
        <v>13267</v>
      </c>
      <c r="V286" s="6" t="s">
        <v>81</v>
      </c>
      <c r="W286" s="6" t="s">
        <v>6144</v>
      </c>
      <c r="X286" s="6" t="s">
        <v>81</v>
      </c>
      <c r="Y286" s="21" t="s">
        <v>81</v>
      </c>
      <c r="Z286" s="6" t="s">
        <v>81</v>
      </c>
      <c r="AA286" s="6" t="s">
        <v>81</v>
      </c>
      <c r="AB286" s="6" t="s">
        <v>81</v>
      </c>
      <c r="AC286" s="6" t="s">
        <v>81</v>
      </c>
      <c r="AD286" s="21" t="s">
        <v>81</v>
      </c>
      <c r="AE286" s="6" t="s">
        <v>81</v>
      </c>
      <c r="AF286" s="6" t="s">
        <v>81</v>
      </c>
      <c r="AG286" s="6" t="s">
        <v>81</v>
      </c>
      <c r="AH286" s="6" t="s">
        <v>14889</v>
      </c>
      <c r="AI286" s="6" t="s">
        <v>81</v>
      </c>
      <c r="AJ286" s="6" t="s">
        <v>17503</v>
      </c>
      <c r="AK286" s="6" t="s">
        <v>18377</v>
      </c>
      <c r="AL286" s="6" t="s">
        <v>18444</v>
      </c>
      <c r="AM286" s="6" t="s">
        <v>18664</v>
      </c>
      <c r="AN286" s="6" t="s">
        <v>7195</v>
      </c>
      <c r="AO286" s="6" t="s">
        <v>19737</v>
      </c>
      <c r="AP286" s="6" t="s">
        <v>81</v>
      </c>
      <c r="AQ286" s="6" t="s">
        <v>81</v>
      </c>
      <c r="AR286" s="6" t="s">
        <v>81</v>
      </c>
      <c r="AS286" s="6" t="s">
        <v>81</v>
      </c>
      <c r="AT286" s="6" t="s">
        <v>81</v>
      </c>
      <c r="AU286" s="6" t="s">
        <v>81</v>
      </c>
      <c r="AV286" s="6" t="s">
        <v>81</v>
      </c>
      <c r="AW286" s="6" t="s">
        <v>81</v>
      </c>
      <c r="AX286" s="6" t="s">
        <v>81</v>
      </c>
      <c r="AY286" s="6" t="s">
        <v>22646</v>
      </c>
      <c r="AZ286" s="6" t="s">
        <v>81</v>
      </c>
      <c r="BA286" s="6" t="s">
        <v>23819</v>
      </c>
      <c r="BB286" s="24" t="n">
        <v>427</v>
      </c>
      <c r="BC286" s="26"/>
      <c r="BD286" s="26"/>
      <c r="BE286" s="26"/>
      <c r="BF286" s="26" t="s">
        <v>23900</v>
      </c>
      <c r="BG286" s="26"/>
      <c r="BH286" s="26"/>
      <c r="BI286" s="26"/>
      <c r="BJ286" s="26"/>
      <c r="BK286" s="26"/>
      <c r="BL286" s="26"/>
      <c r="BM286" s="26"/>
      <c r="BN286" s="26"/>
      <c r="BO286" s="26"/>
      <c r="BP286" s="16" t="n">
        <v>45635</v>
      </c>
      <c r="BQ286" s="28" t="str">
        <f>HYPERLINK("https://organic.ams.usda.gov/Integrity/Certificate.aspx?cid=45&amp;nopid=9950001854")</f>
        <v>https://organic.ams.usda.gov/Integrity/Certificate.aspx?cid=45&amp;nopid=9950001854</v>
      </c>
    </row>
    <row r="287">
      <c r="A287" t="s">
        <v>3</v>
      </c>
      <c r="B287" s="6" t="s">
        <v>8</v>
      </c>
      <c r="C287" s="6" t="s">
        <v>55</v>
      </c>
      <c r="D287" s="6" t="s">
        <v>101</v>
      </c>
      <c r="E287" s="10" t="s">
        <v>428</v>
      </c>
      <c r="F287" s="6" t="s">
        <v>3163</v>
      </c>
      <c r="G287" s="6" t="s">
        <v>81</v>
      </c>
      <c r="H287" s="6" t="s">
        <v>6145</v>
      </c>
      <c r="I287" s="6" t="s">
        <v>8563</v>
      </c>
      <c r="J287" s="6" t="s">
        <v>9035</v>
      </c>
      <c r="K287" s="6" t="s">
        <v>10886</v>
      </c>
      <c r="L287" s="16" t="n">
        <v>41976</v>
      </c>
      <c r="M287" s="16" t="n">
        <v>45689</v>
      </c>
      <c r="N287" s="6" t="s">
        <v>10886</v>
      </c>
      <c r="O287" s="16" t="n">
        <v>41976</v>
      </c>
      <c r="P287" s="6" t="s">
        <v>11081</v>
      </c>
      <c r="Q287" s="6" t="s">
        <v>81</v>
      </c>
      <c r="R287" s="6" t="s">
        <v>6145</v>
      </c>
      <c r="S287" s="6" t="s">
        <v>10886</v>
      </c>
      <c r="T287" s="16" t="n">
        <v>41976</v>
      </c>
      <c r="U287" s="6" t="s">
        <v>13268</v>
      </c>
      <c r="V287" s="6" t="s">
        <v>81</v>
      </c>
      <c r="W287" s="6" t="s">
        <v>6145</v>
      </c>
      <c r="X287" s="6" t="s">
        <v>81</v>
      </c>
      <c r="Y287" s="21" t="s">
        <v>81</v>
      </c>
      <c r="Z287" s="6" t="s">
        <v>81</v>
      </c>
      <c r="AA287" s="6" t="s">
        <v>81</v>
      </c>
      <c r="AB287" s="6" t="s">
        <v>81</v>
      </c>
      <c r="AC287" s="6" t="s">
        <v>81</v>
      </c>
      <c r="AD287" s="21" t="s">
        <v>81</v>
      </c>
      <c r="AE287" s="6" t="s">
        <v>81</v>
      </c>
      <c r="AF287" s="6" t="s">
        <v>81</v>
      </c>
      <c r="AG287" s="6" t="s">
        <v>81</v>
      </c>
      <c r="AH287" s="6" t="s">
        <v>14890</v>
      </c>
      <c r="AI287" s="6" t="s">
        <v>81</v>
      </c>
      <c r="AJ287" s="6" t="s">
        <v>17504</v>
      </c>
      <c r="AK287" s="6" t="s">
        <v>18378</v>
      </c>
      <c r="AL287" s="6" t="s">
        <v>18444</v>
      </c>
      <c r="AM287" s="6" t="s">
        <v>18665</v>
      </c>
      <c r="AN287" s="6" t="s">
        <v>19676</v>
      </c>
      <c r="AO287" s="6" t="s">
        <v>19784</v>
      </c>
      <c r="AP287" s="6" t="s">
        <v>81</v>
      </c>
      <c r="AQ287" s="6" t="s">
        <v>81</v>
      </c>
      <c r="AR287" s="6" t="s">
        <v>81</v>
      </c>
      <c r="AS287" s="6" t="s">
        <v>81</v>
      </c>
      <c r="AT287" s="6" t="s">
        <v>81</v>
      </c>
      <c r="AU287" s="6" t="s">
        <v>81</v>
      </c>
      <c r="AV287" s="6" t="s">
        <v>81</v>
      </c>
      <c r="AW287" s="6" t="s">
        <v>81</v>
      </c>
      <c r="AX287" s="6" t="s">
        <v>20918</v>
      </c>
      <c r="AY287" s="6" t="s">
        <v>22647</v>
      </c>
      <c r="AZ287" s="6" t="s">
        <v>23597</v>
      </c>
      <c r="BA287" s="6" t="s">
        <v>23819</v>
      </c>
      <c r="BB287" s="24" t="n">
        <v>30</v>
      </c>
      <c r="BC287" s="26"/>
      <c r="BD287" s="26"/>
      <c r="BE287" s="26"/>
      <c r="BF287" s="26" t="s">
        <v>23900</v>
      </c>
      <c r="BG287" s="26"/>
      <c r="BH287" s="26"/>
      <c r="BI287" s="26"/>
      <c r="BJ287" s="26"/>
      <c r="BK287" s="26" t="s">
        <v>23900</v>
      </c>
      <c r="BL287" s="26"/>
      <c r="BM287" s="26"/>
      <c r="BN287" s="26"/>
      <c r="BO287" s="26"/>
      <c r="BP287" s="16" t="n">
        <v>45728</v>
      </c>
      <c r="BQ287" s="28" t="str">
        <f>HYPERLINK("https://organic.ams.usda.gov/Integrity/Certificate.aspx?cid=45&amp;nopid=9950007309")</f>
        <v>https://organic.ams.usda.gov/Integrity/Certificate.aspx?cid=45&amp;nopid=9950007309</v>
      </c>
    </row>
    <row r="288">
      <c r="A288" t="s">
        <v>3</v>
      </c>
      <c r="B288" s="6" t="s">
        <v>17</v>
      </c>
      <c r="C288" s="6" t="s">
        <v>64</v>
      </c>
      <c r="D288" s="6" t="s">
        <v>110</v>
      </c>
      <c r="E288" s="10" t="s">
        <v>429</v>
      </c>
      <c r="F288" s="6" t="s">
        <v>3164</v>
      </c>
      <c r="G288" s="6" t="s">
        <v>81</v>
      </c>
      <c r="H288" s="6" t="s">
        <v>6146</v>
      </c>
      <c r="I288" s="6" t="s">
        <v>8564</v>
      </c>
      <c r="J288" s="6" t="s">
        <v>9822</v>
      </c>
      <c r="K288" s="6" t="s">
        <v>10886</v>
      </c>
      <c r="L288" s="16" t="n">
        <v>37715</v>
      </c>
      <c r="M288" s="16" t="n">
        <v>46068</v>
      </c>
      <c r="N288" s="6" t="s">
        <v>10893</v>
      </c>
      <c r="O288" s="16" t="n">
        <v>43031</v>
      </c>
      <c r="P288" s="6" t="s">
        <v>81</v>
      </c>
      <c r="Q288" s="6" t="s">
        <v>81</v>
      </c>
      <c r="R288" s="6" t="s">
        <v>81</v>
      </c>
      <c r="S288" s="6" t="s">
        <v>81</v>
      </c>
      <c r="T288" s="21" t="s">
        <v>81</v>
      </c>
      <c r="U288" s="6" t="s">
        <v>81</v>
      </c>
      <c r="V288" s="6" t="s">
        <v>81</v>
      </c>
      <c r="W288" s="6" t="s">
        <v>81</v>
      </c>
      <c r="X288" s="6" t="s">
        <v>81</v>
      </c>
      <c r="Y288" s="21" t="s">
        <v>81</v>
      </c>
      <c r="Z288" s="6" t="s">
        <v>81</v>
      </c>
      <c r="AA288" s="6" t="s">
        <v>81</v>
      </c>
      <c r="AB288" s="6" t="s">
        <v>81</v>
      </c>
      <c r="AC288" s="6" t="s">
        <v>10886</v>
      </c>
      <c r="AD288" s="16" t="n">
        <v>37715</v>
      </c>
      <c r="AE288" s="6" t="s">
        <v>14064</v>
      </c>
      <c r="AF288" s="6" t="s">
        <v>81</v>
      </c>
      <c r="AG288" s="6" t="s">
        <v>6146</v>
      </c>
      <c r="AH288" s="6" t="s">
        <v>14891</v>
      </c>
      <c r="AI288" s="6" t="s">
        <v>81</v>
      </c>
      <c r="AJ288" s="6" t="s">
        <v>17505</v>
      </c>
      <c r="AK288" s="6" t="s">
        <v>18384</v>
      </c>
      <c r="AL288" s="6" t="s">
        <v>18444</v>
      </c>
      <c r="AM288" s="6" t="s">
        <v>18666</v>
      </c>
      <c r="AN288" s="6" t="s">
        <v>19656</v>
      </c>
      <c r="AO288" s="6" t="s">
        <v>19825</v>
      </c>
      <c r="AP288" s="6" t="s">
        <v>14891</v>
      </c>
      <c r="AQ288" s="6" t="s">
        <v>81</v>
      </c>
      <c r="AR288" s="6" t="s">
        <v>17505</v>
      </c>
      <c r="AS288" s="6" t="s">
        <v>18384</v>
      </c>
      <c r="AT288" s="6" t="s">
        <v>18444</v>
      </c>
      <c r="AU288" s="6" t="s">
        <v>18666</v>
      </c>
      <c r="AV288" s="6" t="s">
        <v>81</v>
      </c>
      <c r="AW288" s="6" t="s">
        <v>81</v>
      </c>
      <c r="AX288" s="6" t="s">
        <v>20919</v>
      </c>
      <c r="AY288" s="6" t="s">
        <v>81</v>
      </c>
      <c r="AZ288" s="6" t="s">
        <v>81</v>
      </c>
      <c r="BA288" s="6" t="s">
        <v>81</v>
      </c>
      <c r="BB288" s="6" t="s">
        <v>81</v>
      </c>
      <c r="BC288" s="26"/>
      <c r="BD288" s="26"/>
      <c r="BE288" s="26"/>
      <c r="BF288" s="26"/>
      <c r="BG288" s="26"/>
      <c r="BH288" s="26"/>
      <c r="BI288" s="26"/>
      <c r="BJ288" s="26"/>
      <c r="BK288" s="26"/>
      <c r="BL288" s="26"/>
      <c r="BM288" s="26"/>
      <c r="BN288" s="26"/>
      <c r="BO288" s="26"/>
      <c r="BP288" s="16" t="n">
        <v>45707</v>
      </c>
      <c r="BQ288" s="28" t="str">
        <f>HYPERLINK("https://organic.ams.usda.gov/Integrity/Certificate.aspx?cid=36&amp;nopid=5400000177")</f>
        <v>https://organic.ams.usda.gov/Integrity/Certificate.aspx?cid=36&amp;nopid=5400000177</v>
      </c>
    </row>
    <row r="289">
      <c r="A289" t="s">
        <v>3</v>
      </c>
      <c r="B289" s="6" t="s">
        <v>23</v>
      </c>
      <c r="C289" s="6" t="s">
        <v>70</v>
      </c>
      <c r="D289" s="6" t="s">
        <v>116</v>
      </c>
      <c r="E289" s="10" t="s">
        <v>430</v>
      </c>
      <c r="F289" s="6" t="s">
        <v>3165</v>
      </c>
      <c r="G289" s="6" t="s">
        <v>81</v>
      </c>
      <c r="H289" s="6" t="s">
        <v>6147</v>
      </c>
      <c r="I289" s="6" t="s">
        <v>8520</v>
      </c>
      <c r="J289" s="6" t="s">
        <v>9823</v>
      </c>
      <c r="K289" s="6" t="s">
        <v>10886</v>
      </c>
      <c r="L289" s="16" t="n">
        <v>43866</v>
      </c>
      <c r="M289" s="16" t="n">
        <v>45693</v>
      </c>
      <c r="N289" s="6" t="s">
        <v>81</v>
      </c>
      <c r="O289" s="21" t="s">
        <v>81</v>
      </c>
      <c r="P289" s="6" t="s">
        <v>81</v>
      </c>
      <c r="Q289" s="6" t="s">
        <v>81</v>
      </c>
      <c r="R289" s="6" t="s">
        <v>81</v>
      </c>
      <c r="S289" s="6" t="s">
        <v>10886</v>
      </c>
      <c r="T289" s="16" t="n">
        <v>43866</v>
      </c>
      <c r="U289" s="6" t="s">
        <v>13269</v>
      </c>
      <c r="V289" s="6" t="s">
        <v>81</v>
      </c>
      <c r="W289" s="6" t="s">
        <v>13970</v>
      </c>
      <c r="X289" s="6" t="s">
        <v>81</v>
      </c>
      <c r="Y289" s="21" t="s">
        <v>81</v>
      </c>
      <c r="Z289" s="6" t="s">
        <v>81</v>
      </c>
      <c r="AA289" s="6" t="s">
        <v>81</v>
      </c>
      <c r="AB289" s="6" t="s">
        <v>81</v>
      </c>
      <c r="AC289" s="6" t="s">
        <v>81</v>
      </c>
      <c r="AD289" s="21" t="s">
        <v>81</v>
      </c>
      <c r="AE289" s="6" t="s">
        <v>81</v>
      </c>
      <c r="AF289" s="6" t="s">
        <v>81</v>
      </c>
      <c r="AG289" s="6" t="s">
        <v>81</v>
      </c>
      <c r="AH289" s="6" t="s">
        <v>81</v>
      </c>
      <c r="AI289" s="6" t="s">
        <v>81</v>
      </c>
      <c r="AJ289" s="6" t="s">
        <v>81</v>
      </c>
      <c r="AK289" s="6" t="s">
        <v>81</v>
      </c>
      <c r="AL289" s="6" t="s">
        <v>81</v>
      </c>
      <c r="AM289" s="6" t="s">
        <v>81</v>
      </c>
      <c r="AN289" s="6" t="s">
        <v>81</v>
      </c>
      <c r="AO289" s="6" t="s">
        <v>81</v>
      </c>
      <c r="AP289" s="6" t="s">
        <v>16724</v>
      </c>
      <c r="AQ289" s="6" t="s">
        <v>81</v>
      </c>
      <c r="AR289" s="6" t="s">
        <v>17610</v>
      </c>
      <c r="AS289" s="6" t="s">
        <v>18395</v>
      </c>
      <c r="AT289" s="6" t="s">
        <v>18444</v>
      </c>
      <c r="AU289" s="6" t="s">
        <v>18776</v>
      </c>
      <c r="AV289" s="6" t="s">
        <v>20717</v>
      </c>
      <c r="AW289" s="6" t="s">
        <v>20722</v>
      </c>
      <c r="AX289" s="6" t="s">
        <v>20920</v>
      </c>
      <c r="AY289" s="6" t="s">
        <v>22648</v>
      </c>
      <c r="AZ289" s="6" t="s">
        <v>81</v>
      </c>
      <c r="BA289" s="6" t="s">
        <v>81</v>
      </c>
      <c r="BB289" s="6" t="s">
        <v>81</v>
      </c>
      <c r="BC289" s="26"/>
      <c r="BD289" s="26"/>
      <c r="BE289" s="26"/>
      <c r="BF289" s="26"/>
      <c r="BG289" s="26"/>
      <c r="BH289" s="26"/>
      <c r="BI289" s="26"/>
      <c r="BJ289" s="26"/>
      <c r="BK289" s="26"/>
      <c r="BL289" s="26"/>
      <c r="BM289" s="26"/>
      <c r="BN289" s="26"/>
      <c r="BO289" s="26"/>
      <c r="BP289" s="16" t="n">
        <v>45394</v>
      </c>
      <c r="BQ289" s="28" t="str">
        <f>HYPERLINK("https://organic.ams.usda.gov/Integrity/Certificate.aspx?cid=63&amp;nopid=6220008074")</f>
        <v>https://organic.ams.usda.gov/Integrity/Certificate.aspx?cid=63&amp;nopid=6220008074</v>
      </c>
    </row>
    <row r="290">
      <c r="A290" t="s">
        <v>3</v>
      </c>
      <c r="B290" s="6" t="s">
        <v>23</v>
      </c>
      <c r="C290" s="6" t="s">
        <v>70</v>
      </c>
      <c r="D290" s="6" t="s">
        <v>116</v>
      </c>
      <c r="E290" s="10" t="s">
        <v>431</v>
      </c>
      <c r="F290" s="6" t="s">
        <v>3166</v>
      </c>
      <c r="G290" s="6" t="s">
        <v>81</v>
      </c>
      <c r="H290" s="6" t="s">
        <v>6148</v>
      </c>
      <c r="I290" s="6" t="s">
        <v>8565</v>
      </c>
      <c r="J290" s="6" t="s">
        <v>9824</v>
      </c>
      <c r="K290" s="6" t="s">
        <v>10886</v>
      </c>
      <c r="L290" s="16" t="n">
        <v>43434</v>
      </c>
      <c r="M290" s="16" t="n">
        <v>45746</v>
      </c>
      <c r="N290" s="6" t="s">
        <v>10886</v>
      </c>
      <c r="O290" s="16" t="n">
        <v>43434</v>
      </c>
      <c r="P290" s="6" t="s">
        <v>11082</v>
      </c>
      <c r="Q290" s="6" t="s">
        <v>81</v>
      </c>
      <c r="R290" s="6" t="s">
        <v>12506</v>
      </c>
      <c r="S290" s="6" t="s">
        <v>10886</v>
      </c>
      <c r="T290" s="16" t="n">
        <v>43434</v>
      </c>
      <c r="U290" s="6" t="s">
        <v>13232</v>
      </c>
      <c r="V290" s="6" t="s">
        <v>81</v>
      </c>
      <c r="W290" s="6" t="s">
        <v>12506</v>
      </c>
      <c r="X290" s="6" t="s">
        <v>81</v>
      </c>
      <c r="Y290" s="21" t="s">
        <v>81</v>
      </c>
      <c r="Z290" s="6" t="s">
        <v>81</v>
      </c>
      <c r="AA290" s="6" t="s">
        <v>81</v>
      </c>
      <c r="AB290" s="6" t="s">
        <v>81</v>
      </c>
      <c r="AC290" s="6" t="s">
        <v>81</v>
      </c>
      <c r="AD290" s="21" t="s">
        <v>81</v>
      </c>
      <c r="AE290" s="6" t="s">
        <v>81</v>
      </c>
      <c r="AF290" s="6" t="s">
        <v>81</v>
      </c>
      <c r="AG290" s="6" t="s">
        <v>81</v>
      </c>
      <c r="AH290" s="6" t="s">
        <v>14892</v>
      </c>
      <c r="AI290" s="6" t="s">
        <v>81</v>
      </c>
      <c r="AJ290" s="6" t="s">
        <v>17506</v>
      </c>
      <c r="AK290" s="6" t="s">
        <v>18386</v>
      </c>
      <c r="AL290" s="6" t="s">
        <v>18444</v>
      </c>
      <c r="AM290" s="6" t="s">
        <v>18667</v>
      </c>
      <c r="AN290" s="6" t="s">
        <v>81</v>
      </c>
      <c r="AO290" s="6" t="s">
        <v>81</v>
      </c>
      <c r="AP290" s="6" t="s">
        <v>14892</v>
      </c>
      <c r="AQ290" s="6" t="s">
        <v>81</v>
      </c>
      <c r="AR290" s="6" t="s">
        <v>17506</v>
      </c>
      <c r="AS290" s="6" t="s">
        <v>18386</v>
      </c>
      <c r="AT290" s="6" t="s">
        <v>18444</v>
      </c>
      <c r="AU290" s="6" t="s">
        <v>18667</v>
      </c>
      <c r="AV290" s="6" t="s">
        <v>19651</v>
      </c>
      <c r="AW290" s="6" t="s">
        <v>19864</v>
      </c>
      <c r="AX290" s="6" t="s">
        <v>20921</v>
      </c>
      <c r="AY290" s="6" t="s">
        <v>22649</v>
      </c>
      <c r="AZ290" s="6" t="s">
        <v>81</v>
      </c>
      <c r="BA290" s="6" t="s">
        <v>81</v>
      </c>
      <c r="BB290" s="24" t="n">
        <v>686</v>
      </c>
      <c r="BC290" s="26"/>
      <c r="BD290" s="26"/>
      <c r="BE290" s="26"/>
      <c r="BF290" s="26"/>
      <c r="BG290" s="26"/>
      <c r="BH290" s="26"/>
      <c r="BI290" s="26"/>
      <c r="BJ290" s="26"/>
      <c r="BK290" s="26"/>
      <c r="BL290" s="26"/>
      <c r="BM290" s="26"/>
      <c r="BN290" s="26"/>
      <c r="BO290" s="26"/>
      <c r="BP290" s="16" t="n">
        <v>45665</v>
      </c>
      <c r="BQ290" s="28" t="str">
        <f>HYPERLINK("https://organic.ams.usda.gov/Integrity/Certificate.aspx?cid=63&amp;nopid=6220007870")</f>
        <v>https://organic.ams.usda.gov/Integrity/Certificate.aspx?cid=63&amp;nopid=6220007870</v>
      </c>
    </row>
    <row r="291">
      <c r="A291" t="s">
        <v>3</v>
      </c>
      <c r="B291" s="6" t="s">
        <v>21</v>
      </c>
      <c r="C291" s="6" t="s">
        <v>68</v>
      </c>
      <c r="D291" s="6" t="s">
        <v>114</v>
      </c>
      <c r="E291" s="10" t="s">
        <v>432</v>
      </c>
      <c r="F291" s="6" t="s">
        <v>3167</v>
      </c>
      <c r="G291" s="6" t="s">
        <v>81</v>
      </c>
      <c r="H291" s="6" t="s">
        <v>6149</v>
      </c>
      <c r="I291" s="6" t="s">
        <v>8566</v>
      </c>
      <c r="J291" s="6" t="s">
        <v>9825</v>
      </c>
      <c r="K291" s="6" t="s">
        <v>10886</v>
      </c>
      <c r="L291" s="16" t="n">
        <v>42467</v>
      </c>
      <c r="M291" s="16" t="n">
        <v>46023</v>
      </c>
      <c r="N291" s="6" t="s">
        <v>81</v>
      </c>
      <c r="O291" s="21" t="s">
        <v>81</v>
      </c>
      <c r="P291" s="6" t="s">
        <v>81</v>
      </c>
      <c r="Q291" s="6" t="s">
        <v>81</v>
      </c>
      <c r="R291" s="6" t="s">
        <v>81</v>
      </c>
      <c r="S291" s="6" t="s">
        <v>10886</v>
      </c>
      <c r="T291" s="16" t="n">
        <v>42467</v>
      </c>
      <c r="U291" s="6" t="s">
        <v>13270</v>
      </c>
      <c r="V291" s="6" t="s">
        <v>81</v>
      </c>
      <c r="W291" s="6" t="s">
        <v>81</v>
      </c>
      <c r="X291" s="6" t="s">
        <v>81</v>
      </c>
      <c r="Y291" s="21" t="s">
        <v>81</v>
      </c>
      <c r="Z291" s="6" t="s">
        <v>81</v>
      </c>
      <c r="AA291" s="6" t="s">
        <v>81</v>
      </c>
      <c r="AB291" s="6" t="s">
        <v>81</v>
      </c>
      <c r="AC291" s="6" t="s">
        <v>81</v>
      </c>
      <c r="AD291" s="21" t="s">
        <v>81</v>
      </c>
      <c r="AE291" s="6" t="s">
        <v>81</v>
      </c>
      <c r="AF291" s="6" t="s">
        <v>81</v>
      </c>
      <c r="AG291" s="6" t="s">
        <v>81</v>
      </c>
      <c r="AH291" s="6" t="s">
        <v>81</v>
      </c>
      <c r="AI291" s="6" t="s">
        <v>81</v>
      </c>
      <c r="AJ291" s="6" t="s">
        <v>81</v>
      </c>
      <c r="AK291" s="6" t="s">
        <v>81</v>
      </c>
      <c r="AL291" s="6" t="s">
        <v>81</v>
      </c>
      <c r="AM291" s="6" t="s">
        <v>81</v>
      </c>
      <c r="AN291" s="6" t="s">
        <v>81</v>
      </c>
      <c r="AO291" s="6" t="s">
        <v>81</v>
      </c>
      <c r="AP291" s="6" t="s">
        <v>20123</v>
      </c>
      <c r="AQ291" s="6" t="s">
        <v>81</v>
      </c>
      <c r="AR291" s="6" t="s">
        <v>20502</v>
      </c>
      <c r="AS291" s="6" t="s">
        <v>18393</v>
      </c>
      <c r="AT291" s="6" t="s">
        <v>18444</v>
      </c>
      <c r="AU291" s="6" t="s">
        <v>20610</v>
      </c>
      <c r="AV291" s="6" t="s">
        <v>6139</v>
      </c>
      <c r="AW291" s="6" t="s">
        <v>20723</v>
      </c>
      <c r="AX291" s="6" t="s">
        <v>20922</v>
      </c>
      <c r="AY291" s="6" t="s">
        <v>22650</v>
      </c>
      <c r="AZ291" s="6" t="s">
        <v>81</v>
      </c>
      <c r="BA291" s="6" t="s">
        <v>81</v>
      </c>
      <c r="BB291" s="6" t="s">
        <v>81</v>
      </c>
      <c r="BC291" s="26"/>
      <c r="BD291" s="26"/>
      <c r="BE291" s="26"/>
      <c r="BF291" s="26" t="s">
        <v>23900</v>
      </c>
      <c r="BG291" s="26"/>
      <c r="BH291" s="26"/>
      <c r="BI291" s="26"/>
      <c r="BJ291" s="26"/>
      <c r="BK291" s="26"/>
      <c r="BL291" s="26"/>
      <c r="BM291" s="26"/>
      <c r="BN291" s="26"/>
      <c r="BO291" s="26"/>
      <c r="BP291" s="16" t="n">
        <v>45720</v>
      </c>
      <c r="BQ291" s="28" t="str">
        <f>HYPERLINK("https://organic.ams.usda.gov/Integrity/Certificate.aspx?cid=62&amp;nopid=8150002016")</f>
        <v>https://organic.ams.usda.gov/Integrity/Certificate.aspx?cid=62&amp;nopid=8150002016</v>
      </c>
    </row>
    <row r="292">
      <c r="A292" t="s">
        <v>3</v>
      </c>
      <c r="B292" s="6" t="s">
        <v>7</v>
      </c>
      <c r="C292" s="6" t="s">
        <v>54</v>
      </c>
      <c r="D292" s="6" t="s">
        <v>100</v>
      </c>
      <c r="E292" s="10" t="s">
        <v>433</v>
      </c>
      <c r="F292" s="6" t="s">
        <v>3168</v>
      </c>
      <c r="G292" s="6" t="s">
        <v>81</v>
      </c>
      <c r="H292" s="6" t="s">
        <v>6150</v>
      </c>
      <c r="I292" s="6" t="s">
        <v>8567</v>
      </c>
      <c r="J292" s="6" t="s">
        <v>9742</v>
      </c>
      <c r="K292" s="6" t="s">
        <v>10886</v>
      </c>
      <c r="L292" s="16" t="n">
        <v>41597</v>
      </c>
      <c r="M292" s="16" t="n">
        <v>45716</v>
      </c>
      <c r="N292" s="6" t="s">
        <v>10886</v>
      </c>
      <c r="O292" s="16" t="n">
        <v>41597</v>
      </c>
      <c r="P292" s="6" t="s">
        <v>10925</v>
      </c>
      <c r="Q292" s="6" t="s">
        <v>81</v>
      </c>
      <c r="R292" s="6" t="s">
        <v>81</v>
      </c>
      <c r="S292" s="6" t="s">
        <v>10886</v>
      </c>
      <c r="T292" s="16" t="n">
        <v>41898</v>
      </c>
      <c r="U292" s="6" t="s">
        <v>13169</v>
      </c>
      <c r="V292" s="6" t="s">
        <v>81</v>
      </c>
      <c r="W292" s="6" t="s">
        <v>81</v>
      </c>
      <c r="X292" s="6" t="s">
        <v>81</v>
      </c>
      <c r="Y292" s="21" t="s">
        <v>81</v>
      </c>
      <c r="Z292" s="6" t="s">
        <v>81</v>
      </c>
      <c r="AA292" s="6" t="s">
        <v>81</v>
      </c>
      <c r="AB292" s="6" t="s">
        <v>81</v>
      </c>
      <c r="AC292" s="6" t="s">
        <v>81</v>
      </c>
      <c r="AD292" s="21" t="s">
        <v>81</v>
      </c>
      <c r="AE292" s="6" t="s">
        <v>81</v>
      </c>
      <c r="AF292" s="6" t="s">
        <v>81</v>
      </c>
      <c r="AG292" s="6" t="s">
        <v>81</v>
      </c>
      <c r="AH292" s="6" t="s">
        <v>14893</v>
      </c>
      <c r="AI292" s="6" t="s">
        <v>81</v>
      </c>
      <c r="AJ292" s="6" t="s">
        <v>17507</v>
      </c>
      <c r="AK292" s="6" t="s">
        <v>17712</v>
      </c>
      <c r="AL292" s="6" t="s">
        <v>18444</v>
      </c>
      <c r="AM292" s="6" t="s">
        <v>18668</v>
      </c>
      <c r="AN292" s="6" t="s">
        <v>19657</v>
      </c>
      <c r="AO292" s="6" t="s">
        <v>19751</v>
      </c>
      <c r="AP292" s="6" t="s">
        <v>14893</v>
      </c>
      <c r="AQ292" s="6" t="s">
        <v>81</v>
      </c>
      <c r="AR292" s="6" t="s">
        <v>17507</v>
      </c>
      <c r="AS292" s="6" t="s">
        <v>17712</v>
      </c>
      <c r="AT292" s="6" t="s">
        <v>18444</v>
      </c>
      <c r="AU292" s="6" t="s">
        <v>18668</v>
      </c>
      <c r="AV292" s="6" t="s">
        <v>81</v>
      </c>
      <c r="AW292" s="6" t="s">
        <v>81</v>
      </c>
      <c r="AX292" s="6" t="s">
        <v>20923</v>
      </c>
      <c r="AY292" s="6" t="s">
        <v>81</v>
      </c>
      <c r="AZ292" s="6" t="s">
        <v>81</v>
      </c>
      <c r="BA292" s="6" t="s">
        <v>81</v>
      </c>
      <c r="BB292" s="24" t="n">
        <v>309</v>
      </c>
      <c r="BC292" s="26"/>
      <c r="BD292" s="26"/>
      <c r="BE292" s="26"/>
      <c r="BF292" s="26" t="s">
        <v>23900</v>
      </c>
      <c r="BG292" s="26"/>
      <c r="BH292" s="26"/>
      <c r="BI292" s="26"/>
      <c r="BJ292" s="26"/>
      <c r="BK292" s="26"/>
      <c r="BL292" s="26"/>
      <c r="BM292" s="26"/>
      <c r="BN292" s="26"/>
      <c r="BO292" s="26"/>
      <c r="BP292" s="16" t="n">
        <v>45616</v>
      </c>
      <c r="BQ292" s="28" t="str">
        <f>HYPERLINK("https://organic.ams.usda.gov/Integrity/Certificate.aspx?cid=57&amp;nopid=3252013066")</f>
        <v>https://organic.ams.usda.gov/Integrity/Certificate.aspx?cid=57&amp;nopid=3252013066</v>
      </c>
    </row>
    <row r="293">
      <c r="A293" t="s">
        <v>3</v>
      </c>
      <c r="B293" s="6" t="s">
        <v>8</v>
      </c>
      <c r="C293" s="6" t="s">
        <v>55</v>
      </c>
      <c r="D293" s="6" t="s">
        <v>101</v>
      </c>
      <c r="E293" s="10" t="s">
        <v>434</v>
      </c>
      <c r="F293" s="6" t="s">
        <v>3169</v>
      </c>
      <c r="G293" s="6" t="s">
        <v>81</v>
      </c>
      <c r="H293" s="6" t="s">
        <v>6151</v>
      </c>
      <c r="I293" s="6" t="s">
        <v>8511</v>
      </c>
      <c r="J293" s="6" t="s">
        <v>9826</v>
      </c>
      <c r="K293" s="6" t="s">
        <v>10886</v>
      </c>
      <c r="L293" s="16" t="n">
        <v>36811</v>
      </c>
      <c r="M293" s="16" t="n">
        <v>45383</v>
      </c>
      <c r="N293" s="6" t="s">
        <v>10886</v>
      </c>
      <c r="O293" s="16" t="n">
        <v>36811</v>
      </c>
      <c r="P293" s="6" t="s">
        <v>11083</v>
      </c>
      <c r="Q293" s="6" t="s">
        <v>81</v>
      </c>
      <c r="R293" s="6" t="s">
        <v>6151</v>
      </c>
      <c r="S293" s="6" t="s">
        <v>10886</v>
      </c>
      <c r="T293" s="16" t="n">
        <v>36811</v>
      </c>
      <c r="U293" s="6" t="s">
        <v>13221</v>
      </c>
      <c r="V293" s="6" t="s">
        <v>81</v>
      </c>
      <c r="W293" s="6" t="s">
        <v>6151</v>
      </c>
      <c r="X293" s="6" t="s">
        <v>81</v>
      </c>
      <c r="Y293" s="21" t="s">
        <v>81</v>
      </c>
      <c r="Z293" s="6" t="s">
        <v>81</v>
      </c>
      <c r="AA293" s="6" t="s">
        <v>81</v>
      </c>
      <c r="AB293" s="6" t="s">
        <v>81</v>
      </c>
      <c r="AC293" s="6" t="s">
        <v>81</v>
      </c>
      <c r="AD293" s="21" t="s">
        <v>81</v>
      </c>
      <c r="AE293" s="6" t="s">
        <v>81</v>
      </c>
      <c r="AF293" s="6" t="s">
        <v>81</v>
      </c>
      <c r="AG293" s="6" t="s">
        <v>81</v>
      </c>
      <c r="AH293" s="6" t="s">
        <v>14894</v>
      </c>
      <c r="AI293" s="6" t="s">
        <v>81</v>
      </c>
      <c r="AJ293" s="6" t="s">
        <v>17475</v>
      </c>
      <c r="AK293" s="6" t="s">
        <v>18377</v>
      </c>
      <c r="AL293" s="6" t="s">
        <v>18444</v>
      </c>
      <c r="AM293" s="6" t="s">
        <v>18637</v>
      </c>
      <c r="AN293" s="6" t="s">
        <v>6139</v>
      </c>
      <c r="AO293" s="6" t="s">
        <v>19814</v>
      </c>
      <c r="AP293" s="6" t="s">
        <v>81</v>
      </c>
      <c r="AQ293" s="6" t="s">
        <v>81</v>
      </c>
      <c r="AR293" s="6" t="s">
        <v>81</v>
      </c>
      <c r="AS293" s="6" t="s">
        <v>81</v>
      </c>
      <c r="AT293" s="6" t="s">
        <v>81</v>
      </c>
      <c r="AU293" s="6" t="s">
        <v>81</v>
      </c>
      <c r="AV293" s="6" t="s">
        <v>81</v>
      </c>
      <c r="AW293" s="6" t="s">
        <v>81</v>
      </c>
      <c r="AX293" s="6" t="s">
        <v>81</v>
      </c>
      <c r="AY293" s="6" t="s">
        <v>22651</v>
      </c>
      <c r="AZ293" s="6" t="s">
        <v>81</v>
      </c>
      <c r="BA293" s="6" t="s">
        <v>23824</v>
      </c>
      <c r="BB293" s="24" t="n">
        <v>474</v>
      </c>
      <c r="BC293" s="26"/>
      <c r="BD293" s="26"/>
      <c r="BE293" s="26"/>
      <c r="BF293" s="26" t="s">
        <v>23900</v>
      </c>
      <c r="BG293" s="26"/>
      <c r="BH293" s="26"/>
      <c r="BI293" s="26"/>
      <c r="BJ293" s="26"/>
      <c r="BK293" s="26"/>
      <c r="BL293" s="26"/>
      <c r="BM293" s="26"/>
      <c r="BN293" s="26"/>
      <c r="BO293" s="26"/>
      <c r="BP293" s="16" t="n">
        <v>45446</v>
      </c>
      <c r="BQ293" s="28" t="str">
        <f>HYPERLINK("https://organic.ams.usda.gov/Integrity/Certificate.aspx?cid=45&amp;nopid=9950000028")</f>
        <v>https://organic.ams.usda.gov/Integrity/Certificate.aspx?cid=45&amp;nopid=9950000028</v>
      </c>
    </row>
    <row r="294">
      <c r="A294" t="s">
        <v>3</v>
      </c>
      <c r="B294" s="6" t="s">
        <v>8</v>
      </c>
      <c r="C294" s="6" t="s">
        <v>55</v>
      </c>
      <c r="D294" s="6" t="s">
        <v>101</v>
      </c>
      <c r="E294" s="10" t="s">
        <v>435</v>
      </c>
      <c r="F294" s="6" t="s">
        <v>3170</v>
      </c>
      <c r="G294" s="6" t="s">
        <v>81</v>
      </c>
      <c r="H294" s="6" t="s">
        <v>6152</v>
      </c>
      <c r="I294" s="6" t="s">
        <v>3170</v>
      </c>
      <c r="J294" s="6" t="s">
        <v>81</v>
      </c>
      <c r="K294" s="6" t="s">
        <v>10886</v>
      </c>
      <c r="L294" s="16" t="n">
        <v>43575</v>
      </c>
      <c r="M294" s="16" t="n">
        <v>45748</v>
      </c>
      <c r="N294" s="6" t="s">
        <v>10886</v>
      </c>
      <c r="O294" s="16" t="n">
        <v>43575</v>
      </c>
      <c r="P294" s="6" t="s">
        <v>10946</v>
      </c>
      <c r="Q294" s="6" t="s">
        <v>81</v>
      </c>
      <c r="R294" s="6" t="s">
        <v>6152</v>
      </c>
      <c r="S294" s="6" t="s">
        <v>10886</v>
      </c>
      <c r="T294" s="16" t="n">
        <v>43575</v>
      </c>
      <c r="U294" s="6" t="s">
        <v>13271</v>
      </c>
      <c r="V294" s="6" t="s">
        <v>81</v>
      </c>
      <c r="W294" s="6" t="s">
        <v>6152</v>
      </c>
      <c r="X294" s="6" t="s">
        <v>81</v>
      </c>
      <c r="Y294" s="21" t="s">
        <v>81</v>
      </c>
      <c r="Z294" s="6" t="s">
        <v>81</v>
      </c>
      <c r="AA294" s="6" t="s">
        <v>81</v>
      </c>
      <c r="AB294" s="6" t="s">
        <v>81</v>
      </c>
      <c r="AC294" s="6" t="s">
        <v>81</v>
      </c>
      <c r="AD294" s="21" t="s">
        <v>81</v>
      </c>
      <c r="AE294" s="6" t="s">
        <v>81</v>
      </c>
      <c r="AF294" s="6" t="s">
        <v>81</v>
      </c>
      <c r="AG294" s="6" t="s">
        <v>81</v>
      </c>
      <c r="AH294" s="6" t="s">
        <v>14895</v>
      </c>
      <c r="AI294" s="6" t="s">
        <v>81</v>
      </c>
      <c r="AJ294" s="6" t="s">
        <v>17396</v>
      </c>
      <c r="AK294" s="6" t="s">
        <v>18381</v>
      </c>
      <c r="AL294" s="6" t="s">
        <v>18444</v>
      </c>
      <c r="AM294" s="6" t="s">
        <v>18669</v>
      </c>
      <c r="AN294" s="6" t="s">
        <v>81</v>
      </c>
      <c r="AO294" s="6" t="s">
        <v>81</v>
      </c>
      <c r="AP294" s="6" t="s">
        <v>20124</v>
      </c>
      <c r="AQ294" s="6" t="s">
        <v>81</v>
      </c>
      <c r="AR294" s="6" t="s">
        <v>17396</v>
      </c>
      <c r="AS294" s="6" t="s">
        <v>18381</v>
      </c>
      <c r="AT294" s="6" t="s">
        <v>18444</v>
      </c>
      <c r="AU294" s="6" t="s">
        <v>18669</v>
      </c>
      <c r="AV294" s="6" t="s">
        <v>81</v>
      </c>
      <c r="AW294" s="6" t="s">
        <v>81</v>
      </c>
      <c r="AX294" s="6" t="s">
        <v>81</v>
      </c>
      <c r="AY294" s="6" t="s">
        <v>81</v>
      </c>
      <c r="AZ294" s="6" t="s">
        <v>81</v>
      </c>
      <c r="BA294" s="6" t="s">
        <v>23819</v>
      </c>
      <c r="BB294" s="24" t="n">
        <v>272</v>
      </c>
      <c r="BC294" s="26"/>
      <c r="BD294" s="26"/>
      <c r="BE294" s="26"/>
      <c r="BF294" s="26" t="s">
        <v>23900</v>
      </c>
      <c r="BG294" s="26"/>
      <c r="BH294" s="26"/>
      <c r="BI294" s="26"/>
      <c r="BJ294" s="26"/>
      <c r="BK294" s="26"/>
      <c r="BL294" s="26"/>
      <c r="BM294" s="26"/>
      <c r="BN294" s="26"/>
      <c r="BO294" s="26"/>
      <c r="BP294" s="16" t="n">
        <v>45617</v>
      </c>
      <c r="BQ294" s="28" t="str">
        <f>HYPERLINK("https://organic.ams.usda.gov/Integrity/Certificate.aspx?cid=45&amp;nopid=9954601594")</f>
        <v>https://organic.ams.usda.gov/Integrity/Certificate.aspx?cid=45&amp;nopid=9954601594</v>
      </c>
    </row>
    <row r="295">
      <c r="A295" t="s">
        <v>3</v>
      </c>
      <c r="B295" s="6" t="s">
        <v>8</v>
      </c>
      <c r="C295" s="6" t="s">
        <v>55</v>
      </c>
      <c r="D295" s="6" t="s">
        <v>101</v>
      </c>
      <c r="E295" s="10" t="s">
        <v>436</v>
      </c>
      <c r="F295" s="6" t="s">
        <v>3171</v>
      </c>
      <c r="G295" s="6" t="s">
        <v>81</v>
      </c>
      <c r="H295" s="6" t="s">
        <v>6153</v>
      </c>
      <c r="I295" s="6" t="s">
        <v>8568</v>
      </c>
      <c r="J295" s="6" t="s">
        <v>9827</v>
      </c>
      <c r="K295" s="6" t="s">
        <v>10886</v>
      </c>
      <c r="L295" s="16" t="n">
        <v>39966</v>
      </c>
      <c r="M295" s="16" t="n">
        <v>45748</v>
      </c>
      <c r="N295" s="6" t="s">
        <v>10886</v>
      </c>
      <c r="O295" s="16" t="n">
        <v>39966</v>
      </c>
      <c r="P295" s="6" t="s">
        <v>11084</v>
      </c>
      <c r="Q295" s="6" t="s">
        <v>81</v>
      </c>
      <c r="R295" s="6" t="s">
        <v>6153</v>
      </c>
      <c r="S295" s="6" t="s">
        <v>10886</v>
      </c>
      <c r="T295" s="16" t="n">
        <v>39966</v>
      </c>
      <c r="U295" s="6" t="s">
        <v>13179</v>
      </c>
      <c r="V295" s="6" t="s">
        <v>81</v>
      </c>
      <c r="W295" s="6" t="s">
        <v>6153</v>
      </c>
      <c r="X295" s="6" t="s">
        <v>81</v>
      </c>
      <c r="Y295" s="21" t="s">
        <v>81</v>
      </c>
      <c r="Z295" s="6" t="s">
        <v>81</v>
      </c>
      <c r="AA295" s="6" t="s">
        <v>81</v>
      </c>
      <c r="AB295" s="6" t="s">
        <v>81</v>
      </c>
      <c r="AC295" s="6" t="s">
        <v>81</v>
      </c>
      <c r="AD295" s="21" t="s">
        <v>81</v>
      </c>
      <c r="AE295" s="6" t="s">
        <v>81</v>
      </c>
      <c r="AF295" s="6" t="s">
        <v>81</v>
      </c>
      <c r="AG295" s="6" t="s">
        <v>81</v>
      </c>
      <c r="AH295" s="6" t="s">
        <v>14896</v>
      </c>
      <c r="AI295" s="6" t="s">
        <v>81</v>
      </c>
      <c r="AJ295" s="6" t="s">
        <v>17315</v>
      </c>
      <c r="AK295" s="6" t="s">
        <v>18379</v>
      </c>
      <c r="AL295" s="6" t="s">
        <v>18444</v>
      </c>
      <c r="AM295" s="6" t="s">
        <v>18467</v>
      </c>
      <c r="AN295" s="6" t="s">
        <v>19637</v>
      </c>
      <c r="AO295" s="6" t="s">
        <v>19723</v>
      </c>
      <c r="AP295" s="6" t="s">
        <v>81</v>
      </c>
      <c r="AQ295" s="6" t="s">
        <v>81</v>
      </c>
      <c r="AR295" s="6" t="s">
        <v>81</v>
      </c>
      <c r="AS295" s="6" t="s">
        <v>81</v>
      </c>
      <c r="AT295" s="6" t="s">
        <v>81</v>
      </c>
      <c r="AU295" s="6" t="s">
        <v>81</v>
      </c>
      <c r="AV295" s="6" t="s">
        <v>81</v>
      </c>
      <c r="AW295" s="6" t="s">
        <v>81</v>
      </c>
      <c r="AX295" s="6" t="s">
        <v>81</v>
      </c>
      <c r="AY295" s="6" t="s">
        <v>81</v>
      </c>
      <c r="AZ295" s="6" t="s">
        <v>81</v>
      </c>
      <c r="BA295" s="6" t="s">
        <v>23819</v>
      </c>
      <c r="BB295" s="24" t="n">
        <v>62</v>
      </c>
      <c r="BC295" s="26"/>
      <c r="BD295" s="26"/>
      <c r="BE295" s="26"/>
      <c r="BF295" s="26" t="s">
        <v>23900</v>
      </c>
      <c r="BG295" s="26"/>
      <c r="BH295" s="26"/>
      <c r="BI295" s="26"/>
      <c r="BJ295" s="26"/>
      <c r="BK295" s="26"/>
      <c r="BL295" s="26"/>
      <c r="BM295" s="26"/>
      <c r="BN295" s="26"/>
      <c r="BO295" s="26"/>
      <c r="BP295" s="16" t="n">
        <v>45646</v>
      </c>
      <c r="BQ295" s="28" t="str">
        <f>HYPERLINK("https://organic.ams.usda.gov/Integrity/Certificate.aspx?cid=45&amp;nopid=9950003353")</f>
        <v>https://organic.ams.usda.gov/Integrity/Certificate.aspx?cid=45&amp;nopid=9950003353</v>
      </c>
    </row>
    <row r="296">
      <c r="A296" t="s">
        <v>3</v>
      </c>
      <c r="B296" s="6" t="s">
        <v>16</v>
      </c>
      <c r="C296" s="6" t="s">
        <v>63</v>
      </c>
      <c r="D296" s="6" t="s">
        <v>109</v>
      </c>
      <c r="E296" s="10" t="s">
        <v>437</v>
      </c>
      <c r="F296" s="6" t="s">
        <v>3172</v>
      </c>
      <c r="G296" s="6" t="s">
        <v>81</v>
      </c>
      <c r="H296" s="6" t="s">
        <v>6154</v>
      </c>
      <c r="I296" s="6" t="s">
        <v>8507</v>
      </c>
      <c r="J296" s="6" t="s">
        <v>9828</v>
      </c>
      <c r="K296" s="6" t="s">
        <v>10886</v>
      </c>
      <c r="L296" s="16" t="n">
        <v>39224</v>
      </c>
      <c r="M296" s="16" t="n">
        <v>45731</v>
      </c>
      <c r="N296" s="6" t="s">
        <v>10886</v>
      </c>
      <c r="O296" s="16" t="n">
        <v>39224</v>
      </c>
      <c r="P296" s="6" t="s">
        <v>11085</v>
      </c>
      <c r="Q296" s="6" t="s">
        <v>81</v>
      </c>
      <c r="R296" s="6" t="s">
        <v>81</v>
      </c>
      <c r="S296" s="6" t="s">
        <v>10886</v>
      </c>
      <c r="T296" s="16" t="n">
        <v>39224</v>
      </c>
      <c r="U296" s="6" t="s">
        <v>13272</v>
      </c>
      <c r="V296" s="6" t="s">
        <v>81</v>
      </c>
      <c r="W296" s="6" t="s">
        <v>81</v>
      </c>
      <c r="X296" s="6" t="s">
        <v>81</v>
      </c>
      <c r="Y296" s="21" t="s">
        <v>81</v>
      </c>
      <c r="Z296" s="6" t="s">
        <v>81</v>
      </c>
      <c r="AA296" s="6" t="s">
        <v>81</v>
      </c>
      <c r="AB296" s="6" t="s">
        <v>81</v>
      </c>
      <c r="AC296" s="6" t="s">
        <v>10886</v>
      </c>
      <c r="AD296" s="16" t="n">
        <v>39224</v>
      </c>
      <c r="AE296" s="6" t="s">
        <v>14065</v>
      </c>
      <c r="AF296" s="6" t="s">
        <v>81</v>
      </c>
      <c r="AG296" s="6" t="s">
        <v>81</v>
      </c>
      <c r="AH296" s="6" t="s">
        <v>14897</v>
      </c>
      <c r="AI296" s="6" t="s">
        <v>81</v>
      </c>
      <c r="AJ296" s="6" t="s">
        <v>8918</v>
      </c>
      <c r="AK296" s="6" t="s">
        <v>18383</v>
      </c>
      <c r="AL296" s="6" t="s">
        <v>18444</v>
      </c>
      <c r="AM296" s="6" t="s">
        <v>18670</v>
      </c>
      <c r="AN296" s="6" t="s">
        <v>19683</v>
      </c>
      <c r="AO296" s="6" t="s">
        <v>19751</v>
      </c>
      <c r="AP296" s="6" t="s">
        <v>81</v>
      </c>
      <c r="AQ296" s="6" t="s">
        <v>81</v>
      </c>
      <c r="AR296" s="6" t="s">
        <v>81</v>
      </c>
      <c r="AS296" s="6" t="s">
        <v>81</v>
      </c>
      <c r="AT296" s="6" t="s">
        <v>81</v>
      </c>
      <c r="AU296" s="6" t="s">
        <v>81</v>
      </c>
      <c r="AV296" s="6" t="s">
        <v>81</v>
      </c>
      <c r="AW296" s="6" t="s">
        <v>81</v>
      </c>
      <c r="AX296" s="6" t="s">
        <v>20924</v>
      </c>
      <c r="AY296" s="6" t="s">
        <v>81</v>
      </c>
      <c r="AZ296" s="6" t="s">
        <v>81</v>
      </c>
      <c r="BA296" s="6" t="s">
        <v>81</v>
      </c>
      <c r="BB296" s="24" t="n">
        <v>625</v>
      </c>
      <c r="BC296" s="26"/>
      <c r="BD296" s="26"/>
      <c r="BE296" s="26"/>
      <c r="BF296" s="26"/>
      <c r="BG296" s="26"/>
      <c r="BH296" s="26"/>
      <c r="BI296" s="26"/>
      <c r="BJ296" s="26"/>
      <c r="BK296" s="26"/>
      <c r="BL296" s="26"/>
      <c r="BM296" s="26"/>
      <c r="BN296" s="26"/>
      <c r="BO296" s="26"/>
      <c r="BP296" s="16" t="n">
        <v>45701</v>
      </c>
      <c r="BQ296" s="28" t="str">
        <f>HYPERLINK("https://organic.ams.usda.gov/Integrity/Certificate.aspx?cid=81&amp;nopid=4210007068")</f>
        <v>https://organic.ams.usda.gov/Integrity/Certificate.aspx?cid=81&amp;nopid=4210007068</v>
      </c>
    </row>
    <row r="297">
      <c r="A297" t="s">
        <v>3</v>
      </c>
      <c r="B297" s="6" t="s">
        <v>8</v>
      </c>
      <c r="C297" s="6" t="s">
        <v>55</v>
      </c>
      <c r="D297" s="6" t="s">
        <v>101</v>
      </c>
      <c r="E297" s="10" t="s">
        <v>438</v>
      </c>
      <c r="F297" s="6" t="s">
        <v>3173</v>
      </c>
      <c r="G297" s="6" t="s">
        <v>5616</v>
      </c>
      <c r="H297" s="6" t="s">
        <v>6155</v>
      </c>
      <c r="I297" s="6" t="s">
        <v>8521</v>
      </c>
      <c r="J297" s="6" t="s">
        <v>9829</v>
      </c>
      <c r="K297" s="6" t="s">
        <v>10886</v>
      </c>
      <c r="L297" s="16" t="n">
        <v>42703</v>
      </c>
      <c r="M297" s="16" t="n">
        <v>45689</v>
      </c>
      <c r="N297" s="6" t="s">
        <v>10886</v>
      </c>
      <c r="O297" s="16" t="n">
        <v>42703</v>
      </c>
      <c r="P297" s="6" t="s">
        <v>11086</v>
      </c>
      <c r="Q297" s="6" t="s">
        <v>81</v>
      </c>
      <c r="R297" s="6" t="s">
        <v>6155</v>
      </c>
      <c r="S297" s="6" t="s">
        <v>10886</v>
      </c>
      <c r="T297" s="16" t="n">
        <v>42703</v>
      </c>
      <c r="U297" s="6" t="s">
        <v>13273</v>
      </c>
      <c r="V297" s="6" t="s">
        <v>81</v>
      </c>
      <c r="W297" s="6" t="s">
        <v>6155</v>
      </c>
      <c r="X297" s="6" t="s">
        <v>81</v>
      </c>
      <c r="Y297" s="21" t="s">
        <v>81</v>
      </c>
      <c r="Z297" s="6" t="s">
        <v>81</v>
      </c>
      <c r="AA297" s="6" t="s">
        <v>81</v>
      </c>
      <c r="AB297" s="6" t="s">
        <v>81</v>
      </c>
      <c r="AC297" s="6" t="s">
        <v>81</v>
      </c>
      <c r="AD297" s="21" t="s">
        <v>81</v>
      </c>
      <c r="AE297" s="6" t="s">
        <v>81</v>
      </c>
      <c r="AF297" s="6" t="s">
        <v>81</v>
      </c>
      <c r="AG297" s="6" t="s">
        <v>81</v>
      </c>
      <c r="AH297" s="6" t="s">
        <v>14898</v>
      </c>
      <c r="AI297" s="6" t="s">
        <v>81</v>
      </c>
      <c r="AJ297" s="6" t="s">
        <v>9215</v>
      </c>
      <c r="AK297" s="6" t="s">
        <v>18377</v>
      </c>
      <c r="AL297" s="6" t="s">
        <v>18444</v>
      </c>
      <c r="AM297" s="6" t="s">
        <v>18671</v>
      </c>
      <c r="AN297" s="6" t="s">
        <v>7595</v>
      </c>
      <c r="AO297" s="6" t="s">
        <v>19826</v>
      </c>
      <c r="AP297" s="6" t="s">
        <v>14898</v>
      </c>
      <c r="AQ297" s="6" t="s">
        <v>81</v>
      </c>
      <c r="AR297" s="6" t="s">
        <v>9215</v>
      </c>
      <c r="AS297" s="6" t="s">
        <v>18377</v>
      </c>
      <c r="AT297" s="6" t="s">
        <v>18444</v>
      </c>
      <c r="AU297" s="6" t="s">
        <v>18671</v>
      </c>
      <c r="AV297" s="6" t="s">
        <v>81</v>
      </c>
      <c r="AW297" s="6" t="s">
        <v>81</v>
      </c>
      <c r="AX297" s="6" t="s">
        <v>20925</v>
      </c>
      <c r="AY297" s="6" t="s">
        <v>22652</v>
      </c>
      <c r="AZ297" s="6" t="s">
        <v>81</v>
      </c>
      <c r="BA297" s="6" t="s">
        <v>23819</v>
      </c>
      <c r="BB297" s="24" t="n">
        <v>151</v>
      </c>
      <c r="BC297" s="26"/>
      <c r="BD297" s="26"/>
      <c r="BE297" s="26"/>
      <c r="BF297" s="26" t="s">
        <v>23900</v>
      </c>
      <c r="BG297" s="26"/>
      <c r="BH297" s="26"/>
      <c r="BI297" s="26"/>
      <c r="BJ297" s="26"/>
      <c r="BK297" s="26"/>
      <c r="BL297" s="26"/>
      <c r="BM297" s="26"/>
      <c r="BN297" s="26"/>
      <c r="BO297" s="26"/>
      <c r="BP297" s="16" t="n">
        <v>45713</v>
      </c>
      <c r="BQ297" s="28" t="str">
        <f>HYPERLINK("https://organic.ams.usda.gov/Integrity/Certificate.aspx?cid=45&amp;nopid=9950010048")</f>
        <v>https://organic.ams.usda.gov/Integrity/Certificate.aspx?cid=45&amp;nopid=9950010048</v>
      </c>
    </row>
    <row r="298">
      <c r="A298" t="s">
        <v>3</v>
      </c>
      <c r="B298" s="6" t="s">
        <v>12</v>
      </c>
      <c r="C298" s="6" t="s">
        <v>59</v>
      </c>
      <c r="D298" s="6" t="s">
        <v>105</v>
      </c>
      <c r="E298" s="10" t="s">
        <v>439</v>
      </c>
      <c r="F298" s="6" t="s">
        <v>3174</v>
      </c>
      <c r="G298" s="6" t="s">
        <v>5617</v>
      </c>
      <c r="H298" s="6" t="s">
        <v>6156</v>
      </c>
      <c r="I298" s="6" t="s">
        <v>8569</v>
      </c>
      <c r="J298" s="6" t="s">
        <v>9830</v>
      </c>
      <c r="K298" s="6" t="s">
        <v>10886</v>
      </c>
      <c r="L298" s="16" t="n">
        <v>42548</v>
      </c>
      <c r="M298" s="16" t="n">
        <v>45717</v>
      </c>
      <c r="N298" s="6" t="s">
        <v>10886</v>
      </c>
      <c r="O298" s="16" t="n">
        <v>42548</v>
      </c>
      <c r="P298" s="6" t="s">
        <v>11087</v>
      </c>
      <c r="Q298" s="6" t="s">
        <v>81</v>
      </c>
      <c r="R298" s="6" t="s">
        <v>81</v>
      </c>
      <c r="S298" s="6" t="s">
        <v>10886</v>
      </c>
      <c r="T298" s="16" t="n">
        <v>45618</v>
      </c>
      <c r="U298" s="6" t="s">
        <v>13274</v>
      </c>
      <c r="V298" s="6" t="s">
        <v>81</v>
      </c>
      <c r="W298" s="6" t="s">
        <v>81</v>
      </c>
      <c r="X298" s="6" t="s">
        <v>81</v>
      </c>
      <c r="Y298" s="21" t="s">
        <v>81</v>
      </c>
      <c r="Z298" s="6" t="s">
        <v>81</v>
      </c>
      <c r="AA298" s="6" t="s">
        <v>81</v>
      </c>
      <c r="AB298" s="6" t="s">
        <v>81</v>
      </c>
      <c r="AC298" s="6" t="s">
        <v>81</v>
      </c>
      <c r="AD298" s="21" t="s">
        <v>81</v>
      </c>
      <c r="AE298" s="6" t="s">
        <v>81</v>
      </c>
      <c r="AF298" s="6" t="s">
        <v>81</v>
      </c>
      <c r="AG298" s="6" t="s">
        <v>81</v>
      </c>
      <c r="AH298" s="6" t="s">
        <v>14899</v>
      </c>
      <c r="AI298" s="6" t="s">
        <v>81</v>
      </c>
      <c r="AJ298" s="6" t="s">
        <v>17508</v>
      </c>
      <c r="AK298" s="6" t="s">
        <v>18380</v>
      </c>
      <c r="AL298" s="6" t="s">
        <v>18444</v>
      </c>
      <c r="AM298" s="6" t="s">
        <v>18672</v>
      </c>
      <c r="AN298" s="6" t="s">
        <v>6132</v>
      </c>
      <c r="AO298" s="6" t="s">
        <v>19751</v>
      </c>
      <c r="AP298" s="6" t="s">
        <v>20125</v>
      </c>
      <c r="AQ298" s="6" t="s">
        <v>81</v>
      </c>
      <c r="AR298" s="6" t="s">
        <v>17508</v>
      </c>
      <c r="AS298" s="6" t="s">
        <v>18380</v>
      </c>
      <c r="AT298" s="6" t="s">
        <v>18444</v>
      </c>
      <c r="AU298" s="6" t="s">
        <v>18672</v>
      </c>
      <c r="AV298" s="6" t="s">
        <v>81</v>
      </c>
      <c r="AW298" s="6" t="s">
        <v>81</v>
      </c>
      <c r="AX298" s="6" t="s">
        <v>20926</v>
      </c>
      <c r="AY298" s="6" t="s">
        <v>22653</v>
      </c>
      <c r="AZ298" s="6" t="s">
        <v>81</v>
      </c>
      <c r="BA298" s="6" t="s">
        <v>81</v>
      </c>
      <c r="BB298" s="24" t="n">
        <v>247</v>
      </c>
      <c r="BC298" s="26"/>
      <c r="BD298" s="26"/>
      <c r="BE298" s="26"/>
      <c r="BF298" s="26"/>
      <c r="BG298" s="26"/>
      <c r="BH298" s="26"/>
      <c r="BI298" s="26"/>
      <c r="BJ298" s="26"/>
      <c r="BK298" s="26"/>
      <c r="BL298" s="26"/>
      <c r="BM298" s="26"/>
      <c r="BN298" s="26"/>
      <c r="BO298" s="26"/>
      <c r="BP298" s="16" t="n">
        <v>45684</v>
      </c>
      <c r="BQ298" s="28" t="str">
        <f>HYPERLINK("https://organic.ams.usda.gov/Integrity/Certificate.aspx?cid=68&amp;nopid=8210004660")</f>
        <v>https://organic.ams.usda.gov/Integrity/Certificate.aspx?cid=68&amp;nopid=8210004660</v>
      </c>
    </row>
    <row r="299">
      <c r="A299" t="s">
        <v>3</v>
      </c>
      <c r="B299" s="6" t="s">
        <v>7</v>
      </c>
      <c r="C299" s="6" t="s">
        <v>54</v>
      </c>
      <c r="D299" s="6" t="s">
        <v>100</v>
      </c>
      <c r="E299" s="10" t="s">
        <v>440</v>
      </c>
      <c r="F299" s="6" t="s">
        <v>3175</v>
      </c>
      <c r="G299" s="6" t="s">
        <v>81</v>
      </c>
      <c r="H299" s="6" t="s">
        <v>6157</v>
      </c>
      <c r="I299" s="6" t="s">
        <v>8477</v>
      </c>
      <c r="J299" s="6" t="s">
        <v>9831</v>
      </c>
      <c r="K299" s="6" t="s">
        <v>10886</v>
      </c>
      <c r="L299" s="16" t="n">
        <v>42207</v>
      </c>
      <c r="M299" s="16" t="n">
        <v>45716</v>
      </c>
      <c r="N299" s="6" t="s">
        <v>10886</v>
      </c>
      <c r="O299" s="16" t="n">
        <v>42207</v>
      </c>
      <c r="P299" s="6" t="s">
        <v>10910</v>
      </c>
      <c r="Q299" s="6" t="s">
        <v>81</v>
      </c>
      <c r="R299" s="6" t="s">
        <v>81</v>
      </c>
      <c r="S299" s="6" t="s">
        <v>10886</v>
      </c>
      <c r="T299" s="16" t="n">
        <v>42347</v>
      </c>
      <c r="U299" s="6" t="s">
        <v>13225</v>
      </c>
      <c r="V299" s="6" t="s">
        <v>81</v>
      </c>
      <c r="W299" s="6" t="s">
        <v>81</v>
      </c>
      <c r="X299" s="6" t="s">
        <v>81</v>
      </c>
      <c r="Y299" s="21" t="s">
        <v>81</v>
      </c>
      <c r="Z299" s="6" t="s">
        <v>81</v>
      </c>
      <c r="AA299" s="6" t="s">
        <v>81</v>
      </c>
      <c r="AB299" s="6" t="s">
        <v>81</v>
      </c>
      <c r="AC299" s="6" t="s">
        <v>81</v>
      </c>
      <c r="AD299" s="21" t="s">
        <v>81</v>
      </c>
      <c r="AE299" s="6" t="s">
        <v>81</v>
      </c>
      <c r="AF299" s="6" t="s">
        <v>81</v>
      </c>
      <c r="AG299" s="6" t="s">
        <v>81</v>
      </c>
      <c r="AH299" s="6" t="s">
        <v>14900</v>
      </c>
      <c r="AI299" s="6" t="s">
        <v>81</v>
      </c>
      <c r="AJ299" s="6" t="s">
        <v>17509</v>
      </c>
      <c r="AK299" s="6" t="s">
        <v>17712</v>
      </c>
      <c r="AL299" s="6" t="s">
        <v>18444</v>
      </c>
      <c r="AM299" s="6" t="s">
        <v>18673</v>
      </c>
      <c r="AN299" s="6" t="s">
        <v>6842</v>
      </c>
      <c r="AO299" s="6" t="s">
        <v>19815</v>
      </c>
      <c r="AP299" s="6" t="s">
        <v>14900</v>
      </c>
      <c r="AQ299" s="6" t="s">
        <v>81</v>
      </c>
      <c r="AR299" s="6" t="s">
        <v>17509</v>
      </c>
      <c r="AS299" s="6" t="s">
        <v>17712</v>
      </c>
      <c r="AT299" s="6" t="s">
        <v>18444</v>
      </c>
      <c r="AU299" s="6" t="s">
        <v>18673</v>
      </c>
      <c r="AV299" s="6" t="s">
        <v>81</v>
      </c>
      <c r="AW299" s="6" t="s">
        <v>81</v>
      </c>
      <c r="AX299" s="6" t="s">
        <v>20927</v>
      </c>
      <c r="AY299" s="6" t="s">
        <v>22654</v>
      </c>
      <c r="AZ299" s="6" t="s">
        <v>81</v>
      </c>
      <c r="BA299" s="6" t="s">
        <v>81</v>
      </c>
      <c r="BB299" s="24" t="n">
        <v>996</v>
      </c>
      <c r="BC299" s="26"/>
      <c r="BD299" s="26"/>
      <c r="BE299" s="26"/>
      <c r="BF299" s="26" t="s">
        <v>23900</v>
      </c>
      <c r="BG299" s="26"/>
      <c r="BH299" s="26"/>
      <c r="BI299" s="26"/>
      <c r="BJ299" s="26"/>
      <c r="BK299" s="26"/>
      <c r="BL299" s="26"/>
      <c r="BM299" s="26"/>
      <c r="BN299" s="26"/>
      <c r="BO299" s="26"/>
      <c r="BP299" s="16" t="n">
        <v>45595</v>
      </c>
      <c r="BQ299" s="28" t="str">
        <f>HYPERLINK("https://organic.ams.usda.gov/Integrity/Certificate.aspx?cid=57&amp;nopid=3252015097")</f>
        <v>https://organic.ams.usda.gov/Integrity/Certificate.aspx?cid=57&amp;nopid=3252015097</v>
      </c>
    </row>
    <row r="300">
      <c r="A300" t="s">
        <v>3</v>
      </c>
      <c r="B300" s="6" t="s">
        <v>7</v>
      </c>
      <c r="C300" s="6" t="s">
        <v>54</v>
      </c>
      <c r="D300" s="6" t="s">
        <v>100</v>
      </c>
      <c r="E300" s="10" t="s">
        <v>441</v>
      </c>
      <c r="F300" s="6" t="s">
        <v>3176</v>
      </c>
      <c r="G300" s="6" t="s">
        <v>81</v>
      </c>
      <c r="H300" s="6" t="s">
        <v>6158</v>
      </c>
      <c r="I300" s="6" t="s">
        <v>8570</v>
      </c>
      <c r="J300" s="6" t="s">
        <v>9832</v>
      </c>
      <c r="K300" s="6" t="s">
        <v>10886</v>
      </c>
      <c r="L300" s="16" t="n">
        <v>37539</v>
      </c>
      <c r="M300" s="16" t="n">
        <v>45716</v>
      </c>
      <c r="N300" s="6" t="s">
        <v>10886</v>
      </c>
      <c r="O300" s="16" t="n">
        <v>37539</v>
      </c>
      <c r="P300" s="6" t="s">
        <v>11088</v>
      </c>
      <c r="Q300" s="6" t="s">
        <v>81</v>
      </c>
      <c r="R300" s="6" t="s">
        <v>81</v>
      </c>
      <c r="S300" s="6" t="s">
        <v>10886</v>
      </c>
      <c r="T300" s="16" t="n">
        <v>37539</v>
      </c>
      <c r="U300" s="6" t="s">
        <v>13169</v>
      </c>
      <c r="V300" s="6" t="s">
        <v>81</v>
      </c>
      <c r="W300" s="6" t="s">
        <v>81</v>
      </c>
      <c r="X300" s="6" t="s">
        <v>81</v>
      </c>
      <c r="Y300" s="21" t="s">
        <v>81</v>
      </c>
      <c r="Z300" s="6" t="s">
        <v>81</v>
      </c>
      <c r="AA300" s="6" t="s">
        <v>81</v>
      </c>
      <c r="AB300" s="6" t="s">
        <v>81</v>
      </c>
      <c r="AC300" s="6" t="s">
        <v>81</v>
      </c>
      <c r="AD300" s="21" t="s">
        <v>81</v>
      </c>
      <c r="AE300" s="6" t="s">
        <v>81</v>
      </c>
      <c r="AF300" s="6" t="s">
        <v>81</v>
      </c>
      <c r="AG300" s="6" t="s">
        <v>81</v>
      </c>
      <c r="AH300" s="6" t="s">
        <v>14901</v>
      </c>
      <c r="AI300" s="6" t="s">
        <v>81</v>
      </c>
      <c r="AJ300" s="6" t="s">
        <v>17510</v>
      </c>
      <c r="AK300" s="6" t="s">
        <v>17712</v>
      </c>
      <c r="AL300" s="6" t="s">
        <v>18444</v>
      </c>
      <c r="AM300" s="6" t="s">
        <v>18674</v>
      </c>
      <c r="AN300" s="6" t="s">
        <v>19686</v>
      </c>
      <c r="AO300" s="6" t="s">
        <v>19827</v>
      </c>
      <c r="AP300" s="6" t="s">
        <v>14901</v>
      </c>
      <c r="AQ300" s="6" t="s">
        <v>81</v>
      </c>
      <c r="AR300" s="6" t="s">
        <v>17510</v>
      </c>
      <c r="AS300" s="6" t="s">
        <v>17712</v>
      </c>
      <c r="AT300" s="6" t="s">
        <v>18444</v>
      </c>
      <c r="AU300" s="6" t="s">
        <v>20611</v>
      </c>
      <c r="AV300" s="6" t="s">
        <v>81</v>
      </c>
      <c r="AW300" s="6" t="s">
        <v>81</v>
      </c>
      <c r="AX300" s="6" t="s">
        <v>20928</v>
      </c>
      <c r="AY300" s="6" t="s">
        <v>81</v>
      </c>
      <c r="AZ300" s="6" t="s">
        <v>81</v>
      </c>
      <c r="BA300" s="6" t="s">
        <v>81</v>
      </c>
      <c r="BB300" s="24" t="n">
        <v>668</v>
      </c>
      <c r="BC300" s="26"/>
      <c r="BD300" s="26"/>
      <c r="BE300" s="26"/>
      <c r="BF300" s="26" t="s">
        <v>23900</v>
      </c>
      <c r="BG300" s="26"/>
      <c r="BH300" s="26"/>
      <c r="BI300" s="26"/>
      <c r="BJ300" s="26"/>
      <c r="BK300" s="26"/>
      <c r="BL300" s="26"/>
      <c r="BM300" s="26"/>
      <c r="BN300" s="26"/>
      <c r="BO300" s="26"/>
      <c r="BP300" s="16" t="n">
        <v>45686</v>
      </c>
      <c r="BQ300" s="28" t="str">
        <f>HYPERLINK("https://organic.ams.usda.gov/Integrity/Certificate.aspx?cid=57&amp;nopid=3250960020")</f>
        <v>https://organic.ams.usda.gov/Integrity/Certificate.aspx?cid=57&amp;nopid=3250960020</v>
      </c>
    </row>
    <row r="301">
      <c r="A301" t="s">
        <v>3</v>
      </c>
      <c r="B301" s="6" t="s">
        <v>19</v>
      </c>
      <c r="C301" s="6" t="s">
        <v>66</v>
      </c>
      <c r="D301" s="6" t="s">
        <v>112</v>
      </c>
      <c r="E301" s="10" t="s">
        <v>442</v>
      </c>
      <c r="F301" s="6" t="s">
        <v>3177</v>
      </c>
      <c r="G301" s="6" t="s">
        <v>81</v>
      </c>
      <c r="H301" s="6" t="s">
        <v>6159</v>
      </c>
      <c r="I301" s="6" t="s">
        <v>81</v>
      </c>
      <c r="J301" s="6" t="s">
        <v>9833</v>
      </c>
      <c r="K301" s="6" t="s">
        <v>10886</v>
      </c>
      <c r="L301" s="16" t="n">
        <v>44201</v>
      </c>
      <c r="M301" s="16" t="n">
        <v>46054</v>
      </c>
      <c r="N301" s="6" t="s">
        <v>10886</v>
      </c>
      <c r="O301" s="16" t="n">
        <v>44201</v>
      </c>
      <c r="P301" s="6" t="s">
        <v>11089</v>
      </c>
      <c r="Q301" s="6" t="s">
        <v>81</v>
      </c>
      <c r="R301" s="6" t="s">
        <v>81</v>
      </c>
      <c r="S301" s="6" t="s">
        <v>10886</v>
      </c>
      <c r="T301" s="16" t="n">
        <v>44201</v>
      </c>
      <c r="U301" s="6" t="s">
        <v>13275</v>
      </c>
      <c r="V301" s="6" t="s">
        <v>81</v>
      </c>
      <c r="W301" s="6" t="s">
        <v>81</v>
      </c>
      <c r="X301" s="6" t="s">
        <v>81</v>
      </c>
      <c r="Y301" s="21" t="s">
        <v>81</v>
      </c>
      <c r="Z301" s="6" t="s">
        <v>81</v>
      </c>
      <c r="AA301" s="6" t="s">
        <v>81</v>
      </c>
      <c r="AB301" s="6" t="s">
        <v>81</v>
      </c>
      <c r="AC301" s="6" t="s">
        <v>10886</v>
      </c>
      <c r="AD301" s="16" t="n">
        <v>44201</v>
      </c>
      <c r="AE301" s="6" t="s">
        <v>14066</v>
      </c>
      <c r="AF301" s="6" t="s">
        <v>81</v>
      </c>
      <c r="AG301" s="6" t="s">
        <v>81</v>
      </c>
      <c r="AH301" s="6" t="s">
        <v>14902</v>
      </c>
      <c r="AI301" s="6" t="s">
        <v>81</v>
      </c>
      <c r="AJ301" s="6" t="s">
        <v>17511</v>
      </c>
      <c r="AK301" s="6" t="s">
        <v>18379</v>
      </c>
      <c r="AL301" s="6" t="s">
        <v>18444</v>
      </c>
      <c r="AM301" s="6" t="s">
        <v>18675</v>
      </c>
      <c r="AN301" s="6" t="s">
        <v>19645</v>
      </c>
      <c r="AO301" s="6" t="s">
        <v>19790</v>
      </c>
      <c r="AP301" s="6" t="s">
        <v>81</v>
      </c>
      <c r="AQ301" s="6" t="s">
        <v>81</v>
      </c>
      <c r="AR301" s="6" t="s">
        <v>81</v>
      </c>
      <c r="AS301" s="6" t="s">
        <v>81</v>
      </c>
      <c r="AT301" s="6" t="s">
        <v>81</v>
      </c>
      <c r="AU301" s="6" t="s">
        <v>81</v>
      </c>
      <c r="AV301" s="6" t="s">
        <v>81</v>
      </c>
      <c r="AW301" s="6" t="s">
        <v>81</v>
      </c>
      <c r="AX301" s="6" t="s">
        <v>20929</v>
      </c>
      <c r="AY301" s="6" t="s">
        <v>22655</v>
      </c>
      <c r="AZ301" s="6" t="s">
        <v>81</v>
      </c>
      <c r="BA301" s="6" t="s">
        <v>81</v>
      </c>
      <c r="BB301" s="24" t="n">
        <v>414</v>
      </c>
      <c r="BC301" s="26"/>
      <c r="BD301" s="26"/>
      <c r="BE301" s="26"/>
      <c r="BF301" s="26" t="s">
        <v>23900</v>
      </c>
      <c r="BG301" s="26"/>
      <c r="BH301" s="26"/>
      <c r="BI301" s="26"/>
      <c r="BJ301" s="26"/>
      <c r="BK301" s="26"/>
      <c r="BL301" s="26"/>
      <c r="BM301" s="26"/>
      <c r="BN301" s="26"/>
      <c r="BO301" s="26"/>
      <c r="BP301" s="16" t="n">
        <v>45691</v>
      </c>
      <c r="BQ301" s="28" t="str">
        <f>HYPERLINK("https://organic.ams.usda.gov/Integrity/Certificate.aspx?cid=24&amp;nopid=7889015000")</f>
        <v>https://organic.ams.usda.gov/Integrity/Certificate.aspx?cid=24&amp;nopid=7889015000</v>
      </c>
    </row>
    <row r="302">
      <c r="A302" t="s">
        <v>3</v>
      </c>
      <c r="B302" s="6" t="s">
        <v>23</v>
      </c>
      <c r="C302" s="6" t="s">
        <v>70</v>
      </c>
      <c r="D302" s="6" t="s">
        <v>116</v>
      </c>
      <c r="E302" s="10" t="s">
        <v>443</v>
      </c>
      <c r="F302" s="6" t="s">
        <v>3178</v>
      </c>
      <c r="G302" s="6" t="s">
        <v>81</v>
      </c>
      <c r="H302" s="6" t="s">
        <v>6160</v>
      </c>
      <c r="I302" s="6" t="s">
        <v>8571</v>
      </c>
      <c r="J302" s="6" t="s">
        <v>9834</v>
      </c>
      <c r="K302" s="6" t="s">
        <v>10886</v>
      </c>
      <c r="L302" s="16" t="n">
        <v>43395</v>
      </c>
      <c r="M302" s="16" t="n">
        <v>46134</v>
      </c>
      <c r="N302" s="6" t="s">
        <v>10886</v>
      </c>
      <c r="O302" s="16" t="n">
        <v>43395</v>
      </c>
      <c r="P302" s="6" t="s">
        <v>11090</v>
      </c>
      <c r="Q302" s="6" t="s">
        <v>81</v>
      </c>
      <c r="R302" s="6" t="s">
        <v>12507</v>
      </c>
      <c r="S302" s="6" t="s">
        <v>10886</v>
      </c>
      <c r="T302" s="16" t="n">
        <v>43395</v>
      </c>
      <c r="U302" s="6" t="s">
        <v>13232</v>
      </c>
      <c r="V302" s="6" t="s">
        <v>81</v>
      </c>
      <c r="W302" s="6" t="s">
        <v>12507</v>
      </c>
      <c r="X302" s="6" t="s">
        <v>81</v>
      </c>
      <c r="Y302" s="21" t="s">
        <v>81</v>
      </c>
      <c r="Z302" s="6" t="s">
        <v>81</v>
      </c>
      <c r="AA302" s="6" t="s">
        <v>81</v>
      </c>
      <c r="AB302" s="6" t="s">
        <v>81</v>
      </c>
      <c r="AC302" s="6" t="s">
        <v>81</v>
      </c>
      <c r="AD302" s="21" t="s">
        <v>81</v>
      </c>
      <c r="AE302" s="6" t="s">
        <v>81</v>
      </c>
      <c r="AF302" s="6" t="s">
        <v>81</v>
      </c>
      <c r="AG302" s="6" t="s">
        <v>81</v>
      </c>
      <c r="AH302" s="6" t="s">
        <v>81</v>
      </c>
      <c r="AI302" s="6" t="s">
        <v>81</v>
      </c>
      <c r="AJ302" s="6" t="s">
        <v>81</v>
      </c>
      <c r="AK302" s="6" t="s">
        <v>81</v>
      </c>
      <c r="AL302" s="6" t="s">
        <v>81</v>
      </c>
      <c r="AM302" s="6" t="s">
        <v>81</v>
      </c>
      <c r="AN302" s="6" t="s">
        <v>81</v>
      </c>
      <c r="AO302" s="6" t="s">
        <v>81</v>
      </c>
      <c r="AP302" s="6" t="s">
        <v>20126</v>
      </c>
      <c r="AQ302" s="6" t="s">
        <v>81</v>
      </c>
      <c r="AR302" s="6" t="s">
        <v>20503</v>
      </c>
      <c r="AS302" s="6" t="s">
        <v>18386</v>
      </c>
      <c r="AT302" s="6" t="s">
        <v>18444</v>
      </c>
      <c r="AU302" s="6" t="s">
        <v>18667</v>
      </c>
      <c r="AV302" s="6" t="s">
        <v>19651</v>
      </c>
      <c r="AW302" s="6" t="s">
        <v>19864</v>
      </c>
      <c r="AX302" s="6" t="s">
        <v>20930</v>
      </c>
      <c r="AY302" s="6" t="s">
        <v>22656</v>
      </c>
      <c r="AZ302" s="6" t="s">
        <v>81</v>
      </c>
      <c r="BA302" s="6" t="s">
        <v>81</v>
      </c>
      <c r="BB302" s="24" t="n">
        <v>457</v>
      </c>
      <c r="BC302" s="26"/>
      <c r="BD302" s="26"/>
      <c r="BE302" s="26"/>
      <c r="BF302" s="26"/>
      <c r="BG302" s="26"/>
      <c r="BH302" s="26"/>
      <c r="BI302" s="26"/>
      <c r="BJ302" s="26"/>
      <c r="BK302" s="26"/>
      <c r="BL302" s="26"/>
      <c r="BM302" s="26"/>
      <c r="BN302" s="26"/>
      <c r="BO302" s="26"/>
      <c r="BP302" s="16" t="n">
        <v>45713</v>
      </c>
      <c r="BQ302" s="28" t="str">
        <f>HYPERLINK("https://organic.ams.usda.gov/Integrity/Certificate.aspx?cid=63&amp;nopid=6220007875")</f>
        <v>https://organic.ams.usda.gov/Integrity/Certificate.aspx?cid=63&amp;nopid=6220007875</v>
      </c>
    </row>
    <row r="303">
      <c r="A303" t="s">
        <v>3</v>
      </c>
      <c r="B303" s="6" t="s">
        <v>8</v>
      </c>
      <c r="C303" s="6" t="s">
        <v>55</v>
      </c>
      <c r="D303" s="6" t="s">
        <v>101</v>
      </c>
      <c r="E303" s="10" t="s">
        <v>444</v>
      </c>
      <c r="F303" s="6" t="s">
        <v>3179</v>
      </c>
      <c r="G303" s="6" t="s">
        <v>81</v>
      </c>
      <c r="H303" s="6" t="s">
        <v>6161</v>
      </c>
      <c r="I303" s="6" t="s">
        <v>8572</v>
      </c>
      <c r="J303" s="6" t="s">
        <v>9835</v>
      </c>
      <c r="K303" s="6" t="s">
        <v>10886</v>
      </c>
      <c r="L303" s="16" t="n">
        <v>37161</v>
      </c>
      <c r="M303" s="16" t="n">
        <v>45689</v>
      </c>
      <c r="N303" s="6" t="s">
        <v>10886</v>
      </c>
      <c r="O303" s="16" t="n">
        <v>37161</v>
      </c>
      <c r="P303" s="6" t="s">
        <v>11091</v>
      </c>
      <c r="Q303" s="6" t="s">
        <v>81</v>
      </c>
      <c r="R303" s="6" t="s">
        <v>6161</v>
      </c>
      <c r="S303" s="6" t="s">
        <v>10886</v>
      </c>
      <c r="T303" s="16" t="n">
        <v>37161</v>
      </c>
      <c r="U303" s="6" t="s">
        <v>13179</v>
      </c>
      <c r="V303" s="6" t="s">
        <v>81</v>
      </c>
      <c r="W303" s="6" t="s">
        <v>6161</v>
      </c>
      <c r="X303" s="6" t="s">
        <v>81</v>
      </c>
      <c r="Y303" s="21" t="s">
        <v>81</v>
      </c>
      <c r="Z303" s="6" t="s">
        <v>81</v>
      </c>
      <c r="AA303" s="6" t="s">
        <v>81</v>
      </c>
      <c r="AB303" s="6" t="s">
        <v>81</v>
      </c>
      <c r="AC303" s="6" t="s">
        <v>81</v>
      </c>
      <c r="AD303" s="21" t="s">
        <v>81</v>
      </c>
      <c r="AE303" s="6" t="s">
        <v>81</v>
      </c>
      <c r="AF303" s="6" t="s">
        <v>81</v>
      </c>
      <c r="AG303" s="6" t="s">
        <v>81</v>
      </c>
      <c r="AH303" s="6" t="s">
        <v>14903</v>
      </c>
      <c r="AI303" s="6" t="s">
        <v>81</v>
      </c>
      <c r="AJ303" s="6" t="s">
        <v>17377</v>
      </c>
      <c r="AK303" s="6" t="s">
        <v>18377</v>
      </c>
      <c r="AL303" s="6" t="s">
        <v>18444</v>
      </c>
      <c r="AM303" s="6" t="s">
        <v>18530</v>
      </c>
      <c r="AN303" s="6" t="s">
        <v>19638</v>
      </c>
      <c r="AO303" s="6" t="s">
        <v>19724</v>
      </c>
      <c r="AP303" s="6" t="s">
        <v>81</v>
      </c>
      <c r="AQ303" s="6" t="s">
        <v>81</v>
      </c>
      <c r="AR303" s="6" t="s">
        <v>81</v>
      </c>
      <c r="AS303" s="6" t="s">
        <v>81</v>
      </c>
      <c r="AT303" s="6" t="s">
        <v>81</v>
      </c>
      <c r="AU303" s="6" t="s">
        <v>81</v>
      </c>
      <c r="AV303" s="6" t="s">
        <v>81</v>
      </c>
      <c r="AW303" s="6" t="s">
        <v>81</v>
      </c>
      <c r="AX303" s="6" t="s">
        <v>81</v>
      </c>
      <c r="AY303" s="6" t="s">
        <v>22657</v>
      </c>
      <c r="AZ303" s="6" t="s">
        <v>81</v>
      </c>
      <c r="BA303" s="6" t="s">
        <v>23819</v>
      </c>
      <c r="BB303" s="24" t="n">
        <v>341</v>
      </c>
      <c r="BC303" s="26"/>
      <c r="BD303" s="26"/>
      <c r="BE303" s="26"/>
      <c r="BF303" s="26" t="s">
        <v>23900</v>
      </c>
      <c r="BG303" s="26"/>
      <c r="BH303" s="26"/>
      <c r="BI303" s="26"/>
      <c r="BJ303" s="26"/>
      <c r="BK303" s="26"/>
      <c r="BL303" s="26"/>
      <c r="BM303" s="26"/>
      <c r="BN303" s="26"/>
      <c r="BO303" s="26"/>
      <c r="BP303" s="16" t="n">
        <v>45677</v>
      </c>
      <c r="BQ303" s="28" t="str">
        <f>HYPERLINK("https://organic.ams.usda.gov/Integrity/Certificate.aspx?cid=45&amp;nopid=9950000635")</f>
        <v>https://organic.ams.usda.gov/Integrity/Certificate.aspx?cid=45&amp;nopid=9950000635</v>
      </c>
    </row>
    <row r="304">
      <c r="A304" t="s">
        <v>3</v>
      </c>
      <c r="B304" s="6" t="s">
        <v>7</v>
      </c>
      <c r="C304" s="6" t="s">
        <v>54</v>
      </c>
      <c r="D304" s="6" t="s">
        <v>100</v>
      </c>
      <c r="E304" s="10" t="s">
        <v>445</v>
      </c>
      <c r="F304" s="6" t="s">
        <v>3180</v>
      </c>
      <c r="G304" s="6" t="s">
        <v>81</v>
      </c>
      <c r="H304" s="6" t="s">
        <v>6162</v>
      </c>
      <c r="I304" s="6" t="s">
        <v>8573</v>
      </c>
      <c r="J304" s="6" t="s">
        <v>9733</v>
      </c>
      <c r="K304" s="6" t="s">
        <v>10886</v>
      </c>
      <c r="L304" s="16" t="n">
        <v>42613</v>
      </c>
      <c r="M304" s="16" t="n">
        <v>45716</v>
      </c>
      <c r="N304" s="6" t="s">
        <v>10886</v>
      </c>
      <c r="O304" s="16" t="n">
        <v>42613</v>
      </c>
      <c r="P304" s="6" t="s">
        <v>11092</v>
      </c>
      <c r="Q304" s="6" t="s">
        <v>81</v>
      </c>
      <c r="R304" s="6" t="s">
        <v>81</v>
      </c>
      <c r="S304" s="6" t="s">
        <v>10886</v>
      </c>
      <c r="T304" s="16" t="n">
        <v>42856</v>
      </c>
      <c r="U304" s="6" t="s">
        <v>13276</v>
      </c>
      <c r="V304" s="6" t="s">
        <v>81</v>
      </c>
      <c r="W304" s="6" t="s">
        <v>81</v>
      </c>
      <c r="X304" s="6" t="s">
        <v>81</v>
      </c>
      <c r="Y304" s="21" t="s">
        <v>81</v>
      </c>
      <c r="Z304" s="6" t="s">
        <v>81</v>
      </c>
      <c r="AA304" s="6" t="s">
        <v>81</v>
      </c>
      <c r="AB304" s="6" t="s">
        <v>81</v>
      </c>
      <c r="AC304" s="6" t="s">
        <v>81</v>
      </c>
      <c r="AD304" s="21" t="s">
        <v>81</v>
      </c>
      <c r="AE304" s="6" t="s">
        <v>81</v>
      </c>
      <c r="AF304" s="6" t="s">
        <v>81</v>
      </c>
      <c r="AG304" s="6" t="s">
        <v>81</v>
      </c>
      <c r="AH304" s="6" t="s">
        <v>14904</v>
      </c>
      <c r="AI304" s="6" t="s">
        <v>81</v>
      </c>
      <c r="AJ304" s="6" t="s">
        <v>17393</v>
      </c>
      <c r="AK304" s="6" t="s">
        <v>17712</v>
      </c>
      <c r="AL304" s="6" t="s">
        <v>18444</v>
      </c>
      <c r="AM304" s="6" t="s">
        <v>18549</v>
      </c>
      <c r="AN304" s="6" t="s">
        <v>19643</v>
      </c>
      <c r="AO304" s="6" t="s">
        <v>19766</v>
      </c>
      <c r="AP304" s="6" t="s">
        <v>14904</v>
      </c>
      <c r="AQ304" s="6" t="s">
        <v>81</v>
      </c>
      <c r="AR304" s="6" t="s">
        <v>17393</v>
      </c>
      <c r="AS304" s="6" t="s">
        <v>17712</v>
      </c>
      <c r="AT304" s="6" t="s">
        <v>18444</v>
      </c>
      <c r="AU304" s="6" t="s">
        <v>18549</v>
      </c>
      <c r="AV304" s="6" t="s">
        <v>81</v>
      </c>
      <c r="AW304" s="6" t="s">
        <v>81</v>
      </c>
      <c r="AX304" s="6" t="s">
        <v>81</v>
      </c>
      <c r="AY304" s="6" t="s">
        <v>81</v>
      </c>
      <c r="AZ304" s="6" t="s">
        <v>81</v>
      </c>
      <c r="BA304" s="6" t="s">
        <v>81</v>
      </c>
      <c r="BB304" s="24" t="n">
        <v>96</v>
      </c>
      <c r="BC304" s="26"/>
      <c r="BD304" s="26"/>
      <c r="BE304" s="26"/>
      <c r="BF304" s="26" t="s">
        <v>23900</v>
      </c>
      <c r="BG304" s="26"/>
      <c r="BH304" s="26"/>
      <c r="BI304" s="26"/>
      <c r="BJ304" s="26"/>
      <c r="BK304" s="26" t="s">
        <v>23900</v>
      </c>
      <c r="BL304" s="26"/>
      <c r="BM304" s="26"/>
      <c r="BN304" s="26"/>
      <c r="BO304" s="26"/>
      <c r="BP304" s="16" t="n">
        <v>45595</v>
      </c>
      <c r="BQ304" s="28" t="str">
        <f>HYPERLINK("https://organic.ams.usda.gov/Integrity/Certificate.aspx?cid=57&amp;nopid=3252016033")</f>
        <v>https://organic.ams.usda.gov/Integrity/Certificate.aspx?cid=57&amp;nopid=3252016033</v>
      </c>
    </row>
    <row r="305">
      <c r="A305" t="s">
        <v>3</v>
      </c>
      <c r="B305" s="6" t="s">
        <v>8</v>
      </c>
      <c r="C305" s="6" t="s">
        <v>55</v>
      </c>
      <c r="D305" s="6" t="s">
        <v>101</v>
      </c>
      <c r="E305" s="10" t="s">
        <v>446</v>
      </c>
      <c r="F305" s="6" t="s">
        <v>3181</v>
      </c>
      <c r="G305" s="6" t="s">
        <v>81</v>
      </c>
      <c r="H305" s="6" t="s">
        <v>6163</v>
      </c>
      <c r="I305" s="6" t="s">
        <v>8574</v>
      </c>
      <c r="J305" s="6" t="s">
        <v>9836</v>
      </c>
      <c r="K305" s="6" t="s">
        <v>10886</v>
      </c>
      <c r="L305" s="16" t="n">
        <v>37552</v>
      </c>
      <c r="M305" s="16" t="n">
        <v>45383</v>
      </c>
      <c r="N305" s="6" t="s">
        <v>10886</v>
      </c>
      <c r="O305" s="16" t="n">
        <v>37552</v>
      </c>
      <c r="P305" s="6" t="s">
        <v>11093</v>
      </c>
      <c r="Q305" s="6" t="s">
        <v>81</v>
      </c>
      <c r="R305" s="6" t="s">
        <v>6163</v>
      </c>
      <c r="S305" s="6" t="s">
        <v>10886</v>
      </c>
      <c r="T305" s="16" t="n">
        <v>37552</v>
      </c>
      <c r="U305" s="6" t="s">
        <v>13179</v>
      </c>
      <c r="V305" s="6" t="s">
        <v>81</v>
      </c>
      <c r="W305" s="6" t="s">
        <v>6163</v>
      </c>
      <c r="X305" s="6" t="s">
        <v>81</v>
      </c>
      <c r="Y305" s="21" t="s">
        <v>81</v>
      </c>
      <c r="Z305" s="6" t="s">
        <v>81</v>
      </c>
      <c r="AA305" s="6" t="s">
        <v>81</v>
      </c>
      <c r="AB305" s="6" t="s">
        <v>81</v>
      </c>
      <c r="AC305" s="6" t="s">
        <v>10893</v>
      </c>
      <c r="AD305" s="16" t="n">
        <v>45376</v>
      </c>
      <c r="AE305" s="6" t="s">
        <v>81</v>
      </c>
      <c r="AF305" s="6" t="s">
        <v>81</v>
      </c>
      <c r="AG305" s="6" t="s">
        <v>81</v>
      </c>
      <c r="AH305" s="6" t="s">
        <v>14905</v>
      </c>
      <c r="AI305" s="6" t="s">
        <v>81</v>
      </c>
      <c r="AJ305" s="6" t="s">
        <v>10426</v>
      </c>
      <c r="AK305" s="6" t="s">
        <v>18377</v>
      </c>
      <c r="AL305" s="6" t="s">
        <v>18444</v>
      </c>
      <c r="AM305" s="6" t="s">
        <v>18676</v>
      </c>
      <c r="AN305" s="6" t="s">
        <v>7595</v>
      </c>
      <c r="AO305" s="6" t="s">
        <v>19826</v>
      </c>
      <c r="AP305" s="6" t="s">
        <v>81</v>
      </c>
      <c r="AQ305" s="6" t="s">
        <v>81</v>
      </c>
      <c r="AR305" s="6" t="s">
        <v>81</v>
      </c>
      <c r="AS305" s="6" t="s">
        <v>81</v>
      </c>
      <c r="AT305" s="6" t="s">
        <v>81</v>
      </c>
      <c r="AU305" s="6" t="s">
        <v>81</v>
      </c>
      <c r="AV305" s="6" t="s">
        <v>81</v>
      </c>
      <c r="AW305" s="6" t="s">
        <v>81</v>
      </c>
      <c r="AX305" s="6" t="s">
        <v>81</v>
      </c>
      <c r="AY305" s="6" t="s">
        <v>22658</v>
      </c>
      <c r="AZ305" s="6" t="s">
        <v>81</v>
      </c>
      <c r="BA305" s="6" t="s">
        <v>23819</v>
      </c>
      <c r="BB305" s="24" t="n">
        <v>562</v>
      </c>
      <c r="BC305" s="26"/>
      <c r="BD305" s="26"/>
      <c r="BE305" s="26"/>
      <c r="BF305" s="26" t="s">
        <v>23900</v>
      </c>
      <c r="BG305" s="26"/>
      <c r="BH305" s="26"/>
      <c r="BI305" s="26"/>
      <c r="BJ305" s="26"/>
      <c r="BK305" s="26"/>
      <c r="BL305" s="26"/>
      <c r="BM305" s="26"/>
      <c r="BN305" s="26"/>
      <c r="BO305" s="26"/>
      <c r="BP305" s="16" t="n">
        <v>45387</v>
      </c>
      <c r="BQ305" s="28" t="str">
        <f>HYPERLINK("https://organic.ams.usda.gov/Integrity/Certificate.aspx?cid=45&amp;nopid=9950000984")</f>
        <v>https://organic.ams.usda.gov/Integrity/Certificate.aspx?cid=45&amp;nopid=9950000984</v>
      </c>
    </row>
    <row r="306">
      <c r="A306" t="s">
        <v>3</v>
      </c>
      <c r="B306" s="6" t="s">
        <v>8</v>
      </c>
      <c r="C306" s="6" t="s">
        <v>55</v>
      </c>
      <c r="D306" s="6" t="s">
        <v>101</v>
      </c>
      <c r="E306" s="10" t="s">
        <v>447</v>
      </c>
      <c r="F306" s="6" t="s">
        <v>3182</v>
      </c>
      <c r="G306" s="6" t="s">
        <v>81</v>
      </c>
      <c r="H306" s="6" t="s">
        <v>6164</v>
      </c>
      <c r="I306" s="6" t="s">
        <v>8477</v>
      </c>
      <c r="J306" s="6" t="s">
        <v>9750</v>
      </c>
      <c r="K306" s="6" t="s">
        <v>10886</v>
      </c>
      <c r="L306" s="16" t="n">
        <v>43165</v>
      </c>
      <c r="M306" s="16" t="n">
        <v>45689</v>
      </c>
      <c r="N306" s="6" t="s">
        <v>10886</v>
      </c>
      <c r="O306" s="16" t="n">
        <v>43165</v>
      </c>
      <c r="P306" s="6" t="s">
        <v>11094</v>
      </c>
      <c r="Q306" s="6" t="s">
        <v>81</v>
      </c>
      <c r="R306" s="6" t="s">
        <v>6164</v>
      </c>
      <c r="S306" s="6" t="s">
        <v>10886</v>
      </c>
      <c r="T306" s="16" t="n">
        <v>43165</v>
      </c>
      <c r="U306" s="6" t="s">
        <v>13173</v>
      </c>
      <c r="V306" s="6" t="s">
        <v>81</v>
      </c>
      <c r="W306" s="6" t="s">
        <v>6164</v>
      </c>
      <c r="X306" s="6" t="s">
        <v>81</v>
      </c>
      <c r="Y306" s="21" t="s">
        <v>81</v>
      </c>
      <c r="Z306" s="6" t="s">
        <v>81</v>
      </c>
      <c r="AA306" s="6" t="s">
        <v>81</v>
      </c>
      <c r="AB306" s="6" t="s">
        <v>81</v>
      </c>
      <c r="AC306" s="6" t="s">
        <v>81</v>
      </c>
      <c r="AD306" s="21" t="s">
        <v>81</v>
      </c>
      <c r="AE306" s="6" t="s">
        <v>81</v>
      </c>
      <c r="AF306" s="6" t="s">
        <v>81</v>
      </c>
      <c r="AG306" s="6" t="s">
        <v>81</v>
      </c>
      <c r="AH306" s="6" t="s">
        <v>14906</v>
      </c>
      <c r="AI306" s="6" t="s">
        <v>81</v>
      </c>
      <c r="AJ306" s="6" t="s">
        <v>17512</v>
      </c>
      <c r="AK306" s="6" t="s">
        <v>18403</v>
      </c>
      <c r="AL306" s="6" t="s">
        <v>18444</v>
      </c>
      <c r="AM306" s="6" t="s">
        <v>18677</v>
      </c>
      <c r="AN306" s="6" t="s">
        <v>19656</v>
      </c>
      <c r="AO306" s="6" t="s">
        <v>19828</v>
      </c>
      <c r="AP306" s="6" t="s">
        <v>81</v>
      </c>
      <c r="AQ306" s="6" t="s">
        <v>81</v>
      </c>
      <c r="AR306" s="6" t="s">
        <v>81</v>
      </c>
      <c r="AS306" s="6" t="s">
        <v>81</v>
      </c>
      <c r="AT306" s="6" t="s">
        <v>81</v>
      </c>
      <c r="AU306" s="6" t="s">
        <v>81</v>
      </c>
      <c r="AV306" s="6" t="s">
        <v>81</v>
      </c>
      <c r="AW306" s="6" t="s">
        <v>81</v>
      </c>
      <c r="AX306" s="6" t="s">
        <v>81</v>
      </c>
      <c r="AY306" s="6" t="s">
        <v>22659</v>
      </c>
      <c r="AZ306" s="6" t="s">
        <v>81</v>
      </c>
      <c r="BA306" s="6" t="s">
        <v>23819</v>
      </c>
      <c r="BB306" s="24" t="n">
        <v>148</v>
      </c>
      <c r="BC306" s="26"/>
      <c r="BD306" s="26"/>
      <c r="BE306" s="26"/>
      <c r="BF306" s="26" t="s">
        <v>23900</v>
      </c>
      <c r="BG306" s="26"/>
      <c r="BH306" s="26"/>
      <c r="BI306" s="26"/>
      <c r="BJ306" s="26"/>
      <c r="BK306" s="26"/>
      <c r="BL306" s="26"/>
      <c r="BM306" s="26"/>
      <c r="BN306" s="26"/>
      <c r="BO306" s="26"/>
      <c r="BP306" s="16" t="n">
        <v>45707</v>
      </c>
      <c r="BQ306" s="28" t="str">
        <f>HYPERLINK("https://organic.ams.usda.gov/Integrity/Certificate.aspx?cid=45&amp;nopid=9950010501")</f>
        <v>https://organic.ams.usda.gov/Integrity/Certificate.aspx?cid=45&amp;nopid=9950010501</v>
      </c>
    </row>
    <row r="307">
      <c r="A307" t="s">
        <v>3</v>
      </c>
      <c r="B307" s="6" t="s">
        <v>7</v>
      </c>
      <c r="C307" s="6" t="s">
        <v>54</v>
      </c>
      <c r="D307" s="6" t="s">
        <v>100</v>
      </c>
      <c r="E307" s="10" t="s">
        <v>448</v>
      </c>
      <c r="F307" s="6" t="s">
        <v>3183</v>
      </c>
      <c r="G307" s="6" t="s">
        <v>81</v>
      </c>
      <c r="H307" s="6" t="s">
        <v>6165</v>
      </c>
      <c r="I307" s="6" t="s">
        <v>8575</v>
      </c>
      <c r="J307" s="6" t="s">
        <v>9837</v>
      </c>
      <c r="K307" s="6" t="s">
        <v>10886</v>
      </c>
      <c r="L307" s="16" t="n">
        <v>37879</v>
      </c>
      <c r="M307" s="16" t="n">
        <v>45716</v>
      </c>
      <c r="N307" s="6" t="s">
        <v>10886</v>
      </c>
      <c r="O307" s="16" t="n">
        <v>37879</v>
      </c>
      <c r="P307" s="6" t="s">
        <v>10910</v>
      </c>
      <c r="Q307" s="6" t="s">
        <v>81</v>
      </c>
      <c r="R307" s="6" t="s">
        <v>81</v>
      </c>
      <c r="S307" s="6" t="s">
        <v>10886</v>
      </c>
      <c r="T307" s="16" t="n">
        <v>43329</v>
      </c>
      <c r="U307" s="6" t="s">
        <v>13277</v>
      </c>
      <c r="V307" s="6" t="s">
        <v>81</v>
      </c>
      <c r="W307" s="6" t="s">
        <v>81</v>
      </c>
      <c r="X307" s="6" t="s">
        <v>81</v>
      </c>
      <c r="Y307" s="21" t="s">
        <v>81</v>
      </c>
      <c r="Z307" s="6" t="s">
        <v>81</v>
      </c>
      <c r="AA307" s="6" t="s">
        <v>81</v>
      </c>
      <c r="AB307" s="6" t="s">
        <v>81</v>
      </c>
      <c r="AC307" s="6" t="s">
        <v>81</v>
      </c>
      <c r="AD307" s="21" t="s">
        <v>81</v>
      </c>
      <c r="AE307" s="6" t="s">
        <v>81</v>
      </c>
      <c r="AF307" s="6" t="s">
        <v>81</v>
      </c>
      <c r="AG307" s="6" t="s">
        <v>81</v>
      </c>
      <c r="AH307" s="6" t="s">
        <v>14907</v>
      </c>
      <c r="AI307" s="6" t="s">
        <v>81</v>
      </c>
      <c r="AJ307" s="6" t="s">
        <v>17513</v>
      </c>
      <c r="AK307" s="6" t="s">
        <v>17712</v>
      </c>
      <c r="AL307" s="6" t="s">
        <v>18444</v>
      </c>
      <c r="AM307" s="6" t="s">
        <v>18678</v>
      </c>
      <c r="AN307" s="6" t="s">
        <v>7595</v>
      </c>
      <c r="AO307" s="6" t="s">
        <v>19818</v>
      </c>
      <c r="AP307" s="6" t="s">
        <v>20127</v>
      </c>
      <c r="AQ307" s="6" t="s">
        <v>81</v>
      </c>
      <c r="AR307" s="6" t="s">
        <v>20504</v>
      </c>
      <c r="AS307" s="6" t="s">
        <v>17712</v>
      </c>
      <c r="AT307" s="6" t="s">
        <v>18444</v>
      </c>
      <c r="AU307" s="6" t="s">
        <v>20612</v>
      </c>
      <c r="AV307" s="6" t="s">
        <v>81</v>
      </c>
      <c r="AW307" s="6" t="s">
        <v>81</v>
      </c>
      <c r="AX307" s="6" t="s">
        <v>20931</v>
      </c>
      <c r="AY307" s="6" t="s">
        <v>22660</v>
      </c>
      <c r="AZ307" s="6" t="s">
        <v>23598</v>
      </c>
      <c r="BA307" s="6" t="s">
        <v>81</v>
      </c>
      <c r="BB307" s="24" t="n">
        <v>703</v>
      </c>
      <c r="BC307" s="26"/>
      <c r="BD307" s="26"/>
      <c r="BE307" s="26"/>
      <c r="BF307" s="26"/>
      <c r="BG307" s="26"/>
      <c r="BH307" s="26"/>
      <c r="BI307" s="26"/>
      <c r="BJ307" s="26"/>
      <c r="BK307" s="26"/>
      <c r="BL307" s="26"/>
      <c r="BM307" s="26"/>
      <c r="BN307" s="26"/>
      <c r="BO307" s="26"/>
      <c r="BP307" s="16" t="n">
        <v>45595</v>
      </c>
      <c r="BQ307" s="28" t="str">
        <f>HYPERLINK("https://organic.ams.usda.gov/Integrity/Certificate.aspx?cid=57&amp;nopid=3250200330")</f>
        <v>https://organic.ams.usda.gov/Integrity/Certificate.aspx?cid=57&amp;nopid=3250200330</v>
      </c>
    </row>
    <row r="308">
      <c r="A308" t="s">
        <v>3</v>
      </c>
      <c r="B308" s="6" t="s">
        <v>24</v>
      </c>
      <c r="C308" s="6" t="s">
        <v>71</v>
      </c>
      <c r="D308" s="6" t="s">
        <v>117</v>
      </c>
      <c r="E308" s="10" t="s">
        <v>449</v>
      </c>
      <c r="F308" s="6" t="s">
        <v>3184</v>
      </c>
      <c r="G308" s="6" t="s">
        <v>81</v>
      </c>
      <c r="H308" s="6" t="s">
        <v>81</v>
      </c>
      <c r="I308" s="6" t="s">
        <v>8576</v>
      </c>
      <c r="J308" s="6" t="s">
        <v>9838</v>
      </c>
      <c r="K308" s="6" t="s">
        <v>10886</v>
      </c>
      <c r="L308" s="16" t="n">
        <v>44733</v>
      </c>
      <c r="M308" s="16" t="n">
        <v>45901</v>
      </c>
      <c r="N308" s="6" t="s">
        <v>10886</v>
      </c>
      <c r="O308" s="16" t="n">
        <v>44733</v>
      </c>
      <c r="P308" s="6" t="s">
        <v>11095</v>
      </c>
      <c r="Q308" s="6" t="s">
        <v>81</v>
      </c>
      <c r="R308" s="6" t="s">
        <v>81</v>
      </c>
      <c r="S308" s="6" t="s">
        <v>10886</v>
      </c>
      <c r="T308" s="16" t="n">
        <v>44733</v>
      </c>
      <c r="U308" s="6" t="s">
        <v>13278</v>
      </c>
      <c r="V308" s="6" t="s">
        <v>81</v>
      </c>
      <c r="W308" s="6" t="s">
        <v>81</v>
      </c>
      <c r="X308" s="6" t="s">
        <v>81</v>
      </c>
      <c r="Y308" s="21" t="s">
        <v>81</v>
      </c>
      <c r="Z308" s="6" t="s">
        <v>81</v>
      </c>
      <c r="AA308" s="6" t="s">
        <v>81</v>
      </c>
      <c r="AB308" s="6" t="s">
        <v>81</v>
      </c>
      <c r="AC308" s="6" t="s">
        <v>10886</v>
      </c>
      <c r="AD308" s="16" t="n">
        <v>44733</v>
      </c>
      <c r="AE308" s="6" t="s">
        <v>14014</v>
      </c>
      <c r="AF308" s="6" t="s">
        <v>81</v>
      </c>
      <c r="AG308" s="6" t="s">
        <v>81</v>
      </c>
      <c r="AH308" s="6" t="s">
        <v>14908</v>
      </c>
      <c r="AI308" s="6" t="s">
        <v>81</v>
      </c>
      <c r="AJ308" s="6" t="s">
        <v>17514</v>
      </c>
      <c r="AK308" s="6" t="s">
        <v>18404</v>
      </c>
      <c r="AL308" s="6" t="s">
        <v>18444</v>
      </c>
      <c r="AM308" s="6" t="s">
        <v>18679</v>
      </c>
      <c r="AN308" s="6" t="s">
        <v>19684</v>
      </c>
      <c r="AO308" s="6" t="s">
        <v>19829</v>
      </c>
      <c r="AP308" s="6" t="s">
        <v>14908</v>
      </c>
      <c r="AQ308" s="6" t="s">
        <v>81</v>
      </c>
      <c r="AR308" s="6" t="s">
        <v>17514</v>
      </c>
      <c r="AS308" s="6" t="s">
        <v>18404</v>
      </c>
      <c r="AT308" s="6" t="s">
        <v>18444</v>
      </c>
      <c r="AU308" s="6" t="s">
        <v>18679</v>
      </c>
      <c r="AV308" s="6" t="s">
        <v>81</v>
      </c>
      <c r="AW308" s="6" t="s">
        <v>81</v>
      </c>
      <c r="AX308" s="6" t="s">
        <v>81</v>
      </c>
      <c r="AY308" s="6" t="s">
        <v>22661</v>
      </c>
      <c r="AZ308" s="6" t="s">
        <v>81</v>
      </c>
      <c r="BA308" s="6" t="s">
        <v>81</v>
      </c>
      <c r="BB308" s="24" t="n">
        <v>775</v>
      </c>
      <c r="BC308" s="26"/>
      <c r="BD308" s="26"/>
      <c r="BE308" s="26"/>
      <c r="BF308" s="26"/>
      <c r="BG308" s="26"/>
      <c r="BH308" s="26"/>
      <c r="BI308" s="26"/>
      <c r="BJ308" s="26"/>
      <c r="BK308" s="26"/>
      <c r="BL308" s="26"/>
      <c r="BM308" s="26"/>
      <c r="BN308" s="26"/>
      <c r="BO308" s="26"/>
      <c r="BP308" s="16" t="n">
        <v>45628</v>
      </c>
      <c r="BQ308" s="28" t="str">
        <f>HYPERLINK("https://organic.ams.usda.gov/Integrity/Certificate.aspx?cid=1&amp;nopid=9092201806")</f>
        <v>https://organic.ams.usda.gov/Integrity/Certificate.aspx?cid=1&amp;nopid=9092201806</v>
      </c>
    </row>
    <row r="309">
      <c r="A309" t="s">
        <v>3</v>
      </c>
      <c r="B309" s="6" t="s">
        <v>8</v>
      </c>
      <c r="C309" s="6" t="s">
        <v>55</v>
      </c>
      <c r="D309" s="6" t="s">
        <v>101</v>
      </c>
      <c r="E309" s="10" t="s">
        <v>450</v>
      </c>
      <c r="F309" s="6" t="s">
        <v>3185</v>
      </c>
      <c r="G309" s="6" t="s">
        <v>81</v>
      </c>
      <c r="H309" s="6" t="s">
        <v>6166</v>
      </c>
      <c r="I309" s="6" t="s">
        <v>8576</v>
      </c>
      <c r="J309" s="6" t="s">
        <v>9839</v>
      </c>
      <c r="K309" s="6" t="s">
        <v>10886</v>
      </c>
      <c r="L309" s="16" t="n">
        <v>37172</v>
      </c>
      <c r="M309" s="16" t="n">
        <v>45383</v>
      </c>
      <c r="N309" s="6" t="s">
        <v>10886</v>
      </c>
      <c r="O309" s="16" t="n">
        <v>37172</v>
      </c>
      <c r="P309" s="6" t="s">
        <v>11096</v>
      </c>
      <c r="Q309" s="6" t="s">
        <v>81</v>
      </c>
      <c r="R309" s="6" t="s">
        <v>6166</v>
      </c>
      <c r="S309" s="6" t="s">
        <v>10886</v>
      </c>
      <c r="T309" s="16" t="n">
        <v>37172</v>
      </c>
      <c r="U309" s="6" t="s">
        <v>13271</v>
      </c>
      <c r="V309" s="6" t="s">
        <v>81</v>
      </c>
      <c r="W309" s="6" t="s">
        <v>6166</v>
      </c>
      <c r="X309" s="6" t="s">
        <v>81</v>
      </c>
      <c r="Y309" s="21" t="s">
        <v>81</v>
      </c>
      <c r="Z309" s="6" t="s">
        <v>81</v>
      </c>
      <c r="AA309" s="6" t="s">
        <v>81</v>
      </c>
      <c r="AB309" s="6" t="s">
        <v>81</v>
      </c>
      <c r="AC309" s="6" t="s">
        <v>81</v>
      </c>
      <c r="AD309" s="21" t="s">
        <v>81</v>
      </c>
      <c r="AE309" s="6" t="s">
        <v>81</v>
      </c>
      <c r="AF309" s="6" t="s">
        <v>81</v>
      </c>
      <c r="AG309" s="6" t="s">
        <v>81</v>
      </c>
      <c r="AH309" s="6" t="s">
        <v>14909</v>
      </c>
      <c r="AI309" s="6" t="s">
        <v>81</v>
      </c>
      <c r="AJ309" s="6" t="s">
        <v>8987</v>
      </c>
      <c r="AK309" s="6" t="s">
        <v>18377</v>
      </c>
      <c r="AL309" s="6" t="s">
        <v>18444</v>
      </c>
      <c r="AM309" s="6" t="s">
        <v>18487</v>
      </c>
      <c r="AN309" s="6" t="s">
        <v>19646</v>
      </c>
      <c r="AO309" s="6" t="s">
        <v>19733</v>
      </c>
      <c r="AP309" s="6" t="s">
        <v>81</v>
      </c>
      <c r="AQ309" s="6" t="s">
        <v>81</v>
      </c>
      <c r="AR309" s="6" t="s">
        <v>81</v>
      </c>
      <c r="AS309" s="6" t="s">
        <v>81</v>
      </c>
      <c r="AT309" s="6" t="s">
        <v>81</v>
      </c>
      <c r="AU309" s="6" t="s">
        <v>81</v>
      </c>
      <c r="AV309" s="6" t="s">
        <v>81</v>
      </c>
      <c r="AW309" s="6" t="s">
        <v>81</v>
      </c>
      <c r="AX309" s="6" t="s">
        <v>81</v>
      </c>
      <c r="AY309" s="6" t="s">
        <v>81</v>
      </c>
      <c r="AZ309" s="6" t="s">
        <v>81</v>
      </c>
      <c r="BA309" s="6" t="s">
        <v>23819</v>
      </c>
      <c r="BB309" s="24" t="n">
        <v>340</v>
      </c>
      <c r="BC309" s="26"/>
      <c r="BD309" s="26"/>
      <c r="BE309" s="26"/>
      <c r="BF309" s="26" t="s">
        <v>23900</v>
      </c>
      <c r="BG309" s="26"/>
      <c r="BH309" s="26"/>
      <c r="BI309" s="26"/>
      <c r="BJ309" s="26"/>
      <c r="BK309" s="26"/>
      <c r="BL309" s="26"/>
      <c r="BM309" s="26"/>
      <c r="BN309" s="26"/>
      <c r="BO309" s="26"/>
      <c r="BP309" s="16" t="n">
        <v>45395</v>
      </c>
      <c r="BQ309" s="28" t="str">
        <f>HYPERLINK("https://organic.ams.usda.gov/Integrity/Certificate.aspx?cid=45&amp;nopid=9950000546")</f>
        <v>https://organic.ams.usda.gov/Integrity/Certificate.aspx?cid=45&amp;nopid=9950000546</v>
      </c>
    </row>
    <row r="310">
      <c r="A310" t="s">
        <v>3</v>
      </c>
      <c r="B310" s="6" t="s">
        <v>10</v>
      </c>
      <c r="C310" s="6" t="s">
        <v>57</v>
      </c>
      <c r="D310" s="6" t="s">
        <v>103</v>
      </c>
      <c r="E310" s="10" t="s">
        <v>451</v>
      </c>
      <c r="F310" s="6" t="s">
        <v>3186</v>
      </c>
      <c r="G310" s="6" t="s">
        <v>81</v>
      </c>
      <c r="H310" s="6" t="s">
        <v>6167</v>
      </c>
      <c r="I310" s="6" t="s">
        <v>8577</v>
      </c>
      <c r="J310" s="6" t="s">
        <v>9666</v>
      </c>
      <c r="K310" s="6" t="s">
        <v>10886</v>
      </c>
      <c r="L310" s="16" t="n">
        <v>45389</v>
      </c>
      <c r="M310" s="16" t="n">
        <v>45748</v>
      </c>
      <c r="N310" s="6" t="s">
        <v>10886</v>
      </c>
      <c r="O310" s="16" t="n">
        <v>45389</v>
      </c>
      <c r="P310" s="6" t="s">
        <v>11036</v>
      </c>
      <c r="Q310" s="6" t="s">
        <v>81</v>
      </c>
      <c r="R310" s="6" t="s">
        <v>12508</v>
      </c>
      <c r="S310" s="6" t="s">
        <v>10886</v>
      </c>
      <c r="T310" s="16" t="n">
        <v>45389</v>
      </c>
      <c r="U310" s="6" t="s">
        <v>13279</v>
      </c>
      <c r="V310" s="6" t="s">
        <v>81</v>
      </c>
      <c r="W310" s="6" t="s">
        <v>81</v>
      </c>
      <c r="X310" s="6" t="s">
        <v>81</v>
      </c>
      <c r="Y310" s="21" t="s">
        <v>81</v>
      </c>
      <c r="Z310" s="6" t="s">
        <v>81</v>
      </c>
      <c r="AA310" s="6" t="s">
        <v>81</v>
      </c>
      <c r="AB310" s="6" t="s">
        <v>81</v>
      </c>
      <c r="AC310" s="6" t="s">
        <v>81</v>
      </c>
      <c r="AD310" s="21" t="s">
        <v>81</v>
      </c>
      <c r="AE310" s="6" t="s">
        <v>81</v>
      </c>
      <c r="AF310" s="6" t="s">
        <v>81</v>
      </c>
      <c r="AG310" s="6" t="s">
        <v>81</v>
      </c>
      <c r="AH310" s="6" t="s">
        <v>14910</v>
      </c>
      <c r="AI310" s="6" t="s">
        <v>81</v>
      </c>
      <c r="AJ310" s="6" t="s">
        <v>17324</v>
      </c>
      <c r="AK310" s="6" t="s">
        <v>18378</v>
      </c>
      <c r="AL310" s="6" t="s">
        <v>18444</v>
      </c>
      <c r="AM310" s="6" t="s">
        <v>18476</v>
      </c>
      <c r="AN310" s="6" t="s">
        <v>81</v>
      </c>
      <c r="AO310" s="6" t="s">
        <v>81</v>
      </c>
      <c r="AP310" s="6" t="s">
        <v>14910</v>
      </c>
      <c r="AQ310" s="6" t="s">
        <v>81</v>
      </c>
      <c r="AR310" s="6" t="s">
        <v>17324</v>
      </c>
      <c r="AS310" s="6" t="s">
        <v>18378</v>
      </c>
      <c r="AT310" s="6" t="s">
        <v>18444</v>
      </c>
      <c r="AU310" s="6" t="s">
        <v>18476</v>
      </c>
      <c r="AV310" s="6" t="s">
        <v>81</v>
      </c>
      <c r="AW310" s="6" t="s">
        <v>81</v>
      </c>
      <c r="AX310" s="6" t="s">
        <v>81</v>
      </c>
      <c r="AY310" s="6" t="s">
        <v>81</v>
      </c>
      <c r="AZ310" s="6" t="s">
        <v>81</v>
      </c>
      <c r="BA310" s="6" t="s">
        <v>81</v>
      </c>
      <c r="BB310" s="24" t="n">
        <v>83</v>
      </c>
      <c r="BC310" s="26"/>
      <c r="BD310" s="26"/>
      <c r="BE310" s="26"/>
      <c r="BF310" s="26"/>
      <c r="BG310" s="26"/>
      <c r="BH310" s="26"/>
      <c r="BI310" s="26"/>
      <c r="BJ310" s="26"/>
      <c r="BK310" s="26"/>
      <c r="BL310" s="26"/>
      <c r="BM310" s="26"/>
      <c r="BN310" s="26"/>
      <c r="BO310" s="26"/>
      <c r="BP310" s="16" t="n">
        <v>45730</v>
      </c>
      <c r="BQ310" s="28" t="str">
        <f>HYPERLINK("https://organic.ams.usda.gov/Integrity/Certificate.aspx?cid=90&amp;nopid=7170240775")</f>
        <v>https://organic.ams.usda.gov/Integrity/Certificate.aspx?cid=90&amp;nopid=7170240775</v>
      </c>
    </row>
    <row r="311">
      <c r="A311" t="s">
        <v>3</v>
      </c>
      <c r="B311" s="6" t="s">
        <v>12</v>
      </c>
      <c r="C311" s="6" t="s">
        <v>59</v>
      </c>
      <c r="D311" s="6" t="s">
        <v>105</v>
      </c>
      <c r="E311" s="10" t="s">
        <v>452</v>
      </c>
      <c r="F311" s="6" t="s">
        <v>3187</v>
      </c>
      <c r="G311" s="6" t="s">
        <v>81</v>
      </c>
      <c r="H311" s="6" t="s">
        <v>6168</v>
      </c>
      <c r="I311" s="6" t="s">
        <v>8520</v>
      </c>
      <c r="J311" s="6" t="s">
        <v>9840</v>
      </c>
      <c r="K311" s="6" t="s">
        <v>10886</v>
      </c>
      <c r="L311" s="16" t="n">
        <v>42270</v>
      </c>
      <c r="M311" s="16" t="n">
        <v>45717</v>
      </c>
      <c r="N311" s="6" t="s">
        <v>10886</v>
      </c>
      <c r="O311" s="16" t="n">
        <v>42270</v>
      </c>
      <c r="P311" s="6" t="s">
        <v>11097</v>
      </c>
      <c r="Q311" s="6" t="s">
        <v>81</v>
      </c>
      <c r="R311" s="6" t="s">
        <v>81</v>
      </c>
      <c r="S311" s="6" t="s">
        <v>10886</v>
      </c>
      <c r="T311" s="16" t="n">
        <v>42270</v>
      </c>
      <c r="U311" s="6" t="s">
        <v>13280</v>
      </c>
      <c r="V311" s="6" t="s">
        <v>81</v>
      </c>
      <c r="W311" s="6" t="s">
        <v>81</v>
      </c>
      <c r="X311" s="6" t="s">
        <v>81</v>
      </c>
      <c r="Y311" s="21" t="s">
        <v>81</v>
      </c>
      <c r="Z311" s="6" t="s">
        <v>81</v>
      </c>
      <c r="AA311" s="6" t="s">
        <v>81</v>
      </c>
      <c r="AB311" s="6" t="s">
        <v>81</v>
      </c>
      <c r="AC311" s="6" t="s">
        <v>81</v>
      </c>
      <c r="AD311" s="21" t="s">
        <v>81</v>
      </c>
      <c r="AE311" s="6" t="s">
        <v>81</v>
      </c>
      <c r="AF311" s="6" t="s">
        <v>81</v>
      </c>
      <c r="AG311" s="6" t="s">
        <v>81</v>
      </c>
      <c r="AH311" s="6" t="s">
        <v>14911</v>
      </c>
      <c r="AI311" s="6" t="s">
        <v>81</v>
      </c>
      <c r="AJ311" s="6" t="s">
        <v>17515</v>
      </c>
      <c r="AK311" s="6" t="s">
        <v>18380</v>
      </c>
      <c r="AL311" s="6" t="s">
        <v>18444</v>
      </c>
      <c r="AM311" s="6" t="s">
        <v>18680</v>
      </c>
      <c r="AN311" s="6" t="s">
        <v>19687</v>
      </c>
      <c r="AO311" s="6" t="s">
        <v>19830</v>
      </c>
      <c r="AP311" s="6" t="s">
        <v>14911</v>
      </c>
      <c r="AQ311" s="6" t="s">
        <v>81</v>
      </c>
      <c r="AR311" s="6" t="s">
        <v>17515</v>
      </c>
      <c r="AS311" s="6" t="s">
        <v>18380</v>
      </c>
      <c r="AT311" s="6" t="s">
        <v>18444</v>
      </c>
      <c r="AU311" s="6" t="s">
        <v>18680</v>
      </c>
      <c r="AV311" s="6" t="s">
        <v>81</v>
      </c>
      <c r="AW311" s="6" t="s">
        <v>81</v>
      </c>
      <c r="AX311" s="6" t="s">
        <v>20932</v>
      </c>
      <c r="AY311" s="6" t="s">
        <v>22662</v>
      </c>
      <c r="AZ311" s="6" t="s">
        <v>81</v>
      </c>
      <c r="BA311" s="6" t="s">
        <v>81</v>
      </c>
      <c r="BB311" s="24" t="n">
        <v>81</v>
      </c>
      <c r="BC311" s="26"/>
      <c r="BD311" s="26"/>
      <c r="BE311" s="26"/>
      <c r="BF311" s="26"/>
      <c r="BG311" s="26"/>
      <c r="BH311" s="26"/>
      <c r="BI311" s="26"/>
      <c r="BJ311" s="26"/>
      <c r="BK311" s="26"/>
      <c r="BL311" s="26"/>
      <c r="BM311" s="26"/>
      <c r="BN311" s="26"/>
      <c r="BO311" s="26"/>
      <c r="BP311" s="16" t="n">
        <v>45723</v>
      </c>
      <c r="BQ311" s="28" t="str">
        <f>HYPERLINK("https://organic.ams.usda.gov/Integrity/Certificate.aspx?cid=68&amp;nopid=8210002227")</f>
        <v>https://organic.ams.usda.gov/Integrity/Certificate.aspx?cid=68&amp;nopid=8210002227</v>
      </c>
    </row>
    <row r="312">
      <c r="A312" t="s">
        <v>3</v>
      </c>
      <c r="B312" s="6" t="s">
        <v>9</v>
      </c>
      <c r="C312" s="6" t="s">
        <v>56</v>
      </c>
      <c r="D312" s="6" t="s">
        <v>102</v>
      </c>
      <c r="E312" s="10" t="s">
        <v>453</v>
      </c>
      <c r="F312" s="6" t="s">
        <v>3188</v>
      </c>
      <c r="G312" s="6" t="s">
        <v>81</v>
      </c>
      <c r="H312" s="6" t="s">
        <v>6169</v>
      </c>
      <c r="I312" s="6" t="s">
        <v>8520</v>
      </c>
      <c r="J312" s="6" t="s">
        <v>9841</v>
      </c>
      <c r="K312" s="6" t="s">
        <v>10886</v>
      </c>
      <c r="L312" s="16" t="n">
        <v>40085</v>
      </c>
      <c r="M312" s="16" t="n">
        <v>45748</v>
      </c>
      <c r="N312" s="6" t="s">
        <v>10886</v>
      </c>
      <c r="O312" s="16" t="n">
        <v>40085</v>
      </c>
      <c r="P312" s="6" t="s">
        <v>11098</v>
      </c>
      <c r="Q312" s="6" t="s">
        <v>81</v>
      </c>
      <c r="R312" s="6" t="s">
        <v>12509</v>
      </c>
      <c r="S312" s="6" t="s">
        <v>10886</v>
      </c>
      <c r="T312" s="16" t="n">
        <v>40085</v>
      </c>
      <c r="U312" s="6" t="s">
        <v>13162</v>
      </c>
      <c r="V312" s="6" t="s">
        <v>81</v>
      </c>
      <c r="W312" s="6" t="s">
        <v>12509</v>
      </c>
      <c r="X312" s="6" t="s">
        <v>81</v>
      </c>
      <c r="Y312" s="21" t="s">
        <v>81</v>
      </c>
      <c r="Z312" s="6" t="s">
        <v>81</v>
      </c>
      <c r="AA312" s="6" t="s">
        <v>81</v>
      </c>
      <c r="AB312" s="6" t="s">
        <v>81</v>
      </c>
      <c r="AC312" s="6" t="s">
        <v>81</v>
      </c>
      <c r="AD312" s="21" t="s">
        <v>81</v>
      </c>
      <c r="AE312" s="6" t="s">
        <v>81</v>
      </c>
      <c r="AF312" s="6" t="s">
        <v>81</v>
      </c>
      <c r="AG312" s="6" t="s">
        <v>81</v>
      </c>
      <c r="AH312" s="6" t="s">
        <v>14912</v>
      </c>
      <c r="AI312" s="6" t="s">
        <v>81</v>
      </c>
      <c r="AJ312" s="6" t="s">
        <v>17516</v>
      </c>
      <c r="AK312" s="6" t="s">
        <v>18377</v>
      </c>
      <c r="AL312" s="6" t="s">
        <v>18444</v>
      </c>
      <c r="AM312" s="6" t="s">
        <v>18681</v>
      </c>
      <c r="AN312" s="6" t="s">
        <v>19657</v>
      </c>
      <c r="AO312" s="6" t="s">
        <v>19831</v>
      </c>
      <c r="AP312" s="6" t="s">
        <v>81</v>
      </c>
      <c r="AQ312" s="6" t="s">
        <v>81</v>
      </c>
      <c r="AR312" s="6" t="s">
        <v>81</v>
      </c>
      <c r="AS312" s="6" t="s">
        <v>81</v>
      </c>
      <c r="AT312" s="6" t="s">
        <v>81</v>
      </c>
      <c r="AU312" s="6" t="s">
        <v>81</v>
      </c>
      <c r="AV312" s="6" t="s">
        <v>81</v>
      </c>
      <c r="AW312" s="6" t="s">
        <v>81</v>
      </c>
      <c r="AX312" s="6" t="s">
        <v>20933</v>
      </c>
      <c r="AY312" s="6" t="s">
        <v>22663</v>
      </c>
      <c r="AZ312" s="6" t="s">
        <v>81</v>
      </c>
      <c r="BA312" s="6" t="s">
        <v>81</v>
      </c>
      <c r="BB312" s="24" t="n">
        <v>199</v>
      </c>
      <c r="BC312" s="26"/>
      <c r="BD312" s="26"/>
      <c r="BE312" s="26"/>
      <c r="BF312" s="26"/>
      <c r="BG312" s="26"/>
      <c r="BH312" s="26"/>
      <c r="BI312" s="26"/>
      <c r="BJ312" s="26"/>
      <c r="BK312" s="26"/>
      <c r="BL312" s="26"/>
      <c r="BM312" s="26"/>
      <c r="BN312" s="26"/>
      <c r="BO312" s="26"/>
      <c r="BP312" s="16" t="n">
        <v>45738</v>
      </c>
      <c r="BQ312" s="28" t="str">
        <f>HYPERLINK("https://organic.ams.usda.gov/Integrity/Certificate.aspx?cid=52&amp;nopid=8430900149")</f>
        <v>https://organic.ams.usda.gov/Integrity/Certificate.aspx?cid=52&amp;nopid=8430900149</v>
      </c>
    </row>
    <row r="313">
      <c r="A313" t="s">
        <v>3</v>
      </c>
      <c r="B313" s="6" t="s">
        <v>8</v>
      </c>
      <c r="C313" s="6" t="s">
        <v>55</v>
      </c>
      <c r="D313" s="6" t="s">
        <v>101</v>
      </c>
      <c r="E313" s="10" t="s">
        <v>454</v>
      </c>
      <c r="F313" s="6" t="s">
        <v>3189</v>
      </c>
      <c r="G313" s="6" t="s">
        <v>81</v>
      </c>
      <c r="H313" s="6" t="s">
        <v>6170</v>
      </c>
      <c r="I313" s="6" t="s">
        <v>8520</v>
      </c>
      <c r="J313" s="6" t="s">
        <v>9842</v>
      </c>
      <c r="K313" s="6" t="s">
        <v>10886</v>
      </c>
      <c r="L313" s="16" t="n">
        <v>37824</v>
      </c>
      <c r="M313" s="16" t="n">
        <v>45383</v>
      </c>
      <c r="N313" s="6" t="s">
        <v>10886</v>
      </c>
      <c r="O313" s="16" t="n">
        <v>37824</v>
      </c>
      <c r="P313" s="6" t="s">
        <v>11099</v>
      </c>
      <c r="Q313" s="6" t="s">
        <v>81</v>
      </c>
      <c r="R313" s="6" t="s">
        <v>6170</v>
      </c>
      <c r="S313" s="6" t="s">
        <v>10886</v>
      </c>
      <c r="T313" s="16" t="n">
        <v>37824</v>
      </c>
      <c r="U313" s="6" t="s">
        <v>13173</v>
      </c>
      <c r="V313" s="6" t="s">
        <v>81</v>
      </c>
      <c r="W313" s="6" t="s">
        <v>6170</v>
      </c>
      <c r="X313" s="6" t="s">
        <v>81</v>
      </c>
      <c r="Y313" s="21" t="s">
        <v>81</v>
      </c>
      <c r="Z313" s="6" t="s">
        <v>81</v>
      </c>
      <c r="AA313" s="6" t="s">
        <v>81</v>
      </c>
      <c r="AB313" s="6" t="s">
        <v>81</v>
      </c>
      <c r="AC313" s="6" t="s">
        <v>81</v>
      </c>
      <c r="AD313" s="21" t="s">
        <v>81</v>
      </c>
      <c r="AE313" s="6" t="s">
        <v>81</v>
      </c>
      <c r="AF313" s="6" t="s">
        <v>81</v>
      </c>
      <c r="AG313" s="6" t="s">
        <v>81</v>
      </c>
      <c r="AH313" s="6" t="s">
        <v>14913</v>
      </c>
      <c r="AI313" s="6" t="s">
        <v>81</v>
      </c>
      <c r="AJ313" s="6" t="s">
        <v>17503</v>
      </c>
      <c r="AK313" s="6" t="s">
        <v>18377</v>
      </c>
      <c r="AL313" s="6" t="s">
        <v>18444</v>
      </c>
      <c r="AM313" s="6" t="s">
        <v>18664</v>
      </c>
      <c r="AN313" s="6" t="s">
        <v>19643</v>
      </c>
      <c r="AO313" s="6" t="s">
        <v>19730</v>
      </c>
      <c r="AP313" s="6" t="s">
        <v>81</v>
      </c>
      <c r="AQ313" s="6" t="s">
        <v>81</v>
      </c>
      <c r="AR313" s="6" t="s">
        <v>81</v>
      </c>
      <c r="AS313" s="6" t="s">
        <v>81</v>
      </c>
      <c r="AT313" s="6" t="s">
        <v>81</v>
      </c>
      <c r="AU313" s="6" t="s">
        <v>81</v>
      </c>
      <c r="AV313" s="6" t="s">
        <v>81</v>
      </c>
      <c r="AW313" s="6" t="s">
        <v>81</v>
      </c>
      <c r="AX313" s="6" t="s">
        <v>81</v>
      </c>
      <c r="AY313" s="6" t="s">
        <v>81</v>
      </c>
      <c r="AZ313" s="6" t="s">
        <v>81</v>
      </c>
      <c r="BA313" s="6" t="s">
        <v>23824</v>
      </c>
      <c r="BB313" s="24" t="n">
        <v>223</v>
      </c>
      <c r="BC313" s="26"/>
      <c r="BD313" s="26"/>
      <c r="BE313" s="26"/>
      <c r="BF313" s="26" t="s">
        <v>23900</v>
      </c>
      <c r="BG313" s="26"/>
      <c r="BH313" s="26"/>
      <c r="BI313" s="26"/>
      <c r="BJ313" s="26"/>
      <c r="BK313" s="26"/>
      <c r="BL313" s="26"/>
      <c r="BM313" s="26"/>
      <c r="BN313" s="26"/>
      <c r="BO313" s="26"/>
      <c r="BP313" s="16" t="n">
        <v>45383</v>
      </c>
      <c r="BQ313" s="28" t="str">
        <f>HYPERLINK("https://organic.ams.usda.gov/Integrity/Certificate.aspx?cid=45&amp;nopid=9950001399")</f>
        <v>https://organic.ams.usda.gov/Integrity/Certificate.aspx?cid=45&amp;nopid=9950001399</v>
      </c>
    </row>
    <row r="314">
      <c r="A314" t="s">
        <v>3</v>
      </c>
      <c r="B314" s="6" t="s">
        <v>16</v>
      </c>
      <c r="C314" s="6" t="s">
        <v>63</v>
      </c>
      <c r="D314" s="6" t="s">
        <v>109</v>
      </c>
      <c r="E314" s="10" t="s">
        <v>455</v>
      </c>
      <c r="F314" s="6" t="s">
        <v>3190</v>
      </c>
      <c r="G314" s="6" t="s">
        <v>81</v>
      </c>
      <c r="H314" s="6" t="s">
        <v>6171</v>
      </c>
      <c r="I314" s="6" t="s">
        <v>8578</v>
      </c>
      <c r="J314" s="6" t="s">
        <v>9843</v>
      </c>
      <c r="K314" s="6" t="s">
        <v>10886</v>
      </c>
      <c r="L314" s="16" t="n">
        <v>42243</v>
      </c>
      <c r="M314" s="16" t="n">
        <v>45731</v>
      </c>
      <c r="N314" s="6" t="s">
        <v>10886</v>
      </c>
      <c r="O314" s="16" t="n">
        <v>42243</v>
      </c>
      <c r="P314" s="6" t="s">
        <v>11100</v>
      </c>
      <c r="Q314" s="6" t="s">
        <v>81</v>
      </c>
      <c r="R314" s="6" t="s">
        <v>81</v>
      </c>
      <c r="S314" s="6" t="s">
        <v>10886</v>
      </c>
      <c r="T314" s="16" t="n">
        <v>42243</v>
      </c>
      <c r="U314" s="6" t="s">
        <v>13281</v>
      </c>
      <c r="V314" s="6" t="s">
        <v>81</v>
      </c>
      <c r="W314" s="6" t="s">
        <v>81</v>
      </c>
      <c r="X314" s="6" t="s">
        <v>81</v>
      </c>
      <c r="Y314" s="21" t="s">
        <v>81</v>
      </c>
      <c r="Z314" s="6" t="s">
        <v>81</v>
      </c>
      <c r="AA314" s="6" t="s">
        <v>81</v>
      </c>
      <c r="AB314" s="6" t="s">
        <v>81</v>
      </c>
      <c r="AC314" s="6" t="s">
        <v>10886</v>
      </c>
      <c r="AD314" s="16" t="n">
        <v>42243</v>
      </c>
      <c r="AE314" s="6" t="s">
        <v>81</v>
      </c>
      <c r="AF314" s="6" t="s">
        <v>81</v>
      </c>
      <c r="AG314" s="6" t="s">
        <v>81</v>
      </c>
      <c r="AH314" s="6" t="s">
        <v>14914</v>
      </c>
      <c r="AI314" s="6" t="s">
        <v>81</v>
      </c>
      <c r="AJ314" s="6" t="s">
        <v>17517</v>
      </c>
      <c r="AK314" s="6" t="s">
        <v>18383</v>
      </c>
      <c r="AL314" s="6" t="s">
        <v>18444</v>
      </c>
      <c r="AM314" s="6" t="s">
        <v>18682</v>
      </c>
      <c r="AN314" s="6" t="s">
        <v>19651</v>
      </c>
      <c r="AO314" s="6" t="s">
        <v>19721</v>
      </c>
      <c r="AP314" s="6" t="s">
        <v>81</v>
      </c>
      <c r="AQ314" s="6" t="s">
        <v>81</v>
      </c>
      <c r="AR314" s="6" t="s">
        <v>81</v>
      </c>
      <c r="AS314" s="6" t="s">
        <v>81</v>
      </c>
      <c r="AT314" s="6" t="s">
        <v>81</v>
      </c>
      <c r="AU314" s="6" t="s">
        <v>81</v>
      </c>
      <c r="AV314" s="6" t="s">
        <v>81</v>
      </c>
      <c r="AW314" s="6" t="s">
        <v>81</v>
      </c>
      <c r="AX314" s="6" t="s">
        <v>20934</v>
      </c>
      <c r="AY314" s="6" t="s">
        <v>81</v>
      </c>
      <c r="AZ314" s="6" t="s">
        <v>81</v>
      </c>
      <c r="BA314" s="6" t="s">
        <v>81</v>
      </c>
      <c r="BB314" s="24" t="n">
        <v>468</v>
      </c>
      <c r="BC314" s="26"/>
      <c r="BD314" s="26"/>
      <c r="BE314" s="26"/>
      <c r="BF314" s="26"/>
      <c r="BG314" s="26"/>
      <c r="BH314" s="26"/>
      <c r="BI314" s="26"/>
      <c r="BJ314" s="26"/>
      <c r="BK314" s="26"/>
      <c r="BL314" s="26"/>
      <c r="BM314" s="26"/>
      <c r="BN314" s="26"/>
      <c r="BO314" s="26"/>
      <c r="BP314" s="16" t="n">
        <v>45701</v>
      </c>
      <c r="BQ314" s="28" t="str">
        <f>HYPERLINK("https://organic.ams.usda.gov/Integrity/Certificate.aspx?cid=81&amp;nopid=4210015040")</f>
        <v>https://organic.ams.usda.gov/Integrity/Certificate.aspx?cid=81&amp;nopid=4210015040</v>
      </c>
    </row>
    <row r="315">
      <c r="A315" t="s">
        <v>3</v>
      </c>
      <c r="B315" s="6" t="s">
        <v>35</v>
      </c>
      <c r="C315" s="6" t="s">
        <v>82</v>
      </c>
      <c r="D315" s="6" t="s">
        <v>127</v>
      </c>
      <c r="E315" s="10" t="s">
        <v>456</v>
      </c>
      <c r="F315" s="6" t="s">
        <v>3191</v>
      </c>
      <c r="G315" s="6" t="s">
        <v>81</v>
      </c>
      <c r="H315" s="6" t="s">
        <v>6172</v>
      </c>
      <c r="I315" s="6" t="s">
        <v>8574</v>
      </c>
      <c r="J315" s="6" t="s">
        <v>9844</v>
      </c>
      <c r="K315" s="6" t="s">
        <v>10886</v>
      </c>
      <c r="L315" s="16" t="n">
        <v>39168</v>
      </c>
      <c r="M315" s="16" t="n">
        <v>46127</v>
      </c>
      <c r="N315" s="6" t="s">
        <v>10886</v>
      </c>
      <c r="O315" s="16" t="n">
        <v>39168</v>
      </c>
      <c r="P315" s="6" t="s">
        <v>11101</v>
      </c>
      <c r="Q315" s="6" t="s">
        <v>81</v>
      </c>
      <c r="R315" s="6" t="s">
        <v>12510</v>
      </c>
      <c r="S315" s="6" t="s">
        <v>10886</v>
      </c>
      <c r="T315" s="16" t="n">
        <v>39168</v>
      </c>
      <c r="U315" s="6" t="s">
        <v>13282</v>
      </c>
      <c r="V315" s="6" t="s">
        <v>81</v>
      </c>
      <c r="W315" s="6" t="s">
        <v>12510</v>
      </c>
      <c r="X315" s="6" t="s">
        <v>81</v>
      </c>
      <c r="Y315" s="21" t="s">
        <v>81</v>
      </c>
      <c r="Z315" s="6" t="s">
        <v>81</v>
      </c>
      <c r="AA315" s="6" t="s">
        <v>81</v>
      </c>
      <c r="AB315" s="6" t="s">
        <v>81</v>
      </c>
      <c r="AC315" s="6" t="s">
        <v>10886</v>
      </c>
      <c r="AD315" s="16" t="n">
        <v>39168</v>
      </c>
      <c r="AE315" s="6" t="s">
        <v>14067</v>
      </c>
      <c r="AF315" s="6" t="s">
        <v>81</v>
      </c>
      <c r="AG315" s="6" t="s">
        <v>12510</v>
      </c>
      <c r="AH315" s="6" t="s">
        <v>14915</v>
      </c>
      <c r="AI315" s="6" t="s">
        <v>81</v>
      </c>
      <c r="AJ315" s="6" t="s">
        <v>10399</v>
      </c>
      <c r="AK315" s="6" t="s">
        <v>18405</v>
      </c>
      <c r="AL315" s="6" t="s">
        <v>18444</v>
      </c>
      <c r="AM315" s="6" t="s">
        <v>8167</v>
      </c>
      <c r="AN315" s="6" t="s">
        <v>19647</v>
      </c>
      <c r="AO315" s="6" t="s">
        <v>19832</v>
      </c>
      <c r="AP315" s="6" t="s">
        <v>20128</v>
      </c>
      <c r="AQ315" s="6" t="s">
        <v>81</v>
      </c>
      <c r="AR315" s="6" t="s">
        <v>10399</v>
      </c>
      <c r="AS315" s="6" t="s">
        <v>18405</v>
      </c>
      <c r="AT315" s="6" t="s">
        <v>18444</v>
      </c>
      <c r="AU315" s="6" t="s">
        <v>8167</v>
      </c>
      <c r="AV315" s="6" t="s">
        <v>81</v>
      </c>
      <c r="AW315" s="6" t="s">
        <v>81</v>
      </c>
      <c r="AX315" s="6" t="s">
        <v>20935</v>
      </c>
      <c r="AY315" s="6" t="s">
        <v>22664</v>
      </c>
      <c r="AZ315" s="6" t="s">
        <v>81</v>
      </c>
      <c r="BA315" s="6" t="s">
        <v>81</v>
      </c>
      <c r="BB315" s="24" t="n">
        <v>145</v>
      </c>
      <c r="BC315" s="26"/>
      <c r="BD315" s="26"/>
      <c r="BE315" s="26"/>
      <c r="BF315" s="26"/>
      <c r="BG315" s="26"/>
      <c r="BH315" s="26"/>
      <c r="BI315" s="26"/>
      <c r="BJ315" s="26"/>
      <c r="BK315" s="26"/>
      <c r="BL315" s="26"/>
      <c r="BM315" s="26"/>
      <c r="BN315" s="26"/>
      <c r="BO315" s="26"/>
      <c r="BP315" s="16" t="n">
        <v>45735</v>
      </c>
      <c r="BQ315" s="28" t="str">
        <f>HYPERLINK("https://organic.ams.usda.gov/Integrity/Certificate.aspx?cid=47&amp;nopid=7142073677")</f>
        <v>https://organic.ams.usda.gov/Integrity/Certificate.aspx?cid=47&amp;nopid=7142073677</v>
      </c>
    </row>
    <row r="316">
      <c r="A316" t="s">
        <v>3</v>
      </c>
      <c r="B316" s="6" t="s">
        <v>36</v>
      </c>
      <c r="C316" s="6" t="s">
        <v>83</v>
      </c>
      <c r="D316" s="6" t="s">
        <v>128</v>
      </c>
      <c r="E316" s="10" t="s">
        <v>457</v>
      </c>
      <c r="F316" s="6" t="s">
        <v>3192</v>
      </c>
      <c r="G316" s="6" t="s">
        <v>81</v>
      </c>
      <c r="H316" s="6" t="s">
        <v>6173</v>
      </c>
      <c r="I316" s="6" t="s">
        <v>8579</v>
      </c>
      <c r="J316" s="6" t="s">
        <v>9704</v>
      </c>
      <c r="K316" s="6" t="s">
        <v>10886</v>
      </c>
      <c r="L316" s="16" t="n">
        <v>45399</v>
      </c>
      <c r="M316" s="16" t="n">
        <v>45777</v>
      </c>
      <c r="N316" s="6" t="s">
        <v>81</v>
      </c>
      <c r="O316" s="21" t="s">
        <v>81</v>
      </c>
      <c r="P316" s="6" t="s">
        <v>81</v>
      </c>
      <c r="Q316" s="6" t="s">
        <v>81</v>
      </c>
      <c r="R316" s="6" t="s">
        <v>81</v>
      </c>
      <c r="S316" s="6" t="s">
        <v>81</v>
      </c>
      <c r="T316" s="21" t="s">
        <v>81</v>
      </c>
      <c r="U316" s="6" t="s">
        <v>81</v>
      </c>
      <c r="V316" s="6" t="s">
        <v>81</v>
      </c>
      <c r="W316" s="6" t="s">
        <v>81</v>
      </c>
      <c r="X316" s="6" t="s">
        <v>81</v>
      </c>
      <c r="Y316" s="21" t="s">
        <v>81</v>
      </c>
      <c r="Z316" s="6" t="s">
        <v>81</v>
      </c>
      <c r="AA316" s="6" t="s">
        <v>81</v>
      </c>
      <c r="AB316" s="6" t="s">
        <v>81</v>
      </c>
      <c r="AC316" s="6" t="s">
        <v>10886</v>
      </c>
      <c r="AD316" s="16" t="n">
        <v>45399</v>
      </c>
      <c r="AE316" s="6" t="s">
        <v>14068</v>
      </c>
      <c r="AF316" s="6" t="s">
        <v>81</v>
      </c>
      <c r="AG316" s="6" t="s">
        <v>6173</v>
      </c>
      <c r="AH316" s="6" t="s">
        <v>14916</v>
      </c>
      <c r="AI316" s="6" t="s">
        <v>81</v>
      </c>
      <c r="AJ316" s="6" t="s">
        <v>17518</v>
      </c>
      <c r="AK316" s="6" t="s">
        <v>18395</v>
      </c>
      <c r="AL316" s="6" t="s">
        <v>18444</v>
      </c>
      <c r="AM316" s="6" t="s">
        <v>18683</v>
      </c>
      <c r="AN316" s="6" t="s">
        <v>81</v>
      </c>
      <c r="AO316" s="6" t="s">
        <v>81</v>
      </c>
      <c r="AP316" s="6" t="s">
        <v>20129</v>
      </c>
      <c r="AQ316" s="6" t="s">
        <v>81</v>
      </c>
      <c r="AR316" s="6" t="s">
        <v>17518</v>
      </c>
      <c r="AS316" s="6" t="s">
        <v>18395</v>
      </c>
      <c r="AT316" s="6" t="s">
        <v>18444</v>
      </c>
      <c r="AU316" s="6" t="s">
        <v>18683</v>
      </c>
      <c r="AV316" s="6" t="s">
        <v>81</v>
      </c>
      <c r="AW316" s="6" t="s">
        <v>81</v>
      </c>
      <c r="AX316" s="6" t="s">
        <v>20936</v>
      </c>
      <c r="AY316" s="6" t="s">
        <v>22665</v>
      </c>
      <c r="AZ316" s="6" t="s">
        <v>81</v>
      </c>
      <c r="BA316" s="6" t="s">
        <v>81</v>
      </c>
      <c r="BB316" s="6" t="s">
        <v>81</v>
      </c>
      <c r="BC316" s="26"/>
      <c r="BD316" s="26"/>
      <c r="BE316" s="26"/>
      <c r="BF316" s="26"/>
      <c r="BG316" s="26" t="s">
        <v>23900</v>
      </c>
      <c r="BH316" s="26"/>
      <c r="BI316" s="26"/>
      <c r="BJ316" s="26"/>
      <c r="BK316" s="26"/>
      <c r="BL316" s="26"/>
      <c r="BM316" s="26"/>
      <c r="BN316" s="26"/>
      <c r="BO316" s="26"/>
      <c r="BP316" s="16" t="n">
        <v>45399</v>
      </c>
      <c r="BQ316" s="28" t="str">
        <f>HYPERLINK("https://organic.ams.usda.gov/Integrity/Certificate.aspx?cid=77&amp;nopid=3510926062")</f>
        <v>https://organic.ams.usda.gov/Integrity/Certificate.aspx?cid=77&amp;nopid=3510926062</v>
      </c>
    </row>
    <row r="317">
      <c r="A317" t="s">
        <v>3</v>
      </c>
      <c r="B317" s="6" t="s">
        <v>21</v>
      </c>
      <c r="C317" s="6" t="s">
        <v>68</v>
      </c>
      <c r="D317" s="6" t="s">
        <v>114</v>
      </c>
      <c r="E317" s="10" t="s">
        <v>458</v>
      </c>
      <c r="F317" s="6" t="s">
        <v>3193</v>
      </c>
      <c r="G317" s="6" t="s">
        <v>81</v>
      </c>
      <c r="H317" s="6" t="s">
        <v>6174</v>
      </c>
      <c r="I317" s="6" t="s">
        <v>8580</v>
      </c>
      <c r="J317" s="6" t="s">
        <v>9845</v>
      </c>
      <c r="K317" s="6" t="s">
        <v>10886</v>
      </c>
      <c r="L317" s="16" t="n">
        <v>41257</v>
      </c>
      <c r="M317" s="16" t="n">
        <v>46023</v>
      </c>
      <c r="N317" s="6" t="s">
        <v>81</v>
      </c>
      <c r="O317" s="21" t="s">
        <v>81</v>
      </c>
      <c r="P317" s="6" t="s">
        <v>81</v>
      </c>
      <c r="Q317" s="6" t="s">
        <v>81</v>
      </c>
      <c r="R317" s="6" t="s">
        <v>81</v>
      </c>
      <c r="S317" s="6" t="s">
        <v>81</v>
      </c>
      <c r="T317" s="21" t="s">
        <v>81</v>
      </c>
      <c r="U317" s="6" t="s">
        <v>81</v>
      </c>
      <c r="V317" s="6" t="s">
        <v>81</v>
      </c>
      <c r="W317" s="6" t="s">
        <v>81</v>
      </c>
      <c r="X317" s="6" t="s">
        <v>81</v>
      </c>
      <c r="Y317" s="21" t="s">
        <v>81</v>
      </c>
      <c r="Z317" s="6" t="s">
        <v>81</v>
      </c>
      <c r="AA317" s="6" t="s">
        <v>81</v>
      </c>
      <c r="AB317" s="6" t="s">
        <v>81</v>
      </c>
      <c r="AC317" s="6" t="s">
        <v>10886</v>
      </c>
      <c r="AD317" s="16" t="n">
        <v>41257</v>
      </c>
      <c r="AE317" s="6" t="s">
        <v>14069</v>
      </c>
      <c r="AF317" s="6" t="s">
        <v>81</v>
      </c>
      <c r="AG317" s="6" t="s">
        <v>81</v>
      </c>
      <c r="AH317" s="6" t="s">
        <v>81</v>
      </c>
      <c r="AI317" s="6" t="s">
        <v>81</v>
      </c>
      <c r="AJ317" s="6" t="s">
        <v>81</v>
      </c>
      <c r="AK317" s="6" t="s">
        <v>81</v>
      </c>
      <c r="AL317" s="6" t="s">
        <v>81</v>
      </c>
      <c r="AM317" s="6" t="s">
        <v>81</v>
      </c>
      <c r="AN317" s="6" t="s">
        <v>81</v>
      </c>
      <c r="AO317" s="6" t="s">
        <v>81</v>
      </c>
      <c r="AP317" s="6" t="s">
        <v>20130</v>
      </c>
      <c r="AQ317" s="6" t="s">
        <v>81</v>
      </c>
      <c r="AR317" s="6" t="s">
        <v>17908</v>
      </c>
      <c r="AS317" s="6" t="s">
        <v>18386</v>
      </c>
      <c r="AT317" s="6" t="s">
        <v>18444</v>
      </c>
      <c r="AU317" s="6" t="s">
        <v>20613</v>
      </c>
      <c r="AV317" s="6" t="s">
        <v>19704</v>
      </c>
      <c r="AW317" s="6" t="s">
        <v>19928</v>
      </c>
      <c r="AX317" s="6" t="s">
        <v>20937</v>
      </c>
      <c r="AY317" s="6" t="s">
        <v>22568</v>
      </c>
      <c r="AZ317" s="6" t="s">
        <v>81</v>
      </c>
      <c r="BA317" s="6" t="s">
        <v>81</v>
      </c>
      <c r="BB317" s="6" t="s">
        <v>81</v>
      </c>
      <c r="BC317" s="26"/>
      <c r="BD317" s="26"/>
      <c r="BE317" s="26"/>
      <c r="BF317" s="26"/>
      <c r="BG317" s="26"/>
      <c r="BH317" s="26"/>
      <c r="BI317" s="26"/>
      <c r="BJ317" s="26"/>
      <c r="BK317" s="26"/>
      <c r="BL317" s="26"/>
      <c r="BM317" s="26"/>
      <c r="BN317" s="26"/>
      <c r="BO317" s="26"/>
      <c r="BP317" s="16" t="n">
        <v>45644</v>
      </c>
      <c r="BQ317" s="28" t="str">
        <f>HYPERLINK("https://organic.ams.usda.gov/Integrity/Certificate.aspx?cid=62&amp;nopid=8150001028")</f>
        <v>https://organic.ams.usda.gov/Integrity/Certificate.aspx?cid=62&amp;nopid=8150001028</v>
      </c>
    </row>
    <row r="318">
      <c r="A318" t="s">
        <v>3</v>
      </c>
      <c r="B318" s="6" t="s">
        <v>7</v>
      </c>
      <c r="C318" s="6" t="s">
        <v>54</v>
      </c>
      <c r="D318" s="6" t="s">
        <v>100</v>
      </c>
      <c r="E318" s="10" t="s">
        <v>459</v>
      </c>
      <c r="F318" s="6" t="s">
        <v>3194</v>
      </c>
      <c r="G318" s="6" t="s">
        <v>81</v>
      </c>
      <c r="H318" s="6" t="s">
        <v>6175</v>
      </c>
      <c r="I318" s="6" t="s">
        <v>8581</v>
      </c>
      <c r="J318" s="6" t="s">
        <v>9735</v>
      </c>
      <c r="K318" s="6" t="s">
        <v>10886</v>
      </c>
      <c r="L318" s="16" t="n">
        <v>39968</v>
      </c>
      <c r="M318" s="16" t="n">
        <v>45716</v>
      </c>
      <c r="N318" s="6" t="s">
        <v>10886</v>
      </c>
      <c r="O318" s="16" t="n">
        <v>39968</v>
      </c>
      <c r="P318" s="6" t="s">
        <v>10910</v>
      </c>
      <c r="Q318" s="6" t="s">
        <v>81</v>
      </c>
      <c r="R318" s="6" t="s">
        <v>81</v>
      </c>
      <c r="S318" s="6" t="s">
        <v>10886</v>
      </c>
      <c r="T318" s="16" t="n">
        <v>39968</v>
      </c>
      <c r="U318" s="6" t="s">
        <v>13160</v>
      </c>
      <c r="V318" s="6" t="s">
        <v>81</v>
      </c>
      <c r="W318" s="6" t="s">
        <v>81</v>
      </c>
      <c r="X318" s="6" t="s">
        <v>81</v>
      </c>
      <c r="Y318" s="21" t="s">
        <v>81</v>
      </c>
      <c r="Z318" s="6" t="s">
        <v>81</v>
      </c>
      <c r="AA318" s="6" t="s">
        <v>81</v>
      </c>
      <c r="AB318" s="6" t="s">
        <v>81</v>
      </c>
      <c r="AC318" s="6" t="s">
        <v>81</v>
      </c>
      <c r="AD318" s="21" t="s">
        <v>81</v>
      </c>
      <c r="AE318" s="6" t="s">
        <v>81</v>
      </c>
      <c r="AF318" s="6" t="s">
        <v>81</v>
      </c>
      <c r="AG318" s="6" t="s">
        <v>81</v>
      </c>
      <c r="AH318" s="6" t="s">
        <v>14917</v>
      </c>
      <c r="AI318" s="6" t="s">
        <v>81</v>
      </c>
      <c r="AJ318" s="6" t="s">
        <v>17519</v>
      </c>
      <c r="AK318" s="6" t="s">
        <v>17712</v>
      </c>
      <c r="AL318" s="6" t="s">
        <v>18444</v>
      </c>
      <c r="AM318" s="6" t="s">
        <v>18684</v>
      </c>
      <c r="AN318" s="6" t="s">
        <v>19653</v>
      </c>
      <c r="AO318" s="6" t="s">
        <v>19744</v>
      </c>
      <c r="AP318" s="6" t="s">
        <v>14917</v>
      </c>
      <c r="AQ318" s="6" t="s">
        <v>81</v>
      </c>
      <c r="AR318" s="6" t="s">
        <v>17519</v>
      </c>
      <c r="AS318" s="6" t="s">
        <v>17712</v>
      </c>
      <c r="AT318" s="6" t="s">
        <v>18444</v>
      </c>
      <c r="AU318" s="6" t="s">
        <v>18684</v>
      </c>
      <c r="AV318" s="6" t="s">
        <v>81</v>
      </c>
      <c r="AW318" s="6" t="s">
        <v>81</v>
      </c>
      <c r="AX318" s="6" t="s">
        <v>20938</v>
      </c>
      <c r="AY318" s="6" t="s">
        <v>81</v>
      </c>
      <c r="AZ318" s="6" t="s">
        <v>81</v>
      </c>
      <c r="BA318" s="6" t="s">
        <v>81</v>
      </c>
      <c r="BB318" s="24" t="n">
        <v>209</v>
      </c>
      <c r="BC318" s="26"/>
      <c r="BD318" s="26"/>
      <c r="BE318" s="26"/>
      <c r="BF318" s="26" t="s">
        <v>23900</v>
      </c>
      <c r="BG318" s="26"/>
      <c r="BH318" s="26"/>
      <c r="BI318" s="26"/>
      <c r="BJ318" s="26"/>
      <c r="BK318" s="26"/>
      <c r="BL318" s="26"/>
      <c r="BM318" s="26"/>
      <c r="BN318" s="26"/>
      <c r="BO318" s="26"/>
      <c r="BP318" s="16" t="n">
        <v>45595</v>
      </c>
      <c r="BQ318" s="28" t="str">
        <f>HYPERLINK("https://organic.ams.usda.gov/Integrity/Certificate.aspx?cid=57&amp;nopid=3252009030")</f>
        <v>https://organic.ams.usda.gov/Integrity/Certificate.aspx?cid=57&amp;nopid=3252009030</v>
      </c>
    </row>
    <row r="319">
      <c r="A319" t="s">
        <v>3</v>
      </c>
      <c r="B319" s="6" t="s">
        <v>7</v>
      </c>
      <c r="C319" s="6" t="s">
        <v>54</v>
      </c>
      <c r="D319" s="6" t="s">
        <v>100</v>
      </c>
      <c r="E319" s="10" t="s">
        <v>460</v>
      </c>
      <c r="F319" s="6" t="s">
        <v>3195</v>
      </c>
      <c r="G319" s="6" t="s">
        <v>81</v>
      </c>
      <c r="H319" s="6" t="s">
        <v>6176</v>
      </c>
      <c r="I319" s="6" t="s">
        <v>8570</v>
      </c>
      <c r="J319" s="6" t="s">
        <v>9735</v>
      </c>
      <c r="K319" s="6" t="s">
        <v>10886</v>
      </c>
      <c r="L319" s="16" t="n">
        <v>42984</v>
      </c>
      <c r="M319" s="16" t="n">
        <v>45716</v>
      </c>
      <c r="N319" s="6" t="s">
        <v>10886</v>
      </c>
      <c r="O319" s="16" t="n">
        <v>42984</v>
      </c>
      <c r="P319" s="6" t="s">
        <v>11102</v>
      </c>
      <c r="Q319" s="6" t="s">
        <v>81</v>
      </c>
      <c r="R319" s="6" t="s">
        <v>81</v>
      </c>
      <c r="S319" s="6" t="s">
        <v>10886</v>
      </c>
      <c r="T319" s="16" t="n">
        <v>43648</v>
      </c>
      <c r="U319" s="6" t="s">
        <v>13169</v>
      </c>
      <c r="V319" s="6" t="s">
        <v>81</v>
      </c>
      <c r="W319" s="6" t="s">
        <v>81</v>
      </c>
      <c r="X319" s="6" t="s">
        <v>81</v>
      </c>
      <c r="Y319" s="21" t="s">
        <v>81</v>
      </c>
      <c r="Z319" s="6" t="s">
        <v>81</v>
      </c>
      <c r="AA319" s="6" t="s">
        <v>81</v>
      </c>
      <c r="AB319" s="6" t="s">
        <v>81</v>
      </c>
      <c r="AC319" s="6" t="s">
        <v>81</v>
      </c>
      <c r="AD319" s="21" t="s">
        <v>81</v>
      </c>
      <c r="AE319" s="6" t="s">
        <v>81</v>
      </c>
      <c r="AF319" s="6" t="s">
        <v>81</v>
      </c>
      <c r="AG319" s="6" t="s">
        <v>81</v>
      </c>
      <c r="AH319" s="6" t="s">
        <v>14918</v>
      </c>
      <c r="AI319" s="6" t="s">
        <v>81</v>
      </c>
      <c r="AJ319" s="6" t="s">
        <v>17520</v>
      </c>
      <c r="AK319" s="6" t="s">
        <v>17712</v>
      </c>
      <c r="AL319" s="6" t="s">
        <v>18444</v>
      </c>
      <c r="AM319" s="6" t="s">
        <v>18685</v>
      </c>
      <c r="AN319" s="6" t="s">
        <v>19653</v>
      </c>
      <c r="AO319" s="6" t="s">
        <v>19744</v>
      </c>
      <c r="AP319" s="6" t="s">
        <v>14918</v>
      </c>
      <c r="AQ319" s="6" t="s">
        <v>81</v>
      </c>
      <c r="AR319" s="6" t="s">
        <v>17520</v>
      </c>
      <c r="AS319" s="6" t="s">
        <v>17712</v>
      </c>
      <c r="AT319" s="6" t="s">
        <v>18444</v>
      </c>
      <c r="AU319" s="6" t="s">
        <v>18685</v>
      </c>
      <c r="AV319" s="6" t="s">
        <v>81</v>
      </c>
      <c r="AW319" s="6" t="s">
        <v>81</v>
      </c>
      <c r="AX319" s="6" t="s">
        <v>20939</v>
      </c>
      <c r="AY319" s="6" t="s">
        <v>81</v>
      </c>
      <c r="AZ319" s="6" t="s">
        <v>81</v>
      </c>
      <c r="BA319" s="6" t="s">
        <v>81</v>
      </c>
      <c r="BB319" s="24" t="n">
        <v>1122</v>
      </c>
      <c r="BC319" s="26"/>
      <c r="BD319" s="26"/>
      <c r="BE319" s="26"/>
      <c r="BF319" s="26"/>
      <c r="BG319" s="26"/>
      <c r="BH319" s="26"/>
      <c r="BI319" s="26"/>
      <c r="BJ319" s="26"/>
      <c r="BK319" s="26"/>
      <c r="BL319" s="26"/>
      <c r="BM319" s="26"/>
      <c r="BN319" s="26"/>
      <c r="BO319" s="26"/>
      <c r="BP319" s="16" t="n">
        <v>45595</v>
      </c>
      <c r="BQ319" s="28" t="str">
        <f>HYPERLINK("https://organic.ams.usda.gov/Integrity/Certificate.aspx?cid=57&amp;nopid=3252017126")</f>
        <v>https://organic.ams.usda.gov/Integrity/Certificate.aspx?cid=57&amp;nopid=3252017126</v>
      </c>
    </row>
    <row r="320">
      <c r="A320" t="s">
        <v>3</v>
      </c>
      <c r="B320" s="6" t="s">
        <v>12</v>
      </c>
      <c r="C320" s="6" t="s">
        <v>59</v>
      </c>
      <c r="D320" s="6" t="s">
        <v>105</v>
      </c>
      <c r="E320" s="10" t="s">
        <v>461</v>
      </c>
      <c r="F320" s="6" t="s">
        <v>3196</v>
      </c>
      <c r="G320" s="6" t="s">
        <v>81</v>
      </c>
      <c r="H320" s="6" t="s">
        <v>6177</v>
      </c>
      <c r="I320" s="6" t="s">
        <v>8582</v>
      </c>
      <c r="J320" s="6" t="s">
        <v>9242</v>
      </c>
      <c r="K320" s="6" t="s">
        <v>10886</v>
      </c>
      <c r="L320" s="16" t="n">
        <v>39356</v>
      </c>
      <c r="M320" s="16" t="n">
        <v>45717</v>
      </c>
      <c r="N320" s="6" t="s">
        <v>10886</v>
      </c>
      <c r="O320" s="16" t="n">
        <v>39356</v>
      </c>
      <c r="P320" s="6" t="s">
        <v>11103</v>
      </c>
      <c r="Q320" s="6" t="s">
        <v>81</v>
      </c>
      <c r="R320" s="6" t="s">
        <v>81</v>
      </c>
      <c r="S320" s="6" t="s">
        <v>10886</v>
      </c>
      <c r="T320" s="16" t="n">
        <v>39356</v>
      </c>
      <c r="U320" s="6" t="s">
        <v>13283</v>
      </c>
      <c r="V320" s="6" t="s">
        <v>81</v>
      </c>
      <c r="W320" s="6" t="s">
        <v>81</v>
      </c>
      <c r="X320" s="6" t="s">
        <v>81</v>
      </c>
      <c r="Y320" s="21" t="s">
        <v>81</v>
      </c>
      <c r="Z320" s="6" t="s">
        <v>81</v>
      </c>
      <c r="AA320" s="6" t="s">
        <v>81</v>
      </c>
      <c r="AB320" s="6" t="s">
        <v>81</v>
      </c>
      <c r="AC320" s="6" t="s">
        <v>81</v>
      </c>
      <c r="AD320" s="21" t="s">
        <v>81</v>
      </c>
      <c r="AE320" s="6" t="s">
        <v>81</v>
      </c>
      <c r="AF320" s="6" t="s">
        <v>81</v>
      </c>
      <c r="AG320" s="6" t="s">
        <v>81</v>
      </c>
      <c r="AH320" s="6" t="s">
        <v>14919</v>
      </c>
      <c r="AI320" s="6" t="s">
        <v>81</v>
      </c>
      <c r="AJ320" s="6" t="s">
        <v>17521</v>
      </c>
      <c r="AK320" s="6" t="s">
        <v>18380</v>
      </c>
      <c r="AL320" s="6" t="s">
        <v>18444</v>
      </c>
      <c r="AM320" s="6" t="s">
        <v>18686</v>
      </c>
      <c r="AN320" s="6" t="s">
        <v>19660</v>
      </c>
      <c r="AO320" s="6" t="s">
        <v>19833</v>
      </c>
      <c r="AP320" s="6" t="s">
        <v>14919</v>
      </c>
      <c r="AQ320" s="6" t="s">
        <v>81</v>
      </c>
      <c r="AR320" s="6" t="s">
        <v>17521</v>
      </c>
      <c r="AS320" s="6" t="s">
        <v>18380</v>
      </c>
      <c r="AT320" s="6" t="s">
        <v>18444</v>
      </c>
      <c r="AU320" s="6" t="s">
        <v>18686</v>
      </c>
      <c r="AV320" s="6" t="s">
        <v>81</v>
      </c>
      <c r="AW320" s="6" t="s">
        <v>81</v>
      </c>
      <c r="AX320" s="6" t="s">
        <v>20940</v>
      </c>
      <c r="AY320" s="6" t="s">
        <v>22666</v>
      </c>
      <c r="AZ320" s="6" t="s">
        <v>81</v>
      </c>
      <c r="BA320" s="6" t="s">
        <v>81</v>
      </c>
      <c r="BB320" s="24" t="n">
        <v>669</v>
      </c>
      <c r="BC320" s="26"/>
      <c r="BD320" s="26"/>
      <c r="BE320" s="26"/>
      <c r="BF320" s="26"/>
      <c r="BG320" s="26"/>
      <c r="BH320" s="26"/>
      <c r="BI320" s="26"/>
      <c r="BJ320" s="26"/>
      <c r="BK320" s="26"/>
      <c r="BL320" s="26"/>
      <c r="BM320" s="26"/>
      <c r="BN320" s="26"/>
      <c r="BO320" s="26"/>
      <c r="BP320" s="16" t="n">
        <v>45693</v>
      </c>
      <c r="BQ320" s="28" t="str">
        <f>HYPERLINK("https://organic.ams.usda.gov/Integrity/Certificate.aspx?cid=68&amp;nopid=8210003640")</f>
        <v>https://organic.ams.usda.gov/Integrity/Certificate.aspx?cid=68&amp;nopid=8210003640</v>
      </c>
    </row>
    <row r="321">
      <c r="A321" t="s">
        <v>3</v>
      </c>
      <c r="B321" s="6" t="s">
        <v>7</v>
      </c>
      <c r="C321" s="6" t="s">
        <v>54</v>
      </c>
      <c r="D321" s="6" t="s">
        <v>100</v>
      </c>
      <c r="E321" s="10" t="s">
        <v>462</v>
      </c>
      <c r="F321" s="6" t="s">
        <v>3197</v>
      </c>
      <c r="G321" s="6" t="s">
        <v>81</v>
      </c>
      <c r="H321" s="6" t="s">
        <v>6178</v>
      </c>
      <c r="I321" s="6" t="s">
        <v>8513</v>
      </c>
      <c r="J321" s="6" t="s">
        <v>9846</v>
      </c>
      <c r="K321" s="6" t="s">
        <v>10886</v>
      </c>
      <c r="L321" s="16" t="n">
        <v>42275</v>
      </c>
      <c r="M321" s="16" t="n">
        <v>45716</v>
      </c>
      <c r="N321" s="6" t="s">
        <v>10886</v>
      </c>
      <c r="O321" s="16" t="n">
        <v>42275</v>
      </c>
      <c r="P321" s="6" t="s">
        <v>11104</v>
      </c>
      <c r="Q321" s="6" t="s">
        <v>81</v>
      </c>
      <c r="R321" s="6" t="s">
        <v>81</v>
      </c>
      <c r="S321" s="6" t="s">
        <v>10886</v>
      </c>
      <c r="T321" s="16" t="n">
        <v>42531</v>
      </c>
      <c r="U321" s="6" t="s">
        <v>13284</v>
      </c>
      <c r="V321" s="6" t="s">
        <v>81</v>
      </c>
      <c r="W321" s="6" t="s">
        <v>81</v>
      </c>
      <c r="X321" s="6" t="s">
        <v>81</v>
      </c>
      <c r="Y321" s="21" t="s">
        <v>81</v>
      </c>
      <c r="Z321" s="6" t="s">
        <v>81</v>
      </c>
      <c r="AA321" s="6" t="s">
        <v>81</v>
      </c>
      <c r="AB321" s="6" t="s">
        <v>81</v>
      </c>
      <c r="AC321" s="6" t="s">
        <v>81</v>
      </c>
      <c r="AD321" s="21" t="s">
        <v>81</v>
      </c>
      <c r="AE321" s="6" t="s">
        <v>81</v>
      </c>
      <c r="AF321" s="6" t="s">
        <v>81</v>
      </c>
      <c r="AG321" s="6" t="s">
        <v>81</v>
      </c>
      <c r="AH321" s="6" t="s">
        <v>14920</v>
      </c>
      <c r="AI321" s="6" t="s">
        <v>81</v>
      </c>
      <c r="AJ321" s="6" t="s">
        <v>17522</v>
      </c>
      <c r="AK321" s="6" t="s">
        <v>17712</v>
      </c>
      <c r="AL321" s="6" t="s">
        <v>18444</v>
      </c>
      <c r="AM321" s="6" t="s">
        <v>7783</v>
      </c>
      <c r="AN321" s="6" t="s">
        <v>19665</v>
      </c>
      <c r="AO321" s="6" t="s">
        <v>19834</v>
      </c>
      <c r="AP321" s="6" t="s">
        <v>14920</v>
      </c>
      <c r="AQ321" s="6" t="s">
        <v>81</v>
      </c>
      <c r="AR321" s="6" t="s">
        <v>17522</v>
      </c>
      <c r="AS321" s="6" t="s">
        <v>17712</v>
      </c>
      <c r="AT321" s="6" t="s">
        <v>18444</v>
      </c>
      <c r="AU321" s="6" t="s">
        <v>7783</v>
      </c>
      <c r="AV321" s="6" t="s">
        <v>81</v>
      </c>
      <c r="AW321" s="6" t="s">
        <v>81</v>
      </c>
      <c r="AX321" s="6" t="s">
        <v>20941</v>
      </c>
      <c r="AY321" s="6" t="s">
        <v>81</v>
      </c>
      <c r="AZ321" s="6" t="s">
        <v>81</v>
      </c>
      <c r="BA321" s="6" t="s">
        <v>81</v>
      </c>
      <c r="BB321" s="24" t="n">
        <v>411</v>
      </c>
      <c r="BC321" s="26"/>
      <c r="BD321" s="26"/>
      <c r="BE321" s="26"/>
      <c r="BF321" s="26"/>
      <c r="BG321" s="26"/>
      <c r="BH321" s="26"/>
      <c r="BI321" s="26"/>
      <c r="BJ321" s="26"/>
      <c r="BK321" s="26"/>
      <c r="BL321" s="26"/>
      <c r="BM321" s="26"/>
      <c r="BN321" s="26"/>
      <c r="BO321" s="26"/>
      <c r="BP321" s="16" t="n">
        <v>45595</v>
      </c>
      <c r="BQ321" s="28" t="str">
        <f>HYPERLINK("https://organic.ams.usda.gov/Integrity/Certificate.aspx?cid=57&amp;nopid=3252015095")</f>
        <v>https://organic.ams.usda.gov/Integrity/Certificate.aspx?cid=57&amp;nopid=3252015095</v>
      </c>
    </row>
    <row r="322">
      <c r="A322" t="s">
        <v>3</v>
      </c>
      <c r="B322" s="6" t="s">
        <v>25</v>
      </c>
      <c r="C322" s="6" t="s">
        <v>72</v>
      </c>
      <c r="D322" s="6" t="s">
        <v>118</v>
      </c>
      <c r="E322" s="10" t="s">
        <v>463</v>
      </c>
      <c r="F322" s="6" t="s">
        <v>3198</v>
      </c>
      <c r="G322" s="6" t="s">
        <v>81</v>
      </c>
      <c r="H322" s="6" t="s">
        <v>6179</v>
      </c>
      <c r="I322" s="6" t="s">
        <v>8583</v>
      </c>
      <c r="J322" s="6" t="s">
        <v>9847</v>
      </c>
      <c r="K322" s="6" t="s">
        <v>10886</v>
      </c>
      <c r="L322" s="16" t="n">
        <v>42303</v>
      </c>
      <c r="M322" s="16" t="n">
        <v>46023</v>
      </c>
      <c r="N322" s="6" t="s">
        <v>81</v>
      </c>
      <c r="O322" s="21" t="s">
        <v>81</v>
      </c>
      <c r="P322" s="6" t="s">
        <v>81</v>
      </c>
      <c r="Q322" s="6" t="s">
        <v>81</v>
      </c>
      <c r="R322" s="6" t="s">
        <v>81</v>
      </c>
      <c r="S322" s="6" t="s">
        <v>81</v>
      </c>
      <c r="T322" s="21" t="s">
        <v>81</v>
      </c>
      <c r="U322" s="6" t="s">
        <v>81</v>
      </c>
      <c r="V322" s="6" t="s">
        <v>81</v>
      </c>
      <c r="W322" s="6" t="s">
        <v>81</v>
      </c>
      <c r="X322" s="6" t="s">
        <v>81</v>
      </c>
      <c r="Y322" s="21" t="s">
        <v>81</v>
      </c>
      <c r="Z322" s="6" t="s">
        <v>81</v>
      </c>
      <c r="AA322" s="6" t="s">
        <v>81</v>
      </c>
      <c r="AB322" s="6" t="s">
        <v>81</v>
      </c>
      <c r="AC322" s="6" t="s">
        <v>10886</v>
      </c>
      <c r="AD322" s="16" t="n">
        <v>42303</v>
      </c>
      <c r="AE322" s="6" t="s">
        <v>14070</v>
      </c>
      <c r="AF322" s="6" t="s">
        <v>81</v>
      </c>
      <c r="AG322" s="6" t="s">
        <v>81</v>
      </c>
      <c r="AH322" s="6" t="s">
        <v>14921</v>
      </c>
      <c r="AI322" s="6" t="s">
        <v>81</v>
      </c>
      <c r="AJ322" s="6" t="s">
        <v>8931</v>
      </c>
      <c r="AK322" s="6" t="s">
        <v>18379</v>
      </c>
      <c r="AL322" s="6" t="s">
        <v>18444</v>
      </c>
      <c r="AM322" s="6" t="s">
        <v>18687</v>
      </c>
      <c r="AN322" s="6" t="s">
        <v>19670</v>
      </c>
      <c r="AO322" s="6" t="s">
        <v>19835</v>
      </c>
      <c r="AP322" s="6" t="s">
        <v>14921</v>
      </c>
      <c r="AQ322" s="6" t="s">
        <v>81</v>
      </c>
      <c r="AR322" s="6" t="s">
        <v>8931</v>
      </c>
      <c r="AS322" s="6" t="s">
        <v>18379</v>
      </c>
      <c r="AT322" s="6" t="s">
        <v>18444</v>
      </c>
      <c r="AU322" s="6" t="s">
        <v>18687</v>
      </c>
      <c r="AV322" s="6" t="s">
        <v>81</v>
      </c>
      <c r="AW322" s="6" t="s">
        <v>81</v>
      </c>
      <c r="AX322" s="6" t="s">
        <v>20942</v>
      </c>
      <c r="AY322" s="6" t="s">
        <v>22667</v>
      </c>
      <c r="AZ322" s="6" t="s">
        <v>23599</v>
      </c>
      <c r="BA322" s="6" t="s">
        <v>23834</v>
      </c>
      <c r="BB322" s="6" t="s">
        <v>81</v>
      </c>
      <c r="BC322" s="26"/>
      <c r="BD322" s="26"/>
      <c r="BE322" s="26"/>
      <c r="BF322" s="26"/>
      <c r="BG322" s="26"/>
      <c r="BH322" s="26"/>
      <c r="BI322" s="26"/>
      <c r="BJ322" s="26"/>
      <c r="BK322" s="26"/>
      <c r="BL322" s="26"/>
      <c r="BM322" s="26"/>
      <c r="BN322" s="26"/>
      <c r="BO322" s="26"/>
      <c r="BP322" s="16" t="n">
        <v>45679</v>
      </c>
      <c r="BQ322" s="28" t="str">
        <f>HYPERLINK("https://organic.ams.usda.gov/Integrity/Certificate.aspx?cid=15&amp;nopid=5561001943")</f>
        <v>https://organic.ams.usda.gov/Integrity/Certificate.aspx?cid=15&amp;nopid=5561001943</v>
      </c>
    </row>
    <row r="323">
      <c r="A323" t="s">
        <v>3</v>
      </c>
      <c r="B323" s="6" t="s">
        <v>8</v>
      </c>
      <c r="C323" s="6" t="s">
        <v>55</v>
      </c>
      <c r="D323" s="6" t="s">
        <v>101</v>
      </c>
      <c r="E323" s="10" t="s">
        <v>464</v>
      </c>
      <c r="F323" s="6" t="s">
        <v>3199</v>
      </c>
      <c r="G323" s="6" t="s">
        <v>81</v>
      </c>
      <c r="H323" s="6" t="s">
        <v>6180</v>
      </c>
      <c r="I323" s="6" t="s">
        <v>8584</v>
      </c>
      <c r="J323" s="6" t="s">
        <v>9848</v>
      </c>
      <c r="K323" s="6" t="s">
        <v>10886</v>
      </c>
      <c r="L323" s="16" t="n">
        <v>42752</v>
      </c>
      <c r="M323" s="16" t="n">
        <v>45383</v>
      </c>
      <c r="N323" s="6" t="s">
        <v>10886</v>
      </c>
      <c r="O323" s="16" t="n">
        <v>42752</v>
      </c>
      <c r="P323" s="6" t="s">
        <v>10907</v>
      </c>
      <c r="Q323" s="6" t="s">
        <v>81</v>
      </c>
      <c r="R323" s="6" t="s">
        <v>6180</v>
      </c>
      <c r="S323" s="6" t="s">
        <v>10886</v>
      </c>
      <c r="T323" s="16" t="n">
        <v>42752</v>
      </c>
      <c r="U323" s="6" t="s">
        <v>13242</v>
      </c>
      <c r="V323" s="6" t="s">
        <v>81</v>
      </c>
      <c r="W323" s="6" t="s">
        <v>6180</v>
      </c>
      <c r="X323" s="6" t="s">
        <v>81</v>
      </c>
      <c r="Y323" s="21" t="s">
        <v>81</v>
      </c>
      <c r="Z323" s="6" t="s">
        <v>81</v>
      </c>
      <c r="AA323" s="6" t="s">
        <v>81</v>
      </c>
      <c r="AB323" s="6" t="s">
        <v>81</v>
      </c>
      <c r="AC323" s="6" t="s">
        <v>81</v>
      </c>
      <c r="AD323" s="21" t="s">
        <v>81</v>
      </c>
      <c r="AE323" s="6" t="s">
        <v>81</v>
      </c>
      <c r="AF323" s="6" t="s">
        <v>81</v>
      </c>
      <c r="AG323" s="6" t="s">
        <v>81</v>
      </c>
      <c r="AH323" s="6" t="s">
        <v>14922</v>
      </c>
      <c r="AI323" s="6" t="s">
        <v>81</v>
      </c>
      <c r="AJ323" s="6" t="s">
        <v>17523</v>
      </c>
      <c r="AK323" s="6" t="s">
        <v>18381</v>
      </c>
      <c r="AL323" s="6" t="s">
        <v>18444</v>
      </c>
      <c r="AM323" s="6" t="s">
        <v>18688</v>
      </c>
      <c r="AN323" s="6" t="s">
        <v>19672</v>
      </c>
      <c r="AO323" s="6" t="s">
        <v>19836</v>
      </c>
      <c r="AP323" s="6" t="s">
        <v>81</v>
      </c>
      <c r="AQ323" s="6" t="s">
        <v>81</v>
      </c>
      <c r="AR323" s="6" t="s">
        <v>81</v>
      </c>
      <c r="AS323" s="6" t="s">
        <v>81</v>
      </c>
      <c r="AT323" s="6" t="s">
        <v>81</v>
      </c>
      <c r="AU323" s="6" t="s">
        <v>81</v>
      </c>
      <c r="AV323" s="6" t="s">
        <v>81</v>
      </c>
      <c r="AW323" s="6" t="s">
        <v>81</v>
      </c>
      <c r="AX323" s="6" t="s">
        <v>81</v>
      </c>
      <c r="AY323" s="6" t="s">
        <v>81</v>
      </c>
      <c r="AZ323" s="6" t="s">
        <v>81</v>
      </c>
      <c r="BA323" s="6" t="s">
        <v>23819</v>
      </c>
      <c r="BB323" s="24" t="n">
        <v>225</v>
      </c>
      <c r="BC323" s="26"/>
      <c r="BD323" s="26"/>
      <c r="BE323" s="26"/>
      <c r="BF323" s="26" t="s">
        <v>23900</v>
      </c>
      <c r="BG323" s="26"/>
      <c r="BH323" s="26"/>
      <c r="BI323" s="26"/>
      <c r="BJ323" s="26"/>
      <c r="BK323" s="26"/>
      <c r="BL323" s="26"/>
      <c r="BM323" s="26"/>
      <c r="BN323" s="26"/>
      <c r="BO323" s="26"/>
      <c r="BP323" s="16" t="n">
        <v>45373</v>
      </c>
      <c r="BQ323" s="28" t="str">
        <f>HYPERLINK("https://organic.ams.usda.gov/Integrity/Certificate.aspx?cid=45&amp;nopid=9950009300")</f>
        <v>https://organic.ams.usda.gov/Integrity/Certificate.aspx?cid=45&amp;nopid=9950009300</v>
      </c>
    </row>
    <row r="324">
      <c r="A324" t="s">
        <v>3</v>
      </c>
      <c r="B324" s="6" t="s">
        <v>28</v>
      </c>
      <c r="C324" s="6" t="s">
        <v>75</v>
      </c>
      <c r="D324" s="6" t="s">
        <v>121</v>
      </c>
      <c r="E324" s="10" t="s">
        <v>465</v>
      </c>
      <c r="F324" s="6" t="s">
        <v>3200</v>
      </c>
      <c r="G324" s="6" t="s">
        <v>81</v>
      </c>
      <c r="H324" s="6" t="s">
        <v>6181</v>
      </c>
      <c r="I324" s="6" t="s">
        <v>8585</v>
      </c>
      <c r="J324" s="6" t="s">
        <v>9849</v>
      </c>
      <c r="K324" s="6" t="s">
        <v>10886</v>
      </c>
      <c r="L324" s="16" t="n">
        <v>45735</v>
      </c>
      <c r="M324" s="16" t="n">
        <v>45931</v>
      </c>
      <c r="N324" s="6" t="s">
        <v>81</v>
      </c>
      <c r="O324" s="21" t="s">
        <v>81</v>
      </c>
      <c r="P324" s="6" t="s">
        <v>81</v>
      </c>
      <c r="Q324" s="6" t="s">
        <v>81</v>
      </c>
      <c r="R324" s="6" t="s">
        <v>81</v>
      </c>
      <c r="S324" s="6" t="s">
        <v>81</v>
      </c>
      <c r="T324" s="21" t="s">
        <v>81</v>
      </c>
      <c r="U324" s="6" t="s">
        <v>81</v>
      </c>
      <c r="V324" s="6" t="s">
        <v>81</v>
      </c>
      <c r="W324" s="6" t="s">
        <v>81</v>
      </c>
      <c r="X324" s="6" t="s">
        <v>81</v>
      </c>
      <c r="Y324" s="21" t="s">
        <v>81</v>
      </c>
      <c r="Z324" s="6" t="s">
        <v>81</v>
      </c>
      <c r="AA324" s="6" t="s">
        <v>81</v>
      </c>
      <c r="AB324" s="6" t="s">
        <v>81</v>
      </c>
      <c r="AC324" s="6" t="s">
        <v>10886</v>
      </c>
      <c r="AD324" s="16" t="n">
        <v>45735</v>
      </c>
      <c r="AE324" s="6" t="s">
        <v>14071</v>
      </c>
      <c r="AF324" s="6" t="s">
        <v>81</v>
      </c>
      <c r="AG324" s="6" t="s">
        <v>81</v>
      </c>
      <c r="AH324" s="6" t="s">
        <v>14923</v>
      </c>
      <c r="AI324" s="6" t="s">
        <v>81</v>
      </c>
      <c r="AJ324" s="6" t="s">
        <v>17524</v>
      </c>
      <c r="AK324" s="6" t="s">
        <v>8428</v>
      </c>
      <c r="AL324" s="6" t="s">
        <v>18444</v>
      </c>
      <c r="AM324" s="6" t="s">
        <v>18689</v>
      </c>
      <c r="AN324" s="6" t="s">
        <v>81</v>
      </c>
      <c r="AO324" s="6" t="s">
        <v>81</v>
      </c>
      <c r="AP324" s="6" t="s">
        <v>81</v>
      </c>
      <c r="AQ324" s="6" t="s">
        <v>81</v>
      </c>
      <c r="AR324" s="6" t="s">
        <v>81</v>
      </c>
      <c r="AS324" s="6" t="s">
        <v>81</v>
      </c>
      <c r="AT324" s="6" t="s">
        <v>81</v>
      </c>
      <c r="AU324" s="6" t="s">
        <v>81</v>
      </c>
      <c r="AV324" s="6" t="s">
        <v>81</v>
      </c>
      <c r="AW324" s="6" t="s">
        <v>81</v>
      </c>
      <c r="AX324" s="6" t="s">
        <v>20943</v>
      </c>
      <c r="AY324" s="6" t="s">
        <v>22668</v>
      </c>
      <c r="AZ324" s="6" t="s">
        <v>23600</v>
      </c>
      <c r="BA324" s="6" t="s">
        <v>81</v>
      </c>
      <c r="BB324" s="6" t="s">
        <v>81</v>
      </c>
      <c r="BC324" s="26" t="s">
        <v>23900</v>
      </c>
      <c r="BD324" s="26"/>
      <c r="BE324" s="26"/>
      <c r="BF324" s="26"/>
      <c r="BG324" s="26"/>
      <c r="BH324" s="26"/>
      <c r="BI324" s="26"/>
      <c r="BJ324" s="26"/>
      <c r="BK324" s="26"/>
      <c r="BL324" s="26"/>
      <c r="BM324" s="26"/>
      <c r="BN324" s="26"/>
      <c r="BO324" s="26"/>
      <c r="BP324" s="16" t="n">
        <v>45736</v>
      </c>
      <c r="BQ324" s="28" t="str">
        <f>HYPERLINK("https://organic.ams.usda.gov/Integrity/Certificate.aspx?cid=64&amp;nopid=8830001816")</f>
        <v>https://organic.ams.usda.gov/Integrity/Certificate.aspx?cid=64&amp;nopid=8830001816</v>
      </c>
    </row>
    <row r="325">
      <c r="A325" t="s">
        <v>3</v>
      </c>
      <c r="B325" s="6" t="s">
        <v>8</v>
      </c>
      <c r="C325" s="6" t="s">
        <v>55</v>
      </c>
      <c r="D325" s="6" t="s">
        <v>101</v>
      </c>
      <c r="E325" s="10" t="s">
        <v>466</v>
      </c>
      <c r="F325" s="6" t="s">
        <v>3201</v>
      </c>
      <c r="G325" s="6" t="s">
        <v>81</v>
      </c>
      <c r="H325" s="6" t="s">
        <v>6182</v>
      </c>
      <c r="I325" s="6" t="s">
        <v>8586</v>
      </c>
      <c r="J325" s="6" t="s">
        <v>9850</v>
      </c>
      <c r="K325" s="6" t="s">
        <v>10886</v>
      </c>
      <c r="L325" s="16" t="n">
        <v>38538</v>
      </c>
      <c r="M325" s="16" t="n">
        <v>45383</v>
      </c>
      <c r="N325" s="6" t="s">
        <v>10886</v>
      </c>
      <c r="O325" s="16" t="n">
        <v>38538</v>
      </c>
      <c r="P325" s="6" t="s">
        <v>11105</v>
      </c>
      <c r="Q325" s="6" t="s">
        <v>81</v>
      </c>
      <c r="R325" s="6" t="s">
        <v>6182</v>
      </c>
      <c r="S325" s="6" t="s">
        <v>10886</v>
      </c>
      <c r="T325" s="16" t="n">
        <v>38538</v>
      </c>
      <c r="U325" s="6" t="s">
        <v>13285</v>
      </c>
      <c r="V325" s="6" t="s">
        <v>81</v>
      </c>
      <c r="W325" s="6" t="s">
        <v>6182</v>
      </c>
      <c r="X325" s="6" t="s">
        <v>81</v>
      </c>
      <c r="Y325" s="21" t="s">
        <v>81</v>
      </c>
      <c r="Z325" s="6" t="s">
        <v>81</v>
      </c>
      <c r="AA325" s="6" t="s">
        <v>81</v>
      </c>
      <c r="AB325" s="6" t="s">
        <v>81</v>
      </c>
      <c r="AC325" s="6" t="s">
        <v>81</v>
      </c>
      <c r="AD325" s="21" t="s">
        <v>81</v>
      </c>
      <c r="AE325" s="6" t="s">
        <v>81</v>
      </c>
      <c r="AF325" s="6" t="s">
        <v>81</v>
      </c>
      <c r="AG325" s="6" t="s">
        <v>81</v>
      </c>
      <c r="AH325" s="6" t="s">
        <v>14924</v>
      </c>
      <c r="AI325" s="6" t="s">
        <v>81</v>
      </c>
      <c r="AJ325" s="6" t="s">
        <v>17525</v>
      </c>
      <c r="AK325" s="6" t="s">
        <v>18377</v>
      </c>
      <c r="AL325" s="6" t="s">
        <v>18444</v>
      </c>
      <c r="AM325" s="6" t="s">
        <v>18690</v>
      </c>
      <c r="AN325" s="6" t="s">
        <v>19683</v>
      </c>
      <c r="AO325" s="6" t="s">
        <v>19837</v>
      </c>
      <c r="AP325" s="6" t="s">
        <v>81</v>
      </c>
      <c r="AQ325" s="6" t="s">
        <v>81</v>
      </c>
      <c r="AR325" s="6" t="s">
        <v>81</v>
      </c>
      <c r="AS325" s="6" t="s">
        <v>81</v>
      </c>
      <c r="AT325" s="6" t="s">
        <v>81</v>
      </c>
      <c r="AU325" s="6" t="s">
        <v>81</v>
      </c>
      <c r="AV325" s="6" t="s">
        <v>81</v>
      </c>
      <c r="AW325" s="6" t="s">
        <v>81</v>
      </c>
      <c r="AX325" s="6" t="s">
        <v>81</v>
      </c>
      <c r="AY325" s="6" t="s">
        <v>81</v>
      </c>
      <c r="AZ325" s="6" t="s">
        <v>81</v>
      </c>
      <c r="BA325" s="6" t="s">
        <v>6182</v>
      </c>
      <c r="BB325" s="24" t="n">
        <v>380</v>
      </c>
      <c r="BC325" s="26"/>
      <c r="BD325" s="26"/>
      <c r="BE325" s="26"/>
      <c r="BF325" s="26"/>
      <c r="BG325" s="26"/>
      <c r="BH325" s="26"/>
      <c r="BI325" s="26"/>
      <c r="BJ325" s="26"/>
      <c r="BK325" s="26"/>
      <c r="BL325" s="26"/>
      <c r="BM325" s="26"/>
      <c r="BN325" s="26"/>
      <c r="BO325" s="26"/>
      <c r="BP325" s="16" t="n">
        <v>45425</v>
      </c>
      <c r="BQ325" s="28" t="str">
        <f>HYPERLINK("https://organic.ams.usda.gov/Integrity/Certificate.aspx?cid=45&amp;nopid=9950001799")</f>
        <v>https://organic.ams.usda.gov/Integrity/Certificate.aspx?cid=45&amp;nopid=9950001799</v>
      </c>
    </row>
    <row r="326">
      <c r="A326" t="s">
        <v>3</v>
      </c>
      <c r="B326" s="6" t="s">
        <v>7</v>
      </c>
      <c r="C326" s="6" t="s">
        <v>54</v>
      </c>
      <c r="D326" s="6" t="s">
        <v>100</v>
      </c>
      <c r="E326" s="10" t="s">
        <v>467</v>
      </c>
      <c r="F326" s="6" t="s">
        <v>3202</v>
      </c>
      <c r="G326" s="6" t="s">
        <v>81</v>
      </c>
      <c r="H326" s="6" t="s">
        <v>6183</v>
      </c>
      <c r="I326" s="6" t="s">
        <v>8587</v>
      </c>
      <c r="J326" s="6" t="s">
        <v>9851</v>
      </c>
      <c r="K326" s="6" t="s">
        <v>10886</v>
      </c>
      <c r="L326" s="16" t="n">
        <v>39190</v>
      </c>
      <c r="M326" s="16" t="n">
        <v>45716</v>
      </c>
      <c r="N326" s="6" t="s">
        <v>10886</v>
      </c>
      <c r="O326" s="16" t="n">
        <v>39190</v>
      </c>
      <c r="P326" s="6" t="s">
        <v>10977</v>
      </c>
      <c r="Q326" s="6" t="s">
        <v>81</v>
      </c>
      <c r="R326" s="6" t="s">
        <v>81</v>
      </c>
      <c r="S326" s="6" t="s">
        <v>10886</v>
      </c>
      <c r="T326" s="16" t="n">
        <v>39234</v>
      </c>
      <c r="U326" s="6" t="s">
        <v>13169</v>
      </c>
      <c r="V326" s="6" t="s">
        <v>81</v>
      </c>
      <c r="W326" s="6" t="s">
        <v>81</v>
      </c>
      <c r="X326" s="6" t="s">
        <v>81</v>
      </c>
      <c r="Y326" s="21" t="s">
        <v>81</v>
      </c>
      <c r="Z326" s="6" t="s">
        <v>81</v>
      </c>
      <c r="AA326" s="6" t="s">
        <v>81</v>
      </c>
      <c r="AB326" s="6" t="s">
        <v>81</v>
      </c>
      <c r="AC326" s="6" t="s">
        <v>81</v>
      </c>
      <c r="AD326" s="21" t="s">
        <v>81</v>
      </c>
      <c r="AE326" s="6" t="s">
        <v>81</v>
      </c>
      <c r="AF326" s="6" t="s">
        <v>81</v>
      </c>
      <c r="AG326" s="6" t="s">
        <v>81</v>
      </c>
      <c r="AH326" s="6" t="s">
        <v>14925</v>
      </c>
      <c r="AI326" s="6" t="s">
        <v>81</v>
      </c>
      <c r="AJ326" s="6" t="s">
        <v>17526</v>
      </c>
      <c r="AK326" s="6" t="s">
        <v>17712</v>
      </c>
      <c r="AL326" s="6" t="s">
        <v>18444</v>
      </c>
      <c r="AM326" s="6" t="s">
        <v>18499</v>
      </c>
      <c r="AN326" s="6" t="s">
        <v>19651</v>
      </c>
      <c r="AO326" s="6" t="s">
        <v>19741</v>
      </c>
      <c r="AP326" s="6" t="s">
        <v>16383</v>
      </c>
      <c r="AQ326" s="6" t="s">
        <v>81</v>
      </c>
      <c r="AR326" s="6" t="s">
        <v>17526</v>
      </c>
      <c r="AS326" s="6" t="s">
        <v>17712</v>
      </c>
      <c r="AT326" s="6" t="s">
        <v>18444</v>
      </c>
      <c r="AU326" s="6" t="s">
        <v>18499</v>
      </c>
      <c r="AV326" s="6" t="s">
        <v>81</v>
      </c>
      <c r="AW326" s="6" t="s">
        <v>81</v>
      </c>
      <c r="AX326" s="6" t="s">
        <v>20944</v>
      </c>
      <c r="AY326" s="6" t="s">
        <v>22669</v>
      </c>
      <c r="AZ326" s="6" t="s">
        <v>81</v>
      </c>
      <c r="BA326" s="6" t="s">
        <v>81</v>
      </c>
      <c r="BB326" s="24" t="n">
        <v>833</v>
      </c>
      <c r="BC326" s="26"/>
      <c r="BD326" s="26"/>
      <c r="BE326" s="26"/>
      <c r="BF326" s="26" t="s">
        <v>23900</v>
      </c>
      <c r="BG326" s="26"/>
      <c r="BH326" s="26"/>
      <c r="BI326" s="26"/>
      <c r="BJ326" s="26"/>
      <c r="BK326" s="26"/>
      <c r="BL326" s="26"/>
      <c r="BM326" s="26"/>
      <c r="BN326" s="26"/>
      <c r="BO326" s="26"/>
      <c r="BP326" s="16" t="n">
        <v>45595</v>
      </c>
      <c r="BQ326" s="28" t="str">
        <f>HYPERLINK("https://organic.ams.usda.gov/Integrity/Certificate.aspx?cid=57&amp;nopid=3252006116")</f>
        <v>https://organic.ams.usda.gov/Integrity/Certificate.aspx?cid=57&amp;nopid=3252006116</v>
      </c>
    </row>
    <row r="327">
      <c r="A327" t="s">
        <v>3</v>
      </c>
      <c r="B327" s="6" t="s">
        <v>8</v>
      </c>
      <c r="C327" s="6" t="s">
        <v>55</v>
      </c>
      <c r="D327" s="6" t="s">
        <v>101</v>
      </c>
      <c r="E327" s="10" t="s">
        <v>468</v>
      </c>
      <c r="F327" s="6" t="s">
        <v>3203</v>
      </c>
      <c r="G327" s="6" t="s">
        <v>81</v>
      </c>
      <c r="H327" s="6" t="s">
        <v>6184</v>
      </c>
      <c r="I327" s="6" t="s">
        <v>8452</v>
      </c>
      <c r="J327" s="6" t="s">
        <v>9852</v>
      </c>
      <c r="K327" s="6" t="s">
        <v>10886</v>
      </c>
      <c r="L327" s="16" t="n">
        <v>38904</v>
      </c>
      <c r="M327" s="16" t="n">
        <v>45383</v>
      </c>
      <c r="N327" s="6" t="s">
        <v>10886</v>
      </c>
      <c r="O327" s="16" t="n">
        <v>38904</v>
      </c>
      <c r="P327" s="6" t="s">
        <v>11106</v>
      </c>
      <c r="Q327" s="6" t="s">
        <v>81</v>
      </c>
      <c r="R327" s="6" t="s">
        <v>6184</v>
      </c>
      <c r="S327" s="6" t="s">
        <v>10886</v>
      </c>
      <c r="T327" s="16" t="n">
        <v>38904</v>
      </c>
      <c r="U327" s="6" t="s">
        <v>13286</v>
      </c>
      <c r="V327" s="6" t="s">
        <v>81</v>
      </c>
      <c r="W327" s="6" t="s">
        <v>6184</v>
      </c>
      <c r="X327" s="6" t="s">
        <v>81</v>
      </c>
      <c r="Y327" s="21" t="s">
        <v>81</v>
      </c>
      <c r="Z327" s="6" t="s">
        <v>81</v>
      </c>
      <c r="AA327" s="6" t="s">
        <v>81</v>
      </c>
      <c r="AB327" s="6" t="s">
        <v>81</v>
      </c>
      <c r="AC327" s="6" t="s">
        <v>81</v>
      </c>
      <c r="AD327" s="21" t="s">
        <v>81</v>
      </c>
      <c r="AE327" s="6" t="s">
        <v>81</v>
      </c>
      <c r="AF327" s="6" t="s">
        <v>81</v>
      </c>
      <c r="AG327" s="6" t="s">
        <v>81</v>
      </c>
      <c r="AH327" s="6" t="s">
        <v>14926</v>
      </c>
      <c r="AI327" s="6" t="s">
        <v>81</v>
      </c>
      <c r="AJ327" s="6" t="s">
        <v>17527</v>
      </c>
      <c r="AK327" s="6" t="s">
        <v>18377</v>
      </c>
      <c r="AL327" s="6" t="s">
        <v>18444</v>
      </c>
      <c r="AM327" s="6" t="s">
        <v>18691</v>
      </c>
      <c r="AN327" s="6" t="s">
        <v>19653</v>
      </c>
      <c r="AO327" s="6" t="s">
        <v>19838</v>
      </c>
      <c r="AP327" s="6" t="s">
        <v>81</v>
      </c>
      <c r="AQ327" s="6" t="s">
        <v>81</v>
      </c>
      <c r="AR327" s="6" t="s">
        <v>81</v>
      </c>
      <c r="AS327" s="6" t="s">
        <v>81</v>
      </c>
      <c r="AT327" s="6" t="s">
        <v>81</v>
      </c>
      <c r="AU327" s="6" t="s">
        <v>81</v>
      </c>
      <c r="AV327" s="6" t="s">
        <v>81</v>
      </c>
      <c r="AW327" s="6" t="s">
        <v>81</v>
      </c>
      <c r="AX327" s="6" t="s">
        <v>81</v>
      </c>
      <c r="AY327" s="6" t="s">
        <v>22670</v>
      </c>
      <c r="AZ327" s="6" t="s">
        <v>81</v>
      </c>
      <c r="BA327" s="6" t="s">
        <v>23819</v>
      </c>
      <c r="BB327" s="24" t="n">
        <v>623</v>
      </c>
      <c r="BC327" s="26"/>
      <c r="BD327" s="26"/>
      <c r="BE327" s="26"/>
      <c r="BF327" s="26" t="s">
        <v>23900</v>
      </c>
      <c r="BG327" s="26"/>
      <c r="BH327" s="26"/>
      <c r="BI327" s="26"/>
      <c r="BJ327" s="26"/>
      <c r="BK327" s="26"/>
      <c r="BL327" s="26"/>
      <c r="BM327" s="26"/>
      <c r="BN327" s="26"/>
      <c r="BO327" s="26"/>
      <c r="BP327" s="16" t="n">
        <v>45565</v>
      </c>
      <c r="BQ327" s="28" t="str">
        <f>HYPERLINK("https://organic.ams.usda.gov/Integrity/Certificate.aspx?cid=45&amp;nopid=9950002298")</f>
        <v>https://organic.ams.usda.gov/Integrity/Certificate.aspx?cid=45&amp;nopid=9950002298</v>
      </c>
    </row>
    <row r="328">
      <c r="A328" t="s">
        <v>3</v>
      </c>
      <c r="B328" s="6" t="s">
        <v>8</v>
      </c>
      <c r="C328" s="6" t="s">
        <v>55</v>
      </c>
      <c r="D328" s="6" t="s">
        <v>101</v>
      </c>
      <c r="E328" s="10" t="s">
        <v>469</v>
      </c>
      <c r="F328" s="6" t="s">
        <v>3204</v>
      </c>
      <c r="G328" s="6" t="s">
        <v>81</v>
      </c>
      <c r="H328" s="6" t="s">
        <v>6185</v>
      </c>
      <c r="I328" s="6" t="s">
        <v>8509</v>
      </c>
      <c r="J328" s="6" t="s">
        <v>9759</v>
      </c>
      <c r="K328" s="6" t="s">
        <v>10886</v>
      </c>
      <c r="L328" s="16" t="n">
        <v>40777</v>
      </c>
      <c r="M328" s="16" t="n">
        <v>45689</v>
      </c>
      <c r="N328" s="6" t="s">
        <v>10886</v>
      </c>
      <c r="O328" s="16" t="n">
        <v>40777</v>
      </c>
      <c r="P328" s="6" t="s">
        <v>11107</v>
      </c>
      <c r="Q328" s="6" t="s">
        <v>81</v>
      </c>
      <c r="R328" s="6" t="s">
        <v>6185</v>
      </c>
      <c r="S328" s="6" t="s">
        <v>10886</v>
      </c>
      <c r="T328" s="16" t="n">
        <v>40777</v>
      </c>
      <c r="U328" s="6" t="s">
        <v>13179</v>
      </c>
      <c r="V328" s="6" t="s">
        <v>81</v>
      </c>
      <c r="W328" s="6" t="s">
        <v>6185</v>
      </c>
      <c r="X328" s="6" t="s">
        <v>81</v>
      </c>
      <c r="Y328" s="21" t="s">
        <v>81</v>
      </c>
      <c r="Z328" s="6" t="s">
        <v>81</v>
      </c>
      <c r="AA328" s="6" t="s">
        <v>81</v>
      </c>
      <c r="AB328" s="6" t="s">
        <v>81</v>
      </c>
      <c r="AC328" s="6" t="s">
        <v>81</v>
      </c>
      <c r="AD328" s="21" t="s">
        <v>81</v>
      </c>
      <c r="AE328" s="6" t="s">
        <v>81</v>
      </c>
      <c r="AF328" s="6" t="s">
        <v>81</v>
      </c>
      <c r="AG328" s="6" t="s">
        <v>81</v>
      </c>
      <c r="AH328" s="6" t="s">
        <v>14927</v>
      </c>
      <c r="AI328" s="6" t="s">
        <v>81</v>
      </c>
      <c r="AJ328" s="6" t="s">
        <v>17528</v>
      </c>
      <c r="AK328" s="6" t="s">
        <v>18377</v>
      </c>
      <c r="AL328" s="6" t="s">
        <v>18444</v>
      </c>
      <c r="AM328" s="6" t="s">
        <v>18692</v>
      </c>
      <c r="AN328" s="6" t="s">
        <v>19639</v>
      </c>
      <c r="AO328" s="6" t="s">
        <v>19839</v>
      </c>
      <c r="AP328" s="6" t="s">
        <v>81</v>
      </c>
      <c r="AQ328" s="6" t="s">
        <v>81</v>
      </c>
      <c r="AR328" s="6" t="s">
        <v>81</v>
      </c>
      <c r="AS328" s="6" t="s">
        <v>81</v>
      </c>
      <c r="AT328" s="6" t="s">
        <v>81</v>
      </c>
      <c r="AU328" s="6" t="s">
        <v>81</v>
      </c>
      <c r="AV328" s="6" t="s">
        <v>81</v>
      </c>
      <c r="AW328" s="6" t="s">
        <v>81</v>
      </c>
      <c r="AX328" s="6" t="s">
        <v>81</v>
      </c>
      <c r="AY328" s="6" t="s">
        <v>81</v>
      </c>
      <c r="AZ328" s="6" t="s">
        <v>81</v>
      </c>
      <c r="BA328" s="6" t="s">
        <v>23819</v>
      </c>
      <c r="BB328" s="24" t="n">
        <v>174</v>
      </c>
      <c r="BC328" s="26"/>
      <c r="BD328" s="26"/>
      <c r="BE328" s="26"/>
      <c r="BF328" s="26" t="s">
        <v>23900</v>
      </c>
      <c r="BG328" s="26"/>
      <c r="BH328" s="26"/>
      <c r="BI328" s="26"/>
      <c r="BJ328" s="26"/>
      <c r="BK328" s="26"/>
      <c r="BL328" s="26"/>
      <c r="BM328" s="26"/>
      <c r="BN328" s="26"/>
      <c r="BO328" s="26"/>
      <c r="BP328" s="16" t="n">
        <v>45723</v>
      </c>
      <c r="BQ328" s="28" t="str">
        <f>HYPERLINK("https://organic.ams.usda.gov/Integrity/Certificate.aspx?cid=45&amp;nopid=9950004461")</f>
        <v>https://organic.ams.usda.gov/Integrity/Certificate.aspx?cid=45&amp;nopid=9950004461</v>
      </c>
    </row>
    <row r="329">
      <c r="A329" t="s">
        <v>3</v>
      </c>
      <c r="B329" s="6" t="s">
        <v>24</v>
      </c>
      <c r="C329" s="6" t="s">
        <v>71</v>
      </c>
      <c r="D329" s="6" t="s">
        <v>117</v>
      </c>
      <c r="E329" s="10" t="s">
        <v>470</v>
      </c>
      <c r="F329" s="6" t="s">
        <v>3205</v>
      </c>
      <c r="G329" s="6" t="s">
        <v>81</v>
      </c>
      <c r="H329" s="6" t="s">
        <v>81</v>
      </c>
      <c r="I329" s="6" t="s">
        <v>8588</v>
      </c>
      <c r="J329" s="6" t="s">
        <v>9666</v>
      </c>
      <c r="K329" s="6" t="s">
        <v>10886</v>
      </c>
      <c r="L329" s="16" t="n">
        <v>44685</v>
      </c>
      <c r="M329" s="16" t="n">
        <v>45901</v>
      </c>
      <c r="N329" s="6" t="s">
        <v>10886</v>
      </c>
      <c r="O329" s="16" t="n">
        <v>45146</v>
      </c>
      <c r="P329" s="6" t="s">
        <v>11108</v>
      </c>
      <c r="Q329" s="6" t="s">
        <v>81</v>
      </c>
      <c r="R329" s="6" t="s">
        <v>81</v>
      </c>
      <c r="S329" s="6" t="s">
        <v>10886</v>
      </c>
      <c r="T329" s="16" t="n">
        <v>44685</v>
      </c>
      <c r="U329" s="6" t="s">
        <v>13287</v>
      </c>
      <c r="V329" s="6" t="s">
        <v>81</v>
      </c>
      <c r="W329" s="6" t="s">
        <v>81</v>
      </c>
      <c r="X329" s="6" t="s">
        <v>81</v>
      </c>
      <c r="Y329" s="21" t="s">
        <v>81</v>
      </c>
      <c r="Z329" s="6" t="s">
        <v>81</v>
      </c>
      <c r="AA329" s="6" t="s">
        <v>81</v>
      </c>
      <c r="AB329" s="6" t="s">
        <v>81</v>
      </c>
      <c r="AC329" s="6" t="s">
        <v>10886</v>
      </c>
      <c r="AD329" s="16" t="n">
        <v>44685</v>
      </c>
      <c r="AE329" s="6" t="s">
        <v>14014</v>
      </c>
      <c r="AF329" s="6" t="s">
        <v>81</v>
      </c>
      <c r="AG329" s="6" t="s">
        <v>81</v>
      </c>
      <c r="AH329" s="6" t="s">
        <v>14928</v>
      </c>
      <c r="AI329" s="6" t="s">
        <v>81</v>
      </c>
      <c r="AJ329" s="6" t="s">
        <v>17529</v>
      </c>
      <c r="AK329" s="6" t="s">
        <v>17955</v>
      </c>
      <c r="AL329" s="6" t="s">
        <v>18444</v>
      </c>
      <c r="AM329" s="6" t="s">
        <v>18693</v>
      </c>
      <c r="AN329" s="6" t="s">
        <v>19688</v>
      </c>
      <c r="AO329" s="6" t="s">
        <v>19840</v>
      </c>
      <c r="AP329" s="6" t="s">
        <v>14928</v>
      </c>
      <c r="AQ329" s="6" t="s">
        <v>81</v>
      </c>
      <c r="AR329" s="6" t="s">
        <v>17529</v>
      </c>
      <c r="AS329" s="6" t="s">
        <v>17955</v>
      </c>
      <c r="AT329" s="6" t="s">
        <v>18444</v>
      </c>
      <c r="AU329" s="6" t="s">
        <v>18693</v>
      </c>
      <c r="AV329" s="6" t="s">
        <v>81</v>
      </c>
      <c r="AW329" s="6" t="s">
        <v>81</v>
      </c>
      <c r="AX329" s="6" t="s">
        <v>81</v>
      </c>
      <c r="AY329" s="6" t="s">
        <v>22671</v>
      </c>
      <c r="AZ329" s="6" t="s">
        <v>81</v>
      </c>
      <c r="BA329" s="6" t="s">
        <v>81</v>
      </c>
      <c r="BB329" s="24" t="n">
        <v>252</v>
      </c>
      <c r="BC329" s="26"/>
      <c r="BD329" s="26"/>
      <c r="BE329" s="26"/>
      <c r="BF329" s="26"/>
      <c r="BG329" s="26"/>
      <c r="BH329" s="26"/>
      <c r="BI329" s="26"/>
      <c r="BJ329" s="26"/>
      <c r="BK329" s="26"/>
      <c r="BL329" s="26"/>
      <c r="BM329" s="26"/>
      <c r="BN329" s="26"/>
      <c r="BO329" s="26"/>
      <c r="BP329" s="16" t="n">
        <v>45628</v>
      </c>
      <c r="BQ329" s="28" t="str">
        <f>HYPERLINK("https://organic.ams.usda.gov/Integrity/Certificate.aspx?cid=1&amp;nopid=9092202702")</f>
        <v>https://organic.ams.usda.gov/Integrity/Certificate.aspx?cid=1&amp;nopid=9092202702</v>
      </c>
    </row>
    <row r="330">
      <c r="A330" t="s">
        <v>3</v>
      </c>
      <c r="B330" s="6" t="s">
        <v>29</v>
      </c>
      <c r="C330" s="6" t="s">
        <v>76</v>
      </c>
      <c r="D330" s="6" t="s">
        <v>122</v>
      </c>
      <c r="E330" s="10" t="s">
        <v>471</v>
      </c>
      <c r="F330" s="6" t="s">
        <v>3206</v>
      </c>
      <c r="G330" s="6" t="s">
        <v>81</v>
      </c>
      <c r="H330" s="6" t="s">
        <v>6186</v>
      </c>
      <c r="I330" s="6" t="s">
        <v>8589</v>
      </c>
      <c r="J330" s="6" t="s">
        <v>9763</v>
      </c>
      <c r="K330" s="6" t="s">
        <v>10886</v>
      </c>
      <c r="L330" s="16" t="n">
        <v>37104</v>
      </c>
      <c r="M330" s="16" t="n">
        <v>45505</v>
      </c>
      <c r="N330" s="6" t="s">
        <v>10886</v>
      </c>
      <c r="O330" s="16" t="n">
        <v>37104</v>
      </c>
      <c r="P330" s="6" t="s">
        <v>11109</v>
      </c>
      <c r="Q330" s="6" t="s">
        <v>81</v>
      </c>
      <c r="R330" s="6" t="s">
        <v>12511</v>
      </c>
      <c r="S330" s="6" t="s">
        <v>10886</v>
      </c>
      <c r="T330" s="16" t="n">
        <v>37104</v>
      </c>
      <c r="U330" s="6" t="s">
        <v>13288</v>
      </c>
      <c r="V330" s="6" t="s">
        <v>81</v>
      </c>
      <c r="W330" s="6" t="s">
        <v>12511</v>
      </c>
      <c r="X330" s="6" t="s">
        <v>81</v>
      </c>
      <c r="Y330" s="21" t="s">
        <v>81</v>
      </c>
      <c r="Z330" s="6" t="s">
        <v>81</v>
      </c>
      <c r="AA330" s="6" t="s">
        <v>81</v>
      </c>
      <c r="AB330" s="6" t="s">
        <v>81</v>
      </c>
      <c r="AC330" s="6" t="s">
        <v>81</v>
      </c>
      <c r="AD330" s="21" t="s">
        <v>81</v>
      </c>
      <c r="AE330" s="6" t="s">
        <v>81</v>
      </c>
      <c r="AF330" s="6" t="s">
        <v>81</v>
      </c>
      <c r="AG330" s="6" t="s">
        <v>81</v>
      </c>
      <c r="AH330" s="6" t="s">
        <v>14929</v>
      </c>
      <c r="AI330" s="6" t="s">
        <v>81</v>
      </c>
      <c r="AJ330" s="6" t="s">
        <v>17530</v>
      </c>
      <c r="AK330" s="6" t="s">
        <v>18377</v>
      </c>
      <c r="AL330" s="6" t="s">
        <v>18444</v>
      </c>
      <c r="AM330" s="6" t="s">
        <v>6414</v>
      </c>
      <c r="AN330" s="6" t="s">
        <v>19646</v>
      </c>
      <c r="AO330" s="6" t="s">
        <v>19733</v>
      </c>
      <c r="AP330" s="6" t="s">
        <v>81</v>
      </c>
      <c r="AQ330" s="6" t="s">
        <v>81</v>
      </c>
      <c r="AR330" s="6" t="s">
        <v>81</v>
      </c>
      <c r="AS330" s="6" t="s">
        <v>81</v>
      </c>
      <c r="AT330" s="6" t="s">
        <v>81</v>
      </c>
      <c r="AU330" s="6" t="s">
        <v>81</v>
      </c>
      <c r="AV330" s="6" t="s">
        <v>81</v>
      </c>
      <c r="AW330" s="6" t="s">
        <v>81</v>
      </c>
      <c r="AX330" s="6" t="s">
        <v>20945</v>
      </c>
      <c r="AY330" s="6" t="s">
        <v>81</v>
      </c>
      <c r="AZ330" s="6" t="s">
        <v>81</v>
      </c>
      <c r="BA330" s="6" t="s">
        <v>81</v>
      </c>
      <c r="BB330" s="24" t="n">
        <v>366</v>
      </c>
      <c r="BC330" s="26"/>
      <c r="BD330" s="26"/>
      <c r="BE330" s="26"/>
      <c r="BF330" s="26" t="s">
        <v>23900</v>
      </c>
      <c r="BG330" s="26"/>
      <c r="BH330" s="26"/>
      <c r="BI330" s="26"/>
      <c r="BJ330" s="26"/>
      <c r="BK330" s="26"/>
      <c r="BL330" s="26"/>
      <c r="BM330" s="26"/>
      <c r="BN330" s="26"/>
      <c r="BO330" s="26"/>
      <c r="BP330" s="16" t="n">
        <v>45737</v>
      </c>
      <c r="BQ330" s="28" t="str">
        <f>HYPERLINK("https://organic.ams.usda.gov/Integrity/Certificate.aspx?cid=31&amp;nopid=3920897072")</f>
        <v>https://organic.ams.usda.gov/Integrity/Certificate.aspx?cid=31&amp;nopid=3920897072</v>
      </c>
    </row>
    <row r="331">
      <c r="A331" t="s">
        <v>3</v>
      </c>
      <c r="B331" s="6" t="s">
        <v>21</v>
      </c>
      <c r="C331" s="6" t="s">
        <v>68</v>
      </c>
      <c r="D331" s="6" t="s">
        <v>114</v>
      </c>
      <c r="E331" s="10" t="s">
        <v>472</v>
      </c>
      <c r="F331" s="6" t="s">
        <v>3207</v>
      </c>
      <c r="G331" s="6" t="s">
        <v>81</v>
      </c>
      <c r="H331" s="6" t="s">
        <v>6187</v>
      </c>
      <c r="I331" s="6" t="s">
        <v>8590</v>
      </c>
      <c r="J331" s="6" t="s">
        <v>8606</v>
      </c>
      <c r="K331" s="6" t="s">
        <v>10886</v>
      </c>
      <c r="L331" s="16" t="n">
        <v>39968</v>
      </c>
      <c r="M331" s="16" t="n">
        <v>46113</v>
      </c>
      <c r="N331" s="6" t="s">
        <v>81</v>
      </c>
      <c r="O331" s="21" t="s">
        <v>81</v>
      </c>
      <c r="P331" s="6" t="s">
        <v>81</v>
      </c>
      <c r="Q331" s="6" t="s">
        <v>81</v>
      </c>
      <c r="R331" s="6" t="s">
        <v>81</v>
      </c>
      <c r="S331" s="6" t="s">
        <v>81</v>
      </c>
      <c r="T331" s="21" t="s">
        <v>81</v>
      </c>
      <c r="U331" s="6" t="s">
        <v>81</v>
      </c>
      <c r="V331" s="6" t="s">
        <v>81</v>
      </c>
      <c r="W331" s="6" t="s">
        <v>81</v>
      </c>
      <c r="X331" s="6" t="s">
        <v>81</v>
      </c>
      <c r="Y331" s="21" t="s">
        <v>81</v>
      </c>
      <c r="Z331" s="6" t="s">
        <v>81</v>
      </c>
      <c r="AA331" s="6" t="s">
        <v>81</v>
      </c>
      <c r="AB331" s="6" t="s">
        <v>81</v>
      </c>
      <c r="AC331" s="6" t="s">
        <v>10886</v>
      </c>
      <c r="AD331" s="16" t="n">
        <v>39968</v>
      </c>
      <c r="AE331" s="6" t="s">
        <v>14072</v>
      </c>
      <c r="AF331" s="6" t="s">
        <v>81</v>
      </c>
      <c r="AG331" s="6" t="s">
        <v>81</v>
      </c>
      <c r="AH331" s="6" t="s">
        <v>81</v>
      </c>
      <c r="AI331" s="6" t="s">
        <v>81</v>
      </c>
      <c r="AJ331" s="6" t="s">
        <v>81</v>
      </c>
      <c r="AK331" s="6" t="s">
        <v>81</v>
      </c>
      <c r="AL331" s="6" t="s">
        <v>81</v>
      </c>
      <c r="AM331" s="6" t="s">
        <v>81</v>
      </c>
      <c r="AN331" s="6" t="s">
        <v>81</v>
      </c>
      <c r="AO331" s="6" t="s">
        <v>81</v>
      </c>
      <c r="AP331" s="6" t="s">
        <v>20131</v>
      </c>
      <c r="AQ331" s="6" t="s">
        <v>81</v>
      </c>
      <c r="AR331" s="6" t="s">
        <v>20505</v>
      </c>
      <c r="AS331" s="6" t="s">
        <v>18377</v>
      </c>
      <c r="AT331" s="6" t="s">
        <v>18444</v>
      </c>
      <c r="AU331" s="6" t="s">
        <v>20614</v>
      </c>
      <c r="AV331" s="6" t="s">
        <v>7926</v>
      </c>
      <c r="AW331" s="6" t="s">
        <v>20724</v>
      </c>
      <c r="AX331" s="6" t="s">
        <v>20946</v>
      </c>
      <c r="AY331" s="6" t="s">
        <v>22672</v>
      </c>
      <c r="AZ331" s="6" t="s">
        <v>81</v>
      </c>
      <c r="BA331" s="6" t="s">
        <v>81</v>
      </c>
      <c r="BB331" s="6" t="s">
        <v>81</v>
      </c>
      <c r="BC331" s="26" t="s">
        <v>23900</v>
      </c>
      <c r="BD331" s="26"/>
      <c r="BE331" s="26"/>
      <c r="BF331" s="26"/>
      <c r="BG331" s="26"/>
      <c r="BH331" s="26"/>
      <c r="BI331" s="26"/>
      <c r="BJ331" s="26"/>
      <c r="BK331" s="26"/>
      <c r="BL331" s="26"/>
      <c r="BM331" s="26"/>
      <c r="BN331" s="26"/>
      <c r="BO331" s="26"/>
      <c r="BP331" s="16" t="n">
        <v>45714</v>
      </c>
      <c r="BQ331" s="28" t="str">
        <f>HYPERLINK("https://organic.ams.usda.gov/Integrity/Certificate.aspx?cid=62&amp;nopid=8150000117")</f>
        <v>https://organic.ams.usda.gov/Integrity/Certificate.aspx?cid=62&amp;nopid=8150000117</v>
      </c>
    </row>
    <row r="332">
      <c r="A332" t="s">
        <v>3</v>
      </c>
      <c r="B332" s="6" t="s">
        <v>7</v>
      </c>
      <c r="C332" s="6" t="s">
        <v>54</v>
      </c>
      <c r="D332" s="6" t="s">
        <v>100</v>
      </c>
      <c r="E332" s="10" t="s">
        <v>473</v>
      </c>
      <c r="F332" s="6" t="s">
        <v>3208</v>
      </c>
      <c r="G332" s="6" t="s">
        <v>81</v>
      </c>
      <c r="H332" s="6" t="s">
        <v>6188</v>
      </c>
      <c r="I332" s="6" t="s">
        <v>8591</v>
      </c>
      <c r="J332" s="6" t="s">
        <v>9853</v>
      </c>
      <c r="K332" s="6" t="s">
        <v>10886</v>
      </c>
      <c r="L332" s="16" t="n">
        <v>38596</v>
      </c>
      <c r="M332" s="16" t="n">
        <v>45716</v>
      </c>
      <c r="N332" s="6" t="s">
        <v>10886</v>
      </c>
      <c r="O332" s="16" t="n">
        <v>38596</v>
      </c>
      <c r="P332" s="6" t="s">
        <v>11110</v>
      </c>
      <c r="Q332" s="6" t="s">
        <v>81</v>
      </c>
      <c r="R332" s="6" t="s">
        <v>81</v>
      </c>
      <c r="S332" s="6" t="s">
        <v>10886</v>
      </c>
      <c r="T332" s="16" t="n">
        <v>38596</v>
      </c>
      <c r="U332" s="6" t="s">
        <v>13284</v>
      </c>
      <c r="V332" s="6" t="s">
        <v>81</v>
      </c>
      <c r="W332" s="6" t="s">
        <v>81</v>
      </c>
      <c r="X332" s="6" t="s">
        <v>81</v>
      </c>
      <c r="Y332" s="21" t="s">
        <v>81</v>
      </c>
      <c r="Z332" s="6" t="s">
        <v>81</v>
      </c>
      <c r="AA332" s="6" t="s">
        <v>81</v>
      </c>
      <c r="AB332" s="6" t="s">
        <v>81</v>
      </c>
      <c r="AC332" s="6" t="s">
        <v>81</v>
      </c>
      <c r="AD332" s="21" t="s">
        <v>81</v>
      </c>
      <c r="AE332" s="6" t="s">
        <v>81</v>
      </c>
      <c r="AF332" s="6" t="s">
        <v>81</v>
      </c>
      <c r="AG332" s="6" t="s">
        <v>81</v>
      </c>
      <c r="AH332" s="6" t="s">
        <v>14930</v>
      </c>
      <c r="AI332" s="6" t="s">
        <v>81</v>
      </c>
      <c r="AJ332" s="6" t="s">
        <v>17531</v>
      </c>
      <c r="AK332" s="6" t="s">
        <v>17712</v>
      </c>
      <c r="AL332" s="6" t="s">
        <v>18444</v>
      </c>
      <c r="AM332" s="6" t="s">
        <v>18694</v>
      </c>
      <c r="AN332" s="6" t="s">
        <v>19657</v>
      </c>
      <c r="AO332" s="6" t="s">
        <v>19751</v>
      </c>
      <c r="AP332" s="6" t="s">
        <v>14930</v>
      </c>
      <c r="AQ332" s="6" t="s">
        <v>81</v>
      </c>
      <c r="AR332" s="6" t="s">
        <v>17531</v>
      </c>
      <c r="AS332" s="6" t="s">
        <v>17712</v>
      </c>
      <c r="AT332" s="6" t="s">
        <v>18444</v>
      </c>
      <c r="AU332" s="6" t="s">
        <v>18694</v>
      </c>
      <c r="AV332" s="6" t="s">
        <v>81</v>
      </c>
      <c r="AW332" s="6" t="s">
        <v>81</v>
      </c>
      <c r="AX332" s="6" t="s">
        <v>20947</v>
      </c>
      <c r="AY332" s="6" t="s">
        <v>81</v>
      </c>
      <c r="AZ332" s="6" t="s">
        <v>23601</v>
      </c>
      <c r="BA332" s="6" t="s">
        <v>81</v>
      </c>
      <c r="BB332" s="24" t="n">
        <v>147</v>
      </c>
      <c r="BC332" s="26"/>
      <c r="BD332" s="26"/>
      <c r="BE332" s="26"/>
      <c r="BF332" s="26" t="s">
        <v>23900</v>
      </c>
      <c r="BG332" s="26"/>
      <c r="BH332" s="26"/>
      <c r="BI332" s="26"/>
      <c r="BJ332" s="26"/>
      <c r="BK332" s="26"/>
      <c r="BL332" s="26"/>
      <c r="BM332" s="26"/>
      <c r="BN332" s="26"/>
      <c r="BO332" s="26"/>
      <c r="BP332" s="16" t="n">
        <v>45666</v>
      </c>
      <c r="BQ332" s="28" t="str">
        <f>HYPERLINK("https://organic.ams.usda.gov/Integrity/Certificate.aspx?cid=57&amp;nopid=3250200542")</f>
        <v>https://organic.ams.usda.gov/Integrity/Certificate.aspx?cid=57&amp;nopid=3250200542</v>
      </c>
    </row>
    <row r="333">
      <c r="A333" t="s">
        <v>3</v>
      </c>
      <c r="B333" s="6" t="s">
        <v>16</v>
      </c>
      <c r="C333" s="6" t="s">
        <v>63</v>
      </c>
      <c r="D333" s="6" t="s">
        <v>109</v>
      </c>
      <c r="E333" s="10" t="s">
        <v>474</v>
      </c>
      <c r="F333" s="6" t="s">
        <v>3209</v>
      </c>
      <c r="G333" s="6" t="s">
        <v>81</v>
      </c>
      <c r="H333" s="6" t="s">
        <v>6189</v>
      </c>
      <c r="I333" s="6" t="s">
        <v>8592</v>
      </c>
      <c r="J333" s="6" t="s">
        <v>9215</v>
      </c>
      <c r="K333" s="6" t="s">
        <v>10886</v>
      </c>
      <c r="L333" s="16" t="n">
        <v>37575</v>
      </c>
      <c r="M333" s="16" t="n">
        <v>45731</v>
      </c>
      <c r="N333" s="6" t="s">
        <v>10886</v>
      </c>
      <c r="O333" s="16" t="n">
        <v>37575</v>
      </c>
      <c r="P333" s="6" t="s">
        <v>11111</v>
      </c>
      <c r="Q333" s="6" t="s">
        <v>81</v>
      </c>
      <c r="R333" s="6" t="s">
        <v>81</v>
      </c>
      <c r="S333" s="6" t="s">
        <v>10886</v>
      </c>
      <c r="T333" s="16" t="n">
        <v>37575</v>
      </c>
      <c r="U333" s="6" t="s">
        <v>13182</v>
      </c>
      <c r="V333" s="6" t="s">
        <v>81</v>
      </c>
      <c r="W333" s="6" t="s">
        <v>81</v>
      </c>
      <c r="X333" s="6" t="s">
        <v>81</v>
      </c>
      <c r="Y333" s="21" t="s">
        <v>81</v>
      </c>
      <c r="Z333" s="6" t="s">
        <v>81</v>
      </c>
      <c r="AA333" s="6" t="s">
        <v>81</v>
      </c>
      <c r="AB333" s="6" t="s">
        <v>81</v>
      </c>
      <c r="AC333" s="6" t="s">
        <v>10886</v>
      </c>
      <c r="AD333" s="16" t="n">
        <v>37575</v>
      </c>
      <c r="AE333" s="6" t="s">
        <v>14073</v>
      </c>
      <c r="AF333" s="6" t="s">
        <v>81</v>
      </c>
      <c r="AG333" s="6" t="s">
        <v>81</v>
      </c>
      <c r="AH333" s="6" t="s">
        <v>14931</v>
      </c>
      <c r="AI333" s="6" t="s">
        <v>81</v>
      </c>
      <c r="AJ333" s="6" t="s">
        <v>17400</v>
      </c>
      <c r="AK333" s="6" t="s">
        <v>18383</v>
      </c>
      <c r="AL333" s="6" t="s">
        <v>18444</v>
      </c>
      <c r="AM333" s="6" t="s">
        <v>18695</v>
      </c>
      <c r="AN333" s="6" t="s">
        <v>19646</v>
      </c>
      <c r="AO333" s="6" t="s">
        <v>19841</v>
      </c>
      <c r="AP333" s="6" t="s">
        <v>20132</v>
      </c>
      <c r="AQ333" s="6" t="s">
        <v>81</v>
      </c>
      <c r="AR333" s="6" t="s">
        <v>8500</v>
      </c>
      <c r="AS333" s="6" t="s">
        <v>18383</v>
      </c>
      <c r="AT333" s="6" t="s">
        <v>18444</v>
      </c>
      <c r="AU333" s="6" t="s">
        <v>19391</v>
      </c>
      <c r="AV333" s="6" t="s">
        <v>81</v>
      </c>
      <c r="AW333" s="6" t="s">
        <v>81</v>
      </c>
      <c r="AX333" s="6" t="s">
        <v>20948</v>
      </c>
      <c r="AY333" s="6" t="s">
        <v>81</v>
      </c>
      <c r="AZ333" s="6" t="s">
        <v>23602</v>
      </c>
      <c r="BA333" s="6" t="s">
        <v>81</v>
      </c>
      <c r="BB333" s="24" t="n">
        <v>350</v>
      </c>
      <c r="BC333" s="26"/>
      <c r="BD333" s="26"/>
      <c r="BE333" s="26"/>
      <c r="BF333" s="26"/>
      <c r="BG333" s="26"/>
      <c r="BH333" s="26"/>
      <c r="BI333" s="26"/>
      <c r="BJ333" s="26"/>
      <c r="BK333" s="26"/>
      <c r="BL333" s="26"/>
      <c r="BM333" s="26"/>
      <c r="BN333" s="26"/>
      <c r="BO333" s="26"/>
      <c r="BP333" s="16" t="n">
        <v>45701</v>
      </c>
      <c r="BQ333" s="28" t="str">
        <f>HYPERLINK("https://organic.ams.usda.gov/Integrity/Certificate.aspx?cid=81&amp;nopid=4210099101")</f>
        <v>https://organic.ams.usda.gov/Integrity/Certificate.aspx?cid=81&amp;nopid=4210099101</v>
      </c>
    </row>
    <row r="334">
      <c r="A334" t="s">
        <v>3</v>
      </c>
      <c r="B334" s="6" t="s">
        <v>7</v>
      </c>
      <c r="C334" s="6" t="s">
        <v>54</v>
      </c>
      <c r="D334" s="6" t="s">
        <v>100</v>
      </c>
      <c r="E334" s="10" t="s">
        <v>475</v>
      </c>
      <c r="F334" s="6" t="s">
        <v>3210</v>
      </c>
      <c r="G334" s="6" t="s">
        <v>81</v>
      </c>
      <c r="H334" s="6" t="s">
        <v>6190</v>
      </c>
      <c r="I334" s="6" t="s">
        <v>8593</v>
      </c>
      <c r="J334" s="6" t="s">
        <v>9854</v>
      </c>
      <c r="K334" s="6" t="s">
        <v>10886</v>
      </c>
      <c r="L334" s="16" t="n">
        <v>42628</v>
      </c>
      <c r="M334" s="16" t="n">
        <v>45716</v>
      </c>
      <c r="N334" s="6" t="s">
        <v>10886</v>
      </c>
      <c r="O334" s="16" t="n">
        <v>42628</v>
      </c>
      <c r="P334" s="6" t="s">
        <v>11112</v>
      </c>
      <c r="Q334" s="6" t="s">
        <v>81</v>
      </c>
      <c r="R334" s="6" t="s">
        <v>81</v>
      </c>
      <c r="S334" s="6" t="s">
        <v>10886</v>
      </c>
      <c r="T334" s="16" t="n">
        <v>42873</v>
      </c>
      <c r="U334" s="6" t="s">
        <v>13160</v>
      </c>
      <c r="V334" s="6" t="s">
        <v>81</v>
      </c>
      <c r="W334" s="6" t="s">
        <v>81</v>
      </c>
      <c r="X334" s="6" t="s">
        <v>81</v>
      </c>
      <c r="Y334" s="21" t="s">
        <v>81</v>
      </c>
      <c r="Z334" s="6" t="s">
        <v>81</v>
      </c>
      <c r="AA334" s="6" t="s">
        <v>81</v>
      </c>
      <c r="AB334" s="6" t="s">
        <v>81</v>
      </c>
      <c r="AC334" s="6" t="s">
        <v>81</v>
      </c>
      <c r="AD334" s="21" t="s">
        <v>81</v>
      </c>
      <c r="AE334" s="6" t="s">
        <v>81</v>
      </c>
      <c r="AF334" s="6" t="s">
        <v>81</v>
      </c>
      <c r="AG334" s="6" t="s">
        <v>81</v>
      </c>
      <c r="AH334" s="6" t="s">
        <v>14932</v>
      </c>
      <c r="AI334" s="6" t="s">
        <v>81</v>
      </c>
      <c r="AJ334" s="6" t="s">
        <v>17532</v>
      </c>
      <c r="AK334" s="6" t="s">
        <v>17712</v>
      </c>
      <c r="AL334" s="6" t="s">
        <v>18444</v>
      </c>
      <c r="AM334" s="6" t="s">
        <v>18696</v>
      </c>
      <c r="AN334" s="6" t="s">
        <v>7926</v>
      </c>
      <c r="AO334" s="6" t="s">
        <v>19842</v>
      </c>
      <c r="AP334" s="6" t="s">
        <v>14932</v>
      </c>
      <c r="AQ334" s="6" t="s">
        <v>81</v>
      </c>
      <c r="AR334" s="6" t="s">
        <v>17532</v>
      </c>
      <c r="AS334" s="6" t="s">
        <v>17712</v>
      </c>
      <c r="AT334" s="6" t="s">
        <v>18444</v>
      </c>
      <c r="AU334" s="6" t="s">
        <v>18696</v>
      </c>
      <c r="AV334" s="6" t="s">
        <v>81</v>
      </c>
      <c r="AW334" s="6" t="s">
        <v>81</v>
      </c>
      <c r="AX334" s="6" t="s">
        <v>20949</v>
      </c>
      <c r="AY334" s="6" t="s">
        <v>22673</v>
      </c>
      <c r="AZ334" s="6" t="s">
        <v>81</v>
      </c>
      <c r="BA334" s="6" t="s">
        <v>81</v>
      </c>
      <c r="BB334" s="24" t="n">
        <v>2</v>
      </c>
      <c r="BC334" s="26"/>
      <c r="BD334" s="26"/>
      <c r="BE334" s="26"/>
      <c r="BF334" s="26"/>
      <c r="BG334" s="26"/>
      <c r="BH334" s="26"/>
      <c r="BI334" s="26"/>
      <c r="BJ334" s="26"/>
      <c r="BK334" s="26"/>
      <c r="BL334" s="26"/>
      <c r="BM334" s="26"/>
      <c r="BN334" s="26"/>
      <c r="BO334" s="26"/>
      <c r="BP334" s="16" t="n">
        <v>45693</v>
      </c>
      <c r="BQ334" s="28" t="str">
        <f>HYPERLINK("https://organic.ams.usda.gov/Integrity/Certificate.aspx?cid=57&amp;nopid=3252016131")</f>
        <v>https://organic.ams.usda.gov/Integrity/Certificate.aspx?cid=57&amp;nopid=3252016131</v>
      </c>
    </row>
    <row r="335">
      <c r="A335" t="s">
        <v>3</v>
      </c>
      <c r="B335" s="6" t="s">
        <v>29</v>
      </c>
      <c r="C335" s="6" t="s">
        <v>76</v>
      </c>
      <c r="D335" s="6" t="s">
        <v>122</v>
      </c>
      <c r="E335" s="10" t="s">
        <v>476</v>
      </c>
      <c r="F335" s="6" t="s">
        <v>3211</v>
      </c>
      <c r="G335" s="6" t="s">
        <v>5618</v>
      </c>
      <c r="H335" s="6" t="s">
        <v>6191</v>
      </c>
      <c r="I335" s="6" t="s">
        <v>8594</v>
      </c>
      <c r="J335" s="6" t="s">
        <v>9855</v>
      </c>
      <c r="K335" s="6" t="s">
        <v>10886</v>
      </c>
      <c r="L335" s="16" t="n">
        <v>39552</v>
      </c>
      <c r="M335" s="16" t="n">
        <v>45870</v>
      </c>
      <c r="N335" s="6" t="s">
        <v>10886</v>
      </c>
      <c r="O335" s="16" t="n">
        <v>39552</v>
      </c>
      <c r="P335" s="6" t="s">
        <v>10910</v>
      </c>
      <c r="Q335" s="6" t="s">
        <v>81</v>
      </c>
      <c r="R335" s="6" t="s">
        <v>12512</v>
      </c>
      <c r="S335" s="6" t="s">
        <v>10886</v>
      </c>
      <c r="T335" s="16" t="n">
        <v>39552</v>
      </c>
      <c r="U335" s="6" t="s">
        <v>13289</v>
      </c>
      <c r="V335" s="6" t="s">
        <v>81</v>
      </c>
      <c r="W335" s="6" t="s">
        <v>12512</v>
      </c>
      <c r="X335" s="6" t="s">
        <v>81</v>
      </c>
      <c r="Y335" s="21" t="s">
        <v>81</v>
      </c>
      <c r="Z335" s="6" t="s">
        <v>81</v>
      </c>
      <c r="AA335" s="6" t="s">
        <v>81</v>
      </c>
      <c r="AB335" s="6" t="s">
        <v>81</v>
      </c>
      <c r="AC335" s="6" t="s">
        <v>81</v>
      </c>
      <c r="AD335" s="21" t="s">
        <v>81</v>
      </c>
      <c r="AE335" s="6" t="s">
        <v>81</v>
      </c>
      <c r="AF335" s="6" t="s">
        <v>81</v>
      </c>
      <c r="AG335" s="6" t="s">
        <v>81</v>
      </c>
      <c r="AH335" s="6" t="s">
        <v>14933</v>
      </c>
      <c r="AI335" s="6" t="s">
        <v>81</v>
      </c>
      <c r="AJ335" s="6" t="s">
        <v>17533</v>
      </c>
      <c r="AK335" s="6" t="s">
        <v>17712</v>
      </c>
      <c r="AL335" s="6" t="s">
        <v>18444</v>
      </c>
      <c r="AM335" s="6" t="s">
        <v>18697</v>
      </c>
      <c r="AN335" s="6" t="s">
        <v>7926</v>
      </c>
      <c r="AO335" s="6" t="s">
        <v>19842</v>
      </c>
      <c r="AP335" s="6" t="s">
        <v>81</v>
      </c>
      <c r="AQ335" s="6" t="s">
        <v>81</v>
      </c>
      <c r="AR335" s="6" t="s">
        <v>81</v>
      </c>
      <c r="AS335" s="6" t="s">
        <v>81</v>
      </c>
      <c r="AT335" s="6" t="s">
        <v>81</v>
      </c>
      <c r="AU335" s="6" t="s">
        <v>81</v>
      </c>
      <c r="AV335" s="6" t="s">
        <v>81</v>
      </c>
      <c r="AW335" s="6" t="s">
        <v>81</v>
      </c>
      <c r="AX335" s="6" t="s">
        <v>20950</v>
      </c>
      <c r="AY335" s="6" t="s">
        <v>22674</v>
      </c>
      <c r="AZ335" s="6" t="s">
        <v>81</v>
      </c>
      <c r="BA335" s="6" t="s">
        <v>81</v>
      </c>
      <c r="BB335" s="24" t="n">
        <v>290</v>
      </c>
      <c r="BC335" s="26"/>
      <c r="BD335" s="26"/>
      <c r="BE335" s="26"/>
      <c r="BF335" s="26" t="s">
        <v>23900</v>
      </c>
      <c r="BG335" s="26"/>
      <c r="BH335" s="26"/>
      <c r="BI335" s="26"/>
      <c r="BJ335" s="26"/>
      <c r="BK335" s="26"/>
      <c r="BL335" s="26"/>
      <c r="BM335" s="26"/>
      <c r="BN335" s="26"/>
      <c r="BO335" s="26"/>
      <c r="BP335" s="16" t="n">
        <v>45737</v>
      </c>
      <c r="BQ335" s="28" t="str">
        <f>HYPERLINK("https://organic.ams.usda.gov/Integrity/Certificate.aspx?cid=31&amp;nopid=3920897726")</f>
        <v>https://organic.ams.usda.gov/Integrity/Certificate.aspx?cid=31&amp;nopid=3920897726</v>
      </c>
    </row>
    <row r="336">
      <c r="A336" t="s">
        <v>3</v>
      </c>
      <c r="B336" s="6" t="s">
        <v>12</v>
      </c>
      <c r="C336" s="6" t="s">
        <v>59</v>
      </c>
      <c r="D336" s="6" t="s">
        <v>105</v>
      </c>
      <c r="E336" s="10" t="s">
        <v>477</v>
      </c>
      <c r="F336" s="6" t="s">
        <v>3212</v>
      </c>
      <c r="G336" s="6" t="s">
        <v>81</v>
      </c>
      <c r="H336" s="6" t="s">
        <v>6192</v>
      </c>
      <c r="I336" s="6" t="s">
        <v>8595</v>
      </c>
      <c r="J336" s="6" t="s">
        <v>9856</v>
      </c>
      <c r="K336" s="6" t="s">
        <v>10886</v>
      </c>
      <c r="L336" s="16" t="n">
        <v>43654</v>
      </c>
      <c r="M336" s="16" t="n">
        <v>45717</v>
      </c>
      <c r="N336" s="6" t="s">
        <v>10886</v>
      </c>
      <c r="O336" s="16" t="n">
        <v>43654</v>
      </c>
      <c r="P336" s="6" t="s">
        <v>11113</v>
      </c>
      <c r="Q336" s="6" t="s">
        <v>81</v>
      </c>
      <c r="R336" s="6" t="s">
        <v>81</v>
      </c>
      <c r="S336" s="6" t="s">
        <v>10886</v>
      </c>
      <c r="T336" s="16" t="n">
        <v>45505</v>
      </c>
      <c r="U336" s="6" t="s">
        <v>13290</v>
      </c>
      <c r="V336" s="6" t="s">
        <v>81</v>
      </c>
      <c r="W336" s="6" t="s">
        <v>81</v>
      </c>
      <c r="X336" s="6" t="s">
        <v>81</v>
      </c>
      <c r="Y336" s="21" t="s">
        <v>81</v>
      </c>
      <c r="Z336" s="6" t="s">
        <v>81</v>
      </c>
      <c r="AA336" s="6" t="s">
        <v>81</v>
      </c>
      <c r="AB336" s="6" t="s">
        <v>81</v>
      </c>
      <c r="AC336" s="6" t="s">
        <v>81</v>
      </c>
      <c r="AD336" s="21" t="s">
        <v>81</v>
      </c>
      <c r="AE336" s="6" t="s">
        <v>81</v>
      </c>
      <c r="AF336" s="6" t="s">
        <v>81</v>
      </c>
      <c r="AG336" s="6" t="s">
        <v>81</v>
      </c>
      <c r="AH336" s="6" t="s">
        <v>14934</v>
      </c>
      <c r="AI336" s="6" t="s">
        <v>81</v>
      </c>
      <c r="AJ336" s="6" t="s">
        <v>17458</v>
      </c>
      <c r="AK336" s="6" t="s">
        <v>18380</v>
      </c>
      <c r="AL336" s="6" t="s">
        <v>18444</v>
      </c>
      <c r="AM336" s="6" t="s">
        <v>18617</v>
      </c>
      <c r="AN336" s="6" t="s">
        <v>19681</v>
      </c>
      <c r="AO336" s="6" t="s">
        <v>19805</v>
      </c>
      <c r="AP336" s="6" t="s">
        <v>14934</v>
      </c>
      <c r="AQ336" s="6" t="s">
        <v>81</v>
      </c>
      <c r="AR336" s="6" t="s">
        <v>17458</v>
      </c>
      <c r="AS336" s="6" t="s">
        <v>18380</v>
      </c>
      <c r="AT336" s="6" t="s">
        <v>18444</v>
      </c>
      <c r="AU336" s="6" t="s">
        <v>18617</v>
      </c>
      <c r="AV336" s="6" t="s">
        <v>81</v>
      </c>
      <c r="AW336" s="6" t="s">
        <v>81</v>
      </c>
      <c r="AX336" s="6" t="s">
        <v>20951</v>
      </c>
      <c r="AY336" s="6" t="s">
        <v>81</v>
      </c>
      <c r="AZ336" s="6" t="s">
        <v>81</v>
      </c>
      <c r="BA336" s="6" t="s">
        <v>81</v>
      </c>
      <c r="BB336" s="24" t="n">
        <v>782</v>
      </c>
      <c r="BC336" s="26"/>
      <c r="BD336" s="26"/>
      <c r="BE336" s="26"/>
      <c r="BF336" s="26"/>
      <c r="BG336" s="26"/>
      <c r="BH336" s="26"/>
      <c r="BI336" s="26"/>
      <c r="BJ336" s="26"/>
      <c r="BK336" s="26"/>
      <c r="BL336" s="26"/>
      <c r="BM336" s="26"/>
      <c r="BN336" s="26"/>
      <c r="BO336" s="26"/>
      <c r="BP336" s="16" t="n">
        <v>45727</v>
      </c>
      <c r="BQ336" s="28" t="str">
        <f>HYPERLINK("https://organic.ams.usda.gov/Integrity/Certificate.aspx?cid=68&amp;nopid=8210005172")</f>
        <v>https://organic.ams.usda.gov/Integrity/Certificate.aspx?cid=68&amp;nopid=8210005172</v>
      </c>
    </row>
    <row r="337">
      <c r="A337" t="s">
        <v>3</v>
      </c>
      <c r="B337" s="6" t="s">
        <v>15</v>
      </c>
      <c r="C337" s="6" t="s">
        <v>62</v>
      </c>
      <c r="D337" s="6" t="s">
        <v>108</v>
      </c>
      <c r="E337" s="10" t="s">
        <v>478</v>
      </c>
      <c r="F337" s="6" t="s">
        <v>3213</v>
      </c>
      <c r="G337" s="6" t="s">
        <v>5619</v>
      </c>
      <c r="H337" s="6" t="s">
        <v>6193</v>
      </c>
      <c r="I337" s="6" t="s">
        <v>8511</v>
      </c>
      <c r="J337" s="6" t="s">
        <v>9856</v>
      </c>
      <c r="K337" s="6" t="s">
        <v>10886</v>
      </c>
      <c r="L337" s="16" t="n">
        <v>40165</v>
      </c>
      <c r="M337" s="16" t="n">
        <v>46157</v>
      </c>
      <c r="N337" s="6" t="s">
        <v>10886</v>
      </c>
      <c r="O337" s="16" t="n">
        <v>40165</v>
      </c>
      <c r="P337" s="6" t="s">
        <v>11114</v>
      </c>
      <c r="Q337" s="6" t="s">
        <v>81</v>
      </c>
      <c r="R337" s="6" t="s">
        <v>81</v>
      </c>
      <c r="S337" s="6" t="s">
        <v>10886</v>
      </c>
      <c r="T337" s="16" t="n">
        <v>40165</v>
      </c>
      <c r="U337" s="6" t="s">
        <v>13291</v>
      </c>
      <c r="V337" s="6" t="s">
        <v>81</v>
      </c>
      <c r="W337" s="6" t="s">
        <v>81</v>
      </c>
      <c r="X337" s="6" t="s">
        <v>81</v>
      </c>
      <c r="Y337" s="21" t="s">
        <v>81</v>
      </c>
      <c r="Z337" s="6" t="s">
        <v>81</v>
      </c>
      <c r="AA337" s="6" t="s">
        <v>81</v>
      </c>
      <c r="AB337" s="6" t="s">
        <v>81</v>
      </c>
      <c r="AC337" s="6" t="s">
        <v>10886</v>
      </c>
      <c r="AD337" s="16" t="n">
        <v>40165</v>
      </c>
      <c r="AE337" s="6" t="s">
        <v>14074</v>
      </c>
      <c r="AF337" s="6" t="s">
        <v>81</v>
      </c>
      <c r="AG337" s="6" t="s">
        <v>81</v>
      </c>
      <c r="AH337" s="6" t="s">
        <v>14935</v>
      </c>
      <c r="AI337" s="6" t="s">
        <v>81</v>
      </c>
      <c r="AJ337" s="6" t="s">
        <v>17534</v>
      </c>
      <c r="AK337" s="6" t="s">
        <v>18380</v>
      </c>
      <c r="AL337" s="6" t="s">
        <v>18444</v>
      </c>
      <c r="AM337" s="6" t="s">
        <v>18698</v>
      </c>
      <c r="AN337" s="6" t="s">
        <v>6132</v>
      </c>
      <c r="AO337" s="6" t="s">
        <v>19751</v>
      </c>
      <c r="AP337" s="6" t="s">
        <v>14935</v>
      </c>
      <c r="AQ337" s="6" t="s">
        <v>81</v>
      </c>
      <c r="AR337" s="6" t="s">
        <v>17534</v>
      </c>
      <c r="AS337" s="6" t="s">
        <v>18380</v>
      </c>
      <c r="AT337" s="6" t="s">
        <v>18444</v>
      </c>
      <c r="AU337" s="6" t="s">
        <v>18698</v>
      </c>
      <c r="AV337" s="6" t="s">
        <v>81</v>
      </c>
      <c r="AW337" s="6" t="s">
        <v>81</v>
      </c>
      <c r="AX337" s="6" t="s">
        <v>20952</v>
      </c>
      <c r="AY337" s="6" t="s">
        <v>22675</v>
      </c>
      <c r="AZ337" s="6" t="s">
        <v>81</v>
      </c>
      <c r="BA337" s="6" t="s">
        <v>81</v>
      </c>
      <c r="BB337" s="24" t="n">
        <v>744</v>
      </c>
      <c r="BC337" s="26" t="s">
        <v>23900</v>
      </c>
      <c r="BD337" s="26"/>
      <c r="BE337" s="26"/>
      <c r="BF337" s="26" t="s">
        <v>23900</v>
      </c>
      <c r="BG337" s="26"/>
      <c r="BH337" s="26"/>
      <c r="BI337" s="26"/>
      <c r="BJ337" s="26"/>
      <c r="BK337" s="26"/>
      <c r="BL337" s="26"/>
      <c r="BM337" s="26"/>
      <c r="BN337" s="26"/>
      <c r="BO337" s="26"/>
      <c r="BP337" s="16" t="n">
        <v>45737</v>
      </c>
      <c r="BQ337" s="28" t="str">
        <f>HYPERLINK("https://organic.ams.usda.gov/Integrity/Certificate.aspx?cid=58&amp;nopid=1600001726")</f>
        <v>https://organic.ams.usda.gov/Integrity/Certificate.aspx?cid=58&amp;nopid=1600001726</v>
      </c>
    </row>
    <row r="338">
      <c r="A338" t="s">
        <v>3</v>
      </c>
      <c r="B338" s="6" t="s">
        <v>18</v>
      </c>
      <c r="C338" s="6" t="s">
        <v>65</v>
      </c>
      <c r="D338" s="6" t="s">
        <v>111</v>
      </c>
      <c r="E338" s="10" t="s">
        <v>479</v>
      </c>
      <c r="F338" s="6" t="s">
        <v>3214</v>
      </c>
      <c r="G338" s="6" t="s">
        <v>81</v>
      </c>
      <c r="H338" s="6" t="s">
        <v>479</v>
      </c>
      <c r="I338" s="6" t="s">
        <v>8596</v>
      </c>
      <c r="J338" s="6" t="s">
        <v>9727</v>
      </c>
      <c r="K338" s="6" t="s">
        <v>10886</v>
      </c>
      <c r="L338" s="16" t="n">
        <v>45713</v>
      </c>
      <c r="M338" s="16" t="n">
        <v>46068</v>
      </c>
      <c r="N338" s="6" t="s">
        <v>10886</v>
      </c>
      <c r="O338" s="16" t="n">
        <v>45713</v>
      </c>
      <c r="P338" s="6" t="s">
        <v>10900</v>
      </c>
      <c r="Q338" s="6" t="s">
        <v>81</v>
      </c>
      <c r="R338" s="6" t="s">
        <v>81</v>
      </c>
      <c r="S338" s="6" t="s">
        <v>10886</v>
      </c>
      <c r="T338" s="16" t="n">
        <v>45713</v>
      </c>
      <c r="U338" s="6" t="s">
        <v>13292</v>
      </c>
      <c r="V338" s="6" t="s">
        <v>81</v>
      </c>
      <c r="W338" s="6" t="s">
        <v>81</v>
      </c>
      <c r="X338" s="6" t="s">
        <v>81</v>
      </c>
      <c r="Y338" s="21" t="s">
        <v>81</v>
      </c>
      <c r="Z338" s="6" t="s">
        <v>81</v>
      </c>
      <c r="AA338" s="6" t="s">
        <v>81</v>
      </c>
      <c r="AB338" s="6" t="s">
        <v>81</v>
      </c>
      <c r="AC338" s="6" t="s">
        <v>81</v>
      </c>
      <c r="AD338" s="21" t="s">
        <v>81</v>
      </c>
      <c r="AE338" s="6" t="s">
        <v>81</v>
      </c>
      <c r="AF338" s="6" t="s">
        <v>81</v>
      </c>
      <c r="AG338" s="6" t="s">
        <v>81</v>
      </c>
      <c r="AH338" s="6" t="s">
        <v>14936</v>
      </c>
      <c r="AI338" s="6" t="s">
        <v>81</v>
      </c>
      <c r="AJ338" s="6" t="s">
        <v>17535</v>
      </c>
      <c r="AK338" s="6" t="s">
        <v>17712</v>
      </c>
      <c r="AL338" s="6" t="s">
        <v>18444</v>
      </c>
      <c r="AM338" s="6" t="s">
        <v>18699</v>
      </c>
      <c r="AN338" s="6" t="s">
        <v>81</v>
      </c>
      <c r="AO338" s="6" t="s">
        <v>81</v>
      </c>
      <c r="AP338" s="6" t="s">
        <v>14936</v>
      </c>
      <c r="AQ338" s="6" t="s">
        <v>81</v>
      </c>
      <c r="AR338" s="6" t="s">
        <v>17535</v>
      </c>
      <c r="AS338" s="6" t="s">
        <v>17712</v>
      </c>
      <c r="AT338" s="6" t="s">
        <v>18444</v>
      </c>
      <c r="AU338" s="6" t="s">
        <v>18699</v>
      </c>
      <c r="AV338" s="6" t="s">
        <v>81</v>
      </c>
      <c r="AW338" s="6" t="s">
        <v>81</v>
      </c>
      <c r="AX338" s="6" t="s">
        <v>81</v>
      </c>
      <c r="AY338" s="6" t="s">
        <v>81</v>
      </c>
      <c r="AZ338" s="6" t="s">
        <v>81</v>
      </c>
      <c r="BA338" s="6" t="s">
        <v>23835</v>
      </c>
      <c r="BB338" s="24" t="n">
        <v>161</v>
      </c>
      <c r="BC338" s="26"/>
      <c r="BD338" s="26"/>
      <c r="BE338" s="26"/>
      <c r="BF338" s="26" t="s">
        <v>23900</v>
      </c>
      <c r="BG338" s="26"/>
      <c r="BH338" s="26"/>
      <c r="BI338" s="26"/>
      <c r="BJ338" s="26"/>
      <c r="BK338" s="26"/>
      <c r="BL338" s="26"/>
      <c r="BM338" s="26"/>
      <c r="BN338" s="26"/>
      <c r="BO338" s="26"/>
      <c r="BP338" s="16" t="n">
        <v>45713</v>
      </c>
      <c r="BQ338" s="28" t="str">
        <f>HYPERLINK("https://organic.ams.usda.gov/Integrity/Certificate.aspx?cid=8&amp;nopid=2202501700")</f>
        <v>https://organic.ams.usda.gov/Integrity/Certificate.aspx?cid=8&amp;nopid=2202501700</v>
      </c>
    </row>
    <row r="339">
      <c r="A339" t="s">
        <v>3</v>
      </c>
      <c r="B339" s="6" t="s">
        <v>8</v>
      </c>
      <c r="C339" s="6" t="s">
        <v>55</v>
      </c>
      <c r="D339" s="6" t="s">
        <v>101</v>
      </c>
      <c r="E339" s="10" t="s">
        <v>480</v>
      </c>
      <c r="F339" s="6" t="s">
        <v>3215</v>
      </c>
      <c r="G339" s="6" t="s">
        <v>81</v>
      </c>
      <c r="H339" s="6" t="s">
        <v>6194</v>
      </c>
      <c r="I339" s="6" t="s">
        <v>8597</v>
      </c>
      <c r="J339" s="6" t="s">
        <v>9857</v>
      </c>
      <c r="K339" s="6" t="s">
        <v>10886</v>
      </c>
      <c r="L339" s="16" t="n">
        <v>45639</v>
      </c>
      <c r="M339" s="16" t="n">
        <v>45748</v>
      </c>
      <c r="N339" s="6" t="s">
        <v>10886</v>
      </c>
      <c r="O339" s="16" t="n">
        <v>45639</v>
      </c>
      <c r="P339" s="6" t="s">
        <v>11115</v>
      </c>
      <c r="Q339" s="6" t="s">
        <v>81</v>
      </c>
      <c r="R339" s="6" t="s">
        <v>6194</v>
      </c>
      <c r="S339" s="6" t="s">
        <v>10886</v>
      </c>
      <c r="T339" s="16" t="n">
        <v>45639</v>
      </c>
      <c r="U339" s="6" t="s">
        <v>13293</v>
      </c>
      <c r="V339" s="6" t="s">
        <v>81</v>
      </c>
      <c r="W339" s="6" t="s">
        <v>6194</v>
      </c>
      <c r="X339" s="6" t="s">
        <v>81</v>
      </c>
      <c r="Y339" s="21" t="s">
        <v>81</v>
      </c>
      <c r="Z339" s="6" t="s">
        <v>81</v>
      </c>
      <c r="AA339" s="6" t="s">
        <v>81</v>
      </c>
      <c r="AB339" s="6" t="s">
        <v>81</v>
      </c>
      <c r="AC339" s="6" t="s">
        <v>81</v>
      </c>
      <c r="AD339" s="21" t="s">
        <v>81</v>
      </c>
      <c r="AE339" s="6" t="s">
        <v>81</v>
      </c>
      <c r="AF339" s="6" t="s">
        <v>81</v>
      </c>
      <c r="AG339" s="6" t="s">
        <v>81</v>
      </c>
      <c r="AH339" s="6" t="s">
        <v>14937</v>
      </c>
      <c r="AI339" s="6" t="s">
        <v>81</v>
      </c>
      <c r="AJ339" s="6" t="s">
        <v>17536</v>
      </c>
      <c r="AK339" s="6" t="s">
        <v>18377</v>
      </c>
      <c r="AL339" s="6" t="s">
        <v>18444</v>
      </c>
      <c r="AM339" s="6" t="s">
        <v>18700</v>
      </c>
      <c r="AN339" s="6" t="s">
        <v>81</v>
      </c>
      <c r="AO339" s="6" t="s">
        <v>81</v>
      </c>
      <c r="AP339" s="6" t="s">
        <v>20133</v>
      </c>
      <c r="AQ339" s="6" t="s">
        <v>81</v>
      </c>
      <c r="AR339" s="6" t="s">
        <v>17536</v>
      </c>
      <c r="AS339" s="6" t="s">
        <v>18377</v>
      </c>
      <c r="AT339" s="6" t="s">
        <v>18444</v>
      </c>
      <c r="AU339" s="6" t="s">
        <v>18700</v>
      </c>
      <c r="AV339" s="6" t="s">
        <v>81</v>
      </c>
      <c r="AW339" s="6" t="s">
        <v>81</v>
      </c>
      <c r="AX339" s="6" t="s">
        <v>81</v>
      </c>
      <c r="AY339" s="6" t="s">
        <v>22676</v>
      </c>
      <c r="AZ339" s="6" t="s">
        <v>81</v>
      </c>
      <c r="BA339" s="6" t="s">
        <v>23824</v>
      </c>
      <c r="BB339" s="24" t="n">
        <v>312</v>
      </c>
      <c r="BC339" s="26"/>
      <c r="BD339" s="26"/>
      <c r="BE339" s="26"/>
      <c r="BF339" s="26" t="s">
        <v>23900</v>
      </c>
      <c r="BG339" s="26"/>
      <c r="BH339" s="26"/>
      <c r="BI339" s="26"/>
      <c r="BJ339" s="26"/>
      <c r="BK339" s="26"/>
      <c r="BL339" s="26"/>
      <c r="BM339" s="26"/>
      <c r="BN339" s="26"/>
      <c r="BO339" s="26"/>
      <c r="BP339" s="16" t="n">
        <v>45639</v>
      </c>
      <c r="BQ339" s="28" t="str">
        <f>HYPERLINK("https://organic.ams.usda.gov/Integrity/Certificate.aspx?cid=45&amp;nopid=9950014040")</f>
        <v>https://organic.ams.usda.gov/Integrity/Certificate.aspx?cid=45&amp;nopid=9950014040</v>
      </c>
    </row>
    <row r="340">
      <c r="A340" t="s">
        <v>3</v>
      </c>
      <c r="B340" s="6" t="s">
        <v>8</v>
      </c>
      <c r="C340" s="6" t="s">
        <v>55</v>
      </c>
      <c r="D340" s="6" t="s">
        <v>101</v>
      </c>
      <c r="E340" s="10" t="s">
        <v>481</v>
      </c>
      <c r="F340" s="6" t="s">
        <v>3216</v>
      </c>
      <c r="G340" s="6" t="s">
        <v>5606</v>
      </c>
      <c r="H340" s="6" t="s">
        <v>6195</v>
      </c>
      <c r="I340" s="6" t="s">
        <v>8562</v>
      </c>
      <c r="J340" s="6" t="s">
        <v>9857</v>
      </c>
      <c r="K340" s="6" t="s">
        <v>10886</v>
      </c>
      <c r="L340" s="16" t="n">
        <v>37585</v>
      </c>
      <c r="M340" s="16" t="n">
        <v>45748</v>
      </c>
      <c r="N340" s="6" t="s">
        <v>10886</v>
      </c>
      <c r="O340" s="16" t="n">
        <v>37585</v>
      </c>
      <c r="P340" s="6" t="s">
        <v>11116</v>
      </c>
      <c r="Q340" s="6" t="s">
        <v>81</v>
      </c>
      <c r="R340" s="6" t="s">
        <v>6195</v>
      </c>
      <c r="S340" s="6" t="s">
        <v>10886</v>
      </c>
      <c r="T340" s="16" t="n">
        <v>37585</v>
      </c>
      <c r="U340" s="6" t="s">
        <v>13294</v>
      </c>
      <c r="V340" s="6" t="s">
        <v>81</v>
      </c>
      <c r="W340" s="6" t="s">
        <v>6195</v>
      </c>
      <c r="X340" s="6" t="s">
        <v>81</v>
      </c>
      <c r="Y340" s="21" t="s">
        <v>81</v>
      </c>
      <c r="Z340" s="6" t="s">
        <v>81</v>
      </c>
      <c r="AA340" s="6" t="s">
        <v>81</v>
      </c>
      <c r="AB340" s="6" t="s">
        <v>81</v>
      </c>
      <c r="AC340" s="6" t="s">
        <v>81</v>
      </c>
      <c r="AD340" s="21" t="s">
        <v>81</v>
      </c>
      <c r="AE340" s="6" t="s">
        <v>81</v>
      </c>
      <c r="AF340" s="6" t="s">
        <v>81</v>
      </c>
      <c r="AG340" s="6" t="s">
        <v>81</v>
      </c>
      <c r="AH340" s="6" t="s">
        <v>14938</v>
      </c>
      <c r="AI340" s="6" t="s">
        <v>81</v>
      </c>
      <c r="AJ340" s="6" t="s">
        <v>17536</v>
      </c>
      <c r="AK340" s="6" t="s">
        <v>18377</v>
      </c>
      <c r="AL340" s="6" t="s">
        <v>18444</v>
      </c>
      <c r="AM340" s="6" t="s">
        <v>18700</v>
      </c>
      <c r="AN340" s="6" t="s">
        <v>6842</v>
      </c>
      <c r="AO340" s="6" t="s">
        <v>19788</v>
      </c>
      <c r="AP340" s="6" t="s">
        <v>81</v>
      </c>
      <c r="AQ340" s="6" t="s">
        <v>81</v>
      </c>
      <c r="AR340" s="6" t="s">
        <v>81</v>
      </c>
      <c r="AS340" s="6" t="s">
        <v>81</v>
      </c>
      <c r="AT340" s="6" t="s">
        <v>81</v>
      </c>
      <c r="AU340" s="6" t="s">
        <v>81</v>
      </c>
      <c r="AV340" s="6" t="s">
        <v>81</v>
      </c>
      <c r="AW340" s="6" t="s">
        <v>81</v>
      </c>
      <c r="AX340" s="6" t="s">
        <v>20953</v>
      </c>
      <c r="AY340" s="6" t="s">
        <v>22677</v>
      </c>
      <c r="AZ340" s="6" t="s">
        <v>81</v>
      </c>
      <c r="BA340" s="6" t="s">
        <v>23836</v>
      </c>
      <c r="BB340" s="24" t="n">
        <v>432</v>
      </c>
      <c r="BC340" s="26"/>
      <c r="BD340" s="26"/>
      <c r="BE340" s="26"/>
      <c r="BF340" s="26" t="s">
        <v>23900</v>
      </c>
      <c r="BG340" s="26"/>
      <c r="BH340" s="26"/>
      <c r="BI340" s="26"/>
      <c r="BJ340" s="26"/>
      <c r="BK340" s="26"/>
      <c r="BL340" s="26"/>
      <c r="BM340" s="26"/>
      <c r="BN340" s="26"/>
      <c r="BO340" s="26"/>
      <c r="BP340" s="16" t="n">
        <v>45594</v>
      </c>
      <c r="BQ340" s="28" t="str">
        <f>HYPERLINK("https://organic.ams.usda.gov/Integrity/Certificate.aspx?cid=45&amp;nopid=9950001141")</f>
        <v>https://organic.ams.usda.gov/Integrity/Certificate.aspx?cid=45&amp;nopid=9950001141</v>
      </c>
    </row>
    <row r="341">
      <c r="A341" t="s">
        <v>3</v>
      </c>
      <c r="B341" s="6" t="s">
        <v>15</v>
      </c>
      <c r="C341" s="6" t="s">
        <v>62</v>
      </c>
      <c r="D341" s="6" t="s">
        <v>108</v>
      </c>
      <c r="E341" s="10" t="s">
        <v>482</v>
      </c>
      <c r="F341" s="6" t="s">
        <v>3217</v>
      </c>
      <c r="G341" s="6" t="s">
        <v>5620</v>
      </c>
      <c r="H341" s="6" t="s">
        <v>6196</v>
      </c>
      <c r="I341" s="6" t="s">
        <v>8598</v>
      </c>
      <c r="J341" s="6" t="s">
        <v>9858</v>
      </c>
      <c r="K341" s="6" t="s">
        <v>10886</v>
      </c>
      <c r="L341" s="16" t="n">
        <v>42589</v>
      </c>
      <c r="M341" s="16" t="n">
        <v>45792</v>
      </c>
      <c r="N341" s="6" t="s">
        <v>10886</v>
      </c>
      <c r="O341" s="16" t="n">
        <v>42589</v>
      </c>
      <c r="P341" s="6" t="s">
        <v>11117</v>
      </c>
      <c r="Q341" s="6" t="s">
        <v>81</v>
      </c>
      <c r="R341" s="6" t="s">
        <v>81</v>
      </c>
      <c r="S341" s="6" t="s">
        <v>10886</v>
      </c>
      <c r="T341" s="16" t="n">
        <v>42589</v>
      </c>
      <c r="U341" s="6" t="s">
        <v>13295</v>
      </c>
      <c r="V341" s="6" t="s">
        <v>81</v>
      </c>
      <c r="W341" s="6" t="s">
        <v>81</v>
      </c>
      <c r="X341" s="6" t="s">
        <v>81</v>
      </c>
      <c r="Y341" s="21" t="s">
        <v>81</v>
      </c>
      <c r="Z341" s="6" t="s">
        <v>81</v>
      </c>
      <c r="AA341" s="6" t="s">
        <v>81</v>
      </c>
      <c r="AB341" s="6" t="s">
        <v>81</v>
      </c>
      <c r="AC341" s="6" t="s">
        <v>81</v>
      </c>
      <c r="AD341" s="21" t="s">
        <v>81</v>
      </c>
      <c r="AE341" s="6" t="s">
        <v>81</v>
      </c>
      <c r="AF341" s="6" t="s">
        <v>81</v>
      </c>
      <c r="AG341" s="6" t="s">
        <v>81</v>
      </c>
      <c r="AH341" s="6" t="s">
        <v>14939</v>
      </c>
      <c r="AI341" s="6" t="s">
        <v>81</v>
      </c>
      <c r="AJ341" s="6" t="s">
        <v>17537</v>
      </c>
      <c r="AK341" s="6" t="s">
        <v>8428</v>
      </c>
      <c r="AL341" s="6" t="s">
        <v>18444</v>
      </c>
      <c r="AM341" s="6" t="s">
        <v>18701</v>
      </c>
      <c r="AN341" s="6" t="s">
        <v>19686</v>
      </c>
      <c r="AO341" s="6" t="s">
        <v>19751</v>
      </c>
      <c r="AP341" s="6" t="s">
        <v>14939</v>
      </c>
      <c r="AQ341" s="6" t="s">
        <v>81</v>
      </c>
      <c r="AR341" s="6" t="s">
        <v>17537</v>
      </c>
      <c r="AS341" s="6" t="s">
        <v>8428</v>
      </c>
      <c r="AT341" s="6" t="s">
        <v>18444</v>
      </c>
      <c r="AU341" s="6" t="s">
        <v>18701</v>
      </c>
      <c r="AV341" s="6" t="s">
        <v>81</v>
      </c>
      <c r="AW341" s="6" t="s">
        <v>81</v>
      </c>
      <c r="AX341" s="6" t="s">
        <v>20954</v>
      </c>
      <c r="AY341" s="6" t="s">
        <v>22678</v>
      </c>
      <c r="AZ341" s="6" t="s">
        <v>81</v>
      </c>
      <c r="BA341" s="6" t="s">
        <v>81</v>
      </c>
      <c r="BB341" s="24" t="n">
        <v>166</v>
      </c>
      <c r="BC341" s="26"/>
      <c r="BD341" s="26"/>
      <c r="BE341" s="26"/>
      <c r="BF341" s="26" t="s">
        <v>23900</v>
      </c>
      <c r="BG341" s="26"/>
      <c r="BH341" s="26"/>
      <c r="BI341" s="26"/>
      <c r="BJ341" s="26"/>
      <c r="BK341" s="26"/>
      <c r="BL341" s="26"/>
      <c r="BM341" s="26"/>
      <c r="BN341" s="26"/>
      <c r="BO341" s="26"/>
      <c r="BP341" s="16" t="n">
        <v>45737</v>
      </c>
      <c r="BQ341" s="28" t="str">
        <f>HYPERLINK("https://organic.ams.usda.gov/Integrity/Certificate.aspx?cid=58&amp;nopid=1600002626")</f>
        <v>https://organic.ams.usda.gov/Integrity/Certificate.aspx?cid=58&amp;nopid=1600002626</v>
      </c>
    </row>
    <row r="342">
      <c r="A342" t="s">
        <v>3</v>
      </c>
      <c r="B342" s="6" t="s">
        <v>12</v>
      </c>
      <c r="C342" s="6" t="s">
        <v>59</v>
      </c>
      <c r="D342" s="6" t="s">
        <v>105</v>
      </c>
      <c r="E342" s="10" t="s">
        <v>483</v>
      </c>
      <c r="F342" s="6" t="s">
        <v>3218</v>
      </c>
      <c r="G342" s="6" t="s">
        <v>81</v>
      </c>
      <c r="H342" s="6" t="s">
        <v>81</v>
      </c>
      <c r="I342" s="6" t="s">
        <v>8599</v>
      </c>
      <c r="J342" s="6" t="s">
        <v>9859</v>
      </c>
      <c r="K342" s="6" t="s">
        <v>10886</v>
      </c>
      <c r="L342" s="16" t="n">
        <v>42863</v>
      </c>
      <c r="M342" s="16" t="n">
        <v>44621</v>
      </c>
      <c r="N342" s="6" t="s">
        <v>10886</v>
      </c>
      <c r="O342" s="16" t="n">
        <v>43026</v>
      </c>
      <c r="P342" s="6" t="s">
        <v>11118</v>
      </c>
      <c r="Q342" s="6" t="s">
        <v>81</v>
      </c>
      <c r="R342" s="6" t="s">
        <v>12513</v>
      </c>
      <c r="S342" s="6" t="s">
        <v>10886</v>
      </c>
      <c r="T342" s="16" t="n">
        <v>43026</v>
      </c>
      <c r="U342" s="6" t="s">
        <v>13296</v>
      </c>
      <c r="V342" s="6" t="s">
        <v>81</v>
      </c>
      <c r="W342" s="6" t="s">
        <v>12513</v>
      </c>
      <c r="X342" s="6" t="s">
        <v>81</v>
      </c>
      <c r="Y342" s="21" t="s">
        <v>81</v>
      </c>
      <c r="Z342" s="6" t="s">
        <v>81</v>
      </c>
      <c r="AA342" s="6" t="s">
        <v>81</v>
      </c>
      <c r="AB342" s="6" t="s">
        <v>81</v>
      </c>
      <c r="AC342" s="6" t="s">
        <v>81</v>
      </c>
      <c r="AD342" s="21" t="s">
        <v>81</v>
      </c>
      <c r="AE342" s="6" t="s">
        <v>81</v>
      </c>
      <c r="AF342" s="6" t="s">
        <v>81</v>
      </c>
      <c r="AG342" s="6" t="s">
        <v>81</v>
      </c>
      <c r="AH342" s="6" t="s">
        <v>14940</v>
      </c>
      <c r="AI342" s="6" t="s">
        <v>81</v>
      </c>
      <c r="AJ342" s="6" t="s">
        <v>17538</v>
      </c>
      <c r="AK342" s="6" t="s">
        <v>8428</v>
      </c>
      <c r="AL342" s="6" t="s">
        <v>18444</v>
      </c>
      <c r="AM342" s="6" t="s">
        <v>18702</v>
      </c>
      <c r="AN342" s="6" t="s">
        <v>19659</v>
      </c>
      <c r="AO342" s="6" t="s">
        <v>19843</v>
      </c>
      <c r="AP342" s="6" t="s">
        <v>20134</v>
      </c>
      <c r="AQ342" s="6" t="s">
        <v>81</v>
      </c>
      <c r="AR342" s="6" t="s">
        <v>20506</v>
      </c>
      <c r="AS342" s="6" t="s">
        <v>8428</v>
      </c>
      <c r="AT342" s="6" t="s">
        <v>18444</v>
      </c>
      <c r="AU342" s="6" t="s">
        <v>20615</v>
      </c>
      <c r="AV342" s="6" t="s">
        <v>81</v>
      </c>
      <c r="AW342" s="6" t="s">
        <v>81</v>
      </c>
      <c r="AX342" s="6" t="s">
        <v>20955</v>
      </c>
      <c r="AY342" s="6" t="s">
        <v>22679</v>
      </c>
      <c r="AZ342" s="6" t="s">
        <v>81</v>
      </c>
      <c r="BA342" s="6" t="s">
        <v>81</v>
      </c>
      <c r="BB342" s="6" t="s">
        <v>81</v>
      </c>
      <c r="BC342" s="26"/>
      <c r="BD342" s="26"/>
      <c r="BE342" s="26"/>
      <c r="BF342" s="26"/>
      <c r="BG342" s="26"/>
      <c r="BH342" s="26"/>
      <c r="BI342" s="26"/>
      <c r="BJ342" s="26"/>
      <c r="BK342" s="26"/>
      <c r="BL342" s="26"/>
      <c r="BM342" s="26"/>
      <c r="BN342" s="26"/>
      <c r="BO342" s="26"/>
      <c r="BP342" s="16" t="n">
        <v>44561</v>
      </c>
      <c r="BQ342" s="28" t="str">
        <f>HYPERLINK("https://organic.ams.usda.gov/Integrity/Certificate.aspx?cid=68&amp;nopid=8210004160")</f>
        <v>https://organic.ams.usda.gov/Integrity/Certificate.aspx?cid=68&amp;nopid=8210004160</v>
      </c>
    </row>
    <row r="343">
      <c r="A343" t="s">
        <v>3</v>
      </c>
      <c r="B343" s="6" t="s">
        <v>22</v>
      </c>
      <c r="C343" s="6" t="s">
        <v>69</v>
      </c>
      <c r="D343" s="6" t="s">
        <v>115</v>
      </c>
      <c r="E343" s="10" t="s">
        <v>484</v>
      </c>
      <c r="F343" s="6" t="s">
        <v>3219</v>
      </c>
      <c r="G343" s="6" t="s">
        <v>81</v>
      </c>
      <c r="H343" s="6" t="s">
        <v>81</v>
      </c>
      <c r="I343" s="6" t="s">
        <v>8600</v>
      </c>
      <c r="J343" s="6" t="s">
        <v>9860</v>
      </c>
      <c r="K343" s="6" t="s">
        <v>10886</v>
      </c>
      <c r="L343" s="16" t="n">
        <v>43625</v>
      </c>
      <c r="M343" s="16" t="n">
        <v>46087</v>
      </c>
      <c r="N343" s="6" t="s">
        <v>81</v>
      </c>
      <c r="O343" s="21" t="s">
        <v>81</v>
      </c>
      <c r="P343" s="6" t="s">
        <v>81</v>
      </c>
      <c r="Q343" s="6" t="s">
        <v>81</v>
      </c>
      <c r="R343" s="6" t="s">
        <v>81</v>
      </c>
      <c r="S343" s="6" t="s">
        <v>81</v>
      </c>
      <c r="T343" s="21" t="s">
        <v>81</v>
      </c>
      <c r="U343" s="6" t="s">
        <v>81</v>
      </c>
      <c r="V343" s="6" t="s">
        <v>81</v>
      </c>
      <c r="W343" s="6" t="s">
        <v>81</v>
      </c>
      <c r="X343" s="6" t="s">
        <v>81</v>
      </c>
      <c r="Y343" s="21" t="s">
        <v>81</v>
      </c>
      <c r="Z343" s="6" t="s">
        <v>81</v>
      </c>
      <c r="AA343" s="6" t="s">
        <v>81</v>
      </c>
      <c r="AB343" s="6" t="s">
        <v>81</v>
      </c>
      <c r="AC343" s="6" t="s">
        <v>10886</v>
      </c>
      <c r="AD343" s="16" t="n">
        <v>43627</v>
      </c>
      <c r="AE343" s="6" t="s">
        <v>14075</v>
      </c>
      <c r="AF343" s="6" t="s">
        <v>81</v>
      </c>
      <c r="AG343" s="6" t="s">
        <v>81</v>
      </c>
      <c r="AH343" s="6" t="s">
        <v>14941</v>
      </c>
      <c r="AI343" s="6" t="s">
        <v>17279</v>
      </c>
      <c r="AJ343" s="6" t="s">
        <v>17539</v>
      </c>
      <c r="AK343" s="6" t="s">
        <v>81</v>
      </c>
      <c r="AL343" s="6" t="s">
        <v>18449</v>
      </c>
      <c r="AM343" s="6" t="s">
        <v>81</v>
      </c>
      <c r="AN343" s="6" t="s">
        <v>81</v>
      </c>
      <c r="AO343" s="6" t="s">
        <v>81</v>
      </c>
      <c r="AP343" s="6" t="s">
        <v>14941</v>
      </c>
      <c r="AQ343" s="6" t="s">
        <v>17279</v>
      </c>
      <c r="AR343" s="6" t="s">
        <v>17539</v>
      </c>
      <c r="AS343" s="6" t="s">
        <v>81</v>
      </c>
      <c r="AT343" s="6" t="s">
        <v>18449</v>
      </c>
      <c r="AU343" s="6" t="s">
        <v>81</v>
      </c>
      <c r="AV343" s="6" t="s">
        <v>81</v>
      </c>
      <c r="AW343" s="6" t="s">
        <v>81</v>
      </c>
      <c r="AX343" s="6" t="s">
        <v>20956</v>
      </c>
      <c r="AY343" s="6" t="s">
        <v>22680</v>
      </c>
      <c r="AZ343" s="6" t="s">
        <v>81</v>
      </c>
      <c r="BA343" s="6" t="s">
        <v>81</v>
      </c>
      <c r="BB343" s="6" t="s">
        <v>81</v>
      </c>
      <c r="BC343" s="26"/>
      <c r="BD343" s="26"/>
      <c r="BE343" s="26"/>
      <c r="BF343" s="26"/>
      <c r="BG343" s="26"/>
      <c r="BH343" s="26"/>
      <c r="BI343" s="26"/>
      <c r="BJ343" s="26"/>
      <c r="BK343" s="26"/>
      <c r="BL343" s="26"/>
      <c r="BM343" s="26"/>
      <c r="BN343" s="26"/>
      <c r="BO343" s="26"/>
      <c r="BP343" s="16" t="n">
        <v>45735</v>
      </c>
      <c r="BQ343" s="28" t="str">
        <f>HYPERLINK("https://organic.ams.usda.gov/Integrity/Certificate.aspx?cid=21&amp;nopid=1780821842")</f>
        <v>https://organic.ams.usda.gov/Integrity/Certificate.aspx?cid=21&amp;nopid=1780821842</v>
      </c>
    </row>
    <row r="344">
      <c r="A344" t="s">
        <v>3</v>
      </c>
      <c r="B344" s="6" t="s">
        <v>24</v>
      </c>
      <c r="C344" s="6" t="s">
        <v>71</v>
      </c>
      <c r="D344" s="6" t="s">
        <v>117</v>
      </c>
      <c r="E344" s="10" t="s">
        <v>485</v>
      </c>
      <c r="F344" s="6" t="s">
        <v>3220</v>
      </c>
      <c r="G344" s="6" t="s">
        <v>81</v>
      </c>
      <c r="H344" s="6" t="s">
        <v>81</v>
      </c>
      <c r="I344" s="6" t="s">
        <v>8601</v>
      </c>
      <c r="J344" s="6" t="s">
        <v>9861</v>
      </c>
      <c r="K344" s="6" t="s">
        <v>10886</v>
      </c>
      <c r="L344" s="16" t="n">
        <v>45352</v>
      </c>
      <c r="M344" s="16" t="n">
        <v>45901</v>
      </c>
      <c r="N344" s="6" t="s">
        <v>10886</v>
      </c>
      <c r="O344" s="16" t="n">
        <v>45352</v>
      </c>
      <c r="P344" s="6" t="s">
        <v>11119</v>
      </c>
      <c r="Q344" s="6" t="s">
        <v>81</v>
      </c>
      <c r="R344" s="6" t="s">
        <v>81</v>
      </c>
      <c r="S344" s="6" t="s">
        <v>10886</v>
      </c>
      <c r="T344" s="16" t="n">
        <v>45352</v>
      </c>
      <c r="U344" s="6" t="s">
        <v>13297</v>
      </c>
      <c r="V344" s="6" t="s">
        <v>81</v>
      </c>
      <c r="W344" s="6" t="s">
        <v>81</v>
      </c>
      <c r="X344" s="6" t="s">
        <v>81</v>
      </c>
      <c r="Y344" s="21" t="s">
        <v>81</v>
      </c>
      <c r="Z344" s="6" t="s">
        <v>81</v>
      </c>
      <c r="AA344" s="6" t="s">
        <v>81</v>
      </c>
      <c r="AB344" s="6" t="s">
        <v>81</v>
      </c>
      <c r="AC344" s="6" t="s">
        <v>10886</v>
      </c>
      <c r="AD344" s="16" t="n">
        <v>45352</v>
      </c>
      <c r="AE344" s="6" t="s">
        <v>14014</v>
      </c>
      <c r="AF344" s="6" t="s">
        <v>81</v>
      </c>
      <c r="AG344" s="6" t="s">
        <v>81</v>
      </c>
      <c r="AH344" s="6" t="s">
        <v>14942</v>
      </c>
      <c r="AI344" s="6" t="s">
        <v>81</v>
      </c>
      <c r="AJ344" s="6" t="s">
        <v>17540</v>
      </c>
      <c r="AK344" s="6" t="s">
        <v>17955</v>
      </c>
      <c r="AL344" s="6" t="s">
        <v>18444</v>
      </c>
      <c r="AM344" s="6" t="s">
        <v>18703</v>
      </c>
      <c r="AN344" s="6" t="s">
        <v>81</v>
      </c>
      <c r="AO344" s="6" t="s">
        <v>81</v>
      </c>
      <c r="AP344" s="6" t="s">
        <v>20135</v>
      </c>
      <c r="AQ344" s="6" t="s">
        <v>81</v>
      </c>
      <c r="AR344" s="6" t="s">
        <v>17540</v>
      </c>
      <c r="AS344" s="6" t="s">
        <v>17955</v>
      </c>
      <c r="AT344" s="6" t="s">
        <v>18444</v>
      </c>
      <c r="AU344" s="6" t="s">
        <v>18703</v>
      </c>
      <c r="AV344" s="6" t="s">
        <v>81</v>
      </c>
      <c r="AW344" s="6" t="s">
        <v>81</v>
      </c>
      <c r="AX344" s="6" t="s">
        <v>81</v>
      </c>
      <c r="AY344" s="6" t="s">
        <v>22681</v>
      </c>
      <c r="AZ344" s="6" t="s">
        <v>81</v>
      </c>
      <c r="BA344" s="6" t="s">
        <v>81</v>
      </c>
      <c r="BB344" s="24" t="n">
        <v>1408</v>
      </c>
      <c r="BC344" s="26"/>
      <c r="BD344" s="26"/>
      <c r="BE344" s="26"/>
      <c r="BF344" s="26"/>
      <c r="BG344" s="26"/>
      <c r="BH344" s="26"/>
      <c r="BI344" s="26"/>
      <c r="BJ344" s="26"/>
      <c r="BK344" s="26"/>
      <c r="BL344" s="26"/>
      <c r="BM344" s="26"/>
      <c r="BN344" s="26"/>
      <c r="BO344" s="26"/>
      <c r="BP344" s="16" t="n">
        <v>45628</v>
      </c>
      <c r="BQ344" s="28" t="str">
        <f>HYPERLINK("https://organic.ams.usda.gov/Integrity/Certificate.aspx?cid=1&amp;nopid=9092429201")</f>
        <v>https://organic.ams.usda.gov/Integrity/Certificate.aspx?cid=1&amp;nopid=9092429201</v>
      </c>
    </row>
    <row r="345">
      <c r="A345" t="s">
        <v>3</v>
      </c>
      <c r="B345" s="6" t="s">
        <v>23</v>
      </c>
      <c r="C345" s="6" t="s">
        <v>70</v>
      </c>
      <c r="D345" s="6" t="s">
        <v>116</v>
      </c>
      <c r="E345" s="10" t="s">
        <v>486</v>
      </c>
      <c r="F345" s="6" t="s">
        <v>3221</v>
      </c>
      <c r="G345" s="6" t="s">
        <v>81</v>
      </c>
      <c r="H345" s="6" t="s">
        <v>6197</v>
      </c>
      <c r="I345" s="6" t="s">
        <v>8602</v>
      </c>
      <c r="J345" s="6" t="s">
        <v>9862</v>
      </c>
      <c r="K345" s="6" t="s">
        <v>10886</v>
      </c>
      <c r="L345" s="16" t="n">
        <v>43532</v>
      </c>
      <c r="M345" s="16" t="n">
        <v>45724</v>
      </c>
      <c r="N345" s="6" t="s">
        <v>10886</v>
      </c>
      <c r="O345" s="16" t="n">
        <v>43532</v>
      </c>
      <c r="P345" s="6" t="s">
        <v>11120</v>
      </c>
      <c r="Q345" s="6" t="s">
        <v>81</v>
      </c>
      <c r="R345" s="6" t="s">
        <v>12514</v>
      </c>
      <c r="S345" s="6" t="s">
        <v>10886</v>
      </c>
      <c r="T345" s="16" t="n">
        <v>43532</v>
      </c>
      <c r="U345" s="6" t="s">
        <v>13298</v>
      </c>
      <c r="V345" s="6" t="s">
        <v>81</v>
      </c>
      <c r="W345" s="6" t="s">
        <v>12514</v>
      </c>
      <c r="X345" s="6" t="s">
        <v>81</v>
      </c>
      <c r="Y345" s="21" t="s">
        <v>81</v>
      </c>
      <c r="Z345" s="6" t="s">
        <v>81</v>
      </c>
      <c r="AA345" s="6" t="s">
        <v>81</v>
      </c>
      <c r="AB345" s="6" t="s">
        <v>81</v>
      </c>
      <c r="AC345" s="6" t="s">
        <v>81</v>
      </c>
      <c r="AD345" s="21" t="s">
        <v>81</v>
      </c>
      <c r="AE345" s="6" t="s">
        <v>81</v>
      </c>
      <c r="AF345" s="6" t="s">
        <v>81</v>
      </c>
      <c r="AG345" s="6" t="s">
        <v>81</v>
      </c>
      <c r="AH345" s="6" t="s">
        <v>14943</v>
      </c>
      <c r="AI345" s="6" t="s">
        <v>81</v>
      </c>
      <c r="AJ345" s="6" t="s">
        <v>17506</v>
      </c>
      <c r="AK345" s="6" t="s">
        <v>18386</v>
      </c>
      <c r="AL345" s="6" t="s">
        <v>18444</v>
      </c>
      <c r="AM345" s="6" t="s">
        <v>18667</v>
      </c>
      <c r="AN345" s="6" t="s">
        <v>81</v>
      </c>
      <c r="AO345" s="6" t="s">
        <v>81</v>
      </c>
      <c r="AP345" s="6" t="s">
        <v>20136</v>
      </c>
      <c r="AQ345" s="6" t="s">
        <v>81</v>
      </c>
      <c r="AR345" s="6" t="s">
        <v>17623</v>
      </c>
      <c r="AS345" s="6" t="s">
        <v>18386</v>
      </c>
      <c r="AT345" s="6" t="s">
        <v>18444</v>
      </c>
      <c r="AU345" s="6" t="s">
        <v>18790</v>
      </c>
      <c r="AV345" s="6" t="s">
        <v>19651</v>
      </c>
      <c r="AW345" s="6" t="s">
        <v>19864</v>
      </c>
      <c r="AX345" s="6" t="s">
        <v>20957</v>
      </c>
      <c r="AY345" s="6" t="s">
        <v>22682</v>
      </c>
      <c r="AZ345" s="6" t="s">
        <v>81</v>
      </c>
      <c r="BA345" s="6" t="s">
        <v>81</v>
      </c>
      <c r="BB345" s="24" t="n">
        <v>620</v>
      </c>
      <c r="BC345" s="26"/>
      <c r="BD345" s="26"/>
      <c r="BE345" s="26"/>
      <c r="BF345" s="26"/>
      <c r="BG345" s="26"/>
      <c r="BH345" s="26"/>
      <c r="BI345" s="26"/>
      <c r="BJ345" s="26"/>
      <c r="BK345" s="26"/>
      <c r="BL345" s="26"/>
      <c r="BM345" s="26"/>
      <c r="BN345" s="26"/>
      <c r="BO345" s="26"/>
      <c r="BP345" s="16" t="n">
        <v>45580</v>
      </c>
      <c r="BQ345" s="28" t="str">
        <f>HYPERLINK("https://organic.ams.usda.gov/Integrity/Certificate.aspx?cid=63&amp;nopid=6220007864")</f>
        <v>https://organic.ams.usda.gov/Integrity/Certificate.aspx?cid=63&amp;nopid=6220007864</v>
      </c>
    </row>
    <row r="346">
      <c r="A346" t="s">
        <v>3</v>
      </c>
      <c r="B346" s="6" t="s">
        <v>20</v>
      </c>
      <c r="C346" s="6" t="s">
        <v>67</v>
      </c>
      <c r="D346" s="6" t="s">
        <v>113</v>
      </c>
      <c r="E346" s="10" t="s">
        <v>487</v>
      </c>
      <c r="F346" s="6" t="s">
        <v>3222</v>
      </c>
      <c r="G346" s="6" t="s">
        <v>81</v>
      </c>
      <c r="H346" s="6" t="s">
        <v>6198</v>
      </c>
      <c r="I346" s="6" t="s">
        <v>8603</v>
      </c>
      <c r="J346" s="6" t="s">
        <v>9863</v>
      </c>
      <c r="K346" s="6" t="s">
        <v>10886</v>
      </c>
      <c r="L346" s="16" t="n">
        <v>37375</v>
      </c>
      <c r="M346" s="16" t="n">
        <v>45783</v>
      </c>
      <c r="N346" s="6" t="s">
        <v>81</v>
      </c>
      <c r="O346" s="21" t="s">
        <v>81</v>
      </c>
      <c r="P346" s="6" t="s">
        <v>81</v>
      </c>
      <c r="Q346" s="6" t="s">
        <v>81</v>
      </c>
      <c r="R346" s="6" t="s">
        <v>81</v>
      </c>
      <c r="S346" s="6" t="s">
        <v>81</v>
      </c>
      <c r="T346" s="21" t="s">
        <v>81</v>
      </c>
      <c r="U346" s="6" t="s">
        <v>81</v>
      </c>
      <c r="V346" s="6" t="s">
        <v>81</v>
      </c>
      <c r="W346" s="6" t="s">
        <v>81</v>
      </c>
      <c r="X346" s="6" t="s">
        <v>81</v>
      </c>
      <c r="Y346" s="21" t="s">
        <v>81</v>
      </c>
      <c r="Z346" s="6" t="s">
        <v>81</v>
      </c>
      <c r="AA346" s="6" t="s">
        <v>81</v>
      </c>
      <c r="AB346" s="6" t="s">
        <v>81</v>
      </c>
      <c r="AC346" s="6" t="s">
        <v>10886</v>
      </c>
      <c r="AD346" s="16" t="n">
        <v>37375</v>
      </c>
      <c r="AE346" s="6" t="s">
        <v>14076</v>
      </c>
      <c r="AF346" s="6" t="s">
        <v>81</v>
      </c>
      <c r="AG346" s="6" t="s">
        <v>14525</v>
      </c>
      <c r="AH346" s="6" t="s">
        <v>14944</v>
      </c>
      <c r="AI346" s="6" t="s">
        <v>81</v>
      </c>
      <c r="AJ346" s="6" t="s">
        <v>17541</v>
      </c>
      <c r="AK346" s="6" t="s">
        <v>18386</v>
      </c>
      <c r="AL346" s="6" t="s">
        <v>18444</v>
      </c>
      <c r="AM346" s="6" t="s">
        <v>18704</v>
      </c>
      <c r="AN346" s="6" t="s">
        <v>19645</v>
      </c>
      <c r="AO346" s="6" t="s">
        <v>19777</v>
      </c>
      <c r="AP346" s="6" t="s">
        <v>14944</v>
      </c>
      <c r="AQ346" s="6" t="s">
        <v>81</v>
      </c>
      <c r="AR346" s="6" t="s">
        <v>17541</v>
      </c>
      <c r="AS346" s="6" t="s">
        <v>18386</v>
      </c>
      <c r="AT346" s="6" t="s">
        <v>18444</v>
      </c>
      <c r="AU346" s="6" t="s">
        <v>18704</v>
      </c>
      <c r="AV346" s="6" t="s">
        <v>81</v>
      </c>
      <c r="AW346" s="6" t="s">
        <v>81</v>
      </c>
      <c r="AX346" s="6" t="s">
        <v>20782</v>
      </c>
      <c r="AY346" s="6" t="s">
        <v>22683</v>
      </c>
      <c r="AZ346" s="6" t="s">
        <v>23603</v>
      </c>
      <c r="BA346" s="6" t="s">
        <v>81</v>
      </c>
      <c r="BB346" s="6" t="s">
        <v>81</v>
      </c>
      <c r="BC346" s="26"/>
      <c r="BD346" s="26"/>
      <c r="BE346" s="26" t="s">
        <v>23900</v>
      </c>
      <c r="BF346" s="26"/>
      <c r="BG346" s="26" t="s">
        <v>23900</v>
      </c>
      <c r="BH346" s="26"/>
      <c r="BI346" s="26"/>
      <c r="BJ346" s="26"/>
      <c r="BK346" s="26"/>
      <c r="BL346" s="26"/>
      <c r="BM346" s="26"/>
      <c r="BN346" s="26"/>
      <c r="BO346" s="26"/>
      <c r="BP346" s="16" t="n">
        <v>45737</v>
      </c>
      <c r="BQ346" s="28" t="str">
        <f>HYPERLINK("https://organic.ams.usda.gov/Integrity/Certificate.aspx?cid=71&amp;nopid=5520030594")</f>
        <v>https://organic.ams.usda.gov/Integrity/Certificate.aspx?cid=71&amp;nopid=5520030594</v>
      </c>
    </row>
    <row r="347">
      <c r="A347" t="s">
        <v>3</v>
      </c>
      <c r="B347" s="6" t="s">
        <v>20</v>
      </c>
      <c r="C347" s="6" t="s">
        <v>67</v>
      </c>
      <c r="D347" s="6" t="s">
        <v>113</v>
      </c>
      <c r="E347" s="10" t="s">
        <v>488</v>
      </c>
      <c r="F347" s="6" t="s">
        <v>3223</v>
      </c>
      <c r="G347" s="6" t="s">
        <v>81</v>
      </c>
      <c r="H347" s="6" t="s">
        <v>6199</v>
      </c>
      <c r="I347" s="6" t="s">
        <v>8604</v>
      </c>
      <c r="J347" s="6" t="s">
        <v>9864</v>
      </c>
      <c r="K347" s="6" t="s">
        <v>10886</v>
      </c>
      <c r="L347" s="16" t="n">
        <v>37375</v>
      </c>
      <c r="M347" s="16" t="n">
        <v>45987</v>
      </c>
      <c r="N347" s="6" t="s">
        <v>81</v>
      </c>
      <c r="O347" s="21" t="s">
        <v>81</v>
      </c>
      <c r="P347" s="6" t="s">
        <v>81</v>
      </c>
      <c r="Q347" s="6" t="s">
        <v>81</v>
      </c>
      <c r="R347" s="6" t="s">
        <v>81</v>
      </c>
      <c r="S347" s="6" t="s">
        <v>81</v>
      </c>
      <c r="T347" s="21" t="s">
        <v>81</v>
      </c>
      <c r="U347" s="6" t="s">
        <v>81</v>
      </c>
      <c r="V347" s="6" t="s">
        <v>81</v>
      </c>
      <c r="W347" s="6" t="s">
        <v>81</v>
      </c>
      <c r="X347" s="6" t="s">
        <v>81</v>
      </c>
      <c r="Y347" s="21" t="s">
        <v>81</v>
      </c>
      <c r="Z347" s="6" t="s">
        <v>81</v>
      </c>
      <c r="AA347" s="6" t="s">
        <v>81</v>
      </c>
      <c r="AB347" s="6" t="s">
        <v>81</v>
      </c>
      <c r="AC347" s="6" t="s">
        <v>10886</v>
      </c>
      <c r="AD347" s="16" t="n">
        <v>37375</v>
      </c>
      <c r="AE347" s="6" t="s">
        <v>14077</v>
      </c>
      <c r="AF347" s="6" t="s">
        <v>81</v>
      </c>
      <c r="AG347" s="6" t="s">
        <v>14526</v>
      </c>
      <c r="AH347" s="6" t="s">
        <v>14945</v>
      </c>
      <c r="AI347" s="6" t="s">
        <v>81</v>
      </c>
      <c r="AJ347" s="6" t="s">
        <v>17542</v>
      </c>
      <c r="AK347" s="6" t="s">
        <v>18386</v>
      </c>
      <c r="AL347" s="6" t="s">
        <v>18444</v>
      </c>
      <c r="AM347" s="6" t="s">
        <v>18705</v>
      </c>
      <c r="AN347" s="6" t="s">
        <v>19639</v>
      </c>
      <c r="AO347" s="6" t="s">
        <v>19793</v>
      </c>
      <c r="AP347" s="6" t="s">
        <v>14945</v>
      </c>
      <c r="AQ347" s="6" t="s">
        <v>81</v>
      </c>
      <c r="AR347" s="6" t="s">
        <v>17542</v>
      </c>
      <c r="AS347" s="6" t="s">
        <v>18386</v>
      </c>
      <c r="AT347" s="6" t="s">
        <v>18444</v>
      </c>
      <c r="AU347" s="6" t="s">
        <v>18705</v>
      </c>
      <c r="AV347" s="6" t="s">
        <v>81</v>
      </c>
      <c r="AW347" s="6" t="s">
        <v>81</v>
      </c>
      <c r="AX347" s="6" t="s">
        <v>20958</v>
      </c>
      <c r="AY347" s="6" t="s">
        <v>22684</v>
      </c>
      <c r="AZ347" s="6" t="s">
        <v>81</v>
      </c>
      <c r="BA347" s="6" t="s">
        <v>81</v>
      </c>
      <c r="BB347" s="6" t="s">
        <v>81</v>
      </c>
      <c r="BC347" s="26"/>
      <c r="BD347" s="26"/>
      <c r="BE347" s="26"/>
      <c r="BF347" s="26"/>
      <c r="BG347" s="26"/>
      <c r="BH347" s="26"/>
      <c r="BI347" s="26"/>
      <c r="BJ347" s="26"/>
      <c r="BK347" s="26"/>
      <c r="BL347" s="26"/>
      <c r="BM347" s="26"/>
      <c r="BN347" s="26"/>
      <c r="BO347" s="26"/>
      <c r="BP347" s="16" t="n">
        <v>45739</v>
      </c>
      <c r="BQ347" s="28" t="str">
        <f>HYPERLINK("https://organic.ams.usda.gov/Integrity/Certificate.aspx?cid=71&amp;nopid=5520029865")</f>
        <v>https://organic.ams.usda.gov/Integrity/Certificate.aspx?cid=71&amp;nopid=5520029865</v>
      </c>
    </row>
    <row r="348">
      <c r="A348" t="s">
        <v>3</v>
      </c>
      <c r="B348" s="6" t="s">
        <v>18</v>
      </c>
      <c r="C348" s="6" t="s">
        <v>65</v>
      </c>
      <c r="D348" s="6" t="s">
        <v>111</v>
      </c>
      <c r="E348" s="10" t="s">
        <v>489</v>
      </c>
      <c r="F348" s="6" t="s">
        <v>3224</v>
      </c>
      <c r="G348" s="6" t="s">
        <v>81</v>
      </c>
      <c r="H348" s="6" t="s">
        <v>489</v>
      </c>
      <c r="I348" s="6" t="s">
        <v>8605</v>
      </c>
      <c r="J348" s="6" t="s">
        <v>9811</v>
      </c>
      <c r="K348" s="6" t="s">
        <v>10886</v>
      </c>
      <c r="L348" s="16" t="n">
        <v>44622</v>
      </c>
      <c r="M348" s="16" t="n">
        <v>46068</v>
      </c>
      <c r="N348" s="6" t="s">
        <v>10886</v>
      </c>
      <c r="O348" s="16" t="n">
        <v>44622</v>
      </c>
      <c r="P348" s="6" t="s">
        <v>10922</v>
      </c>
      <c r="Q348" s="6" t="s">
        <v>81</v>
      </c>
      <c r="R348" s="6" t="s">
        <v>3224</v>
      </c>
      <c r="S348" s="6" t="s">
        <v>10886</v>
      </c>
      <c r="T348" s="16" t="n">
        <v>44622</v>
      </c>
      <c r="U348" s="6" t="s">
        <v>13299</v>
      </c>
      <c r="V348" s="6" t="s">
        <v>81</v>
      </c>
      <c r="W348" s="6" t="s">
        <v>3224</v>
      </c>
      <c r="X348" s="6" t="s">
        <v>81</v>
      </c>
      <c r="Y348" s="21" t="s">
        <v>81</v>
      </c>
      <c r="Z348" s="6" t="s">
        <v>81</v>
      </c>
      <c r="AA348" s="6" t="s">
        <v>81</v>
      </c>
      <c r="AB348" s="6" t="s">
        <v>81</v>
      </c>
      <c r="AC348" s="6" t="s">
        <v>10886</v>
      </c>
      <c r="AD348" s="16" t="n">
        <v>44622</v>
      </c>
      <c r="AE348" s="6" t="s">
        <v>14078</v>
      </c>
      <c r="AF348" s="6" t="s">
        <v>81</v>
      </c>
      <c r="AG348" s="6" t="s">
        <v>3224</v>
      </c>
      <c r="AH348" s="6" t="s">
        <v>14946</v>
      </c>
      <c r="AI348" s="6" t="s">
        <v>81</v>
      </c>
      <c r="AJ348" s="6" t="s">
        <v>17543</v>
      </c>
      <c r="AK348" s="6" t="s">
        <v>18388</v>
      </c>
      <c r="AL348" s="6" t="s">
        <v>18444</v>
      </c>
      <c r="AM348" s="6" t="s">
        <v>18706</v>
      </c>
      <c r="AN348" s="6" t="s">
        <v>19683</v>
      </c>
      <c r="AO348" s="6" t="s">
        <v>19844</v>
      </c>
      <c r="AP348" s="6" t="s">
        <v>14946</v>
      </c>
      <c r="AQ348" s="6" t="s">
        <v>81</v>
      </c>
      <c r="AR348" s="6" t="s">
        <v>17543</v>
      </c>
      <c r="AS348" s="6" t="s">
        <v>18388</v>
      </c>
      <c r="AT348" s="6" t="s">
        <v>18444</v>
      </c>
      <c r="AU348" s="6" t="s">
        <v>18706</v>
      </c>
      <c r="AV348" s="6" t="s">
        <v>81</v>
      </c>
      <c r="AW348" s="6" t="s">
        <v>81</v>
      </c>
      <c r="AX348" s="6" t="s">
        <v>20959</v>
      </c>
      <c r="AY348" s="6" t="s">
        <v>22685</v>
      </c>
      <c r="AZ348" s="6" t="s">
        <v>23604</v>
      </c>
      <c r="BA348" s="6" t="s">
        <v>81</v>
      </c>
      <c r="BB348" s="24" t="n">
        <v>31</v>
      </c>
      <c r="BC348" s="26"/>
      <c r="BD348" s="26"/>
      <c r="BE348" s="26"/>
      <c r="BF348" s="26" t="s">
        <v>23900</v>
      </c>
      <c r="BG348" s="26"/>
      <c r="BH348" s="26"/>
      <c r="BI348" s="26"/>
      <c r="BJ348" s="26"/>
      <c r="BK348" s="26"/>
      <c r="BL348" s="26"/>
      <c r="BM348" s="26"/>
      <c r="BN348" s="26"/>
      <c r="BO348" s="26"/>
      <c r="BP348" s="16" t="n">
        <v>45685</v>
      </c>
      <c r="BQ348" s="28" t="str">
        <f>HYPERLINK("https://organic.ams.usda.gov/Integrity/Certificate.aspx?cid=8&amp;nopid=2202201100")</f>
        <v>https://organic.ams.usda.gov/Integrity/Certificate.aspx?cid=8&amp;nopid=2202201100</v>
      </c>
    </row>
    <row r="349">
      <c r="A349" t="s">
        <v>3</v>
      </c>
      <c r="B349" s="6" t="s">
        <v>35</v>
      </c>
      <c r="C349" s="6" t="s">
        <v>82</v>
      </c>
      <c r="D349" s="6" t="s">
        <v>127</v>
      </c>
      <c r="E349" s="10" t="s">
        <v>490</v>
      </c>
      <c r="F349" s="6" t="s">
        <v>3225</v>
      </c>
      <c r="G349" s="6" t="s">
        <v>81</v>
      </c>
      <c r="H349" s="6" t="s">
        <v>6200</v>
      </c>
      <c r="I349" s="6" t="s">
        <v>8606</v>
      </c>
      <c r="J349" s="6" t="s">
        <v>9865</v>
      </c>
      <c r="K349" s="6" t="s">
        <v>10886</v>
      </c>
      <c r="L349" s="16" t="n">
        <v>37557</v>
      </c>
      <c r="M349" s="16" t="n">
        <v>46127</v>
      </c>
      <c r="N349" s="6" t="s">
        <v>10886</v>
      </c>
      <c r="O349" s="16" t="n">
        <v>37557</v>
      </c>
      <c r="P349" s="6" t="s">
        <v>11121</v>
      </c>
      <c r="Q349" s="6" t="s">
        <v>81</v>
      </c>
      <c r="R349" s="6" t="s">
        <v>12515</v>
      </c>
      <c r="S349" s="6" t="s">
        <v>10886</v>
      </c>
      <c r="T349" s="16" t="n">
        <v>37557</v>
      </c>
      <c r="U349" s="6" t="s">
        <v>13300</v>
      </c>
      <c r="V349" s="6" t="s">
        <v>81</v>
      </c>
      <c r="W349" s="6" t="s">
        <v>12515</v>
      </c>
      <c r="X349" s="6" t="s">
        <v>81</v>
      </c>
      <c r="Y349" s="21" t="s">
        <v>81</v>
      </c>
      <c r="Z349" s="6" t="s">
        <v>81</v>
      </c>
      <c r="AA349" s="6" t="s">
        <v>81</v>
      </c>
      <c r="AB349" s="6" t="s">
        <v>81</v>
      </c>
      <c r="AC349" s="6" t="s">
        <v>10886</v>
      </c>
      <c r="AD349" s="16" t="n">
        <v>45357</v>
      </c>
      <c r="AE349" s="6" t="s">
        <v>14079</v>
      </c>
      <c r="AF349" s="6" t="s">
        <v>81</v>
      </c>
      <c r="AG349" s="6" t="s">
        <v>12515</v>
      </c>
      <c r="AH349" s="6" t="s">
        <v>14947</v>
      </c>
      <c r="AI349" s="6" t="s">
        <v>81</v>
      </c>
      <c r="AJ349" s="6" t="s">
        <v>17544</v>
      </c>
      <c r="AK349" s="6" t="s">
        <v>18405</v>
      </c>
      <c r="AL349" s="6" t="s">
        <v>18444</v>
      </c>
      <c r="AM349" s="6" t="s">
        <v>18707</v>
      </c>
      <c r="AN349" s="6" t="s">
        <v>19682</v>
      </c>
      <c r="AO349" s="6" t="s">
        <v>19845</v>
      </c>
      <c r="AP349" s="6" t="s">
        <v>14947</v>
      </c>
      <c r="AQ349" s="6" t="s">
        <v>81</v>
      </c>
      <c r="AR349" s="6" t="s">
        <v>17544</v>
      </c>
      <c r="AS349" s="6" t="s">
        <v>18405</v>
      </c>
      <c r="AT349" s="6" t="s">
        <v>18444</v>
      </c>
      <c r="AU349" s="6" t="s">
        <v>18707</v>
      </c>
      <c r="AV349" s="6" t="s">
        <v>81</v>
      </c>
      <c r="AW349" s="6" t="s">
        <v>81</v>
      </c>
      <c r="AX349" s="6" t="s">
        <v>20960</v>
      </c>
      <c r="AY349" s="6" t="s">
        <v>22686</v>
      </c>
      <c r="AZ349" s="6" t="s">
        <v>81</v>
      </c>
      <c r="BA349" s="6" t="s">
        <v>81</v>
      </c>
      <c r="BB349" s="24" t="n">
        <v>575</v>
      </c>
      <c r="BC349" s="26"/>
      <c r="BD349" s="26"/>
      <c r="BE349" s="26"/>
      <c r="BF349" s="26"/>
      <c r="BG349" s="26"/>
      <c r="BH349" s="26"/>
      <c r="BI349" s="26"/>
      <c r="BJ349" s="26"/>
      <c r="BK349" s="26"/>
      <c r="BL349" s="26"/>
      <c r="BM349" s="26"/>
      <c r="BN349" s="26"/>
      <c r="BO349" s="26"/>
      <c r="BP349" s="16" t="n">
        <v>45739</v>
      </c>
      <c r="BQ349" s="28" t="str">
        <f>HYPERLINK("https://organic.ams.usda.gov/Integrity/Certificate.aspx?cid=47&amp;nopid=7142070990")</f>
        <v>https://organic.ams.usda.gov/Integrity/Certificate.aspx?cid=47&amp;nopid=7142070990</v>
      </c>
    </row>
    <row r="350">
      <c r="A350" t="s">
        <v>3</v>
      </c>
      <c r="B350" s="6" t="s">
        <v>13</v>
      </c>
      <c r="C350" s="6" t="s">
        <v>60</v>
      </c>
      <c r="D350" s="6" t="s">
        <v>106</v>
      </c>
      <c r="E350" s="10" t="s">
        <v>491</v>
      </c>
      <c r="F350" s="6" t="s">
        <v>3226</v>
      </c>
      <c r="G350" s="6" t="s">
        <v>81</v>
      </c>
      <c r="H350" s="6" t="s">
        <v>6201</v>
      </c>
      <c r="I350" s="6" t="s">
        <v>8607</v>
      </c>
      <c r="J350" s="6" t="s">
        <v>9697</v>
      </c>
      <c r="K350" s="6" t="s">
        <v>10886</v>
      </c>
      <c r="L350" s="16" t="n">
        <v>41169</v>
      </c>
      <c r="M350" s="16" t="n">
        <v>45748</v>
      </c>
      <c r="N350" s="6" t="s">
        <v>10886</v>
      </c>
      <c r="O350" s="16" t="n">
        <v>41169</v>
      </c>
      <c r="P350" s="6" t="s">
        <v>11122</v>
      </c>
      <c r="Q350" s="6" t="s">
        <v>81</v>
      </c>
      <c r="R350" s="6" t="s">
        <v>12516</v>
      </c>
      <c r="S350" s="6" t="s">
        <v>10886</v>
      </c>
      <c r="T350" s="16" t="n">
        <v>41169</v>
      </c>
      <c r="U350" s="6" t="s">
        <v>13301</v>
      </c>
      <c r="V350" s="6" t="s">
        <v>81</v>
      </c>
      <c r="W350" s="6" t="s">
        <v>12516</v>
      </c>
      <c r="X350" s="6" t="s">
        <v>81</v>
      </c>
      <c r="Y350" s="21" t="s">
        <v>81</v>
      </c>
      <c r="Z350" s="6" t="s">
        <v>81</v>
      </c>
      <c r="AA350" s="6" t="s">
        <v>81</v>
      </c>
      <c r="AB350" s="6" t="s">
        <v>81</v>
      </c>
      <c r="AC350" s="6" t="s">
        <v>81</v>
      </c>
      <c r="AD350" s="21" t="s">
        <v>81</v>
      </c>
      <c r="AE350" s="6" t="s">
        <v>81</v>
      </c>
      <c r="AF350" s="6" t="s">
        <v>81</v>
      </c>
      <c r="AG350" s="6" t="s">
        <v>81</v>
      </c>
      <c r="AH350" s="6" t="s">
        <v>14948</v>
      </c>
      <c r="AI350" s="6" t="s">
        <v>81</v>
      </c>
      <c r="AJ350" s="6" t="s">
        <v>17392</v>
      </c>
      <c r="AK350" s="6" t="s">
        <v>18379</v>
      </c>
      <c r="AL350" s="6" t="s">
        <v>18444</v>
      </c>
      <c r="AM350" s="6" t="s">
        <v>18548</v>
      </c>
      <c r="AN350" s="6" t="s">
        <v>19637</v>
      </c>
      <c r="AO350" s="6" t="s">
        <v>19723</v>
      </c>
      <c r="AP350" s="6" t="s">
        <v>14948</v>
      </c>
      <c r="AQ350" s="6" t="s">
        <v>81</v>
      </c>
      <c r="AR350" s="6" t="s">
        <v>17392</v>
      </c>
      <c r="AS350" s="6" t="s">
        <v>18379</v>
      </c>
      <c r="AT350" s="6" t="s">
        <v>18444</v>
      </c>
      <c r="AU350" s="6" t="s">
        <v>18548</v>
      </c>
      <c r="AV350" s="6" t="s">
        <v>81</v>
      </c>
      <c r="AW350" s="6" t="s">
        <v>81</v>
      </c>
      <c r="AX350" s="6" t="s">
        <v>20961</v>
      </c>
      <c r="AY350" s="6" t="s">
        <v>81</v>
      </c>
      <c r="AZ350" s="6" t="s">
        <v>81</v>
      </c>
      <c r="BA350" s="6" t="s">
        <v>81</v>
      </c>
      <c r="BB350" s="24" t="n">
        <v>117</v>
      </c>
      <c r="BC350" s="26"/>
      <c r="BD350" s="26"/>
      <c r="BE350" s="26"/>
      <c r="BF350" s="26" t="s">
        <v>23900</v>
      </c>
      <c r="BG350" s="26"/>
      <c r="BH350" s="26"/>
      <c r="BI350" s="26"/>
      <c r="BJ350" s="26"/>
      <c r="BK350" s="26"/>
      <c r="BL350" s="26"/>
      <c r="BM350" s="26"/>
      <c r="BN350" s="26"/>
      <c r="BO350" s="26"/>
      <c r="BP350" s="16" t="n">
        <v>45663</v>
      </c>
      <c r="BQ350" s="28" t="str">
        <f>HYPERLINK("https://organic.ams.usda.gov/Integrity/Certificate.aspx?cid=72&amp;nopid=5870001420")</f>
        <v>https://organic.ams.usda.gov/Integrity/Certificate.aspx?cid=72&amp;nopid=5870001420</v>
      </c>
    </row>
    <row r="351">
      <c r="A351" t="s">
        <v>3</v>
      </c>
      <c r="B351" s="6" t="s">
        <v>10</v>
      </c>
      <c r="C351" s="6" t="s">
        <v>57</v>
      </c>
      <c r="D351" s="6" t="s">
        <v>103</v>
      </c>
      <c r="E351" s="10" t="s">
        <v>492</v>
      </c>
      <c r="F351" s="6" t="s">
        <v>3227</v>
      </c>
      <c r="G351" s="6" t="s">
        <v>81</v>
      </c>
      <c r="H351" s="6" t="s">
        <v>6202</v>
      </c>
      <c r="I351" s="6" t="s">
        <v>8608</v>
      </c>
      <c r="J351" s="6" t="s">
        <v>9669</v>
      </c>
      <c r="K351" s="6" t="s">
        <v>10886</v>
      </c>
      <c r="L351" s="16" t="n">
        <v>41009</v>
      </c>
      <c r="M351" s="16" t="n">
        <v>45748</v>
      </c>
      <c r="N351" s="6" t="s">
        <v>10886</v>
      </c>
      <c r="O351" s="16" t="n">
        <v>41009</v>
      </c>
      <c r="P351" s="6" t="s">
        <v>10925</v>
      </c>
      <c r="Q351" s="6" t="s">
        <v>81</v>
      </c>
      <c r="R351" s="6" t="s">
        <v>12517</v>
      </c>
      <c r="S351" s="6" t="s">
        <v>10886</v>
      </c>
      <c r="T351" s="16" t="n">
        <v>41009</v>
      </c>
      <c r="U351" s="6" t="s">
        <v>13164</v>
      </c>
      <c r="V351" s="6" t="s">
        <v>81</v>
      </c>
      <c r="W351" s="6" t="s">
        <v>81</v>
      </c>
      <c r="X351" s="6" t="s">
        <v>81</v>
      </c>
      <c r="Y351" s="21" t="s">
        <v>81</v>
      </c>
      <c r="Z351" s="6" t="s">
        <v>81</v>
      </c>
      <c r="AA351" s="6" t="s">
        <v>81</v>
      </c>
      <c r="AB351" s="6" t="s">
        <v>81</v>
      </c>
      <c r="AC351" s="6" t="s">
        <v>81</v>
      </c>
      <c r="AD351" s="21" t="s">
        <v>81</v>
      </c>
      <c r="AE351" s="6" t="s">
        <v>81</v>
      </c>
      <c r="AF351" s="6" t="s">
        <v>81</v>
      </c>
      <c r="AG351" s="6" t="s">
        <v>81</v>
      </c>
      <c r="AH351" s="6" t="s">
        <v>14949</v>
      </c>
      <c r="AI351" s="6" t="s">
        <v>81</v>
      </c>
      <c r="AJ351" s="6" t="s">
        <v>17315</v>
      </c>
      <c r="AK351" s="6" t="s">
        <v>18379</v>
      </c>
      <c r="AL351" s="6" t="s">
        <v>18444</v>
      </c>
      <c r="AM351" s="6" t="s">
        <v>18467</v>
      </c>
      <c r="AN351" s="6" t="s">
        <v>19637</v>
      </c>
      <c r="AO351" s="6" t="s">
        <v>19723</v>
      </c>
      <c r="AP351" s="6" t="s">
        <v>14949</v>
      </c>
      <c r="AQ351" s="6" t="s">
        <v>81</v>
      </c>
      <c r="AR351" s="6" t="s">
        <v>17315</v>
      </c>
      <c r="AS351" s="6" t="s">
        <v>18379</v>
      </c>
      <c r="AT351" s="6" t="s">
        <v>18444</v>
      </c>
      <c r="AU351" s="6" t="s">
        <v>18467</v>
      </c>
      <c r="AV351" s="6" t="s">
        <v>81</v>
      </c>
      <c r="AW351" s="6" t="s">
        <v>81</v>
      </c>
      <c r="AX351" s="6" t="s">
        <v>20962</v>
      </c>
      <c r="AY351" s="6" t="s">
        <v>81</v>
      </c>
      <c r="AZ351" s="6" t="s">
        <v>81</v>
      </c>
      <c r="BA351" s="6" t="s">
        <v>81</v>
      </c>
      <c r="BB351" s="24" t="n">
        <v>54</v>
      </c>
      <c r="BC351" s="26"/>
      <c r="BD351" s="26"/>
      <c r="BE351" s="26"/>
      <c r="BF351" s="26"/>
      <c r="BG351" s="26"/>
      <c r="BH351" s="26"/>
      <c r="BI351" s="26"/>
      <c r="BJ351" s="26"/>
      <c r="BK351" s="26"/>
      <c r="BL351" s="26"/>
      <c r="BM351" s="26"/>
      <c r="BN351" s="26"/>
      <c r="BO351" s="26"/>
      <c r="BP351" s="16" t="n">
        <v>45730</v>
      </c>
      <c r="BQ351" s="28" t="str">
        <f>HYPERLINK("https://organic.ams.usda.gov/Integrity/Certificate.aspx?cid=90&amp;nopid=7170020160")</f>
        <v>https://organic.ams.usda.gov/Integrity/Certificate.aspx?cid=90&amp;nopid=7170020160</v>
      </c>
    </row>
    <row r="352">
      <c r="A352" t="s">
        <v>3</v>
      </c>
      <c r="B352" s="6" t="s">
        <v>8</v>
      </c>
      <c r="C352" s="6" t="s">
        <v>55</v>
      </c>
      <c r="D352" s="6" t="s">
        <v>101</v>
      </c>
      <c r="E352" s="10" t="s">
        <v>493</v>
      </c>
      <c r="F352" s="6" t="s">
        <v>3228</v>
      </c>
      <c r="G352" s="6" t="s">
        <v>81</v>
      </c>
      <c r="H352" s="6" t="s">
        <v>6203</v>
      </c>
      <c r="I352" s="6" t="s">
        <v>8607</v>
      </c>
      <c r="J352" s="6" t="s">
        <v>9728</v>
      </c>
      <c r="K352" s="6" t="s">
        <v>10886</v>
      </c>
      <c r="L352" s="16" t="n">
        <v>39966</v>
      </c>
      <c r="M352" s="16" t="n">
        <v>45748</v>
      </c>
      <c r="N352" s="6" t="s">
        <v>10886</v>
      </c>
      <c r="O352" s="16" t="n">
        <v>39966</v>
      </c>
      <c r="P352" s="6" t="s">
        <v>11123</v>
      </c>
      <c r="Q352" s="6" t="s">
        <v>81</v>
      </c>
      <c r="R352" s="6" t="s">
        <v>6203</v>
      </c>
      <c r="S352" s="6" t="s">
        <v>10886</v>
      </c>
      <c r="T352" s="16" t="n">
        <v>39966</v>
      </c>
      <c r="U352" s="6" t="s">
        <v>13202</v>
      </c>
      <c r="V352" s="6" t="s">
        <v>81</v>
      </c>
      <c r="W352" s="6" t="s">
        <v>6203</v>
      </c>
      <c r="X352" s="6" t="s">
        <v>81</v>
      </c>
      <c r="Y352" s="21" t="s">
        <v>81</v>
      </c>
      <c r="Z352" s="6" t="s">
        <v>81</v>
      </c>
      <c r="AA352" s="6" t="s">
        <v>81</v>
      </c>
      <c r="AB352" s="6" t="s">
        <v>81</v>
      </c>
      <c r="AC352" s="6" t="s">
        <v>81</v>
      </c>
      <c r="AD352" s="21" t="s">
        <v>81</v>
      </c>
      <c r="AE352" s="6" t="s">
        <v>81</v>
      </c>
      <c r="AF352" s="6" t="s">
        <v>81</v>
      </c>
      <c r="AG352" s="6" t="s">
        <v>81</v>
      </c>
      <c r="AH352" s="6" t="s">
        <v>14950</v>
      </c>
      <c r="AI352" s="6" t="s">
        <v>81</v>
      </c>
      <c r="AJ352" s="6" t="s">
        <v>17385</v>
      </c>
      <c r="AK352" s="6" t="s">
        <v>18377</v>
      </c>
      <c r="AL352" s="6" t="s">
        <v>18444</v>
      </c>
      <c r="AM352" s="6" t="s">
        <v>18539</v>
      </c>
      <c r="AN352" s="6" t="s">
        <v>19634</v>
      </c>
      <c r="AO352" s="6" t="s">
        <v>19764</v>
      </c>
      <c r="AP352" s="6" t="s">
        <v>81</v>
      </c>
      <c r="AQ352" s="6" t="s">
        <v>81</v>
      </c>
      <c r="AR352" s="6" t="s">
        <v>81</v>
      </c>
      <c r="AS352" s="6" t="s">
        <v>81</v>
      </c>
      <c r="AT352" s="6" t="s">
        <v>81</v>
      </c>
      <c r="AU352" s="6" t="s">
        <v>81</v>
      </c>
      <c r="AV352" s="6" t="s">
        <v>81</v>
      </c>
      <c r="AW352" s="6" t="s">
        <v>81</v>
      </c>
      <c r="AX352" s="6" t="s">
        <v>81</v>
      </c>
      <c r="AY352" s="6" t="s">
        <v>81</v>
      </c>
      <c r="AZ352" s="6" t="s">
        <v>81</v>
      </c>
      <c r="BA352" s="6" t="s">
        <v>23819</v>
      </c>
      <c r="BB352" s="24" t="n">
        <v>37</v>
      </c>
      <c r="BC352" s="26"/>
      <c r="BD352" s="26"/>
      <c r="BE352" s="26"/>
      <c r="BF352" s="26" t="s">
        <v>23900</v>
      </c>
      <c r="BG352" s="26"/>
      <c r="BH352" s="26"/>
      <c r="BI352" s="26"/>
      <c r="BJ352" s="26"/>
      <c r="BK352" s="26"/>
      <c r="BL352" s="26"/>
      <c r="BM352" s="26"/>
      <c r="BN352" s="26"/>
      <c r="BO352" s="26"/>
      <c r="BP352" s="16" t="n">
        <v>45581</v>
      </c>
      <c r="BQ352" s="28" t="str">
        <f>HYPERLINK("https://organic.ams.usda.gov/Integrity/Certificate.aspx?cid=45&amp;nopid=9950003482")</f>
        <v>https://organic.ams.usda.gov/Integrity/Certificate.aspx?cid=45&amp;nopid=9950003482</v>
      </c>
    </row>
    <row r="353">
      <c r="A353" t="s">
        <v>3</v>
      </c>
      <c r="B353" s="6" t="s">
        <v>9</v>
      </c>
      <c r="C353" s="6" t="s">
        <v>56</v>
      </c>
      <c r="D353" s="6" t="s">
        <v>102</v>
      </c>
      <c r="E353" s="10" t="s">
        <v>494</v>
      </c>
      <c r="F353" s="6" t="s">
        <v>3229</v>
      </c>
      <c r="G353" s="6" t="s">
        <v>81</v>
      </c>
      <c r="H353" s="6" t="s">
        <v>6204</v>
      </c>
      <c r="I353" s="6" t="s">
        <v>8607</v>
      </c>
      <c r="J353" s="6" t="s">
        <v>9763</v>
      </c>
      <c r="K353" s="6" t="s">
        <v>10886</v>
      </c>
      <c r="L353" s="16" t="n">
        <v>44568</v>
      </c>
      <c r="M353" s="16" t="n">
        <v>46113</v>
      </c>
      <c r="N353" s="6" t="s">
        <v>10886</v>
      </c>
      <c r="O353" s="16" t="n">
        <v>44568</v>
      </c>
      <c r="P353" s="6" t="s">
        <v>11124</v>
      </c>
      <c r="Q353" s="6" t="s">
        <v>81</v>
      </c>
      <c r="R353" s="6" t="s">
        <v>12518</v>
      </c>
      <c r="S353" s="6" t="s">
        <v>10886</v>
      </c>
      <c r="T353" s="16" t="n">
        <v>44568</v>
      </c>
      <c r="U353" s="6" t="s">
        <v>13176</v>
      </c>
      <c r="V353" s="6" t="s">
        <v>81</v>
      </c>
      <c r="W353" s="6" t="s">
        <v>12518</v>
      </c>
      <c r="X353" s="6" t="s">
        <v>81</v>
      </c>
      <c r="Y353" s="21" t="s">
        <v>81</v>
      </c>
      <c r="Z353" s="6" t="s">
        <v>81</v>
      </c>
      <c r="AA353" s="6" t="s">
        <v>81</v>
      </c>
      <c r="AB353" s="6" t="s">
        <v>81</v>
      </c>
      <c r="AC353" s="6" t="s">
        <v>81</v>
      </c>
      <c r="AD353" s="21" t="s">
        <v>81</v>
      </c>
      <c r="AE353" s="6" t="s">
        <v>81</v>
      </c>
      <c r="AF353" s="6" t="s">
        <v>81</v>
      </c>
      <c r="AG353" s="6" t="s">
        <v>81</v>
      </c>
      <c r="AH353" s="6" t="s">
        <v>14951</v>
      </c>
      <c r="AI353" s="6" t="s">
        <v>81</v>
      </c>
      <c r="AJ353" s="6" t="s">
        <v>17545</v>
      </c>
      <c r="AK353" s="6" t="s">
        <v>18403</v>
      </c>
      <c r="AL353" s="6" t="s">
        <v>18444</v>
      </c>
      <c r="AM353" s="6" t="s">
        <v>18708</v>
      </c>
      <c r="AN353" s="6" t="s">
        <v>7895</v>
      </c>
      <c r="AO353" s="6" t="s">
        <v>19846</v>
      </c>
      <c r="AP353" s="6" t="s">
        <v>81</v>
      </c>
      <c r="AQ353" s="6" t="s">
        <v>81</v>
      </c>
      <c r="AR353" s="6" t="s">
        <v>81</v>
      </c>
      <c r="AS353" s="6" t="s">
        <v>81</v>
      </c>
      <c r="AT353" s="6" t="s">
        <v>81</v>
      </c>
      <c r="AU353" s="6" t="s">
        <v>81</v>
      </c>
      <c r="AV353" s="6" t="s">
        <v>81</v>
      </c>
      <c r="AW353" s="6" t="s">
        <v>81</v>
      </c>
      <c r="AX353" s="6" t="s">
        <v>20963</v>
      </c>
      <c r="AY353" s="6" t="s">
        <v>81</v>
      </c>
      <c r="AZ353" s="6" t="s">
        <v>81</v>
      </c>
      <c r="BA353" s="6" t="s">
        <v>23837</v>
      </c>
      <c r="BB353" s="24" t="n">
        <v>266</v>
      </c>
      <c r="BC353" s="26"/>
      <c r="BD353" s="26"/>
      <c r="BE353" s="26"/>
      <c r="BF353" s="26"/>
      <c r="BG353" s="26"/>
      <c r="BH353" s="26"/>
      <c r="BI353" s="26"/>
      <c r="BJ353" s="26"/>
      <c r="BK353" s="26"/>
      <c r="BL353" s="26"/>
      <c r="BM353" s="26"/>
      <c r="BN353" s="26"/>
      <c r="BO353" s="26"/>
      <c r="BP353" s="16" t="n">
        <v>45738</v>
      </c>
      <c r="BQ353" s="28" t="str">
        <f>HYPERLINK("https://organic.ams.usda.gov/Integrity/Certificate.aspx?cid=52&amp;nopid=8432102007")</f>
        <v>https://organic.ams.usda.gov/Integrity/Certificate.aspx?cid=52&amp;nopid=8432102007</v>
      </c>
    </row>
    <row r="354">
      <c r="A354" t="s">
        <v>3</v>
      </c>
      <c r="B354" s="6" t="s">
        <v>25</v>
      </c>
      <c r="C354" s="6" t="s">
        <v>72</v>
      </c>
      <c r="D354" s="6" t="s">
        <v>118</v>
      </c>
      <c r="E354" s="10" t="s">
        <v>495</v>
      </c>
      <c r="F354" s="6" t="s">
        <v>3230</v>
      </c>
      <c r="G354" s="6" t="s">
        <v>81</v>
      </c>
      <c r="H354" s="6" t="s">
        <v>6205</v>
      </c>
      <c r="I354" s="6" t="s">
        <v>8507</v>
      </c>
      <c r="J354" s="6" t="s">
        <v>9866</v>
      </c>
      <c r="K354" s="6" t="s">
        <v>10886</v>
      </c>
      <c r="L354" s="16" t="n">
        <v>44624</v>
      </c>
      <c r="M354" s="16" t="n">
        <v>46023</v>
      </c>
      <c r="N354" s="6" t="s">
        <v>10886</v>
      </c>
      <c r="O354" s="16" t="n">
        <v>44624</v>
      </c>
      <c r="P354" s="6" t="s">
        <v>11125</v>
      </c>
      <c r="Q354" s="6" t="s">
        <v>81</v>
      </c>
      <c r="R354" s="6" t="s">
        <v>81</v>
      </c>
      <c r="S354" s="6" t="s">
        <v>10886</v>
      </c>
      <c r="T354" s="16" t="n">
        <v>44624</v>
      </c>
      <c r="U354" s="6" t="s">
        <v>13302</v>
      </c>
      <c r="V354" s="6" t="s">
        <v>81</v>
      </c>
      <c r="W354" s="6" t="s">
        <v>81</v>
      </c>
      <c r="X354" s="6" t="s">
        <v>81</v>
      </c>
      <c r="Y354" s="21" t="s">
        <v>81</v>
      </c>
      <c r="Z354" s="6" t="s">
        <v>81</v>
      </c>
      <c r="AA354" s="6" t="s">
        <v>81</v>
      </c>
      <c r="AB354" s="6" t="s">
        <v>81</v>
      </c>
      <c r="AC354" s="6" t="s">
        <v>10886</v>
      </c>
      <c r="AD354" s="16" t="n">
        <v>44624</v>
      </c>
      <c r="AE354" s="6" t="s">
        <v>14080</v>
      </c>
      <c r="AF354" s="6" t="s">
        <v>81</v>
      </c>
      <c r="AG354" s="6" t="s">
        <v>81</v>
      </c>
      <c r="AH354" s="6" t="s">
        <v>14952</v>
      </c>
      <c r="AI354" s="6" t="s">
        <v>81</v>
      </c>
      <c r="AJ354" s="6" t="s">
        <v>17546</v>
      </c>
      <c r="AK354" s="6" t="s">
        <v>18406</v>
      </c>
      <c r="AL354" s="6" t="s">
        <v>18444</v>
      </c>
      <c r="AM354" s="6" t="s">
        <v>18709</v>
      </c>
      <c r="AN354" s="6" t="s">
        <v>19635</v>
      </c>
      <c r="AO354" s="6" t="s">
        <v>19847</v>
      </c>
      <c r="AP354" s="6" t="s">
        <v>20137</v>
      </c>
      <c r="AQ354" s="6" t="s">
        <v>81</v>
      </c>
      <c r="AR354" s="6" t="s">
        <v>17546</v>
      </c>
      <c r="AS354" s="6" t="s">
        <v>18406</v>
      </c>
      <c r="AT354" s="6" t="s">
        <v>18444</v>
      </c>
      <c r="AU354" s="6" t="s">
        <v>18709</v>
      </c>
      <c r="AV354" s="6" t="s">
        <v>81</v>
      </c>
      <c r="AW354" s="6" t="s">
        <v>81</v>
      </c>
      <c r="AX354" s="6" t="s">
        <v>20964</v>
      </c>
      <c r="AY354" s="6" t="s">
        <v>22687</v>
      </c>
      <c r="AZ354" s="6" t="s">
        <v>23605</v>
      </c>
      <c r="BA354" s="6" t="s">
        <v>23838</v>
      </c>
      <c r="BB354" s="24" t="n">
        <v>10</v>
      </c>
      <c r="BC354" s="26"/>
      <c r="BD354" s="26"/>
      <c r="BE354" s="26"/>
      <c r="BF354" s="26" t="s">
        <v>23900</v>
      </c>
      <c r="BG354" s="26"/>
      <c r="BH354" s="26"/>
      <c r="BI354" s="26"/>
      <c r="BJ354" s="26"/>
      <c r="BK354" s="26"/>
      <c r="BL354" s="26"/>
      <c r="BM354" s="26"/>
      <c r="BN354" s="26" t="s">
        <v>23900</v>
      </c>
      <c r="BO354" s="26"/>
      <c r="BP354" s="16" t="n">
        <v>45722</v>
      </c>
      <c r="BQ354" s="28" t="str">
        <f>HYPERLINK("https://organic.ams.usda.gov/Integrity/Certificate.aspx?cid=15&amp;nopid=5561006833")</f>
        <v>https://organic.ams.usda.gov/Integrity/Certificate.aspx?cid=15&amp;nopid=5561006833</v>
      </c>
    </row>
    <row r="355">
      <c r="A355" t="s">
        <v>3</v>
      </c>
      <c r="B355" s="6" t="s">
        <v>8</v>
      </c>
      <c r="C355" s="6" t="s">
        <v>55</v>
      </c>
      <c r="D355" s="6" t="s">
        <v>101</v>
      </c>
      <c r="E355" s="10" t="s">
        <v>496</v>
      </c>
      <c r="F355" s="6" t="s">
        <v>3231</v>
      </c>
      <c r="G355" s="6" t="s">
        <v>81</v>
      </c>
      <c r="H355" s="6" t="s">
        <v>6206</v>
      </c>
      <c r="I355" s="6" t="s">
        <v>8609</v>
      </c>
      <c r="J355" s="6" t="s">
        <v>9867</v>
      </c>
      <c r="K355" s="6" t="s">
        <v>10886</v>
      </c>
      <c r="L355" s="16" t="n">
        <v>37735</v>
      </c>
      <c r="M355" s="16" t="n">
        <v>45748</v>
      </c>
      <c r="N355" s="6" t="s">
        <v>10886</v>
      </c>
      <c r="O355" s="16" t="n">
        <v>37735</v>
      </c>
      <c r="P355" s="6" t="s">
        <v>11126</v>
      </c>
      <c r="Q355" s="6" t="s">
        <v>81</v>
      </c>
      <c r="R355" s="6" t="s">
        <v>6206</v>
      </c>
      <c r="S355" s="6" t="s">
        <v>10886</v>
      </c>
      <c r="T355" s="16" t="n">
        <v>37735</v>
      </c>
      <c r="U355" s="6" t="s">
        <v>13303</v>
      </c>
      <c r="V355" s="6" t="s">
        <v>81</v>
      </c>
      <c r="W355" s="6" t="s">
        <v>6206</v>
      </c>
      <c r="X355" s="6" t="s">
        <v>81</v>
      </c>
      <c r="Y355" s="21" t="s">
        <v>81</v>
      </c>
      <c r="Z355" s="6" t="s">
        <v>81</v>
      </c>
      <c r="AA355" s="6" t="s">
        <v>81</v>
      </c>
      <c r="AB355" s="6" t="s">
        <v>81</v>
      </c>
      <c r="AC355" s="6" t="s">
        <v>81</v>
      </c>
      <c r="AD355" s="21" t="s">
        <v>81</v>
      </c>
      <c r="AE355" s="6" t="s">
        <v>81</v>
      </c>
      <c r="AF355" s="6" t="s">
        <v>81</v>
      </c>
      <c r="AG355" s="6" t="s">
        <v>81</v>
      </c>
      <c r="AH355" s="6" t="s">
        <v>14953</v>
      </c>
      <c r="AI355" s="6" t="s">
        <v>81</v>
      </c>
      <c r="AJ355" s="6" t="s">
        <v>17547</v>
      </c>
      <c r="AK355" s="6" t="s">
        <v>18384</v>
      </c>
      <c r="AL355" s="6" t="s">
        <v>18444</v>
      </c>
      <c r="AM355" s="6" t="s">
        <v>18710</v>
      </c>
      <c r="AN355" s="6" t="s">
        <v>19689</v>
      </c>
      <c r="AO355" s="6" t="s">
        <v>19848</v>
      </c>
      <c r="AP355" s="6" t="s">
        <v>81</v>
      </c>
      <c r="AQ355" s="6" t="s">
        <v>81</v>
      </c>
      <c r="AR355" s="6" t="s">
        <v>81</v>
      </c>
      <c r="AS355" s="6" t="s">
        <v>81</v>
      </c>
      <c r="AT355" s="6" t="s">
        <v>81</v>
      </c>
      <c r="AU355" s="6" t="s">
        <v>81</v>
      </c>
      <c r="AV355" s="6" t="s">
        <v>81</v>
      </c>
      <c r="AW355" s="6" t="s">
        <v>81</v>
      </c>
      <c r="AX355" s="6" t="s">
        <v>20965</v>
      </c>
      <c r="AY355" s="6" t="s">
        <v>22688</v>
      </c>
      <c r="AZ355" s="6" t="s">
        <v>81</v>
      </c>
      <c r="BA355" s="6" t="s">
        <v>23824</v>
      </c>
      <c r="BB355" s="24" t="n">
        <v>1355</v>
      </c>
      <c r="BC355" s="26"/>
      <c r="BD355" s="26"/>
      <c r="BE355" s="26"/>
      <c r="BF355" s="26" t="s">
        <v>23900</v>
      </c>
      <c r="BG355" s="26"/>
      <c r="BH355" s="26"/>
      <c r="BI355" s="26"/>
      <c r="BJ355" s="26"/>
      <c r="BK355" s="26"/>
      <c r="BL355" s="26"/>
      <c r="BM355" s="26"/>
      <c r="BN355" s="26"/>
      <c r="BO355" s="26"/>
      <c r="BP355" s="16" t="n">
        <v>45618</v>
      </c>
      <c r="BQ355" s="28" t="str">
        <f>HYPERLINK("https://organic.ams.usda.gov/Integrity/Certificate.aspx?cid=45&amp;nopid=9950001292")</f>
        <v>https://organic.ams.usda.gov/Integrity/Certificate.aspx?cid=45&amp;nopid=9950001292</v>
      </c>
    </row>
    <row r="356">
      <c r="A356" t="s">
        <v>3</v>
      </c>
      <c r="B356" s="6" t="s">
        <v>11</v>
      </c>
      <c r="C356" s="6" t="s">
        <v>58</v>
      </c>
      <c r="D356" s="6" t="s">
        <v>104</v>
      </c>
      <c r="E356" s="10" t="s">
        <v>497</v>
      </c>
      <c r="F356" s="6" t="s">
        <v>3232</v>
      </c>
      <c r="G356" s="6" t="s">
        <v>81</v>
      </c>
      <c r="H356" s="6" t="s">
        <v>81</v>
      </c>
      <c r="I356" s="6" t="s">
        <v>8610</v>
      </c>
      <c r="J356" s="6" t="s">
        <v>9683</v>
      </c>
      <c r="K356" s="6" t="s">
        <v>10886</v>
      </c>
      <c r="L356" s="16" t="n">
        <v>44551</v>
      </c>
      <c r="M356" s="16" t="n">
        <v>45383</v>
      </c>
      <c r="N356" s="6" t="s">
        <v>10886</v>
      </c>
      <c r="O356" s="16" t="n">
        <v>44551</v>
      </c>
      <c r="P356" s="6" t="s">
        <v>11127</v>
      </c>
      <c r="Q356" s="6" t="s">
        <v>81</v>
      </c>
      <c r="R356" s="6" t="s">
        <v>81</v>
      </c>
      <c r="S356" s="6" t="s">
        <v>10886</v>
      </c>
      <c r="T356" s="16" t="n">
        <v>44742</v>
      </c>
      <c r="U356" s="6" t="s">
        <v>13304</v>
      </c>
      <c r="V356" s="6" t="s">
        <v>81</v>
      </c>
      <c r="W356" s="6" t="s">
        <v>81</v>
      </c>
      <c r="X356" s="6" t="s">
        <v>81</v>
      </c>
      <c r="Y356" s="21" t="s">
        <v>81</v>
      </c>
      <c r="Z356" s="6" t="s">
        <v>81</v>
      </c>
      <c r="AA356" s="6" t="s">
        <v>81</v>
      </c>
      <c r="AB356" s="6" t="s">
        <v>81</v>
      </c>
      <c r="AC356" s="6" t="s">
        <v>81</v>
      </c>
      <c r="AD356" s="21" t="s">
        <v>81</v>
      </c>
      <c r="AE356" s="6" t="s">
        <v>81</v>
      </c>
      <c r="AF356" s="6" t="s">
        <v>81</v>
      </c>
      <c r="AG356" s="6" t="s">
        <v>81</v>
      </c>
      <c r="AH356" s="6" t="s">
        <v>14954</v>
      </c>
      <c r="AI356" s="6" t="s">
        <v>81</v>
      </c>
      <c r="AJ356" s="6" t="s">
        <v>17548</v>
      </c>
      <c r="AK356" s="6" t="s">
        <v>18377</v>
      </c>
      <c r="AL356" s="6" t="s">
        <v>18444</v>
      </c>
      <c r="AM356" s="6" t="s">
        <v>18711</v>
      </c>
      <c r="AN356" s="6" t="s">
        <v>7195</v>
      </c>
      <c r="AO356" s="6" t="s">
        <v>19737</v>
      </c>
      <c r="AP356" s="6" t="s">
        <v>14954</v>
      </c>
      <c r="AQ356" s="6" t="s">
        <v>81</v>
      </c>
      <c r="AR356" s="6" t="s">
        <v>17548</v>
      </c>
      <c r="AS356" s="6" t="s">
        <v>18377</v>
      </c>
      <c r="AT356" s="6" t="s">
        <v>18444</v>
      </c>
      <c r="AU356" s="6" t="s">
        <v>18711</v>
      </c>
      <c r="AV356" s="6" t="s">
        <v>81</v>
      </c>
      <c r="AW356" s="6" t="s">
        <v>81</v>
      </c>
      <c r="AX356" s="6" t="s">
        <v>81</v>
      </c>
      <c r="AY356" s="6" t="s">
        <v>81</v>
      </c>
      <c r="AZ356" s="6" t="s">
        <v>81</v>
      </c>
      <c r="BA356" s="6" t="s">
        <v>23820</v>
      </c>
      <c r="BB356" s="24" t="n">
        <v>118</v>
      </c>
      <c r="BC356" s="26"/>
      <c r="BD356" s="26"/>
      <c r="BE356" s="26"/>
      <c r="BF356" s="26"/>
      <c r="BG356" s="26"/>
      <c r="BH356" s="26"/>
      <c r="BI356" s="26"/>
      <c r="BJ356" s="26"/>
      <c r="BK356" s="26"/>
      <c r="BL356" s="26"/>
      <c r="BM356" s="26"/>
      <c r="BN356" s="26"/>
      <c r="BO356" s="26"/>
      <c r="BP356" s="16" t="n">
        <v>45442</v>
      </c>
      <c r="BQ356" s="28" t="str">
        <f>HYPERLINK("https://organic.ams.usda.gov/Integrity/Certificate.aspx?cid=46&amp;nopid=3672100067")</f>
        <v>https://organic.ams.usda.gov/Integrity/Certificate.aspx?cid=46&amp;nopid=3672100067</v>
      </c>
    </row>
    <row r="357">
      <c r="A357" t="s">
        <v>3</v>
      </c>
      <c r="B357" s="6" t="s">
        <v>25</v>
      </c>
      <c r="C357" s="6" t="s">
        <v>72</v>
      </c>
      <c r="D357" s="6" t="s">
        <v>118</v>
      </c>
      <c r="E357" s="10" t="s">
        <v>498</v>
      </c>
      <c r="F357" s="6" t="s">
        <v>3233</v>
      </c>
      <c r="G357" s="6" t="s">
        <v>81</v>
      </c>
      <c r="H357" s="6" t="s">
        <v>6207</v>
      </c>
      <c r="I357" s="6" t="s">
        <v>8611</v>
      </c>
      <c r="J357" s="6" t="s">
        <v>9868</v>
      </c>
      <c r="K357" s="6" t="s">
        <v>10886</v>
      </c>
      <c r="L357" s="16" t="n">
        <v>40955</v>
      </c>
      <c r="M357" s="16" t="n">
        <v>46023</v>
      </c>
      <c r="N357" s="6" t="s">
        <v>10886</v>
      </c>
      <c r="O357" s="16" t="n">
        <v>40955</v>
      </c>
      <c r="P357" s="6" t="s">
        <v>11031</v>
      </c>
      <c r="Q357" s="6" t="s">
        <v>81</v>
      </c>
      <c r="R357" s="6" t="s">
        <v>81</v>
      </c>
      <c r="S357" s="6" t="s">
        <v>10886</v>
      </c>
      <c r="T357" s="16" t="n">
        <v>40955</v>
      </c>
      <c r="U357" s="6" t="s">
        <v>13305</v>
      </c>
      <c r="V357" s="6" t="s">
        <v>81</v>
      </c>
      <c r="W357" s="6" t="s">
        <v>81</v>
      </c>
      <c r="X357" s="6" t="s">
        <v>81</v>
      </c>
      <c r="Y357" s="21" t="s">
        <v>81</v>
      </c>
      <c r="Z357" s="6" t="s">
        <v>81</v>
      </c>
      <c r="AA357" s="6" t="s">
        <v>81</v>
      </c>
      <c r="AB357" s="6" t="s">
        <v>81</v>
      </c>
      <c r="AC357" s="6" t="s">
        <v>10886</v>
      </c>
      <c r="AD357" s="16" t="n">
        <v>44734</v>
      </c>
      <c r="AE357" s="6" t="s">
        <v>14081</v>
      </c>
      <c r="AF357" s="6" t="s">
        <v>81</v>
      </c>
      <c r="AG357" s="6" t="s">
        <v>81</v>
      </c>
      <c r="AH357" s="6" t="s">
        <v>14955</v>
      </c>
      <c r="AI357" s="6" t="s">
        <v>81</v>
      </c>
      <c r="AJ357" s="6" t="s">
        <v>17549</v>
      </c>
      <c r="AK357" s="6" t="s">
        <v>18393</v>
      </c>
      <c r="AL357" s="6" t="s">
        <v>18444</v>
      </c>
      <c r="AM357" s="6" t="s">
        <v>18712</v>
      </c>
      <c r="AN357" s="6" t="s">
        <v>7195</v>
      </c>
      <c r="AO357" s="6" t="s">
        <v>19846</v>
      </c>
      <c r="AP357" s="6" t="s">
        <v>14955</v>
      </c>
      <c r="AQ357" s="6" t="s">
        <v>81</v>
      </c>
      <c r="AR357" s="6" t="s">
        <v>17549</v>
      </c>
      <c r="AS357" s="6" t="s">
        <v>18393</v>
      </c>
      <c r="AT357" s="6" t="s">
        <v>18444</v>
      </c>
      <c r="AU357" s="6" t="s">
        <v>18712</v>
      </c>
      <c r="AV357" s="6" t="s">
        <v>81</v>
      </c>
      <c r="AW357" s="6" t="s">
        <v>81</v>
      </c>
      <c r="AX357" s="6" t="s">
        <v>20966</v>
      </c>
      <c r="AY357" s="6" t="s">
        <v>22689</v>
      </c>
      <c r="AZ357" s="6" t="s">
        <v>81</v>
      </c>
      <c r="BA357" s="6" t="s">
        <v>81</v>
      </c>
      <c r="BB357" s="24" t="n">
        <v>80</v>
      </c>
      <c r="BC357" s="26"/>
      <c r="BD357" s="26"/>
      <c r="BE357" s="26"/>
      <c r="BF357" s="26"/>
      <c r="BG357" s="26"/>
      <c r="BH357" s="26"/>
      <c r="BI357" s="26"/>
      <c r="BJ357" s="26"/>
      <c r="BK357" s="26"/>
      <c r="BL357" s="26"/>
      <c r="BM357" s="26"/>
      <c r="BN357" s="26"/>
      <c r="BO357" s="26"/>
      <c r="BP357" s="16" t="n">
        <v>45667</v>
      </c>
      <c r="BQ357" s="28" t="str">
        <f>HYPERLINK("https://organic.ams.usda.gov/Integrity/Certificate.aspx?cid=15&amp;nopid=5561001588")</f>
        <v>https://organic.ams.usda.gov/Integrity/Certificate.aspx?cid=15&amp;nopid=5561001588</v>
      </c>
    </row>
    <row r="358">
      <c r="A358" t="s">
        <v>3</v>
      </c>
      <c r="B358" s="6" t="s">
        <v>25</v>
      </c>
      <c r="C358" s="6" t="s">
        <v>72</v>
      </c>
      <c r="D358" s="6" t="s">
        <v>118</v>
      </c>
      <c r="E358" s="10" t="s">
        <v>499</v>
      </c>
      <c r="F358" s="6" t="s">
        <v>3234</v>
      </c>
      <c r="G358" s="6" t="s">
        <v>81</v>
      </c>
      <c r="H358" s="6" t="s">
        <v>6208</v>
      </c>
      <c r="I358" s="6" t="s">
        <v>8612</v>
      </c>
      <c r="J358" s="6" t="s">
        <v>9869</v>
      </c>
      <c r="K358" s="6" t="s">
        <v>10886</v>
      </c>
      <c r="L358" s="16" t="n">
        <v>42121</v>
      </c>
      <c r="M358" s="16" t="n">
        <v>46023</v>
      </c>
      <c r="N358" s="6" t="s">
        <v>10886</v>
      </c>
      <c r="O358" s="16" t="n">
        <v>42121</v>
      </c>
      <c r="P358" s="6" t="s">
        <v>11128</v>
      </c>
      <c r="Q358" s="6" t="s">
        <v>81</v>
      </c>
      <c r="R358" s="6" t="s">
        <v>81</v>
      </c>
      <c r="S358" s="6" t="s">
        <v>10886</v>
      </c>
      <c r="T358" s="16" t="n">
        <v>42339</v>
      </c>
      <c r="U358" s="6" t="s">
        <v>13306</v>
      </c>
      <c r="V358" s="6" t="s">
        <v>81</v>
      </c>
      <c r="W358" s="6" t="s">
        <v>81</v>
      </c>
      <c r="X358" s="6" t="s">
        <v>81</v>
      </c>
      <c r="Y358" s="21" t="s">
        <v>81</v>
      </c>
      <c r="Z358" s="6" t="s">
        <v>81</v>
      </c>
      <c r="AA358" s="6" t="s">
        <v>81</v>
      </c>
      <c r="AB358" s="6" t="s">
        <v>81</v>
      </c>
      <c r="AC358" s="6" t="s">
        <v>10886</v>
      </c>
      <c r="AD358" s="16" t="n">
        <v>44734</v>
      </c>
      <c r="AE358" s="6" t="s">
        <v>14081</v>
      </c>
      <c r="AF358" s="6" t="s">
        <v>81</v>
      </c>
      <c r="AG358" s="6" t="s">
        <v>81</v>
      </c>
      <c r="AH358" s="6" t="s">
        <v>14956</v>
      </c>
      <c r="AI358" s="6" t="s">
        <v>81</v>
      </c>
      <c r="AJ358" s="6" t="s">
        <v>17550</v>
      </c>
      <c r="AK358" s="6" t="s">
        <v>18386</v>
      </c>
      <c r="AL358" s="6" t="s">
        <v>18444</v>
      </c>
      <c r="AM358" s="6" t="s">
        <v>18713</v>
      </c>
      <c r="AN358" s="6" t="s">
        <v>19672</v>
      </c>
      <c r="AO358" s="6" t="s">
        <v>19787</v>
      </c>
      <c r="AP358" s="6" t="s">
        <v>14956</v>
      </c>
      <c r="AQ358" s="6" t="s">
        <v>81</v>
      </c>
      <c r="AR358" s="6" t="s">
        <v>17550</v>
      </c>
      <c r="AS358" s="6" t="s">
        <v>18386</v>
      </c>
      <c r="AT358" s="6" t="s">
        <v>18444</v>
      </c>
      <c r="AU358" s="6" t="s">
        <v>18713</v>
      </c>
      <c r="AV358" s="6" t="s">
        <v>81</v>
      </c>
      <c r="AW358" s="6" t="s">
        <v>81</v>
      </c>
      <c r="AX358" s="6" t="s">
        <v>20967</v>
      </c>
      <c r="AY358" s="6" t="s">
        <v>22690</v>
      </c>
      <c r="AZ358" s="6" t="s">
        <v>81</v>
      </c>
      <c r="BA358" s="6" t="s">
        <v>81</v>
      </c>
      <c r="BB358" s="24" t="n">
        <v>381</v>
      </c>
      <c r="BC358" s="26"/>
      <c r="BD358" s="26"/>
      <c r="BE358" s="26"/>
      <c r="BF358" s="26"/>
      <c r="BG358" s="26"/>
      <c r="BH358" s="26"/>
      <c r="BI358" s="26"/>
      <c r="BJ358" s="26"/>
      <c r="BK358" s="26"/>
      <c r="BL358" s="26"/>
      <c r="BM358" s="26"/>
      <c r="BN358" s="26"/>
      <c r="BO358" s="26"/>
      <c r="BP358" s="16" t="n">
        <v>45667</v>
      </c>
      <c r="BQ358" s="28" t="str">
        <f>HYPERLINK("https://organic.ams.usda.gov/Integrity/Certificate.aspx?cid=15&amp;nopid=5561001458")</f>
        <v>https://organic.ams.usda.gov/Integrity/Certificate.aspx?cid=15&amp;nopid=5561001458</v>
      </c>
    </row>
    <row r="359">
      <c r="A359" t="s">
        <v>3</v>
      </c>
      <c r="B359" s="6" t="s">
        <v>19</v>
      </c>
      <c r="C359" s="6" t="s">
        <v>66</v>
      </c>
      <c r="D359" s="6" t="s">
        <v>112</v>
      </c>
      <c r="E359" s="10" t="s">
        <v>500</v>
      </c>
      <c r="F359" s="6" t="s">
        <v>3235</v>
      </c>
      <c r="G359" s="6" t="s">
        <v>81</v>
      </c>
      <c r="H359" s="6" t="s">
        <v>6209</v>
      </c>
      <c r="I359" s="6" t="s">
        <v>81</v>
      </c>
      <c r="J359" s="6" t="s">
        <v>9870</v>
      </c>
      <c r="K359" s="6" t="s">
        <v>10886</v>
      </c>
      <c r="L359" s="16" t="n">
        <v>44292</v>
      </c>
      <c r="M359" s="16" t="n">
        <v>46054</v>
      </c>
      <c r="N359" s="6" t="s">
        <v>10886</v>
      </c>
      <c r="O359" s="16" t="n">
        <v>44292</v>
      </c>
      <c r="P359" s="6" t="s">
        <v>11129</v>
      </c>
      <c r="Q359" s="6" t="s">
        <v>81</v>
      </c>
      <c r="R359" s="6" t="s">
        <v>81</v>
      </c>
      <c r="S359" s="6" t="s">
        <v>10886</v>
      </c>
      <c r="T359" s="16" t="n">
        <v>44292</v>
      </c>
      <c r="U359" s="6" t="s">
        <v>13307</v>
      </c>
      <c r="V359" s="6" t="s">
        <v>81</v>
      </c>
      <c r="W359" s="6" t="s">
        <v>81</v>
      </c>
      <c r="X359" s="6" t="s">
        <v>81</v>
      </c>
      <c r="Y359" s="21" t="s">
        <v>81</v>
      </c>
      <c r="Z359" s="6" t="s">
        <v>81</v>
      </c>
      <c r="AA359" s="6" t="s">
        <v>81</v>
      </c>
      <c r="AB359" s="6" t="s">
        <v>81</v>
      </c>
      <c r="AC359" s="6" t="s">
        <v>10886</v>
      </c>
      <c r="AD359" s="16" t="n">
        <v>44292</v>
      </c>
      <c r="AE359" s="6" t="s">
        <v>14066</v>
      </c>
      <c r="AF359" s="6" t="s">
        <v>81</v>
      </c>
      <c r="AG359" s="6" t="s">
        <v>81</v>
      </c>
      <c r="AH359" s="6" t="s">
        <v>14957</v>
      </c>
      <c r="AI359" s="6" t="s">
        <v>81</v>
      </c>
      <c r="AJ359" s="6" t="s">
        <v>17551</v>
      </c>
      <c r="AK359" s="6" t="s">
        <v>18377</v>
      </c>
      <c r="AL359" s="6" t="s">
        <v>18444</v>
      </c>
      <c r="AM359" s="6" t="s">
        <v>18714</v>
      </c>
      <c r="AN359" s="6" t="s">
        <v>19660</v>
      </c>
      <c r="AO359" s="6" t="s">
        <v>19804</v>
      </c>
      <c r="AP359" s="6" t="s">
        <v>81</v>
      </c>
      <c r="AQ359" s="6" t="s">
        <v>81</v>
      </c>
      <c r="AR359" s="6" t="s">
        <v>81</v>
      </c>
      <c r="AS359" s="6" t="s">
        <v>81</v>
      </c>
      <c r="AT359" s="6" t="s">
        <v>81</v>
      </c>
      <c r="AU359" s="6" t="s">
        <v>81</v>
      </c>
      <c r="AV359" s="6" t="s">
        <v>81</v>
      </c>
      <c r="AW359" s="6" t="s">
        <v>81</v>
      </c>
      <c r="AX359" s="6" t="s">
        <v>20968</v>
      </c>
      <c r="AY359" s="6" t="s">
        <v>22691</v>
      </c>
      <c r="AZ359" s="6" t="s">
        <v>81</v>
      </c>
      <c r="BA359" s="6" t="s">
        <v>81</v>
      </c>
      <c r="BB359" s="24" t="n">
        <v>0</v>
      </c>
      <c r="BC359" s="26"/>
      <c r="BD359" s="26"/>
      <c r="BE359" s="26"/>
      <c r="BF359" s="26" t="s">
        <v>23900</v>
      </c>
      <c r="BG359" s="26"/>
      <c r="BH359" s="26"/>
      <c r="BI359" s="26"/>
      <c r="BJ359" s="26"/>
      <c r="BK359" s="26"/>
      <c r="BL359" s="26"/>
      <c r="BM359" s="26"/>
      <c r="BN359" s="26"/>
      <c r="BO359" s="26"/>
      <c r="BP359" s="16" t="n">
        <v>45690</v>
      </c>
      <c r="BQ359" s="28" t="str">
        <f>HYPERLINK("https://organic.ams.usda.gov/Integrity/Certificate.aspx?cid=24&amp;nopid=7880235718")</f>
        <v>https://organic.ams.usda.gov/Integrity/Certificate.aspx?cid=24&amp;nopid=7880235718</v>
      </c>
    </row>
    <row r="360">
      <c r="A360" t="s">
        <v>3</v>
      </c>
      <c r="B360" s="6" t="s">
        <v>16</v>
      </c>
      <c r="C360" s="6" t="s">
        <v>63</v>
      </c>
      <c r="D360" s="6" t="s">
        <v>109</v>
      </c>
      <c r="E360" s="10" t="s">
        <v>501</v>
      </c>
      <c r="F360" s="6" t="s">
        <v>3236</v>
      </c>
      <c r="G360" s="6" t="s">
        <v>81</v>
      </c>
      <c r="H360" s="6" t="s">
        <v>6210</v>
      </c>
      <c r="I360" s="6" t="s">
        <v>8613</v>
      </c>
      <c r="J360" s="6" t="s">
        <v>9871</v>
      </c>
      <c r="K360" s="6" t="s">
        <v>10886</v>
      </c>
      <c r="L360" s="16" t="n">
        <v>37575</v>
      </c>
      <c r="M360" s="16" t="n">
        <v>45731</v>
      </c>
      <c r="N360" s="6" t="s">
        <v>10886</v>
      </c>
      <c r="O360" s="16" t="n">
        <v>37575</v>
      </c>
      <c r="P360" s="6" t="s">
        <v>11130</v>
      </c>
      <c r="Q360" s="6" t="s">
        <v>81</v>
      </c>
      <c r="R360" s="6" t="s">
        <v>81</v>
      </c>
      <c r="S360" s="6" t="s">
        <v>10886</v>
      </c>
      <c r="T360" s="16" t="n">
        <v>37575</v>
      </c>
      <c r="U360" s="6" t="s">
        <v>13308</v>
      </c>
      <c r="V360" s="6" t="s">
        <v>81</v>
      </c>
      <c r="W360" s="6" t="s">
        <v>81</v>
      </c>
      <c r="X360" s="6" t="s">
        <v>81</v>
      </c>
      <c r="Y360" s="21" t="s">
        <v>81</v>
      </c>
      <c r="Z360" s="6" t="s">
        <v>81</v>
      </c>
      <c r="AA360" s="6" t="s">
        <v>81</v>
      </c>
      <c r="AB360" s="6" t="s">
        <v>81</v>
      </c>
      <c r="AC360" s="6" t="s">
        <v>81</v>
      </c>
      <c r="AD360" s="21" t="s">
        <v>81</v>
      </c>
      <c r="AE360" s="6" t="s">
        <v>81</v>
      </c>
      <c r="AF360" s="6" t="s">
        <v>81</v>
      </c>
      <c r="AG360" s="6" t="s">
        <v>81</v>
      </c>
      <c r="AH360" s="6" t="s">
        <v>14958</v>
      </c>
      <c r="AI360" s="6" t="s">
        <v>81</v>
      </c>
      <c r="AJ360" s="6" t="s">
        <v>17552</v>
      </c>
      <c r="AK360" s="6" t="s">
        <v>18383</v>
      </c>
      <c r="AL360" s="6" t="s">
        <v>18444</v>
      </c>
      <c r="AM360" s="6" t="s">
        <v>18715</v>
      </c>
      <c r="AN360" s="6" t="s">
        <v>19651</v>
      </c>
      <c r="AO360" s="6" t="s">
        <v>19721</v>
      </c>
      <c r="AP360" s="6" t="s">
        <v>20138</v>
      </c>
      <c r="AQ360" s="6" t="s">
        <v>81</v>
      </c>
      <c r="AR360" s="6" t="s">
        <v>17552</v>
      </c>
      <c r="AS360" s="6" t="s">
        <v>18383</v>
      </c>
      <c r="AT360" s="6" t="s">
        <v>18444</v>
      </c>
      <c r="AU360" s="6" t="s">
        <v>18715</v>
      </c>
      <c r="AV360" s="6" t="s">
        <v>81</v>
      </c>
      <c r="AW360" s="6" t="s">
        <v>81</v>
      </c>
      <c r="AX360" s="6" t="s">
        <v>20969</v>
      </c>
      <c r="AY360" s="6" t="s">
        <v>81</v>
      </c>
      <c r="AZ360" s="6" t="s">
        <v>81</v>
      </c>
      <c r="BA360" s="6" t="s">
        <v>81</v>
      </c>
      <c r="BB360" s="24" t="n">
        <v>52</v>
      </c>
      <c r="BC360" s="26"/>
      <c r="BD360" s="26"/>
      <c r="BE360" s="26"/>
      <c r="BF360" s="26"/>
      <c r="BG360" s="26"/>
      <c r="BH360" s="26"/>
      <c r="BI360" s="26"/>
      <c r="BJ360" s="26"/>
      <c r="BK360" s="26"/>
      <c r="BL360" s="26"/>
      <c r="BM360" s="26"/>
      <c r="BN360" s="26"/>
      <c r="BO360" s="26"/>
      <c r="BP360" s="16" t="n">
        <v>45701</v>
      </c>
      <c r="BQ360" s="28" t="str">
        <f>HYPERLINK("https://organic.ams.usda.gov/Integrity/Certificate.aspx?cid=81&amp;nopid=4210099018")</f>
        <v>https://organic.ams.usda.gov/Integrity/Certificate.aspx?cid=81&amp;nopid=4210099018</v>
      </c>
    </row>
    <row r="361">
      <c r="A361" t="s">
        <v>3</v>
      </c>
      <c r="B361" s="6" t="s">
        <v>7</v>
      </c>
      <c r="C361" s="6" t="s">
        <v>54</v>
      </c>
      <c r="D361" s="6" t="s">
        <v>100</v>
      </c>
      <c r="E361" s="10" t="s">
        <v>502</v>
      </c>
      <c r="F361" s="6" t="s">
        <v>3237</v>
      </c>
      <c r="G361" s="6" t="s">
        <v>81</v>
      </c>
      <c r="H361" s="6" t="s">
        <v>6211</v>
      </c>
      <c r="I361" s="6" t="s">
        <v>8590</v>
      </c>
      <c r="J361" s="6" t="s">
        <v>9872</v>
      </c>
      <c r="K361" s="6" t="s">
        <v>10886</v>
      </c>
      <c r="L361" s="16" t="n">
        <v>39048</v>
      </c>
      <c r="M361" s="16" t="n">
        <v>45716</v>
      </c>
      <c r="N361" s="6" t="s">
        <v>10886</v>
      </c>
      <c r="O361" s="16" t="n">
        <v>39048</v>
      </c>
      <c r="P361" s="6" t="s">
        <v>10910</v>
      </c>
      <c r="Q361" s="6" t="s">
        <v>81</v>
      </c>
      <c r="R361" s="6" t="s">
        <v>81</v>
      </c>
      <c r="S361" s="6" t="s">
        <v>10886</v>
      </c>
      <c r="T361" s="16" t="n">
        <v>39232</v>
      </c>
      <c r="U361" s="6" t="s">
        <v>13309</v>
      </c>
      <c r="V361" s="6" t="s">
        <v>81</v>
      </c>
      <c r="W361" s="6" t="s">
        <v>81</v>
      </c>
      <c r="X361" s="6" t="s">
        <v>81</v>
      </c>
      <c r="Y361" s="21" t="s">
        <v>81</v>
      </c>
      <c r="Z361" s="6" t="s">
        <v>81</v>
      </c>
      <c r="AA361" s="6" t="s">
        <v>81</v>
      </c>
      <c r="AB361" s="6" t="s">
        <v>81</v>
      </c>
      <c r="AC361" s="6" t="s">
        <v>81</v>
      </c>
      <c r="AD361" s="21" t="s">
        <v>81</v>
      </c>
      <c r="AE361" s="6" t="s">
        <v>81</v>
      </c>
      <c r="AF361" s="6" t="s">
        <v>81</v>
      </c>
      <c r="AG361" s="6" t="s">
        <v>81</v>
      </c>
      <c r="AH361" s="6" t="s">
        <v>14959</v>
      </c>
      <c r="AI361" s="6" t="s">
        <v>81</v>
      </c>
      <c r="AJ361" s="6" t="s">
        <v>17553</v>
      </c>
      <c r="AK361" s="6" t="s">
        <v>17712</v>
      </c>
      <c r="AL361" s="6" t="s">
        <v>18444</v>
      </c>
      <c r="AM361" s="6" t="s">
        <v>18716</v>
      </c>
      <c r="AN361" s="6" t="s">
        <v>19651</v>
      </c>
      <c r="AO361" s="6" t="s">
        <v>19741</v>
      </c>
      <c r="AP361" s="6" t="s">
        <v>20139</v>
      </c>
      <c r="AQ361" s="6" t="s">
        <v>81</v>
      </c>
      <c r="AR361" s="6" t="s">
        <v>17553</v>
      </c>
      <c r="AS361" s="6" t="s">
        <v>17712</v>
      </c>
      <c r="AT361" s="6" t="s">
        <v>18444</v>
      </c>
      <c r="AU361" s="6" t="s">
        <v>18716</v>
      </c>
      <c r="AV361" s="6" t="s">
        <v>81</v>
      </c>
      <c r="AW361" s="6" t="s">
        <v>81</v>
      </c>
      <c r="AX361" s="6" t="s">
        <v>20970</v>
      </c>
      <c r="AY361" s="6" t="s">
        <v>81</v>
      </c>
      <c r="AZ361" s="6" t="s">
        <v>81</v>
      </c>
      <c r="BA361" s="6" t="s">
        <v>81</v>
      </c>
      <c r="BB361" s="24" t="n">
        <v>387</v>
      </c>
      <c r="BC361" s="26"/>
      <c r="BD361" s="26"/>
      <c r="BE361" s="26"/>
      <c r="BF361" s="26"/>
      <c r="BG361" s="26"/>
      <c r="BH361" s="26"/>
      <c r="BI361" s="26"/>
      <c r="BJ361" s="26"/>
      <c r="BK361" s="26"/>
      <c r="BL361" s="26"/>
      <c r="BM361" s="26"/>
      <c r="BN361" s="26"/>
      <c r="BO361" s="26"/>
      <c r="BP361" s="16" t="n">
        <v>45595</v>
      </c>
      <c r="BQ361" s="28" t="str">
        <f>HYPERLINK("https://organic.ams.usda.gov/Integrity/Certificate.aspx?cid=57&amp;nopid=3252006138")</f>
        <v>https://organic.ams.usda.gov/Integrity/Certificate.aspx?cid=57&amp;nopid=3252006138</v>
      </c>
    </row>
    <row r="362">
      <c r="A362" t="s">
        <v>3</v>
      </c>
      <c r="B362" s="6" t="s">
        <v>12</v>
      </c>
      <c r="C362" s="6" t="s">
        <v>59</v>
      </c>
      <c r="D362" s="6" t="s">
        <v>105</v>
      </c>
      <c r="E362" s="10" t="s">
        <v>503</v>
      </c>
      <c r="F362" s="6" t="s">
        <v>3238</v>
      </c>
      <c r="G362" s="6" t="s">
        <v>81</v>
      </c>
      <c r="H362" s="6" t="s">
        <v>6212</v>
      </c>
      <c r="I362" s="6" t="s">
        <v>8614</v>
      </c>
      <c r="J362" s="6" t="s">
        <v>9873</v>
      </c>
      <c r="K362" s="6" t="s">
        <v>10886</v>
      </c>
      <c r="L362" s="16" t="n">
        <v>39489</v>
      </c>
      <c r="M362" s="16" t="n">
        <v>45717</v>
      </c>
      <c r="N362" s="6" t="s">
        <v>10886</v>
      </c>
      <c r="O362" s="16" t="n">
        <v>39489</v>
      </c>
      <c r="P362" s="6" t="s">
        <v>10997</v>
      </c>
      <c r="Q362" s="6" t="s">
        <v>81</v>
      </c>
      <c r="R362" s="6" t="s">
        <v>81</v>
      </c>
      <c r="S362" s="6" t="s">
        <v>10886</v>
      </c>
      <c r="T362" s="16" t="n">
        <v>39489</v>
      </c>
      <c r="U362" s="6" t="s">
        <v>13310</v>
      </c>
      <c r="V362" s="6" t="s">
        <v>81</v>
      </c>
      <c r="W362" s="6" t="s">
        <v>81</v>
      </c>
      <c r="X362" s="6" t="s">
        <v>81</v>
      </c>
      <c r="Y362" s="21" t="s">
        <v>81</v>
      </c>
      <c r="Z362" s="6" t="s">
        <v>81</v>
      </c>
      <c r="AA362" s="6" t="s">
        <v>81</v>
      </c>
      <c r="AB362" s="6" t="s">
        <v>81</v>
      </c>
      <c r="AC362" s="6" t="s">
        <v>81</v>
      </c>
      <c r="AD362" s="21" t="s">
        <v>81</v>
      </c>
      <c r="AE362" s="6" t="s">
        <v>81</v>
      </c>
      <c r="AF362" s="6" t="s">
        <v>81</v>
      </c>
      <c r="AG362" s="6" t="s">
        <v>81</v>
      </c>
      <c r="AH362" s="6" t="s">
        <v>14960</v>
      </c>
      <c r="AI362" s="6" t="s">
        <v>81</v>
      </c>
      <c r="AJ362" s="6" t="s">
        <v>17532</v>
      </c>
      <c r="AK362" s="6" t="s">
        <v>17712</v>
      </c>
      <c r="AL362" s="6" t="s">
        <v>18444</v>
      </c>
      <c r="AM362" s="6" t="s">
        <v>18696</v>
      </c>
      <c r="AN362" s="6" t="s">
        <v>7926</v>
      </c>
      <c r="AO362" s="6" t="s">
        <v>19842</v>
      </c>
      <c r="AP362" s="6" t="s">
        <v>14960</v>
      </c>
      <c r="AQ362" s="6" t="s">
        <v>81</v>
      </c>
      <c r="AR362" s="6" t="s">
        <v>17532</v>
      </c>
      <c r="AS362" s="6" t="s">
        <v>17712</v>
      </c>
      <c r="AT362" s="6" t="s">
        <v>18444</v>
      </c>
      <c r="AU362" s="6" t="s">
        <v>18696</v>
      </c>
      <c r="AV362" s="6" t="s">
        <v>81</v>
      </c>
      <c r="AW362" s="6" t="s">
        <v>81</v>
      </c>
      <c r="AX362" s="6" t="s">
        <v>20971</v>
      </c>
      <c r="AY362" s="6" t="s">
        <v>22692</v>
      </c>
      <c r="AZ362" s="6" t="s">
        <v>81</v>
      </c>
      <c r="BA362" s="6" t="s">
        <v>81</v>
      </c>
      <c r="BB362" s="24" t="n">
        <v>220</v>
      </c>
      <c r="BC362" s="26"/>
      <c r="BD362" s="26"/>
      <c r="BE362" s="26"/>
      <c r="BF362" s="26"/>
      <c r="BG362" s="26"/>
      <c r="BH362" s="26"/>
      <c r="BI362" s="26"/>
      <c r="BJ362" s="26"/>
      <c r="BK362" s="26"/>
      <c r="BL362" s="26"/>
      <c r="BM362" s="26"/>
      <c r="BN362" s="26"/>
      <c r="BO362" s="26"/>
      <c r="BP362" s="16" t="n">
        <v>45712</v>
      </c>
      <c r="BQ362" s="28" t="str">
        <f>HYPERLINK("https://organic.ams.usda.gov/Integrity/Certificate.aspx?cid=68&amp;nopid=8210003940")</f>
        <v>https://organic.ams.usda.gov/Integrity/Certificate.aspx?cid=68&amp;nopid=8210003940</v>
      </c>
    </row>
    <row r="363">
      <c r="A363" t="s">
        <v>3</v>
      </c>
      <c r="B363" s="6" t="s">
        <v>10</v>
      </c>
      <c r="C363" s="6" t="s">
        <v>57</v>
      </c>
      <c r="D363" s="6" t="s">
        <v>103</v>
      </c>
      <c r="E363" s="10" t="s">
        <v>504</v>
      </c>
      <c r="F363" s="6" t="s">
        <v>3239</v>
      </c>
      <c r="G363" s="6" t="s">
        <v>81</v>
      </c>
      <c r="H363" s="6" t="s">
        <v>6213</v>
      </c>
      <c r="I363" s="6" t="s">
        <v>8615</v>
      </c>
      <c r="J363" s="6" t="s">
        <v>9233</v>
      </c>
      <c r="K363" s="6" t="s">
        <v>10886</v>
      </c>
      <c r="L363" s="16" t="n">
        <v>42346</v>
      </c>
      <c r="M363" s="16" t="n">
        <v>45748</v>
      </c>
      <c r="N363" s="6" t="s">
        <v>10886</v>
      </c>
      <c r="O363" s="16" t="n">
        <v>42346</v>
      </c>
      <c r="P363" s="6" t="s">
        <v>10910</v>
      </c>
      <c r="Q363" s="6" t="s">
        <v>81</v>
      </c>
      <c r="R363" s="6" t="s">
        <v>12519</v>
      </c>
      <c r="S363" s="6" t="s">
        <v>10886</v>
      </c>
      <c r="T363" s="16" t="n">
        <v>44562</v>
      </c>
      <c r="U363" s="6" t="s">
        <v>13163</v>
      </c>
      <c r="V363" s="6" t="s">
        <v>81</v>
      </c>
      <c r="W363" s="6" t="s">
        <v>81</v>
      </c>
      <c r="X363" s="6" t="s">
        <v>81</v>
      </c>
      <c r="Y363" s="21" t="s">
        <v>81</v>
      </c>
      <c r="Z363" s="6" t="s">
        <v>81</v>
      </c>
      <c r="AA363" s="6" t="s">
        <v>81</v>
      </c>
      <c r="AB363" s="6" t="s">
        <v>81</v>
      </c>
      <c r="AC363" s="6" t="s">
        <v>81</v>
      </c>
      <c r="AD363" s="21" t="s">
        <v>81</v>
      </c>
      <c r="AE363" s="6" t="s">
        <v>81</v>
      </c>
      <c r="AF363" s="6" t="s">
        <v>81</v>
      </c>
      <c r="AG363" s="6" t="s">
        <v>81</v>
      </c>
      <c r="AH363" s="6" t="s">
        <v>14961</v>
      </c>
      <c r="AI363" s="6" t="s">
        <v>81</v>
      </c>
      <c r="AJ363" s="6" t="s">
        <v>17554</v>
      </c>
      <c r="AK363" s="6" t="s">
        <v>18378</v>
      </c>
      <c r="AL363" s="6" t="s">
        <v>18444</v>
      </c>
      <c r="AM363" s="6" t="s">
        <v>18717</v>
      </c>
      <c r="AN363" s="6" t="s">
        <v>6817</v>
      </c>
      <c r="AO363" s="6" t="s">
        <v>19849</v>
      </c>
      <c r="AP363" s="6" t="s">
        <v>14961</v>
      </c>
      <c r="AQ363" s="6" t="s">
        <v>81</v>
      </c>
      <c r="AR363" s="6" t="s">
        <v>17554</v>
      </c>
      <c r="AS363" s="6" t="s">
        <v>18378</v>
      </c>
      <c r="AT363" s="6" t="s">
        <v>18444</v>
      </c>
      <c r="AU363" s="6" t="s">
        <v>18717</v>
      </c>
      <c r="AV363" s="6" t="s">
        <v>81</v>
      </c>
      <c r="AW363" s="6" t="s">
        <v>81</v>
      </c>
      <c r="AX363" s="6" t="s">
        <v>20972</v>
      </c>
      <c r="AY363" s="6" t="s">
        <v>81</v>
      </c>
      <c r="AZ363" s="6" t="s">
        <v>81</v>
      </c>
      <c r="BA363" s="6" t="s">
        <v>81</v>
      </c>
      <c r="BB363" s="24" t="n">
        <v>160</v>
      </c>
      <c r="BC363" s="26"/>
      <c r="BD363" s="26"/>
      <c r="BE363" s="26"/>
      <c r="BF363" s="26"/>
      <c r="BG363" s="26"/>
      <c r="BH363" s="26"/>
      <c r="BI363" s="26"/>
      <c r="BJ363" s="26"/>
      <c r="BK363" s="26"/>
      <c r="BL363" s="26"/>
      <c r="BM363" s="26"/>
      <c r="BN363" s="26"/>
      <c r="BO363" s="26"/>
      <c r="BP363" s="16" t="n">
        <v>45730</v>
      </c>
      <c r="BQ363" s="28" t="str">
        <f>HYPERLINK("https://organic.ams.usda.gov/Integrity/Certificate.aspx?cid=90&amp;nopid=7170220441")</f>
        <v>https://organic.ams.usda.gov/Integrity/Certificate.aspx?cid=90&amp;nopid=7170220441</v>
      </c>
    </row>
    <row r="364">
      <c r="A364" t="s">
        <v>3</v>
      </c>
      <c r="B364" s="6" t="s">
        <v>8</v>
      </c>
      <c r="C364" s="6" t="s">
        <v>55</v>
      </c>
      <c r="D364" s="6" t="s">
        <v>101</v>
      </c>
      <c r="E364" s="10" t="s">
        <v>505</v>
      </c>
      <c r="F364" s="6" t="s">
        <v>3240</v>
      </c>
      <c r="G364" s="6" t="s">
        <v>81</v>
      </c>
      <c r="H364" s="6" t="s">
        <v>6214</v>
      </c>
      <c r="I364" s="6" t="s">
        <v>8616</v>
      </c>
      <c r="J364" s="6" t="s">
        <v>9874</v>
      </c>
      <c r="K364" s="6" t="s">
        <v>10886</v>
      </c>
      <c r="L364" s="16" t="n">
        <v>40770</v>
      </c>
      <c r="M364" s="16" t="n">
        <v>45748</v>
      </c>
      <c r="N364" s="6" t="s">
        <v>10886</v>
      </c>
      <c r="O364" s="16" t="n">
        <v>40770</v>
      </c>
      <c r="P364" s="6" t="s">
        <v>11131</v>
      </c>
      <c r="Q364" s="6" t="s">
        <v>81</v>
      </c>
      <c r="R364" s="6" t="s">
        <v>6214</v>
      </c>
      <c r="S364" s="6" t="s">
        <v>10886</v>
      </c>
      <c r="T364" s="16" t="n">
        <v>40770</v>
      </c>
      <c r="U364" s="6" t="s">
        <v>13271</v>
      </c>
      <c r="V364" s="6" t="s">
        <v>81</v>
      </c>
      <c r="W364" s="6" t="s">
        <v>6214</v>
      </c>
      <c r="X364" s="6" t="s">
        <v>81</v>
      </c>
      <c r="Y364" s="21" t="s">
        <v>81</v>
      </c>
      <c r="Z364" s="6" t="s">
        <v>81</v>
      </c>
      <c r="AA364" s="6" t="s">
        <v>81</v>
      </c>
      <c r="AB364" s="6" t="s">
        <v>81</v>
      </c>
      <c r="AC364" s="6" t="s">
        <v>81</v>
      </c>
      <c r="AD364" s="21" t="s">
        <v>81</v>
      </c>
      <c r="AE364" s="6" t="s">
        <v>81</v>
      </c>
      <c r="AF364" s="6" t="s">
        <v>81</v>
      </c>
      <c r="AG364" s="6" t="s">
        <v>81</v>
      </c>
      <c r="AH364" s="6" t="s">
        <v>14962</v>
      </c>
      <c r="AI364" s="6" t="s">
        <v>81</v>
      </c>
      <c r="AJ364" s="6" t="s">
        <v>17555</v>
      </c>
      <c r="AK364" s="6" t="s">
        <v>18377</v>
      </c>
      <c r="AL364" s="6" t="s">
        <v>18444</v>
      </c>
      <c r="AM364" s="6" t="s">
        <v>18718</v>
      </c>
      <c r="AN364" s="6" t="s">
        <v>19661</v>
      </c>
      <c r="AO364" s="6" t="s">
        <v>19761</v>
      </c>
      <c r="AP364" s="6" t="s">
        <v>20140</v>
      </c>
      <c r="AQ364" s="6" t="s">
        <v>81</v>
      </c>
      <c r="AR364" s="6" t="s">
        <v>17555</v>
      </c>
      <c r="AS364" s="6" t="s">
        <v>18377</v>
      </c>
      <c r="AT364" s="6" t="s">
        <v>18444</v>
      </c>
      <c r="AU364" s="6" t="s">
        <v>18718</v>
      </c>
      <c r="AV364" s="6" t="s">
        <v>81</v>
      </c>
      <c r="AW364" s="6" t="s">
        <v>81</v>
      </c>
      <c r="AX364" s="6" t="s">
        <v>81</v>
      </c>
      <c r="AY364" s="6" t="s">
        <v>22693</v>
      </c>
      <c r="AZ364" s="6" t="s">
        <v>81</v>
      </c>
      <c r="BA364" s="6" t="s">
        <v>23819</v>
      </c>
      <c r="BB364" s="24" t="n">
        <v>584</v>
      </c>
      <c r="BC364" s="26"/>
      <c r="BD364" s="26"/>
      <c r="BE364" s="26"/>
      <c r="BF364" s="26" t="s">
        <v>23900</v>
      </c>
      <c r="BG364" s="26"/>
      <c r="BH364" s="26"/>
      <c r="BI364" s="26"/>
      <c r="BJ364" s="26"/>
      <c r="BK364" s="26"/>
      <c r="BL364" s="26"/>
      <c r="BM364" s="26"/>
      <c r="BN364" s="26"/>
      <c r="BO364" s="26"/>
      <c r="BP364" s="16" t="n">
        <v>45649</v>
      </c>
      <c r="BQ364" s="28" t="str">
        <f>HYPERLINK("https://organic.ams.usda.gov/Integrity/Certificate.aspx?cid=45&amp;nopid=9950004399")</f>
        <v>https://organic.ams.usda.gov/Integrity/Certificate.aspx?cid=45&amp;nopid=9950004399</v>
      </c>
    </row>
    <row r="365">
      <c r="A365" t="s">
        <v>3</v>
      </c>
      <c r="B365" s="6" t="s">
        <v>21</v>
      </c>
      <c r="C365" s="6" t="s">
        <v>68</v>
      </c>
      <c r="D365" s="6" t="s">
        <v>114</v>
      </c>
      <c r="E365" s="10" t="s">
        <v>506</v>
      </c>
      <c r="F365" s="6" t="s">
        <v>3241</v>
      </c>
      <c r="G365" s="6" t="s">
        <v>81</v>
      </c>
      <c r="H365" s="6" t="s">
        <v>6215</v>
      </c>
      <c r="I365" s="6" t="s">
        <v>8617</v>
      </c>
      <c r="J365" s="6" t="s">
        <v>9875</v>
      </c>
      <c r="K365" s="6" t="s">
        <v>10886</v>
      </c>
      <c r="L365" s="16" t="n">
        <v>43810</v>
      </c>
      <c r="M365" s="16" t="n">
        <v>46023</v>
      </c>
      <c r="N365" s="6" t="s">
        <v>81</v>
      </c>
      <c r="O365" s="21" t="s">
        <v>81</v>
      </c>
      <c r="P365" s="6" t="s">
        <v>81</v>
      </c>
      <c r="Q365" s="6" t="s">
        <v>81</v>
      </c>
      <c r="R365" s="6" t="s">
        <v>81</v>
      </c>
      <c r="S365" s="6" t="s">
        <v>81</v>
      </c>
      <c r="T365" s="21" t="s">
        <v>81</v>
      </c>
      <c r="U365" s="6" t="s">
        <v>81</v>
      </c>
      <c r="V365" s="6" t="s">
        <v>81</v>
      </c>
      <c r="W365" s="6" t="s">
        <v>81</v>
      </c>
      <c r="X365" s="6" t="s">
        <v>81</v>
      </c>
      <c r="Y365" s="21" t="s">
        <v>81</v>
      </c>
      <c r="Z365" s="6" t="s">
        <v>81</v>
      </c>
      <c r="AA365" s="6" t="s">
        <v>81</v>
      </c>
      <c r="AB365" s="6" t="s">
        <v>81</v>
      </c>
      <c r="AC365" s="6" t="s">
        <v>10886</v>
      </c>
      <c r="AD365" s="16" t="n">
        <v>43810</v>
      </c>
      <c r="AE365" s="6" t="s">
        <v>14082</v>
      </c>
      <c r="AF365" s="6" t="s">
        <v>81</v>
      </c>
      <c r="AG365" s="6" t="s">
        <v>81</v>
      </c>
      <c r="AH365" s="6" t="s">
        <v>81</v>
      </c>
      <c r="AI365" s="6" t="s">
        <v>81</v>
      </c>
      <c r="AJ365" s="6" t="s">
        <v>81</v>
      </c>
      <c r="AK365" s="6" t="s">
        <v>81</v>
      </c>
      <c r="AL365" s="6" t="s">
        <v>81</v>
      </c>
      <c r="AM365" s="6" t="s">
        <v>81</v>
      </c>
      <c r="AN365" s="6" t="s">
        <v>81</v>
      </c>
      <c r="AO365" s="6" t="s">
        <v>81</v>
      </c>
      <c r="AP365" s="6" t="s">
        <v>20141</v>
      </c>
      <c r="AQ365" s="6" t="s">
        <v>81</v>
      </c>
      <c r="AR365" s="6" t="s">
        <v>20507</v>
      </c>
      <c r="AS365" s="6" t="s">
        <v>18386</v>
      </c>
      <c r="AT365" s="6" t="s">
        <v>18444</v>
      </c>
      <c r="AU365" s="6" t="s">
        <v>20616</v>
      </c>
      <c r="AV365" s="6" t="s">
        <v>19657</v>
      </c>
      <c r="AW365" s="6" t="s">
        <v>19835</v>
      </c>
      <c r="AX365" s="6" t="s">
        <v>20973</v>
      </c>
      <c r="AY365" s="6" t="s">
        <v>22694</v>
      </c>
      <c r="AZ365" s="6" t="s">
        <v>81</v>
      </c>
      <c r="BA365" s="6" t="s">
        <v>81</v>
      </c>
      <c r="BB365" s="6" t="s">
        <v>81</v>
      </c>
      <c r="BC365" s="26" t="s">
        <v>23900</v>
      </c>
      <c r="BD365" s="26"/>
      <c r="BE365" s="26"/>
      <c r="BF365" s="26"/>
      <c r="BG365" s="26"/>
      <c r="BH365" s="26" t="s">
        <v>23900</v>
      </c>
      <c r="BI365" s="26"/>
      <c r="BJ365" s="26"/>
      <c r="BK365" s="26"/>
      <c r="BL365" s="26" t="s">
        <v>23900</v>
      </c>
      <c r="BM365" s="26"/>
      <c r="BN365" s="26" t="s">
        <v>23900</v>
      </c>
      <c r="BO365" s="26"/>
      <c r="BP365" s="16" t="n">
        <v>45737</v>
      </c>
      <c r="BQ365" s="28" t="str">
        <f>HYPERLINK("https://organic.ams.usda.gov/Integrity/Certificate.aspx?cid=62&amp;nopid=8150000733")</f>
        <v>https://organic.ams.usda.gov/Integrity/Certificate.aspx?cid=62&amp;nopid=8150000733</v>
      </c>
    </row>
    <row r="366">
      <c r="A366" t="s">
        <v>3</v>
      </c>
      <c r="B366" s="6" t="s">
        <v>8</v>
      </c>
      <c r="C366" s="6" t="s">
        <v>55</v>
      </c>
      <c r="D366" s="6" t="s">
        <v>101</v>
      </c>
      <c r="E366" s="10" t="s">
        <v>507</v>
      </c>
      <c r="F366" s="6" t="s">
        <v>3242</v>
      </c>
      <c r="G366" s="6" t="s">
        <v>81</v>
      </c>
      <c r="H366" s="6" t="s">
        <v>6216</v>
      </c>
      <c r="I366" s="6" t="s">
        <v>8618</v>
      </c>
      <c r="J366" s="6" t="s">
        <v>9705</v>
      </c>
      <c r="K366" s="6" t="s">
        <v>10886</v>
      </c>
      <c r="L366" s="16" t="n">
        <v>37194</v>
      </c>
      <c r="M366" s="16" t="n">
        <v>45748</v>
      </c>
      <c r="N366" s="6" t="s">
        <v>81</v>
      </c>
      <c r="O366" s="21" t="s">
        <v>81</v>
      </c>
      <c r="P366" s="6" t="s">
        <v>81</v>
      </c>
      <c r="Q366" s="6" t="s">
        <v>81</v>
      </c>
      <c r="R366" s="6" t="s">
        <v>81</v>
      </c>
      <c r="S366" s="6" t="s">
        <v>81</v>
      </c>
      <c r="T366" s="21" t="s">
        <v>81</v>
      </c>
      <c r="U366" s="6" t="s">
        <v>81</v>
      </c>
      <c r="V366" s="6" t="s">
        <v>81</v>
      </c>
      <c r="W366" s="6" t="s">
        <v>81</v>
      </c>
      <c r="X366" s="6" t="s">
        <v>81</v>
      </c>
      <c r="Y366" s="21" t="s">
        <v>81</v>
      </c>
      <c r="Z366" s="6" t="s">
        <v>81</v>
      </c>
      <c r="AA366" s="6" t="s">
        <v>81</v>
      </c>
      <c r="AB366" s="6" t="s">
        <v>81</v>
      </c>
      <c r="AC366" s="6" t="s">
        <v>10886</v>
      </c>
      <c r="AD366" s="16" t="n">
        <v>37194</v>
      </c>
      <c r="AE366" s="6" t="s">
        <v>14083</v>
      </c>
      <c r="AF366" s="6" t="s">
        <v>81</v>
      </c>
      <c r="AG366" s="6" t="s">
        <v>6216</v>
      </c>
      <c r="AH366" s="6" t="s">
        <v>14963</v>
      </c>
      <c r="AI366" s="6" t="s">
        <v>81</v>
      </c>
      <c r="AJ366" s="6" t="s">
        <v>17377</v>
      </c>
      <c r="AK366" s="6" t="s">
        <v>18377</v>
      </c>
      <c r="AL366" s="6" t="s">
        <v>18444</v>
      </c>
      <c r="AM366" s="6" t="s">
        <v>18530</v>
      </c>
      <c r="AN366" s="6" t="s">
        <v>19638</v>
      </c>
      <c r="AO366" s="6" t="s">
        <v>19724</v>
      </c>
      <c r="AP366" s="6" t="s">
        <v>81</v>
      </c>
      <c r="AQ366" s="6" t="s">
        <v>81</v>
      </c>
      <c r="AR366" s="6" t="s">
        <v>81</v>
      </c>
      <c r="AS366" s="6" t="s">
        <v>81</v>
      </c>
      <c r="AT366" s="6" t="s">
        <v>81</v>
      </c>
      <c r="AU366" s="6" t="s">
        <v>81</v>
      </c>
      <c r="AV366" s="6" t="s">
        <v>81</v>
      </c>
      <c r="AW366" s="6" t="s">
        <v>81</v>
      </c>
      <c r="AX366" s="6" t="s">
        <v>20974</v>
      </c>
      <c r="AY366" s="6" t="s">
        <v>22695</v>
      </c>
      <c r="AZ366" s="6" t="s">
        <v>23606</v>
      </c>
      <c r="BA366" s="6" t="s">
        <v>23824</v>
      </c>
      <c r="BB366" s="24" t="n">
        <v>0</v>
      </c>
      <c r="BC366" s="26"/>
      <c r="BD366" s="26"/>
      <c r="BE366" s="26"/>
      <c r="BF366" s="26"/>
      <c r="BG366" s="26"/>
      <c r="BH366" s="26"/>
      <c r="BI366" s="26"/>
      <c r="BJ366" s="26"/>
      <c r="BK366" s="26"/>
      <c r="BL366" s="26" t="s">
        <v>23900</v>
      </c>
      <c r="BM366" s="26"/>
      <c r="BN366" s="26" t="s">
        <v>23900</v>
      </c>
      <c r="BO366" s="26"/>
      <c r="BP366" s="16" t="n">
        <v>45645</v>
      </c>
      <c r="BQ366" s="28" t="str">
        <f>HYPERLINK("https://organic.ams.usda.gov/Integrity/Certificate.aspx?cid=45&amp;nopid=9950000812")</f>
        <v>https://organic.ams.usda.gov/Integrity/Certificate.aspx?cid=45&amp;nopid=9950000812</v>
      </c>
    </row>
    <row r="367">
      <c r="A367" t="s">
        <v>3</v>
      </c>
      <c r="B367" s="6" t="s">
        <v>7</v>
      </c>
      <c r="C367" s="6" t="s">
        <v>54</v>
      </c>
      <c r="D367" s="6" t="s">
        <v>100</v>
      </c>
      <c r="E367" s="10" t="s">
        <v>508</v>
      </c>
      <c r="F367" s="6" t="s">
        <v>3243</v>
      </c>
      <c r="G367" s="6" t="s">
        <v>81</v>
      </c>
      <c r="H367" s="6" t="s">
        <v>6217</v>
      </c>
      <c r="I367" s="6" t="s">
        <v>8619</v>
      </c>
      <c r="J367" s="6" t="s">
        <v>9876</v>
      </c>
      <c r="K367" s="6" t="s">
        <v>10886</v>
      </c>
      <c r="L367" s="16" t="n">
        <v>38685</v>
      </c>
      <c r="M367" s="16" t="n">
        <v>45716</v>
      </c>
      <c r="N367" s="6" t="s">
        <v>10886</v>
      </c>
      <c r="O367" s="16" t="n">
        <v>38685</v>
      </c>
      <c r="P367" s="6" t="s">
        <v>10910</v>
      </c>
      <c r="Q367" s="6" t="s">
        <v>81</v>
      </c>
      <c r="R367" s="6" t="s">
        <v>81</v>
      </c>
      <c r="S367" s="6" t="s">
        <v>10886</v>
      </c>
      <c r="T367" s="16" t="n">
        <v>39234</v>
      </c>
      <c r="U367" s="6" t="s">
        <v>13284</v>
      </c>
      <c r="V367" s="6" t="s">
        <v>81</v>
      </c>
      <c r="W367" s="6" t="s">
        <v>81</v>
      </c>
      <c r="X367" s="6" t="s">
        <v>81</v>
      </c>
      <c r="Y367" s="21" t="s">
        <v>81</v>
      </c>
      <c r="Z367" s="6" t="s">
        <v>81</v>
      </c>
      <c r="AA367" s="6" t="s">
        <v>81</v>
      </c>
      <c r="AB367" s="6" t="s">
        <v>81</v>
      </c>
      <c r="AC367" s="6" t="s">
        <v>81</v>
      </c>
      <c r="AD367" s="21" t="s">
        <v>81</v>
      </c>
      <c r="AE367" s="6" t="s">
        <v>81</v>
      </c>
      <c r="AF367" s="6" t="s">
        <v>81</v>
      </c>
      <c r="AG367" s="6" t="s">
        <v>81</v>
      </c>
      <c r="AH367" s="6" t="s">
        <v>14964</v>
      </c>
      <c r="AI367" s="6" t="s">
        <v>81</v>
      </c>
      <c r="AJ367" s="6" t="s">
        <v>17556</v>
      </c>
      <c r="AK367" s="6" t="s">
        <v>17712</v>
      </c>
      <c r="AL367" s="6" t="s">
        <v>18444</v>
      </c>
      <c r="AM367" s="6" t="s">
        <v>18719</v>
      </c>
      <c r="AN367" s="6" t="s">
        <v>6842</v>
      </c>
      <c r="AO367" s="6" t="s">
        <v>19815</v>
      </c>
      <c r="AP367" s="6" t="s">
        <v>14964</v>
      </c>
      <c r="AQ367" s="6" t="s">
        <v>81</v>
      </c>
      <c r="AR367" s="6" t="s">
        <v>17556</v>
      </c>
      <c r="AS367" s="6" t="s">
        <v>17712</v>
      </c>
      <c r="AT367" s="6" t="s">
        <v>18444</v>
      </c>
      <c r="AU367" s="6" t="s">
        <v>18719</v>
      </c>
      <c r="AV367" s="6" t="s">
        <v>81</v>
      </c>
      <c r="AW367" s="6" t="s">
        <v>81</v>
      </c>
      <c r="AX367" s="6" t="s">
        <v>20975</v>
      </c>
      <c r="AY367" s="6" t="s">
        <v>22696</v>
      </c>
      <c r="AZ367" s="6" t="s">
        <v>81</v>
      </c>
      <c r="BA367" s="6" t="s">
        <v>81</v>
      </c>
      <c r="BB367" s="24" t="n">
        <v>302</v>
      </c>
      <c r="BC367" s="26"/>
      <c r="BD367" s="26"/>
      <c r="BE367" s="26"/>
      <c r="BF367" s="26" t="s">
        <v>23900</v>
      </c>
      <c r="BG367" s="26"/>
      <c r="BH367" s="26"/>
      <c r="BI367" s="26"/>
      <c r="BJ367" s="26"/>
      <c r="BK367" s="26"/>
      <c r="BL367" s="26"/>
      <c r="BM367" s="26"/>
      <c r="BN367" s="26"/>
      <c r="BO367" s="26"/>
      <c r="BP367" s="16" t="n">
        <v>45686</v>
      </c>
      <c r="BQ367" s="28" t="str">
        <f>HYPERLINK("https://organic.ams.usda.gov/Integrity/Certificate.aspx?cid=57&amp;nopid=3252006177")</f>
        <v>https://organic.ams.usda.gov/Integrity/Certificate.aspx?cid=57&amp;nopid=3252006177</v>
      </c>
    </row>
    <row r="368">
      <c r="A368" t="s">
        <v>3</v>
      </c>
      <c r="B368" s="6" t="s">
        <v>37</v>
      </c>
      <c r="C368" s="6" t="s">
        <v>84</v>
      </c>
      <c r="D368" s="6" t="s">
        <v>129</v>
      </c>
      <c r="E368" s="10" t="s">
        <v>509</v>
      </c>
      <c r="F368" s="6" t="s">
        <v>3244</v>
      </c>
      <c r="G368" s="6" t="s">
        <v>81</v>
      </c>
      <c r="H368" s="6" t="s">
        <v>6218</v>
      </c>
      <c r="I368" s="6" t="s">
        <v>8620</v>
      </c>
      <c r="J368" s="6" t="s">
        <v>9877</v>
      </c>
      <c r="K368" s="6" t="s">
        <v>10886</v>
      </c>
      <c r="L368" s="16" t="n">
        <v>38520</v>
      </c>
      <c r="M368" s="16" t="n">
        <v>45748</v>
      </c>
      <c r="N368" s="6" t="s">
        <v>10886</v>
      </c>
      <c r="O368" s="16" t="n">
        <v>38520</v>
      </c>
      <c r="P368" s="6" t="s">
        <v>10910</v>
      </c>
      <c r="Q368" s="6" t="s">
        <v>81</v>
      </c>
      <c r="R368" s="6" t="s">
        <v>12520</v>
      </c>
      <c r="S368" s="6" t="s">
        <v>10886</v>
      </c>
      <c r="T368" s="16" t="n">
        <v>38520</v>
      </c>
      <c r="U368" s="6" t="s">
        <v>13311</v>
      </c>
      <c r="V368" s="6" t="s">
        <v>81</v>
      </c>
      <c r="W368" s="6" t="s">
        <v>12520</v>
      </c>
      <c r="X368" s="6" t="s">
        <v>81</v>
      </c>
      <c r="Y368" s="21" t="s">
        <v>81</v>
      </c>
      <c r="Z368" s="6" t="s">
        <v>81</v>
      </c>
      <c r="AA368" s="6" t="s">
        <v>81</v>
      </c>
      <c r="AB368" s="6" t="s">
        <v>81</v>
      </c>
      <c r="AC368" s="6" t="s">
        <v>10886</v>
      </c>
      <c r="AD368" s="16" t="n">
        <v>38520</v>
      </c>
      <c r="AE368" s="6" t="s">
        <v>14041</v>
      </c>
      <c r="AF368" s="6" t="s">
        <v>81</v>
      </c>
      <c r="AG368" s="6" t="s">
        <v>12520</v>
      </c>
      <c r="AH368" s="6" t="s">
        <v>14965</v>
      </c>
      <c r="AI368" s="6" t="s">
        <v>81</v>
      </c>
      <c r="AJ368" s="6" t="s">
        <v>9057</v>
      </c>
      <c r="AK368" s="6" t="s">
        <v>17759</v>
      </c>
      <c r="AL368" s="6" t="s">
        <v>18444</v>
      </c>
      <c r="AM368" s="6" t="s">
        <v>18720</v>
      </c>
      <c r="AN368" s="6" t="s">
        <v>19682</v>
      </c>
      <c r="AO368" s="6" t="s">
        <v>19850</v>
      </c>
      <c r="AP368" s="6" t="s">
        <v>14965</v>
      </c>
      <c r="AQ368" s="6" t="s">
        <v>81</v>
      </c>
      <c r="AR368" s="6" t="s">
        <v>9057</v>
      </c>
      <c r="AS368" s="6" t="s">
        <v>17759</v>
      </c>
      <c r="AT368" s="6" t="s">
        <v>18444</v>
      </c>
      <c r="AU368" s="6" t="s">
        <v>18720</v>
      </c>
      <c r="AV368" s="6" t="s">
        <v>81</v>
      </c>
      <c r="AW368" s="6" t="s">
        <v>81</v>
      </c>
      <c r="AX368" s="6" t="s">
        <v>20976</v>
      </c>
      <c r="AY368" s="6" t="s">
        <v>81</v>
      </c>
      <c r="AZ368" s="6" t="s">
        <v>81</v>
      </c>
      <c r="BA368" s="6" t="s">
        <v>81</v>
      </c>
      <c r="BB368" s="24" t="n">
        <v>176</v>
      </c>
      <c r="BC368" s="26"/>
      <c r="BD368" s="26"/>
      <c r="BE368" s="26"/>
      <c r="BF368" s="26" t="s">
        <v>23900</v>
      </c>
      <c r="BG368" s="26"/>
      <c r="BH368" s="26"/>
      <c r="BI368" s="26"/>
      <c r="BJ368" s="26"/>
      <c r="BK368" s="26"/>
      <c r="BL368" s="26"/>
      <c r="BM368" s="26"/>
      <c r="BN368" s="26"/>
      <c r="BO368" s="26"/>
      <c r="BP368" s="16" t="n">
        <v>45474</v>
      </c>
      <c r="BQ368" s="28" t="str">
        <f>HYPERLINK("https://organic.ams.usda.gov/Integrity/Certificate.aspx?cid=42&amp;nopid=6780000201")</f>
        <v>https://organic.ams.usda.gov/Integrity/Certificate.aspx?cid=42&amp;nopid=6780000201</v>
      </c>
    </row>
    <row r="369">
      <c r="A369" t="s">
        <v>3</v>
      </c>
      <c r="B369" s="6" t="s">
        <v>35</v>
      </c>
      <c r="C369" s="6" t="s">
        <v>82</v>
      </c>
      <c r="D369" s="6" t="s">
        <v>127</v>
      </c>
      <c r="E369" s="10" t="s">
        <v>510</v>
      </c>
      <c r="F369" s="6" t="s">
        <v>3245</v>
      </c>
      <c r="G369" s="6" t="s">
        <v>81</v>
      </c>
      <c r="H369" s="6" t="s">
        <v>6219</v>
      </c>
      <c r="I369" s="6" t="s">
        <v>8621</v>
      </c>
      <c r="J369" s="6" t="s">
        <v>9878</v>
      </c>
      <c r="K369" s="6" t="s">
        <v>10886</v>
      </c>
      <c r="L369" s="16" t="n">
        <v>37467</v>
      </c>
      <c r="M369" s="16" t="n">
        <v>45762</v>
      </c>
      <c r="N369" s="6" t="s">
        <v>10886</v>
      </c>
      <c r="O369" s="16" t="n">
        <v>37467</v>
      </c>
      <c r="P369" s="6" t="s">
        <v>11121</v>
      </c>
      <c r="Q369" s="6" t="s">
        <v>81</v>
      </c>
      <c r="R369" s="6" t="s">
        <v>12521</v>
      </c>
      <c r="S369" s="6" t="s">
        <v>10886</v>
      </c>
      <c r="T369" s="16" t="n">
        <v>37467</v>
      </c>
      <c r="U369" s="6" t="s">
        <v>13312</v>
      </c>
      <c r="V369" s="6" t="s">
        <v>81</v>
      </c>
      <c r="W369" s="6" t="s">
        <v>12521</v>
      </c>
      <c r="X369" s="6" t="s">
        <v>81</v>
      </c>
      <c r="Y369" s="21" t="s">
        <v>81</v>
      </c>
      <c r="Z369" s="6" t="s">
        <v>81</v>
      </c>
      <c r="AA369" s="6" t="s">
        <v>81</v>
      </c>
      <c r="AB369" s="6" t="s">
        <v>81</v>
      </c>
      <c r="AC369" s="6" t="s">
        <v>81</v>
      </c>
      <c r="AD369" s="21" t="s">
        <v>81</v>
      </c>
      <c r="AE369" s="6" t="s">
        <v>81</v>
      </c>
      <c r="AF369" s="6" t="s">
        <v>81</v>
      </c>
      <c r="AG369" s="6" t="s">
        <v>81</v>
      </c>
      <c r="AH369" s="6" t="s">
        <v>14966</v>
      </c>
      <c r="AI369" s="6" t="s">
        <v>81</v>
      </c>
      <c r="AJ369" s="6" t="s">
        <v>17557</v>
      </c>
      <c r="AK369" s="6" t="s">
        <v>18405</v>
      </c>
      <c r="AL369" s="6" t="s">
        <v>18444</v>
      </c>
      <c r="AM369" s="6" t="s">
        <v>18721</v>
      </c>
      <c r="AN369" s="6" t="s">
        <v>19655</v>
      </c>
      <c r="AO369" s="6" t="s">
        <v>19851</v>
      </c>
      <c r="AP369" s="6" t="s">
        <v>20142</v>
      </c>
      <c r="AQ369" s="6" t="s">
        <v>81</v>
      </c>
      <c r="AR369" s="6" t="s">
        <v>17557</v>
      </c>
      <c r="AS369" s="6" t="s">
        <v>18405</v>
      </c>
      <c r="AT369" s="6" t="s">
        <v>18444</v>
      </c>
      <c r="AU369" s="6" t="s">
        <v>18721</v>
      </c>
      <c r="AV369" s="6" t="s">
        <v>81</v>
      </c>
      <c r="AW369" s="6" t="s">
        <v>81</v>
      </c>
      <c r="AX369" s="6" t="s">
        <v>20977</v>
      </c>
      <c r="AY369" s="6" t="s">
        <v>22697</v>
      </c>
      <c r="AZ369" s="6" t="s">
        <v>81</v>
      </c>
      <c r="BA369" s="6" t="s">
        <v>81</v>
      </c>
      <c r="BB369" s="24" t="n">
        <v>485</v>
      </c>
      <c r="BC369" s="26"/>
      <c r="BD369" s="26"/>
      <c r="BE369" s="26"/>
      <c r="BF369" s="26"/>
      <c r="BG369" s="26"/>
      <c r="BH369" s="26"/>
      <c r="BI369" s="26"/>
      <c r="BJ369" s="26"/>
      <c r="BK369" s="26"/>
      <c r="BL369" s="26"/>
      <c r="BM369" s="26"/>
      <c r="BN369" s="26"/>
      <c r="BO369" s="26"/>
      <c r="BP369" s="16" t="n">
        <v>45694</v>
      </c>
      <c r="BQ369" s="28" t="str">
        <f>HYPERLINK("https://organic.ams.usda.gov/Integrity/Certificate.aspx?cid=47&amp;nopid=7142070249")</f>
        <v>https://organic.ams.usda.gov/Integrity/Certificate.aspx?cid=47&amp;nopid=7142070249</v>
      </c>
    </row>
    <row r="370">
      <c r="A370" t="s">
        <v>3</v>
      </c>
      <c r="B370" s="6" t="s">
        <v>22</v>
      </c>
      <c r="C370" s="6" t="s">
        <v>69</v>
      </c>
      <c r="D370" s="6" t="s">
        <v>115</v>
      </c>
      <c r="E370" s="10" t="s">
        <v>511</v>
      </c>
      <c r="F370" s="6" t="s">
        <v>3246</v>
      </c>
      <c r="G370" s="6" t="s">
        <v>81</v>
      </c>
      <c r="H370" s="6" t="s">
        <v>6220</v>
      </c>
      <c r="I370" s="6" t="s">
        <v>8622</v>
      </c>
      <c r="J370" s="6" t="s">
        <v>9879</v>
      </c>
      <c r="K370" s="6" t="s">
        <v>10886</v>
      </c>
      <c r="L370" s="16" t="n">
        <v>43012</v>
      </c>
      <c r="M370" s="16" t="n">
        <v>45927</v>
      </c>
      <c r="N370" s="6" t="s">
        <v>81</v>
      </c>
      <c r="O370" s="21" t="s">
        <v>81</v>
      </c>
      <c r="P370" s="6" t="s">
        <v>81</v>
      </c>
      <c r="Q370" s="6" t="s">
        <v>81</v>
      </c>
      <c r="R370" s="6" t="s">
        <v>81</v>
      </c>
      <c r="S370" s="6" t="s">
        <v>81</v>
      </c>
      <c r="T370" s="21" t="s">
        <v>81</v>
      </c>
      <c r="U370" s="6" t="s">
        <v>81</v>
      </c>
      <c r="V370" s="6" t="s">
        <v>81</v>
      </c>
      <c r="W370" s="6" t="s">
        <v>81</v>
      </c>
      <c r="X370" s="6" t="s">
        <v>81</v>
      </c>
      <c r="Y370" s="21" t="s">
        <v>81</v>
      </c>
      <c r="Z370" s="6" t="s">
        <v>81</v>
      </c>
      <c r="AA370" s="6" t="s">
        <v>81</v>
      </c>
      <c r="AB370" s="6" t="s">
        <v>81</v>
      </c>
      <c r="AC370" s="6" t="s">
        <v>10886</v>
      </c>
      <c r="AD370" s="16" t="n">
        <v>43012</v>
      </c>
      <c r="AE370" s="6" t="s">
        <v>14084</v>
      </c>
      <c r="AF370" s="6" t="s">
        <v>81</v>
      </c>
      <c r="AG370" s="6" t="s">
        <v>81</v>
      </c>
      <c r="AH370" s="6" t="s">
        <v>14967</v>
      </c>
      <c r="AI370" s="6" t="s">
        <v>17280</v>
      </c>
      <c r="AJ370" s="6" t="s">
        <v>17558</v>
      </c>
      <c r="AK370" s="6" t="s">
        <v>18407</v>
      </c>
      <c r="AL370" s="6" t="s">
        <v>17856</v>
      </c>
      <c r="AM370" s="6" t="s">
        <v>81</v>
      </c>
      <c r="AN370" s="6" t="s">
        <v>81</v>
      </c>
      <c r="AO370" s="6" t="s">
        <v>81</v>
      </c>
      <c r="AP370" s="6" t="s">
        <v>20143</v>
      </c>
      <c r="AQ370" s="6" t="s">
        <v>20473</v>
      </c>
      <c r="AR370" s="6" t="s">
        <v>20508</v>
      </c>
      <c r="AS370" s="6" t="s">
        <v>20496</v>
      </c>
      <c r="AT370" s="6" t="s">
        <v>17856</v>
      </c>
      <c r="AU370" s="6" t="s">
        <v>20617</v>
      </c>
      <c r="AV370" s="6" t="s">
        <v>81</v>
      </c>
      <c r="AW370" s="6" t="s">
        <v>81</v>
      </c>
      <c r="AX370" s="6" t="s">
        <v>20978</v>
      </c>
      <c r="AY370" s="6" t="s">
        <v>22698</v>
      </c>
      <c r="AZ370" s="6" t="s">
        <v>81</v>
      </c>
      <c r="BA370" s="6" t="s">
        <v>81</v>
      </c>
      <c r="BB370" s="6" t="s">
        <v>81</v>
      </c>
      <c r="BC370" s="26"/>
      <c r="BD370" s="26"/>
      <c r="BE370" s="26"/>
      <c r="BF370" s="26"/>
      <c r="BG370" s="26"/>
      <c r="BH370" s="26"/>
      <c r="BI370" s="26"/>
      <c r="BJ370" s="26"/>
      <c r="BK370" s="26"/>
      <c r="BL370" s="26"/>
      <c r="BM370" s="26"/>
      <c r="BN370" s="26"/>
      <c r="BO370" s="26"/>
      <c r="BP370" s="16" t="n">
        <v>45679</v>
      </c>
      <c r="BQ370" s="28" t="str">
        <f>HYPERLINK("https://organic.ams.usda.gov/Integrity/Certificate.aspx?cid=21&amp;nopid=1780854352")</f>
        <v>https://organic.ams.usda.gov/Integrity/Certificate.aspx?cid=21&amp;nopid=1780854352</v>
      </c>
    </row>
    <row r="371">
      <c r="A371" t="s">
        <v>3</v>
      </c>
      <c r="B371" s="6" t="s">
        <v>29</v>
      </c>
      <c r="C371" s="6" t="s">
        <v>76</v>
      </c>
      <c r="D371" s="6" t="s">
        <v>122</v>
      </c>
      <c r="E371" s="10" t="s">
        <v>512</v>
      </c>
      <c r="F371" s="6" t="s">
        <v>3247</v>
      </c>
      <c r="G371" s="6" t="s">
        <v>5621</v>
      </c>
      <c r="H371" s="6" t="s">
        <v>6221</v>
      </c>
      <c r="I371" s="6" t="s">
        <v>8623</v>
      </c>
      <c r="J371" s="6" t="s">
        <v>9665</v>
      </c>
      <c r="K371" s="6" t="s">
        <v>10886</v>
      </c>
      <c r="L371" s="16" t="n">
        <v>42980</v>
      </c>
      <c r="M371" s="16" t="n">
        <v>45870</v>
      </c>
      <c r="N371" s="6" t="s">
        <v>10886</v>
      </c>
      <c r="O371" s="16" t="n">
        <v>42980</v>
      </c>
      <c r="P371" s="6" t="s">
        <v>11132</v>
      </c>
      <c r="Q371" s="6" t="s">
        <v>81</v>
      </c>
      <c r="R371" s="6" t="s">
        <v>12522</v>
      </c>
      <c r="S371" s="6" t="s">
        <v>10886</v>
      </c>
      <c r="T371" s="16" t="n">
        <v>44419</v>
      </c>
      <c r="U371" s="6" t="s">
        <v>13313</v>
      </c>
      <c r="V371" s="6" t="s">
        <v>81</v>
      </c>
      <c r="W371" s="6" t="s">
        <v>12522</v>
      </c>
      <c r="X371" s="6" t="s">
        <v>81</v>
      </c>
      <c r="Y371" s="21" t="s">
        <v>81</v>
      </c>
      <c r="Z371" s="6" t="s">
        <v>81</v>
      </c>
      <c r="AA371" s="6" t="s">
        <v>81</v>
      </c>
      <c r="AB371" s="6" t="s">
        <v>81</v>
      </c>
      <c r="AC371" s="6" t="s">
        <v>81</v>
      </c>
      <c r="AD371" s="21" t="s">
        <v>81</v>
      </c>
      <c r="AE371" s="6" t="s">
        <v>81</v>
      </c>
      <c r="AF371" s="6" t="s">
        <v>81</v>
      </c>
      <c r="AG371" s="6" t="s">
        <v>81</v>
      </c>
      <c r="AH371" s="6" t="s">
        <v>14968</v>
      </c>
      <c r="AI371" s="6" t="s">
        <v>81</v>
      </c>
      <c r="AJ371" s="6" t="s">
        <v>17371</v>
      </c>
      <c r="AK371" s="6" t="s">
        <v>18384</v>
      </c>
      <c r="AL371" s="6" t="s">
        <v>18444</v>
      </c>
      <c r="AM371" s="6" t="s">
        <v>18722</v>
      </c>
      <c r="AN371" s="6" t="s">
        <v>19690</v>
      </c>
      <c r="AO371" s="6" t="s">
        <v>19852</v>
      </c>
      <c r="AP371" s="6" t="s">
        <v>81</v>
      </c>
      <c r="AQ371" s="6" t="s">
        <v>81</v>
      </c>
      <c r="AR371" s="6" t="s">
        <v>81</v>
      </c>
      <c r="AS371" s="6" t="s">
        <v>81</v>
      </c>
      <c r="AT371" s="6" t="s">
        <v>81</v>
      </c>
      <c r="AU371" s="6" t="s">
        <v>81</v>
      </c>
      <c r="AV371" s="6" t="s">
        <v>81</v>
      </c>
      <c r="AW371" s="6" t="s">
        <v>81</v>
      </c>
      <c r="AX371" s="6" t="s">
        <v>20979</v>
      </c>
      <c r="AY371" s="6" t="s">
        <v>81</v>
      </c>
      <c r="AZ371" s="6" t="s">
        <v>81</v>
      </c>
      <c r="BA371" s="6" t="s">
        <v>81</v>
      </c>
      <c r="BB371" s="24" t="n">
        <v>113</v>
      </c>
      <c r="BC371" s="26"/>
      <c r="BD371" s="26"/>
      <c r="BE371" s="26"/>
      <c r="BF371" s="26" t="s">
        <v>23900</v>
      </c>
      <c r="BG371" s="26"/>
      <c r="BH371" s="26"/>
      <c r="BI371" s="26"/>
      <c r="BJ371" s="26"/>
      <c r="BK371" s="26"/>
      <c r="BL371" s="26"/>
      <c r="BM371" s="26"/>
      <c r="BN371" s="26"/>
      <c r="BO371" s="26"/>
      <c r="BP371" s="16" t="n">
        <v>45737</v>
      </c>
      <c r="BQ371" s="28" t="str">
        <f>HYPERLINK("https://organic.ams.usda.gov/Integrity/Certificate.aspx?cid=31&amp;nopid=3928971838")</f>
        <v>https://organic.ams.usda.gov/Integrity/Certificate.aspx?cid=31&amp;nopid=3928971838</v>
      </c>
    </row>
    <row r="372">
      <c r="A372" t="s">
        <v>3</v>
      </c>
      <c r="B372" s="6" t="s">
        <v>8</v>
      </c>
      <c r="C372" s="6" t="s">
        <v>55</v>
      </c>
      <c r="D372" s="6" t="s">
        <v>101</v>
      </c>
      <c r="E372" s="10" t="s">
        <v>513</v>
      </c>
      <c r="F372" s="6" t="s">
        <v>3248</v>
      </c>
      <c r="G372" s="6" t="s">
        <v>81</v>
      </c>
      <c r="H372" s="6" t="s">
        <v>6222</v>
      </c>
      <c r="I372" s="6" t="s">
        <v>8624</v>
      </c>
      <c r="J372" s="6" t="s">
        <v>9880</v>
      </c>
      <c r="K372" s="6" t="s">
        <v>10886</v>
      </c>
      <c r="L372" s="16" t="n">
        <v>42572</v>
      </c>
      <c r="M372" s="16" t="n">
        <v>45748</v>
      </c>
      <c r="N372" s="6" t="s">
        <v>81</v>
      </c>
      <c r="O372" s="21" t="s">
        <v>81</v>
      </c>
      <c r="P372" s="6" t="s">
        <v>81</v>
      </c>
      <c r="Q372" s="6" t="s">
        <v>81</v>
      </c>
      <c r="R372" s="6" t="s">
        <v>81</v>
      </c>
      <c r="S372" s="6" t="s">
        <v>81</v>
      </c>
      <c r="T372" s="21" t="s">
        <v>81</v>
      </c>
      <c r="U372" s="6" t="s">
        <v>81</v>
      </c>
      <c r="V372" s="6" t="s">
        <v>81</v>
      </c>
      <c r="W372" s="6" t="s">
        <v>81</v>
      </c>
      <c r="X372" s="6" t="s">
        <v>81</v>
      </c>
      <c r="Y372" s="21" t="s">
        <v>81</v>
      </c>
      <c r="Z372" s="6" t="s">
        <v>81</v>
      </c>
      <c r="AA372" s="6" t="s">
        <v>81</v>
      </c>
      <c r="AB372" s="6" t="s">
        <v>81</v>
      </c>
      <c r="AC372" s="6" t="s">
        <v>10886</v>
      </c>
      <c r="AD372" s="16" t="n">
        <v>42572</v>
      </c>
      <c r="AE372" s="6" t="s">
        <v>14085</v>
      </c>
      <c r="AF372" s="6" t="s">
        <v>81</v>
      </c>
      <c r="AG372" s="6" t="s">
        <v>6222</v>
      </c>
      <c r="AH372" s="6" t="s">
        <v>14969</v>
      </c>
      <c r="AI372" s="6" t="s">
        <v>81</v>
      </c>
      <c r="AJ372" s="6" t="s">
        <v>17559</v>
      </c>
      <c r="AK372" s="6" t="s">
        <v>18377</v>
      </c>
      <c r="AL372" s="6" t="s">
        <v>18444</v>
      </c>
      <c r="AM372" s="6" t="s">
        <v>18723</v>
      </c>
      <c r="AN372" s="6" t="s">
        <v>19681</v>
      </c>
      <c r="AO372" s="6" t="s">
        <v>19853</v>
      </c>
      <c r="AP372" s="6" t="s">
        <v>20144</v>
      </c>
      <c r="AQ372" s="6" t="s">
        <v>81</v>
      </c>
      <c r="AR372" s="6" t="s">
        <v>17559</v>
      </c>
      <c r="AS372" s="6" t="s">
        <v>18377</v>
      </c>
      <c r="AT372" s="6" t="s">
        <v>18444</v>
      </c>
      <c r="AU372" s="6" t="s">
        <v>18723</v>
      </c>
      <c r="AV372" s="6" t="s">
        <v>81</v>
      </c>
      <c r="AW372" s="6" t="s">
        <v>81</v>
      </c>
      <c r="AX372" s="6" t="s">
        <v>20980</v>
      </c>
      <c r="AY372" s="6" t="s">
        <v>22699</v>
      </c>
      <c r="AZ372" s="6" t="s">
        <v>81</v>
      </c>
      <c r="BA372" s="6" t="s">
        <v>23824</v>
      </c>
      <c r="BB372" s="24" t="n">
        <v>0</v>
      </c>
      <c r="BC372" s="26"/>
      <c r="BD372" s="26"/>
      <c r="BE372" s="26"/>
      <c r="BF372" s="26"/>
      <c r="BG372" s="26" t="s">
        <v>23900</v>
      </c>
      <c r="BH372" s="26"/>
      <c r="BI372" s="26"/>
      <c r="BJ372" s="26"/>
      <c r="BK372" s="26"/>
      <c r="BL372" s="26"/>
      <c r="BM372" s="26"/>
      <c r="BN372" s="26"/>
      <c r="BO372" s="26"/>
      <c r="BP372" s="16" t="n">
        <v>45512</v>
      </c>
      <c r="BQ372" s="28" t="str">
        <f>HYPERLINK("https://organic.ams.usda.gov/Integrity/Certificate.aspx?cid=45&amp;nopid=9950009603")</f>
        <v>https://organic.ams.usda.gov/Integrity/Certificate.aspx?cid=45&amp;nopid=9950009603</v>
      </c>
    </row>
    <row r="373">
      <c r="A373" t="s">
        <v>3</v>
      </c>
      <c r="B373" s="6" t="s">
        <v>8</v>
      </c>
      <c r="C373" s="6" t="s">
        <v>55</v>
      </c>
      <c r="D373" s="6" t="s">
        <v>101</v>
      </c>
      <c r="E373" s="10" t="s">
        <v>514</v>
      </c>
      <c r="F373" s="6" t="s">
        <v>3249</v>
      </c>
      <c r="G373" s="6" t="s">
        <v>81</v>
      </c>
      <c r="H373" s="6" t="s">
        <v>6223</v>
      </c>
      <c r="I373" s="6" t="s">
        <v>8461</v>
      </c>
      <c r="J373" s="6" t="s">
        <v>9669</v>
      </c>
      <c r="K373" s="6" t="s">
        <v>10886</v>
      </c>
      <c r="L373" s="16" t="n">
        <v>39930</v>
      </c>
      <c r="M373" s="16" t="n">
        <v>45689</v>
      </c>
      <c r="N373" s="6" t="s">
        <v>10886</v>
      </c>
      <c r="O373" s="16" t="n">
        <v>39930</v>
      </c>
      <c r="P373" s="6" t="s">
        <v>11133</v>
      </c>
      <c r="Q373" s="6" t="s">
        <v>81</v>
      </c>
      <c r="R373" s="6" t="s">
        <v>6223</v>
      </c>
      <c r="S373" s="6" t="s">
        <v>10886</v>
      </c>
      <c r="T373" s="16" t="n">
        <v>39930</v>
      </c>
      <c r="U373" s="6" t="s">
        <v>13271</v>
      </c>
      <c r="V373" s="6" t="s">
        <v>81</v>
      </c>
      <c r="W373" s="6" t="s">
        <v>6223</v>
      </c>
      <c r="X373" s="6" t="s">
        <v>81</v>
      </c>
      <c r="Y373" s="21" t="s">
        <v>81</v>
      </c>
      <c r="Z373" s="6" t="s">
        <v>81</v>
      </c>
      <c r="AA373" s="6" t="s">
        <v>81</v>
      </c>
      <c r="AB373" s="6" t="s">
        <v>81</v>
      </c>
      <c r="AC373" s="6" t="s">
        <v>81</v>
      </c>
      <c r="AD373" s="21" t="s">
        <v>81</v>
      </c>
      <c r="AE373" s="6" t="s">
        <v>81</v>
      </c>
      <c r="AF373" s="6" t="s">
        <v>81</v>
      </c>
      <c r="AG373" s="6" t="s">
        <v>81</v>
      </c>
      <c r="AH373" s="6" t="s">
        <v>14970</v>
      </c>
      <c r="AI373" s="6" t="s">
        <v>81</v>
      </c>
      <c r="AJ373" s="6" t="s">
        <v>17560</v>
      </c>
      <c r="AK373" s="6" t="s">
        <v>18378</v>
      </c>
      <c r="AL373" s="6" t="s">
        <v>18444</v>
      </c>
      <c r="AM373" s="6" t="s">
        <v>18724</v>
      </c>
      <c r="AN373" s="6" t="s">
        <v>19647</v>
      </c>
      <c r="AO373" s="6" t="s">
        <v>19734</v>
      </c>
      <c r="AP373" s="6" t="s">
        <v>81</v>
      </c>
      <c r="AQ373" s="6" t="s">
        <v>81</v>
      </c>
      <c r="AR373" s="6" t="s">
        <v>81</v>
      </c>
      <c r="AS373" s="6" t="s">
        <v>81</v>
      </c>
      <c r="AT373" s="6" t="s">
        <v>81</v>
      </c>
      <c r="AU373" s="6" t="s">
        <v>81</v>
      </c>
      <c r="AV373" s="6" t="s">
        <v>81</v>
      </c>
      <c r="AW373" s="6" t="s">
        <v>81</v>
      </c>
      <c r="AX373" s="6" t="s">
        <v>81</v>
      </c>
      <c r="AY373" s="6" t="s">
        <v>81</v>
      </c>
      <c r="AZ373" s="6" t="s">
        <v>81</v>
      </c>
      <c r="BA373" s="6" t="s">
        <v>23819</v>
      </c>
      <c r="BB373" s="24" t="n">
        <v>259</v>
      </c>
      <c r="BC373" s="26"/>
      <c r="BD373" s="26"/>
      <c r="BE373" s="26"/>
      <c r="BF373" s="26" t="s">
        <v>23900</v>
      </c>
      <c r="BG373" s="26"/>
      <c r="BH373" s="26"/>
      <c r="BI373" s="26"/>
      <c r="BJ373" s="26"/>
      <c r="BK373" s="26"/>
      <c r="BL373" s="26"/>
      <c r="BM373" s="26"/>
      <c r="BN373" s="26"/>
      <c r="BO373" s="26"/>
      <c r="BP373" s="16" t="n">
        <v>45677</v>
      </c>
      <c r="BQ373" s="28" t="str">
        <f>HYPERLINK("https://organic.ams.usda.gov/Integrity/Certificate.aspx?cid=45&amp;nopid=9950003376")</f>
        <v>https://organic.ams.usda.gov/Integrity/Certificate.aspx?cid=45&amp;nopid=9950003376</v>
      </c>
    </row>
    <row r="374">
      <c r="A374" t="s">
        <v>3</v>
      </c>
      <c r="B374" s="6" t="s">
        <v>25</v>
      </c>
      <c r="C374" s="6" t="s">
        <v>72</v>
      </c>
      <c r="D374" s="6" t="s">
        <v>118</v>
      </c>
      <c r="E374" s="10" t="s">
        <v>515</v>
      </c>
      <c r="F374" s="6" t="s">
        <v>3250</v>
      </c>
      <c r="G374" s="6" t="s">
        <v>81</v>
      </c>
      <c r="H374" s="6" t="s">
        <v>6224</v>
      </c>
      <c r="I374" s="6" t="s">
        <v>8625</v>
      </c>
      <c r="J374" s="6" t="s">
        <v>9881</v>
      </c>
      <c r="K374" s="6" t="s">
        <v>10886</v>
      </c>
      <c r="L374" s="16" t="n">
        <v>42151</v>
      </c>
      <c r="M374" s="16" t="n">
        <v>46023</v>
      </c>
      <c r="N374" s="6" t="s">
        <v>81</v>
      </c>
      <c r="O374" s="21" t="s">
        <v>81</v>
      </c>
      <c r="P374" s="6" t="s">
        <v>81</v>
      </c>
      <c r="Q374" s="6" t="s">
        <v>81</v>
      </c>
      <c r="R374" s="6" t="s">
        <v>81</v>
      </c>
      <c r="S374" s="6" t="s">
        <v>81</v>
      </c>
      <c r="T374" s="21" t="s">
        <v>81</v>
      </c>
      <c r="U374" s="6" t="s">
        <v>81</v>
      </c>
      <c r="V374" s="6" t="s">
        <v>81</v>
      </c>
      <c r="W374" s="6" t="s">
        <v>81</v>
      </c>
      <c r="X374" s="6" t="s">
        <v>81</v>
      </c>
      <c r="Y374" s="21" t="s">
        <v>81</v>
      </c>
      <c r="Z374" s="6" t="s">
        <v>81</v>
      </c>
      <c r="AA374" s="6" t="s">
        <v>81</v>
      </c>
      <c r="AB374" s="6" t="s">
        <v>81</v>
      </c>
      <c r="AC374" s="6" t="s">
        <v>10886</v>
      </c>
      <c r="AD374" s="16" t="n">
        <v>41171</v>
      </c>
      <c r="AE374" s="6" t="s">
        <v>14086</v>
      </c>
      <c r="AF374" s="6" t="s">
        <v>81</v>
      </c>
      <c r="AG374" s="6" t="s">
        <v>81</v>
      </c>
      <c r="AH374" s="6" t="s">
        <v>14971</v>
      </c>
      <c r="AI374" s="6" t="s">
        <v>81</v>
      </c>
      <c r="AJ374" s="6" t="s">
        <v>17561</v>
      </c>
      <c r="AK374" s="6" t="s">
        <v>18386</v>
      </c>
      <c r="AL374" s="6" t="s">
        <v>18444</v>
      </c>
      <c r="AM374" s="6" t="s">
        <v>18725</v>
      </c>
      <c r="AN374" s="6" t="s">
        <v>19672</v>
      </c>
      <c r="AO374" s="6" t="s">
        <v>19787</v>
      </c>
      <c r="AP374" s="6" t="s">
        <v>14971</v>
      </c>
      <c r="AQ374" s="6" t="s">
        <v>81</v>
      </c>
      <c r="AR374" s="6" t="s">
        <v>17561</v>
      </c>
      <c r="AS374" s="6" t="s">
        <v>18386</v>
      </c>
      <c r="AT374" s="6" t="s">
        <v>18444</v>
      </c>
      <c r="AU374" s="6" t="s">
        <v>18725</v>
      </c>
      <c r="AV374" s="6" t="s">
        <v>81</v>
      </c>
      <c r="AW374" s="6" t="s">
        <v>81</v>
      </c>
      <c r="AX374" s="6" t="s">
        <v>20981</v>
      </c>
      <c r="AY374" s="6" t="s">
        <v>22700</v>
      </c>
      <c r="AZ374" s="6" t="s">
        <v>23607</v>
      </c>
      <c r="BA374" s="6" t="s">
        <v>23839</v>
      </c>
      <c r="BB374" s="6" t="s">
        <v>81</v>
      </c>
      <c r="BC374" s="26"/>
      <c r="BD374" s="26"/>
      <c r="BE374" s="26"/>
      <c r="BF374" s="26"/>
      <c r="BG374" s="26"/>
      <c r="BH374" s="26"/>
      <c r="BI374" s="26"/>
      <c r="BJ374" s="26"/>
      <c r="BK374" s="26"/>
      <c r="BL374" s="26"/>
      <c r="BM374" s="26"/>
      <c r="BN374" s="26"/>
      <c r="BO374" s="26"/>
      <c r="BP374" s="16" t="n">
        <v>45691</v>
      </c>
      <c r="BQ374" s="28" t="str">
        <f>HYPERLINK("https://organic.ams.usda.gov/Integrity/Certificate.aspx?cid=15&amp;nopid=5561001760")</f>
        <v>https://organic.ams.usda.gov/Integrity/Certificate.aspx?cid=15&amp;nopid=5561001760</v>
      </c>
    </row>
    <row r="375">
      <c r="A375" t="s">
        <v>3</v>
      </c>
      <c r="B375" s="6" t="s">
        <v>25</v>
      </c>
      <c r="C375" s="6" t="s">
        <v>72</v>
      </c>
      <c r="D375" s="6" t="s">
        <v>118</v>
      </c>
      <c r="E375" s="10" t="s">
        <v>516</v>
      </c>
      <c r="F375" s="6" t="s">
        <v>3251</v>
      </c>
      <c r="G375" s="6" t="s">
        <v>5622</v>
      </c>
      <c r="H375" s="6" t="s">
        <v>6225</v>
      </c>
      <c r="I375" s="6" t="s">
        <v>8626</v>
      </c>
      <c r="J375" s="6" t="s">
        <v>9685</v>
      </c>
      <c r="K375" s="6" t="s">
        <v>10886</v>
      </c>
      <c r="L375" s="16" t="n">
        <v>44440</v>
      </c>
      <c r="M375" s="16" t="n">
        <v>46023</v>
      </c>
      <c r="N375" s="6" t="s">
        <v>81</v>
      </c>
      <c r="O375" s="21" t="s">
        <v>81</v>
      </c>
      <c r="P375" s="6" t="s">
        <v>81</v>
      </c>
      <c r="Q375" s="6" t="s">
        <v>81</v>
      </c>
      <c r="R375" s="6" t="s">
        <v>81</v>
      </c>
      <c r="S375" s="6" t="s">
        <v>81</v>
      </c>
      <c r="T375" s="21" t="s">
        <v>81</v>
      </c>
      <c r="U375" s="6" t="s">
        <v>81</v>
      </c>
      <c r="V375" s="6" t="s">
        <v>81</v>
      </c>
      <c r="W375" s="6" t="s">
        <v>81</v>
      </c>
      <c r="X375" s="6" t="s">
        <v>81</v>
      </c>
      <c r="Y375" s="21" t="s">
        <v>81</v>
      </c>
      <c r="Z375" s="6" t="s">
        <v>81</v>
      </c>
      <c r="AA375" s="6" t="s">
        <v>81</v>
      </c>
      <c r="AB375" s="6" t="s">
        <v>81</v>
      </c>
      <c r="AC375" s="6" t="s">
        <v>10886</v>
      </c>
      <c r="AD375" s="16" t="n">
        <v>44440</v>
      </c>
      <c r="AE375" s="6" t="s">
        <v>14087</v>
      </c>
      <c r="AF375" s="6" t="s">
        <v>81</v>
      </c>
      <c r="AG375" s="6" t="s">
        <v>81</v>
      </c>
      <c r="AH375" s="6" t="s">
        <v>14972</v>
      </c>
      <c r="AI375" s="6" t="s">
        <v>81</v>
      </c>
      <c r="AJ375" s="6" t="s">
        <v>17562</v>
      </c>
      <c r="AK375" s="6" t="s">
        <v>18386</v>
      </c>
      <c r="AL375" s="6" t="s">
        <v>18444</v>
      </c>
      <c r="AM375" s="6" t="s">
        <v>18726</v>
      </c>
      <c r="AN375" s="6" t="s">
        <v>19645</v>
      </c>
      <c r="AO375" s="6" t="s">
        <v>19777</v>
      </c>
      <c r="AP375" s="6" t="s">
        <v>20145</v>
      </c>
      <c r="AQ375" s="6" t="s">
        <v>81</v>
      </c>
      <c r="AR375" s="6" t="s">
        <v>17562</v>
      </c>
      <c r="AS375" s="6" t="s">
        <v>18386</v>
      </c>
      <c r="AT375" s="6" t="s">
        <v>18444</v>
      </c>
      <c r="AU375" s="6" t="s">
        <v>18726</v>
      </c>
      <c r="AV375" s="6" t="s">
        <v>81</v>
      </c>
      <c r="AW375" s="6" t="s">
        <v>81</v>
      </c>
      <c r="AX375" s="6" t="s">
        <v>20982</v>
      </c>
      <c r="AY375" s="6" t="s">
        <v>22701</v>
      </c>
      <c r="AZ375" s="6" t="s">
        <v>23608</v>
      </c>
      <c r="BA375" s="6" t="s">
        <v>23827</v>
      </c>
      <c r="BB375" s="6" t="s">
        <v>81</v>
      </c>
      <c r="BC375" s="26"/>
      <c r="BD375" s="26"/>
      <c r="BE375" s="26"/>
      <c r="BF375" s="26"/>
      <c r="BG375" s="26"/>
      <c r="BH375" s="26"/>
      <c r="BI375" s="26"/>
      <c r="BJ375" s="26"/>
      <c r="BK375" s="26"/>
      <c r="BL375" s="26"/>
      <c r="BM375" s="26"/>
      <c r="BN375" s="26"/>
      <c r="BO375" s="26"/>
      <c r="BP375" s="16" t="n">
        <v>45667</v>
      </c>
      <c r="BQ375" s="28" t="str">
        <f>HYPERLINK("https://organic.ams.usda.gov/Integrity/Certificate.aspx?cid=15&amp;nopid=5561002152")</f>
        <v>https://organic.ams.usda.gov/Integrity/Certificate.aspx?cid=15&amp;nopid=5561002152</v>
      </c>
    </row>
    <row r="376">
      <c r="A376" t="s">
        <v>3</v>
      </c>
      <c r="B376" s="6" t="s">
        <v>8</v>
      </c>
      <c r="C376" s="6" t="s">
        <v>55</v>
      </c>
      <c r="D376" s="6" t="s">
        <v>101</v>
      </c>
      <c r="E376" s="10" t="s">
        <v>517</v>
      </c>
      <c r="F376" s="6" t="s">
        <v>3252</v>
      </c>
      <c r="G376" s="6" t="s">
        <v>81</v>
      </c>
      <c r="H376" s="6" t="s">
        <v>6226</v>
      </c>
      <c r="I376" s="6" t="s">
        <v>8384</v>
      </c>
      <c r="J376" s="6" t="s">
        <v>9720</v>
      </c>
      <c r="K376" s="6" t="s">
        <v>10886</v>
      </c>
      <c r="L376" s="16" t="n">
        <v>39043</v>
      </c>
      <c r="M376" s="16" t="n">
        <v>45383</v>
      </c>
      <c r="N376" s="6" t="s">
        <v>10886</v>
      </c>
      <c r="O376" s="16" t="n">
        <v>39043</v>
      </c>
      <c r="P376" s="6" t="s">
        <v>11134</v>
      </c>
      <c r="Q376" s="6" t="s">
        <v>81</v>
      </c>
      <c r="R376" s="6" t="s">
        <v>6226</v>
      </c>
      <c r="S376" s="6" t="s">
        <v>10886</v>
      </c>
      <c r="T376" s="16" t="n">
        <v>39043</v>
      </c>
      <c r="U376" s="6" t="s">
        <v>13314</v>
      </c>
      <c r="V376" s="6" t="s">
        <v>81</v>
      </c>
      <c r="W376" s="6" t="s">
        <v>6226</v>
      </c>
      <c r="X376" s="6" t="s">
        <v>81</v>
      </c>
      <c r="Y376" s="21" t="s">
        <v>81</v>
      </c>
      <c r="Z376" s="6" t="s">
        <v>81</v>
      </c>
      <c r="AA376" s="6" t="s">
        <v>81</v>
      </c>
      <c r="AB376" s="6" t="s">
        <v>81</v>
      </c>
      <c r="AC376" s="6" t="s">
        <v>81</v>
      </c>
      <c r="AD376" s="21" t="s">
        <v>81</v>
      </c>
      <c r="AE376" s="6" t="s">
        <v>81</v>
      </c>
      <c r="AF376" s="6" t="s">
        <v>81</v>
      </c>
      <c r="AG376" s="6" t="s">
        <v>81</v>
      </c>
      <c r="AH376" s="6" t="s">
        <v>14973</v>
      </c>
      <c r="AI376" s="6" t="s">
        <v>81</v>
      </c>
      <c r="AJ376" s="6" t="s">
        <v>17563</v>
      </c>
      <c r="AK376" s="6" t="s">
        <v>18381</v>
      </c>
      <c r="AL376" s="6" t="s">
        <v>18444</v>
      </c>
      <c r="AM376" s="6" t="s">
        <v>18727</v>
      </c>
      <c r="AN376" s="6" t="s">
        <v>8233</v>
      </c>
      <c r="AO376" s="6" t="s">
        <v>19854</v>
      </c>
      <c r="AP376" s="6" t="s">
        <v>81</v>
      </c>
      <c r="AQ376" s="6" t="s">
        <v>81</v>
      </c>
      <c r="AR376" s="6" t="s">
        <v>81</v>
      </c>
      <c r="AS376" s="6" t="s">
        <v>81</v>
      </c>
      <c r="AT376" s="6" t="s">
        <v>81</v>
      </c>
      <c r="AU376" s="6" t="s">
        <v>81</v>
      </c>
      <c r="AV376" s="6" t="s">
        <v>81</v>
      </c>
      <c r="AW376" s="6" t="s">
        <v>81</v>
      </c>
      <c r="AX376" s="6" t="s">
        <v>81</v>
      </c>
      <c r="AY376" s="6" t="s">
        <v>81</v>
      </c>
      <c r="AZ376" s="6" t="s">
        <v>81</v>
      </c>
      <c r="BA376" s="6" t="s">
        <v>23819</v>
      </c>
      <c r="BB376" s="24" t="n">
        <v>244</v>
      </c>
      <c r="BC376" s="26"/>
      <c r="BD376" s="26"/>
      <c r="BE376" s="26"/>
      <c r="BF376" s="26"/>
      <c r="BG376" s="26"/>
      <c r="BH376" s="26"/>
      <c r="BI376" s="26"/>
      <c r="BJ376" s="26"/>
      <c r="BK376" s="26" t="s">
        <v>23900</v>
      </c>
      <c r="BL376" s="26"/>
      <c r="BM376" s="26"/>
      <c r="BN376" s="26"/>
      <c r="BO376" s="26"/>
      <c r="BP376" s="16" t="n">
        <v>45457</v>
      </c>
      <c r="BQ376" s="28" t="str">
        <f>HYPERLINK("https://organic.ams.usda.gov/Integrity/Certificate.aspx?cid=45&amp;nopid=9950002473")</f>
        <v>https://organic.ams.usda.gov/Integrity/Certificate.aspx?cid=45&amp;nopid=9950002473</v>
      </c>
    </row>
    <row r="377">
      <c r="A377" t="s">
        <v>3</v>
      </c>
      <c r="B377" s="6" t="s">
        <v>25</v>
      </c>
      <c r="C377" s="6" t="s">
        <v>72</v>
      </c>
      <c r="D377" s="6" t="s">
        <v>118</v>
      </c>
      <c r="E377" s="10" t="s">
        <v>518</v>
      </c>
      <c r="F377" s="6" t="s">
        <v>3253</v>
      </c>
      <c r="G377" s="6" t="s">
        <v>5623</v>
      </c>
      <c r="H377" s="6" t="s">
        <v>6227</v>
      </c>
      <c r="I377" s="6" t="s">
        <v>8627</v>
      </c>
      <c r="J377" s="6" t="s">
        <v>9882</v>
      </c>
      <c r="K377" s="6" t="s">
        <v>10886</v>
      </c>
      <c r="L377" s="16" t="n">
        <v>45663</v>
      </c>
      <c r="M377" s="16" t="n">
        <v>46023</v>
      </c>
      <c r="N377" s="6" t="s">
        <v>81</v>
      </c>
      <c r="O377" s="21" t="s">
        <v>81</v>
      </c>
      <c r="P377" s="6" t="s">
        <v>81</v>
      </c>
      <c r="Q377" s="6" t="s">
        <v>81</v>
      </c>
      <c r="R377" s="6" t="s">
        <v>81</v>
      </c>
      <c r="S377" s="6" t="s">
        <v>81</v>
      </c>
      <c r="T377" s="21" t="s">
        <v>81</v>
      </c>
      <c r="U377" s="6" t="s">
        <v>81</v>
      </c>
      <c r="V377" s="6" t="s">
        <v>81</v>
      </c>
      <c r="W377" s="6" t="s">
        <v>81</v>
      </c>
      <c r="X377" s="6" t="s">
        <v>81</v>
      </c>
      <c r="Y377" s="21" t="s">
        <v>81</v>
      </c>
      <c r="Z377" s="6" t="s">
        <v>81</v>
      </c>
      <c r="AA377" s="6" t="s">
        <v>81</v>
      </c>
      <c r="AB377" s="6" t="s">
        <v>81</v>
      </c>
      <c r="AC377" s="6" t="s">
        <v>10886</v>
      </c>
      <c r="AD377" s="16" t="n">
        <v>45663</v>
      </c>
      <c r="AE377" s="6" t="s">
        <v>14088</v>
      </c>
      <c r="AF377" s="6" t="s">
        <v>81</v>
      </c>
      <c r="AG377" s="6" t="s">
        <v>81</v>
      </c>
      <c r="AH377" s="6" t="s">
        <v>14974</v>
      </c>
      <c r="AI377" s="6" t="s">
        <v>81</v>
      </c>
      <c r="AJ377" s="6" t="s">
        <v>17564</v>
      </c>
      <c r="AK377" s="6" t="s">
        <v>18408</v>
      </c>
      <c r="AL377" s="6" t="s">
        <v>18444</v>
      </c>
      <c r="AM377" s="6" t="s">
        <v>18728</v>
      </c>
      <c r="AN377" s="6" t="s">
        <v>81</v>
      </c>
      <c r="AO377" s="6" t="s">
        <v>81</v>
      </c>
      <c r="AP377" s="6" t="s">
        <v>14974</v>
      </c>
      <c r="AQ377" s="6" t="s">
        <v>81</v>
      </c>
      <c r="AR377" s="6" t="s">
        <v>17564</v>
      </c>
      <c r="AS377" s="6" t="s">
        <v>18408</v>
      </c>
      <c r="AT377" s="6" t="s">
        <v>18444</v>
      </c>
      <c r="AU377" s="6" t="s">
        <v>18728</v>
      </c>
      <c r="AV377" s="6" t="s">
        <v>81</v>
      </c>
      <c r="AW377" s="6" t="s">
        <v>81</v>
      </c>
      <c r="AX377" s="6" t="s">
        <v>20983</v>
      </c>
      <c r="AY377" s="6" t="s">
        <v>22702</v>
      </c>
      <c r="AZ377" s="6" t="s">
        <v>23609</v>
      </c>
      <c r="BA377" s="6" t="s">
        <v>23840</v>
      </c>
      <c r="BB377" s="6" t="s">
        <v>81</v>
      </c>
      <c r="BC377" s="26" t="s">
        <v>23900</v>
      </c>
      <c r="BD377" s="26"/>
      <c r="BE377" s="26"/>
      <c r="BF377" s="26"/>
      <c r="BG377" s="26"/>
      <c r="BH377" s="26"/>
      <c r="BI377" s="26"/>
      <c r="BJ377" s="26"/>
      <c r="BK377" s="26"/>
      <c r="BL377" s="26"/>
      <c r="BM377" s="26"/>
      <c r="BN377" s="26"/>
      <c r="BO377" s="26"/>
      <c r="BP377" s="16" t="n">
        <v>45713</v>
      </c>
      <c r="BQ377" s="28" t="str">
        <f>HYPERLINK("https://organic.ams.usda.gov/Integrity/Certificate.aspx?cid=15&amp;nopid=5561008574")</f>
        <v>https://organic.ams.usda.gov/Integrity/Certificate.aspx?cid=15&amp;nopid=5561008574</v>
      </c>
    </row>
    <row r="378">
      <c r="A378" t="s">
        <v>3</v>
      </c>
      <c r="B378" s="6" t="s">
        <v>37</v>
      </c>
      <c r="C378" s="6" t="s">
        <v>84</v>
      </c>
      <c r="D378" s="6" t="s">
        <v>129</v>
      </c>
      <c r="E378" s="10" t="s">
        <v>519</v>
      </c>
      <c r="F378" s="6" t="s">
        <v>3254</v>
      </c>
      <c r="G378" s="6" t="s">
        <v>81</v>
      </c>
      <c r="H378" s="6" t="s">
        <v>6228</v>
      </c>
      <c r="I378" s="6" t="s">
        <v>8628</v>
      </c>
      <c r="J378" s="6" t="s">
        <v>9883</v>
      </c>
      <c r="K378" s="6" t="s">
        <v>10886</v>
      </c>
      <c r="L378" s="16" t="n">
        <v>42139</v>
      </c>
      <c r="M378" s="16" t="n">
        <v>45748</v>
      </c>
      <c r="N378" s="6" t="s">
        <v>10886</v>
      </c>
      <c r="O378" s="16" t="n">
        <v>42139</v>
      </c>
      <c r="P378" s="6" t="s">
        <v>11135</v>
      </c>
      <c r="Q378" s="6" t="s">
        <v>81</v>
      </c>
      <c r="R378" s="6" t="s">
        <v>12523</v>
      </c>
      <c r="S378" s="6" t="s">
        <v>10886</v>
      </c>
      <c r="T378" s="16" t="n">
        <v>42402</v>
      </c>
      <c r="U378" s="6" t="s">
        <v>13315</v>
      </c>
      <c r="V378" s="6" t="s">
        <v>81</v>
      </c>
      <c r="W378" s="6" t="s">
        <v>12523</v>
      </c>
      <c r="X378" s="6" t="s">
        <v>81</v>
      </c>
      <c r="Y378" s="21" t="s">
        <v>81</v>
      </c>
      <c r="Z378" s="6" t="s">
        <v>81</v>
      </c>
      <c r="AA378" s="6" t="s">
        <v>81</v>
      </c>
      <c r="AB378" s="6" t="s">
        <v>81</v>
      </c>
      <c r="AC378" s="6" t="s">
        <v>10886</v>
      </c>
      <c r="AD378" s="16" t="n">
        <v>42139</v>
      </c>
      <c r="AE378" s="6" t="s">
        <v>14041</v>
      </c>
      <c r="AF378" s="6" t="s">
        <v>81</v>
      </c>
      <c r="AG378" s="6" t="s">
        <v>12523</v>
      </c>
      <c r="AH378" s="6" t="s">
        <v>14975</v>
      </c>
      <c r="AI378" s="6" t="s">
        <v>81</v>
      </c>
      <c r="AJ378" s="6" t="s">
        <v>17565</v>
      </c>
      <c r="AK378" s="6" t="s">
        <v>17759</v>
      </c>
      <c r="AL378" s="6" t="s">
        <v>18444</v>
      </c>
      <c r="AM378" s="6" t="s">
        <v>18729</v>
      </c>
      <c r="AN378" s="6" t="s">
        <v>19682</v>
      </c>
      <c r="AO378" s="6" t="s">
        <v>19850</v>
      </c>
      <c r="AP378" s="6" t="s">
        <v>14975</v>
      </c>
      <c r="AQ378" s="6" t="s">
        <v>81</v>
      </c>
      <c r="AR378" s="6" t="s">
        <v>17565</v>
      </c>
      <c r="AS378" s="6" t="s">
        <v>17759</v>
      </c>
      <c r="AT378" s="6" t="s">
        <v>18444</v>
      </c>
      <c r="AU378" s="6" t="s">
        <v>18729</v>
      </c>
      <c r="AV378" s="6" t="s">
        <v>81</v>
      </c>
      <c r="AW378" s="6" t="s">
        <v>81</v>
      </c>
      <c r="AX378" s="6" t="s">
        <v>20984</v>
      </c>
      <c r="AY378" s="6" t="s">
        <v>81</v>
      </c>
      <c r="AZ378" s="6" t="s">
        <v>81</v>
      </c>
      <c r="BA378" s="6" t="s">
        <v>81</v>
      </c>
      <c r="BB378" s="24" t="n">
        <v>233</v>
      </c>
      <c r="BC378" s="26"/>
      <c r="BD378" s="26"/>
      <c r="BE378" s="26"/>
      <c r="BF378" s="26" t="s">
        <v>23900</v>
      </c>
      <c r="BG378" s="26"/>
      <c r="BH378" s="26"/>
      <c r="BI378" s="26"/>
      <c r="BJ378" s="26"/>
      <c r="BK378" s="26"/>
      <c r="BL378" s="26"/>
      <c r="BM378" s="26"/>
      <c r="BN378" s="26"/>
      <c r="BO378" s="26"/>
      <c r="BP378" s="16" t="n">
        <v>45398</v>
      </c>
      <c r="BQ378" s="28" t="str">
        <f>HYPERLINK("https://organic.ams.usda.gov/Integrity/Certificate.aspx?cid=42&amp;nopid=6780000261")</f>
        <v>https://organic.ams.usda.gov/Integrity/Certificate.aspx?cid=42&amp;nopid=6780000261</v>
      </c>
    </row>
    <row r="379">
      <c r="A379" t="s">
        <v>3</v>
      </c>
      <c r="B379" s="6" t="s">
        <v>7</v>
      </c>
      <c r="C379" s="6" t="s">
        <v>54</v>
      </c>
      <c r="D379" s="6" t="s">
        <v>100</v>
      </c>
      <c r="E379" s="10" t="s">
        <v>520</v>
      </c>
      <c r="F379" s="6" t="s">
        <v>3255</v>
      </c>
      <c r="G379" s="6" t="s">
        <v>5624</v>
      </c>
      <c r="H379" s="6" t="s">
        <v>6229</v>
      </c>
      <c r="I379" s="6" t="s">
        <v>8629</v>
      </c>
      <c r="J379" s="6" t="s">
        <v>9884</v>
      </c>
      <c r="K379" s="6" t="s">
        <v>10886</v>
      </c>
      <c r="L379" s="16" t="n">
        <v>42226</v>
      </c>
      <c r="M379" s="16" t="n">
        <v>45716</v>
      </c>
      <c r="N379" s="6" t="s">
        <v>10886</v>
      </c>
      <c r="O379" s="16" t="n">
        <v>42226</v>
      </c>
      <c r="P379" s="6" t="s">
        <v>11136</v>
      </c>
      <c r="Q379" s="6" t="s">
        <v>81</v>
      </c>
      <c r="R379" s="6" t="s">
        <v>81</v>
      </c>
      <c r="S379" s="6" t="s">
        <v>10886</v>
      </c>
      <c r="T379" s="16" t="n">
        <v>42251</v>
      </c>
      <c r="U379" s="6" t="s">
        <v>13169</v>
      </c>
      <c r="V379" s="6" t="s">
        <v>81</v>
      </c>
      <c r="W379" s="6" t="s">
        <v>81</v>
      </c>
      <c r="X379" s="6" t="s">
        <v>81</v>
      </c>
      <c r="Y379" s="21" t="s">
        <v>81</v>
      </c>
      <c r="Z379" s="6" t="s">
        <v>81</v>
      </c>
      <c r="AA379" s="6" t="s">
        <v>81</v>
      </c>
      <c r="AB379" s="6" t="s">
        <v>81</v>
      </c>
      <c r="AC379" s="6" t="s">
        <v>81</v>
      </c>
      <c r="AD379" s="21" t="s">
        <v>81</v>
      </c>
      <c r="AE379" s="6" t="s">
        <v>81</v>
      </c>
      <c r="AF379" s="6" t="s">
        <v>81</v>
      </c>
      <c r="AG379" s="6" t="s">
        <v>81</v>
      </c>
      <c r="AH379" s="6" t="s">
        <v>14976</v>
      </c>
      <c r="AI379" s="6" t="s">
        <v>81</v>
      </c>
      <c r="AJ379" s="6" t="s">
        <v>17566</v>
      </c>
      <c r="AK379" s="6" t="s">
        <v>17712</v>
      </c>
      <c r="AL379" s="6" t="s">
        <v>18444</v>
      </c>
      <c r="AM379" s="6" t="s">
        <v>18730</v>
      </c>
      <c r="AN379" s="6" t="s">
        <v>19670</v>
      </c>
      <c r="AO379" s="6" t="s">
        <v>19782</v>
      </c>
      <c r="AP379" s="6" t="s">
        <v>14976</v>
      </c>
      <c r="AQ379" s="6" t="s">
        <v>81</v>
      </c>
      <c r="AR379" s="6" t="s">
        <v>17566</v>
      </c>
      <c r="AS379" s="6" t="s">
        <v>17712</v>
      </c>
      <c r="AT379" s="6" t="s">
        <v>18444</v>
      </c>
      <c r="AU379" s="6" t="s">
        <v>18730</v>
      </c>
      <c r="AV379" s="6" t="s">
        <v>81</v>
      </c>
      <c r="AW379" s="6" t="s">
        <v>81</v>
      </c>
      <c r="AX379" s="6" t="s">
        <v>20985</v>
      </c>
      <c r="AY379" s="6" t="s">
        <v>22703</v>
      </c>
      <c r="AZ379" s="6" t="s">
        <v>81</v>
      </c>
      <c r="BA379" s="6" t="s">
        <v>81</v>
      </c>
      <c r="BB379" s="24" t="n">
        <v>199</v>
      </c>
      <c r="BC379" s="26"/>
      <c r="BD379" s="26"/>
      <c r="BE379" s="26"/>
      <c r="BF379" s="26" t="s">
        <v>23900</v>
      </c>
      <c r="BG379" s="26"/>
      <c r="BH379" s="26"/>
      <c r="BI379" s="26"/>
      <c r="BJ379" s="26"/>
      <c r="BK379" s="26"/>
      <c r="BL379" s="26"/>
      <c r="BM379" s="26"/>
      <c r="BN379" s="26"/>
      <c r="BO379" s="26"/>
      <c r="BP379" s="16" t="n">
        <v>45595</v>
      </c>
      <c r="BQ379" s="28" t="str">
        <f>HYPERLINK("https://organic.ams.usda.gov/Integrity/Certificate.aspx?cid=57&amp;nopid=3252015098")</f>
        <v>https://organic.ams.usda.gov/Integrity/Certificate.aspx?cid=57&amp;nopid=3252015098</v>
      </c>
    </row>
    <row r="380">
      <c r="A380" t="s">
        <v>3</v>
      </c>
      <c r="B380" s="6" t="s">
        <v>15</v>
      </c>
      <c r="C380" s="6" t="s">
        <v>62</v>
      </c>
      <c r="D380" s="6" t="s">
        <v>108</v>
      </c>
      <c r="E380" s="10" t="s">
        <v>521</v>
      </c>
      <c r="F380" s="6" t="s">
        <v>3256</v>
      </c>
      <c r="G380" s="6" t="s">
        <v>5625</v>
      </c>
      <c r="H380" s="6" t="s">
        <v>6230</v>
      </c>
      <c r="I380" s="6" t="s">
        <v>8517</v>
      </c>
      <c r="J380" s="6" t="s">
        <v>9885</v>
      </c>
      <c r="K380" s="6" t="s">
        <v>10886</v>
      </c>
      <c r="L380" s="16" t="n">
        <v>37550</v>
      </c>
      <c r="M380" s="16" t="n">
        <v>46157</v>
      </c>
      <c r="N380" s="6" t="s">
        <v>10886</v>
      </c>
      <c r="O380" s="16" t="n">
        <v>37550</v>
      </c>
      <c r="P380" s="6" t="s">
        <v>11137</v>
      </c>
      <c r="Q380" s="6" t="s">
        <v>81</v>
      </c>
      <c r="R380" s="6" t="s">
        <v>81</v>
      </c>
      <c r="S380" s="6" t="s">
        <v>10886</v>
      </c>
      <c r="T380" s="16" t="n">
        <v>37550</v>
      </c>
      <c r="U380" s="6" t="s">
        <v>13316</v>
      </c>
      <c r="V380" s="6" t="s">
        <v>81</v>
      </c>
      <c r="W380" s="6" t="s">
        <v>81</v>
      </c>
      <c r="X380" s="6" t="s">
        <v>81</v>
      </c>
      <c r="Y380" s="21" t="s">
        <v>81</v>
      </c>
      <c r="Z380" s="6" t="s">
        <v>81</v>
      </c>
      <c r="AA380" s="6" t="s">
        <v>81</v>
      </c>
      <c r="AB380" s="6" t="s">
        <v>81</v>
      </c>
      <c r="AC380" s="6" t="s">
        <v>81</v>
      </c>
      <c r="AD380" s="21" t="s">
        <v>81</v>
      </c>
      <c r="AE380" s="6" t="s">
        <v>81</v>
      </c>
      <c r="AF380" s="6" t="s">
        <v>81</v>
      </c>
      <c r="AG380" s="6" t="s">
        <v>81</v>
      </c>
      <c r="AH380" s="6" t="s">
        <v>14977</v>
      </c>
      <c r="AI380" s="6" t="s">
        <v>81</v>
      </c>
      <c r="AJ380" s="6" t="s">
        <v>17386</v>
      </c>
      <c r="AK380" s="6" t="s">
        <v>18378</v>
      </c>
      <c r="AL380" s="6" t="s">
        <v>18444</v>
      </c>
      <c r="AM380" s="6" t="s">
        <v>18540</v>
      </c>
      <c r="AN380" s="6" t="s">
        <v>19691</v>
      </c>
      <c r="AO380" s="6" t="s">
        <v>19855</v>
      </c>
      <c r="AP380" s="6" t="s">
        <v>14977</v>
      </c>
      <c r="AQ380" s="6" t="s">
        <v>81</v>
      </c>
      <c r="AR380" s="6" t="s">
        <v>17386</v>
      </c>
      <c r="AS380" s="6" t="s">
        <v>18378</v>
      </c>
      <c r="AT380" s="6" t="s">
        <v>18444</v>
      </c>
      <c r="AU380" s="6" t="s">
        <v>18540</v>
      </c>
      <c r="AV380" s="6" t="s">
        <v>81</v>
      </c>
      <c r="AW380" s="6" t="s">
        <v>81</v>
      </c>
      <c r="AX380" s="6" t="s">
        <v>20986</v>
      </c>
      <c r="AY380" s="6" t="s">
        <v>22704</v>
      </c>
      <c r="AZ380" s="6" t="s">
        <v>81</v>
      </c>
      <c r="BA380" s="6" t="s">
        <v>81</v>
      </c>
      <c r="BB380" s="24" t="n">
        <v>307</v>
      </c>
      <c r="BC380" s="26"/>
      <c r="BD380" s="26"/>
      <c r="BE380" s="26"/>
      <c r="BF380" s="26" t="s">
        <v>23900</v>
      </c>
      <c r="BG380" s="26"/>
      <c r="BH380" s="26"/>
      <c r="BI380" s="26"/>
      <c r="BJ380" s="26"/>
      <c r="BK380" s="26"/>
      <c r="BL380" s="26"/>
      <c r="BM380" s="26"/>
      <c r="BN380" s="26"/>
      <c r="BO380" s="26"/>
      <c r="BP380" s="16" t="n">
        <v>45737</v>
      </c>
      <c r="BQ380" s="28" t="str">
        <f>HYPERLINK("https://organic.ams.usda.gov/Integrity/Certificate.aspx?cid=58&amp;nopid=1600000647")</f>
        <v>https://organic.ams.usda.gov/Integrity/Certificate.aspx?cid=58&amp;nopid=1600000647</v>
      </c>
    </row>
    <row r="381">
      <c r="A381" t="s">
        <v>3</v>
      </c>
      <c r="B381" s="6" t="s">
        <v>13</v>
      </c>
      <c r="C381" s="6" t="s">
        <v>60</v>
      </c>
      <c r="D381" s="6" t="s">
        <v>106</v>
      </c>
      <c r="E381" s="10" t="s">
        <v>522</v>
      </c>
      <c r="F381" s="6" t="s">
        <v>3257</v>
      </c>
      <c r="G381" s="6" t="s">
        <v>81</v>
      </c>
      <c r="H381" s="6" t="s">
        <v>6231</v>
      </c>
      <c r="I381" s="6" t="s">
        <v>8517</v>
      </c>
      <c r="J381" s="6" t="s">
        <v>9665</v>
      </c>
      <c r="K381" s="6" t="s">
        <v>10886</v>
      </c>
      <c r="L381" s="16" t="n">
        <v>42082</v>
      </c>
      <c r="M381" s="16" t="n">
        <v>46024</v>
      </c>
      <c r="N381" s="6" t="s">
        <v>10886</v>
      </c>
      <c r="O381" s="16" t="n">
        <v>42082</v>
      </c>
      <c r="P381" s="6" t="s">
        <v>11138</v>
      </c>
      <c r="Q381" s="6" t="s">
        <v>81</v>
      </c>
      <c r="R381" s="6" t="s">
        <v>12524</v>
      </c>
      <c r="S381" s="6" t="s">
        <v>10886</v>
      </c>
      <c r="T381" s="16" t="n">
        <v>42082</v>
      </c>
      <c r="U381" s="6" t="s">
        <v>13317</v>
      </c>
      <c r="V381" s="6" t="s">
        <v>81</v>
      </c>
      <c r="W381" s="6" t="s">
        <v>12524</v>
      </c>
      <c r="X381" s="6" t="s">
        <v>81</v>
      </c>
      <c r="Y381" s="21" t="s">
        <v>81</v>
      </c>
      <c r="Z381" s="6" t="s">
        <v>81</v>
      </c>
      <c r="AA381" s="6" t="s">
        <v>81</v>
      </c>
      <c r="AB381" s="6" t="s">
        <v>81</v>
      </c>
      <c r="AC381" s="6" t="s">
        <v>81</v>
      </c>
      <c r="AD381" s="21" t="s">
        <v>81</v>
      </c>
      <c r="AE381" s="6" t="s">
        <v>81</v>
      </c>
      <c r="AF381" s="6" t="s">
        <v>81</v>
      </c>
      <c r="AG381" s="6" t="s">
        <v>81</v>
      </c>
      <c r="AH381" s="6" t="s">
        <v>14978</v>
      </c>
      <c r="AI381" s="6" t="s">
        <v>81</v>
      </c>
      <c r="AJ381" s="6" t="s">
        <v>17426</v>
      </c>
      <c r="AK381" s="6" t="s">
        <v>18384</v>
      </c>
      <c r="AL381" s="6" t="s">
        <v>18444</v>
      </c>
      <c r="AM381" s="6" t="s">
        <v>18583</v>
      </c>
      <c r="AN381" s="6" t="s">
        <v>19690</v>
      </c>
      <c r="AO381" s="6" t="s">
        <v>19852</v>
      </c>
      <c r="AP381" s="6" t="s">
        <v>14978</v>
      </c>
      <c r="AQ381" s="6" t="s">
        <v>81</v>
      </c>
      <c r="AR381" s="6" t="s">
        <v>17426</v>
      </c>
      <c r="AS381" s="6" t="s">
        <v>18384</v>
      </c>
      <c r="AT381" s="6" t="s">
        <v>18444</v>
      </c>
      <c r="AU381" s="6" t="s">
        <v>18583</v>
      </c>
      <c r="AV381" s="6" t="s">
        <v>81</v>
      </c>
      <c r="AW381" s="6" t="s">
        <v>81</v>
      </c>
      <c r="AX381" s="6" t="s">
        <v>20987</v>
      </c>
      <c r="AY381" s="6" t="s">
        <v>81</v>
      </c>
      <c r="AZ381" s="6" t="s">
        <v>81</v>
      </c>
      <c r="BA381" s="6" t="s">
        <v>81</v>
      </c>
      <c r="BB381" s="24" t="n">
        <v>113</v>
      </c>
      <c r="BC381" s="26"/>
      <c r="BD381" s="26"/>
      <c r="BE381" s="26"/>
      <c r="BF381" s="26" t="s">
        <v>23900</v>
      </c>
      <c r="BG381" s="26"/>
      <c r="BH381" s="26"/>
      <c r="BI381" s="26"/>
      <c r="BJ381" s="26"/>
      <c r="BK381" s="26"/>
      <c r="BL381" s="26"/>
      <c r="BM381" s="26"/>
      <c r="BN381" s="26"/>
      <c r="BO381" s="26"/>
      <c r="BP381" s="16" t="n">
        <v>45663</v>
      </c>
      <c r="BQ381" s="28" t="str">
        <f>HYPERLINK("https://organic.ams.usda.gov/Integrity/Certificate.aspx?cid=72&amp;nopid=5870001941")</f>
        <v>https://organic.ams.usda.gov/Integrity/Certificate.aspx?cid=72&amp;nopid=5870001941</v>
      </c>
    </row>
    <row r="382">
      <c r="A382" t="s">
        <v>3</v>
      </c>
      <c r="B382" s="6" t="s">
        <v>12</v>
      </c>
      <c r="C382" s="6" t="s">
        <v>59</v>
      </c>
      <c r="D382" s="6" t="s">
        <v>105</v>
      </c>
      <c r="E382" s="10" t="s">
        <v>523</v>
      </c>
      <c r="F382" s="6" t="s">
        <v>3258</v>
      </c>
      <c r="G382" s="6" t="s">
        <v>81</v>
      </c>
      <c r="H382" s="6" t="s">
        <v>6232</v>
      </c>
      <c r="I382" s="6" t="s">
        <v>8452</v>
      </c>
      <c r="J382" s="6" t="s">
        <v>9886</v>
      </c>
      <c r="K382" s="6" t="s">
        <v>10886</v>
      </c>
      <c r="L382" s="16" t="n">
        <v>37550</v>
      </c>
      <c r="M382" s="16" t="n">
        <v>45717</v>
      </c>
      <c r="N382" s="6" t="s">
        <v>10886</v>
      </c>
      <c r="O382" s="16" t="n">
        <v>37550</v>
      </c>
      <c r="P382" s="6" t="s">
        <v>11139</v>
      </c>
      <c r="Q382" s="6" t="s">
        <v>81</v>
      </c>
      <c r="R382" s="6" t="s">
        <v>81</v>
      </c>
      <c r="S382" s="6" t="s">
        <v>10886</v>
      </c>
      <c r="T382" s="16" t="n">
        <v>37550</v>
      </c>
      <c r="U382" s="6" t="s">
        <v>13318</v>
      </c>
      <c r="V382" s="6" t="s">
        <v>81</v>
      </c>
      <c r="W382" s="6" t="s">
        <v>81</v>
      </c>
      <c r="X382" s="6" t="s">
        <v>81</v>
      </c>
      <c r="Y382" s="21" t="s">
        <v>81</v>
      </c>
      <c r="Z382" s="6" t="s">
        <v>81</v>
      </c>
      <c r="AA382" s="6" t="s">
        <v>81</v>
      </c>
      <c r="AB382" s="6" t="s">
        <v>81</v>
      </c>
      <c r="AC382" s="6" t="s">
        <v>81</v>
      </c>
      <c r="AD382" s="21" t="s">
        <v>81</v>
      </c>
      <c r="AE382" s="6" t="s">
        <v>81</v>
      </c>
      <c r="AF382" s="6" t="s">
        <v>81</v>
      </c>
      <c r="AG382" s="6" t="s">
        <v>81</v>
      </c>
      <c r="AH382" s="6" t="s">
        <v>14979</v>
      </c>
      <c r="AI382" s="6" t="s">
        <v>81</v>
      </c>
      <c r="AJ382" s="6" t="s">
        <v>17567</v>
      </c>
      <c r="AK382" s="6" t="s">
        <v>18380</v>
      </c>
      <c r="AL382" s="6" t="s">
        <v>18444</v>
      </c>
      <c r="AM382" s="6" t="s">
        <v>18731</v>
      </c>
      <c r="AN382" s="6" t="s">
        <v>19686</v>
      </c>
      <c r="AO382" s="6" t="s">
        <v>19817</v>
      </c>
      <c r="AP382" s="6" t="s">
        <v>14979</v>
      </c>
      <c r="AQ382" s="6" t="s">
        <v>81</v>
      </c>
      <c r="AR382" s="6" t="s">
        <v>17567</v>
      </c>
      <c r="AS382" s="6" t="s">
        <v>18380</v>
      </c>
      <c r="AT382" s="6" t="s">
        <v>18444</v>
      </c>
      <c r="AU382" s="6" t="s">
        <v>18731</v>
      </c>
      <c r="AV382" s="6" t="s">
        <v>81</v>
      </c>
      <c r="AW382" s="6" t="s">
        <v>81</v>
      </c>
      <c r="AX382" s="6" t="s">
        <v>20988</v>
      </c>
      <c r="AY382" s="6" t="s">
        <v>22705</v>
      </c>
      <c r="AZ382" s="6" t="s">
        <v>81</v>
      </c>
      <c r="BA382" s="6" t="s">
        <v>81</v>
      </c>
      <c r="BB382" s="24" t="n">
        <v>1429</v>
      </c>
      <c r="BC382" s="26"/>
      <c r="BD382" s="26"/>
      <c r="BE382" s="26"/>
      <c r="BF382" s="26"/>
      <c r="BG382" s="26"/>
      <c r="BH382" s="26"/>
      <c r="BI382" s="26"/>
      <c r="BJ382" s="26"/>
      <c r="BK382" s="26"/>
      <c r="BL382" s="26"/>
      <c r="BM382" s="26"/>
      <c r="BN382" s="26"/>
      <c r="BO382" s="26"/>
      <c r="BP382" s="16" t="n">
        <v>45684</v>
      </c>
      <c r="BQ382" s="28" t="str">
        <f>HYPERLINK("https://organic.ams.usda.gov/Integrity/Certificate.aspx?cid=68&amp;nopid=8210001316")</f>
        <v>https://organic.ams.usda.gov/Integrity/Certificate.aspx?cid=68&amp;nopid=8210001316</v>
      </c>
    </row>
    <row r="383">
      <c r="A383" t="s">
        <v>3</v>
      </c>
      <c r="B383" s="6" t="s">
        <v>35</v>
      </c>
      <c r="C383" s="6" t="s">
        <v>82</v>
      </c>
      <c r="D383" s="6" t="s">
        <v>127</v>
      </c>
      <c r="E383" s="10" t="s">
        <v>524</v>
      </c>
      <c r="F383" s="6" t="s">
        <v>3259</v>
      </c>
      <c r="G383" s="6" t="s">
        <v>81</v>
      </c>
      <c r="H383" s="6" t="s">
        <v>6233</v>
      </c>
      <c r="I383" s="6" t="s">
        <v>8630</v>
      </c>
      <c r="J383" s="6" t="s">
        <v>9887</v>
      </c>
      <c r="K383" s="6" t="s">
        <v>10886</v>
      </c>
      <c r="L383" s="16" t="n">
        <v>38944</v>
      </c>
      <c r="M383" s="16" t="n">
        <v>45762</v>
      </c>
      <c r="N383" s="6" t="s">
        <v>10886</v>
      </c>
      <c r="O383" s="16" t="n">
        <v>38944</v>
      </c>
      <c r="P383" s="6" t="s">
        <v>11140</v>
      </c>
      <c r="Q383" s="6" t="s">
        <v>81</v>
      </c>
      <c r="R383" s="6" t="s">
        <v>12525</v>
      </c>
      <c r="S383" s="6" t="s">
        <v>10886</v>
      </c>
      <c r="T383" s="16" t="n">
        <v>38944</v>
      </c>
      <c r="U383" s="6" t="s">
        <v>13319</v>
      </c>
      <c r="V383" s="6" t="s">
        <v>81</v>
      </c>
      <c r="W383" s="6" t="s">
        <v>12525</v>
      </c>
      <c r="X383" s="6" t="s">
        <v>81</v>
      </c>
      <c r="Y383" s="21" t="s">
        <v>81</v>
      </c>
      <c r="Z383" s="6" t="s">
        <v>81</v>
      </c>
      <c r="AA383" s="6" t="s">
        <v>81</v>
      </c>
      <c r="AB383" s="6" t="s">
        <v>81</v>
      </c>
      <c r="AC383" s="6" t="s">
        <v>81</v>
      </c>
      <c r="AD383" s="21" t="s">
        <v>81</v>
      </c>
      <c r="AE383" s="6" t="s">
        <v>81</v>
      </c>
      <c r="AF383" s="6" t="s">
        <v>81</v>
      </c>
      <c r="AG383" s="6" t="s">
        <v>81</v>
      </c>
      <c r="AH383" s="6" t="s">
        <v>14980</v>
      </c>
      <c r="AI383" s="6" t="s">
        <v>81</v>
      </c>
      <c r="AJ383" s="6" t="s">
        <v>17568</v>
      </c>
      <c r="AK383" s="6" t="s">
        <v>18405</v>
      </c>
      <c r="AL383" s="6" t="s">
        <v>18444</v>
      </c>
      <c r="AM383" s="6" t="s">
        <v>18732</v>
      </c>
      <c r="AN383" s="6" t="s">
        <v>19662</v>
      </c>
      <c r="AO383" s="6" t="s">
        <v>19856</v>
      </c>
      <c r="AP383" s="6" t="s">
        <v>20146</v>
      </c>
      <c r="AQ383" s="6" t="s">
        <v>81</v>
      </c>
      <c r="AR383" s="6" t="s">
        <v>17568</v>
      </c>
      <c r="AS383" s="6" t="s">
        <v>18405</v>
      </c>
      <c r="AT383" s="6" t="s">
        <v>18444</v>
      </c>
      <c r="AU383" s="6" t="s">
        <v>20618</v>
      </c>
      <c r="AV383" s="6" t="s">
        <v>81</v>
      </c>
      <c r="AW383" s="6" t="s">
        <v>81</v>
      </c>
      <c r="AX383" s="6" t="s">
        <v>20989</v>
      </c>
      <c r="AY383" s="6" t="s">
        <v>22706</v>
      </c>
      <c r="AZ383" s="6" t="s">
        <v>23610</v>
      </c>
      <c r="BA383" s="6" t="s">
        <v>81</v>
      </c>
      <c r="BB383" s="24" t="n">
        <v>682</v>
      </c>
      <c r="BC383" s="26"/>
      <c r="BD383" s="26"/>
      <c r="BE383" s="26"/>
      <c r="BF383" s="26"/>
      <c r="BG383" s="26"/>
      <c r="BH383" s="26"/>
      <c r="BI383" s="26"/>
      <c r="BJ383" s="26"/>
      <c r="BK383" s="26"/>
      <c r="BL383" s="26"/>
      <c r="BM383" s="26"/>
      <c r="BN383" s="26"/>
      <c r="BO383" s="26"/>
      <c r="BP383" s="16" t="n">
        <v>45694</v>
      </c>
      <c r="BQ383" s="28" t="str">
        <f>HYPERLINK("https://organic.ams.usda.gov/Integrity/Certificate.aspx?cid=47&amp;nopid=7142073275")</f>
        <v>https://organic.ams.usda.gov/Integrity/Certificate.aspx?cid=47&amp;nopid=7142073275</v>
      </c>
    </row>
    <row r="384">
      <c r="A384" t="s">
        <v>3</v>
      </c>
      <c r="B384" s="6" t="s">
        <v>35</v>
      </c>
      <c r="C384" s="6" t="s">
        <v>82</v>
      </c>
      <c r="D384" s="6" t="s">
        <v>127</v>
      </c>
      <c r="E384" s="10" t="s">
        <v>525</v>
      </c>
      <c r="F384" s="6" t="s">
        <v>3260</v>
      </c>
      <c r="G384" s="6" t="s">
        <v>81</v>
      </c>
      <c r="H384" s="6" t="s">
        <v>6234</v>
      </c>
      <c r="I384" s="6" t="s">
        <v>8478</v>
      </c>
      <c r="J384" s="6" t="s">
        <v>9887</v>
      </c>
      <c r="K384" s="6" t="s">
        <v>10886</v>
      </c>
      <c r="L384" s="16" t="n">
        <v>38532</v>
      </c>
      <c r="M384" s="16" t="n">
        <v>45762</v>
      </c>
      <c r="N384" s="6" t="s">
        <v>10886</v>
      </c>
      <c r="O384" s="16" t="n">
        <v>38532</v>
      </c>
      <c r="P384" s="6" t="s">
        <v>11141</v>
      </c>
      <c r="Q384" s="6" t="s">
        <v>81</v>
      </c>
      <c r="R384" s="6" t="s">
        <v>12526</v>
      </c>
      <c r="S384" s="6" t="s">
        <v>10886</v>
      </c>
      <c r="T384" s="16" t="n">
        <v>38532</v>
      </c>
      <c r="U384" s="6" t="s">
        <v>13320</v>
      </c>
      <c r="V384" s="6" t="s">
        <v>81</v>
      </c>
      <c r="W384" s="6" t="s">
        <v>12526</v>
      </c>
      <c r="X384" s="6" t="s">
        <v>81</v>
      </c>
      <c r="Y384" s="21" t="s">
        <v>81</v>
      </c>
      <c r="Z384" s="6" t="s">
        <v>81</v>
      </c>
      <c r="AA384" s="6" t="s">
        <v>81</v>
      </c>
      <c r="AB384" s="6" t="s">
        <v>81</v>
      </c>
      <c r="AC384" s="6" t="s">
        <v>81</v>
      </c>
      <c r="AD384" s="21" t="s">
        <v>81</v>
      </c>
      <c r="AE384" s="6" t="s">
        <v>81</v>
      </c>
      <c r="AF384" s="6" t="s">
        <v>81</v>
      </c>
      <c r="AG384" s="6" t="s">
        <v>81</v>
      </c>
      <c r="AH384" s="6" t="s">
        <v>14981</v>
      </c>
      <c r="AI384" s="6" t="s">
        <v>81</v>
      </c>
      <c r="AJ384" s="6" t="s">
        <v>17569</v>
      </c>
      <c r="AK384" s="6" t="s">
        <v>18405</v>
      </c>
      <c r="AL384" s="6" t="s">
        <v>18444</v>
      </c>
      <c r="AM384" s="6" t="s">
        <v>18733</v>
      </c>
      <c r="AN384" s="6" t="s">
        <v>19692</v>
      </c>
      <c r="AO384" s="6" t="s">
        <v>19751</v>
      </c>
      <c r="AP384" s="6" t="s">
        <v>14981</v>
      </c>
      <c r="AQ384" s="6" t="s">
        <v>81</v>
      </c>
      <c r="AR384" s="6" t="s">
        <v>17569</v>
      </c>
      <c r="AS384" s="6" t="s">
        <v>18405</v>
      </c>
      <c r="AT384" s="6" t="s">
        <v>18444</v>
      </c>
      <c r="AU384" s="6" t="s">
        <v>18733</v>
      </c>
      <c r="AV384" s="6" t="s">
        <v>81</v>
      </c>
      <c r="AW384" s="6" t="s">
        <v>81</v>
      </c>
      <c r="AX384" s="6" t="s">
        <v>81</v>
      </c>
      <c r="AY384" s="6" t="s">
        <v>22707</v>
      </c>
      <c r="AZ384" s="6" t="s">
        <v>81</v>
      </c>
      <c r="BA384" s="6" t="s">
        <v>81</v>
      </c>
      <c r="BB384" s="24" t="n">
        <v>351</v>
      </c>
      <c r="BC384" s="26"/>
      <c r="BD384" s="26"/>
      <c r="BE384" s="26"/>
      <c r="BF384" s="26"/>
      <c r="BG384" s="26"/>
      <c r="BH384" s="26"/>
      <c r="BI384" s="26"/>
      <c r="BJ384" s="26"/>
      <c r="BK384" s="26"/>
      <c r="BL384" s="26"/>
      <c r="BM384" s="26"/>
      <c r="BN384" s="26"/>
      <c r="BO384" s="26"/>
      <c r="BP384" s="16" t="n">
        <v>45693</v>
      </c>
      <c r="BQ384" s="28" t="str">
        <f>HYPERLINK("https://organic.ams.usda.gov/Integrity/Certificate.aspx?cid=47&amp;nopid=7142070258")</f>
        <v>https://organic.ams.usda.gov/Integrity/Certificate.aspx?cid=47&amp;nopid=7142070258</v>
      </c>
    </row>
    <row r="385">
      <c r="A385" t="s">
        <v>3</v>
      </c>
      <c r="B385" s="6" t="s">
        <v>18</v>
      </c>
      <c r="C385" s="6" t="s">
        <v>65</v>
      </c>
      <c r="D385" s="6" t="s">
        <v>111</v>
      </c>
      <c r="E385" s="10" t="s">
        <v>526</v>
      </c>
      <c r="F385" s="6" t="s">
        <v>3261</v>
      </c>
      <c r="G385" s="6" t="s">
        <v>81</v>
      </c>
      <c r="H385" s="6" t="s">
        <v>526</v>
      </c>
      <c r="I385" s="6" t="s">
        <v>8631</v>
      </c>
      <c r="J385" s="6" t="s">
        <v>9888</v>
      </c>
      <c r="K385" s="6" t="s">
        <v>10886</v>
      </c>
      <c r="L385" s="16" t="n">
        <v>42826</v>
      </c>
      <c r="M385" s="16" t="n">
        <v>45731</v>
      </c>
      <c r="N385" s="6" t="s">
        <v>10886</v>
      </c>
      <c r="O385" s="16" t="n">
        <v>42826</v>
      </c>
      <c r="P385" s="6" t="s">
        <v>10922</v>
      </c>
      <c r="Q385" s="6" t="s">
        <v>81</v>
      </c>
      <c r="R385" s="6" t="s">
        <v>3261</v>
      </c>
      <c r="S385" s="6" t="s">
        <v>10886</v>
      </c>
      <c r="T385" s="16" t="n">
        <v>42826</v>
      </c>
      <c r="U385" s="6" t="s">
        <v>13321</v>
      </c>
      <c r="V385" s="6" t="s">
        <v>81</v>
      </c>
      <c r="W385" s="6" t="s">
        <v>3261</v>
      </c>
      <c r="X385" s="6" t="s">
        <v>81</v>
      </c>
      <c r="Y385" s="21" t="s">
        <v>81</v>
      </c>
      <c r="Z385" s="6" t="s">
        <v>81</v>
      </c>
      <c r="AA385" s="6" t="s">
        <v>81</v>
      </c>
      <c r="AB385" s="6" t="s">
        <v>81</v>
      </c>
      <c r="AC385" s="6" t="s">
        <v>10886</v>
      </c>
      <c r="AD385" s="16" t="n">
        <v>42926</v>
      </c>
      <c r="AE385" s="6" t="s">
        <v>14078</v>
      </c>
      <c r="AF385" s="6" t="s">
        <v>81</v>
      </c>
      <c r="AG385" s="6" t="s">
        <v>3261</v>
      </c>
      <c r="AH385" s="6" t="s">
        <v>14982</v>
      </c>
      <c r="AI385" s="6" t="s">
        <v>81</v>
      </c>
      <c r="AJ385" s="6" t="s">
        <v>17570</v>
      </c>
      <c r="AK385" s="6" t="s">
        <v>18409</v>
      </c>
      <c r="AL385" s="6" t="s">
        <v>18444</v>
      </c>
      <c r="AM385" s="6" t="s">
        <v>18734</v>
      </c>
      <c r="AN385" s="6" t="s">
        <v>19683</v>
      </c>
      <c r="AO385" s="6" t="s">
        <v>19751</v>
      </c>
      <c r="AP385" s="6" t="s">
        <v>14982</v>
      </c>
      <c r="AQ385" s="6" t="s">
        <v>81</v>
      </c>
      <c r="AR385" s="6" t="s">
        <v>17570</v>
      </c>
      <c r="AS385" s="6" t="s">
        <v>18409</v>
      </c>
      <c r="AT385" s="6" t="s">
        <v>18444</v>
      </c>
      <c r="AU385" s="6" t="s">
        <v>18734</v>
      </c>
      <c r="AV385" s="6" t="s">
        <v>81</v>
      </c>
      <c r="AW385" s="6" t="s">
        <v>81</v>
      </c>
      <c r="AX385" s="6" t="s">
        <v>20990</v>
      </c>
      <c r="AY385" s="6" t="s">
        <v>22708</v>
      </c>
      <c r="AZ385" s="6" t="s">
        <v>23611</v>
      </c>
      <c r="BA385" s="6" t="s">
        <v>81</v>
      </c>
      <c r="BB385" s="24" t="n">
        <v>146</v>
      </c>
      <c r="BC385" s="26"/>
      <c r="BD385" s="26"/>
      <c r="BE385" s="26"/>
      <c r="BF385" s="26" t="s">
        <v>23900</v>
      </c>
      <c r="BG385" s="26"/>
      <c r="BH385" s="26"/>
      <c r="BI385" s="26"/>
      <c r="BJ385" s="26"/>
      <c r="BK385" s="26"/>
      <c r="BL385" s="26"/>
      <c r="BM385" s="26"/>
      <c r="BN385" s="26"/>
      <c r="BO385" s="26"/>
      <c r="BP385" s="16" t="n">
        <v>45695</v>
      </c>
      <c r="BQ385" s="28" t="str">
        <f>HYPERLINK("https://organic.ams.usda.gov/Integrity/Certificate.aspx?cid=8&amp;nopid=2201623300")</f>
        <v>https://organic.ams.usda.gov/Integrity/Certificate.aspx?cid=8&amp;nopid=2201623300</v>
      </c>
    </row>
    <row r="386">
      <c r="A386" t="s">
        <v>3</v>
      </c>
      <c r="B386" s="6" t="s">
        <v>12</v>
      </c>
      <c r="C386" s="6" t="s">
        <v>59</v>
      </c>
      <c r="D386" s="6" t="s">
        <v>105</v>
      </c>
      <c r="E386" s="10" t="s">
        <v>527</v>
      </c>
      <c r="F386" s="6" t="s">
        <v>3262</v>
      </c>
      <c r="G386" s="6" t="s">
        <v>81</v>
      </c>
      <c r="H386" s="6" t="s">
        <v>6235</v>
      </c>
      <c r="I386" s="6" t="s">
        <v>8632</v>
      </c>
      <c r="J386" s="6" t="s">
        <v>9887</v>
      </c>
      <c r="K386" s="6" t="s">
        <v>10886</v>
      </c>
      <c r="L386" s="16" t="n">
        <v>42933</v>
      </c>
      <c r="M386" s="16" t="n">
        <v>45717</v>
      </c>
      <c r="N386" s="6" t="s">
        <v>10886</v>
      </c>
      <c r="O386" s="16" t="n">
        <v>42933</v>
      </c>
      <c r="P386" s="6" t="s">
        <v>11048</v>
      </c>
      <c r="Q386" s="6" t="s">
        <v>81</v>
      </c>
      <c r="R386" s="6" t="s">
        <v>81</v>
      </c>
      <c r="S386" s="6" t="s">
        <v>10886</v>
      </c>
      <c r="T386" s="16" t="n">
        <v>42933</v>
      </c>
      <c r="U386" s="6" t="s">
        <v>13322</v>
      </c>
      <c r="V386" s="6" t="s">
        <v>81</v>
      </c>
      <c r="W386" s="6" t="s">
        <v>81</v>
      </c>
      <c r="X386" s="6" t="s">
        <v>81</v>
      </c>
      <c r="Y386" s="21" t="s">
        <v>81</v>
      </c>
      <c r="Z386" s="6" t="s">
        <v>81</v>
      </c>
      <c r="AA386" s="6" t="s">
        <v>81</v>
      </c>
      <c r="AB386" s="6" t="s">
        <v>81</v>
      </c>
      <c r="AC386" s="6" t="s">
        <v>81</v>
      </c>
      <c r="AD386" s="21" t="s">
        <v>81</v>
      </c>
      <c r="AE386" s="6" t="s">
        <v>81</v>
      </c>
      <c r="AF386" s="6" t="s">
        <v>81</v>
      </c>
      <c r="AG386" s="6" t="s">
        <v>81</v>
      </c>
      <c r="AH386" s="6" t="s">
        <v>14983</v>
      </c>
      <c r="AI386" s="6" t="s">
        <v>81</v>
      </c>
      <c r="AJ386" s="6" t="s">
        <v>17571</v>
      </c>
      <c r="AK386" s="6" t="s">
        <v>17712</v>
      </c>
      <c r="AL386" s="6" t="s">
        <v>18444</v>
      </c>
      <c r="AM386" s="6" t="s">
        <v>18735</v>
      </c>
      <c r="AN386" s="6" t="s">
        <v>19648</v>
      </c>
      <c r="AO386" s="6" t="s">
        <v>19857</v>
      </c>
      <c r="AP386" s="6" t="s">
        <v>14983</v>
      </c>
      <c r="AQ386" s="6" t="s">
        <v>81</v>
      </c>
      <c r="AR386" s="6" t="s">
        <v>17571</v>
      </c>
      <c r="AS386" s="6" t="s">
        <v>17712</v>
      </c>
      <c r="AT386" s="6" t="s">
        <v>18444</v>
      </c>
      <c r="AU386" s="6" t="s">
        <v>18735</v>
      </c>
      <c r="AV386" s="6" t="s">
        <v>81</v>
      </c>
      <c r="AW386" s="6" t="s">
        <v>81</v>
      </c>
      <c r="AX386" s="6" t="s">
        <v>20991</v>
      </c>
      <c r="AY386" s="6" t="s">
        <v>22709</v>
      </c>
      <c r="AZ386" s="6" t="s">
        <v>81</v>
      </c>
      <c r="BA386" s="6" t="s">
        <v>81</v>
      </c>
      <c r="BB386" s="24" t="n">
        <v>727</v>
      </c>
      <c r="BC386" s="26"/>
      <c r="BD386" s="26"/>
      <c r="BE386" s="26"/>
      <c r="BF386" s="26"/>
      <c r="BG386" s="26"/>
      <c r="BH386" s="26"/>
      <c r="BI386" s="26"/>
      <c r="BJ386" s="26"/>
      <c r="BK386" s="26"/>
      <c r="BL386" s="26"/>
      <c r="BM386" s="26"/>
      <c r="BN386" s="26"/>
      <c r="BO386" s="26"/>
      <c r="BP386" s="16" t="n">
        <v>45714</v>
      </c>
      <c r="BQ386" s="28" t="str">
        <f>HYPERLINK("https://organic.ams.usda.gov/Integrity/Certificate.aspx?cid=68&amp;nopid=8210003261")</f>
        <v>https://organic.ams.usda.gov/Integrity/Certificate.aspx?cid=68&amp;nopid=8210003261</v>
      </c>
    </row>
    <row r="387">
      <c r="A387" t="s">
        <v>3</v>
      </c>
      <c r="B387" s="6" t="s">
        <v>12</v>
      </c>
      <c r="C387" s="6" t="s">
        <v>59</v>
      </c>
      <c r="D387" s="6" t="s">
        <v>105</v>
      </c>
      <c r="E387" s="10" t="s">
        <v>528</v>
      </c>
      <c r="F387" s="6" t="s">
        <v>3263</v>
      </c>
      <c r="G387" s="6" t="s">
        <v>81</v>
      </c>
      <c r="H387" s="6" t="s">
        <v>6236</v>
      </c>
      <c r="I387" s="6" t="s">
        <v>8633</v>
      </c>
      <c r="J387" s="6" t="s">
        <v>9889</v>
      </c>
      <c r="K387" s="6" t="s">
        <v>10886</v>
      </c>
      <c r="L387" s="16" t="n">
        <v>41068</v>
      </c>
      <c r="M387" s="16" t="n">
        <v>45717</v>
      </c>
      <c r="N387" s="6" t="s">
        <v>10886</v>
      </c>
      <c r="O387" s="16" t="n">
        <v>41068</v>
      </c>
      <c r="P387" s="6" t="s">
        <v>11142</v>
      </c>
      <c r="Q387" s="6" t="s">
        <v>81</v>
      </c>
      <c r="R387" s="6" t="s">
        <v>81</v>
      </c>
      <c r="S387" s="6" t="s">
        <v>10886</v>
      </c>
      <c r="T387" s="16" t="n">
        <v>41068</v>
      </c>
      <c r="U387" s="6" t="s">
        <v>13323</v>
      </c>
      <c r="V387" s="6" t="s">
        <v>81</v>
      </c>
      <c r="W387" s="6" t="s">
        <v>81</v>
      </c>
      <c r="X387" s="6" t="s">
        <v>81</v>
      </c>
      <c r="Y387" s="21" t="s">
        <v>81</v>
      </c>
      <c r="Z387" s="6" t="s">
        <v>81</v>
      </c>
      <c r="AA387" s="6" t="s">
        <v>81</v>
      </c>
      <c r="AB387" s="6" t="s">
        <v>81</v>
      </c>
      <c r="AC387" s="6" t="s">
        <v>81</v>
      </c>
      <c r="AD387" s="21" t="s">
        <v>81</v>
      </c>
      <c r="AE387" s="6" t="s">
        <v>81</v>
      </c>
      <c r="AF387" s="6" t="s">
        <v>81</v>
      </c>
      <c r="AG387" s="6" t="s">
        <v>81</v>
      </c>
      <c r="AH387" s="6" t="s">
        <v>14984</v>
      </c>
      <c r="AI387" s="6" t="s">
        <v>81</v>
      </c>
      <c r="AJ387" s="6" t="s">
        <v>17572</v>
      </c>
      <c r="AK387" s="6" t="s">
        <v>17712</v>
      </c>
      <c r="AL387" s="6" t="s">
        <v>18444</v>
      </c>
      <c r="AM387" s="6" t="s">
        <v>18736</v>
      </c>
      <c r="AN387" s="6" t="s">
        <v>19693</v>
      </c>
      <c r="AO387" s="6" t="s">
        <v>19858</v>
      </c>
      <c r="AP387" s="6" t="s">
        <v>20147</v>
      </c>
      <c r="AQ387" s="6" t="s">
        <v>81</v>
      </c>
      <c r="AR387" s="6" t="s">
        <v>20509</v>
      </c>
      <c r="AS387" s="6" t="s">
        <v>17712</v>
      </c>
      <c r="AT387" s="6" t="s">
        <v>18444</v>
      </c>
      <c r="AU387" s="6" t="s">
        <v>20619</v>
      </c>
      <c r="AV387" s="6" t="s">
        <v>81</v>
      </c>
      <c r="AW387" s="6" t="s">
        <v>81</v>
      </c>
      <c r="AX387" s="6" t="s">
        <v>20992</v>
      </c>
      <c r="AY387" s="6" t="s">
        <v>22710</v>
      </c>
      <c r="AZ387" s="6" t="s">
        <v>81</v>
      </c>
      <c r="BA387" s="6" t="s">
        <v>81</v>
      </c>
      <c r="BB387" s="24" t="n">
        <v>288</v>
      </c>
      <c r="BC387" s="26"/>
      <c r="BD387" s="26"/>
      <c r="BE387" s="26"/>
      <c r="BF387" s="26"/>
      <c r="BG387" s="26"/>
      <c r="BH387" s="26"/>
      <c r="BI387" s="26"/>
      <c r="BJ387" s="26"/>
      <c r="BK387" s="26"/>
      <c r="BL387" s="26"/>
      <c r="BM387" s="26"/>
      <c r="BN387" s="26"/>
      <c r="BO387" s="26"/>
      <c r="BP387" s="16" t="n">
        <v>45698</v>
      </c>
      <c r="BQ387" s="28" t="str">
        <f>HYPERLINK("https://organic.ams.usda.gov/Integrity/Certificate.aspx?cid=68&amp;nopid=8210001320")</f>
        <v>https://organic.ams.usda.gov/Integrity/Certificate.aspx?cid=68&amp;nopid=8210001320</v>
      </c>
    </row>
    <row r="388">
      <c r="A388" t="s">
        <v>3</v>
      </c>
      <c r="B388" s="6" t="s">
        <v>14</v>
      </c>
      <c r="C388" s="6" t="s">
        <v>61</v>
      </c>
      <c r="D388" s="6" t="s">
        <v>107</v>
      </c>
      <c r="E388" s="10" t="s">
        <v>529</v>
      </c>
      <c r="F388" s="6" t="s">
        <v>3264</v>
      </c>
      <c r="G388" s="6" t="s">
        <v>5626</v>
      </c>
      <c r="H388" s="6" t="s">
        <v>6237</v>
      </c>
      <c r="I388" s="6" t="s">
        <v>8634</v>
      </c>
      <c r="J388" s="6" t="s">
        <v>9890</v>
      </c>
      <c r="K388" s="6" t="s">
        <v>10886</v>
      </c>
      <c r="L388" s="16" t="n">
        <v>45576</v>
      </c>
      <c r="M388" s="16" t="n">
        <v>45809</v>
      </c>
      <c r="N388" s="6" t="s">
        <v>81</v>
      </c>
      <c r="O388" s="21" t="s">
        <v>81</v>
      </c>
      <c r="P388" s="6" t="s">
        <v>81</v>
      </c>
      <c r="Q388" s="6" t="s">
        <v>81</v>
      </c>
      <c r="R388" s="6" t="s">
        <v>81</v>
      </c>
      <c r="S388" s="6" t="s">
        <v>81</v>
      </c>
      <c r="T388" s="21" t="s">
        <v>81</v>
      </c>
      <c r="U388" s="6" t="s">
        <v>81</v>
      </c>
      <c r="V388" s="6" t="s">
        <v>81</v>
      </c>
      <c r="W388" s="6" t="s">
        <v>81</v>
      </c>
      <c r="X388" s="6" t="s">
        <v>81</v>
      </c>
      <c r="Y388" s="21" t="s">
        <v>81</v>
      </c>
      <c r="Z388" s="6" t="s">
        <v>81</v>
      </c>
      <c r="AA388" s="6" t="s">
        <v>81</v>
      </c>
      <c r="AB388" s="6" t="s">
        <v>81</v>
      </c>
      <c r="AC388" s="6" t="s">
        <v>10886</v>
      </c>
      <c r="AD388" s="16" t="n">
        <v>45576</v>
      </c>
      <c r="AE388" s="6" t="s">
        <v>14089</v>
      </c>
      <c r="AF388" s="6" t="s">
        <v>81</v>
      </c>
      <c r="AG388" s="6" t="s">
        <v>81</v>
      </c>
      <c r="AH388" s="6" t="s">
        <v>14985</v>
      </c>
      <c r="AI388" s="6" t="s">
        <v>81</v>
      </c>
      <c r="AJ388" s="6" t="s">
        <v>17573</v>
      </c>
      <c r="AK388" s="6" t="s">
        <v>17712</v>
      </c>
      <c r="AL388" s="6" t="s">
        <v>18444</v>
      </c>
      <c r="AM388" s="6" t="s">
        <v>18737</v>
      </c>
      <c r="AN388" s="6" t="s">
        <v>81</v>
      </c>
      <c r="AO388" s="6" t="s">
        <v>81</v>
      </c>
      <c r="AP388" s="6" t="s">
        <v>14985</v>
      </c>
      <c r="AQ388" s="6" t="s">
        <v>81</v>
      </c>
      <c r="AR388" s="6" t="s">
        <v>17573</v>
      </c>
      <c r="AS388" s="6" t="s">
        <v>17712</v>
      </c>
      <c r="AT388" s="6" t="s">
        <v>18444</v>
      </c>
      <c r="AU388" s="6" t="s">
        <v>18737</v>
      </c>
      <c r="AV388" s="6" t="s">
        <v>81</v>
      </c>
      <c r="AW388" s="6" t="s">
        <v>81</v>
      </c>
      <c r="AX388" s="6" t="s">
        <v>20993</v>
      </c>
      <c r="AY388" s="6" t="s">
        <v>22711</v>
      </c>
      <c r="AZ388" s="6" t="s">
        <v>81</v>
      </c>
      <c r="BA388" s="6" t="s">
        <v>81</v>
      </c>
      <c r="BB388" s="24" t="n">
        <v>0</v>
      </c>
      <c r="BC388" s="26"/>
      <c r="BD388" s="26"/>
      <c r="BE388" s="26"/>
      <c r="BF388" s="26"/>
      <c r="BG388" s="26"/>
      <c r="BH388" s="26" t="s">
        <v>23900</v>
      </c>
      <c r="BI388" s="26"/>
      <c r="BJ388" s="26"/>
      <c r="BK388" s="26"/>
      <c r="BL388" s="26"/>
      <c r="BM388" s="26"/>
      <c r="BN388" s="26"/>
      <c r="BO388" s="26"/>
      <c r="BP388" s="16" t="n">
        <v>45664</v>
      </c>
      <c r="BQ388" s="28" t="str">
        <f>HYPERLINK("https://organic.ams.usda.gov/Integrity/Certificate.aspx?cid=51&amp;nopid=8241000157")</f>
        <v>https://organic.ams.usda.gov/Integrity/Certificate.aspx?cid=51&amp;nopid=8241000157</v>
      </c>
    </row>
    <row r="389">
      <c r="A389" t="s">
        <v>3</v>
      </c>
      <c r="B389" s="6" t="s">
        <v>7</v>
      </c>
      <c r="C389" s="6" t="s">
        <v>54</v>
      </c>
      <c r="D389" s="6" t="s">
        <v>100</v>
      </c>
      <c r="E389" s="10" t="s">
        <v>530</v>
      </c>
      <c r="F389" s="6" t="s">
        <v>3265</v>
      </c>
      <c r="G389" s="6" t="s">
        <v>81</v>
      </c>
      <c r="H389" s="6" t="s">
        <v>6238</v>
      </c>
      <c r="I389" s="6" t="s">
        <v>8635</v>
      </c>
      <c r="J389" s="6" t="s">
        <v>9665</v>
      </c>
      <c r="K389" s="6" t="s">
        <v>10886</v>
      </c>
      <c r="L389" s="16" t="n">
        <v>42639</v>
      </c>
      <c r="M389" s="16" t="n">
        <v>45716</v>
      </c>
      <c r="N389" s="6" t="s">
        <v>10886</v>
      </c>
      <c r="O389" s="16" t="n">
        <v>42639</v>
      </c>
      <c r="P389" s="6" t="s">
        <v>11057</v>
      </c>
      <c r="Q389" s="6" t="s">
        <v>81</v>
      </c>
      <c r="R389" s="6" t="s">
        <v>81</v>
      </c>
      <c r="S389" s="6" t="s">
        <v>10886</v>
      </c>
      <c r="T389" s="16" t="n">
        <v>42880</v>
      </c>
      <c r="U389" s="6" t="s">
        <v>13169</v>
      </c>
      <c r="V389" s="6" t="s">
        <v>81</v>
      </c>
      <c r="W389" s="6" t="s">
        <v>81</v>
      </c>
      <c r="X389" s="6" t="s">
        <v>81</v>
      </c>
      <c r="Y389" s="21" t="s">
        <v>81</v>
      </c>
      <c r="Z389" s="6" t="s">
        <v>81</v>
      </c>
      <c r="AA389" s="6" t="s">
        <v>81</v>
      </c>
      <c r="AB389" s="6" t="s">
        <v>81</v>
      </c>
      <c r="AC389" s="6" t="s">
        <v>81</v>
      </c>
      <c r="AD389" s="21" t="s">
        <v>81</v>
      </c>
      <c r="AE389" s="6" t="s">
        <v>81</v>
      </c>
      <c r="AF389" s="6" t="s">
        <v>81</v>
      </c>
      <c r="AG389" s="6" t="s">
        <v>81</v>
      </c>
      <c r="AH389" s="6" t="s">
        <v>14986</v>
      </c>
      <c r="AI389" s="6" t="s">
        <v>81</v>
      </c>
      <c r="AJ389" s="6" t="s">
        <v>17382</v>
      </c>
      <c r="AK389" s="6" t="s">
        <v>17712</v>
      </c>
      <c r="AL389" s="6" t="s">
        <v>18444</v>
      </c>
      <c r="AM389" s="6" t="s">
        <v>18535</v>
      </c>
      <c r="AN389" s="6" t="s">
        <v>19643</v>
      </c>
      <c r="AO389" s="6" t="s">
        <v>19766</v>
      </c>
      <c r="AP389" s="6" t="s">
        <v>14986</v>
      </c>
      <c r="AQ389" s="6" t="s">
        <v>81</v>
      </c>
      <c r="AR389" s="6" t="s">
        <v>17382</v>
      </c>
      <c r="AS389" s="6" t="s">
        <v>17712</v>
      </c>
      <c r="AT389" s="6" t="s">
        <v>18444</v>
      </c>
      <c r="AU389" s="6" t="s">
        <v>18535</v>
      </c>
      <c r="AV389" s="6" t="s">
        <v>81</v>
      </c>
      <c r="AW389" s="6" t="s">
        <v>81</v>
      </c>
      <c r="AX389" s="6" t="s">
        <v>81</v>
      </c>
      <c r="AY389" s="6" t="s">
        <v>81</v>
      </c>
      <c r="AZ389" s="6" t="s">
        <v>81</v>
      </c>
      <c r="BA389" s="6" t="s">
        <v>81</v>
      </c>
      <c r="BB389" s="24" t="n">
        <v>86</v>
      </c>
      <c r="BC389" s="26"/>
      <c r="BD389" s="26"/>
      <c r="BE389" s="26"/>
      <c r="BF389" s="26" t="s">
        <v>23900</v>
      </c>
      <c r="BG389" s="26"/>
      <c r="BH389" s="26"/>
      <c r="BI389" s="26"/>
      <c r="BJ389" s="26"/>
      <c r="BK389" s="26"/>
      <c r="BL389" s="26"/>
      <c r="BM389" s="26"/>
      <c r="BN389" s="26"/>
      <c r="BO389" s="26"/>
      <c r="BP389" s="16" t="n">
        <v>45728</v>
      </c>
      <c r="BQ389" s="28" t="str">
        <f>HYPERLINK("https://organic.ams.usda.gov/Integrity/Certificate.aspx?cid=57&amp;nopid=3252016135")</f>
        <v>https://organic.ams.usda.gov/Integrity/Certificate.aspx?cid=57&amp;nopid=3252016135</v>
      </c>
    </row>
    <row r="390">
      <c r="A390" t="s">
        <v>3</v>
      </c>
      <c r="B390" s="6" t="s">
        <v>9</v>
      </c>
      <c r="C390" s="6" t="s">
        <v>56</v>
      </c>
      <c r="D390" s="6" t="s">
        <v>102</v>
      </c>
      <c r="E390" s="10" t="s">
        <v>531</v>
      </c>
      <c r="F390" s="6" t="s">
        <v>3266</v>
      </c>
      <c r="G390" s="6" t="s">
        <v>81</v>
      </c>
      <c r="H390" s="6" t="s">
        <v>6239</v>
      </c>
      <c r="I390" s="6" t="s">
        <v>8636</v>
      </c>
      <c r="J390" s="6" t="s">
        <v>9666</v>
      </c>
      <c r="K390" s="6" t="s">
        <v>10886</v>
      </c>
      <c r="L390" s="16" t="n">
        <v>42227</v>
      </c>
      <c r="M390" s="16" t="n">
        <v>45748</v>
      </c>
      <c r="N390" s="6" t="s">
        <v>10886</v>
      </c>
      <c r="O390" s="16" t="n">
        <v>42227</v>
      </c>
      <c r="P390" s="6" t="s">
        <v>11143</v>
      </c>
      <c r="Q390" s="6" t="s">
        <v>81</v>
      </c>
      <c r="R390" s="6" t="s">
        <v>12527</v>
      </c>
      <c r="S390" s="6" t="s">
        <v>10886</v>
      </c>
      <c r="T390" s="16" t="n">
        <v>42227</v>
      </c>
      <c r="U390" s="6" t="s">
        <v>13162</v>
      </c>
      <c r="V390" s="6" t="s">
        <v>81</v>
      </c>
      <c r="W390" s="6" t="s">
        <v>12527</v>
      </c>
      <c r="X390" s="6" t="s">
        <v>81</v>
      </c>
      <c r="Y390" s="21" t="s">
        <v>81</v>
      </c>
      <c r="Z390" s="6" t="s">
        <v>81</v>
      </c>
      <c r="AA390" s="6" t="s">
        <v>81</v>
      </c>
      <c r="AB390" s="6" t="s">
        <v>81</v>
      </c>
      <c r="AC390" s="6" t="s">
        <v>81</v>
      </c>
      <c r="AD390" s="21" t="s">
        <v>81</v>
      </c>
      <c r="AE390" s="6" t="s">
        <v>81</v>
      </c>
      <c r="AF390" s="6" t="s">
        <v>81</v>
      </c>
      <c r="AG390" s="6" t="s">
        <v>81</v>
      </c>
      <c r="AH390" s="6" t="s">
        <v>14987</v>
      </c>
      <c r="AI390" s="6" t="s">
        <v>81</v>
      </c>
      <c r="AJ390" s="6" t="s">
        <v>17574</v>
      </c>
      <c r="AK390" s="6" t="s">
        <v>18377</v>
      </c>
      <c r="AL390" s="6" t="s">
        <v>18444</v>
      </c>
      <c r="AM390" s="6" t="s">
        <v>18738</v>
      </c>
      <c r="AN390" s="6" t="s">
        <v>19694</v>
      </c>
      <c r="AO390" s="6" t="s">
        <v>19859</v>
      </c>
      <c r="AP390" s="6" t="s">
        <v>81</v>
      </c>
      <c r="AQ390" s="6" t="s">
        <v>81</v>
      </c>
      <c r="AR390" s="6" t="s">
        <v>81</v>
      </c>
      <c r="AS390" s="6" t="s">
        <v>81</v>
      </c>
      <c r="AT390" s="6" t="s">
        <v>81</v>
      </c>
      <c r="AU390" s="6" t="s">
        <v>81</v>
      </c>
      <c r="AV390" s="6" t="s">
        <v>81</v>
      </c>
      <c r="AW390" s="6" t="s">
        <v>81</v>
      </c>
      <c r="AX390" s="6" t="s">
        <v>20994</v>
      </c>
      <c r="AY390" s="6" t="s">
        <v>81</v>
      </c>
      <c r="AZ390" s="6" t="s">
        <v>81</v>
      </c>
      <c r="BA390" s="6" t="s">
        <v>81</v>
      </c>
      <c r="BB390" s="24" t="n">
        <v>84</v>
      </c>
      <c r="BC390" s="26"/>
      <c r="BD390" s="26"/>
      <c r="BE390" s="26"/>
      <c r="BF390" s="26"/>
      <c r="BG390" s="26"/>
      <c r="BH390" s="26"/>
      <c r="BI390" s="26"/>
      <c r="BJ390" s="26"/>
      <c r="BK390" s="26"/>
      <c r="BL390" s="26"/>
      <c r="BM390" s="26"/>
      <c r="BN390" s="26"/>
      <c r="BO390" s="26"/>
      <c r="BP390" s="16" t="n">
        <v>45738</v>
      </c>
      <c r="BQ390" s="28" t="str">
        <f>HYPERLINK("https://organic.ams.usda.gov/Integrity/Certificate.aspx?cid=52&amp;nopid=8431501050")</f>
        <v>https://organic.ams.usda.gov/Integrity/Certificate.aspx?cid=52&amp;nopid=8431501050</v>
      </c>
    </row>
    <row r="391">
      <c r="A391" t="s">
        <v>3</v>
      </c>
      <c r="B391" s="6" t="s">
        <v>7</v>
      </c>
      <c r="C391" s="6" t="s">
        <v>54</v>
      </c>
      <c r="D391" s="6" t="s">
        <v>100</v>
      </c>
      <c r="E391" s="10" t="s">
        <v>532</v>
      </c>
      <c r="F391" s="6" t="s">
        <v>3267</v>
      </c>
      <c r="G391" s="6" t="s">
        <v>81</v>
      </c>
      <c r="H391" s="6" t="s">
        <v>6240</v>
      </c>
      <c r="I391" s="6" t="s">
        <v>8637</v>
      </c>
      <c r="J391" s="6" t="s">
        <v>9750</v>
      </c>
      <c r="K391" s="6" t="s">
        <v>10886</v>
      </c>
      <c r="L391" s="16" t="n">
        <v>42629</v>
      </c>
      <c r="M391" s="16" t="n">
        <v>45716</v>
      </c>
      <c r="N391" s="6" t="s">
        <v>10886</v>
      </c>
      <c r="O391" s="16" t="n">
        <v>42629</v>
      </c>
      <c r="P391" s="6" t="s">
        <v>11144</v>
      </c>
      <c r="Q391" s="6" t="s">
        <v>81</v>
      </c>
      <c r="R391" s="6" t="s">
        <v>81</v>
      </c>
      <c r="S391" s="6" t="s">
        <v>10886</v>
      </c>
      <c r="T391" s="16" t="n">
        <v>42858</v>
      </c>
      <c r="U391" s="6" t="s">
        <v>13169</v>
      </c>
      <c r="V391" s="6" t="s">
        <v>81</v>
      </c>
      <c r="W391" s="6" t="s">
        <v>81</v>
      </c>
      <c r="X391" s="6" t="s">
        <v>81</v>
      </c>
      <c r="Y391" s="21" t="s">
        <v>81</v>
      </c>
      <c r="Z391" s="6" t="s">
        <v>81</v>
      </c>
      <c r="AA391" s="6" t="s">
        <v>81</v>
      </c>
      <c r="AB391" s="6" t="s">
        <v>81</v>
      </c>
      <c r="AC391" s="6" t="s">
        <v>81</v>
      </c>
      <c r="AD391" s="21" t="s">
        <v>81</v>
      </c>
      <c r="AE391" s="6" t="s">
        <v>81</v>
      </c>
      <c r="AF391" s="6" t="s">
        <v>81</v>
      </c>
      <c r="AG391" s="6" t="s">
        <v>81</v>
      </c>
      <c r="AH391" s="6" t="s">
        <v>14988</v>
      </c>
      <c r="AI391" s="6" t="s">
        <v>81</v>
      </c>
      <c r="AJ391" s="6" t="s">
        <v>17575</v>
      </c>
      <c r="AK391" s="6" t="s">
        <v>17712</v>
      </c>
      <c r="AL391" s="6" t="s">
        <v>18444</v>
      </c>
      <c r="AM391" s="6" t="s">
        <v>18739</v>
      </c>
      <c r="AN391" s="6" t="s">
        <v>19634</v>
      </c>
      <c r="AO391" s="6" t="s">
        <v>19719</v>
      </c>
      <c r="AP391" s="6" t="s">
        <v>14988</v>
      </c>
      <c r="AQ391" s="6" t="s">
        <v>81</v>
      </c>
      <c r="AR391" s="6" t="s">
        <v>17575</v>
      </c>
      <c r="AS391" s="6" t="s">
        <v>17712</v>
      </c>
      <c r="AT391" s="6" t="s">
        <v>18444</v>
      </c>
      <c r="AU391" s="6" t="s">
        <v>18739</v>
      </c>
      <c r="AV391" s="6" t="s">
        <v>81</v>
      </c>
      <c r="AW391" s="6" t="s">
        <v>81</v>
      </c>
      <c r="AX391" s="6" t="s">
        <v>20995</v>
      </c>
      <c r="AY391" s="6" t="s">
        <v>81</v>
      </c>
      <c r="AZ391" s="6" t="s">
        <v>81</v>
      </c>
      <c r="BA391" s="6" t="s">
        <v>81</v>
      </c>
      <c r="BB391" s="24" t="n">
        <v>204</v>
      </c>
      <c r="BC391" s="26"/>
      <c r="BD391" s="26"/>
      <c r="BE391" s="26"/>
      <c r="BF391" s="26" t="s">
        <v>23900</v>
      </c>
      <c r="BG391" s="26"/>
      <c r="BH391" s="26"/>
      <c r="BI391" s="26"/>
      <c r="BJ391" s="26"/>
      <c r="BK391" s="26"/>
      <c r="BL391" s="26"/>
      <c r="BM391" s="26"/>
      <c r="BN391" s="26"/>
      <c r="BO391" s="26"/>
      <c r="BP391" s="16" t="n">
        <v>45656</v>
      </c>
      <c r="BQ391" s="28" t="str">
        <f>HYPERLINK("https://organic.ams.usda.gov/Integrity/Certificate.aspx?cid=57&amp;nopid=3252016139")</f>
        <v>https://organic.ams.usda.gov/Integrity/Certificate.aspx?cid=57&amp;nopid=3252016139</v>
      </c>
    </row>
    <row r="392">
      <c r="A392" t="s">
        <v>3</v>
      </c>
      <c r="B392" s="6" t="s">
        <v>25</v>
      </c>
      <c r="C392" s="6" t="s">
        <v>72</v>
      </c>
      <c r="D392" s="6" t="s">
        <v>118</v>
      </c>
      <c r="E392" s="10" t="s">
        <v>533</v>
      </c>
      <c r="F392" s="6" t="s">
        <v>3268</v>
      </c>
      <c r="G392" s="6" t="s">
        <v>5627</v>
      </c>
      <c r="H392" s="6" t="s">
        <v>6241</v>
      </c>
      <c r="I392" s="6" t="s">
        <v>8638</v>
      </c>
      <c r="J392" s="6" t="s">
        <v>9891</v>
      </c>
      <c r="K392" s="6" t="s">
        <v>10886</v>
      </c>
      <c r="L392" s="16" t="n">
        <v>38895</v>
      </c>
      <c r="M392" s="16" t="n">
        <v>46023</v>
      </c>
      <c r="N392" s="6" t="s">
        <v>10886</v>
      </c>
      <c r="O392" s="16" t="n">
        <v>38895</v>
      </c>
      <c r="P392" s="6" t="s">
        <v>11145</v>
      </c>
      <c r="Q392" s="6" t="s">
        <v>81</v>
      </c>
      <c r="R392" s="6" t="s">
        <v>81</v>
      </c>
      <c r="S392" s="6" t="s">
        <v>10886</v>
      </c>
      <c r="T392" s="16" t="n">
        <v>38895</v>
      </c>
      <c r="U392" s="6" t="s">
        <v>13324</v>
      </c>
      <c r="V392" s="6" t="s">
        <v>81</v>
      </c>
      <c r="W392" s="6" t="s">
        <v>81</v>
      </c>
      <c r="X392" s="6" t="s">
        <v>81</v>
      </c>
      <c r="Y392" s="21" t="s">
        <v>81</v>
      </c>
      <c r="Z392" s="6" t="s">
        <v>81</v>
      </c>
      <c r="AA392" s="6" t="s">
        <v>81</v>
      </c>
      <c r="AB392" s="6" t="s">
        <v>81</v>
      </c>
      <c r="AC392" s="6" t="s">
        <v>10886</v>
      </c>
      <c r="AD392" s="16" t="n">
        <v>44734</v>
      </c>
      <c r="AE392" s="6" t="s">
        <v>14081</v>
      </c>
      <c r="AF392" s="6" t="s">
        <v>81</v>
      </c>
      <c r="AG392" s="6" t="s">
        <v>81</v>
      </c>
      <c r="AH392" s="6" t="s">
        <v>14989</v>
      </c>
      <c r="AI392" s="6" t="s">
        <v>81</v>
      </c>
      <c r="AJ392" s="6" t="s">
        <v>17576</v>
      </c>
      <c r="AK392" s="6" t="s">
        <v>18386</v>
      </c>
      <c r="AL392" s="6" t="s">
        <v>18444</v>
      </c>
      <c r="AM392" s="6" t="s">
        <v>18740</v>
      </c>
      <c r="AN392" s="6" t="s">
        <v>19692</v>
      </c>
      <c r="AO392" s="6" t="s">
        <v>19860</v>
      </c>
      <c r="AP392" s="6" t="s">
        <v>14989</v>
      </c>
      <c r="AQ392" s="6" t="s">
        <v>81</v>
      </c>
      <c r="AR392" s="6" t="s">
        <v>17576</v>
      </c>
      <c r="AS392" s="6" t="s">
        <v>18386</v>
      </c>
      <c r="AT392" s="6" t="s">
        <v>18444</v>
      </c>
      <c r="AU392" s="6" t="s">
        <v>18740</v>
      </c>
      <c r="AV392" s="6" t="s">
        <v>81</v>
      </c>
      <c r="AW392" s="6" t="s">
        <v>81</v>
      </c>
      <c r="AX392" s="6" t="s">
        <v>20996</v>
      </c>
      <c r="AY392" s="6" t="s">
        <v>22712</v>
      </c>
      <c r="AZ392" s="6" t="s">
        <v>81</v>
      </c>
      <c r="BA392" s="6" t="s">
        <v>23841</v>
      </c>
      <c r="BB392" s="24" t="n">
        <v>105</v>
      </c>
      <c r="BC392" s="26"/>
      <c r="BD392" s="26"/>
      <c r="BE392" s="26"/>
      <c r="BF392" s="26" t="s">
        <v>23900</v>
      </c>
      <c r="BG392" s="26"/>
      <c r="BH392" s="26"/>
      <c r="BI392" s="26"/>
      <c r="BJ392" s="26"/>
      <c r="BK392" s="26"/>
      <c r="BL392" s="26"/>
      <c r="BM392" s="26"/>
      <c r="BN392" s="26"/>
      <c r="BO392" s="26"/>
      <c r="BP392" s="16" t="n">
        <v>45708</v>
      </c>
      <c r="BQ392" s="28" t="str">
        <f>HYPERLINK("https://organic.ams.usda.gov/Integrity/Certificate.aspx?cid=15&amp;nopid=5561001537")</f>
        <v>https://organic.ams.usda.gov/Integrity/Certificate.aspx?cid=15&amp;nopid=5561001537</v>
      </c>
    </row>
    <row r="393">
      <c r="A393" t="s">
        <v>3</v>
      </c>
      <c r="B393" s="6" t="s">
        <v>13</v>
      </c>
      <c r="C393" s="6" t="s">
        <v>60</v>
      </c>
      <c r="D393" s="6" t="s">
        <v>106</v>
      </c>
      <c r="E393" s="10" t="s">
        <v>534</v>
      </c>
      <c r="F393" s="6" t="s">
        <v>3269</v>
      </c>
      <c r="G393" s="6" t="s">
        <v>81</v>
      </c>
      <c r="H393" s="6" t="s">
        <v>6242</v>
      </c>
      <c r="I393" s="6" t="s">
        <v>8451</v>
      </c>
      <c r="J393" s="6" t="s">
        <v>9827</v>
      </c>
      <c r="K393" s="6" t="s">
        <v>10886</v>
      </c>
      <c r="L393" s="16" t="n">
        <v>41277</v>
      </c>
      <c r="M393" s="16" t="n">
        <v>46024</v>
      </c>
      <c r="N393" s="6" t="s">
        <v>10886</v>
      </c>
      <c r="O393" s="16" t="n">
        <v>41277</v>
      </c>
      <c r="P393" s="6" t="s">
        <v>10934</v>
      </c>
      <c r="Q393" s="6" t="s">
        <v>81</v>
      </c>
      <c r="R393" s="6" t="s">
        <v>12528</v>
      </c>
      <c r="S393" s="6" t="s">
        <v>10886</v>
      </c>
      <c r="T393" s="16" t="n">
        <v>42614</v>
      </c>
      <c r="U393" s="6" t="s">
        <v>13325</v>
      </c>
      <c r="V393" s="6" t="s">
        <v>81</v>
      </c>
      <c r="W393" s="6" t="s">
        <v>12528</v>
      </c>
      <c r="X393" s="6" t="s">
        <v>81</v>
      </c>
      <c r="Y393" s="21" t="s">
        <v>81</v>
      </c>
      <c r="Z393" s="6" t="s">
        <v>81</v>
      </c>
      <c r="AA393" s="6" t="s">
        <v>81</v>
      </c>
      <c r="AB393" s="6" t="s">
        <v>81</v>
      </c>
      <c r="AC393" s="6" t="s">
        <v>81</v>
      </c>
      <c r="AD393" s="21" t="s">
        <v>81</v>
      </c>
      <c r="AE393" s="6" t="s">
        <v>81</v>
      </c>
      <c r="AF393" s="6" t="s">
        <v>81</v>
      </c>
      <c r="AG393" s="6" t="s">
        <v>81</v>
      </c>
      <c r="AH393" s="6" t="s">
        <v>14990</v>
      </c>
      <c r="AI393" s="6" t="s">
        <v>81</v>
      </c>
      <c r="AJ393" s="6" t="s">
        <v>17448</v>
      </c>
      <c r="AK393" s="6" t="s">
        <v>18379</v>
      </c>
      <c r="AL393" s="6" t="s">
        <v>18444</v>
      </c>
      <c r="AM393" s="6" t="s">
        <v>18606</v>
      </c>
      <c r="AN393" s="6" t="s">
        <v>19642</v>
      </c>
      <c r="AO393" s="6" t="s">
        <v>19799</v>
      </c>
      <c r="AP393" s="6" t="s">
        <v>14990</v>
      </c>
      <c r="AQ393" s="6" t="s">
        <v>81</v>
      </c>
      <c r="AR393" s="6" t="s">
        <v>17448</v>
      </c>
      <c r="AS393" s="6" t="s">
        <v>18379</v>
      </c>
      <c r="AT393" s="6" t="s">
        <v>18444</v>
      </c>
      <c r="AU393" s="6" t="s">
        <v>18606</v>
      </c>
      <c r="AV393" s="6" t="s">
        <v>81</v>
      </c>
      <c r="AW393" s="6" t="s">
        <v>81</v>
      </c>
      <c r="AX393" s="6" t="s">
        <v>20997</v>
      </c>
      <c r="AY393" s="6" t="s">
        <v>81</v>
      </c>
      <c r="AZ393" s="6" t="s">
        <v>81</v>
      </c>
      <c r="BA393" s="6" t="s">
        <v>81</v>
      </c>
      <c r="BB393" s="24" t="n">
        <v>119</v>
      </c>
      <c r="BC393" s="26"/>
      <c r="BD393" s="26"/>
      <c r="BE393" s="26"/>
      <c r="BF393" s="26" t="s">
        <v>23900</v>
      </c>
      <c r="BG393" s="26"/>
      <c r="BH393" s="26"/>
      <c r="BI393" s="26"/>
      <c r="BJ393" s="26"/>
      <c r="BK393" s="26"/>
      <c r="BL393" s="26"/>
      <c r="BM393" s="26"/>
      <c r="BN393" s="26"/>
      <c r="BO393" s="26"/>
      <c r="BP393" s="16" t="n">
        <v>45667</v>
      </c>
      <c r="BQ393" s="28" t="str">
        <f>HYPERLINK("https://organic.ams.usda.gov/Integrity/Certificate.aspx?cid=72&amp;nopid=5870001490")</f>
        <v>https://organic.ams.usda.gov/Integrity/Certificate.aspx?cid=72&amp;nopid=5870001490</v>
      </c>
    </row>
    <row r="394">
      <c r="A394" t="s">
        <v>3</v>
      </c>
      <c r="B394" s="6" t="s">
        <v>20</v>
      </c>
      <c r="C394" s="6" t="s">
        <v>67</v>
      </c>
      <c r="D394" s="6" t="s">
        <v>113</v>
      </c>
      <c r="E394" s="10" t="s">
        <v>535</v>
      </c>
      <c r="F394" s="6" t="s">
        <v>3270</v>
      </c>
      <c r="G394" s="6" t="s">
        <v>81</v>
      </c>
      <c r="H394" s="6" t="s">
        <v>6243</v>
      </c>
      <c r="I394" s="6" t="s">
        <v>8639</v>
      </c>
      <c r="J394" s="6" t="s">
        <v>9892</v>
      </c>
      <c r="K394" s="6" t="s">
        <v>10886</v>
      </c>
      <c r="L394" s="16" t="n">
        <v>41782</v>
      </c>
      <c r="M394" s="16" t="n">
        <v>45671</v>
      </c>
      <c r="N394" s="6" t="s">
        <v>81</v>
      </c>
      <c r="O394" s="21" t="s">
        <v>81</v>
      </c>
      <c r="P394" s="6" t="s">
        <v>81</v>
      </c>
      <c r="Q394" s="6" t="s">
        <v>81</v>
      </c>
      <c r="R394" s="6" t="s">
        <v>81</v>
      </c>
      <c r="S394" s="6" t="s">
        <v>81</v>
      </c>
      <c r="T394" s="21" t="s">
        <v>81</v>
      </c>
      <c r="U394" s="6" t="s">
        <v>81</v>
      </c>
      <c r="V394" s="6" t="s">
        <v>81</v>
      </c>
      <c r="W394" s="6" t="s">
        <v>81</v>
      </c>
      <c r="X394" s="6" t="s">
        <v>81</v>
      </c>
      <c r="Y394" s="21" t="s">
        <v>81</v>
      </c>
      <c r="Z394" s="6" t="s">
        <v>81</v>
      </c>
      <c r="AA394" s="6" t="s">
        <v>81</v>
      </c>
      <c r="AB394" s="6" t="s">
        <v>81</v>
      </c>
      <c r="AC394" s="6" t="s">
        <v>10886</v>
      </c>
      <c r="AD394" s="16" t="n">
        <v>41782</v>
      </c>
      <c r="AE394" s="6" t="s">
        <v>14090</v>
      </c>
      <c r="AF394" s="6" t="s">
        <v>81</v>
      </c>
      <c r="AG394" s="6" t="s">
        <v>14527</v>
      </c>
      <c r="AH394" s="6" t="s">
        <v>14991</v>
      </c>
      <c r="AI394" s="6" t="s">
        <v>81</v>
      </c>
      <c r="AJ394" s="6" t="s">
        <v>17577</v>
      </c>
      <c r="AK394" s="6" t="s">
        <v>17712</v>
      </c>
      <c r="AL394" s="6" t="s">
        <v>18444</v>
      </c>
      <c r="AM394" s="6" t="s">
        <v>18741</v>
      </c>
      <c r="AN394" s="6" t="s">
        <v>19655</v>
      </c>
      <c r="AO394" s="6" t="s">
        <v>19861</v>
      </c>
      <c r="AP394" s="6" t="s">
        <v>14991</v>
      </c>
      <c r="AQ394" s="6" t="s">
        <v>81</v>
      </c>
      <c r="AR394" s="6" t="s">
        <v>17577</v>
      </c>
      <c r="AS394" s="6" t="s">
        <v>17712</v>
      </c>
      <c r="AT394" s="6" t="s">
        <v>18444</v>
      </c>
      <c r="AU394" s="6" t="s">
        <v>18741</v>
      </c>
      <c r="AV394" s="6" t="s">
        <v>81</v>
      </c>
      <c r="AW394" s="6" t="s">
        <v>81</v>
      </c>
      <c r="AX394" s="6" t="s">
        <v>20998</v>
      </c>
      <c r="AY394" s="6" t="s">
        <v>81</v>
      </c>
      <c r="AZ394" s="6" t="s">
        <v>23612</v>
      </c>
      <c r="BA394" s="6" t="s">
        <v>81</v>
      </c>
      <c r="BB394" s="6" t="s">
        <v>81</v>
      </c>
      <c r="BC394" s="26"/>
      <c r="BD394" s="26"/>
      <c r="BE394" s="26" t="s">
        <v>23900</v>
      </c>
      <c r="BF394" s="26"/>
      <c r="BG394" s="26"/>
      <c r="BH394" s="26"/>
      <c r="BI394" s="26"/>
      <c r="BJ394" s="26"/>
      <c r="BK394" s="26"/>
      <c r="BL394" s="26"/>
      <c r="BM394" s="26"/>
      <c r="BN394" s="26"/>
      <c r="BO394" s="26"/>
      <c r="BP394" s="16" t="n">
        <v>45737</v>
      </c>
      <c r="BQ394" s="28" t="str">
        <f>HYPERLINK("https://organic.ams.usda.gov/Integrity/Certificate.aspx?cid=71&amp;nopid=5520195675")</f>
        <v>https://organic.ams.usda.gov/Integrity/Certificate.aspx?cid=71&amp;nopid=5520195675</v>
      </c>
    </row>
    <row r="395">
      <c r="A395" t="s">
        <v>3</v>
      </c>
      <c r="B395" s="6" t="s">
        <v>7</v>
      </c>
      <c r="C395" s="6" t="s">
        <v>54</v>
      </c>
      <c r="D395" s="6" t="s">
        <v>100</v>
      </c>
      <c r="E395" s="10" t="s">
        <v>536</v>
      </c>
      <c r="F395" s="6" t="s">
        <v>3271</v>
      </c>
      <c r="G395" s="6" t="s">
        <v>81</v>
      </c>
      <c r="H395" s="6" t="s">
        <v>6244</v>
      </c>
      <c r="I395" s="6" t="s">
        <v>8451</v>
      </c>
      <c r="J395" s="6" t="s">
        <v>9727</v>
      </c>
      <c r="K395" s="6" t="s">
        <v>10886</v>
      </c>
      <c r="L395" s="16" t="n">
        <v>45526</v>
      </c>
      <c r="M395" s="16" t="n">
        <v>45716</v>
      </c>
      <c r="N395" s="6" t="s">
        <v>10886</v>
      </c>
      <c r="O395" s="16" t="n">
        <v>45526</v>
      </c>
      <c r="P395" s="6" t="s">
        <v>11146</v>
      </c>
      <c r="Q395" s="6" t="s">
        <v>81</v>
      </c>
      <c r="R395" s="6" t="s">
        <v>81</v>
      </c>
      <c r="S395" s="6" t="s">
        <v>10886</v>
      </c>
      <c r="T395" s="16" t="n">
        <v>45526</v>
      </c>
      <c r="U395" s="6" t="s">
        <v>13169</v>
      </c>
      <c r="V395" s="6" t="s">
        <v>81</v>
      </c>
      <c r="W395" s="6" t="s">
        <v>81</v>
      </c>
      <c r="X395" s="6" t="s">
        <v>81</v>
      </c>
      <c r="Y395" s="21" t="s">
        <v>81</v>
      </c>
      <c r="Z395" s="6" t="s">
        <v>81</v>
      </c>
      <c r="AA395" s="6" t="s">
        <v>81</v>
      </c>
      <c r="AB395" s="6" t="s">
        <v>81</v>
      </c>
      <c r="AC395" s="6" t="s">
        <v>81</v>
      </c>
      <c r="AD395" s="21" t="s">
        <v>81</v>
      </c>
      <c r="AE395" s="6" t="s">
        <v>81</v>
      </c>
      <c r="AF395" s="6" t="s">
        <v>81</v>
      </c>
      <c r="AG395" s="6" t="s">
        <v>81</v>
      </c>
      <c r="AH395" s="6" t="s">
        <v>14992</v>
      </c>
      <c r="AI395" s="6" t="s">
        <v>81</v>
      </c>
      <c r="AJ395" s="6" t="s">
        <v>17578</v>
      </c>
      <c r="AK395" s="6" t="s">
        <v>17712</v>
      </c>
      <c r="AL395" s="6" t="s">
        <v>18444</v>
      </c>
      <c r="AM395" s="6" t="s">
        <v>18742</v>
      </c>
      <c r="AN395" s="6" t="s">
        <v>81</v>
      </c>
      <c r="AO395" s="6" t="s">
        <v>81</v>
      </c>
      <c r="AP395" s="6" t="s">
        <v>14992</v>
      </c>
      <c r="AQ395" s="6" t="s">
        <v>81</v>
      </c>
      <c r="AR395" s="6" t="s">
        <v>17578</v>
      </c>
      <c r="AS395" s="6" t="s">
        <v>17712</v>
      </c>
      <c r="AT395" s="6" t="s">
        <v>18444</v>
      </c>
      <c r="AU395" s="6" t="s">
        <v>18742</v>
      </c>
      <c r="AV395" s="6" t="s">
        <v>81</v>
      </c>
      <c r="AW395" s="6" t="s">
        <v>81</v>
      </c>
      <c r="AX395" s="6" t="s">
        <v>81</v>
      </c>
      <c r="AY395" s="6" t="s">
        <v>81</v>
      </c>
      <c r="AZ395" s="6" t="s">
        <v>81</v>
      </c>
      <c r="BA395" s="6" t="s">
        <v>81</v>
      </c>
      <c r="BB395" s="24" t="n">
        <v>120</v>
      </c>
      <c r="BC395" s="26"/>
      <c r="BD395" s="26"/>
      <c r="BE395" s="26"/>
      <c r="BF395" s="26" t="s">
        <v>23900</v>
      </c>
      <c r="BG395" s="26"/>
      <c r="BH395" s="26"/>
      <c r="BI395" s="26"/>
      <c r="BJ395" s="26"/>
      <c r="BK395" s="26"/>
      <c r="BL395" s="26"/>
      <c r="BM395" s="26"/>
      <c r="BN395" s="26"/>
      <c r="BO395" s="26"/>
      <c r="BP395" s="16" t="n">
        <v>45595</v>
      </c>
      <c r="BQ395" s="28" t="str">
        <f>HYPERLINK("https://organic.ams.usda.gov/Integrity/Certificate.aspx?cid=57&amp;nopid=3252024037")</f>
        <v>https://organic.ams.usda.gov/Integrity/Certificate.aspx?cid=57&amp;nopid=3252024037</v>
      </c>
    </row>
    <row r="396">
      <c r="A396" t="s">
        <v>3</v>
      </c>
      <c r="B396" s="6" t="s">
        <v>8</v>
      </c>
      <c r="C396" s="6" t="s">
        <v>55</v>
      </c>
      <c r="D396" s="6" t="s">
        <v>101</v>
      </c>
      <c r="E396" s="10" t="s">
        <v>537</v>
      </c>
      <c r="F396" s="6" t="s">
        <v>3272</v>
      </c>
      <c r="G396" s="6" t="s">
        <v>81</v>
      </c>
      <c r="H396" s="6" t="s">
        <v>6245</v>
      </c>
      <c r="I396" s="6" t="s">
        <v>8451</v>
      </c>
      <c r="J396" s="6" t="s">
        <v>9666</v>
      </c>
      <c r="K396" s="6" t="s">
        <v>10886</v>
      </c>
      <c r="L396" s="16" t="n">
        <v>45209</v>
      </c>
      <c r="M396" s="16" t="n">
        <v>45383</v>
      </c>
      <c r="N396" s="6" t="s">
        <v>10886</v>
      </c>
      <c r="O396" s="16" t="n">
        <v>45209</v>
      </c>
      <c r="P396" s="6" t="s">
        <v>11147</v>
      </c>
      <c r="Q396" s="6" t="s">
        <v>81</v>
      </c>
      <c r="R396" s="6" t="s">
        <v>6245</v>
      </c>
      <c r="S396" s="6" t="s">
        <v>10886</v>
      </c>
      <c r="T396" s="16" t="n">
        <v>45378</v>
      </c>
      <c r="U396" s="6" t="s">
        <v>13179</v>
      </c>
      <c r="V396" s="6" t="s">
        <v>81</v>
      </c>
      <c r="W396" s="6" t="s">
        <v>6245</v>
      </c>
      <c r="X396" s="6" t="s">
        <v>81</v>
      </c>
      <c r="Y396" s="21" t="s">
        <v>81</v>
      </c>
      <c r="Z396" s="6" t="s">
        <v>81</v>
      </c>
      <c r="AA396" s="6" t="s">
        <v>81</v>
      </c>
      <c r="AB396" s="6" t="s">
        <v>81</v>
      </c>
      <c r="AC396" s="6" t="s">
        <v>81</v>
      </c>
      <c r="AD396" s="21" t="s">
        <v>81</v>
      </c>
      <c r="AE396" s="6" t="s">
        <v>81</v>
      </c>
      <c r="AF396" s="6" t="s">
        <v>81</v>
      </c>
      <c r="AG396" s="6" t="s">
        <v>81</v>
      </c>
      <c r="AH396" s="6" t="s">
        <v>14993</v>
      </c>
      <c r="AI396" s="6" t="s">
        <v>81</v>
      </c>
      <c r="AJ396" s="6" t="s">
        <v>17579</v>
      </c>
      <c r="AK396" s="6" t="s">
        <v>18391</v>
      </c>
      <c r="AL396" s="6" t="s">
        <v>18444</v>
      </c>
      <c r="AM396" s="6" t="s">
        <v>18743</v>
      </c>
      <c r="AN396" s="6" t="s">
        <v>81</v>
      </c>
      <c r="AO396" s="6" t="s">
        <v>81</v>
      </c>
      <c r="AP396" s="6" t="s">
        <v>81</v>
      </c>
      <c r="AQ396" s="6" t="s">
        <v>81</v>
      </c>
      <c r="AR396" s="6" t="s">
        <v>81</v>
      </c>
      <c r="AS396" s="6" t="s">
        <v>81</v>
      </c>
      <c r="AT396" s="6" t="s">
        <v>81</v>
      </c>
      <c r="AU396" s="6" t="s">
        <v>81</v>
      </c>
      <c r="AV396" s="6" t="s">
        <v>81</v>
      </c>
      <c r="AW396" s="6" t="s">
        <v>81</v>
      </c>
      <c r="AX396" s="6" t="s">
        <v>81</v>
      </c>
      <c r="AY396" s="6" t="s">
        <v>81</v>
      </c>
      <c r="AZ396" s="6" t="s">
        <v>81</v>
      </c>
      <c r="BA396" s="6" t="s">
        <v>23819</v>
      </c>
      <c r="BB396" s="24" t="n">
        <v>61</v>
      </c>
      <c r="BC396" s="26"/>
      <c r="BD396" s="26"/>
      <c r="BE396" s="26"/>
      <c r="BF396" s="26" t="s">
        <v>23900</v>
      </c>
      <c r="BG396" s="26"/>
      <c r="BH396" s="26"/>
      <c r="BI396" s="26"/>
      <c r="BJ396" s="26"/>
      <c r="BK396" s="26"/>
      <c r="BL396" s="26"/>
      <c r="BM396" s="26"/>
      <c r="BN396" s="26"/>
      <c r="BO396" s="26"/>
      <c r="BP396" s="16" t="n">
        <v>45379</v>
      </c>
      <c r="BQ396" s="28" t="str">
        <f>HYPERLINK("https://organic.ams.usda.gov/Integrity/Certificate.aspx?cid=45&amp;nopid=9950013745")</f>
        <v>https://organic.ams.usda.gov/Integrity/Certificate.aspx?cid=45&amp;nopid=9950013745</v>
      </c>
    </row>
    <row r="397">
      <c r="A397" t="s">
        <v>3</v>
      </c>
      <c r="B397" s="6" t="s">
        <v>12</v>
      </c>
      <c r="C397" s="6" t="s">
        <v>59</v>
      </c>
      <c r="D397" s="6" t="s">
        <v>105</v>
      </c>
      <c r="E397" s="10" t="s">
        <v>538</v>
      </c>
      <c r="F397" s="6" t="s">
        <v>3273</v>
      </c>
      <c r="G397" s="6" t="s">
        <v>81</v>
      </c>
      <c r="H397" s="6" t="s">
        <v>6246</v>
      </c>
      <c r="I397" s="6" t="s">
        <v>8640</v>
      </c>
      <c r="J397" s="6" t="s">
        <v>9677</v>
      </c>
      <c r="K397" s="6" t="s">
        <v>10886</v>
      </c>
      <c r="L397" s="16" t="n">
        <v>42993</v>
      </c>
      <c r="M397" s="16" t="n">
        <v>45717</v>
      </c>
      <c r="N397" s="6" t="s">
        <v>10886</v>
      </c>
      <c r="O397" s="16" t="n">
        <v>42993</v>
      </c>
      <c r="P397" s="6" t="s">
        <v>11148</v>
      </c>
      <c r="Q397" s="6" t="s">
        <v>81</v>
      </c>
      <c r="R397" s="6" t="s">
        <v>81</v>
      </c>
      <c r="S397" s="6" t="s">
        <v>10886</v>
      </c>
      <c r="T397" s="16" t="n">
        <v>42993</v>
      </c>
      <c r="U397" s="6" t="s">
        <v>13183</v>
      </c>
      <c r="V397" s="6" t="s">
        <v>81</v>
      </c>
      <c r="W397" s="6" t="s">
        <v>81</v>
      </c>
      <c r="X397" s="6" t="s">
        <v>81</v>
      </c>
      <c r="Y397" s="21" t="s">
        <v>81</v>
      </c>
      <c r="Z397" s="6" t="s">
        <v>81</v>
      </c>
      <c r="AA397" s="6" t="s">
        <v>81</v>
      </c>
      <c r="AB397" s="6" t="s">
        <v>81</v>
      </c>
      <c r="AC397" s="6" t="s">
        <v>81</v>
      </c>
      <c r="AD397" s="21" t="s">
        <v>81</v>
      </c>
      <c r="AE397" s="6" t="s">
        <v>81</v>
      </c>
      <c r="AF397" s="6" t="s">
        <v>81</v>
      </c>
      <c r="AG397" s="6" t="s">
        <v>81</v>
      </c>
      <c r="AH397" s="6" t="s">
        <v>14994</v>
      </c>
      <c r="AI397" s="6" t="s">
        <v>81</v>
      </c>
      <c r="AJ397" s="6" t="s">
        <v>17477</v>
      </c>
      <c r="AK397" s="6" t="s">
        <v>18380</v>
      </c>
      <c r="AL397" s="6" t="s">
        <v>18444</v>
      </c>
      <c r="AM397" s="6" t="s">
        <v>18639</v>
      </c>
      <c r="AN397" s="6" t="s">
        <v>19665</v>
      </c>
      <c r="AO397" s="6" t="s">
        <v>19755</v>
      </c>
      <c r="AP397" s="6" t="s">
        <v>14994</v>
      </c>
      <c r="AQ397" s="6" t="s">
        <v>81</v>
      </c>
      <c r="AR397" s="6" t="s">
        <v>17477</v>
      </c>
      <c r="AS397" s="6" t="s">
        <v>18380</v>
      </c>
      <c r="AT397" s="6" t="s">
        <v>18444</v>
      </c>
      <c r="AU397" s="6" t="s">
        <v>18639</v>
      </c>
      <c r="AV397" s="6" t="s">
        <v>81</v>
      </c>
      <c r="AW397" s="6" t="s">
        <v>81</v>
      </c>
      <c r="AX397" s="6" t="s">
        <v>20999</v>
      </c>
      <c r="AY397" s="6" t="s">
        <v>81</v>
      </c>
      <c r="AZ397" s="6" t="s">
        <v>81</v>
      </c>
      <c r="BA397" s="6" t="s">
        <v>81</v>
      </c>
      <c r="BB397" s="24" t="n">
        <v>126</v>
      </c>
      <c r="BC397" s="26"/>
      <c r="BD397" s="26"/>
      <c r="BE397" s="26"/>
      <c r="BF397" s="26"/>
      <c r="BG397" s="26"/>
      <c r="BH397" s="26"/>
      <c r="BI397" s="26"/>
      <c r="BJ397" s="26"/>
      <c r="BK397" s="26"/>
      <c r="BL397" s="26"/>
      <c r="BM397" s="26"/>
      <c r="BN397" s="26"/>
      <c r="BO397" s="26"/>
      <c r="BP397" s="16" t="n">
        <v>45684</v>
      </c>
      <c r="BQ397" s="28" t="str">
        <f>HYPERLINK("https://organic.ams.usda.gov/Integrity/Certificate.aspx?cid=68&amp;nopid=8210005512")</f>
        <v>https://organic.ams.usda.gov/Integrity/Certificate.aspx?cid=68&amp;nopid=8210005512</v>
      </c>
    </row>
    <row r="398">
      <c r="A398" t="s">
        <v>3</v>
      </c>
      <c r="B398" s="6" t="s">
        <v>12</v>
      </c>
      <c r="C398" s="6" t="s">
        <v>59</v>
      </c>
      <c r="D398" s="6" t="s">
        <v>105</v>
      </c>
      <c r="E398" s="10" t="s">
        <v>539</v>
      </c>
      <c r="F398" s="6" t="s">
        <v>3274</v>
      </c>
      <c r="G398" s="6" t="s">
        <v>81</v>
      </c>
      <c r="H398" s="6" t="s">
        <v>6247</v>
      </c>
      <c r="I398" s="6" t="s">
        <v>8641</v>
      </c>
      <c r="J398" s="6" t="s">
        <v>9679</v>
      </c>
      <c r="K398" s="6" t="s">
        <v>10886</v>
      </c>
      <c r="L398" s="16" t="n">
        <v>39294</v>
      </c>
      <c r="M398" s="16" t="n">
        <v>45717</v>
      </c>
      <c r="N398" s="6" t="s">
        <v>10886</v>
      </c>
      <c r="O398" s="16" t="n">
        <v>39294</v>
      </c>
      <c r="P398" s="6" t="s">
        <v>10930</v>
      </c>
      <c r="Q398" s="6" t="s">
        <v>81</v>
      </c>
      <c r="R398" s="6" t="s">
        <v>81</v>
      </c>
      <c r="S398" s="6" t="s">
        <v>10886</v>
      </c>
      <c r="T398" s="16" t="n">
        <v>39294</v>
      </c>
      <c r="U398" s="6" t="s">
        <v>13166</v>
      </c>
      <c r="V398" s="6" t="s">
        <v>81</v>
      </c>
      <c r="W398" s="6" t="s">
        <v>81</v>
      </c>
      <c r="X398" s="6" t="s">
        <v>81</v>
      </c>
      <c r="Y398" s="21" t="s">
        <v>81</v>
      </c>
      <c r="Z398" s="6" t="s">
        <v>81</v>
      </c>
      <c r="AA398" s="6" t="s">
        <v>81</v>
      </c>
      <c r="AB398" s="6" t="s">
        <v>81</v>
      </c>
      <c r="AC398" s="6" t="s">
        <v>81</v>
      </c>
      <c r="AD398" s="21" t="s">
        <v>81</v>
      </c>
      <c r="AE398" s="6" t="s">
        <v>81</v>
      </c>
      <c r="AF398" s="6" t="s">
        <v>81</v>
      </c>
      <c r="AG398" s="6" t="s">
        <v>81</v>
      </c>
      <c r="AH398" s="6" t="s">
        <v>14995</v>
      </c>
      <c r="AI398" s="6" t="s">
        <v>81</v>
      </c>
      <c r="AJ398" s="6" t="s">
        <v>17338</v>
      </c>
      <c r="AK398" s="6" t="s">
        <v>18380</v>
      </c>
      <c r="AL398" s="6" t="s">
        <v>18444</v>
      </c>
      <c r="AM398" s="6" t="s">
        <v>18492</v>
      </c>
      <c r="AN398" s="6" t="s">
        <v>19648</v>
      </c>
      <c r="AO398" s="6" t="s">
        <v>19736</v>
      </c>
      <c r="AP398" s="6" t="s">
        <v>14995</v>
      </c>
      <c r="AQ398" s="6" t="s">
        <v>81</v>
      </c>
      <c r="AR398" s="6" t="s">
        <v>17338</v>
      </c>
      <c r="AS398" s="6" t="s">
        <v>18380</v>
      </c>
      <c r="AT398" s="6" t="s">
        <v>18444</v>
      </c>
      <c r="AU398" s="6" t="s">
        <v>18492</v>
      </c>
      <c r="AV398" s="6" t="s">
        <v>81</v>
      </c>
      <c r="AW398" s="6" t="s">
        <v>81</v>
      </c>
      <c r="AX398" s="6" t="s">
        <v>21000</v>
      </c>
      <c r="AY398" s="6" t="s">
        <v>81</v>
      </c>
      <c r="AZ398" s="6" t="s">
        <v>81</v>
      </c>
      <c r="BA398" s="6" t="s">
        <v>81</v>
      </c>
      <c r="BB398" s="24" t="n">
        <v>104</v>
      </c>
      <c r="BC398" s="26"/>
      <c r="BD398" s="26"/>
      <c r="BE398" s="26"/>
      <c r="BF398" s="26"/>
      <c r="BG398" s="26"/>
      <c r="BH398" s="26"/>
      <c r="BI398" s="26"/>
      <c r="BJ398" s="26"/>
      <c r="BK398" s="26"/>
      <c r="BL398" s="26"/>
      <c r="BM398" s="26"/>
      <c r="BN398" s="26"/>
      <c r="BO398" s="26"/>
      <c r="BP398" s="16" t="n">
        <v>45684</v>
      </c>
      <c r="BQ398" s="28" t="str">
        <f>HYPERLINK("https://organic.ams.usda.gov/Integrity/Certificate.aspx?cid=68&amp;nopid=8210002578")</f>
        <v>https://organic.ams.usda.gov/Integrity/Certificate.aspx?cid=68&amp;nopid=8210002578</v>
      </c>
    </row>
    <row r="399">
      <c r="A399" t="s">
        <v>3</v>
      </c>
      <c r="B399" s="6" t="s">
        <v>29</v>
      </c>
      <c r="C399" s="6" t="s">
        <v>76</v>
      </c>
      <c r="D399" s="6" t="s">
        <v>122</v>
      </c>
      <c r="E399" s="10" t="s">
        <v>540</v>
      </c>
      <c r="F399" s="6" t="s">
        <v>3275</v>
      </c>
      <c r="G399" s="6" t="s">
        <v>81</v>
      </c>
      <c r="H399" s="6" t="s">
        <v>6248</v>
      </c>
      <c r="I399" s="6" t="s">
        <v>8642</v>
      </c>
      <c r="J399" s="6" t="s">
        <v>9893</v>
      </c>
      <c r="K399" s="6" t="s">
        <v>10886</v>
      </c>
      <c r="L399" s="16" t="n">
        <v>40365</v>
      </c>
      <c r="M399" s="16" t="n">
        <v>45505</v>
      </c>
      <c r="N399" s="6" t="s">
        <v>10886</v>
      </c>
      <c r="O399" s="16" t="n">
        <v>40365</v>
      </c>
      <c r="P399" s="6" t="s">
        <v>11149</v>
      </c>
      <c r="Q399" s="6" t="s">
        <v>81</v>
      </c>
      <c r="R399" s="6" t="s">
        <v>12529</v>
      </c>
      <c r="S399" s="6" t="s">
        <v>10886</v>
      </c>
      <c r="T399" s="16" t="n">
        <v>40365</v>
      </c>
      <c r="U399" s="6" t="s">
        <v>13326</v>
      </c>
      <c r="V399" s="6" t="s">
        <v>81</v>
      </c>
      <c r="W399" s="6" t="s">
        <v>12529</v>
      </c>
      <c r="X399" s="6" t="s">
        <v>81</v>
      </c>
      <c r="Y399" s="21" t="s">
        <v>81</v>
      </c>
      <c r="Z399" s="6" t="s">
        <v>81</v>
      </c>
      <c r="AA399" s="6" t="s">
        <v>81</v>
      </c>
      <c r="AB399" s="6" t="s">
        <v>81</v>
      </c>
      <c r="AC399" s="6" t="s">
        <v>81</v>
      </c>
      <c r="AD399" s="21" t="s">
        <v>81</v>
      </c>
      <c r="AE399" s="6" t="s">
        <v>81</v>
      </c>
      <c r="AF399" s="6" t="s">
        <v>81</v>
      </c>
      <c r="AG399" s="6" t="s">
        <v>81</v>
      </c>
      <c r="AH399" s="6" t="s">
        <v>14996</v>
      </c>
      <c r="AI399" s="6" t="s">
        <v>81</v>
      </c>
      <c r="AJ399" s="6" t="s">
        <v>17580</v>
      </c>
      <c r="AK399" s="6" t="s">
        <v>8428</v>
      </c>
      <c r="AL399" s="6" t="s">
        <v>18444</v>
      </c>
      <c r="AM399" s="6" t="s">
        <v>18744</v>
      </c>
      <c r="AN399" s="6" t="s">
        <v>19695</v>
      </c>
      <c r="AO399" s="6" t="s">
        <v>19862</v>
      </c>
      <c r="AP399" s="6" t="s">
        <v>81</v>
      </c>
      <c r="AQ399" s="6" t="s">
        <v>81</v>
      </c>
      <c r="AR399" s="6" t="s">
        <v>81</v>
      </c>
      <c r="AS399" s="6" t="s">
        <v>81</v>
      </c>
      <c r="AT399" s="6" t="s">
        <v>81</v>
      </c>
      <c r="AU399" s="6" t="s">
        <v>81</v>
      </c>
      <c r="AV399" s="6" t="s">
        <v>81</v>
      </c>
      <c r="AW399" s="6" t="s">
        <v>81</v>
      </c>
      <c r="AX399" s="6" t="s">
        <v>21001</v>
      </c>
      <c r="AY399" s="6" t="s">
        <v>81</v>
      </c>
      <c r="AZ399" s="6" t="s">
        <v>81</v>
      </c>
      <c r="BA399" s="6" t="s">
        <v>81</v>
      </c>
      <c r="BB399" s="24" t="n">
        <v>52</v>
      </c>
      <c r="BC399" s="26"/>
      <c r="BD399" s="26"/>
      <c r="BE399" s="26"/>
      <c r="BF399" s="26" t="s">
        <v>23900</v>
      </c>
      <c r="BG399" s="26"/>
      <c r="BH399" s="26"/>
      <c r="BI399" s="26"/>
      <c r="BJ399" s="26"/>
      <c r="BK399" s="26" t="s">
        <v>23900</v>
      </c>
      <c r="BL399" s="26"/>
      <c r="BM399" s="26"/>
      <c r="BN399" s="26"/>
      <c r="BO399" s="26"/>
      <c r="BP399" s="16" t="n">
        <v>45737</v>
      </c>
      <c r="BQ399" s="28" t="str">
        <f>HYPERLINK("https://organic.ams.usda.gov/Integrity/Certificate.aspx?cid=31&amp;nopid=3920897956")</f>
        <v>https://organic.ams.usda.gov/Integrity/Certificate.aspx?cid=31&amp;nopid=3920897956</v>
      </c>
    </row>
    <row r="400">
      <c r="A400" t="s">
        <v>3</v>
      </c>
      <c r="B400" s="6" t="s">
        <v>9</v>
      </c>
      <c r="C400" s="6" t="s">
        <v>56</v>
      </c>
      <c r="D400" s="6" t="s">
        <v>102</v>
      </c>
      <c r="E400" s="10" t="s">
        <v>541</v>
      </c>
      <c r="F400" s="6" t="s">
        <v>3276</v>
      </c>
      <c r="G400" s="6" t="s">
        <v>81</v>
      </c>
      <c r="H400" s="6" t="s">
        <v>6249</v>
      </c>
      <c r="I400" s="6" t="s">
        <v>8643</v>
      </c>
      <c r="J400" s="6" t="s">
        <v>9755</v>
      </c>
      <c r="K400" s="6" t="s">
        <v>10886</v>
      </c>
      <c r="L400" s="16" t="n">
        <v>44795</v>
      </c>
      <c r="M400" s="16" t="n">
        <v>45748</v>
      </c>
      <c r="N400" s="6" t="s">
        <v>10886</v>
      </c>
      <c r="O400" s="16" t="n">
        <v>44795</v>
      </c>
      <c r="P400" s="6" t="s">
        <v>11150</v>
      </c>
      <c r="Q400" s="6" t="s">
        <v>81</v>
      </c>
      <c r="R400" s="6" t="s">
        <v>12530</v>
      </c>
      <c r="S400" s="6" t="s">
        <v>10886</v>
      </c>
      <c r="T400" s="16" t="n">
        <v>44795</v>
      </c>
      <c r="U400" s="6" t="s">
        <v>13162</v>
      </c>
      <c r="V400" s="6" t="s">
        <v>81</v>
      </c>
      <c r="W400" s="6" t="s">
        <v>12530</v>
      </c>
      <c r="X400" s="6" t="s">
        <v>81</v>
      </c>
      <c r="Y400" s="21" t="s">
        <v>81</v>
      </c>
      <c r="Z400" s="6" t="s">
        <v>81</v>
      </c>
      <c r="AA400" s="6" t="s">
        <v>81</v>
      </c>
      <c r="AB400" s="6" t="s">
        <v>81</v>
      </c>
      <c r="AC400" s="6" t="s">
        <v>81</v>
      </c>
      <c r="AD400" s="21" t="s">
        <v>81</v>
      </c>
      <c r="AE400" s="6" t="s">
        <v>81</v>
      </c>
      <c r="AF400" s="6" t="s">
        <v>81</v>
      </c>
      <c r="AG400" s="6" t="s">
        <v>81</v>
      </c>
      <c r="AH400" s="6" t="s">
        <v>14997</v>
      </c>
      <c r="AI400" s="6" t="s">
        <v>81</v>
      </c>
      <c r="AJ400" s="6" t="s">
        <v>17475</v>
      </c>
      <c r="AK400" s="6" t="s">
        <v>18377</v>
      </c>
      <c r="AL400" s="6" t="s">
        <v>18444</v>
      </c>
      <c r="AM400" s="6" t="s">
        <v>18637</v>
      </c>
      <c r="AN400" s="6" t="s">
        <v>6139</v>
      </c>
      <c r="AO400" s="6" t="s">
        <v>19814</v>
      </c>
      <c r="AP400" s="6" t="s">
        <v>81</v>
      </c>
      <c r="AQ400" s="6" t="s">
        <v>81</v>
      </c>
      <c r="AR400" s="6" t="s">
        <v>81</v>
      </c>
      <c r="AS400" s="6" t="s">
        <v>81</v>
      </c>
      <c r="AT400" s="6" t="s">
        <v>81</v>
      </c>
      <c r="AU400" s="6" t="s">
        <v>81</v>
      </c>
      <c r="AV400" s="6" t="s">
        <v>81</v>
      </c>
      <c r="AW400" s="6" t="s">
        <v>81</v>
      </c>
      <c r="AX400" s="6" t="s">
        <v>21002</v>
      </c>
      <c r="AY400" s="6" t="s">
        <v>81</v>
      </c>
      <c r="AZ400" s="6" t="s">
        <v>81</v>
      </c>
      <c r="BA400" s="6" t="s">
        <v>23837</v>
      </c>
      <c r="BB400" s="24" t="n">
        <v>105</v>
      </c>
      <c r="BC400" s="26"/>
      <c r="BD400" s="26"/>
      <c r="BE400" s="26"/>
      <c r="BF400" s="26"/>
      <c r="BG400" s="26"/>
      <c r="BH400" s="26"/>
      <c r="BI400" s="26"/>
      <c r="BJ400" s="26"/>
      <c r="BK400" s="26"/>
      <c r="BL400" s="26"/>
      <c r="BM400" s="26"/>
      <c r="BN400" s="26"/>
      <c r="BO400" s="26"/>
      <c r="BP400" s="16" t="n">
        <v>45738</v>
      </c>
      <c r="BQ400" s="28" t="str">
        <f>HYPERLINK("https://organic.ams.usda.gov/Integrity/Certificate.aspx?cid=52&amp;nopid=8432202063")</f>
        <v>https://organic.ams.usda.gov/Integrity/Certificate.aspx?cid=52&amp;nopid=8432202063</v>
      </c>
    </row>
    <row r="401">
      <c r="A401" t="s">
        <v>3</v>
      </c>
      <c r="B401" s="6" t="s">
        <v>7</v>
      </c>
      <c r="C401" s="6" t="s">
        <v>54</v>
      </c>
      <c r="D401" s="6" t="s">
        <v>100</v>
      </c>
      <c r="E401" s="10" t="s">
        <v>542</v>
      </c>
      <c r="F401" s="6" t="s">
        <v>3277</v>
      </c>
      <c r="G401" s="6" t="s">
        <v>5628</v>
      </c>
      <c r="H401" s="6" t="s">
        <v>6250</v>
      </c>
      <c r="I401" s="6" t="s">
        <v>8643</v>
      </c>
      <c r="J401" s="6" t="s">
        <v>9803</v>
      </c>
      <c r="K401" s="6" t="s">
        <v>10886</v>
      </c>
      <c r="L401" s="16" t="n">
        <v>42164</v>
      </c>
      <c r="M401" s="16" t="n">
        <v>45716</v>
      </c>
      <c r="N401" s="6" t="s">
        <v>10886</v>
      </c>
      <c r="O401" s="16" t="n">
        <v>42164</v>
      </c>
      <c r="P401" s="6" t="s">
        <v>10934</v>
      </c>
      <c r="Q401" s="6" t="s">
        <v>81</v>
      </c>
      <c r="R401" s="6" t="s">
        <v>81</v>
      </c>
      <c r="S401" s="6" t="s">
        <v>10886</v>
      </c>
      <c r="T401" s="16" t="n">
        <v>42193</v>
      </c>
      <c r="U401" s="6" t="s">
        <v>13169</v>
      </c>
      <c r="V401" s="6" t="s">
        <v>81</v>
      </c>
      <c r="W401" s="6" t="s">
        <v>81</v>
      </c>
      <c r="X401" s="6" t="s">
        <v>81</v>
      </c>
      <c r="Y401" s="21" t="s">
        <v>81</v>
      </c>
      <c r="Z401" s="6" t="s">
        <v>81</v>
      </c>
      <c r="AA401" s="6" t="s">
        <v>81</v>
      </c>
      <c r="AB401" s="6" t="s">
        <v>81</v>
      </c>
      <c r="AC401" s="6" t="s">
        <v>81</v>
      </c>
      <c r="AD401" s="21" t="s">
        <v>81</v>
      </c>
      <c r="AE401" s="6" t="s">
        <v>81</v>
      </c>
      <c r="AF401" s="6" t="s">
        <v>81</v>
      </c>
      <c r="AG401" s="6" t="s">
        <v>81</v>
      </c>
      <c r="AH401" s="6" t="s">
        <v>14998</v>
      </c>
      <c r="AI401" s="6" t="s">
        <v>81</v>
      </c>
      <c r="AJ401" s="6" t="s">
        <v>17581</v>
      </c>
      <c r="AK401" s="6" t="s">
        <v>17712</v>
      </c>
      <c r="AL401" s="6" t="s">
        <v>18444</v>
      </c>
      <c r="AM401" s="6" t="s">
        <v>7469</v>
      </c>
      <c r="AN401" s="6" t="s">
        <v>19670</v>
      </c>
      <c r="AO401" s="6" t="s">
        <v>19782</v>
      </c>
      <c r="AP401" s="6" t="s">
        <v>14998</v>
      </c>
      <c r="AQ401" s="6" t="s">
        <v>81</v>
      </c>
      <c r="AR401" s="6" t="s">
        <v>17581</v>
      </c>
      <c r="AS401" s="6" t="s">
        <v>17712</v>
      </c>
      <c r="AT401" s="6" t="s">
        <v>18444</v>
      </c>
      <c r="AU401" s="6" t="s">
        <v>7469</v>
      </c>
      <c r="AV401" s="6" t="s">
        <v>81</v>
      </c>
      <c r="AW401" s="6" t="s">
        <v>81</v>
      </c>
      <c r="AX401" s="6" t="s">
        <v>5850</v>
      </c>
      <c r="AY401" s="6" t="s">
        <v>81</v>
      </c>
      <c r="AZ401" s="6" t="s">
        <v>81</v>
      </c>
      <c r="BA401" s="6" t="s">
        <v>81</v>
      </c>
      <c r="BB401" s="24" t="n">
        <v>73</v>
      </c>
      <c r="BC401" s="26"/>
      <c r="BD401" s="26"/>
      <c r="BE401" s="26"/>
      <c r="BF401" s="26" t="s">
        <v>23900</v>
      </c>
      <c r="BG401" s="26"/>
      <c r="BH401" s="26"/>
      <c r="BI401" s="26"/>
      <c r="BJ401" s="26"/>
      <c r="BK401" s="26"/>
      <c r="BL401" s="26"/>
      <c r="BM401" s="26"/>
      <c r="BN401" s="26"/>
      <c r="BO401" s="26"/>
      <c r="BP401" s="16" t="n">
        <v>45721</v>
      </c>
      <c r="BQ401" s="28" t="str">
        <f>HYPERLINK("https://organic.ams.usda.gov/Integrity/Certificate.aspx?cid=57&amp;nopid=3252015027")</f>
        <v>https://organic.ams.usda.gov/Integrity/Certificate.aspx?cid=57&amp;nopid=3252015027</v>
      </c>
    </row>
    <row r="402">
      <c r="A402" t="s">
        <v>3</v>
      </c>
      <c r="B402" s="6" t="s">
        <v>12</v>
      </c>
      <c r="C402" s="6" t="s">
        <v>59</v>
      </c>
      <c r="D402" s="6" t="s">
        <v>105</v>
      </c>
      <c r="E402" s="10" t="s">
        <v>543</v>
      </c>
      <c r="F402" s="6" t="s">
        <v>3278</v>
      </c>
      <c r="G402" s="6" t="s">
        <v>81</v>
      </c>
      <c r="H402" s="6" t="s">
        <v>6251</v>
      </c>
      <c r="I402" s="6" t="s">
        <v>8644</v>
      </c>
      <c r="J402" s="6" t="s">
        <v>9672</v>
      </c>
      <c r="K402" s="6" t="s">
        <v>10886</v>
      </c>
      <c r="L402" s="16" t="n">
        <v>37550</v>
      </c>
      <c r="M402" s="16" t="n">
        <v>45717</v>
      </c>
      <c r="N402" s="6" t="s">
        <v>10886</v>
      </c>
      <c r="O402" s="16" t="n">
        <v>37550</v>
      </c>
      <c r="P402" s="6" t="s">
        <v>11151</v>
      </c>
      <c r="Q402" s="6" t="s">
        <v>81</v>
      </c>
      <c r="R402" s="6" t="s">
        <v>81</v>
      </c>
      <c r="S402" s="6" t="s">
        <v>10886</v>
      </c>
      <c r="T402" s="16" t="n">
        <v>37550</v>
      </c>
      <c r="U402" s="6" t="s">
        <v>13187</v>
      </c>
      <c r="V402" s="6" t="s">
        <v>81</v>
      </c>
      <c r="W402" s="6" t="s">
        <v>81</v>
      </c>
      <c r="X402" s="6" t="s">
        <v>81</v>
      </c>
      <c r="Y402" s="21" t="s">
        <v>81</v>
      </c>
      <c r="Z402" s="6" t="s">
        <v>81</v>
      </c>
      <c r="AA402" s="6" t="s">
        <v>81</v>
      </c>
      <c r="AB402" s="6" t="s">
        <v>81</v>
      </c>
      <c r="AC402" s="6" t="s">
        <v>81</v>
      </c>
      <c r="AD402" s="21" t="s">
        <v>81</v>
      </c>
      <c r="AE402" s="6" t="s">
        <v>81</v>
      </c>
      <c r="AF402" s="6" t="s">
        <v>81</v>
      </c>
      <c r="AG402" s="6" t="s">
        <v>81</v>
      </c>
      <c r="AH402" s="6" t="s">
        <v>14999</v>
      </c>
      <c r="AI402" s="6" t="s">
        <v>81</v>
      </c>
      <c r="AJ402" s="6" t="s">
        <v>17582</v>
      </c>
      <c r="AK402" s="6" t="s">
        <v>18380</v>
      </c>
      <c r="AL402" s="6" t="s">
        <v>18444</v>
      </c>
      <c r="AM402" s="6" t="s">
        <v>18745</v>
      </c>
      <c r="AN402" s="6" t="s">
        <v>7195</v>
      </c>
      <c r="AO402" s="6" t="s">
        <v>19863</v>
      </c>
      <c r="AP402" s="6" t="s">
        <v>14999</v>
      </c>
      <c r="AQ402" s="6" t="s">
        <v>81</v>
      </c>
      <c r="AR402" s="6" t="s">
        <v>17582</v>
      </c>
      <c r="AS402" s="6" t="s">
        <v>18380</v>
      </c>
      <c r="AT402" s="6" t="s">
        <v>18444</v>
      </c>
      <c r="AU402" s="6" t="s">
        <v>18745</v>
      </c>
      <c r="AV402" s="6" t="s">
        <v>81</v>
      </c>
      <c r="AW402" s="6" t="s">
        <v>81</v>
      </c>
      <c r="AX402" s="6" t="s">
        <v>21003</v>
      </c>
      <c r="AY402" s="6" t="s">
        <v>81</v>
      </c>
      <c r="AZ402" s="6" t="s">
        <v>81</v>
      </c>
      <c r="BA402" s="6" t="s">
        <v>81</v>
      </c>
      <c r="BB402" s="24" t="n">
        <v>168</v>
      </c>
      <c r="BC402" s="26"/>
      <c r="BD402" s="26"/>
      <c r="BE402" s="26"/>
      <c r="BF402" s="26"/>
      <c r="BG402" s="26"/>
      <c r="BH402" s="26"/>
      <c r="BI402" s="26"/>
      <c r="BJ402" s="26"/>
      <c r="BK402" s="26"/>
      <c r="BL402" s="26"/>
      <c r="BM402" s="26"/>
      <c r="BN402" s="26"/>
      <c r="BO402" s="26"/>
      <c r="BP402" s="16" t="n">
        <v>45694</v>
      </c>
      <c r="BQ402" s="28" t="str">
        <f>HYPERLINK("https://organic.ams.usda.gov/Integrity/Certificate.aspx?cid=68&amp;nopid=8210002511")</f>
        <v>https://organic.ams.usda.gov/Integrity/Certificate.aspx?cid=68&amp;nopid=8210002511</v>
      </c>
    </row>
    <row r="403">
      <c r="A403" t="s">
        <v>3</v>
      </c>
      <c r="B403" s="6" t="s">
        <v>30</v>
      </c>
      <c r="C403" s="6" t="s">
        <v>77</v>
      </c>
      <c r="D403" s="6" t="s">
        <v>123</v>
      </c>
      <c r="E403" s="10" t="s">
        <v>544</v>
      </c>
      <c r="F403" s="6" t="s">
        <v>3279</v>
      </c>
      <c r="G403" s="6" t="s">
        <v>81</v>
      </c>
      <c r="H403" s="6" t="s">
        <v>6252</v>
      </c>
      <c r="I403" s="6" t="s">
        <v>8643</v>
      </c>
      <c r="J403" s="6" t="s">
        <v>9679</v>
      </c>
      <c r="K403" s="6" t="s">
        <v>10886</v>
      </c>
      <c r="L403" s="16" t="n">
        <v>43454</v>
      </c>
      <c r="M403" s="16" t="n">
        <v>45747</v>
      </c>
      <c r="N403" s="6" t="s">
        <v>10886</v>
      </c>
      <c r="O403" s="16" t="n">
        <v>43454</v>
      </c>
      <c r="P403" s="6" t="s">
        <v>10907</v>
      </c>
      <c r="Q403" s="6" t="s">
        <v>81</v>
      </c>
      <c r="R403" s="6" t="s">
        <v>81</v>
      </c>
      <c r="S403" s="6" t="s">
        <v>10886</v>
      </c>
      <c r="T403" s="16" t="n">
        <v>43454</v>
      </c>
      <c r="U403" s="6" t="s">
        <v>13216</v>
      </c>
      <c r="V403" s="6" t="s">
        <v>81</v>
      </c>
      <c r="W403" s="6" t="s">
        <v>81</v>
      </c>
      <c r="X403" s="6" t="s">
        <v>81</v>
      </c>
      <c r="Y403" s="21" t="s">
        <v>81</v>
      </c>
      <c r="Z403" s="6" t="s">
        <v>81</v>
      </c>
      <c r="AA403" s="6" t="s">
        <v>81</v>
      </c>
      <c r="AB403" s="6" t="s">
        <v>81</v>
      </c>
      <c r="AC403" s="6" t="s">
        <v>81</v>
      </c>
      <c r="AD403" s="21" t="s">
        <v>81</v>
      </c>
      <c r="AE403" s="6" t="s">
        <v>81</v>
      </c>
      <c r="AF403" s="6" t="s">
        <v>81</v>
      </c>
      <c r="AG403" s="6" t="s">
        <v>81</v>
      </c>
      <c r="AH403" s="6" t="s">
        <v>15000</v>
      </c>
      <c r="AI403" s="6" t="s">
        <v>81</v>
      </c>
      <c r="AJ403" s="6" t="s">
        <v>17317</v>
      </c>
      <c r="AK403" s="6" t="s">
        <v>18380</v>
      </c>
      <c r="AL403" s="6" t="s">
        <v>18444</v>
      </c>
      <c r="AM403" s="6" t="s">
        <v>18469</v>
      </c>
      <c r="AN403" s="6" t="s">
        <v>19639</v>
      </c>
      <c r="AO403" s="6" t="s">
        <v>19725</v>
      </c>
      <c r="AP403" s="6" t="s">
        <v>15000</v>
      </c>
      <c r="AQ403" s="6" t="s">
        <v>81</v>
      </c>
      <c r="AR403" s="6" t="s">
        <v>17317</v>
      </c>
      <c r="AS403" s="6" t="s">
        <v>18380</v>
      </c>
      <c r="AT403" s="6" t="s">
        <v>18444</v>
      </c>
      <c r="AU403" s="6" t="s">
        <v>18469</v>
      </c>
      <c r="AV403" s="6" t="s">
        <v>81</v>
      </c>
      <c r="AW403" s="6" t="s">
        <v>81</v>
      </c>
      <c r="AX403" s="6" t="s">
        <v>20812</v>
      </c>
      <c r="AY403" s="6" t="s">
        <v>81</v>
      </c>
      <c r="AZ403" s="6" t="s">
        <v>81</v>
      </c>
      <c r="BA403" s="6" t="s">
        <v>81</v>
      </c>
      <c r="BB403" s="24" t="n">
        <v>122</v>
      </c>
      <c r="BC403" s="26"/>
      <c r="BD403" s="26"/>
      <c r="BE403" s="26"/>
      <c r="BF403" s="26"/>
      <c r="BG403" s="26"/>
      <c r="BH403" s="26"/>
      <c r="BI403" s="26"/>
      <c r="BJ403" s="26"/>
      <c r="BK403" s="26"/>
      <c r="BL403" s="26"/>
      <c r="BM403" s="26"/>
      <c r="BN403" s="26"/>
      <c r="BO403" s="26"/>
      <c r="BP403" s="16" t="n">
        <v>45728</v>
      </c>
      <c r="BQ403" s="28" t="str">
        <f>HYPERLINK("https://organic.ams.usda.gov/Integrity/Certificate.aspx?cid=70&amp;nopid=6431712280")</f>
        <v>https://organic.ams.usda.gov/Integrity/Certificate.aspx?cid=70&amp;nopid=6431712280</v>
      </c>
    </row>
    <row r="404">
      <c r="A404" t="s">
        <v>3</v>
      </c>
      <c r="B404" s="6" t="s">
        <v>11</v>
      </c>
      <c r="C404" s="6" t="s">
        <v>58</v>
      </c>
      <c r="D404" s="6" t="s">
        <v>104</v>
      </c>
      <c r="E404" s="10" t="s">
        <v>545</v>
      </c>
      <c r="F404" s="6" t="s">
        <v>3280</v>
      </c>
      <c r="G404" s="6" t="s">
        <v>81</v>
      </c>
      <c r="H404" s="6" t="s">
        <v>81</v>
      </c>
      <c r="I404" s="6" t="s">
        <v>8645</v>
      </c>
      <c r="J404" s="6" t="s">
        <v>9671</v>
      </c>
      <c r="K404" s="6" t="s">
        <v>10886</v>
      </c>
      <c r="L404" s="16" t="n">
        <v>45013</v>
      </c>
      <c r="M404" s="16" t="n">
        <v>45383</v>
      </c>
      <c r="N404" s="6" t="s">
        <v>10886</v>
      </c>
      <c r="O404" s="16" t="n">
        <v>45013</v>
      </c>
      <c r="P404" s="6" t="s">
        <v>11152</v>
      </c>
      <c r="Q404" s="6" t="s">
        <v>81</v>
      </c>
      <c r="R404" s="6" t="s">
        <v>81</v>
      </c>
      <c r="S404" s="6" t="s">
        <v>10886</v>
      </c>
      <c r="T404" s="16" t="n">
        <v>45013</v>
      </c>
      <c r="U404" s="6" t="s">
        <v>13327</v>
      </c>
      <c r="V404" s="6" t="s">
        <v>81</v>
      </c>
      <c r="W404" s="6" t="s">
        <v>81</v>
      </c>
      <c r="X404" s="6" t="s">
        <v>81</v>
      </c>
      <c r="Y404" s="21" t="s">
        <v>81</v>
      </c>
      <c r="Z404" s="6" t="s">
        <v>81</v>
      </c>
      <c r="AA404" s="6" t="s">
        <v>81</v>
      </c>
      <c r="AB404" s="6" t="s">
        <v>81</v>
      </c>
      <c r="AC404" s="6" t="s">
        <v>81</v>
      </c>
      <c r="AD404" s="21" t="s">
        <v>81</v>
      </c>
      <c r="AE404" s="6" t="s">
        <v>81</v>
      </c>
      <c r="AF404" s="6" t="s">
        <v>81</v>
      </c>
      <c r="AG404" s="6" t="s">
        <v>81</v>
      </c>
      <c r="AH404" s="6" t="s">
        <v>15001</v>
      </c>
      <c r="AI404" s="6" t="s">
        <v>81</v>
      </c>
      <c r="AJ404" s="6" t="s">
        <v>17339</v>
      </c>
      <c r="AK404" s="6" t="s">
        <v>18377</v>
      </c>
      <c r="AL404" s="6" t="s">
        <v>18444</v>
      </c>
      <c r="AM404" s="6" t="s">
        <v>18493</v>
      </c>
      <c r="AN404" s="6" t="s">
        <v>7195</v>
      </c>
      <c r="AO404" s="6" t="s">
        <v>19737</v>
      </c>
      <c r="AP404" s="6" t="s">
        <v>81</v>
      </c>
      <c r="AQ404" s="6" t="s">
        <v>81</v>
      </c>
      <c r="AR404" s="6" t="s">
        <v>81</v>
      </c>
      <c r="AS404" s="6" t="s">
        <v>81</v>
      </c>
      <c r="AT404" s="6" t="s">
        <v>81</v>
      </c>
      <c r="AU404" s="6" t="s">
        <v>81</v>
      </c>
      <c r="AV404" s="6" t="s">
        <v>81</v>
      </c>
      <c r="AW404" s="6" t="s">
        <v>81</v>
      </c>
      <c r="AX404" s="6" t="s">
        <v>81</v>
      </c>
      <c r="AY404" s="6" t="s">
        <v>81</v>
      </c>
      <c r="AZ404" s="6" t="s">
        <v>81</v>
      </c>
      <c r="BA404" s="6" t="s">
        <v>23825</v>
      </c>
      <c r="BB404" s="24" t="n">
        <v>113</v>
      </c>
      <c r="BC404" s="26"/>
      <c r="BD404" s="26"/>
      <c r="BE404" s="26"/>
      <c r="BF404" s="26"/>
      <c r="BG404" s="26"/>
      <c r="BH404" s="26"/>
      <c r="BI404" s="26"/>
      <c r="BJ404" s="26"/>
      <c r="BK404" s="26"/>
      <c r="BL404" s="26"/>
      <c r="BM404" s="26"/>
      <c r="BN404" s="26"/>
      <c r="BO404" s="26"/>
      <c r="BP404" s="16" t="n">
        <v>45442</v>
      </c>
      <c r="BQ404" s="28" t="str">
        <f>HYPERLINK("https://organic.ams.usda.gov/Integrity/Certificate.aspx?cid=46&amp;nopid=3672300008")</f>
        <v>https://organic.ams.usda.gov/Integrity/Certificate.aspx?cid=46&amp;nopid=3672300008</v>
      </c>
    </row>
    <row r="405">
      <c r="A405" t="s">
        <v>3</v>
      </c>
      <c r="B405" s="6" t="s">
        <v>30</v>
      </c>
      <c r="C405" s="6" t="s">
        <v>77</v>
      </c>
      <c r="D405" s="6" t="s">
        <v>123</v>
      </c>
      <c r="E405" s="10" t="s">
        <v>546</v>
      </c>
      <c r="F405" s="6" t="s">
        <v>3281</v>
      </c>
      <c r="G405" s="6" t="s">
        <v>81</v>
      </c>
      <c r="H405" s="6" t="s">
        <v>6253</v>
      </c>
      <c r="I405" s="6" t="s">
        <v>81</v>
      </c>
      <c r="J405" s="6" t="s">
        <v>81</v>
      </c>
      <c r="K405" s="6" t="s">
        <v>10886</v>
      </c>
      <c r="L405" s="16" t="n">
        <v>44370</v>
      </c>
      <c r="M405" s="16" t="n">
        <v>45747</v>
      </c>
      <c r="N405" s="6" t="s">
        <v>10886</v>
      </c>
      <c r="O405" s="16" t="n">
        <v>44370</v>
      </c>
      <c r="P405" s="6" t="s">
        <v>11153</v>
      </c>
      <c r="Q405" s="6" t="s">
        <v>81</v>
      </c>
      <c r="R405" s="6" t="s">
        <v>81</v>
      </c>
      <c r="S405" s="6" t="s">
        <v>10886</v>
      </c>
      <c r="T405" s="16" t="n">
        <v>45566</v>
      </c>
      <c r="U405" s="6" t="s">
        <v>13218</v>
      </c>
      <c r="V405" s="6" t="s">
        <v>81</v>
      </c>
      <c r="W405" s="6" t="s">
        <v>81</v>
      </c>
      <c r="X405" s="6" t="s">
        <v>81</v>
      </c>
      <c r="Y405" s="21" t="s">
        <v>81</v>
      </c>
      <c r="Z405" s="6" t="s">
        <v>81</v>
      </c>
      <c r="AA405" s="6" t="s">
        <v>81</v>
      </c>
      <c r="AB405" s="6" t="s">
        <v>81</v>
      </c>
      <c r="AC405" s="6" t="s">
        <v>10886</v>
      </c>
      <c r="AD405" s="16" t="n">
        <v>44728</v>
      </c>
      <c r="AE405" s="6" t="s">
        <v>14091</v>
      </c>
      <c r="AF405" s="6" t="s">
        <v>81</v>
      </c>
      <c r="AG405" s="6" t="s">
        <v>81</v>
      </c>
      <c r="AH405" s="6" t="s">
        <v>15002</v>
      </c>
      <c r="AI405" s="6" t="s">
        <v>81</v>
      </c>
      <c r="AJ405" s="6" t="s">
        <v>17327</v>
      </c>
      <c r="AK405" s="6" t="s">
        <v>18380</v>
      </c>
      <c r="AL405" s="6" t="s">
        <v>18444</v>
      </c>
      <c r="AM405" s="6" t="s">
        <v>18479</v>
      </c>
      <c r="AN405" s="6" t="s">
        <v>19639</v>
      </c>
      <c r="AO405" s="6" t="s">
        <v>19725</v>
      </c>
      <c r="AP405" s="6" t="s">
        <v>15002</v>
      </c>
      <c r="AQ405" s="6" t="s">
        <v>81</v>
      </c>
      <c r="AR405" s="6" t="s">
        <v>17327</v>
      </c>
      <c r="AS405" s="6" t="s">
        <v>18380</v>
      </c>
      <c r="AT405" s="6" t="s">
        <v>18444</v>
      </c>
      <c r="AU405" s="6" t="s">
        <v>18479</v>
      </c>
      <c r="AV405" s="6" t="s">
        <v>81</v>
      </c>
      <c r="AW405" s="6" t="s">
        <v>81</v>
      </c>
      <c r="AX405" s="6" t="s">
        <v>81</v>
      </c>
      <c r="AY405" s="6" t="s">
        <v>81</v>
      </c>
      <c r="AZ405" s="6" t="s">
        <v>81</v>
      </c>
      <c r="BA405" s="6" t="s">
        <v>81</v>
      </c>
      <c r="BB405" s="24" t="n">
        <v>62</v>
      </c>
      <c r="BC405" s="26"/>
      <c r="BD405" s="26"/>
      <c r="BE405" s="26"/>
      <c r="BF405" s="26"/>
      <c r="BG405" s="26"/>
      <c r="BH405" s="26"/>
      <c r="BI405" s="26"/>
      <c r="BJ405" s="26"/>
      <c r="BK405" s="26"/>
      <c r="BL405" s="26"/>
      <c r="BM405" s="26"/>
      <c r="BN405" s="26"/>
      <c r="BO405" s="26"/>
      <c r="BP405" s="16" t="n">
        <v>45566</v>
      </c>
      <c r="BQ405" s="28" t="str">
        <f>HYPERLINK("https://organic.ams.usda.gov/Integrity/Certificate.aspx?cid=70&amp;nopid=6432016650")</f>
        <v>https://organic.ams.usda.gov/Integrity/Certificate.aspx?cid=70&amp;nopid=6432016650</v>
      </c>
    </row>
    <row r="406">
      <c r="A406" t="s">
        <v>3</v>
      </c>
      <c r="B406" s="6" t="s">
        <v>25</v>
      </c>
      <c r="C406" s="6" t="s">
        <v>72</v>
      </c>
      <c r="D406" s="6" t="s">
        <v>118</v>
      </c>
      <c r="E406" s="10" t="s">
        <v>547</v>
      </c>
      <c r="F406" s="6" t="s">
        <v>3282</v>
      </c>
      <c r="G406" s="6" t="s">
        <v>81</v>
      </c>
      <c r="H406" s="6" t="s">
        <v>6254</v>
      </c>
      <c r="I406" s="6" t="s">
        <v>8646</v>
      </c>
      <c r="J406" s="6" t="s">
        <v>9894</v>
      </c>
      <c r="K406" s="6" t="s">
        <v>10886</v>
      </c>
      <c r="L406" s="16" t="n">
        <v>41765</v>
      </c>
      <c r="M406" s="16" t="n">
        <v>46023</v>
      </c>
      <c r="N406" s="6" t="s">
        <v>10886</v>
      </c>
      <c r="O406" s="16" t="n">
        <v>41765</v>
      </c>
      <c r="P406" s="6" t="s">
        <v>11128</v>
      </c>
      <c r="Q406" s="6" t="s">
        <v>81</v>
      </c>
      <c r="R406" s="6" t="s">
        <v>81</v>
      </c>
      <c r="S406" s="6" t="s">
        <v>10886</v>
      </c>
      <c r="T406" s="16" t="n">
        <v>41765</v>
      </c>
      <c r="U406" s="6" t="s">
        <v>13328</v>
      </c>
      <c r="V406" s="6" t="s">
        <v>81</v>
      </c>
      <c r="W406" s="6" t="s">
        <v>81</v>
      </c>
      <c r="X406" s="6" t="s">
        <v>81</v>
      </c>
      <c r="Y406" s="21" t="s">
        <v>81</v>
      </c>
      <c r="Z406" s="6" t="s">
        <v>81</v>
      </c>
      <c r="AA406" s="6" t="s">
        <v>81</v>
      </c>
      <c r="AB406" s="6" t="s">
        <v>81</v>
      </c>
      <c r="AC406" s="6" t="s">
        <v>81</v>
      </c>
      <c r="AD406" s="21" t="s">
        <v>81</v>
      </c>
      <c r="AE406" s="6" t="s">
        <v>81</v>
      </c>
      <c r="AF406" s="6" t="s">
        <v>81</v>
      </c>
      <c r="AG406" s="6" t="s">
        <v>81</v>
      </c>
      <c r="AH406" s="6" t="s">
        <v>15003</v>
      </c>
      <c r="AI406" s="6" t="s">
        <v>81</v>
      </c>
      <c r="AJ406" s="6" t="s">
        <v>17506</v>
      </c>
      <c r="AK406" s="6" t="s">
        <v>18386</v>
      </c>
      <c r="AL406" s="6" t="s">
        <v>18444</v>
      </c>
      <c r="AM406" s="6" t="s">
        <v>18667</v>
      </c>
      <c r="AN406" s="6" t="s">
        <v>19651</v>
      </c>
      <c r="AO406" s="6" t="s">
        <v>19864</v>
      </c>
      <c r="AP406" s="6" t="s">
        <v>15003</v>
      </c>
      <c r="AQ406" s="6" t="s">
        <v>81</v>
      </c>
      <c r="AR406" s="6" t="s">
        <v>17506</v>
      </c>
      <c r="AS406" s="6" t="s">
        <v>18386</v>
      </c>
      <c r="AT406" s="6" t="s">
        <v>18444</v>
      </c>
      <c r="AU406" s="6" t="s">
        <v>18667</v>
      </c>
      <c r="AV406" s="6" t="s">
        <v>81</v>
      </c>
      <c r="AW406" s="6" t="s">
        <v>81</v>
      </c>
      <c r="AX406" s="6" t="s">
        <v>21004</v>
      </c>
      <c r="AY406" s="6" t="s">
        <v>22713</v>
      </c>
      <c r="AZ406" s="6" t="s">
        <v>81</v>
      </c>
      <c r="BA406" s="6" t="s">
        <v>81</v>
      </c>
      <c r="BB406" s="24" t="n">
        <v>4634</v>
      </c>
      <c r="BC406" s="26"/>
      <c r="BD406" s="26"/>
      <c r="BE406" s="26"/>
      <c r="BF406" s="26"/>
      <c r="BG406" s="26"/>
      <c r="BH406" s="26"/>
      <c r="BI406" s="26"/>
      <c r="BJ406" s="26"/>
      <c r="BK406" s="26"/>
      <c r="BL406" s="26"/>
      <c r="BM406" s="26"/>
      <c r="BN406" s="26"/>
      <c r="BO406" s="26"/>
      <c r="BP406" s="16" t="n">
        <v>45667</v>
      </c>
      <c r="BQ406" s="28" t="str">
        <f>HYPERLINK("https://organic.ams.usda.gov/Integrity/Certificate.aspx?cid=15&amp;nopid=5561001025")</f>
        <v>https://organic.ams.usda.gov/Integrity/Certificate.aspx?cid=15&amp;nopid=5561001025</v>
      </c>
    </row>
    <row r="407">
      <c r="A407" t="s">
        <v>3</v>
      </c>
      <c r="B407" s="6" t="s">
        <v>13</v>
      </c>
      <c r="C407" s="6" t="s">
        <v>60</v>
      </c>
      <c r="D407" s="6" t="s">
        <v>106</v>
      </c>
      <c r="E407" s="10" t="s">
        <v>548</v>
      </c>
      <c r="F407" s="6" t="s">
        <v>3283</v>
      </c>
      <c r="G407" s="6" t="s">
        <v>81</v>
      </c>
      <c r="H407" s="6" t="s">
        <v>6255</v>
      </c>
      <c r="I407" s="6" t="s">
        <v>8647</v>
      </c>
      <c r="J407" s="6" t="s">
        <v>9730</v>
      </c>
      <c r="K407" s="6" t="s">
        <v>10886</v>
      </c>
      <c r="L407" s="16" t="n">
        <v>43318</v>
      </c>
      <c r="M407" s="16" t="n">
        <v>46024</v>
      </c>
      <c r="N407" s="6" t="s">
        <v>10886</v>
      </c>
      <c r="O407" s="16" t="n">
        <v>43318</v>
      </c>
      <c r="P407" s="6" t="s">
        <v>10925</v>
      </c>
      <c r="Q407" s="6" t="s">
        <v>81</v>
      </c>
      <c r="R407" s="6" t="s">
        <v>12531</v>
      </c>
      <c r="S407" s="6" t="s">
        <v>10886</v>
      </c>
      <c r="T407" s="16" t="n">
        <v>43320</v>
      </c>
      <c r="U407" s="6" t="s">
        <v>13325</v>
      </c>
      <c r="V407" s="6" t="s">
        <v>81</v>
      </c>
      <c r="W407" s="6" t="s">
        <v>12531</v>
      </c>
      <c r="X407" s="6" t="s">
        <v>81</v>
      </c>
      <c r="Y407" s="21" t="s">
        <v>81</v>
      </c>
      <c r="Z407" s="6" t="s">
        <v>81</v>
      </c>
      <c r="AA407" s="6" t="s">
        <v>81</v>
      </c>
      <c r="AB407" s="6" t="s">
        <v>81</v>
      </c>
      <c r="AC407" s="6" t="s">
        <v>81</v>
      </c>
      <c r="AD407" s="21" t="s">
        <v>81</v>
      </c>
      <c r="AE407" s="6" t="s">
        <v>81</v>
      </c>
      <c r="AF407" s="6" t="s">
        <v>81</v>
      </c>
      <c r="AG407" s="6" t="s">
        <v>81</v>
      </c>
      <c r="AH407" s="6" t="s">
        <v>15004</v>
      </c>
      <c r="AI407" s="6" t="s">
        <v>81</v>
      </c>
      <c r="AJ407" s="6" t="s">
        <v>17583</v>
      </c>
      <c r="AK407" s="6" t="s">
        <v>18379</v>
      </c>
      <c r="AL407" s="6" t="s">
        <v>18444</v>
      </c>
      <c r="AM407" s="6" t="s">
        <v>18746</v>
      </c>
      <c r="AN407" s="6" t="s">
        <v>6842</v>
      </c>
      <c r="AO407" s="6" t="s">
        <v>19781</v>
      </c>
      <c r="AP407" s="6" t="s">
        <v>15004</v>
      </c>
      <c r="AQ407" s="6" t="s">
        <v>81</v>
      </c>
      <c r="AR407" s="6" t="s">
        <v>17583</v>
      </c>
      <c r="AS407" s="6" t="s">
        <v>18379</v>
      </c>
      <c r="AT407" s="6" t="s">
        <v>18444</v>
      </c>
      <c r="AU407" s="6" t="s">
        <v>18746</v>
      </c>
      <c r="AV407" s="6" t="s">
        <v>6842</v>
      </c>
      <c r="AW407" s="6" t="s">
        <v>19781</v>
      </c>
      <c r="AX407" s="6" t="s">
        <v>21005</v>
      </c>
      <c r="AY407" s="6" t="s">
        <v>81</v>
      </c>
      <c r="AZ407" s="6" t="s">
        <v>81</v>
      </c>
      <c r="BA407" s="6" t="s">
        <v>81</v>
      </c>
      <c r="BB407" s="24" t="n">
        <v>80</v>
      </c>
      <c r="BC407" s="26"/>
      <c r="BD407" s="26"/>
      <c r="BE407" s="26"/>
      <c r="BF407" s="26" t="s">
        <v>23900</v>
      </c>
      <c r="BG407" s="26"/>
      <c r="BH407" s="26"/>
      <c r="BI407" s="26"/>
      <c r="BJ407" s="26"/>
      <c r="BK407" s="26"/>
      <c r="BL407" s="26"/>
      <c r="BM407" s="26"/>
      <c r="BN407" s="26"/>
      <c r="BO407" s="26"/>
      <c r="BP407" s="16" t="n">
        <v>45663</v>
      </c>
      <c r="BQ407" s="28" t="str">
        <f>HYPERLINK("https://organic.ams.usda.gov/Integrity/Certificate.aspx?cid=72&amp;nopid=5871532868")</f>
        <v>https://organic.ams.usda.gov/Integrity/Certificate.aspx?cid=72&amp;nopid=5871532868</v>
      </c>
    </row>
    <row r="408">
      <c r="A408" t="s">
        <v>3</v>
      </c>
      <c r="B408" s="6" t="s">
        <v>12</v>
      </c>
      <c r="C408" s="6" t="s">
        <v>59</v>
      </c>
      <c r="D408" s="6" t="s">
        <v>105</v>
      </c>
      <c r="E408" s="10" t="s">
        <v>549</v>
      </c>
      <c r="F408" s="6" t="s">
        <v>3284</v>
      </c>
      <c r="G408" s="6" t="s">
        <v>81</v>
      </c>
      <c r="H408" s="6" t="s">
        <v>6256</v>
      </c>
      <c r="I408" s="6" t="s">
        <v>8648</v>
      </c>
      <c r="J408" s="6" t="s">
        <v>9895</v>
      </c>
      <c r="K408" s="6" t="s">
        <v>10886</v>
      </c>
      <c r="L408" s="16" t="n">
        <v>42562</v>
      </c>
      <c r="M408" s="16" t="n">
        <v>45717</v>
      </c>
      <c r="N408" s="6" t="s">
        <v>10886</v>
      </c>
      <c r="O408" s="16" t="n">
        <v>42562</v>
      </c>
      <c r="P408" s="6" t="s">
        <v>10910</v>
      </c>
      <c r="Q408" s="6" t="s">
        <v>81</v>
      </c>
      <c r="R408" s="6" t="s">
        <v>81</v>
      </c>
      <c r="S408" s="6" t="s">
        <v>10886</v>
      </c>
      <c r="T408" s="16" t="n">
        <v>42562</v>
      </c>
      <c r="U408" s="6" t="s">
        <v>13329</v>
      </c>
      <c r="V408" s="6" t="s">
        <v>81</v>
      </c>
      <c r="W408" s="6" t="s">
        <v>81</v>
      </c>
      <c r="X408" s="6" t="s">
        <v>81</v>
      </c>
      <c r="Y408" s="21" t="s">
        <v>81</v>
      </c>
      <c r="Z408" s="6" t="s">
        <v>81</v>
      </c>
      <c r="AA408" s="6" t="s">
        <v>81</v>
      </c>
      <c r="AB408" s="6" t="s">
        <v>81</v>
      </c>
      <c r="AC408" s="6" t="s">
        <v>81</v>
      </c>
      <c r="AD408" s="21" t="s">
        <v>81</v>
      </c>
      <c r="AE408" s="6" t="s">
        <v>81</v>
      </c>
      <c r="AF408" s="6" t="s">
        <v>81</v>
      </c>
      <c r="AG408" s="6" t="s">
        <v>81</v>
      </c>
      <c r="AH408" s="6" t="s">
        <v>15005</v>
      </c>
      <c r="AI408" s="6" t="s">
        <v>81</v>
      </c>
      <c r="AJ408" s="6" t="s">
        <v>17519</v>
      </c>
      <c r="AK408" s="6" t="s">
        <v>17712</v>
      </c>
      <c r="AL408" s="6" t="s">
        <v>18444</v>
      </c>
      <c r="AM408" s="6" t="s">
        <v>18684</v>
      </c>
      <c r="AN408" s="6" t="s">
        <v>19653</v>
      </c>
      <c r="AO408" s="6" t="s">
        <v>19744</v>
      </c>
      <c r="AP408" s="6" t="s">
        <v>15005</v>
      </c>
      <c r="AQ408" s="6" t="s">
        <v>81</v>
      </c>
      <c r="AR408" s="6" t="s">
        <v>17519</v>
      </c>
      <c r="AS408" s="6" t="s">
        <v>17712</v>
      </c>
      <c r="AT408" s="6" t="s">
        <v>18444</v>
      </c>
      <c r="AU408" s="6" t="s">
        <v>18684</v>
      </c>
      <c r="AV408" s="6" t="s">
        <v>81</v>
      </c>
      <c r="AW408" s="6" t="s">
        <v>81</v>
      </c>
      <c r="AX408" s="6" t="s">
        <v>81</v>
      </c>
      <c r="AY408" s="6" t="s">
        <v>22714</v>
      </c>
      <c r="AZ408" s="6" t="s">
        <v>81</v>
      </c>
      <c r="BA408" s="6" t="s">
        <v>81</v>
      </c>
      <c r="BB408" s="24" t="n">
        <v>93</v>
      </c>
      <c r="BC408" s="26"/>
      <c r="BD408" s="26"/>
      <c r="BE408" s="26"/>
      <c r="BF408" s="26"/>
      <c r="BG408" s="26"/>
      <c r="BH408" s="26"/>
      <c r="BI408" s="26"/>
      <c r="BJ408" s="26"/>
      <c r="BK408" s="26"/>
      <c r="BL408" s="26"/>
      <c r="BM408" s="26"/>
      <c r="BN408" s="26"/>
      <c r="BO408" s="26"/>
      <c r="BP408" s="16" t="n">
        <v>45699</v>
      </c>
      <c r="BQ408" s="28" t="str">
        <f>HYPERLINK("https://organic.ams.usda.gov/Integrity/Certificate.aspx?cid=68&amp;nopid=8210004584")</f>
        <v>https://organic.ams.usda.gov/Integrity/Certificate.aspx?cid=68&amp;nopid=8210004584</v>
      </c>
    </row>
    <row r="409">
      <c r="A409" t="s">
        <v>3</v>
      </c>
      <c r="B409" s="6" t="s">
        <v>30</v>
      </c>
      <c r="C409" s="6" t="s">
        <v>77</v>
      </c>
      <c r="D409" s="6" t="s">
        <v>123</v>
      </c>
      <c r="E409" s="10" t="s">
        <v>550</v>
      </c>
      <c r="F409" s="6" t="s">
        <v>3285</v>
      </c>
      <c r="G409" s="6" t="s">
        <v>81</v>
      </c>
      <c r="H409" s="6" t="s">
        <v>6257</v>
      </c>
      <c r="I409" s="6" t="s">
        <v>8649</v>
      </c>
      <c r="J409" s="6" t="s">
        <v>9677</v>
      </c>
      <c r="K409" s="6" t="s">
        <v>10886</v>
      </c>
      <c r="L409" s="16" t="n">
        <v>42335</v>
      </c>
      <c r="M409" s="16" t="n">
        <v>45747</v>
      </c>
      <c r="N409" s="6" t="s">
        <v>10886</v>
      </c>
      <c r="O409" s="16" t="n">
        <v>42335</v>
      </c>
      <c r="P409" s="6" t="s">
        <v>11154</v>
      </c>
      <c r="Q409" s="6" t="s">
        <v>81</v>
      </c>
      <c r="R409" s="6" t="s">
        <v>12532</v>
      </c>
      <c r="S409" s="6" t="s">
        <v>10886</v>
      </c>
      <c r="T409" s="16" t="n">
        <v>42335</v>
      </c>
      <c r="U409" s="6" t="s">
        <v>13216</v>
      </c>
      <c r="V409" s="6" t="s">
        <v>81</v>
      </c>
      <c r="W409" s="6" t="s">
        <v>6257</v>
      </c>
      <c r="X409" s="6" t="s">
        <v>81</v>
      </c>
      <c r="Y409" s="21" t="s">
        <v>81</v>
      </c>
      <c r="Z409" s="6" t="s">
        <v>81</v>
      </c>
      <c r="AA409" s="6" t="s">
        <v>81</v>
      </c>
      <c r="AB409" s="6" t="s">
        <v>81</v>
      </c>
      <c r="AC409" s="6" t="s">
        <v>81</v>
      </c>
      <c r="AD409" s="21" t="s">
        <v>81</v>
      </c>
      <c r="AE409" s="6" t="s">
        <v>81</v>
      </c>
      <c r="AF409" s="6" t="s">
        <v>81</v>
      </c>
      <c r="AG409" s="6" t="s">
        <v>81</v>
      </c>
      <c r="AH409" s="6" t="s">
        <v>15006</v>
      </c>
      <c r="AI409" s="6" t="s">
        <v>81</v>
      </c>
      <c r="AJ409" s="6" t="s">
        <v>17584</v>
      </c>
      <c r="AK409" s="6" t="s">
        <v>17712</v>
      </c>
      <c r="AL409" s="6" t="s">
        <v>18444</v>
      </c>
      <c r="AM409" s="6" t="s">
        <v>18747</v>
      </c>
      <c r="AN409" s="6" t="s">
        <v>19669</v>
      </c>
      <c r="AO409" s="6" t="s">
        <v>19790</v>
      </c>
      <c r="AP409" s="6" t="s">
        <v>15006</v>
      </c>
      <c r="AQ409" s="6" t="s">
        <v>81</v>
      </c>
      <c r="AR409" s="6" t="s">
        <v>17584</v>
      </c>
      <c r="AS409" s="6" t="s">
        <v>17712</v>
      </c>
      <c r="AT409" s="6" t="s">
        <v>18444</v>
      </c>
      <c r="AU409" s="6" t="s">
        <v>18747</v>
      </c>
      <c r="AV409" s="6" t="s">
        <v>81</v>
      </c>
      <c r="AW409" s="6" t="s">
        <v>81</v>
      </c>
      <c r="AX409" s="6" t="s">
        <v>81</v>
      </c>
      <c r="AY409" s="6" t="s">
        <v>81</v>
      </c>
      <c r="AZ409" s="6" t="s">
        <v>81</v>
      </c>
      <c r="BA409" s="6" t="s">
        <v>81</v>
      </c>
      <c r="BB409" s="24" t="n">
        <v>356</v>
      </c>
      <c r="BC409" s="26"/>
      <c r="BD409" s="26"/>
      <c r="BE409" s="26"/>
      <c r="BF409" s="26"/>
      <c r="BG409" s="26"/>
      <c r="BH409" s="26"/>
      <c r="BI409" s="26"/>
      <c r="BJ409" s="26"/>
      <c r="BK409" s="26"/>
      <c r="BL409" s="26"/>
      <c r="BM409" s="26"/>
      <c r="BN409" s="26"/>
      <c r="BO409" s="26"/>
      <c r="BP409" s="16" t="n">
        <v>45559</v>
      </c>
      <c r="BQ409" s="28" t="str">
        <f>HYPERLINK("https://organic.ams.usda.gov/Integrity/Certificate.aspx?cid=70&amp;nopid=6431592200")</f>
        <v>https://organic.ams.usda.gov/Integrity/Certificate.aspx?cid=70&amp;nopid=6431592200</v>
      </c>
    </row>
    <row r="410">
      <c r="A410" t="s">
        <v>3</v>
      </c>
      <c r="B410" s="6" t="s">
        <v>7</v>
      </c>
      <c r="C410" s="6" t="s">
        <v>54</v>
      </c>
      <c r="D410" s="6" t="s">
        <v>100</v>
      </c>
      <c r="E410" s="10" t="s">
        <v>551</v>
      </c>
      <c r="F410" s="6" t="s">
        <v>3286</v>
      </c>
      <c r="G410" s="6" t="s">
        <v>81</v>
      </c>
      <c r="H410" s="6" t="s">
        <v>6258</v>
      </c>
      <c r="I410" s="6" t="s">
        <v>8602</v>
      </c>
      <c r="J410" s="6" t="s">
        <v>9896</v>
      </c>
      <c r="K410" s="6" t="s">
        <v>10886</v>
      </c>
      <c r="L410" s="16" t="n">
        <v>39377</v>
      </c>
      <c r="M410" s="16" t="n">
        <v>45716</v>
      </c>
      <c r="N410" s="6" t="s">
        <v>10886</v>
      </c>
      <c r="O410" s="16" t="n">
        <v>39377</v>
      </c>
      <c r="P410" s="6" t="s">
        <v>10910</v>
      </c>
      <c r="Q410" s="6" t="s">
        <v>81</v>
      </c>
      <c r="R410" s="6" t="s">
        <v>81</v>
      </c>
      <c r="S410" s="6" t="s">
        <v>10886</v>
      </c>
      <c r="T410" s="16" t="n">
        <v>39377</v>
      </c>
      <c r="U410" s="6" t="s">
        <v>13169</v>
      </c>
      <c r="V410" s="6" t="s">
        <v>81</v>
      </c>
      <c r="W410" s="6" t="s">
        <v>81</v>
      </c>
      <c r="X410" s="6" t="s">
        <v>81</v>
      </c>
      <c r="Y410" s="21" t="s">
        <v>81</v>
      </c>
      <c r="Z410" s="6" t="s">
        <v>81</v>
      </c>
      <c r="AA410" s="6" t="s">
        <v>81</v>
      </c>
      <c r="AB410" s="6" t="s">
        <v>81</v>
      </c>
      <c r="AC410" s="6" t="s">
        <v>81</v>
      </c>
      <c r="AD410" s="21" t="s">
        <v>81</v>
      </c>
      <c r="AE410" s="6" t="s">
        <v>81</v>
      </c>
      <c r="AF410" s="6" t="s">
        <v>81</v>
      </c>
      <c r="AG410" s="6" t="s">
        <v>81</v>
      </c>
      <c r="AH410" s="6" t="s">
        <v>15007</v>
      </c>
      <c r="AI410" s="6" t="s">
        <v>81</v>
      </c>
      <c r="AJ410" s="6" t="s">
        <v>17585</v>
      </c>
      <c r="AK410" s="6" t="s">
        <v>17712</v>
      </c>
      <c r="AL410" s="6" t="s">
        <v>18444</v>
      </c>
      <c r="AM410" s="6" t="s">
        <v>18748</v>
      </c>
      <c r="AN410" s="6" t="s">
        <v>19647</v>
      </c>
      <c r="AO410" s="6" t="s">
        <v>19865</v>
      </c>
      <c r="AP410" s="6" t="s">
        <v>20148</v>
      </c>
      <c r="AQ410" s="6" t="s">
        <v>81</v>
      </c>
      <c r="AR410" s="6" t="s">
        <v>17585</v>
      </c>
      <c r="AS410" s="6" t="s">
        <v>17712</v>
      </c>
      <c r="AT410" s="6" t="s">
        <v>18444</v>
      </c>
      <c r="AU410" s="6" t="s">
        <v>18748</v>
      </c>
      <c r="AV410" s="6" t="s">
        <v>81</v>
      </c>
      <c r="AW410" s="6" t="s">
        <v>81</v>
      </c>
      <c r="AX410" s="6" t="s">
        <v>21006</v>
      </c>
      <c r="AY410" s="6" t="s">
        <v>81</v>
      </c>
      <c r="AZ410" s="6" t="s">
        <v>81</v>
      </c>
      <c r="BA410" s="6" t="s">
        <v>81</v>
      </c>
      <c r="BB410" s="24" t="n">
        <v>705</v>
      </c>
      <c r="BC410" s="26"/>
      <c r="BD410" s="26"/>
      <c r="BE410" s="26"/>
      <c r="BF410" s="26"/>
      <c r="BG410" s="26"/>
      <c r="BH410" s="26"/>
      <c r="BI410" s="26"/>
      <c r="BJ410" s="26"/>
      <c r="BK410" s="26"/>
      <c r="BL410" s="26"/>
      <c r="BM410" s="26"/>
      <c r="BN410" s="26"/>
      <c r="BO410" s="26"/>
      <c r="BP410" s="16" t="n">
        <v>45595</v>
      </c>
      <c r="BQ410" s="28" t="str">
        <f>HYPERLINK("https://organic.ams.usda.gov/Integrity/Certificate.aspx?cid=57&amp;nopid=3252006162")</f>
        <v>https://organic.ams.usda.gov/Integrity/Certificate.aspx?cid=57&amp;nopid=3252006162</v>
      </c>
    </row>
    <row r="411">
      <c r="A411" t="s">
        <v>3</v>
      </c>
      <c r="B411" s="6" t="s">
        <v>19</v>
      </c>
      <c r="C411" s="6" t="s">
        <v>66</v>
      </c>
      <c r="D411" s="6" t="s">
        <v>112</v>
      </c>
      <c r="E411" s="10" t="s">
        <v>552</v>
      </c>
      <c r="F411" s="6" t="s">
        <v>3287</v>
      </c>
      <c r="G411" s="6" t="s">
        <v>81</v>
      </c>
      <c r="H411" s="6" t="s">
        <v>6259</v>
      </c>
      <c r="I411" s="6" t="s">
        <v>81</v>
      </c>
      <c r="J411" s="6" t="s">
        <v>9897</v>
      </c>
      <c r="K411" s="6" t="s">
        <v>10886</v>
      </c>
      <c r="L411" s="16" t="n">
        <v>44207</v>
      </c>
      <c r="M411" s="16" t="n">
        <v>46054</v>
      </c>
      <c r="N411" s="6" t="s">
        <v>10886</v>
      </c>
      <c r="O411" s="16" t="n">
        <v>44207</v>
      </c>
      <c r="P411" s="6" t="s">
        <v>11155</v>
      </c>
      <c r="Q411" s="6" t="s">
        <v>81</v>
      </c>
      <c r="R411" s="6" t="s">
        <v>81</v>
      </c>
      <c r="S411" s="6" t="s">
        <v>10886</v>
      </c>
      <c r="T411" s="16" t="n">
        <v>44207</v>
      </c>
      <c r="U411" s="6" t="s">
        <v>13330</v>
      </c>
      <c r="V411" s="6" t="s">
        <v>81</v>
      </c>
      <c r="W411" s="6" t="s">
        <v>81</v>
      </c>
      <c r="X411" s="6" t="s">
        <v>81</v>
      </c>
      <c r="Y411" s="21" t="s">
        <v>81</v>
      </c>
      <c r="Z411" s="6" t="s">
        <v>81</v>
      </c>
      <c r="AA411" s="6" t="s">
        <v>81</v>
      </c>
      <c r="AB411" s="6" t="s">
        <v>81</v>
      </c>
      <c r="AC411" s="6" t="s">
        <v>10886</v>
      </c>
      <c r="AD411" s="16" t="n">
        <v>44207</v>
      </c>
      <c r="AE411" s="6" t="s">
        <v>14066</v>
      </c>
      <c r="AF411" s="6" t="s">
        <v>81</v>
      </c>
      <c r="AG411" s="6" t="s">
        <v>81</v>
      </c>
      <c r="AH411" s="6" t="s">
        <v>15008</v>
      </c>
      <c r="AI411" s="6" t="s">
        <v>81</v>
      </c>
      <c r="AJ411" s="6" t="s">
        <v>17586</v>
      </c>
      <c r="AK411" s="6" t="s">
        <v>17712</v>
      </c>
      <c r="AL411" s="6" t="s">
        <v>18444</v>
      </c>
      <c r="AM411" s="6" t="s">
        <v>18749</v>
      </c>
      <c r="AN411" s="6" t="s">
        <v>19646</v>
      </c>
      <c r="AO411" s="6" t="s">
        <v>19729</v>
      </c>
      <c r="AP411" s="6" t="s">
        <v>81</v>
      </c>
      <c r="AQ411" s="6" t="s">
        <v>81</v>
      </c>
      <c r="AR411" s="6" t="s">
        <v>81</v>
      </c>
      <c r="AS411" s="6" t="s">
        <v>81</v>
      </c>
      <c r="AT411" s="6" t="s">
        <v>81</v>
      </c>
      <c r="AU411" s="6" t="s">
        <v>81</v>
      </c>
      <c r="AV411" s="6" t="s">
        <v>81</v>
      </c>
      <c r="AW411" s="6" t="s">
        <v>81</v>
      </c>
      <c r="AX411" s="6" t="s">
        <v>21007</v>
      </c>
      <c r="AY411" s="6" t="s">
        <v>22715</v>
      </c>
      <c r="AZ411" s="6" t="s">
        <v>81</v>
      </c>
      <c r="BA411" s="6" t="s">
        <v>81</v>
      </c>
      <c r="BB411" s="24" t="n">
        <v>825</v>
      </c>
      <c r="BC411" s="26"/>
      <c r="BD411" s="26"/>
      <c r="BE411" s="26"/>
      <c r="BF411" s="26" t="s">
        <v>23900</v>
      </c>
      <c r="BG411" s="26"/>
      <c r="BH411" s="26"/>
      <c r="BI411" s="26"/>
      <c r="BJ411" s="26"/>
      <c r="BK411" s="26"/>
      <c r="BL411" s="26"/>
      <c r="BM411" s="26"/>
      <c r="BN411" s="26"/>
      <c r="BO411" s="26"/>
      <c r="BP411" s="16" t="n">
        <v>45691</v>
      </c>
      <c r="BQ411" s="28" t="str">
        <f>HYPERLINK("https://organic.ams.usda.gov/Integrity/Certificate.aspx?cid=24&amp;nopid=7889023100")</f>
        <v>https://organic.ams.usda.gov/Integrity/Certificate.aspx?cid=24&amp;nopid=7889023100</v>
      </c>
    </row>
    <row r="412">
      <c r="A412" t="s">
        <v>3</v>
      </c>
      <c r="B412" s="6" t="s">
        <v>7</v>
      </c>
      <c r="C412" s="6" t="s">
        <v>54</v>
      </c>
      <c r="D412" s="6" t="s">
        <v>100</v>
      </c>
      <c r="E412" s="10" t="s">
        <v>553</v>
      </c>
      <c r="F412" s="6" t="s">
        <v>3288</v>
      </c>
      <c r="G412" s="6" t="s">
        <v>81</v>
      </c>
      <c r="H412" s="6" t="s">
        <v>6260</v>
      </c>
      <c r="I412" s="6" t="s">
        <v>8451</v>
      </c>
      <c r="J412" s="6" t="s">
        <v>9898</v>
      </c>
      <c r="K412" s="6" t="s">
        <v>10886</v>
      </c>
      <c r="L412" s="16" t="n">
        <v>44705</v>
      </c>
      <c r="M412" s="16" t="n">
        <v>45716</v>
      </c>
      <c r="N412" s="6" t="s">
        <v>10886</v>
      </c>
      <c r="O412" s="16" t="n">
        <v>44705</v>
      </c>
      <c r="P412" s="6" t="s">
        <v>10910</v>
      </c>
      <c r="Q412" s="6" t="s">
        <v>81</v>
      </c>
      <c r="R412" s="6" t="s">
        <v>81</v>
      </c>
      <c r="S412" s="6" t="s">
        <v>10886</v>
      </c>
      <c r="T412" s="16" t="n">
        <v>45061</v>
      </c>
      <c r="U412" s="6" t="s">
        <v>13160</v>
      </c>
      <c r="V412" s="6" t="s">
        <v>81</v>
      </c>
      <c r="W412" s="6" t="s">
        <v>81</v>
      </c>
      <c r="X412" s="6" t="s">
        <v>81</v>
      </c>
      <c r="Y412" s="21" t="s">
        <v>81</v>
      </c>
      <c r="Z412" s="6" t="s">
        <v>81</v>
      </c>
      <c r="AA412" s="6" t="s">
        <v>81</v>
      </c>
      <c r="AB412" s="6" t="s">
        <v>81</v>
      </c>
      <c r="AC412" s="6" t="s">
        <v>81</v>
      </c>
      <c r="AD412" s="21" t="s">
        <v>81</v>
      </c>
      <c r="AE412" s="6" t="s">
        <v>81</v>
      </c>
      <c r="AF412" s="6" t="s">
        <v>81</v>
      </c>
      <c r="AG412" s="6" t="s">
        <v>81</v>
      </c>
      <c r="AH412" s="6" t="s">
        <v>15009</v>
      </c>
      <c r="AI412" s="6" t="s">
        <v>81</v>
      </c>
      <c r="AJ412" s="6" t="s">
        <v>8918</v>
      </c>
      <c r="AK412" s="6" t="s">
        <v>17712</v>
      </c>
      <c r="AL412" s="6" t="s">
        <v>18444</v>
      </c>
      <c r="AM412" s="6" t="s">
        <v>18750</v>
      </c>
      <c r="AN412" s="6" t="s">
        <v>19696</v>
      </c>
      <c r="AO412" s="6" t="s">
        <v>19791</v>
      </c>
      <c r="AP412" s="6" t="s">
        <v>20149</v>
      </c>
      <c r="AQ412" s="6" t="s">
        <v>81</v>
      </c>
      <c r="AR412" s="6" t="s">
        <v>20510</v>
      </c>
      <c r="AS412" s="6" t="s">
        <v>17712</v>
      </c>
      <c r="AT412" s="6" t="s">
        <v>18444</v>
      </c>
      <c r="AU412" s="6" t="s">
        <v>20620</v>
      </c>
      <c r="AV412" s="6" t="s">
        <v>81</v>
      </c>
      <c r="AW412" s="6" t="s">
        <v>81</v>
      </c>
      <c r="AX412" s="6" t="s">
        <v>21008</v>
      </c>
      <c r="AY412" s="6" t="s">
        <v>22716</v>
      </c>
      <c r="AZ412" s="6" t="s">
        <v>81</v>
      </c>
      <c r="BA412" s="6" t="s">
        <v>81</v>
      </c>
      <c r="BB412" s="24" t="n">
        <v>60</v>
      </c>
      <c r="BC412" s="26"/>
      <c r="BD412" s="26"/>
      <c r="BE412" s="26"/>
      <c r="BF412" s="26" t="s">
        <v>23900</v>
      </c>
      <c r="BG412" s="26"/>
      <c r="BH412" s="26"/>
      <c r="BI412" s="26"/>
      <c r="BJ412" s="26"/>
      <c r="BK412" s="26"/>
      <c r="BL412" s="26"/>
      <c r="BM412" s="26"/>
      <c r="BN412" s="26"/>
      <c r="BO412" s="26"/>
      <c r="BP412" s="16" t="n">
        <v>45695</v>
      </c>
      <c r="BQ412" s="28" t="str">
        <f>HYPERLINK("https://organic.ams.usda.gov/Integrity/Certificate.aspx?cid=57&amp;nopid=3252022063")</f>
        <v>https://organic.ams.usda.gov/Integrity/Certificate.aspx?cid=57&amp;nopid=3252022063</v>
      </c>
    </row>
    <row r="413">
      <c r="A413" t="s">
        <v>3</v>
      </c>
      <c r="B413" s="6" t="s">
        <v>9</v>
      </c>
      <c r="C413" s="6" t="s">
        <v>56</v>
      </c>
      <c r="D413" s="6" t="s">
        <v>102</v>
      </c>
      <c r="E413" s="10" t="s">
        <v>554</v>
      </c>
      <c r="F413" s="6" t="s">
        <v>3289</v>
      </c>
      <c r="G413" s="6" t="s">
        <v>81</v>
      </c>
      <c r="H413" s="6" t="s">
        <v>6261</v>
      </c>
      <c r="I413" s="6" t="s">
        <v>8650</v>
      </c>
      <c r="J413" s="6" t="s">
        <v>9899</v>
      </c>
      <c r="K413" s="6" t="s">
        <v>10886</v>
      </c>
      <c r="L413" s="16" t="n">
        <v>42280</v>
      </c>
      <c r="M413" s="16" t="n">
        <v>45748</v>
      </c>
      <c r="N413" s="6" t="s">
        <v>10886</v>
      </c>
      <c r="O413" s="16" t="n">
        <v>42280</v>
      </c>
      <c r="P413" s="6" t="s">
        <v>11001</v>
      </c>
      <c r="Q413" s="6" t="s">
        <v>81</v>
      </c>
      <c r="R413" s="6" t="s">
        <v>12533</v>
      </c>
      <c r="S413" s="6" t="s">
        <v>10886</v>
      </c>
      <c r="T413" s="16" t="n">
        <v>42280</v>
      </c>
      <c r="U413" s="6" t="s">
        <v>13162</v>
      </c>
      <c r="V413" s="6" t="s">
        <v>81</v>
      </c>
      <c r="W413" s="6" t="s">
        <v>12533</v>
      </c>
      <c r="X413" s="6" t="s">
        <v>81</v>
      </c>
      <c r="Y413" s="21" t="s">
        <v>81</v>
      </c>
      <c r="Z413" s="6" t="s">
        <v>81</v>
      </c>
      <c r="AA413" s="6" t="s">
        <v>81</v>
      </c>
      <c r="AB413" s="6" t="s">
        <v>81</v>
      </c>
      <c r="AC413" s="6" t="s">
        <v>81</v>
      </c>
      <c r="AD413" s="21" t="s">
        <v>81</v>
      </c>
      <c r="AE413" s="6" t="s">
        <v>81</v>
      </c>
      <c r="AF413" s="6" t="s">
        <v>81</v>
      </c>
      <c r="AG413" s="6" t="s">
        <v>81</v>
      </c>
      <c r="AH413" s="6" t="s">
        <v>15010</v>
      </c>
      <c r="AI413" s="6" t="s">
        <v>81</v>
      </c>
      <c r="AJ413" s="6" t="s">
        <v>17315</v>
      </c>
      <c r="AK413" s="6" t="s">
        <v>18379</v>
      </c>
      <c r="AL413" s="6" t="s">
        <v>18444</v>
      </c>
      <c r="AM413" s="6" t="s">
        <v>18467</v>
      </c>
      <c r="AN413" s="6" t="s">
        <v>19637</v>
      </c>
      <c r="AO413" s="6" t="s">
        <v>19723</v>
      </c>
      <c r="AP413" s="6" t="s">
        <v>81</v>
      </c>
      <c r="AQ413" s="6" t="s">
        <v>81</v>
      </c>
      <c r="AR413" s="6" t="s">
        <v>81</v>
      </c>
      <c r="AS413" s="6" t="s">
        <v>81</v>
      </c>
      <c r="AT413" s="6" t="s">
        <v>81</v>
      </c>
      <c r="AU413" s="6" t="s">
        <v>81</v>
      </c>
      <c r="AV413" s="6" t="s">
        <v>81</v>
      </c>
      <c r="AW413" s="6" t="s">
        <v>81</v>
      </c>
      <c r="AX413" s="6" t="s">
        <v>81</v>
      </c>
      <c r="AY413" s="6" t="s">
        <v>81</v>
      </c>
      <c r="AZ413" s="6" t="s">
        <v>81</v>
      </c>
      <c r="BA413" s="6" t="s">
        <v>81</v>
      </c>
      <c r="BB413" s="24" t="n">
        <v>81</v>
      </c>
      <c r="BC413" s="26"/>
      <c r="BD413" s="26"/>
      <c r="BE413" s="26"/>
      <c r="BF413" s="26"/>
      <c r="BG413" s="26"/>
      <c r="BH413" s="26"/>
      <c r="BI413" s="26"/>
      <c r="BJ413" s="26"/>
      <c r="BK413" s="26"/>
      <c r="BL413" s="26"/>
      <c r="BM413" s="26"/>
      <c r="BN413" s="26"/>
      <c r="BO413" s="26"/>
      <c r="BP413" s="16" t="n">
        <v>45738</v>
      </c>
      <c r="BQ413" s="28" t="str">
        <f>HYPERLINK("https://organic.ams.usda.gov/Integrity/Certificate.aspx?cid=52&amp;nopid=8431501085")</f>
        <v>https://organic.ams.usda.gov/Integrity/Certificate.aspx?cid=52&amp;nopid=8431501085</v>
      </c>
    </row>
    <row r="414">
      <c r="A414" t="s">
        <v>3</v>
      </c>
      <c r="B414" s="6" t="s">
        <v>21</v>
      </c>
      <c r="C414" s="6" t="s">
        <v>68</v>
      </c>
      <c r="D414" s="6" t="s">
        <v>114</v>
      </c>
      <c r="E414" s="10" t="s">
        <v>555</v>
      </c>
      <c r="F414" s="6" t="s">
        <v>3290</v>
      </c>
      <c r="G414" s="6" t="s">
        <v>81</v>
      </c>
      <c r="H414" s="6" t="s">
        <v>6262</v>
      </c>
      <c r="I414" s="6" t="s">
        <v>8651</v>
      </c>
      <c r="J414" s="6" t="s">
        <v>8609</v>
      </c>
      <c r="K414" s="6" t="s">
        <v>10886</v>
      </c>
      <c r="L414" s="16" t="n">
        <v>37375</v>
      </c>
      <c r="M414" s="16" t="n">
        <v>46023</v>
      </c>
      <c r="N414" s="6" t="s">
        <v>81</v>
      </c>
      <c r="O414" s="21" t="s">
        <v>81</v>
      </c>
      <c r="P414" s="6" t="s">
        <v>81</v>
      </c>
      <c r="Q414" s="6" t="s">
        <v>81</v>
      </c>
      <c r="R414" s="6" t="s">
        <v>81</v>
      </c>
      <c r="S414" s="6" t="s">
        <v>81</v>
      </c>
      <c r="T414" s="21" t="s">
        <v>81</v>
      </c>
      <c r="U414" s="6" t="s">
        <v>81</v>
      </c>
      <c r="V414" s="6" t="s">
        <v>81</v>
      </c>
      <c r="W414" s="6" t="s">
        <v>81</v>
      </c>
      <c r="X414" s="6" t="s">
        <v>81</v>
      </c>
      <c r="Y414" s="21" t="s">
        <v>81</v>
      </c>
      <c r="Z414" s="6" t="s">
        <v>81</v>
      </c>
      <c r="AA414" s="6" t="s">
        <v>81</v>
      </c>
      <c r="AB414" s="6" t="s">
        <v>81</v>
      </c>
      <c r="AC414" s="6" t="s">
        <v>10886</v>
      </c>
      <c r="AD414" s="16" t="n">
        <v>37375</v>
      </c>
      <c r="AE414" s="6" t="s">
        <v>14092</v>
      </c>
      <c r="AF414" s="6" t="s">
        <v>81</v>
      </c>
      <c r="AG414" s="6" t="s">
        <v>81</v>
      </c>
      <c r="AH414" s="6" t="s">
        <v>81</v>
      </c>
      <c r="AI414" s="6" t="s">
        <v>81</v>
      </c>
      <c r="AJ414" s="6" t="s">
        <v>81</v>
      </c>
      <c r="AK414" s="6" t="s">
        <v>81</v>
      </c>
      <c r="AL414" s="6" t="s">
        <v>81</v>
      </c>
      <c r="AM414" s="6" t="s">
        <v>81</v>
      </c>
      <c r="AN414" s="6" t="s">
        <v>81</v>
      </c>
      <c r="AO414" s="6" t="s">
        <v>81</v>
      </c>
      <c r="AP414" s="6" t="s">
        <v>20150</v>
      </c>
      <c r="AQ414" s="6" t="s">
        <v>81</v>
      </c>
      <c r="AR414" s="6" t="s">
        <v>20511</v>
      </c>
      <c r="AS414" s="6" t="s">
        <v>18393</v>
      </c>
      <c r="AT414" s="6" t="s">
        <v>18444</v>
      </c>
      <c r="AU414" s="6" t="s">
        <v>20621</v>
      </c>
      <c r="AV414" s="6" t="s">
        <v>7195</v>
      </c>
      <c r="AW414" s="6" t="s">
        <v>19846</v>
      </c>
      <c r="AX414" s="6" t="s">
        <v>21009</v>
      </c>
      <c r="AY414" s="6" t="s">
        <v>22717</v>
      </c>
      <c r="AZ414" s="6" t="s">
        <v>81</v>
      </c>
      <c r="BA414" s="6" t="s">
        <v>81</v>
      </c>
      <c r="BB414" s="6" t="s">
        <v>81</v>
      </c>
      <c r="BC414" s="26"/>
      <c r="BD414" s="26"/>
      <c r="BE414" s="26" t="s">
        <v>23900</v>
      </c>
      <c r="BF414" s="26"/>
      <c r="BG414" s="26"/>
      <c r="BH414" s="26"/>
      <c r="BI414" s="26"/>
      <c r="BJ414" s="26"/>
      <c r="BK414" s="26"/>
      <c r="BL414" s="26"/>
      <c r="BM414" s="26"/>
      <c r="BN414" s="26"/>
      <c r="BO414" s="26"/>
      <c r="BP414" s="16" t="n">
        <v>45670</v>
      </c>
      <c r="BQ414" s="28" t="str">
        <f>HYPERLINK("https://organic.ams.usda.gov/Integrity/Certificate.aspx?cid=62&amp;nopid=8150000303")</f>
        <v>https://organic.ams.usda.gov/Integrity/Certificate.aspx?cid=62&amp;nopid=8150000303</v>
      </c>
    </row>
    <row r="415">
      <c r="A415" t="s">
        <v>3</v>
      </c>
      <c r="B415" s="6" t="s">
        <v>9</v>
      </c>
      <c r="C415" s="6" t="s">
        <v>56</v>
      </c>
      <c r="D415" s="6" t="s">
        <v>102</v>
      </c>
      <c r="E415" s="10" t="s">
        <v>556</v>
      </c>
      <c r="F415" s="6" t="s">
        <v>3291</v>
      </c>
      <c r="G415" s="6" t="s">
        <v>81</v>
      </c>
      <c r="H415" s="6" t="s">
        <v>6263</v>
      </c>
      <c r="I415" s="6" t="s">
        <v>8652</v>
      </c>
      <c r="J415" s="6" t="s">
        <v>8887</v>
      </c>
      <c r="K415" s="6" t="s">
        <v>10886</v>
      </c>
      <c r="L415" s="16" t="n">
        <v>45695</v>
      </c>
      <c r="M415" s="16" t="n">
        <v>45748</v>
      </c>
      <c r="N415" s="6" t="s">
        <v>10886</v>
      </c>
      <c r="O415" s="16" t="n">
        <v>45695</v>
      </c>
      <c r="P415" s="6" t="s">
        <v>11156</v>
      </c>
      <c r="Q415" s="6" t="s">
        <v>81</v>
      </c>
      <c r="R415" s="6" t="s">
        <v>12534</v>
      </c>
      <c r="S415" s="6" t="s">
        <v>10886</v>
      </c>
      <c r="T415" s="16" t="n">
        <v>45695</v>
      </c>
      <c r="U415" s="6" t="s">
        <v>13227</v>
      </c>
      <c r="V415" s="6" t="s">
        <v>81</v>
      </c>
      <c r="W415" s="6" t="s">
        <v>12534</v>
      </c>
      <c r="X415" s="6" t="s">
        <v>81</v>
      </c>
      <c r="Y415" s="21" t="s">
        <v>81</v>
      </c>
      <c r="Z415" s="6" t="s">
        <v>81</v>
      </c>
      <c r="AA415" s="6" t="s">
        <v>81</v>
      </c>
      <c r="AB415" s="6" t="s">
        <v>81</v>
      </c>
      <c r="AC415" s="6" t="s">
        <v>81</v>
      </c>
      <c r="AD415" s="21" t="s">
        <v>81</v>
      </c>
      <c r="AE415" s="6" t="s">
        <v>81</v>
      </c>
      <c r="AF415" s="6" t="s">
        <v>81</v>
      </c>
      <c r="AG415" s="6" t="s">
        <v>81</v>
      </c>
      <c r="AH415" s="6" t="s">
        <v>15011</v>
      </c>
      <c r="AI415" s="6" t="s">
        <v>81</v>
      </c>
      <c r="AJ415" s="6" t="s">
        <v>17587</v>
      </c>
      <c r="AK415" s="6" t="s">
        <v>18381</v>
      </c>
      <c r="AL415" s="6" t="s">
        <v>18444</v>
      </c>
      <c r="AM415" s="6" t="s">
        <v>18751</v>
      </c>
      <c r="AN415" s="6" t="s">
        <v>7595</v>
      </c>
      <c r="AO415" s="6" t="s">
        <v>19866</v>
      </c>
      <c r="AP415" s="6" t="s">
        <v>81</v>
      </c>
      <c r="AQ415" s="6" t="s">
        <v>81</v>
      </c>
      <c r="AR415" s="6" t="s">
        <v>81</v>
      </c>
      <c r="AS415" s="6" t="s">
        <v>81</v>
      </c>
      <c r="AT415" s="6" t="s">
        <v>81</v>
      </c>
      <c r="AU415" s="6" t="s">
        <v>81</v>
      </c>
      <c r="AV415" s="6" t="s">
        <v>81</v>
      </c>
      <c r="AW415" s="6" t="s">
        <v>81</v>
      </c>
      <c r="AX415" s="6" t="s">
        <v>21010</v>
      </c>
      <c r="AY415" s="6" t="s">
        <v>22718</v>
      </c>
      <c r="AZ415" s="6" t="s">
        <v>81</v>
      </c>
      <c r="BA415" s="6" t="s">
        <v>81</v>
      </c>
      <c r="BB415" s="24" t="n">
        <v>445</v>
      </c>
      <c r="BC415" s="26"/>
      <c r="BD415" s="26"/>
      <c r="BE415" s="26"/>
      <c r="BF415" s="26"/>
      <c r="BG415" s="26"/>
      <c r="BH415" s="26"/>
      <c r="BI415" s="26"/>
      <c r="BJ415" s="26"/>
      <c r="BK415" s="26"/>
      <c r="BL415" s="26"/>
      <c r="BM415" s="26"/>
      <c r="BN415" s="26"/>
      <c r="BO415" s="26"/>
      <c r="BP415" s="16" t="n">
        <v>45700</v>
      </c>
      <c r="BQ415" s="28" t="str">
        <f>HYPERLINK("https://organic.ams.usda.gov/Integrity/Certificate.aspx?cid=52&amp;nopid=8431200399")</f>
        <v>https://organic.ams.usda.gov/Integrity/Certificate.aspx?cid=52&amp;nopid=8431200399</v>
      </c>
    </row>
    <row r="416">
      <c r="A416" t="s">
        <v>3</v>
      </c>
      <c r="B416" s="6" t="s">
        <v>10</v>
      </c>
      <c r="C416" s="6" t="s">
        <v>57</v>
      </c>
      <c r="D416" s="6" t="s">
        <v>103</v>
      </c>
      <c r="E416" s="10" t="s">
        <v>557</v>
      </c>
      <c r="F416" s="6" t="s">
        <v>3292</v>
      </c>
      <c r="G416" s="6" t="s">
        <v>81</v>
      </c>
      <c r="H416" s="6" t="s">
        <v>6264</v>
      </c>
      <c r="I416" s="6" t="s">
        <v>8653</v>
      </c>
      <c r="J416" s="6" t="s">
        <v>9665</v>
      </c>
      <c r="K416" s="6" t="s">
        <v>10886</v>
      </c>
      <c r="L416" s="16" t="n">
        <v>41858</v>
      </c>
      <c r="M416" s="16" t="n">
        <v>45748</v>
      </c>
      <c r="N416" s="6" t="s">
        <v>10886</v>
      </c>
      <c r="O416" s="16" t="n">
        <v>41858</v>
      </c>
      <c r="P416" s="6" t="s">
        <v>11006</v>
      </c>
      <c r="Q416" s="6" t="s">
        <v>81</v>
      </c>
      <c r="R416" s="6" t="s">
        <v>12535</v>
      </c>
      <c r="S416" s="6" t="s">
        <v>10886</v>
      </c>
      <c r="T416" s="16" t="n">
        <v>41858</v>
      </c>
      <c r="U416" s="6" t="s">
        <v>13164</v>
      </c>
      <c r="V416" s="6" t="s">
        <v>81</v>
      </c>
      <c r="W416" s="6" t="s">
        <v>81</v>
      </c>
      <c r="X416" s="6" t="s">
        <v>81</v>
      </c>
      <c r="Y416" s="21" t="s">
        <v>81</v>
      </c>
      <c r="Z416" s="6" t="s">
        <v>81</v>
      </c>
      <c r="AA416" s="6" t="s">
        <v>81</v>
      </c>
      <c r="AB416" s="6" t="s">
        <v>81</v>
      </c>
      <c r="AC416" s="6" t="s">
        <v>81</v>
      </c>
      <c r="AD416" s="21" t="s">
        <v>81</v>
      </c>
      <c r="AE416" s="6" t="s">
        <v>81</v>
      </c>
      <c r="AF416" s="6" t="s">
        <v>81</v>
      </c>
      <c r="AG416" s="6" t="s">
        <v>81</v>
      </c>
      <c r="AH416" s="6" t="s">
        <v>15012</v>
      </c>
      <c r="AI416" s="6" t="s">
        <v>81</v>
      </c>
      <c r="AJ416" s="6" t="s">
        <v>17315</v>
      </c>
      <c r="AK416" s="6" t="s">
        <v>18379</v>
      </c>
      <c r="AL416" s="6" t="s">
        <v>18444</v>
      </c>
      <c r="AM416" s="6" t="s">
        <v>18467</v>
      </c>
      <c r="AN416" s="6" t="s">
        <v>19637</v>
      </c>
      <c r="AO416" s="6" t="s">
        <v>19723</v>
      </c>
      <c r="AP416" s="6" t="s">
        <v>15012</v>
      </c>
      <c r="AQ416" s="6" t="s">
        <v>81</v>
      </c>
      <c r="AR416" s="6" t="s">
        <v>17315</v>
      </c>
      <c r="AS416" s="6" t="s">
        <v>18379</v>
      </c>
      <c r="AT416" s="6" t="s">
        <v>18444</v>
      </c>
      <c r="AU416" s="6" t="s">
        <v>18467</v>
      </c>
      <c r="AV416" s="6" t="s">
        <v>81</v>
      </c>
      <c r="AW416" s="6" t="s">
        <v>81</v>
      </c>
      <c r="AX416" s="6" t="s">
        <v>21011</v>
      </c>
      <c r="AY416" s="6" t="s">
        <v>81</v>
      </c>
      <c r="AZ416" s="6" t="s">
        <v>81</v>
      </c>
      <c r="BA416" s="6" t="s">
        <v>81</v>
      </c>
      <c r="BB416" s="24" t="n">
        <v>129</v>
      </c>
      <c r="BC416" s="26"/>
      <c r="BD416" s="26"/>
      <c r="BE416" s="26"/>
      <c r="BF416" s="26"/>
      <c r="BG416" s="26"/>
      <c r="BH416" s="26"/>
      <c r="BI416" s="26"/>
      <c r="BJ416" s="26"/>
      <c r="BK416" s="26"/>
      <c r="BL416" s="26"/>
      <c r="BM416" s="26"/>
      <c r="BN416" s="26"/>
      <c r="BO416" s="26"/>
      <c r="BP416" s="16" t="n">
        <v>45730</v>
      </c>
      <c r="BQ416" s="28" t="str">
        <f>HYPERLINK("https://organic.ams.usda.gov/Integrity/Certificate.aspx?cid=90&amp;nopid=7170220556")</f>
        <v>https://organic.ams.usda.gov/Integrity/Certificate.aspx?cid=90&amp;nopid=7170220556</v>
      </c>
    </row>
    <row r="417">
      <c r="A417" t="s">
        <v>3</v>
      </c>
      <c r="B417" s="6" t="s">
        <v>6</v>
      </c>
      <c r="C417" s="6" t="s">
        <v>53</v>
      </c>
      <c r="D417" s="6" t="s">
        <v>99</v>
      </c>
      <c r="E417" s="10" t="s">
        <v>558</v>
      </c>
      <c r="F417" s="6" t="s">
        <v>3293</v>
      </c>
      <c r="G417" s="6" t="s">
        <v>81</v>
      </c>
      <c r="H417" s="6" t="s">
        <v>6265</v>
      </c>
      <c r="I417" s="6" t="s">
        <v>8654</v>
      </c>
      <c r="J417" s="6" t="s">
        <v>9900</v>
      </c>
      <c r="K417" s="6" t="s">
        <v>10886</v>
      </c>
      <c r="L417" s="16" t="n">
        <v>45505</v>
      </c>
      <c r="M417" s="16" t="n">
        <v>45819</v>
      </c>
      <c r="N417" s="6" t="s">
        <v>81</v>
      </c>
      <c r="O417" s="21" t="s">
        <v>81</v>
      </c>
      <c r="P417" s="6" t="s">
        <v>81</v>
      </c>
      <c r="Q417" s="6" t="s">
        <v>81</v>
      </c>
      <c r="R417" s="6" t="s">
        <v>81</v>
      </c>
      <c r="S417" s="6" t="s">
        <v>81</v>
      </c>
      <c r="T417" s="21" t="s">
        <v>81</v>
      </c>
      <c r="U417" s="6" t="s">
        <v>81</v>
      </c>
      <c r="V417" s="6" t="s">
        <v>81</v>
      </c>
      <c r="W417" s="6" t="s">
        <v>81</v>
      </c>
      <c r="X417" s="6" t="s">
        <v>81</v>
      </c>
      <c r="Y417" s="21" t="s">
        <v>81</v>
      </c>
      <c r="Z417" s="6" t="s">
        <v>81</v>
      </c>
      <c r="AA417" s="6" t="s">
        <v>81</v>
      </c>
      <c r="AB417" s="6" t="s">
        <v>81</v>
      </c>
      <c r="AC417" s="6" t="s">
        <v>10886</v>
      </c>
      <c r="AD417" s="16" t="n">
        <v>45505</v>
      </c>
      <c r="AE417" s="6" t="s">
        <v>14093</v>
      </c>
      <c r="AF417" s="6" t="s">
        <v>81</v>
      </c>
      <c r="AG417" s="6" t="s">
        <v>14528</v>
      </c>
      <c r="AH417" s="6" t="s">
        <v>15013</v>
      </c>
      <c r="AI417" s="6" t="s">
        <v>81</v>
      </c>
      <c r="AJ417" s="6" t="s">
        <v>17588</v>
      </c>
      <c r="AK417" s="6" t="s">
        <v>18410</v>
      </c>
      <c r="AL417" s="6" t="s">
        <v>9834</v>
      </c>
      <c r="AM417" s="6" t="s">
        <v>18752</v>
      </c>
      <c r="AN417" s="6" t="s">
        <v>81</v>
      </c>
      <c r="AO417" s="6" t="s">
        <v>81</v>
      </c>
      <c r="AP417" s="6" t="s">
        <v>81</v>
      </c>
      <c r="AQ417" s="6" t="s">
        <v>81</v>
      </c>
      <c r="AR417" s="6" t="s">
        <v>81</v>
      </c>
      <c r="AS417" s="6" t="s">
        <v>81</v>
      </c>
      <c r="AT417" s="6" t="s">
        <v>81</v>
      </c>
      <c r="AU417" s="6" t="s">
        <v>81</v>
      </c>
      <c r="AV417" s="6" t="s">
        <v>81</v>
      </c>
      <c r="AW417" s="6" t="s">
        <v>81</v>
      </c>
      <c r="AX417" s="6" t="s">
        <v>21012</v>
      </c>
      <c r="AY417" s="6" t="s">
        <v>22719</v>
      </c>
      <c r="AZ417" s="6" t="s">
        <v>81</v>
      </c>
      <c r="BA417" s="6" t="s">
        <v>81</v>
      </c>
      <c r="BB417" s="6" t="s">
        <v>81</v>
      </c>
      <c r="BC417" s="26"/>
      <c r="BD417" s="26"/>
      <c r="BE417" s="26"/>
      <c r="BF417" s="26"/>
      <c r="BG417" s="26"/>
      <c r="BH417" s="26"/>
      <c r="BI417" s="26"/>
      <c r="BJ417" s="26"/>
      <c r="BK417" s="26"/>
      <c r="BL417" s="26"/>
      <c r="BM417" s="26"/>
      <c r="BN417" s="26"/>
      <c r="BO417" s="26"/>
      <c r="BP417" s="16" t="n">
        <v>45737</v>
      </c>
      <c r="BQ417" s="28" t="str">
        <f>HYPERLINK("https://organic.ams.usda.gov/Integrity/Certificate.aspx?cid=32&amp;nopid=2230011108")</f>
        <v>https://organic.ams.usda.gov/Integrity/Certificate.aspx?cid=32&amp;nopid=2230011108</v>
      </c>
    </row>
    <row r="418">
      <c r="A418" t="s">
        <v>3</v>
      </c>
      <c r="B418" s="6" t="s">
        <v>12</v>
      </c>
      <c r="C418" s="6" t="s">
        <v>59</v>
      </c>
      <c r="D418" s="6" t="s">
        <v>105</v>
      </c>
      <c r="E418" s="10" t="s">
        <v>559</v>
      </c>
      <c r="F418" s="6" t="s">
        <v>3294</v>
      </c>
      <c r="G418" s="6" t="s">
        <v>81</v>
      </c>
      <c r="H418" s="6" t="s">
        <v>6266</v>
      </c>
      <c r="I418" s="6" t="s">
        <v>8655</v>
      </c>
      <c r="J418" s="6" t="s">
        <v>9901</v>
      </c>
      <c r="K418" s="6" t="s">
        <v>10886</v>
      </c>
      <c r="L418" s="16" t="n">
        <v>39274</v>
      </c>
      <c r="M418" s="16" t="n">
        <v>45717</v>
      </c>
      <c r="N418" s="6" t="s">
        <v>10886</v>
      </c>
      <c r="O418" s="16" t="n">
        <v>39274</v>
      </c>
      <c r="P418" s="6" t="s">
        <v>11157</v>
      </c>
      <c r="Q418" s="6" t="s">
        <v>81</v>
      </c>
      <c r="R418" s="6" t="s">
        <v>81</v>
      </c>
      <c r="S418" s="6" t="s">
        <v>10886</v>
      </c>
      <c r="T418" s="16" t="n">
        <v>39274</v>
      </c>
      <c r="U418" s="6" t="s">
        <v>13309</v>
      </c>
      <c r="V418" s="6" t="s">
        <v>81</v>
      </c>
      <c r="W418" s="6" t="s">
        <v>81</v>
      </c>
      <c r="X418" s="6" t="s">
        <v>81</v>
      </c>
      <c r="Y418" s="21" t="s">
        <v>81</v>
      </c>
      <c r="Z418" s="6" t="s">
        <v>81</v>
      </c>
      <c r="AA418" s="6" t="s">
        <v>81</v>
      </c>
      <c r="AB418" s="6" t="s">
        <v>81</v>
      </c>
      <c r="AC418" s="6" t="s">
        <v>81</v>
      </c>
      <c r="AD418" s="21" t="s">
        <v>81</v>
      </c>
      <c r="AE418" s="6" t="s">
        <v>81</v>
      </c>
      <c r="AF418" s="6" t="s">
        <v>81</v>
      </c>
      <c r="AG418" s="6" t="s">
        <v>81</v>
      </c>
      <c r="AH418" s="6" t="s">
        <v>15014</v>
      </c>
      <c r="AI418" s="6" t="s">
        <v>81</v>
      </c>
      <c r="AJ418" s="6" t="s">
        <v>17589</v>
      </c>
      <c r="AK418" s="6" t="s">
        <v>18380</v>
      </c>
      <c r="AL418" s="6" t="s">
        <v>18444</v>
      </c>
      <c r="AM418" s="6" t="s">
        <v>18753</v>
      </c>
      <c r="AN418" s="6" t="s">
        <v>19683</v>
      </c>
      <c r="AO418" s="6" t="s">
        <v>19867</v>
      </c>
      <c r="AP418" s="6" t="s">
        <v>15014</v>
      </c>
      <c r="AQ418" s="6" t="s">
        <v>81</v>
      </c>
      <c r="AR418" s="6" t="s">
        <v>17589</v>
      </c>
      <c r="AS418" s="6" t="s">
        <v>18380</v>
      </c>
      <c r="AT418" s="6" t="s">
        <v>18444</v>
      </c>
      <c r="AU418" s="6" t="s">
        <v>18753</v>
      </c>
      <c r="AV418" s="6" t="s">
        <v>81</v>
      </c>
      <c r="AW418" s="6" t="s">
        <v>81</v>
      </c>
      <c r="AX418" s="6" t="s">
        <v>21013</v>
      </c>
      <c r="AY418" s="6" t="s">
        <v>22720</v>
      </c>
      <c r="AZ418" s="6" t="s">
        <v>81</v>
      </c>
      <c r="BA418" s="6" t="s">
        <v>81</v>
      </c>
      <c r="BB418" s="24" t="n">
        <v>210</v>
      </c>
      <c r="BC418" s="26"/>
      <c r="BD418" s="26"/>
      <c r="BE418" s="26"/>
      <c r="BF418" s="26"/>
      <c r="BG418" s="26"/>
      <c r="BH418" s="26"/>
      <c r="BI418" s="26"/>
      <c r="BJ418" s="26"/>
      <c r="BK418" s="26"/>
      <c r="BL418" s="26"/>
      <c r="BM418" s="26"/>
      <c r="BN418" s="26"/>
      <c r="BO418" s="26"/>
      <c r="BP418" s="16" t="n">
        <v>45712</v>
      </c>
      <c r="BQ418" s="28" t="str">
        <f>HYPERLINK("https://organic.ams.usda.gov/Integrity/Certificate.aspx?cid=68&amp;nopid=8210002226")</f>
        <v>https://organic.ams.usda.gov/Integrity/Certificate.aspx?cid=68&amp;nopid=8210002226</v>
      </c>
    </row>
    <row r="419">
      <c r="A419" t="s">
        <v>3</v>
      </c>
      <c r="B419" s="6" t="s">
        <v>8</v>
      </c>
      <c r="C419" s="6" t="s">
        <v>55</v>
      </c>
      <c r="D419" s="6" t="s">
        <v>101</v>
      </c>
      <c r="E419" s="10" t="s">
        <v>560</v>
      </c>
      <c r="F419" s="6" t="s">
        <v>3295</v>
      </c>
      <c r="G419" s="6" t="s">
        <v>81</v>
      </c>
      <c r="H419" s="6" t="s">
        <v>6267</v>
      </c>
      <c r="I419" s="6" t="s">
        <v>8656</v>
      </c>
      <c r="J419" s="6" t="s">
        <v>9759</v>
      </c>
      <c r="K419" s="6" t="s">
        <v>10886</v>
      </c>
      <c r="L419" s="16" t="n">
        <v>38603</v>
      </c>
      <c r="M419" s="16" t="n">
        <v>45689</v>
      </c>
      <c r="N419" s="6" t="s">
        <v>10886</v>
      </c>
      <c r="O419" s="16" t="n">
        <v>38603</v>
      </c>
      <c r="P419" s="6" t="s">
        <v>11158</v>
      </c>
      <c r="Q419" s="6" t="s">
        <v>81</v>
      </c>
      <c r="R419" s="6" t="s">
        <v>6267</v>
      </c>
      <c r="S419" s="6" t="s">
        <v>10886</v>
      </c>
      <c r="T419" s="16" t="n">
        <v>38603</v>
      </c>
      <c r="U419" s="6" t="s">
        <v>13331</v>
      </c>
      <c r="V419" s="6" t="s">
        <v>81</v>
      </c>
      <c r="W419" s="6" t="s">
        <v>6267</v>
      </c>
      <c r="X419" s="6" t="s">
        <v>81</v>
      </c>
      <c r="Y419" s="21" t="s">
        <v>81</v>
      </c>
      <c r="Z419" s="6" t="s">
        <v>81</v>
      </c>
      <c r="AA419" s="6" t="s">
        <v>81</v>
      </c>
      <c r="AB419" s="6" t="s">
        <v>81</v>
      </c>
      <c r="AC419" s="6" t="s">
        <v>81</v>
      </c>
      <c r="AD419" s="21" t="s">
        <v>81</v>
      </c>
      <c r="AE419" s="6" t="s">
        <v>81</v>
      </c>
      <c r="AF419" s="6" t="s">
        <v>81</v>
      </c>
      <c r="AG419" s="6" t="s">
        <v>81</v>
      </c>
      <c r="AH419" s="6" t="s">
        <v>15015</v>
      </c>
      <c r="AI419" s="6" t="s">
        <v>81</v>
      </c>
      <c r="AJ419" s="6" t="s">
        <v>17530</v>
      </c>
      <c r="AK419" s="6" t="s">
        <v>18377</v>
      </c>
      <c r="AL419" s="6" t="s">
        <v>18444</v>
      </c>
      <c r="AM419" s="6" t="s">
        <v>6414</v>
      </c>
      <c r="AN419" s="6" t="s">
        <v>19646</v>
      </c>
      <c r="AO419" s="6" t="s">
        <v>19733</v>
      </c>
      <c r="AP419" s="6" t="s">
        <v>81</v>
      </c>
      <c r="AQ419" s="6" t="s">
        <v>81</v>
      </c>
      <c r="AR419" s="6" t="s">
        <v>81</v>
      </c>
      <c r="AS419" s="6" t="s">
        <v>81</v>
      </c>
      <c r="AT419" s="6" t="s">
        <v>81</v>
      </c>
      <c r="AU419" s="6" t="s">
        <v>81</v>
      </c>
      <c r="AV419" s="6" t="s">
        <v>81</v>
      </c>
      <c r="AW419" s="6" t="s">
        <v>81</v>
      </c>
      <c r="AX419" s="6" t="s">
        <v>81</v>
      </c>
      <c r="AY419" s="6" t="s">
        <v>81</v>
      </c>
      <c r="AZ419" s="6" t="s">
        <v>81</v>
      </c>
      <c r="BA419" s="6" t="s">
        <v>23824</v>
      </c>
      <c r="BB419" s="24" t="n">
        <v>168</v>
      </c>
      <c r="BC419" s="26"/>
      <c r="BD419" s="26"/>
      <c r="BE419" s="26"/>
      <c r="BF419" s="26" t="s">
        <v>23900</v>
      </c>
      <c r="BG419" s="26"/>
      <c r="BH419" s="26"/>
      <c r="BI419" s="26"/>
      <c r="BJ419" s="26"/>
      <c r="BK419" s="26" t="s">
        <v>23900</v>
      </c>
      <c r="BL419" s="26"/>
      <c r="BM419" s="26"/>
      <c r="BN419" s="26"/>
      <c r="BO419" s="26"/>
      <c r="BP419" s="16" t="n">
        <v>45674</v>
      </c>
      <c r="BQ419" s="28" t="str">
        <f>HYPERLINK("https://organic.ams.usda.gov/Integrity/Certificate.aspx?cid=45&amp;nopid=9950001865")</f>
        <v>https://organic.ams.usda.gov/Integrity/Certificate.aspx?cid=45&amp;nopid=9950001865</v>
      </c>
    </row>
    <row r="420">
      <c r="A420" t="s">
        <v>3</v>
      </c>
      <c r="B420" s="6" t="s">
        <v>9</v>
      </c>
      <c r="C420" s="6" t="s">
        <v>56</v>
      </c>
      <c r="D420" s="6" t="s">
        <v>102</v>
      </c>
      <c r="E420" s="10" t="s">
        <v>561</v>
      </c>
      <c r="F420" s="6" t="s">
        <v>3296</v>
      </c>
      <c r="G420" s="6" t="s">
        <v>81</v>
      </c>
      <c r="H420" s="6" t="s">
        <v>6268</v>
      </c>
      <c r="I420" s="6" t="s">
        <v>8657</v>
      </c>
      <c r="J420" s="6" t="s">
        <v>9666</v>
      </c>
      <c r="K420" s="6" t="s">
        <v>10886</v>
      </c>
      <c r="L420" s="16" t="n">
        <v>43592</v>
      </c>
      <c r="M420" s="16" t="n">
        <v>46113</v>
      </c>
      <c r="N420" s="6" t="s">
        <v>10886</v>
      </c>
      <c r="O420" s="16" t="n">
        <v>43592</v>
      </c>
      <c r="P420" s="6" t="s">
        <v>10907</v>
      </c>
      <c r="Q420" s="6" t="s">
        <v>81</v>
      </c>
      <c r="R420" s="6" t="s">
        <v>12536</v>
      </c>
      <c r="S420" s="6" t="s">
        <v>10886</v>
      </c>
      <c r="T420" s="16" t="n">
        <v>43592</v>
      </c>
      <c r="U420" s="6" t="s">
        <v>13162</v>
      </c>
      <c r="V420" s="6" t="s">
        <v>81</v>
      </c>
      <c r="W420" s="6" t="s">
        <v>12536</v>
      </c>
      <c r="X420" s="6" t="s">
        <v>81</v>
      </c>
      <c r="Y420" s="21" t="s">
        <v>81</v>
      </c>
      <c r="Z420" s="6" t="s">
        <v>81</v>
      </c>
      <c r="AA420" s="6" t="s">
        <v>81</v>
      </c>
      <c r="AB420" s="6" t="s">
        <v>81</v>
      </c>
      <c r="AC420" s="6" t="s">
        <v>81</v>
      </c>
      <c r="AD420" s="21" t="s">
        <v>81</v>
      </c>
      <c r="AE420" s="6" t="s">
        <v>81</v>
      </c>
      <c r="AF420" s="6" t="s">
        <v>81</v>
      </c>
      <c r="AG420" s="6" t="s">
        <v>81</v>
      </c>
      <c r="AH420" s="6" t="s">
        <v>15016</v>
      </c>
      <c r="AI420" s="6" t="s">
        <v>81</v>
      </c>
      <c r="AJ420" s="6" t="s">
        <v>17324</v>
      </c>
      <c r="AK420" s="6" t="s">
        <v>18379</v>
      </c>
      <c r="AL420" s="6" t="s">
        <v>18444</v>
      </c>
      <c r="AM420" s="6" t="s">
        <v>18754</v>
      </c>
      <c r="AN420" s="6" t="s">
        <v>19637</v>
      </c>
      <c r="AO420" s="6" t="s">
        <v>19723</v>
      </c>
      <c r="AP420" s="6" t="s">
        <v>81</v>
      </c>
      <c r="AQ420" s="6" t="s">
        <v>81</v>
      </c>
      <c r="AR420" s="6" t="s">
        <v>81</v>
      </c>
      <c r="AS420" s="6" t="s">
        <v>81</v>
      </c>
      <c r="AT420" s="6" t="s">
        <v>81</v>
      </c>
      <c r="AU420" s="6" t="s">
        <v>81</v>
      </c>
      <c r="AV420" s="6" t="s">
        <v>81</v>
      </c>
      <c r="AW420" s="6" t="s">
        <v>81</v>
      </c>
      <c r="AX420" s="6" t="s">
        <v>21014</v>
      </c>
      <c r="AY420" s="6" t="s">
        <v>81</v>
      </c>
      <c r="AZ420" s="6" t="s">
        <v>81</v>
      </c>
      <c r="BA420" s="6" t="s">
        <v>81</v>
      </c>
      <c r="BB420" s="24" t="n">
        <v>94</v>
      </c>
      <c r="BC420" s="26"/>
      <c r="BD420" s="26"/>
      <c r="BE420" s="26"/>
      <c r="BF420" s="26"/>
      <c r="BG420" s="26"/>
      <c r="BH420" s="26"/>
      <c r="BI420" s="26"/>
      <c r="BJ420" s="26"/>
      <c r="BK420" s="26"/>
      <c r="BL420" s="26"/>
      <c r="BM420" s="26"/>
      <c r="BN420" s="26"/>
      <c r="BO420" s="26"/>
      <c r="BP420" s="16" t="n">
        <v>45738</v>
      </c>
      <c r="BQ420" s="28" t="str">
        <f>HYPERLINK("https://organic.ams.usda.gov/Integrity/Certificate.aspx?cid=52&amp;nopid=8431901592")</f>
        <v>https://organic.ams.usda.gov/Integrity/Certificate.aspx?cid=52&amp;nopid=8431901592</v>
      </c>
    </row>
    <row r="421">
      <c r="A421" t="s">
        <v>3</v>
      </c>
      <c r="B421" s="6" t="s">
        <v>19</v>
      </c>
      <c r="C421" s="6" t="s">
        <v>66</v>
      </c>
      <c r="D421" s="6" t="s">
        <v>112</v>
      </c>
      <c r="E421" s="10" t="s">
        <v>562</v>
      </c>
      <c r="F421" s="6" t="s">
        <v>3297</v>
      </c>
      <c r="G421" s="6" t="s">
        <v>81</v>
      </c>
      <c r="H421" s="6" t="s">
        <v>6269</v>
      </c>
      <c r="I421" s="6" t="s">
        <v>81</v>
      </c>
      <c r="J421" s="6" t="s">
        <v>9902</v>
      </c>
      <c r="K421" s="6" t="s">
        <v>10886</v>
      </c>
      <c r="L421" s="16" t="n">
        <v>44091</v>
      </c>
      <c r="M421" s="16" t="n">
        <v>46054</v>
      </c>
      <c r="N421" s="6" t="s">
        <v>10886</v>
      </c>
      <c r="O421" s="16" t="n">
        <v>44091</v>
      </c>
      <c r="P421" s="6" t="s">
        <v>11159</v>
      </c>
      <c r="Q421" s="6" t="s">
        <v>81</v>
      </c>
      <c r="R421" s="6" t="s">
        <v>81</v>
      </c>
      <c r="S421" s="6" t="s">
        <v>10886</v>
      </c>
      <c r="T421" s="16" t="n">
        <v>44091</v>
      </c>
      <c r="U421" s="6" t="s">
        <v>13332</v>
      </c>
      <c r="V421" s="6" t="s">
        <v>81</v>
      </c>
      <c r="W421" s="6" t="s">
        <v>81</v>
      </c>
      <c r="X421" s="6" t="s">
        <v>81</v>
      </c>
      <c r="Y421" s="21" t="s">
        <v>81</v>
      </c>
      <c r="Z421" s="6" t="s">
        <v>81</v>
      </c>
      <c r="AA421" s="6" t="s">
        <v>81</v>
      </c>
      <c r="AB421" s="6" t="s">
        <v>81</v>
      </c>
      <c r="AC421" s="6" t="s">
        <v>10886</v>
      </c>
      <c r="AD421" s="16" t="n">
        <v>44091</v>
      </c>
      <c r="AE421" s="6" t="s">
        <v>14066</v>
      </c>
      <c r="AF421" s="6" t="s">
        <v>81</v>
      </c>
      <c r="AG421" s="6" t="s">
        <v>81</v>
      </c>
      <c r="AH421" s="6" t="s">
        <v>15017</v>
      </c>
      <c r="AI421" s="6" t="s">
        <v>81</v>
      </c>
      <c r="AJ421" s="6" t="s">
        <v>17578</v>
      </c>
      <c r="AK421" s="6" t="s">
        <v>17712</v>
      </c>
      <c r="AL421" s="6" t="s">
        <v>18444</v>
      </c>
      <c r="AM421" s="6" t="s">
        <v>18742</v>
      </c>
      <c r="AN421" s="6" t="s">
        <v>19657</v>
      </c>
      <c r="AO421" s="6" t="s">
        <v>19751</v>
      </c>
      <c r="AP421" s="6" t="s">
        <v>81</v>
      </c>
      <c r="AQ421" s="6" t="s">
        <v>81</v>
      </c>
      <c r="AR421" s="6" t="s">
        <v>81</v>
      </c>
      <c r="AS421" s="6" t="s">
        <v>81</v>
      </c>
      <c r="AT421" s="6" t="s">
        <v>81</v>
      </c>
      <c r="AU421" s="6" t="s">
        <v>81</v>
      </c>
      <c r="AV421" s="6" t="s">
        <v>81</v>
      </c>
      <c r="AW421" s="6" t="s">
        <v>81</v>
      </c>
      <c r="AX421" s="6" t="s">
        <v>21015</v>
      </c>
      <c r="AY421" s="6" t="s">
        <v>81</v>
      </c>
      <c r="AZ421" s="6" t="s">
        <v>81</v>
      </c>
      <c r="BA421" s="6" t="s">
        <v>81</v>
      </c>
      <c r="BB421" s="24" t="n">
        <v>0</v>
      </c>
      <c r="BC421" s="26"/>
      <c r="BD421" s="26"/>
      <c r="BE421" s="26"/>
      <c r="BF421" s="26" t="s">
        <v>23900</v>
      </c>
      <c r="BG421" s="26"/>
      <c r="BH421" s="26"/>
      <c r="BI421" s="26"/>
      <c r="BJ421" s="26"/>
      <c r="BK421" s="26"/>
      <c r="BL421" s="26"/>
      <c r="BM421" s="26"/>
      <c r="BN421" s="26"/>
      <c r="BO421" s="26"/>
      <c r="BP421" s="16" t="n">
        <v>45690</v>
      </c>
      <c r="BQ421" s="28" t="str">
        <f>HYPERLINK("https://organic.ams.usda.gov/Integrity/Certificate.aspx?cid=24&amp;nopid=7880184173")</f>
        <v>https://organic.ams.usda.gov/Integrity/Certificate.aspx?cid=24&amp;nopid=7880184173</v>
      </c>
    </row>
    <row r="422">
      <c r="A422" t="s">
        <v>3</v>
      </c>
      <c r="B422" s="6" t="s">
        <v>6</v>
      </c>
      <c r="C422" s="6" t="s">
        <v>53</v>
      </c>
      <c r="D422" s="6" t="s">
        <v>99</v>
      </c>
      <c r="E422" s="10" t="s">
        <v>563</v>
      </c>
      <c r="F422" s="6" t="s">
        <v>3298</v>
      </c>
      <c r="G422" s="6" t="s">
        <v>81</v>
      </c>
      <c r="H422" s="6" t="s">
        <v>6270</v>
      </c>
      <c r="I422" s="6" t="s">
        <v>8658</v>
      </c>
      <c r="J422" s="6" t="s">
        <v>9903</v>
      </c>
      <c r="K422" s="6" t="s">
        <v>10886</v>
      </c>
      <c r="L422" s="16" t="n">
        <v>44525</v>
      </c>
      <c r="M422" s="16" t="n">
        <v>45728</v>
      </c>
      <c r="N422" s="6" t="s">
        <v>81</v>
      </c>
      <c r="O422" s="21" t="s">
        <v>81</v>
      </c>
      <c r="P422" s="6" t="s">
        <v>81</v>
      </c>
      <c r="Q422" s="6" t="s">
        <v>81</v>
      </c>
      <c r="R422" s="6" t="s">
        <v>81</v>
      </c>
      <c r="S422" s="6" t="s">
        <v>81</v>
      </c>
      <c r="T422" s="21" t="s">
        <v>81</v>
      </c>
      <c r="U422" s="6" t="s">
        <v>81</v>
      </c>
      <c r="V422" s="6" t="s">
        <v>81</v>
      </c>
      <c r="W422" s="6" t="s">
        <v>81</v>
      </c>
      <c r="X422" s="6" t="s">
        <v>81</v>
      </c>
      <c r="Y422" s="21" t="s">
        <v>81</v>
      </c>
      <c r="Z422" s="6" t="s">
        <v>81</v>
      </c>
      <c r="AA422" s="6" t="s">
        <v>81</v>
      </c>
      <c r="AB422" s="6" t="s">
        <v>81</v>
      </c>
      <c r="AC422" s="6" t="s">
        <v>10886</v>
      </c>
      <c r="AD422" s="16" t="n">
        <v>44525</v>
      </c>
      <c r="AE422" s="6" t="s">
        <v>14094</v>
      </c>
      <c r="AF422" s="6" t="s">
        <v>81</v>
      </c>
      <c r="AG422" s="6" t="s">
        <v>14529</v>
      </c>
      <c r="AH422" s="6" t="s">
        <v>15018</v>
      </c>
      <c r="AI422" s="6" t="s">
        <v>81</v>
      </c>
      <c r="AJ422" s="6" t="s">
        <v>17590</v>
      </c>
      <c r="AK422" s="6" t="s">
        <v>18411</v>
      </c>
      <c r="AL422" s="6" t="s">
        <v>9834</v>
      </c>
      <c r="AM422" s="6" t="s">
        <v>18755</v>
      </c>
      <c r="AN422" s="6" t="s">
        <v>81</v>
      </c>
      <c r="AO422" s="6" t="s">
        <v>81</v>
      </c>
      <c r="AP422" s="6" t="s">
        <v>81</v>
      </c>
      <c r="AQ422" s="6" t="s">
        <v>81</v>
      </c>
      <c r="AR422" s="6" t="s">
        <v>81</v>
      </c>
      <c r="AS422" s="6" t="s">
        <v>81</v>
      </c>
      <c r="AT422" s="6" t="s">
        <v>81</v>
      </c>
      <c r="AU422" s="6" t="s">
        <v>81</v>
      </c>
      <c r="AV422" s="6" t="s">
        <v>81</v>
      </c>
      <c r="AW422" s="6" t="s">
        <v>81</v>
      </c>
      <c r="AX422" s="6" t="s">
        <v>21016</v>
      </c>
      <c r="AY422" s="6" t="s">
        <v>22721</v>
      </c>
      <c r="AZ422" s="6" t="s">
        <v>81</v>
      </c>
      <c r="BA422" s="6" t="s">
        <v>81</v>
      </c>
      <c r="BB422" s="6" t="s">
        <v>81</v>
      </c>
      <c r="BC422" s="26"/>
      <c r="BD422" s="26"/>
      <c r="BE422" s="26"/>
      <c r="BF422" s="26"/>
      <c r="BG422" s="26"/>
      <c r="BH422" s="26"/>
      <c r="BI422" s="26"/>
      <c r="BJ422" s="26"/>
      <c r="BK422" s="26"/>
      <c r="BL422" s="26"/>
      <c r="BM422" s="26"/>
      <c r="BN422" s="26"/>
      <c r="BO422" s="26"/>
      <c r="BP422" s="16" t="n">
        <v>45737</v>
      </c>
      <c r="BQ422" s="28" t="str">
        <f>HYPERLINK("https://organic.ams.usda.gov/Integrity/Certificate.aspx?cid=32&amp;nopid=2230008872")</f>
        <v>https://organic.ams.usda.gov/Integrity/Certificate.aspx?cid=32&amp;nopid=2230008872</v>
      </c>
    </row>
    <row r="423">
      <c r="A423" t="s">
        <v>3</v>
      </c>
      <c r="B423" s="6" t="s">
        <v>12</v>
      </c>
      <c r="C423" s="6" t="s">
        <v>59</v>
      </c>
      <c r="D423" s="6" t="s">
        <v>105</v>
      </c>
      <c r="E423" s="10" t="s">
        <v>564</v>
      </c>
      <c r="F423" s="6" t="s">
        <v>3299</v>
      </c>
      <c r="G423" s="6" t="s">
        <v>81</v>
      </c>
      <c r="H423" s="6" t="s">
        <v>6271</v>
      </c>
      <c r="I423" s="6" t="s">
        <v>8659</v>
      </c>
      <c r="J423" s="6" t="s">
        <v>9904</v>
      </c>
      <c r="K423" s="6" t="s">
        <v>10886</v>
      </c>
      <c r="L423" s="16" t="n">
        <v>41031</v>
      </c>
      <c r="M423" s="16" t="n">
        <v>45717</v>
      </c>
      <c r="N423" s="6" t="s">
        <v>10886</v>
      </c>
      <c r="O423" s="16" t="n">
        <v>41031</v>
      </c>
      <c r="P423" s="6" t="s">
        <v>10910</v>
      </c>
      <c r="Q423" s="6" t="s">
        <v>81</v>
      </c>
      <c r="R423" s="6" t="s">
        <v>81</v>
      </c>
      <c r="S423" s="6" t="s">
        <v>10886</v>
      </c>
      <c r="T423" s="16" t="n">
        <v>41031</v>
      </c>
      <c r="U423" s="6" t="s">
        <v>13262</v>
      </c>
      <c r="V423" s="6" t="s">
        <v>81</v>
      </c>
      <c r="W423" s="6" t="s">
        <v>81</v>
      </c>
      <c r="X423" s="6" t="s">
        <v>81</v>
      </c>
      <c r="Y423" s="21" t="s">
        <v>81</v>
      </c>
      <c r="Z423" s="6" t="s">
        <v>81</v>
      </c>
      <c r="AA423" s="6" t="s">
        <v>81</v>
      </c>
      <c r="AB423" s="6" t="s">
        <v>81</v>
      </c>
      <c r="AC423" s="6" t="s">
        <v>81</v>
      </c>
      <c r="AD423" s="21" t="s">
        <v>81</v>
      </c>
      <c r="AE423" s="6" t="s">
        <v>81</v>
      </c>
      <c r="AF423" s="6" t="s">
        <v>81</v>
      </c>
      <c r="AG423" s="6" t="s">
        <v>81</v>
      </c>
      <c r="AH423" s="6" t="s">
        <v>15019</v>
      </c>
      <c r="AI423" s="6" t="s">
        <v>81</v>
      </c>
      <c r="AJ423" s="6" t="s">
        <v>17591</v>
      </c>
      <c r="AK423" s="6" t="s">
        <v>18380</v>
      </c>
      <c r="AL423" s="6" t="s">
        <v>18444</v>
      </c>
      <c r="AM423" s="6" t="s">
        <v>18756</v>
      </c>
      <c r="AN423" s="6" t="s">
        <v>6132</v>
      </c>
      <c r="AO423" s="6" t="s">
        <v>19751</v>
      </c>
      <c r="AP423" s="6" t="s">
        <v>15019</v>
      </c>
      <c r="AQ423" s="6" t="s">
        <v>81</v>
      </c>
      <c r="AR423" s="6" t="s">
        <v>17591</v>
      </c>
      <c r="AS423" s="6" t="s">
        <v>18380</v>
      </c>
      <c r="AT423" s="6" t="s">
        <v>18444</v>
      </c>
      <c r="AU423" s="6" t="s">
        <v>18756</v>
      </c>
      <c r="AV423" s="6" t="s">
        <v>81</v>
      </c>
      <c r="AW423" s="6" t="s">
        <v>81</v>
      </c>
      <c r="AX423" s="6" t="s">
        <v>21017</v>
      </c>
      <c r="AY423" s="6" t="s">
        <v>22722</v>
      </c>
      <c r="AZ423" s="6" t="s">
        <v>81</v>
      </c>
      <c r="BA423" s="6" t="s">
        <v>81</v>
      </c>
      <c r="BB423" s="24" t="n">
        <v>359</v>
      </c>
      <c r="BC423" s="26"/>
      <c r="BD423" s="26"/>
      <c r="BE423" s="26"/>
      <c r="BF423" s="26"/>
      <c r="BG423" s="26"/>
      <c r="BH423" s="26"/>
      <c r="BI423" s="26"/>
      <c r="BJ423" s="26"/>
      <c r="BK423" s="26"/>
      <c r="BL423" s="26"/>
      <c r="BM423" s="26"/>
      <c r="BN423" s="26"/>
      <c r="BO423" s="26"/>
      <c r="BP423" s="16" t="n">
        <v>45691</v>
      </c>
      <c r="BQ423" s="28" t="str">
        <f>HYPERLINK("https://organic.ams.usda.gov/Integrity/Certificate.aspx?cid=68&amp;nopid=8210001739")</f>
        <v>https://organic.ams.usda.gov/Integrity/Certificate.aspx?cid=68&amp;nopid=8210001739</v>
      </c>
    </row>
    <row r="424">
      <c r="A424" t="s">
        <v>3</v>
      </c>
      <c r="B424" s="6" t="s">
        <v>10</v>
      </c>
      <c r="C424" s="6" t="s">
        <v>57</v>
      </c>
      <c r="D424" s="6" t="s">
        <v>103</v>
      </c>
      <c r="E424" s="10" t="s">
        <v>565</v>
      </c>
      <c r="F424" s="6" t="s">
        <v>3300</v>
      </c>
      <c r="G424" s="6" t="s">
        <v>81</v>
      </c>
      <c r="H424" s="6" t="s">
        <v>6272</v>
      </c>
      <c r="I424" s="6" t="s">
        <v>8660</v>
      </c>
      <c r="J424" s="6" t="s">
        <v>9233</v>
      </c>
      <c r="K424" s="6" t="s">
        <v>10886</v>
      </c>
      <c r="L424" s="16" t="n">
        <v>42727</v>
      </c>
      <c r="M424" s="16" t="n">
        <v>45748</v>
      </c>
      <c r="N424" s="6" t="s">
        <v>10886</v>
      </c>
      <c r="O424" s="16" t="n">
        <v>42727</v>
      </c>
      <c r="P424" s="6" t="s">
        <v>10925</v>
      </c>
      <c r="Q424" s="6" t="s">
        <v>81</v>
      </c>
      <c r="R424" s="6" t="s">
        <v>12537</v>
      </c>
      <c r="S424" s="6" t="s">
        <v>10886</v>
      </c>
      <c r="T424" s="16" t="n">
        <v>42727</v>
      </c>
      <c r="U424" s="6" t="s">
        <v>13163</v>
      </c>
      <c r="V424" s="6" t="s">
        <v>81</v>
      </c>
      <c r="W424" s="6" t="s">
        <v>81</v>
      </c>
      <c r="X424" s="6" t="s">
        <v>81</v>
      </c>
      <c r="Y424" s="21" t="s">
        <v>81</v>
      </c>
      <c r="Z424" s="6" t="s">
        <v>81</v>
      </c>
      <c r="AA424" s="6" t="s">
        <v>81</v>
      </c>
      <c r="AB424" s="6" t="s">
        <v>81</v>
      </c>
      <c r="AC424" s="6" t="s">
        <v>81</v>
      </c>
      <c r="AD424" s="21" t="s">
        <v>81</v>
      </c>
      <c r="AE424" s="6" t="s">
        <v>81</v>
      </c>
      <c r="AF424" s="6" t="s">
        <v>81</v>
      </c>
      <c r="AG424" s="6" t="s">
        <v>81</v>
      </c>
      <c r="AH424" s="6" t="s">
        <v>15020</v>
      </c>
      <c r="AI424" s="6" t="s">
        <v>81</v>
      </c>
      <c r="AJ424" s="6" t="s">
        <v>17403</v>
      </c>
      <c r="AK424" s="6" t="s">
        <v>18378</v>
      </c>
      <c r="AL424" s="6" t="s">
        <v>18444</v>
      </c>
      <c r="AM424" s="6" t="s">
        <v>18559</v>
      </c>
      <c r="AN424" s="6" t="s">
        <v>6817</v>
      </c>
      <c r="AO424" s="6" t="s">
        <v>19849</v>
      </c>
      <c r="AP424" s="6" t="s">
        <v>15020</v>
      </c>
      <c r="AQ424" s="6" t="s">
        <v>81</v>
      </c>
      <c r="AR424" s="6" t="s">
        <v>17403</v>
      </c>
      <c r="AS424" s="6" t="s">
        <v>18378</v>
      </c>
      <c r="AT424" s="6" t="s">
        <v>18444</v>
      </c>
      <c r="AU424" s="6" t="s">
        <v>18559</v>
      </c>
      <c r="AV424" s="6" t="s">
        <v>81</v>
      </c>
      <c r="AW424" s="6" t="s">
        <v>81</v>
      </c>
      <c r="AX424" s="6" t="s">
        <v>21018</v>
      </c>
      <c r="AY424" s="6" t="s">
        <v>81</v>
      </c>
      <c r="AZ424" s="6" t="s">
        <v>81</v>
      </c>
      <c r="BA424" s="6" t="s">
        <v>81</v>
      </c>
      <c r="BB424" s="24" t="n">
        <v>125</v>
      </c>
      <c r="BC424" s="26"/>
      <c r="BD424" s="26"/>
      <c r="BE424" s="26"/>
      <c r="BF424" s="26"/>
      <c r="BG424" s="26"/>
      <c r="BH424" s="26"/>
      <c r="BI424" s="26"/>
      <c r="BJ424" s="26"/>
      <c r="BK424" s="26"/>
      <c r="BL424" s="26"/>
      <c r="BM424" s="26"/>
      <c r="BN424" s="26"/>
      <c r="BO424" s="26"/>
      <c r="BP424" s="16" t="n">
        <v>45730</v>
      </c>
      <c r="BQ424" s="28" t="str">
        <f>HYPERLINK("https://organic.ams.usda.gov/Integrity/Certificate.aspx?cid=90&amp;nopid=7170210301")</f>
        <v>https://organic.ams.usda.gov/Integrity/Certificate.aspx?cid=90&amp;nopid=7170210301</v>
      </c>
    </row>
    <row r="425">
      <c r="A425" t="s">
        <v>3</v>
      </c>
      <c r="B425" s="6" t="s">
        <v>13</v>
      </c>
      <c r="C425" s="6" t="s">
        <v>60</v>
      </c>
      <c r="D425" s="6" t="s">
        <v>106</v>
      </c>
      <c r="E425" s="10" t="s">
        <v>566</v>
      </c>
      <c r="F425" s="6" t="s">
        <v>3301</v>
      </c>
      <c r="G425" s="6" t="s">
        <v>81</v>
      </c>
      <c r="H425" s="6" t="s">
        <v>6273</v>
      </c>
      <c r="I425" s="6" t="s">
        <v>8660</v>
      </c>
      <c r="J425" s="6" t="s">
        <v>9233</v>
      </c>
      <c r="K425" s="6" t="s">
        <v>10886</v>
      </c>
      <c r="L425" s="16" t="n">
        <v>45532</v>
      </c>
      <c r="M425" s="16" t="n">
        <v>45839</v>
      </c>
      <c r="N425" s="6" t="s">
        <v>81</v>
      </c>
      <c r="O425" s="21" t="s">
        <v>81</v>
      </c>
      <c r="P425" s="6" t="s">
        <v>81</v>
      </c>
      <c r="Q425" s="6" t="s">
        <v>81</v>
      </c>
      <c r="R425" s="6" t="s">
        <v>81</v>
      </c>
      <c r="S425" s="6" t="s">
        <v>81</v>
      </c>
      <c r="T425" s="21" t="s">
        <v>81</v>
      </c>
      <c r="U425" s="6" t="s">
        <v>81</v>
      </c>
      <c r="V425" s="6" t="s">
        <v>81</v>
      </c>
      <c r="W425" s="6" t="s">
        <v>81</v>
      </c>
      <c r="X425" s="6" t="s">
        <v>81</v>
      </c>
      <c r="Y425" s="21" t="s">
        <v>81</v>
      </c>
      <c r="Z425" s="6" t="s">
        <v>81</v>
      </c>
      <c r="AA425" s="6" t="s">
        <v>81</v>
      </c>
      <c r="AB425" s="6" t="s">
        <v>81</v>
      </c>
      <c r="AC425" s="6" t="s">
        <v>10886</v>
      </c>
      <c r="AD425" s="16" t="n">
        <v>45532</v>
      </c>
      <c r="AE425" s="6" t="s">
        <v>14095</v>
      </c>
      <c r="AF425" s="6" t="s">
        <v>81</v>
      </c>
      <c r="AG425" s="6" t="s">
        <v>14530</v>
      </c>
      <c r="AH425" s="6" t="s">
        <v>15021</v>
      </c>
      <c r="AI425" s="6" t="s">
        <v>81</v>
      </c>
      <c r="AJ425" s="6" t="s">
        <v>17592</v>
      </c>
      <c r="AK425" s="6" t="s">
        <v>18403</v>
      </c>
      <c r="AL425" s="6" t="s">
        <v>18444</v>
      </c>
      <c r="AM425" s="6" t="s">
        <v>18757</v>
      </c>
      <c r="AN425" s="6" t="s">
        <v>81</v>
      </c>
      <c r="AO425" s="6" t="s">
        <v>81</v>
      </c>
      <c r="AP425" s="6" t="s">
        <v>15021</v>
      </c>
      <c r="AQ425" s="6" t="s">
        <v>81</v>
      </c>
      <c r="AR425" s="6" t="s">
        <v>17592</v>
      </c>
      <c r="AS425" s="6" t="s">
        <v>18403</v>
      </c>
      <c r="AT425" s="6" t="s">
        <v>18444</v>
      </c>
      <c r="AU425" s="6" t="s">
        <v>18757</v>
      </c>
      <c r="AV425" s="6" t="s">
        <v>81</v>
      </c>
      <c r="AW425" s="6" t="s">
        <v>81</v>
      </c>
      <c r="AX425" s="6" t="s">
        <v>21019</v>
      </c>
      <c r="AY425" s="6" t="s">
        <v>81</v>
      </c>
      <c r="AZ425" s="6" t="s">
        <v>81</v>
      </c>
      <c r="BA425" s="6" t="s">
        <v>81</v>
      </c>
      <c r="BB425" s="6" t="s">
        <v>81</v>
      </c>
      <c r="BC425" s="26"/>
      <c r="BD425" s="26"/>
      <c r="BE425" s="26"/>
      <c r="BF425" s="26"/>
      <c r="BG425" s="26"/>
      <c r="BH425" s="26"/>
      <c r="BI425" s="26"/>
      <c r="BJ425" s="26"/>
      <c r="BK425" s="26"/>
      <c r="BL425" s="26"/>
      <c r="BM425" s="26"/>
      <c r="BN425" s="26"/>
      <c r="BO425" s="26"/>
      <c r="BP425" s="16" t="n">
        <v>45730</v>
      </c>
      <c r="BQ425" s="28" t="str">
        <f>HYPERLINK("https://organic.ams.usda.gov/Integrity/Certificate.aspx?cid=72&amp;nopid=5870107182")</f>
        <v>https://organic.ams.usda.gov/Integrity/Certificate.aspx?cid=72&amp;nopid=5870107182</v>
      </c>
    </row>
    <row r="426">
      <c r="A426" t="s">
        <v>3</v>
      </c>
      <c r="B426" s="6" t="s">
        <v>21</v>
      </c>
      <c r="C426" s="6" t="s">
        <v>68</v>
      </c>
      <c r="D426" s="6" t="s">
        <v>114</v>
      </c>
      <c r="E426" s="10" t="s">
        <v>567</v>
      </c>
      <c r="F426" s="6" t="s">
        <v>3302</v>
      </c>
      <c r="G426" s="6" t="s">
        <v>81</v>
      </c>
      <c r="H426" s="6" t="s">
        <v>6274</v>
      </c>
      <c r="I426" s="6" t="s">
        <v>8661</v>
      </c>
      <c r="J426" s="6" t="s">
        <v>9905</v>
      </c>
      <c r="K426" s="6" t="s">
        <v>10886</v>
      </c>
      <c r="L426" s="16" t="n">
        <v>37375</v>
      </c>
      <c r="M426" s="16" t="n">
        <v>46113</v>
      </c>
      <c r="N426" s="6" t="s">
        <v>81</v>
      </c>
      <c r="O426" s="21" t="s">
        <v>81</v>
      </c>
      <c r="P426" s="6" t="s">
        <v>81</v>
      </c>
      <c r="Q426" s="6" t="s">
        <v>81</v>
      </c>
      <c r="R426" s="6" t="s">
        <v>81</v>
      </c>
      <c r="S426" s="6" t="s">
        <v>81</v>
      </c>
      <c r="T426" s="21" t="s">
        <v>81</v>
      </c>
      <c r="U426" s="6" t="s">
        <v>81</v>
      </c>
      <c r="V426" s="6" t="s">
        <v>81</v>
      </c>
      <c r="W426" s="6" t="s">
        <v>81</v>
      </c>
      <c r="X426" s="6" t="s">
        <v>81</v>
      </c>
      <c r="Y426" s="21" t="s">
        <v>81</v>
      </c>
      <c r="Z426" s="6" t="s">
        <v>81</v>
      </c>
      <c r="AA426" s="6" t="s">
        <v>81</v>
      </c>
      <c r="AB426" s="6" t="s">
        <v>81</v>
      </c>
      <c r="AC426" s="6" t="s">
        <v>10886</v>
      </c>
      <c r="AD426" s="16" t="n">
        <v>37375</v>
      </c>
      <c r="AE426" s="6" t="s">
        <v>14096</v>
      </c>
      <c r="AF426" s="6" t="s">
        <v>81</v>
      </c>
      <c r="AG426" s="6" t="s">
        <v>81</v>
      </c>
      <c r="AH426" s="6" t="s">
        <v>81</v>
      </c>
      <c r="AI426" s="6" t="s">
        <v>81</v>
      </c>
      <c r="AJ426" s="6" t="s">
        <v>81</v>
      </c>
      <c r="AK426" s="6" t="s">
        <v>81</v>
      </c>
      <c r="AL426" s="6" t="s">
        <v>81</v>
      </c>
      <c r="AM426" s="6" t="s">
        <v>81</v>
      </c>
      <c r="AN426" s="6" t="s">
        <v>81</v>
      </c>
      <c r="AO426" s="6" t="s">
        <v>81</v>
      </c>
      <c r="AP426" s="6" t="s">
        <v>20151</v>
      </c>
      <c r="AQ426" s="6" t="s">
        <v>81</v>
      </c>
      <c r="AR426" s="6" t="s">
        <v>20512</v>
      </c>
      <c r="AS426" s="6" t="s">
        <v>18382</v>
      </c>
      <c r="AT426" s="6" t="s">
        <v>18444</v>
      </c>
      <c r="AU426" s="6" t="s">
        <v>20622</v>
      </c>
      <c r="AV426" s="6" t="s">
        <v>19655</v>
      </c>
      <c r="AW426" s="6" t="s">
        <v>20725</v>
      </c>
      <c r="AX426" s="6" t="s">
        <v>21020</v>
      </c>
      <c r="AY426" s="6" t="s">
        <v>22723</v>
      </c>
      <c r="AZ426" s="6" t="s">
        <v>23613</v>
      </c>
      <c r="BA426" s="6" t="s">
        <v>81</v>
      </c>
      <c r="BB426" s="6" t="s">
        <v>81</v>
      </c>
      <c r="BC426" s="26" t="s">
        <v>23900</v>
      </c>
      <c r="BD426" s="26"/>
      <c r="BE426" s="26"/>
      <c r="BF426" s="26"/>
      <c r="BG426" s="26"/>
      <c r="BH426" s="26" t="s">
        <v>23900</v>
      </c>
      <c r="BI426" s="26"/>
      <c r="BJ426" s="26"/>
      <c r="BK426" s="26"/>
      <c r="BL426" s="26"/>
      <c r="BM426" s="26"/>
      <c r="BN426" s="26"/>
      <c r="BO426" s="26"/>
      <c r="BP426" s="16" t="n">
        <v>45724</v>
      </c>
      <c r="BQ426" s="28" t="str">
        <f>HYPERLINK("https://organic.ams.usda.gov/Integrity/Certificate.aspx?cid=62&amp;nopid=8150000717")</f>
        <v>https://organic.ams.usda.gov/Integrity/Certificate.aspx?cid=62&amp;nopid=8150000717</v>
      </c>
    </row>
    <row r="427">
      <c r="A427" t="s">
        <v>3</v>
      </c>
      <c r="B427" s="6" t="s">
        <v>7</v>
      </c>
      <c r="C427" s="6" t="s">
        <v>54</v>
      </c>
      <c r="D427" s="6" t="s">
        <v>100</v>
      </c>
      <c r="E427" s="10" t="s">
        <v>568</v>
      </c>
      <c r="F427" s="6" t="s">
        <v>3303</v>
      </c>
      <c r="G427" s="6" t="s">
        <v>81</v>
      </c>
      <c r="H427" s="6" t="s">
        <v>6275</v>
      </c>
      <c r="I427" s="6" t="s">
        <v>8589</v>
      </c>
      <c r="J427" s="6" t="s">
        <v>9906</v>
      </c>
      <c r="K427" s="6" t="s">
        <v>10886</v>
      </c>
      <c r="L427" s="16" t="n">
        <v>38876</v>
      </c>
      <c r="M427" s="16" t="n">
        <v>45716</v>
      </c>
      <c r="N427" s="6" t="s">
        <v>10886</v>
      </c>
      <c r="O427" s="16" t="n">
        <v>38876</v>
      </c>
      <c r="P427" s="6" t="s">
        <v>11160</v>
      </c>
      <c r="Q427" s="6" t="s">
        <v>81</v>
      </c>
      <c r="R427" s="6" t="s">
        <v>81</v>
      </c>
      <c r="S427" s="6" t="s">
        <v>10886</v>
      </c>
      <c r="T427" s="16" t="n">
        <v>39731</v>
      </c>
      <c r="U427" s="6" t="s">
        <v>13169</v>
      </c>
      <c r="V427" s="6" t="s">
        <v>81</v>
      </c>
      <c r="W427" s="6" t="s">
        <v>81</v>
      </c>
      <c r="X427" s="6" t="s">
        <v>81</v>
      </c>
      <c r="Y427" s="21" t="s">
        <v>81</v>
      </c>
      <c r="Z427" s="6" t="s">
        <v>81</v>
      </c>
      <c r="AA427" s="6" t="s">
        <v>81</v>
      </c>
      <c r="AB427" s="6" t="s">
        <v>81</v>
      </c>
      <c r="AC427" s="6" t="s">
        <v>81</v>
      </c>
      <c r="AD427" s="21" t="s">
        <v>81</v>
      </c>
      <c r="AE427" s="6" t="s">
        <v>81</v>
      </c>
      <c r="AF427" s="6" t="s">
        <v>81</v>
      </c>
      <c r="AG427" s="6" t="s">
        <v>81</v>
      </c>
      <c r="AH427" s="6" t="s">
        <v>15022</v>
      </c>
      <c r="AI427" s="6" t="s">
        <v>81</v>
      </c>
      <c r="AJ427" s="6" t="s">
        <v>17593</v>
      </c>
      <c r="AK427" s="6" t="s">
        <v>17712</v>
      </c>
      <c r="AL427" s="6" t="s">
        <v>18444</v>
      </c>
      <c r="AM427" s="6" t="s">
        <v>18758</v>
      </c>
      <c r="AN427" s="6" t="s">
        <v>19683</v>
      </c>
      <c r="AO427" s="6" t="s">
        <v>19868</v>
      </c>
      <c r="AP427" s="6" t="s">
        <v>15022</v>
      </c>
      <c r="AQ427" s="6" t="s">
        <v>81</v>
      </c>
      <c r="AR427" s="6" t="s">
        <v>17593</v>
      </c>
      <c r="AS427" s="6" t="s">
        <v>17712</v>
      </c>
      <c r="AT427" s="6" t="s">
        <v>18444</v>
      </c>
      <c r="AU427" s="6" t="s">
        <v>18758</v>
      </c>
      <c r="AV427" s="6" t="s">
        <v>81</v>
      </c>
      <c r="AW427" s="6" t="s">
        <v>81</v>
      </c>
      <c r="AX427" s="6" t="s">
        <v>21021</v>
      </c>
      <c r="AY427" s="6" t="s">
        <v>81</v>
      </c>
      <c r="AZ427" s="6" t="s">
        <v>81</v>
      </c>
      <c r="BA427" s="6" t="s">
        <v>81</v>
      </c>
      <c r="BB427" s="24" t="n">
        <v>315</v>
      </c>
      <c r="BC427" s="26"/>
      <c r="BD427" s="26"/>
      <c r="BE427" s="26"/>
      <c r="BF427" s="26" t="s">
        <v>23900</v>
      </c>
      <c r="BG427" s="26"/>
      <c r="BH427" s="26"/>
      <c r="BI427" s="26"/>
      <c r="BJ427" s="26"/>
      <c r="BK427" s="26"/>
      <c r="BL427" s="26"/>
      <c r="BM427" s="26"/>
      <c r="BN427" s="26"/>
      <c r="BO427" s="26"/>
      <c r="BP427" s="16" t="n">
        <v>45721</v>
      </c>
      <c r="BQ427" s="28" t="str">
        <f>HYPERLINK("https://organic.ams.usda.gov/Integrity/Certificate.aspx?cid=57&amp;nopid=3250200640")</f>
        <v>https://organic.ams.usda.gov/Integrity/Certificate.aspx?cid=57&amp;nopid=3250200640</v>
      </c>
    </row>
    <row r="428">
      <c r="A428" t="s">
        <v>3</v>
      </c>
      <c r="B428" s="6" t="s">
        <v>7</v>
      </c>
      <c r="C428" s="6" t="s">
        <v>54</v>
      </c>
      <c r="D428" s="6" t="s">
        <v>100</v>
      </c>
      <c r="E428" s="10" t="s">
        <v>569</v>
      </c>
      <c r="F428" s="6" t="s">
        <v>3304</v>
      </c>
      <c r="G428" s="6" t="s">
        <v>81</v>
      </c>
      <c r="H428" s="6" t="s">
        <v>6276</v>
      </c>
      <c r="I428" s="6" t="s">
        <v>8508</v>
      </c>
      <c r="J428" s="6" t="s">
        <v>9671</v>
      </c>
      <c r="K428" s="6" t="s">
        <v>10886</v>
      </c>
      <c r="L428" s="16" t="n">
        <v>42955</v>
      </c>
      <c r="M428" s="16" t="n">
        <v>45716</v>
      </c>
      <c r="N428" s="6" t="s">
        <v>10886</v>
      </c>
      <c r="O428" s="16" t="n">
        <v>42955</v>
      </c>
      <c r="P428" s="6" t="s">
        <v>10910</v>
      </c>
      <c r="Q428" s="6" t="s">
        <v>81</v>
      </c>
      <c r="R428" s="6" t="s">
        <v>81</v>
      </c>
      <c r="S428" s="6" t="s">
        <v>10886</v>
      </c>
      <c r="T428" s="16" t="n">
        <v>43237</v>
      </c>
      <c r="U428" s="6" t="s">
        <v>13169</v>
      </c>
      <c r="V428" s="6" t="s">
        <v>81</v>
      </c>
      <c r="W428" s="6" t="s">
        <v>81</v>
      </c>
      <c r="X428" s="6" t="s">
        <v>81</v>
      </c>
      <c r="Y428" s="21" t="s">
        <v>81</v>
      </c>
      <c r="Z428" s="6" t="s">
        <v>81</v>
      </c>
      <c r="AA428" s="6" t="s">
        <v>81</v>
      </c>
      <c r="AB428" s="6" t="s">
        <v>81</v>
      </c>
      <c r="AC428" s="6" t="s">
        <v>81</v>
      </c>
      <c r="AD428" s="21" t="s">
        <v>81</v>
      </c>
      <c r="AE428" s="6" t="s">
        <v>81</v>
      </c>
      <c r="AF428" s="6" t="s">
        <v>81</v>
      </c>
      <c r="AG428" s="6" t="s">
        <v>81</v>
      </c>
      <c r="AH428" s="6" t="s">
        <v>15023</v>
      </c>
      <c r="AI428" s="6" t="s">
        <v>81</v>
      </c>
      <c r="AJ428" s="6" t="s">
        <v>17341</v>
      </c>
      <c r="AK428" s="6" t="s">
        <v>17712</v>
      </c>
      <c r="AL428" s="6" t="s">
        <v>18444</v>
      </c>
      <c r="AM428" s="6" t="s">
        <v>18495</v>
      </c>
      <c r="AN428" s="6" t="s">
        <v>19649</v>
      </c>
      <c r="AO428" s="6" t="s">
        <v>19738</v>
      </c>
      <c r="AP428" s="6" t="s">
        <v>15023</v>
      </c>
      <c r="AQ428" s="6" t="s">
        <v>81</v>
      </c>
      <c r="AR428" s="6" t="s">
        <v>17341</v>
      </c>
      <c r="AS428" s="6" t="s">
        <v>17712</v>
      </c>
      <c r="AT428" s="6" t="s">
        <v>18444</v>
      </c>
      <c r="AU428" s="6" t="s">
        <v>18495</v>
      </c>
      <c r="AV428" s="6" t="s">
        <v>81</v>
      </c>
      <c r="AW428" s="6" t="s">
        <v>81</v>
      </c>
      <c r="AX428" s="6" t="s">
        <v>21022</v>
      </c>
      <c r="AY428" s="6" t="s">
        <v>81</v>
      </c>
      <c r="AZ428" s="6" t="s">
        <v>81</v>
      </c>
      <c r="BA428" s="6" t="s">
        <v>81</v>
      </c>
      <c r="BB428" s="24" t="n">
        <v>155</v>
      </c>
      <c r="BC428" s="26"/>
      <c r="BD428" s="26"/>
      <c r="BE428" s="26"/>
      <c r="BF428" s="26"/>
      <c r="BG428" s="26"/>
      <c r="BH428" s="26"/>
      <c r="BI428" s="26"/>
      <c r="BJ428" s="26"/>
      <c r="BK428" s="26"/>
      <c r="BL428" s="26"/>
      <c r="BM428" s="26"/>
      <c r="BN428" s="26"/>
      <c r="BO428" s="26"/>
      <c r="BP428" s="16" t="n">
        <v>45595</v>
      </c>
      <c r="BQ428" s="28" t="str">
        <f>HYPERLINK("https://organic.ams.usda.gov/Integrity/Certificate.aspx?cid=57&amp;nopid=3252017072")</f>
        <v>https://organic.ams.usda.gov/Integrity/Certificate.aspx?cid=57&amp;nopid=3252017072</v>
      </c>
    </row>
    <row r="429">
      <c r="A429" t="s">
        <v>3</v>
      </c>
      <c r="B429" s="6" t="s">
        <v>12</v>
      </c>
      <c r="C429" s="6" t="s">
        <v>59</v>
      </c>
      <c r="D429" s="6" t="s">
        <v>105</v>
      </c>
      <c r="E429" s="10" t="s">
        <v>570</v>
      </c>
      <c r="F429" s="6" t="s">
        <v>3305</v>
      </c>
      <c r="G429" s="6" t="s">
        <v>81</v>
      </c>
      <c r="H429" s="6" t="s">
        <v>6277</v>
      </c>
      <c r="I429" s="6" t="s">
        <v>8385</v>
      </c>
      <c r="J429" s="6" t="s">
        <v>9741</v>
      </c>
      <c r="K429" s="6" t="s">
        <v>10886</v>
      </c>
      <c r="L429" s="16" t="n">
        <v>45036</v>
      </c>
      <c r="M429" s="16" t="n">
        <v>45717</v>
      </c>
      <c r="N429" s="6" t="s">
        <v>81</v>
      </c>
      <c r="O429" s="21" t="s">
        <v>81</v>
      </c>
      <c r="P429" s="6" t="s">
        <v>81</v>
      </c>
      <c r="Q429" s="6" t="s">
        <v>81</v>
      </c>
      <c r="R429" s="6" t="s">
        <v>81</v>
      </c>
      <c r="S429" s="6" t="s">
        <v>81</v>
      </c>
      <c r="T429" s="21" t="s">
        <v>81</v>
      </c>
      <c r="U429" s="6" t="s">
        <v>81</v>
      </c>
      <c r="V429" s="6" t="s">
        <v>81</v>
      </c>
      <c r="W429" s="6" t="s">
        <v>81</v>
      </c>
      <c r="X429" s="6" t="s">
        <v>81</v>
      </c>
      <c r="Y429" s="21" t="s">
        <v>81</v>
      </c>
      <c r="Z429" s="6" t="s">
        <v>81</v>
      </c>
      <c r="AA429" s="6" t="s">
        <v>81</v>
      </c>
      <c r="AB429" s="6" t="s">
        <v>81</v>
      </c>
      <c r="AC429" s="6" t="s">
        <v>10886</v>
      </c>
      <c r="AD429" s="16" t="n">
        <v>45036</v>
      </c>
      <c r="AE429" s="6" t="s">
        <v>14097</v>
      </c>
      <c r="AF429" s="6" t="s">
        <v>81</v>
      </c>
      <c r="AG429" s="6" t="s">
        <v>81</v>
      </c>
      <c r="AH429" s="6" t="s">
        <v>15024</v>
      </c>
      <c r="AI429" s="6" t="s">
        <v>81</v>
      </c>
      <c r="AJ429" s="6" t="s">
        <v>17317</v>
      </c>
      <c r="AK429" s="6" t="s">
        <v>18380</v>
      </c>
      <c r="AL429" s="6" t="s">
        <v>18444</v>
      </c>
      <c r="AM429" s="6" t="s">
        <v>18469</v>
      </c>
      <c r="AN429" s="6" t="s">
        <v>19639</v>
      </c>
      <c r="AO429" s="6" t="s">
        <v>19725</v>
      </c>
      <c r="AP429" s="6" t="s">
        <v>15024</v>
      </c>
      <c r="AQ429" s="6" t="s">
        <v>81</v>
      </c>
      <c r="AR429" s="6" t="s">
        <v>17317</v>
      </c>
      <c r="AS429" s="6" t="s">
        <v>18380</v>
      </c>
      <c r="AT429" s="6" t="s">
        <v>18444</v>
      </c>
      <c r="AU429" s="6" t="s">
        <v>18469</v>
      </c>
      <c r="AV429" s="6" t="s">
        <v>81</v>
      </c>
      <c r="AW429" s="6" t="s">
        <v>81</v>
      </c>
      <c r="AX429" s="6" t="s">
        <v>21023</v>
      </c>
      <c r="AY429" s="6" t="s">
        <v>81</v>
      </c>
      <c r="AZ429" s="6" t="s">
        <v>81</v>
      </c>
      <c r="BA429" s="6" t="s">
        <v>81</v>
      </c>
      <c r="BB429" s="6" t="s">
        <v>81</v>
      </c>
      <c r="BC429" s="26"/>
      <c r="BD429" s="26"/>
      <c r="BE429" s="26"/>
      <c r="BF429" s="26"/>
      <c r="BG429" s="26"/>
      <c r="BH429" s="26"/>
      <c r="BI429" s="26"/>
      <c r="BJ429" s="26"/>
      <c r="BK429" s="26"/>
      <c r="BL429" s="26"/>
      <c r="BM429" s="26"/>
      <c r="BN429" s="26"/>
      <c r="BO429" s="26"/>
      <c r="BP429" s="16" t="n">
        <v>45693</v>
      </c>
      <c r="BQ429" s="28" t="str">
        <f>HYPERLINK("https://organic.ams.usda.gov/Integrity/Certificate.aspx?cid=68&amp;nopid=8210008421")</f>
        <v>https://organic.ams.usda.gov/Integrity/Certificate.aspx?cid=68&amp;nopid=8210008421</v>
      </c>
    </row>
    <row r="430">
      <c r="A430" t="s">
        <v>3</v>
      </c>
      <c r="B430" s="6" t="s">
        <v>35</v>
      </c>
      <c r="C430" s="6" t="s">
        <v>82</v>
      </c>
      <c r="D430" s="6" t="s">
        <v>127</v>
      </c>
      <c r="E430" s="10" t="s">
        <v>571</v>
      </c>
      <c r="F430" s="6" t="s">
        <v>3306</v>
      </c>
      <c r="G430" s="6" t="s">
        <v>81</v>
      </c>
      <c r="H430" s="6" t="s">
        <v>6278</v>
      </c>
      <c r="I430" s="6" t="s">
        <v>8516</v>
      </c>
      <c r="J430" s="6" t="s">
        <v>9907</v>
      </c>
      <c r="K430" s="6" t="s">
        <v>10886</v>
      </c>
      <c r="L430" s="16" t="n">
        <v>37512</v>
      </c>
      <c r="M430" s="16" t="n">
        <v>45762</v>
      </c>
      <c r="N430" s="6" t="s">
        <v>10886</v>
      </c>
      <c r="O430" s="16" t="n">
        <v>37512</v>
      </c>
      <c r="P430" s="6" t="s">
        <v>11161</v>
      </c>
      <c r="Q430" s="6" t="s">
        <v>81</v>
      </c>
      <c r="R430" s="6" t="s">
        <v>12538</v>
      </c>
      <c r="S430" s="6" t="s">
        <v>10886</v>
      </c>
      <c r="T430" s="16" t="n">
        <v>37512</v>
      </c>
      <c r="U430" s="6" t="s">
        <v>13333</v>
      </c>
      <c r="V430" s="6" t="s">
        <v>81</v>
      </c>
      <c r="W430" s="6" t="s">
        <v>12538</v>
      </c>
      <c r="X430" s="6" t="s">
        <v>81</v>
      </c>
      <c r="Y430" s="21" t="s">
        <v>81</v>
      </c>
      <c r="Z430" s="6" t="s">
        <v>81</v>
      </c>
      <c r="AA430" s="6" t="s">
        <v>81</v>
      </c>
      <c r="AB430" s="6" t="s">
        <v>81</v>
      </c>
      <c r="AC430" s="6" t="s">
        <v>10886</v>
      </c>
      <c r="AD430" s="16" t="n">
        <v>45357</v>
      </c>
      <c r="AE430" s="6" t="s">
        <v>14098</v>
      </c>
      <c r="AF430" s="6" t="s">
        <v>81</v>
      </c>
      <c r="AG430" s="6" t="s">
        <v>12538</v>
      </c>
      <c r="AH430" s="6" t="s">
        <v>15025</v>
      </c>
      <c r="AI430" s="6" t="s">
        <v>81</v>
      </c>
      <c r="AJ430" s="6" t="s">
        <v>17594</v>
      </c>
      <c r="AK430" s="6" t="s">
        <v>18405</v>
      </c>
      <c r="AL430" s="6" t="s">
        <v>18444</v>
      </c>
      <c r="AM430" s="6" t="s">
        <v>18759</v>
      </c>
      <c r="AN430" s="6" t="s">
        <v>19646</v>
      </c>
      <c r="AO430" s="6" t="s">
        <v>19869</v>
      </c>
      <c r="AP430" s="6" t="s">
        <v>15025</v>
      </c>
      <c r="AQ430" s="6" t="s">
        <v>81</v>
      </c>
      <c r="AR430" s="6" t="s">
        <v>17594</v>
      </c>
      <c r="AS430" s="6" t="s">
        <v>18405</v>
      </c>
      <c r="AT430" s="6" t="s">
        <v>18444</v>
      </c>
      <c r="AU430" s="6" t="s">
        <v>18759</v>
      </c>
      <c r="AV430" s="6" t="s">
        <v>81</v>
      </c>
      <c r="AW430" s="6" t="s">
        <v>81</v>
      </c>
      <c r="AX430" s="6" t="s">
        <v>21024</v>
      </c>
      <c r="AY430" s="6" t="s">
        <v>22724</v>
      </c>
      <c r="AZ430" s="6" t="s">
        <v>23614</v>
      </c>
      <c r="BA430" s="6" t="s">
        <v>81</v>
      </c>
      <c r="BB430" s="24" t="n">
        <v>328</v>
      </c>
      <c r="BC430" s="26"/>
      <c r="BD430" s="26"/>
      <c r="BE430" s="26"/>
      <c r="BF430" s="26"/>
      <c r="BG430" s="26"/>
      <c r="BH430" s="26"/>
      <c r="BI430" s="26"/>
      <c r="BJ430" s="26"/>
      <c r="BK430" s="26"/>
      <c r="BL430" s="26"/>
      <c r="BM430" s="26"/>
      <c r="BN430" s="26"/>
      <c r="BO430" s="26"/>
      <c r="BP430" s="16" t="n">
        <v>45737</v>
      </c>
      <c r="BQ430" s="28" t="str">
        <f>HYPERLINK("https://organic.ams.usda.gov/Integrity/Certificate.aspx?cid=47&amp;nopid=7142070954")</f>
        <v>https://organic.ams.usda.gov/Integrity/Certificate.aspx?cid=47&amp;nopid=7142070954</v>
      </c>
    </row>
    <row r="431">
      <c r="A431" t="s">
        <v>3</v>
      </c>
      <c r="B431" s="6" t="s">
        <v>13</v>
      </c>
      <c r="C431" s="6" t="s">
        <v>60</v>
      </c>
      <c r="D431" s="6" t="s">
        <v>106</v>
      </c>
      <c r="E431" s="10" t="s">
        <v>572</v>
      </c>
      <c r="F431" s="6" t="s">
        <v>3307</v>
      </c>
      <c r="G431" s="6" t="s">
        <v>81</v>
      </c>
      <c r="H431" s="6" t="s">
        <v>6279</v>
      </c>
      <c r="I431" s="6" t="s">
        <v>8662</v>
      </c>
      <c r="J431" s="6" t="s">
        <v>9908</v>
      </c>
      <c r="K431" s="6" t="s">
        <v>10886</v>
      </c>
      <c r="L431" s="16" t="n">
        <v>37550</v>
      </c>
      <c r="M431" s="16" t="n">
        <v>45992</v>
      </c>
      <c r="N431" s="6" t="s">
        <v>81</v>
      </c>
      <c r="O431" s="21" t="s">
        <v>81</v>
      </c>
      <c r="P431" s="6" t="s">
        <v>81</v>
      </c>
      <c r="Q431" s="6" t="s">
        <v>81</v>
      </c>
      <c r="R431" s="6" t="s">
        <v>81</v>
      </c>
      <c r="S431" s="6" t="s">
        <v>81</v>
      </c>
      <c r="T431" s="21" t="s">
        <v>81</v>
      </c>
      <c r="U431" s="6" t="s">
        <v>81</v>
      </c>
      <c r="V431" s="6" t="s">
        <v>81</v>
      </c>
      <c r="W431" s="6" t="s">
        <v>81</v>
      </c>
      <c r="X431" s="6" t="s">
        <v>81</v>
      </c>
      <c r="Y431" s="21" t="s">
        <v>81</v>
      </c>
      <c r="Z431" s="6" t="s">
        <v>81</v>
      </c>
      <c r="AA431" s="6" t="s">
        <v>81</v>
      </c>
      <c r="AB431" s="6" t="s">
        <v>81</v>
      </c>
      <c r="AC431" s="6" t="s">
        <v>10886</v>
      </c>
      <c r="AD431" s="16" t="n">
        <v>37550</v>
      </c>
      <c r="AE431" s="6" t="s">
        <v>14099</v>
      </c>
      <c r="AF431" s="6" t="s">
        <v>81</v>
      </c>
      <c r="AG431" s="6" t="s">
        <v>14531</v>
      </c>
      <c r="AH431" s="6" t="s">
        <v>15026</v>
      </c>
      <c r="AI431" s="6" t="s">
        <v>81</v>
      </c>
      <c r="AJ431" s="6" t="s">
        <v>17561</v>
      </c>
      <c r="AK431" s="6" t="s">
        <v>18386</v>
      </c>
      <c r="AL431" s="6" t="s">
        <v>18444</v>
      </c>
      <c r="AM431" s="6" t="s">
        <v>18760</v>
      </c>
      <c r="AN431" s="6" t="s">
        <v>19672</v>
      </c>
      <c r="AO431" s="6" t="s">
        <v>19787</v>
      </c>
      <c r="AP431" s="6" t="s">
        <v>20152</v>
      </c>
      <c r="AQ431" s="6" t="s">
        <v>81</v>
      </c>
      <c r="AR431" s="6" t="s">
        <v>17561</v>
      </c>
      <c r="AS431" s="6" t="s">
        <v>18386</v>
      </c>
      <c r="AT431" s="6" t="s">
        <v>18444</v>
      </c>
      <c r="AU431" s="6" t="s">
        <v>18725</v>
      </c>
      <c r="AV431" s="6" t="s">
        <v>81</v>
      </c>
      <c r="AW431" s="6" t="s">
        <v>81</v>
      </c>
      <c r="AX431" s="6" t="s">
        <v>21025</v>
      </c>
      <c r="AY431" s="6" t="s">
        <v>22725</v>
      </c>
      <c r="AZ431" s="6" t="s">
        <v>81</v>
      </c>
      <c r="BA431" s="6" t="s">
        <v>81</v>
      </c>
      <c r="BB431" s="6" t="s">
        <v>81</v>
      </c>
      <c r="BC431" s="26"/>
      <c r="BD431" s="26"/>
      <c r="BE431" s="26" t="s">
        <v>23900</v>
      </c>
      <c r="BF431" s="26" t="s">
        <v>23900</v>
      </c>
      <c r="BG431" s="26" t="s">
        <v>23900</v>
      </c>
      <c r="BH431" s="26"/>
      <c r="BI431" s="26"/>
      <c r="BJ431" s="26"/>
      <c r="BK431" s="26"/>
      <c r="BL431" s="26"/>
      <c r="BM431" s="26"/>
      <c r="BN431" s="26"/>
      <c r="BO431" s="26"/>
      <c r="BP431" s="16" t="n">
        <v>45705</v>
      </c>
      <c r="BQ431" s="28" t="str">
        <f>HYPERLINK("https://organic.ams.usda.gov/Integrity/Certificate.aspx?cid=72&amp;nopid=5870000332")</f>
        <v>https://organic.ams.usda.gov/Integrity/Certificate.aspx?cid=72&amp;nopid=5870000332</v>
      </c>
    </row>
    <row r="432">
      <c r="A432" t="s">
        <v>3</v>
      </c>
      <c r="B432" s="6" t="s">
        <v>7</v>
      </c>
      <c r="C432" s="6" t="s">
        <v>54</v>
      </c>
      <c r="D432" s="6" t="s">
        <v>100</v>
      </c>
      <c r="E432" s="10" t="s">
        <v>573</v>
      </c>
      <c r="F432" s="6" t="s">
        <v>3308</v>
      </c>
      <c r="G432" s="6" t="s">
        <v>81</v>
      </c>
      <c r="H432" s="6" t="s">
        <v>6280</v>
      </c>
      <c r="I432" s="6" t="s">
        <v>8663</v>
      </c>
      <c r="J432" s="6" t="s">
        <v>9750</v>
      </c>
      <c r="K432" s="6" t="s">
        <v>10886</v>
      </c>
      <c r="L432" s="16" t="n">
        <v>43665</v>
      </c>
      <c r="M432" s="16" t="n">
        <v>45716</v>
      </c>
      <c r="N432" s="6" t="s">
        <v>10886</v>
      </c>
      <c r="O432" s="16" t="n">
        <v>43665</v>
      </c>
      <c r="P432" s="6" t="s">
        <v>11162</v>
      </c>
      <c r="Q432" s="6" t="s">
        <v>81</v>
      </c>
      <c r="R432" s="6" t="s">
        <v>81</v>
      </c>
      <c r="S432" s="6" t="s">
        <v>10886</v>
      </c>
      <c r="T432" s="16" t="n">
        <v>43784</v>
      </c>
      <c r="U432" s="6" t="s">
        <v>13169</v>
      </c>
      <c r="V432" s="6" t="s">
        <v>81</v>
      </c>
      <c r="W432" s="6" t="s">
        <v>81</v>
      </c>
      <c r="X432" s="6" t="s">
        <v>81</v>
      </c>
      <c r="Y432" s="21" t="s">
        <v>81</v>
      </c>
      <c r="Z432" s="6" t="s">
        <v>81</v>
      </c>
      <c r="AA432" s="6" t="s">
        <v>81</v>
      </c>
      <c r="AB432" s="6" t="s">
        <v>81</v>
      </c>
      <c r="AC432" s="6" t="s">
        <v>81</v>
      </c>
      <c r="AD432" s="21" t="s">
        <v>81</v>
      </c>
      <c r="AE432" s="6" t="s">
        <v>81</v>
      </c>
      <c r="AF432" s="6" t="s">
        <v>81</v>
      </c>
      <c r="AG432" s="6" t="s">
        <v>81</v>
      </c>
      <c r="AH432" s="6" t="s">
        <v>15027</v>
      </c>
      <c r="AI432" s="6" t="s">
        <v>81</v>
      </c>
      <c r="AJ432" s="6" t="s">
        <v>17595</v>
      </c>
      <c r="AK432" s="6" t="s">
        <v>17712</v>
      </c>
      <c r="AL432" s="6" t="s">
        <v>18444</v>
      </c>
      <c r="AM432" s="6" t="s">
        <v>18761</v>
      </c>
      <c r="AN432" s="6" t="s">
        <v>7926</v>
      </c>
      <c r="AO432" s="6" t="s">
        <v>19842</v>
      </c>
      <c r="AP432" s="6" t="s">
        <v>15027</v>
      </c>
      <c r="AQ432" s="6" t="s">
        <v>81</v>
      </c>
      <c r="AR432" s="6" t="s">
        <v>17595</v>
      </c>
      <c r="AS432" s="6" t="s">
        <v>17712</v>
      </c>
      <c r="AT432" s="6" t="s">
        <v>18444</v>
      </c>
      <c r="AU432" s="6" t="s">
        <v>18761</v>
      </c>
      <c r="AV432" s="6" t="s">
        <v>81</v>
      </c>
      <c r="AW432" s="6" t="s">
        <v>81</v>
      </c>
      <c r="AX432" s="6" t="s">
        <v>21026</v>
      </c>
      <c r="AY432" s="6" t="s">
        <v>81</v>
      </c>
      <c r="AZ432" s="6" t="s">
        <v>81</v>
      </c>
      <c r="BA432" s="6" t="s">
        <v>81</v>
      </c>
      <c r="BB432" s="24" t="n">
        <v>153</v>
      </c>
      <c r="BC432" s="26"/>
      <c r="BD432" s="26"/>
      <c r="BE432" s="26"/>
      <c r="BF432" s="26"/>
      <c r="BG432" s="26"/>
      <c r="BH432" s="26"/>
      <c r="BI432" s="26"/>
      <c r="BJ432" s="26"/>
      <c r="BK432" s="26"/>
      <c r="BL432" s="26"/>
      <c r="BM432" s="26"/>
      <c r="BN432" s="26"/>
      <c r="BO432" s="26"/>
      <c r="BP432" s="16" t="n">
        <v>45721</v>
      </c>
      <c r="BQ432" s="28" t="str">
        <f>HYPERLINK("https://organic.ams.usda.gov/Integrity/Certificate.aspx?cid=57&amp;nopid=3252019060")</f>
        <v>https://organic.ams.usda.gov/Integrity/Certificate.aspx?cid=57&amp;nopid=3252019060</v>
      </c>
    </row>
    <row r="433">
      <c r="A433" t="s">
        <v>3</v>
      </c>
      <c r="B433" s="6" t="s">
        <v>25</v>
      </c>
      <c r="C433" s="6" t="s">
        <v>72</v>
      </c>
      <c r="D433" s="6" t="s">
        <v>118</v>
      </c>
      <c r="E433" s="10" t="s">
        <v>574</v>
      </c>
      <c r="F433" s="6" t="s">
        <v>3309</v>
      </c>
      <c r="G433" s="6" t="s">
        <v>5629</v>
      </c>
      <c r="H433" s="6" t="s">
        <v>6281</v>
      </c>
      <c r="I433" s="6" t="s">
        <v>8664</v>
      </c>
      <c r="J433" s="6" t="s">
        <v>9909</v>
      </c>
      <c r="K433" s="6" t="s">
        <v>10886</v>
      </c>
      <c r="L433" s="16" t="n">
        <v>38798</v>
      </c>
      <c r="M433" s="16" t="n">
        <v>46023</v>
      </c>
      <c r="N433" s="6" t="s">
        <v>81</v>
      </c>
      <c r="O433" s="21" t="s">
        <v>81</v>
      </c>
      <c r="P433" s="6" t="s">
        <v>81</v>
      </c>
      <c r="Q433" s="6" t="s">
        <v>81</v>
      </c>
      <c r="R433" s="6" t="s">
        <v>81</v>
      </c>
      <c r="S433" s="6" t="s">
        <v>81</v>
      </c>
      <c r="T433" s="21" t="s">
        <v>81</v>
      </c>
      <c r="U433" s="6" t="s">
        <v>81</v>
      </c>
      <c r="V433" s="6" t="s">
        <v>81</v>
      </c>
      <c r="W433" s="6" t="s">
        <v>81</v>
      </c>
      <c r="X433" s="6" t="s">
        <v>81</v>
      </c>
      <c r="Y433" s="21" t="s">
        <v>81</v>
      </c>
      <c r="Z433" s="6" t="s">
        <v>81</v>
      </c>
      <c r="AA433" s="6" t="s">
        <v>81</v>
      </c>
      <c r="AB433" s="6" t="s">
        <v>81</v>
      </c>
      <c r="AC433" s="6" t="s">
        <v>10886</v>
      </c>
      <c r="AD433" s="16" t="n">
        <v>38798</v>
      </c>
      <c r="AE433" s="6" t="s">
        <v>14100</v>
      </c>
      <c r="AF433" s="6" t="s">
        <v>81</v>
      </c>
      <c r="AG433" s="6" t="s">
        <v>81</v>
      </c>
      <c r="AH433" s="6" t="s">
        <v>15028</v>
      </c>
      <c r="AI433" s="6" t="s">
        <v>81</v>
      </c>
      <c r="AJ433" s="6" t="s">
        <v>9099</v>
      </c>
      <c r="AK433" s="6" t="s">
        <v>17759</v>
      </c>
      <c r="AL433" s="6" t="s">
        <v>18444</v>
      </c>
      <c r="AM433" s="6" t="s">
        <v>18762</v>
      </c>
      <c r="AN433" s="6" t="s">
        <v>19648</v>
      </c>
      <c r="AO433" s="6" t="s">
        <v>19870</v>
      </c>
      <c r="AP433" s="6" t="s">
        <v>15028</v>
      </c>
      <c r="AQ433" s="6" t="s">
        <v>81</v>
      </c>
      <c r="AR433" s="6" t="s">
        <v>9099</v>
      </c>
      <c r="AS433" s="6" t="s">
        <v>17759</v>
      </c>
      <c r="AT433" s="6" t="s">
        <v>18444</v>
      </c>
      <c r="AU433" s="6" t="s">
        <v>18762</v>
      </c>
      <c r="AV433" s="6" t="s">
        <v>81</v>
      </c>
      <c r="AW433" s="6" t="s">
        <v>81</v>
      </c>
      <c r="AX433" s="6" t="s">
        <v>21027</v>
      </c>
      <c r="AY433" s="6" t="s">
        <v>22726</v>
      </c>
      <c r="AZ433" s="6" t="s">
        <v>23615</v>
      </c>
      <c r="BA433" s="6" t="s">
        <v>23842</v>
      </c>
      <c r="BB433" s="6" t="s">
        <v>81</v>
      </c>
      <c r="BC433" s="26" t="s">
        <v>23900</v>
      </c>
      <c r="BD433" s="26"/>
      <c r="BE433" s="26" t="s">
        <v>23900</v>
      </c>
      <c r="BF433" s="26"/>
      <c r="BG433" s="26"/>
      <c r="BH433" s="26"/>
      <c r="BI433" s="26"/>
      <c r="BJ433" s="26"/>
      <c r="BK433" s="26"/>
      <c r="BL433" s="26" t="s">
        <v>23900</v>
      </c>
      <c r="BM433" s="26"/>
      <c r="BN433" s="26"/>
      <c r="BO433" s="26"/>
      <c r="BP433" s="16" t="n">
        <v>45730</v>
      </c>
      <c r="BQ433" s="28" t="str">
        <f>HYPERLINK("https://organic.ams.usda.gov/Integrity/Certificate.aspx?cid=15&amp;nopid=5561002330")</f>
        <v>https://organic.ams.usda.gov/Integrity/Certificate.aspx?cid=15&amp;nopid=5561002330</v>
      </c>
    </row>
    <row r="434">
      <c r="A434" t="s">
        <v>3</v>
      </c>
      <c r="B434" s="6" t="s">
        <v>7</v>
      </c>
      <c r="C434" s="6" t="s">
        <v>54</v>
      </c>
      <c r="D434" s="6" t="s">
        <v>100</v>
      </c>
      <c r="E434" s="10" t="s">
        <v>575</v>
      </c>
      <c r="F434" s="6" t="s">
        <v>3310</v>
      </c>
      <c r="G434" s="6" t="s">
        <v>81</v>
      </c>
      <c r="H434" s="6" t="s">
        <v>6282</v>
      </c>
      <c r="I434" s="6" t="s">
        <v>8529</v>
      </c>
      <c r="J434" s="6" t="s">
        <v>9910</v>
      </c>
      <c r="K434" s="6" t="s">
        <v>10886</v>
      </c>
      <c r="L434" s="16" t="n">
        <v>37452</v>
      </c>
      <c r="M434" s="16" t="n">
        <v>45716</v>
      </c>
      <c r="N434" s="6" t="s">
        <v>10886</v>
      </c>
      <c r="O434" s="16" t="n">
        <v>37452</v>
      </c>
      <c r="P434" s="6" t="s">
        <v>11163</v>
      </c>
      <c r="Q434" s="6" t="s">
        <v>81</v>
      </c>
      <c r="R434" s="6" t="s">
        <v>81</v>
      </c>
      <c r="S434" s="6" t="s">
        <v>10886</v>
      </c>
      <c r="T434" s="16" t="n">
        <v>37452</v>
      </c>
      <c r="U434" s="6" t="s">
        <v>13334</v>
      </c>
      <c r="V434" s="6" t="s">
        <v>81</v>
      </c>
      <c r="W434" s="6" t="s">
        <v>81</v>
      </c>
      <c r="X434" s="6" t="s">
        <v>81</v>
      </c>
      <c r="Y434" s="21" t="s">
        <v>81</v>
      </c>
      <c r="Z434" s="6" t="s">
        <v>81</v>
      </c>
      <c r="AA434" s="6" t="s">
        <v>81</v>
      </c>
      <c r="AB434" s="6" t="s">
        <v>81</v>
      </c>
      <c r="AC434" s="6" t="s">
        <v>10886</v>
      </c>
      <c r="AD434" s="16" t="n">
        <v>37452</v>
      </c>
      <c r="AE434" s="6" t="s">
        <v>14101</v>
      </c>
      <c r="AF434" s="6" t="s">
        <v>81</v>
      </c>
      <c r="AG434" s="6" t="s">
        <v>81</v>
      </c>
      <c r="AH434" s="6" t="s">
        <v>15029</v>
      </c>
      <c r="AI434" s="6" t="s">
        <v>81</v>
      </c>
      <c r="AJ434" s="6" t="s">
        <v>17596</v>
      </c>
      <c r="AK434" s="6" t="s">
        <v>17712</v>
      </c>
      <c r="AL434" s="6" t="s">
        <v>18444</v>
      </c>
      <c r="AM434" s="6" t="s">
        <v>18763</v>
      </c>
      <c r="AN434" s="6" t="s">
        <v>19651</v>
      </c>
      <c r="AO434" s="6" t="s">
        <v>19741</v>
      </c>
      <c r="AP434" s="6" t="s">
        <v>20153</v>
      </c>
      <c r="AQ434" s="6" t="s">
        <v>81</v>
      </c>
      <c r="AR434" s="6" t="s">
        <v>17596</v>
      </c>
      <c r="AS434" s="6" t="s">
        <v>17712</v>
      </c>
      <c r="AT434" s="6" t="s">
        <v>18444</v>
      </c>
      <c r="AU434" s="6" t="s">
        <v>18763</v>
      </c>
      <c r="AV434" s="6" t="s">
        <v>81</v>
      </c>
      <c r="AW434" s="6" t="s">
        <v>81</v>
      </c>
      <c r="AX434" s="6" t="s">
        <v>21028</v>
      </c>
      <c r="AY434" s="6" t="s">
        <v>22727</v>
      </c>
      <c r="AZ434" s="6" t="s">
        <v>23616</v>
      </c>
      <c r="BA434" s="6" t="s">
        <v>81</v>
      </c>
      <c r="BB434" s="24" t="n">
        <v>688</v>
      </c>
      <c r="BC434" s="26"/>
      <c r="BD434" s="26"/>
      <c r="BE434" s="26"/>
      <c r="BF434" s="26" t="s">
        <v>23900</v>
      </c>
      <c r="BG434" s="26"/>
      <c r="BH434" s="26"/>
      <c r="BI434" s="26"/>
      <c r="BJ434" s="26"/>
      <c r="BK434" s="26" t="s">
        <v>23900</v>
      </c>
      <c r="BL434" s="26"/>
      <c r="BM434" s="26"/>
      <c r="BN434" s="26"/>
      <c r="BO434" s="26"/>
      <c r="BP434" s="16" t="n">
        <v>45595</v>
      </c>
      <c r="BQ434" s="28" t="str">
        <f>HYPERLINK("https://organic.ams.usda.gov/Integrity/Certificate.aspx?cid=57&amp;nopid=3250200102")</f>
        <v>https://organic.ams.usda.gov/Integrity/Certificate.aspx?cid=57&amp;nopid=3250200102</v>
      </c>
    </row>
    <row r="435">
      <c r="A435" t="s">
        <v>3</v>
      </c>
      <c r="B435" s="6" t="s">
        <v>29</v>
      </c>
      <c r="C435" s="6" t="s">
        <v>76</v>
      </c>
      <c r="D435" s="6" t="s">
        <v>122</v>
      </c>
      <c r="E435" s="10" t="s">
        <v>576</v>
      </c>
      <c r="F435" s="6" t="s">
        <v>3311</v>
      </c>
      <c r="G435" s="6" t="s">
        <v>81</v>
      </c>
      <c r="H435" s="6" t="s">
        <v>6283</v>
      </c>
      <c r="I435" s="6" t="s">
        <v>8514</v>
      </c>
      <c r="J435" s="6" t="s">
        <v>9911</v>
      </c>
      <c r="K435" s="6" t="s">
        <v>10886</v>
      </c>
      <c r="L435" s="16" t="n">
        <v>45616</v>
      </c>
      <c r="M435" s="16" t="n">
        <v>45981</v>
      </c>
      <c r="N435" s="6" t="s">
        <v>81</v>
      </c>
      <c r="O435" s="21" t="s">
        <v>81</v>
      </c>
      <c r="P435" s="6" t="s">
        <v>81</v>
      </c>
      <c r="Q435" s="6" t="s">
        <v>81</v>
      </c>
      <c r="R435" s="6" t="s">
        <v>81</v>
      </c>
      <c r="S435" s="6" t="s">
        <v>81</v>
      </c>
      <c r="T435" s="21" t="s">
        <v>81</v>
      </c>
      <c r="U435" s="6" t="s">
        <v>81</v>
      </c>
      <c r="V435" s="6" t="s">
        <v>81</v>
      </c>
      <c r="W435" s="6" t="s">
        <v>81</v>
      </c>
      <c r="X435" s="6" t="s">
        <v>81</v>
      </c>
      <c r="Y435" s="21" t="s">
        <v>81</v>
      </c>
      <c r="Z435" s="6" t="s">
        <v>81</v>
      </c>
      <c r="AA435" s="6" t="s">
        <v>81</v>
      </c>
      <c r="AB435" s="6" t="s">
        <v>81</v>
      </c>
      <c r="AC435" s="6" t="s">
        <v>10886</v>
      </c>
      <c r="AD435" s="16" t="n">
        <v>45616</v>
      </c>
      <c r="AE435" s="6" t="s">
        <v>14102</v>
      </c>
      <c r="AF435" s="6" t="s">
        <v>81</v>
      </c>
      <c r="AG435" s="6" t="s">
        <v>14532</v>
      </c>
      <c r="AH435" s="6" t="s">
        <v>15030</v>
      </c>
      <c r="AI435" s="6" t="s">
        <v>81</v>
      </c>
      <c r="AJ435" s="6" t="s">
        <v>17597</v>
      </c>
      <c r="AK435" s="6" t="s">
        <v>18378</v>
      </c>
      <c r="AL435" s="6" t="s">
        <v>18444</v>
      </c>
      <c r="AM435" s="6" t="s">
        <v>18764</v>
      </c>
      <c r="AN435" s="6" t="s">
        <v>81</v>
      </c>
      <c r="AO435" s="6" t="s">
        <v>81</v>
      </c>
      <c r="AP435" s="6" t="s">
        <v>81</v>
      </c>
      <c r="AQ435" s="6" t="s">
        <v>81</v>
      </c>
      <c r="AR435" s="6" t="s">
        <v>81</v>
      </c>
      <c r="AS435" s="6" t="s">
        <v>81</v>
      </c>
      <c r="AT435" s="6" t="s">
        <v>81</v>
      </c>
      <c r="AU435" s="6" t="s">
        <v>81</v>
      </c>
      <c r="AV435" s="6" t="s">
        <v>81</v>
      </c>
      <c r="AW435" s="6" t="s">
        <v>81</v>
      </c>
      <c r="AX435" s="6" t="s">
        <v>21029</v>
      </c>
      <c r="AY435" s="6" t="s">
        <v>22728</v>
      </c>
      <c r="AZ435" s="6" t="s">
        <v>81</v>
      </c>
      <c r="BA435" s="6" t="s">
        <v>81</v>
      </c>
      <c r="BB435" s="6" t="s">
        <v>81</v>
      </c>
      <c r="BC435" s="26"/>
      <c r="BD435" s="26"/>
      <c r="BE435" s="26"/>
      <c r="BF435" s="26"/>
      <c r="BG435" s="26"/>
      <c r="BH435" s="26"/>
      <c r="BI435" s="26"/>
      <c r="BJ435" s="26"/>
      <c r="BK435" s="26"/>
      <c r="BL435" s="26"/>
      <c r="BM435" s="26"/>
      <c r="BN435" s="26"/>
      <c r="BO435" s="26"/>
      <c r="BP435" s="16" t="n">
        <v>45737</v>
      </c>
      <c r="BQ435" s="28" t="str">
        <f>HYPERLINK("https://organic.ams.usda.gov/Integrity/Certificate.aspx?cid=31&amp;nopid=3928972475")</f>
        <v>https://organic.ams.usda.gov/Integrity/Certificate.aspx?cid=31&amp;nopid=3928972475</v>
      </c>
    </row>
    <row r="436">
      <c r="A436" t="s">
        <v>3</v>
      </c>
      <c r="B436" s="6" t="s">
        <v>22</v>
      </c>
      <c r="C436" s="6" t="s">
        <v>69</v>
      </c>
      <c r="D436" s="6" t="s">
        <v>115</v>
      </c>
      <c r="E436" s="10" t="s">
        <v>577</v>
      </c>
      <c r="F436" s="6" t="s">
        <v>3312</v>
      </c>
      <c r="G436" s="6" t="s">
        <v>5630</v>
      </c>
      <c r="H436" s="6" t="s">
        <v>5630</v>
      </c>
      <c r="I436" s="6" t="s">
        <v>8665</v>
      </c>
      <c r="J436" s="6" t="s">
        <v>9912</v>
      </c>
      <c r="K436" s="6" t="s">
        <v>10886</v>
      </c>
      <c r="L436" s="16" t="n">
        <v>42622</v>
      </c>
      <c r="M436" s="16" t="n">
        <v>45839</v>
      </c>
      <c r="N436" s="6" t="s">
        <v>81</v>
      </c>
      <c r="O436" s="21" t="s">
        <v>81</v>
      </c>
      <c r="P436" s="6" t="s">
        <v>81</v>
      </c>
      <c r="Q436" s="6" t="s">
        <v>81</v>
      </c>
      <c r="R436" s="6" t="s">
        <v>81</v>
      </c>
      <c r="S436" s="6" t="s">
        <v>81</v>
      </c>
      <c r="T436" s="21" t="s">
        <v>81</v>
      </c>
      <c r="U436" s="6" t="s">
        <v>81</v>
      </c>
      <c r="V436" s="6" t="s">
        <v>81</v>
      </c>
      <c r="W436" s="6" t="s">
        <v>81</v>
      </c>
      <c r="X436" s="6" t="s">
        <v>81</v>
      </c>
      <c r="Y436" s="21" t="s">
        <v>81</v>
      </c>
      <c r="Z436" s="6" t="s">
        <v>81</v>
      </c>
      <c r="AA436" s="6" t="s">
        <v>81</v>
      </c>
      <c r="AB436" s="6" t="s">
        <v>81</v>
      </c>
      <c r="AC436" s="6" t="s">
        <v>10886</v>
      </c>
      <c r="AD436" s="16" t="n">
        <v>42622</v>
      </c>
      <c r="AE436" s="6" t="s">
        <v>14103</v>
      </c>
      <c r="AF436" s="6" t="s">
        <v>81</v>
      </c>
      <c r="AG436" s="6" t="s">
        <v>5630</v>
      </c>
      <c r="AH436" s="6" t="s">
        <v>15031</v>
      </c>
      <c r="AI436" s="6" t="s">
        <v>81</v>
      </c>
      <c r="AJ436" s="6" t="s">
        <v>17598</v>
      </c>
      <c r="AK436" s="6" t="s">
        <v>81</v>
      </c>
      <c r="AL436" s="6" t="s">
        <v>18445</v>
      </c>
      <c r="AM436" s="6" t="s">
        <v>81</v>
      </c>
      <c r="AN436" s="6" t="s">
        <v>81</v>
      </c>
      <c r="AO436" s="6" t="s">
        <v>81</v>
      </c>
      <c r="AP436" s="6" t="s">
        <v>15031</v>
      </c>
      <c r="AQ436" s="6" t="s">
        <v>81</v>
      </c>
      <c r="AR436" s="6" t="s">
        <v>17598</v>
      </c>
      <c r="AS436" s="6" t="s">
        <v>81</v>
      </c>
      <c r="AT436" s="6" t="s">
        <v>18445</v>
      </c>
      <c r="AU436" s="6" t="s">
        <v>81</v>
      </c>
      <c r="AV436" s="6" t="s">
        <v>81</v>
      </c>
      <c r="AW436" s="6" t="s">
        <v>81</v>
      </c>
      <c r="AX436" s="6" t="s">
        <v>21030</v>
      </c>
      <c r="AY436" s="6" t="s">
        <v>22729</v>
      </c>
      <c r="AZ436" s="6" t="s">
        <v>81</v>
      </c>
      <c r="BA436" s="6" t="s">
        <v>23821</v>
      </c>
      <c r="BB436" s="6" t="s">
        <v>81</v>
      </c>
      <c r="BC436" s="26"/>
      <c r="BD436" s="26"/>
      <c r="BE436" s="26"/>
      <c r="BF436" s="26"/>
      <c r="BG436" s="26"/>
      <c r="BH436" s="26"/>
      <c r="BI436" s="26"/>
      <c r="BJ436" s="26"/>
      <c r="BK436" s="26"/>
      <c r="BL436" s="26"/>
      <c r="BM436" s="26"/>
      <c r="BN436" s="26"/>
      <c r="BO436" s="26"/>
      <c r="BP436" s="16" t="n">
        <v>45622</v>
      </c>
      <c r="BQ436" s="28" t="str">
        <f>HYPERLINK("https://organic.ams.usda.gov/Integrity/Certificate.aspx?cid=21&amp;nopid=1780843266")</f>
        <v>https://organic.ams.usda.gov/Integrity/Certificate.aspx?cid=21&amp;nopid=1780843266</v>
      </c>
    </row>
    <row r="437">
      <c r="A437" t="s">
        <v>3</v>
      </c>
      <c r="B437" s="6" t="s">
        <v>38</v>
      </c>
      <c r="C437" s="6" t="s">
        <v>85</v>
      </c>
      <c r="D437" s="6" t="s">
        <v>130</v>
      </c>
      <c r="E437" s="10" t="s">
        <v>578</v>
      </c>
      <c r="F437" s="6" t="s">
        <v>3313</v>
      </c>
      <c r="G437" s="6" t="s">
        <v>81</v>
      </c>
      <c r="H437" s="6" t="s">
        <v>6284</v>
      </c>
      <c r="I437" s="6" t="s">
        <v>8666</v>
      </c>
      <c r="J437" s="6" t="s">
        <v>9913</v>
      </c>
      <c r="K437" s="6" t="s">
        <v>10886</v>
      </c>
      <c r="L437" s="16" t="n">
        <v>37599</v>
      </c>
      <c r="M437" s="16" t="n">
        <v>45566</v>
      </c>
      <c r="N437" s="6" t="s">
        <v>81</v>
      </c>
      <c r="O437" s="21" t="s">
        <v>81</v>
      </c>
      <c r="P437" s="6" t="s">
        <v>81</v>
      </c>
      <c r="Q437" s="6" t="s">
        <v>81</v>
      </c>
      <c r="R437" s="6" t="s">
        <v>81</v>
      </c>
      <c r="S437" s="6" t="s">
        <v>81</v>
      </c>
      <c r="T437" s="21" t="s">
        <v>81</v>
      </c>
      <c r="U437" s="6" t="s">
        <v>81</v>
      </c>
      <c r="V437" s="6" t="s">
        <v>81</v>
      </c>
      <c r="W437" s="6" t="s">
        <v>81</v>
      </c>
      <c r="X437" s="6" t="s">
        <v>81</v>
      </c>
      <c r="Y437" s="21" t="s">
        <v>81</v>
      </c>
      <c r="Z437" s="6" t="s">
        <v>81</v>
      </c>
      <c r="AA437" s="6" t="s">
        <v>81</v>
      </c>
      <c r="AB437" s="6" t="s">
        <v>81</v>
      </c>
      <c r="AC437" s="6" t="s">
        <v>10886</v>
      </c>
      <c r="AD437" s="16" t="n">
        <v>37599</v>
      </c>
      <c r="AE437" s="6" t="s">
        <v>14104</v>
      </c>
      <c r="AF437" s="6" t="s">
        <v>81</v>
      </c>
      <c r="AG437" s="6" t="s">
        <v>6284</v>
      </c>
      <c r="AH437" s="6" t="s">
        <v>15032</v>
      </c>
      <c r="AI437" s="6" t="s">
        <v>81</v>
      </c>
      <c r="AJ437" s="6" t="s">
        <v>17599</v>
      </c>
      <c r="AK437" s="6" t="s">
        <v>18412</v>
      </c>
      <c r="AL437" s="6" t="s">
        <v>18444</v>
      </c>
      <c r="AM437" s="6" t="s">
        <v>18765</v>
      </c>
      <c r="AN437" s="6" t="s">
        <v>19652</v>
      </c>
      <c r="AO437" s="6" t="s">
        <v>19871</v>
      </c>
      <c r="AP437" s="6" t="s">
        <v>20154</v>
      </c>
      <c r="AQ437" s="6" t="s">
        <v>81</v>
      </c>
      <c r="AR437" s="6" t="s">
        <v>20513</v>
      </c>
      <c r="AS437" s="6" t="s">
        <v>18152</v>
      </c>
      <c r="AT437" s="6" t="s">
        <v>18444</v>
      </c>
      <c r="AU437" s="6" t="s">
        <v>20623</v>
      </c>
      <c r="AV437" s="6" t="s">
        <v>81</v>
      </c>
      <c r="AW437" s="6" t="s">
        <v>81</v>
      </c>
      <c r="AX437" s="6" t="s">
        <v>21031</v>
      </c>
      <c r="AY437" s="6" t="s">
        <v>22730</v>
      </c>
      <c r="AZ437" s="6" t="s">
        <v>23617</v>
      </c>
      <c r="BA437" s="6" t="s">
        <v>81</v>
      </c>
      <c r="BB437" s="24" t="n">
        <v>0</v>
      </c>
      <c r="BC437" s="26"/>
      <c r="BD437" s="26"/>
      <c r="BE437" s="26"/>
      <c r="BF437" s="26"/>
      <c r="BG437" s="26"/>
      <c r="BH437" s="26"/>
      <c r="BI437" s="26"/>
      <c r="BJ437" s="26"/>
      <c r="BK437" s="26"/>
      <c r="BL437" s="26"/>
      <c r="BM437" s="26"/>
      <c r="BN437" s="26"/>
      <c r="BO437" s="26"/>
      <c r="BP437" s="16" t="n">
        <v>45639</v>
      </c>
      <c r="BQ437" s="28" t="str">
        <f>HYPERLINK("https://organic.ams.usda.gov/Integrity/Certificate.aspx?cid=33&amp;nopid=2170027370")</f>
        <v>https://organic.ams.usda.gov/Integrity/Certificate.aspx?cid=33&amp;nopid=2170027370</v>
      </c>
    </row>
    <row r="438">
      <c r="A438" t="s">
        <v>3</v>
      </c>
      <c r="B438" s="6" t="s">
        <v>13</v>
      </c>
      <c r="C438" s="6" t="s">
        <v>60</v>
      </c>
      <c r="D438" s="6" t="s">
        <v>106</v>
      </c>
      <c r="E438" s="10" t="s">
        <v>579</v>
      </c>
      <c r="F438" s="6" t="s">
        <v>3314</v>
      </c>
      <c r="G438" s="6" t="s">
        <v>81</v>
      </c>
      <c r="H438" s="6" t="s">
        <v>6285</v>
      </c>
      <c r="I438" s="6" t="s">
        <v>8409</v>
      </c>
      <c r="J438" s="6" t="s">
        <v>9914</v>
      </c>
      <c r="K438" s="6" t="s">
        <v>10886</v>
      </c>
      <c r="L438" s="16" t="n">
        <v>45540</v>
      </c>
      <c r="M438" s="16" t="n">
        <v>45474</v>
      </c>
      <c r="N438" s="6" t="s">
        <v>81</v>
      </c>
      <c r="O438" s="21" t="s">
        <v>81</v>
      </c>
      <c r="P438" s="6" t="s">
        <v>81</v>
      </c>
      <c r="Q438" s="6" t="s">
        <v>81</v>
      </c>
      <c r="R438" s="6" t="s">
        <v>81</v>
      </c>
      <c r="S438" s="6" t="s">
        <v>81</v>
      </c>
      <c r="T438" s="21" t="s">
        <v>81</v>
      </c>
      <c r="U438" s="6" t="s">
        <v>81</v>
      </c>
      <c r="V438" s="6" t="s">
        <v>81</v>
      </c>
      <c r="W438" s="6" t="s">
        <v>81</v>
      </c>
      <c r="X438" s="6" t="s">
        <v>81</v>
      </c>
      <c r="Y438" s="21" t="s">
        <v>81</v>
      </c>
      <c r="Z438" s="6" t="s">
        <v>81</v>
      </c>
      <c r="AA438" s="6" t="s">
        <v>81</v>
      </c>
      <c r="AB438" s="6" t="s">
        <v>81</v>
      </c>
      <c r="AC438" s="6" t="s">
        <v>10886</v>
      </c>
      <c r="AD438" s="16" t="n">
        <v>45540</v>
      </c>
      <c r="AE438" s="6" t="s">
        <v>14105</v>
      </c>
      <c r="AF438" s="6" t="s">
        <v>81</v>
      </c>
      <c r="AG438" s="6" t="s">
        <v>14533</v>
      </c>
      <c r="AH438" s="6" t="s">
        <v>15033</v>
      </c>
      <c r="AI438" s="6" t="s">
        <v>81</v>
      </c>
      <c r="AJ438" s="6" t="s">
        <v>17600</v>
      </c>
      <c r="AK438" s="6" t="s">
        <v>18413</v>
      </c>
      <c r="AL438" s="6" t="s">
        <v>18444</v>
      </c>
      <c r="AM438" s="6" t="s">
        <v>18766</v>
      </c>
      <c r="AN438" s="6" t="s">
        <v>81</v>
      </c>
      <c r="AO438" s="6" t="s">
        <v>81</v>
      </c>
      <c r="AP438" s="6" t="s">
        <v>20155</v>
      </c>
      <c r="AQ438" s="6" t="s">
        <v>81</v>
      </c>
      <c r="AR438" s="6" t="s">
        <v>17600</v>
      </c>
      <c r="AS438" s="6" t="s">
        <v>18413</v>
      </c>
      <c r="AT438" s="6" t="s">
        <v>18444</v>
      </c>
      <c r="AU438" s="6" t="s">
        <v>18766</v>
      </c>
      <c r="AV438" s="6" t="s">
        <v>81</v>
      </c>
      <c r="AW438" s="6" t="s">
        <v>81</v>
      </c>
      <c r="AX438" s="6" t="s">
        <v>21032</v>
      </c>
      <c r="AY438" s="6" t="s">
        <v>22731</v>
      </c>
      <c r="AZ438" s="6" t="s">
        <v>81</v>
      </c>
      <c r="BA438" s="6" t="s">
        <v>81</v>
      </c>
      <c r="BB438" s="6" t="s">
        <v>81</v>
      </c>
      <c r="BC438" s="26"/>
      <c r="BD438" s="26"/>
      <c r="BE438" s="26"/>
      <c r="BF438" s="26"/>
      <c r="BG438" s="26" t="s">
        <v>23900</v>
      </c>
      <c r="BH438" s="26"/>
      <c r="BI438" s="26"/>
      <c r="BJ438" s="26"/>
      <c r="BK438" s="26"/>
      <c r="BL438" s="26"/>
      <c r="BM438" s="26"/>
      <c r="BN438" s="26" t="s">
        <v>23900</v>
      </c>
      <c r="BO438" s="26"/>
      <c r="BP438" s="16" t="n">
        <v>45663</v>
      </c>
      <c r="BQ438" s="28" t="str">
        <f>HYPERLINK("https://organic.ams.usda.gov/Integrity/Certificate.aspx?cid=72&amp;nopid=5870107283")</f>
        <v>https://organic.ams.usda.gov/Integrity/Certificate.aspx?cid=72&amp;nopid=5870107283</v>
      </c>
    </row>
    <row r="439">
      <c r="A439" t="s">
        <v>3</v>
      </c>
      <c r="B439" s="6" t="s">
        <v>8</v>
      </c>
      <c r="C439" s="6" t="s">
        <v>55</v>
      </c>
      <c r="D439" s="6" t="s">
        <v>101</v>
      </c>
      <c r="E439" s="10" t="s">
        <v>580</v>
      </c>
      <c r="F439" s="6" t="s">
        <v>3315</v>
      </c>
      <c r="G439" s="6" t="s">
        <v>81</v>
      </c>
      <c r="H439" s="6" t="s">
        <v>6286</v>
      </c>
      <c r="I439" s="6" t="s">
        <v>8667</v>
      </c>
      <c r="J439" s="6" t="s">
        <v>9915</v>
      </c>
      <c r="K439" s="6" t="s">
        <v>10886</v>
      </c>
      <c r="L439" s="16" t="n">
        <v>36570</v>
      </c>
      <c r="M439" s="16" t="n">
        <v>45383</v>
      </c>
      <c r="N439" s="6" t="s">
        <v>10886</v>
      </c>
      <c r="O439" s="16" t="n">
        <v>36570</v>
      </c>
      <c r="P439" s="6" t="s">
        <v>11164</v>
      </c>
      <c r="Q439" s="6" t="s">
        <v>81</v>
      </c>
      <c r="R439" s="6" t="s">
        <v>6286</v>
      </c>
      <c r="S439" s="6" t="s">
        <v>10886</v>
      </c>
      <c r="T439" s="16" t="n">
        <v>36570</v>
      </c>
      <c r="U439" s="6" t="s">
        <v>13335</v>
      </c>
      <c r="V439" s="6" t="s">
        <v>81</v>
      </c>
      <c r="W439" s="6" t="s">
        <v>6286</v>
      </c>
      <c r="X439" s="6" t="s">
        <v>81</v>
      </c>
      <c r="Y439" s="21" t="s">
        <v>81</v>
      </c>
      <c r="Z439" s="6" t="s">
        <v>81</v>
      </c>
      <c r="AA439" s="6" t="s">
        <v>81</v>
      </c>
      <c r="AB439" s="6" t="s">
        <v>81</v>
      </c>
      <c r="AC439" s="6" t="s">
        <v>81</v>
      </c>
      <c r="AD439" s="21" t="s">
        <v>81</v>
      </c>
      <c r="AE439" s="6" t="s">
        <v>81</v>
      </c>
      <c r="AF439" s="6" t="s">
        <v>81</v>
      </c>
      <c r="AG439" s="6" t="s">
        <v>81</v>
      </c>
      <c r="AH439" s="6" t="s">
        <v>15034</v>
      </c>
      <c r="AI439" s="6" t="s">
        <v>81</v>
      </c>
      <c r="AJ439" s="6" t="s">
        <v>17601</v>
      </c>
      <c r="AK439" s="6" t="s">
        <v>18377</v>
      </c>
      <c r="AL439" s="6" t="s">
        <v>18444</v>
      </c>
      <c r="AM439" s="6" t="s">
        <v>18767</v>
      </c>
      <c r="AN439" s="6" t="s">
        <v>19697</v>
      </c>
      <c r="AO439" s="6" t="s">
        <v>19872</v>
      </c>
      <c r="AP439" s="6" t="s">
        <v>20156</v>
      </c>
      <c r="AQ439" s="6" t="s">
        <v>81</v>
      </c>
      <c r="AR439" s="6" t="s">
        <v>17601</v>
      </c>
      <c r="AS439" s="6" t="s">
        <v>18377</v>
      </c>
      <c r="AT439" s="6" t="s">
        <v>18444</v>
      </c>
      <c r="AU439" s="6" t="s">
        <v>18767</v>
      </c>
      <c r="AV439" s="6" t="s">
        <v>81</v>
      </c>
      <c r="AW439" s="6" t="s">
        <v>81</v>
      </c>
      <c r="AX439" s="6" t="s">
        <v>81</v>
      </c>
      <c r="AY439" s="6" t="s">
        <v>22732</v>
      </c>
      <c r="AZ439" s="6" t="s">
        <v>23618</v>
      </c>
      <c r="BA439" s="6" t="s">
        <v>23819</v>
      </c>
      <c r="BB439" s="24" t="n">
        <v>413</v>
      </c>
      <c r="BC439" s="26"/>
      <c r="BD439" s="26"/>
      <c r="BE439" s="26"/>
      <c r="BF439" s="26" t="s">
        <v>23900</v>
      </c>
      <c r="BG439" s="26"/>
      <c r="BH439" s="26"/>
      <c r="BI439" s="26"/>
      <c r="BJ439" s="26"/>
      <c r="BK439" s="26"/>
      <c r="BL439" s="26"/>
      <c r="BM439" s="26"/>
      <c r="BN439" s="26"/>
      <c r="BO439" s="26"/>
      <c r="BP439" s="16" t="n">
        <v>45437</v>
      </c>
      <c r="BQ439" s="28" t="str">
        <f>HYPERLINK("https://organic.ams.usda.gov/Integrity/Certificate.aspx?cid=45&amp;nopid=9950000359")</f>
        <v>https://organic.ams.usda.gov/Integrity/Certificate.aspx?cid=45&amp;nopid=9950000359</v>
      </c>
    </row>
    <row r="440">
      <c r="A440" t="s">
        <v>3</v>
      </c>
      <c r="B440" s="6" t="s">
        <v>8</v>
      </c>
      <c r="C440" s="6" t="s">
        <v>55</v>
      </c>
      <c r="D440" s="6" t="s">
        <v>101</v>
      </c>
      <c r="E440" s="10" t="s">
        <v>581</v>
      </c>
      <c r="F440" s="6" t="s">
        <v>3316</v>
      </c>
      <c r="G440" s="6" t="s">
        <v>81</v>
      </c>
      <c r="H440" s="6" t="s">
        <v>6287</v>
      </c>
      <c r="I440" s="6" t="s">
        <v>8668</v>
      </c>
      <c r="J440" s="6" t="s">
        <v>9916</v>
      </c>
      <c r="K440" s="6" t="s">
        <v>10886</v>
      </c>
      <c r="L440" s="16" t="n">
        <v>36640</v>
      </c>
      <c r="M440" s="16" t="n">
        <v>46054</v>
      </c>
      <c r="N440" s="6" t="s">
        <v>10886</v>
      </c>
      <c r="O440" s="16" t="n">
        <v>36640</v>
      </c>
      <c r="P440" s="6" t="s">
        <v>11165</v>
      </c>
      <c r="Q440" s="6" t="s">
        <v>81</v>
      </c>
      <c r="R440" s="6" t="s">
        <v>6287</v>
      </c>
      <c r="S440" s="6" t="s">
        <v>10886</v>
      </c>
      <c r="T440" s="16" t="n">
        <v>36640</v>
      </c>
      <c r="U440" s="6" t="s">
        <v>13336</v>
      </c>
      <c r="V440" s="6" t="s">
        <v>81</v>
      </c>
      <c r="W440" s="6" t="s">
        <v>6287</v>
      </c>
      <c r="X440" s="6" t="s">
        <v>81</v>
      </c>
      <c r="Y440" s="21" t="s">
        <v>81</v>
      </c>
      <c r="Z440" s="6" t="s">
        <v>81</v>
      </c>
      <c r="AA440" s="6" t="s">
        <v>81</v>
      </c>
      <c r="AB440" s="6" t="s">
        <v>81</v>
      </c>
      <c r="AC440" s="6" t="s">
        <v>81</v>
      </c>
      <c r="AD440" s="21" t="s">
        <v>81</v>
      </c>
      <c r="AE440" s="6" t="s">
        <v>81</v>
      </c>
      <c r="AF440" s="6" t="s">
        <v>81</v>
      </c>
      <c r="AG440" s="6" t="s">
        <v>81</v>
      </c>
      <c r="AH440" s="6" t="s">
        <v>15035</v>
      </c>
      <c r="AI440" s="6" t="s">
        <v>81</v>
      </c>
      <c r="AJ440" s="6" t="s">
        <v>17602</v>
      </c>
      <c r="AK440" s="6" t="s">
        <v>18381</v>
      </c>
      <c r="AL440" s="6" t="s">
        <v>18444</v>
      </c>
      <c r="AM440" s="6" t="s">
        <v>18768</v>
      </c>
      <c r="AN440" s="6" t="s">
        <v>19697</v>
      </c>
      <c r="AO440" s="6" t="s">
        <v>19873</v>
      </c>
      <c r="AP440" s="6" t="s">
        <v>81</v>
      </c>
      <c r="AQ440" s="6" t="s">
        <v>81</v>
      </c>
      <c r="AR440" s="6" t="s">
        <v>81</v>
      </c>
      <c r="AS440" s="6" t="s">
        <v>81</v>
      </c>
      <c r="AT440" s="6" t="s">
        <v>81</v>
      </c>
      <c r="AU440" s="6" t="s">
        <v>81</v>
      </c>
      <c r="AV440" s="6" t="s">
        <v>81</v>
      </c>
      <c r="AW440" s="6" t="s">
        <v>81</v>
      </c>
      <c r="AX440" s="6" t="s">
        <v>21033</v>
      </c>
      <c r="AY440" s="6" t="s">
        <v>81</v>
      </c>
      <c r="AZ440" s="6" t="s">
        <v>81</v>
      </c>
      <c r="BA440" s="6" t="s">
        <v>23819</v>
      </c>
      <c r="BB440" s="24" t="n">
        <v>354</v>
      </c>
      <c r="BC440" s="26"/>
      <c r="BD440" s="26"/>
      <c r="BE440" s="26"/>
      <c r="BF440" s="26" t="s">
        <v>23900</v>
      </c>
      <c r="BG440" s="26"/>
      <c r="BH440" s="26"/>
      <c r="BI440" s="26"/>
      <c r="BJ440" s="26"/>
      <c r="BK440" s="26"/>
      <c r="BL440" s="26"/>
      <c r="BM440" s="26"/>
      <c r="BN440" s="26"/>
      <c r="BO440" s="26"/>
      <c r="BP440" s="16" t="n">
        <v>45735</v>
      </c>
      <c r="BQ440" s="28" t="str">
        <f>HYPERLINK("https://organic.ams.usda.gov/Integrity/Certificate.aspx?cid=45&amp;nopid=9950000384")</f>
        <v>https://organic.ams.usda.gov/Integrity/Certificate.aspx?cid=45&amp;nopid=9950000384</v>
      </c>
    </row>
    <row r="441">
      <c r="A441" t="s">
        <v>3</v>
      </c>
      <c r="B441" s="6" t="s">
        <v>10</v>
      </c>
      <c r="C441" s="6" t="s">
        <v>57</v>
      </c>
      <c r="D441" s="6" t="s">
        <v>103</v>
      </c>
      <c r="E441" s="10" t="s">
        <v>582</v>
      </c>
      <c r="F441" s="6" t="s">
        <v>3317</v>
      </c>
      <c r="G441" s="6" t="s">
        <v>81</v>
      </c>
      <c r="H441" s="6" t="s">
        <v>6288</v>
      </c>
      <c r="I441" s="6" t="s">
        <v>8669</v>
      </c>
      <c r="J441" s="6" t="s">
        <v>9718</v>
      </c>
      <c r="K441" s="6" t="s">
        <v>10886</v>
      </c>
      <c r="L441" s="16" t="n">
        <v>43314</v>
      </c>
      <c r="M441" s="16" t="n">
        <v>45748</v>
      </c>
      <c r="N441" s="6" t="s">
        <v>10886</v>
      </c>
      <c r="O441" s="16" t="n">
        <v>44648</v>
      </c>
      <c r="P441" s="6" t="s">
        <v>10910</v>
      </c>
      <c r="Q441" s="6" t="s">
        <v>81</v>
      </c>
      <c r="R441" s="6" t="s">
        <v>12539</v>
      </c>
      <c r="S441" s="6" t="s">
        <v>10886</v>
      </c>
      <c r="T441" s="16" t="n">
        <v>44648</v>
      </c>
      <c r="U441" s="6" t="s">
        <v>13163</v>
      </c>
      <c r="V441" s="6" t="s">
        <v>81</v>
      </c>
      <c r="W441" s="6" t="s">
        <v>81</v>
      </c>
      <c r="X441" s="6" t="s">
        <v>81</v>
      </c>
      <c r="Y441" s="21" t="s">
        <v>81</v>
      </c>
      <c r="Z441" s="6" t="s">
        <v>81</v>
      </c>
      <c r="AA441" s="6" t="s">
        <v>81</v>
      </c>
      <c r="AB441" s="6" t="s">
        <v>81</v>
      </c>
      <c r="AC441" s="6" t="s">
        <v>81</v>
      </c>
      <c r="AD441" s="21" t="s">
        <v>81</v>
      </c>
      <c r="AE441" s="6" t="s">
        <v>81</v>
      </c>
      <c r="AF441" s="6" t="s">
        <v>81</v>
      </c>
      <c r="AG441" s="6" t="s">
        <v>81</v>
      </c>
      <c r="AH441" s="6" t="s">
        <v>15036</v>
      </c>
      <c r="AI441" s="6" t="s">
        <v>81</v>
      </c>
      <c r="AJ441" s="6" t="s">
        <v>17603</v>
      </c>
      <c r="AK441" s="6" t="s">
        <v>18378</v>
      </c>
      <c r="AL441" s="6" t="s">
        <v>18444</v>
      </c>
      <c r="AM441" s="6" t="s">
        <v>18769</v>
      </c>
      <c r="AN441" s="6" t="s">
        <v>19664</v>
      </c>
      <c r="AO441" s="6" t="s">
        <v>19874</v>
      </c>
      <c r="AP441" s="6" t="s">
        <v>15036</v>
      </c>
      <c r="AQ441" s="6" t="s">
        <v>81</v>
      </c>
      <c r="AR441" s="6" t="s">
        <v>17603</v>
      </c>
      <c r="AS441" s="6" t="s">
        <v>18378</v>
      </c>
      <c r="AT441" s="6" t="s">
        <v>18444</v>
      </c>
      <c r="AU441" s="6" t="s">
        <v>18769</v>
      </c>
      <c r="AV441" s="6" t="s">
        <v>81</v>
      </c>
      <c r="AW441" s="6" t="s">
        <v>81</v>
      </c>
      <c r="AX441" s="6" t="s">
        <v>21034</v>
      </c>
      <c r="AY441" s="6" t="s">
        <v>81</v>
      </c>
      <c r="AZ441" s="6" t="s">
        <v>81</v>
      </c>
      <c r="BA441" s="6" t="s">
        <v>81</v>
      </c>
      <c r="BB441" s="24" t="n">
        <v>74</v>
      </c>
      <c r="BC441" s="26"/>
      <c r="BD441" s="26"/>
      <c r="BE441" s="26"/>
      <c r="BF441" s="26"/>
      <c r="BG441" s="26"/>
      <c r="BH441" s="26"/>
      <c r="BI441" s="26"/>
      <c r="BJ441" s="26"/>
      <c r="BK441" s="26"/>
      <c r="BL441" s="26"/>
      <c r="BM441" s="26"/>
      <c r="BN441" s="26"/>
      <c r="BO441" s="26"/>
      <c r="BP441" s="16" t="n">
        <v>45730</v>
      </c>
      <c r="BQ441" s="28" t="str">
        <f>HYPERLINK("https://organic.ams.usda.gov/Integrity/Certificate.aspx?cid=90&amp;nopid=7170220512")</f>
        <v>https://organic.ams.usda.gov/Integrity/Certificate.aspx?cid=90&amp;nopid=7170220512</v>
      </c>
    </row>
    <row r="442">
      <c r="A442" t="s">
        <v>3</v>
      </c>
      <c r="B442" s="6" t="s">
        <v>32</v>
      </c>
      <c r="C442" s="6" t="s">
        <v>79</v>
      </c>
      <c r="D442" s="6" t="s">
        <v>125</v>
      </c>
      <c r="E442" s="10" t="s">
        <v>583</v>
      </c>
      <c r="F442" s="6" t="s">
        <v>3318</v>
      </c>
      <c r="G442" s="6" t="s">
        <v>81</v>
      </c>
      <c r="H442" s="6" t="s">
        <v>6289</v>
      </c>
      <c r="I442" s="6" t="s">
        <v>8670</v>
      </c>
      <c r="J442" s="6" t="s">
        <v>9917</v>
      </c>
      <c r="K442" s="6" t="s">
        <v>10886</v>
      </c>
      <c r="L442" s="16" t="n">
        <v>37375</v>
      </c>
      <c r="M442" s="16" t="n">
        <v>46082</v>
      </c>
      <c r="N442" s="6" t="s">
        <v>81</v>
      </c>
      <c r="O442" s="21" t="s">
        <v>81</v>
      </c>
      <c r="P442" s="6" t="s">
        <v>81</v>
      </c>
      <c r="Q442" s="6" t="s">
        <v>81</v>
      </c>
      <c r="R442" s="6" t="s">
        <v>81</v>
      </c>
      <c r="S442" s="6" t="s">
        <v>81</v>
      </c>
      <c r="T442" s="21" t="s">
        <v>81</v>
      </c>
      <c r="U442" s="6" t="s">
        <v>81</v>
      </c>
      <c r="V442" s="6" t="s">
        <v>81</v>
      </c>
      <c r="W442" s="6" t="s">
        <v>81</v>
      </c>
      <c r="X442" s="6" t="s">
        <v>81</v>
      </c>
      <c r="Y442" s="21" t="s">
        <v>81</v>
      </c>
      <c r="Z442" s="6" t="s">
        <v>81</v>
      </c>
      <c r="AA442" s="6" t="s">
        <v>81</v>
      </c>
      <c r="AB442" s="6" t="s">
        <v>81</v>
      </c>
      <c r="AC442" s="6" t="s">
        <v>10886</v>
      </c>
      <c r="AD442" s="16" t="n">
        <v>37375</v>
      </c>
      <c r="AE442" s="6" t="s">
        <v>14106</v>
      </c>
      <c r="AF442" s="6" t="s">
        <v>81</v>
      </c>
      <c r="AG442" s="6" t="s">
        <v>5606</v>
      </c>
      <c r="AH442" s="6" t="s">
        <v>15037</v>
      </c>
      <c r="AI442" s="6" t="s">
        <v>81</v>
      </c>
      <c r="AJ442" s="6" t="s">
        <v>17604</v>
      </c>
      <c r="AK442" s="6" t="s">
        <v>18152</v>
      </c>
      <c r="AL442" s="6" t="s">
        <v>18444</v>
      </c>
      <c r="AM442" s="6" t="s">
        <v>18770</v>
      </c>
      <c r="AN442" s="6" t="s">
        <v>81</v>
      </c>
      <c r="AO442" s="6" t="s">
        <v>81</v>
      </c>
      <c r="AP442" s="6" t="s">
        <v>20157</v>
      </c>
      <c r="AQ442" s="6" t="s">
        <v>81</v>
      </c>
      <c r="AR442" s="6" t="s">
        <v>17604</v>
      </c>
      <c r="AS442" s="6" t="s">
        <v>18152</v>
      </c>
      <c r="AT442" s="6" t="s">
        <v>18444</v>
      </c>
      <c r="AU442" s="6" t="s">
        <v>18770</v>
      </c>
      <c r="AV442" s="6" t="s">
        <v>19649</v>
      </c>
      <c r="AW442" s="6" t="s">
        <v>20726</v>
      </c>
      <c r="AX442" s="6" t="s">
        <v>21035</v>
      </c>
      <c r="AY442" s="6" t="s">
        <v>22733</v>
      </c>
      <c r="AZ442" s="6" t="s">
        <v>23619</v>
      </c>
      <c r="BA442" s="6" t="s">
        <v>81</v>
      </c>
      <c r="BB442" s="6" t="s">
        <v>81</v>
      </c>
      <c r="BC442" s="26"/>
      <c r="BD442" s="26"/>
      <c r="BE442" s="26" t="s">
        <v>23900</v>
      </c>
      <c r="BF442" s="26"/>
      <c r="BG442" s="26"/>
      <c r="BH442" s="26" t="s">
        <v>23900</v>
      </c>
      <c r="BI442" s="26"/>
      <c r="BJ442" s="26"/>
      <c r="BK442" s="26"/>
      <c r="BL442" s="26"/>
      <c r="BM442" s="26"/>
      <c r="BN442" s="26"/>
      <c r="BO442" s="26"/>
      <c r="BP442" s="16" t="n">
        <v>45739</v>
      </c>
      <c r="BQ442" s="28" t="str">
        <f>HYPERLINK("https://organic.ams.usda.gov/Integrity/Certificate.aspx?cid=82&amp;nopid=2780020724")</f>
        <v>https://organic.ams.usda.gov/Integrity/Certificate.aspx?cid=82&amp;nopid=2780020724</v>
      </c>
    </row>
    <row r="443">
      <c r="A443" t="s">
        <v>3</v>
      </c>
      <c r="B443" s="6" t="s">
        <v>23</v>
      </c>
      <c r="C443" s="6" t="s">
        <v>70</v>
      </c>
      <c r="D443" s="6" t="s">
        <v>116</v>
      </c>
      <c r="E443" s="10" t="s">
        <v>584</v>
      </c>
      <c r="F443" s="6" t="s">
        <v>3319</v>
      </c>
      <c r="G443" s="6" t="s">
        <v>81</v>
      </c>
      <c r="H443" s="6" t="s">
        <v>6290</v>
      </c>
      <c r="I443" s="6" t="s">
        <v>8671</v>
      </c>
      <c r="J443" s="6" t="s">
        <v>9918</v>
      </c>
      <c r="K443" s="6" t="s">
        <v>10886</v>
      </c>
      <c r="L443" s="16" t="n">
        <v>43551</v>
      </c>
      <c r="M443" s="16" t="n">
        <v>46108</v>
      </c>
      <c r="N443" s="6" t="s">
        <v>10886</v>
      </c>
      <c r="O443" s="16" t="n">
        <v>43551</v>
      </c>
      <c r="P443" s="6" t="s">
        <v>11166</v>
      </c>
      <c r="Q443" s="6" t="s">
        <v>81</v>
      </c>
      <c r="R443" s="6" t="s">
        <v>12540</v>
      </c>
      <c r="S443" s="6" t="s">
        <v>10886</v>
      </c>
      <c r="T443" s="16" t="n">
        <v>43551</v>
      </c>
      <c r="U443" s="6" t="s">
        <v>13337</v>
      </c>
      <c r="V443" s="6" t="s">
        <v>81</v>
      </c>
      <c r="W443" s="6" t="s">
        <v>12540</v>
      </c>
      <c r="X443" s="6" t="s">
        <v>81</v>
      </c>
      <c r="Y443" s="21" t="s">
        <v>81</v>
      </c>
      <c r="Z443" s="6" t="s">
        <v>81</v>
      </c>
      <c r="AA443" s="6" t="s">
        <v>81</v>
      </c>
      <c r="AB443" s="6" t="s">
        <v>81</v>
      </c>
      <c r="AC443" s="6" t="s">
        <v>81</v>
      </c>
      <c r="AD443" s="21" t="s">
        <v>81</v>
      </c>
      <c r="AE443" s="6" t="s">
        <v>81</v>
      </c>
      <c r="AF443" s="6" t="s">
        <v>81</v>
      </c>
      <c r="AG443" s="6" t="s">
        <v>81</v>
      </c>
      <c r="AH443" s="6" t="s">
        <v>81</v>
      </c>
      <c r="AI443" s="6" t="s">
        <v>81</v>
      </c>
      <c r="AJ443" s="6" t="s">
        <v>81</v>
      </c>
      <c r="AK443" s="6" t="s">
        <v>81</v>
      </c>
      <c r="AL443" s="6" t="s">
        <v>81</v>
      </c>
      <c r="AM443" s="6" t="s">
        <v>81</v>
      </c>
      <c r="AN443" s="6" t="s">
        <v>81</v>
      </c>
      <c r="AO443" s="6" t="s">
        <v>81</v>
      </c>
      <c r="AP443" s="6" t="s">
        <v>20158</v>
      </c>
      <c r="AQ443" s="6" t="s">
        <v>81</v>
      </c>
      <c r="AR443" s="6" t="s">
        <v>20503</v>
      </c>
      <c r="AS443" s="6" t="s">
        <v>18386</v>
      </c>
      <c r="AT443" s="6" t="s">
        <v>18444</v>
      </c>
      <c r="AU443" s="6" t="s">
        <v>18667</v>
      </c>
      <c r="AV443" s="6" t="s">
        <v>19651</v>
      </c>
      <c r="AW443" s="6" t="s">
        <v>19864</v>
      </c>
      <c r="AX443" s="6" t="s">
        <v>21036</v>
      </c>
      <c r="AY443" s="6" t="s">
        <v>22734</v>
      </c>
      <c r="AZ443" s="6" t="s">
        <v>81</v>
      </c>
      <c r="BA443" s="6" t="s">
        <v>81</v>
      </c>
      <c r="BB443" s="24" t="n">
        <v>622</v>
      </c>
      <c r="BC443" s="26"/>
      <c r="BD443" s="26"/>
      <c r="BE443" s="26"/>
      <c r="BF443" s="26"/>
      <c r="BG443" s="26"/>
      <c r="BH443" s="26"/>
      <c r="BI443" s="26"/>
      <c r="BJ443" s="26"/>
      <c r="BK443" s="26"/>
      <c r="BL443" s="26"/>
      <c r="BM443" s="26"/>
      <c r="BN443" s="26"/>
      <c r="BO443" s="26"/>
      <c r="BP443" s="16" t="n">
        <v>45700</v>
      </c>
      <c r="BQ443" s="28" t="str">
        <f>HYPERLINK("https://organic.ams.usda.gov/Integrity/Certificate.aspx?cid=63&amp;nopid=6220007850")</f>
        <v>https://organic.ams.usda.gov/Integrity/Certificate.aspx?cid=63&amp;nopid=6220007850</v>
      </c>
    </row>
    <row r="444">
      <c r="A444" t="s">
        <v>3</v>
      </c>
      <c r="B444" s="6" t="s">
        <v>8</v>
      </c>
      <c r="C444" s="6" t="s">
        <v>55</v>
      </c>
      <c r="D444" s="6" t="s">
        <v>101</v>
      </c>
      <c r="E444" s="10" t="s">
        <v>585</v>
      </c>
      <c r="F444" s="6" t="s">
        <v>3320</v>
      </c>
      <c r="G444" s="6" t="s">
        <v>81</v>
      </c>
      <c r="H444" s="6" t="s">
        <v>6291</v>
      </c>
      <c r="I444" s="6" t="s">
        <v>8513</v>
      </c>
      <c r="J444" s="6" t="s">
        <v>9919</v>
      </c>
      <c r="K444" s="6" t="s">
        <v>10886</v>
      </c>
      <c r="L444" s="16" t="n">
        <v>42950</v>
      </c>
      <c r="M444" s="16" t="n">
        <v>45689</v>
      </c>
      <c r="N444" s="6" t="s">
        <v>81</v>
      </c>
      <c r="O444" s="21" t="s">
        <v>81</v>
      </c>
      <c r="P444" s="6" t="s">
        <v>81</v>
      </c>
      <c r="Q444" s="6" t="s">
        <v>81</v>
      </c>
      <c r="R444" s="6" t="s">
        <v>81</v>
      </c>
      <c r="S444" s="6" t="s">
        <v>81</v>
      </c>
      <c r="T444" s="21" t="s">
        <v>81</v>
      </c>
      <c r="U444" s="6" t="s">
        <v>81</v>
      </c>
      <c r="V444" s="6" t="s">
        <v>81</v>
      </c>
      <c r="W444" s="6" t="s">
        <v>81</v>
      </c>
      <c r="X444" s="6" t="s">
        <v>81</v>
      </c>
      <c r="Y444" s="21" t="s">
        <v>81</v>
      </c>
      <c r="Z444" s="6" t="s">
        <v>81</v>
      </c>
      <c r="AA444" s="6" t="s">
        <v>81</v>
      </c>
      <c r="AB444" s="6" t="s">
        <v>81</v>
      </c>
      <c r="AC444" s="6" t="s">
        <v>10886</v>
      </c>
      <c r="AD444" s="16" t="n">
        <v>42950</v>
      </c>
      <c r="AE444" s="6" t="s">
        <v>14107</v>
      </c>
      <c r="AF444" s="6" t="s">
        <v>81</v>
      </c>
      <c r="AG444" s="6" t="s">
        <v>6291</v>
      </c>
      <c r="AH444" s="6" t="s">
        <v>15038</v>
      </c>
      <c r="AI444" s="6" t="s">
        <v>81</v>
      </c>
      <c r="AJ444" s="6" t="s">
        <v>17342</v>
      </c>
      <c r="AK444" s="6" t="s">
        <v>18385</v>
      </c>
      <c r="AL444" s="6" t="s">
        <v>18444</v>
      </c>
      <c r="AM444" s="6" t="s">
        <v>18771</v>
      </c>
      <c r="AN444" s="6" t="s">
        <v>19671</v>
      </c>
      <c r="AO444" s="6" t="s">
        <v>19875</v>
      </c>
      <c r="AP444" s="6" t="s">
        <v>81</v>
      </c>
      <c r="AQ444" s="6" t="s">
        <v>81</v>
      </c>
      <c r="AR444" s="6" t="s">
        <v>81</v>
      </c>
      <c r="AS444" s="6" t="s">
        <v>81</v>
      </c>
      <c r="AT444" s="6" t="s">
        <v>81</v>
      </c>
      <c r="AU444" s="6" t="s">
        <v>81</v>
      </c>
      <c r="AV444" s="6" t="s">
        <v>81</v>
      </c>
      <c r="AW444" s="6" t="s">
        <v>81</v>
      </c>
      <c r="AX444" s="6" t="s">
        <v>21037</v>
      </c>
      <c r="AY444" s="6" t="s">
        <v>22735</v>
      </c>
      <c r="AZ444" s="6" t="s">
        <v>23620</v>
      </c>
      <c r="BA444" s="6" t="s">
        <v>23824</v>
      </c>
      <c r="BB444" s="24" t="n">
        <v>0</v>
      </c>
      <c r="BC444" s="26"/>
      <c r="BD444" s="26"/>
      <c r="BE444" s="26"/>
      <c r="BF444" s="26"/>
      <c r="BG444" s="26"/>
      <c r="BH444" s="26"/>
      <c r="BI444" s="26"/>
      <c r="BJ444" s="26"/>
      <c r="BK444" s="26"/>
      <c r="BL444" s="26"/>
      <c r="BM444" s="26"/>
      <c r="BN444" s="26"/>
      <c r="BO444" s="26"/>
      <c r="BP444" s="16" t="n">
        <v>45730</v>
      </c>
      <c r="BQ444" s="28" t="str">
        <f>HYPERLINK("https://organic.ams.usda.gov/Integrity/Certificate.aspx?cid=45&amp;nopid=9950010099")</f>
        <v>https://organic.ams.usda.gov/Integrity/Certificate.aspx?cid=45&amp;nopid=9950010099</v>
      </c>
    </row>
    <row r="445">
      <c r="A445" t="s">
        <v>3</v>
      </c>
      <c r="B445" s="6" t="s">
        <v>10</v>
      </c>
      <c r="C445" s="6" t="s">
        <v>57</v>
      </c>
      <c r="D445" s="6" t="s">
        <v>103</v>
      </c>
      <c r="E445" s="10" t="s">
        <v>586</v>
      </c>
      <c r="F445" s="6" t="s">
        <v>3321</v>
      </c>
      <c r="G445" s="6" t="s">
        <v>81</v>
      </c>
      <c r="H445" s="6" t="s">
        <v>6292</v>
      </c>
      <c r="I445" s="6" t="s">
        <v>8672</v>
      </c>
      <c r="J445" s="6" t="s">
        <v>9726</v>
      </c>
      <c r="K445" s="6" t="s">
        <v>10886</v>
      </c>
      <c r="L445" s="16" t="n">
        <v>41401</v>
      </c>
      <c r="M445" s="16" t="n">
        <v>45748</v>
      </c>
      <c r="N445" s="6" t="s">
        <v>10886</v>
      </c>
      <c r="O445" s="16" t="n">
        <v>41401</v>
      </c>
      <c r="P445" s="6" t="s">
        <v>11167</v>
      </c>
      <c r="Q445" s="6" t="s">
        <v>81</v>
      </c>
      <c r="R445" s="6" t="s">
        <v>12541</v>
      </c>
      <c r="S445" s="6" t="s">
        <v>10886</v>
      </c>
      <c r="T445" s="16" t="n">
        <v>41401</v>
      </c>
      <c r="U445" s="6" t="s">
        <v>13163</v>
      </c>
      <c r="V445" s="6" t="s">
        <v>81</v>
      </c>
      <c r="W445" s="6" t="s">
        <v>81</v>
      </c>
      <c r="X445" s="6" t="s">
        <v>81</v>
      </c>
      <c r="Y445" s="21" t="s">
        <v>81</v>
      </c>
      <c r="Z445" s="6" t="s">
        <v>81</v>
      </c>
      <c r="AA445" s="6" t="s">
        <v>81</v>
      </c>
      <c r="AB445" s="6" t="s">
        <v>81</v>
      </c>
      <c r="AC445" s="6" t="s">
        <v>81</v>
      </c>
      <c r="AD445" s="21" t="s">
        <v>81</v>
      </c>
      <c r="AE445" s="6" t="s">
        <v>81</v>
      </c>
      <c r="AF445" s="6" t="s">
        <v>81</v>
      </c>
      <c r="AG445" s="6" t="s">
        <v>81</v>
      </c>
      <c r="AH445" s="6" t="s">
        <v>15039</v>
      </c>
      <c r="AI445" s="6" t="s">
        <v>81</v>
      </c>
      <c r="AJ445" s="6" t="s">
        <v>17605</v>
      </c>
      <c r="AK445" s="6" t="s">
        <v>18379</v>
      </c>
      <c r="AL445" s="6" t="s">
        <v>18444</v>
      </c>
      <c r="AM445" s="6" t="s">
        <v>18533</v>
      </c>
      <c r="AN445" s="6" t="s">
        <v>19637</v>
      </c>
      <c r="AO445" s="6" t="s">
        <v>19723</v>
      </c>
      <c r="AP445" s="6" t="s">
        <v>15039</v>
      </c>
      <c r="AQ445" s="6" t="s">
        <v>81</v>
      </c>
      <c r="AR445" s="6" t="s">
        <v>17605</v>
      </c>
      <c r="AS445" s="6" t="s">
        <v>18379</v>
      </c>
      <c r="AT445" s="6" t="s">
        <v>18444</v>
      </c>
      <c r="AU445" s="6" t="s">
        <v>18533</v>
      </c>
      <c r="AV445" s="6" t="s">
        <v>81</v>
      </c>
      <c r="AW445" s="6" t="s">
        <v>81</v>
      </c>
      <c r="AX445" s="6" t="s">
        <v>21038</v>
      </c>
      <c r="AY445" s="6" t="s">
        <v>81</v>
      </c>
      <c r="AZ445" s="6" t="s">
        <v>81</v>
      </c>
      <c r="BA445" s="6" t="s">
        <v>81</v>
      </c>
      <c r="BB445" s="24" t="n">
        <v>78</v>
      </c>
      <c r="BC445" s="26"/>
      <c r="BD445" s="26"/>
      <c r="BE445" s="26"/>
      <c r="BF445" s="26"/>
      <c r="BG445" s="26"/>
      <c r="BH445" s="26"/>
      <c r="BI445" s="26"/>
      <c r="BJ445" s="26"/>
      <c r="BK445" s="26"/>
      <c r="BL445" s="26"/>
      <c r="BM445" s="26"/>
      <c r="BN445" s="26"/>
      <c r="BO445" s="26"/>
      <c r="BP445" s="16" t="n">
        <v>45730</v>
      </c>
      <c r="BQ445" s="28" t="str">
        <f>HYPERLINK("https://organic.ams.usda.gov/Integrity/Certificate.aspx?cid=90&amp;nopid=7170020128")</f>
        <v>https://organic.ams.usda.gov/Integrity/Certificate.aspx?cid=90&amp;nopid=7170020128</v>
      </c>
    </row>
    <row r="446">
      <c r="A446" t="s">
        <v>3</v>
      </c>
      <c r="B446" s="6" t="s">
        <v>23</v>
      </c>
      <c r="C446" s="6" t="s">
        <v>70</v>
      </c>
      <c r="D446" s="6" t="s">
        <v>116</v>
      </c>
      <c r="E446" s="10" t="s">
        <v>587</v>
      </c>
      <c r="F446" s="6" t="s">
        <v>3322</v>
      </c>
      <c r="G446" s="6" t="s">
        <v>81</v>
      </c>
      <c r="H446" s="6" t="s">
        <v>6293</v>
      </c>
      <c r="I446" s="6" t="s">
        <v>8673</v>
      </c>
      <c r="J446" s="6" t="s">
        <v>9920</v>
      </c>
      <c r="K446" s="6" t="s">
        <v>10886</v>
      </c>
      <c r="L446" s="16" t="n">
        <v>44313</v>
      </c>
      <c r="M446" s="16" t="n">
        <v>45774</v>
      </c>
      <c r="N446" s="6" t="s">
        <v>10886</v>
      </c>
      <c r="O446" s="16" t="n">
        <v>44313</v>
      </c>
      <c r="P446" s="6" t="s">
        <v>11168</v>
      </c>
      <c r="Q446" s="6" t="s">
        <v>81</v>
      </c>
      <c r="R446" s="6" t="s">
        <v>12542</v>
      </c>
      <c r="S446" s="6" t="s">
        <v>10886</v>
      </c>
      <c r="T446" s="16" t="n">
        <v>44313</v>
      </c>
      <c r="U446" s="6" t="s">
        <v>13338</v>
      </c>
      <c r="V446" s="6" t="s">
        <v>81</v>
      </c>
      <c r="W446" s="6" t="s">
        <v>12542</v>
      </c>
      <c r="X446" s="6" t="s">
        <v>81</v>
      </c>
      <c r="Y446" s="21" t="s">
        <v>81</v>
      </c>
      <c r="Z446" s="6" t="s">
        <v>81</v>
      </c>
      <c r="AA446" s="6" t="s">
        <v>81</v>
      </c>
      <c r="AB446" s="6" t="s">
        <v>81</v>
      </c>
      <c r="AC446" s="6" t="s">
        <v>81</v>
      </c>
      <c r="AD446" s="21" t="s">
        <v>81</v>
      </c>
      <c r="AE446" s="6" t="s">
        <v>81</v>
      </c>
      <c r="AF446" s="6" t="s">
        <v>81</v>
      </c>
      <c r="AG446" s="6" t="s">
        <v>81</v>
      </c>
      <c r="AH446" s="6" t="s">
        <v>81</v>
      </c>
      <c r="AI446" s="6" t="s">
        <v>81</v>
      </c>
      <c r="AJ446" s="6" t="s">
        <v>81</v>
      </c>
      <c r="AK446" s="6" t="s">
        <v>81</v>
      </c>
      <c r="AL446" s="6" t="s">
        <v>81</v>
      </c>
      <c r="AM446" s="6" t="s">
        <v>81</v>
      </c>
      <c r="AN446" s="6" t="s">
        <v>81</v>
      </c>
      <c r="AO446" s="6" t="s">
        <v>81</v>
      </c>
      <c r="AP446" s="6" t="s">
        <v>20159</v>
      </c>
      <c r="AQ446" s="6" t="s">
        <v>81</v>
      </c>
      <c r="AR446" s="6" t="s">
        <v>17506</v>
      </c>
      <c r="AS446" s="6" t="s">
        <v>18386</v>
      </c>
      <c r="AT446" s="6" t="s">
        <v>18444</v>
      </c>
      <c r="AU446" s="6" t="s">
        <v>18667</v>
      </c>
      <c r="AV446" s="6" t="s">
        <v>19651</v>
      </c>
      <c r="AW446" s="6" t="s">
        <v>19864</v>
      </c>
      <c r="AX446" s="6" t="s">
        <v>21039</v>
      </c>
      <c r="AY446" s="6" t="s">
        <v>22736</v>
      </c>
      <c r="AZ446" s="6" t="s">
        <v>81</v>
      </c>
      <c r="BA446" s="6" t="s">
        <v>81</v>
      </c>
      <c r="BB446" s="24" t="n">
        <v>207</v>
      </c>
      <c r="BC446" s="26"/>
      <c r="BD446" s="26"/>
      <c r="BE446" s="26"/>
      <c r="BF446" s="26"/>
      <c r="BG446" s="26"/>
      <c r="BH446" s="26"/>
      <c r="BI446" s="26"/>
      <c r="BJ446" s="26"/>
      <c r="BK446" s="26"/>
      <c r="BL446" s="26"/>
      <c r="BM446" s="26"/>
      <c r="BN446" s="26"/>
      <c r="BO446" s="26"/>
      <c r="BP446" s="16" t="n">
        <v>45435</v>
      </c>
      <c r="BQ446" s="28" t="str">
        <f>HYPERLINK("https://organic.ams.usda.gov/Integrity/Certificate.aspx?cid=63&amp;nopid=6220008652")</f>
        <v>https://organic.ams.usda.gov/Integrity/Certificate.aspx?cid=63&amp;nopid=6220008652</v>
      </c>
    </row>
    <row r="447">
      <c r="A447" t="s">
        <v>3</v>
      </c>
      <c r="B447" s="6" t="s">
        <v>25</v>
      </c>
      <c r="C447" s="6" t="s">
        <v>72</v>
      </c>
      <c r="D447" s="6" t="s">
        <v>118</v>
      </c>
      <c r="E447" s="10" t="s">
        <v>588</v>
      </c>
      <c r="F447" s="6" t="s">
        <v>3323</v>
      </c>
      <c r="G447" s="6" t="s">
        <v>81</v>
      </c>
      <c r="H447" s="6" t="s">
        <v>6294</v>
      </c>
      <c r="I447" s="6" t="s">
        <v>8674</v>
      </c>
      <c r="J447" s="6" t="s">
        <v>9921</v>
      </c>
      <c r="K447" s="6" t="s">
        <v>10886</v>
      </c>
      <c r="L447" s="16" t="n">
        <v>43318</v>
      </c>
      <c r="M447" s="16" t="n">
        <v>46023</v>
      </c>
      <c r="N447" s="6" t="s">
        <v>10886</v>
      </c>
      <c r="O447" s="16" t="n">
        <v>43318</v>
      </c>
      <c r="P447" s="6" t="s">
        <v>11169</v>
      </c>
      <c r="Q447" s="6" t="s">
        <v>81</v>
      </c>
      <c r="R447" s="6" t="s">
        <v>81</v>
      </c>
      <c r="S447" s="6" t="s">
        <v>10886</v>
      </c>
      <c r="T447" s="16" t="n">
        <v>43318</v>
      </c>
      <c r="U447" s="6" t="s">
        <v>13339</v>
      </c>
      <c r="V447" s="6" t="s">
        <v>81</v>
      </c>
      <c r="W447" s="6" t="s">
        <v>81</v>
      </c>
      <c r="X447" s="6" t="s">
        <v>81</v>
      </c>
      <c r="Y447" s="21" t="s">
        <v>81</v>
      </c>
      <c r="Z447" s="6" t="s">
        <v>81</v>
      </c>
      <c r="AA447" s="6" t="s">
        <v>81</v>
      </c>
      <c r="AB447" s="6" t="s">
        <v>81</v>
      </c>
      <c r="AC447" s="6" t="s">
        <v>10886</v>
      </c>
      <c r="AD447" s="16" t="n">
        <v>45590</v>
      </c>
      <c r="AE447" s="6" t="s">
        <v>14108</v>
      </c>
      <c r="AF447" s="6" t="s">
        <v>81</v>
      </c>
      <c r="AG447" s="6" t="s">
        <v>81</v>
      </c>
      <c r="AH447" s="6" t="s">
        <v>15040</v>
      </c>
      <c r="AI447" s="6" t="s">
        <v>81</v>
      </c>
      <c r="AJ447" s="6" t="s">
        <v>17606</v>
      </c>
      <c r="AK447" s="6" t="s">
        <v>18412</v>
      </c>
      <c r="AL447" s="6" t="s">
        <v>18444</v>
      </c>
      <c r="AM447" s="6" t="s">
        <v>18772</v>
      </c>
      <c r="AN447" s="6" t="s">
        <v>19638</v>
      </c>
      <c r="AO447" s="6" t="s">
        <v>19876</v>
      </c>
      <c r="AP447" s="6" t="s">
        <v>20160</v>
      </c>
      <c r="AQ447" s="6" t="s">
        <v>81</v>
      </c>
      <c r="AR447" s="6" t="s">
        <v>17606</v>
      </c>
      <c r="AS447" s="6" t="s">
        <v>18412</v>
      </c>
      <c r="AT447" s="6" t="s">
        <v>18444</v>
      </c>
      <c r="AU447" s="6" t="s">
        <v>18772</v>
      </c>
      <c r="AV447" s="6" t="s">
        <v>81</v>
      </c>
      <c r="AW447" s="6" t="s">
        <v>81</v>
      </c>
      <c r="AX447" s="6" t="s">
        <v>21040</v>
      </c>
      <c r="AY447" s="6" t="s">
        <v>22737</v>
      </c>
      <c r="AZ447" s="6" t="s">
        <v>23621</v>
      </c>
      <c r="BA447" s="6" t="s">
        <v>81</v>
      </c>
      <c r="BB447" s="24" t="n">
        <v>45</v>
      </c>
      <c r="BC447" s="26"/>
      <c r="BD447" s="26"/>
      <c r="BE447" s="26"/>
      <c r="BF447" s="26"/>
      <c r="BG447" s="26"/>
      <c r="BH447" s="26"/>
      <c r="BI447" s="26"/>
      <c r="BJ447" s="26"/>
      <c r="BK447" s="26"/>
      <c r="BL447" s="26"/>
      <c r="BM447" s="26"/>
      <c r="BN447" s="26"/>
      <c r="BO447" s="26"/>
      <c r="BP447" s="16" t="n">
        <v>45667</v>
      </c>
      <c r="BQ447" s="28" t="str">
        <f>HYPERLINK("https://organic.ams.usda.gov/Integrity/Certificate.aspx?cid=15&amp;nopid=5561005566")</f>
        <v>https://organic.ams.usda.gov/Integrity/Certificate.aspx?cid=15&amp;nopid=5561005566</v>
      </c>
    </row>
    <row r="448">
      <c r="A448" t="s">
        <v>3</v>
      </c>
      <c r="B448" s="6" t="s">
        <v>19</v>
      </c>
      <c r="C448" s="6" t="s">
        <v>66</v>
      </c>
      <c r="D448" s="6" t="s">
        <v>112</v>
      </c>
      <c r="E448" s="10" t="s">
        <v>589</v>
      </c>
      <c r="F448" s="6" t="s">
        <v>3324</v>
      </c>
      <c r="G448" s="6" t="s">
        <v>81</v>
      </c>
      <c r="H448" s="6" t="s">
        <v>6295</v>
      </c>
      <c r="I448" s="6" t="s">
        <v>81</v>
      </c>
      <c r="J448" s="6" t="s">
        <v>9922</v>
      </c>
      <c r="K448" s="6" t="s">
        <v>10886</v>
      </c>
      <c r="L448" s="16" t="n">
        <v>44223</v>
      </c>
      <c r="M448" s="16" t="n">
        <v>46054</v>
      </c>
      <c r="N448" s="6" t="s">
        <v>10886</v>
      </c>
      <c r="O448" s="16" t="n">
        <v>44223</v>
      </c>
      <c r="P448" s="6" t="s">
        <v>11170</v>
      </c>
      <c r="Q448" s="6" t="s">
        <v>81</v>
      </c>
      <c r="R448" s="6" t="s">
        <v>81</v>
      </c>
      <c r="S448" s="6" t="s">
        <v>10886</v>
      </c>
      <c r="T448" s="16" t="n">
        <v>44223</v>
      </c>
      <c r="U448" s="6" t="s">
        <v>13340</v>
      </c>
      <c r="V448" s="6" t="s">
        <v>81</v>
      </c>
      <c r="W448" s="6" t="s">
        <v>81</v>
      </c>
      <c r="X448" s="6" t="s">
        <v>81</v>
      </c>
      <c r="Y448" s="21" t="s">
        <v>81</v>
      </c>
      <c r="Z448" s="6" t="s">
        <v>81</v>
      </c>
      <c r="AA448" s="6" t="s">
        <v>81</v>
      </c>
      <c r="AB448" s="6" t="s">
        <v>81</v>
      </c>
      <c r="AC448" s="6" t="s">
        <v>10886</v>
      </c>
      <c r="AD448" s="16" t="n">
        <v>44223</v>
      </c>
      <c r="AE448" s="6" t="s">
        <v>14109</v>
      </c>
      <c r="AF448" s="6" t="s">
        <v>81</v>
      </c>
      <c r="AG448" s="6" t="s">
        <v>81</v>
      </c>
      <c r="AH448" s="6" t="s">
        <v>15041</v>
      </c>
      <c r="AI448" s="6" t="s">
        <v>81</v>
      </c>
      <c r="AJ448" s="6" t="s">
        <v>17607</v>
      </c>
      <c r="AK448" s="6" t="s">
        <v>17712</v>
      </c>
      <c r="AL448" s="6" t="s">
        <v>18444</v>
      </c>
      <c r="AM448" s="6" t="s">
        <v>18773</v>
      </c>
      <c r="AN448" s="6" t="s">
        <v>8233</v>
      </c>
      <c r="AO448" s="6" t="s">
        <v>19877</v>
      </c>
      <c r="AP448" s="6" t="s">
        <v>81</v>
      </c>
      <c r="AQ448" s="6" t="s">
        <v>81</v>
      </c>
      <c r="AR448" s="6" t="s">
        <v>81</v>
      </c>
      <c r="AS448" s="6" t="s">
        <v>81</v>
      </c>
      <c r="AT448" s="6" t="s">
        <v>81</v>
      </c>
      <c r="AU448" s="6" t="s">
        <v>81</v>
      </c>
      <c r="AV448" s="6" t="s">
        <v>81</v>
      </c>
      <c r="AW448" s="6" t="s">
        <v>81</v>
      </c>
      <c r="AX448" s="6" t="s">
        <v>21041</v>
      </c>
      <c r="AY448" s="6" t="s">
        <v>22738</v>
      </c>
      <c r="AZ448" s="6" t="s">
        <v>81</v>
      </c>
      <c r="BA448" s="6" t="s">
        <v>81</v>
      </c>
      <c r="BB448" s="24" t="n">
        <v>0</v>
      </c>
      <c r="BC448" s="26"/>
      <c r="BD448" s="26"/>
      <c r="BE448" s="26"/>
      <c r="BF448" s="26" t="s">
        <v>23900</v>
      </c>
      <c r="BG448" s="26"/>
      <c r="BH448" s="26"/>
      <c r="BI448" s="26"/>
      <c r="BJ448" s="26"/>
      <c r="BK448" s="26"/>
      <c r="BL448" s="26"/>
      <c r="BM448" s="26"/>
      <c r="BN448" s="26"/>
      <c r="BO448" s="26"/>
      <c r="BP448" s="16" t="n">
        <v>45702</v>
      </c>
      <c r="BQ448" s="28" t="str">
        <f>HYPERLINK("https://organic.ams.usda.gov/Integrity/Certificate.aspx?cid=24&amp;nopid=7880138445")</f>
        <v>https://organic.ams.usda.gov/Integrity/Certificate.aspx?cid=24&amp;nopid=7880138445</v>
      </c>
    </row>
    <row r="449">
      <c r="A449" t="s">
        <v>3</v>
      </c>
      <c r="B449" s="6" t="s">
        <v>8</v>
      </c>
      <c r="C449" s="6" t="s">
        <v>55</v>
      </c>
      <c r="D449" s="6" t="s">
        <v>101</v>
      </c>
      <c r="E449" s="10" t="s">
        <v>590</v>
      </c>
      <c r="F449" s="6" t="s">
        <v>3325</v>
      </c>
      <c r="G449" s="6" t="s">
        <v>81</v>
      </c>
      <c r="H449" s="6" t="s">
        <v>6296</v>
      </c>
      <c r="I449" s="6" t="s">
        <v>8675</v>
      </c>
      <c r="J449" s="6" t="s">
        <v>9923</v>
      </c>
      <c r="K449" s="6" t="s">
        <v>10886</v>
      </c>
      <c r="L449" s="16" t="n">
        <v>40325</v>
      </c>
      <c r="M449" s="16" t="n">
        <v>45383</v>
      </c>
      <c r="N449" s="6" t="s">
        <v>10886</v>
      </c>
      <c r="O449" s="16" t="n">
        <v>40325</v>
      </c>
      <c r="P449" s="6" t="s">
        <v>11171</v>
      </c>
      <c r="Q449" s="6" t="s">
        <v>81</v>
      </c>
      <c r="R449" s="6" t="s">
        <v>6296</v>
      </c>
      <c r="S449" s="6" t="s">
        <v>10886</v>
      </c>
      <c r="T449" s="16" t="n">
        <v>40325</v>
      </c>
      <c r="U449" s="6" t="s">
        <v>13179</v>
      </c>
      <c r="V449" s="6" t="s">
        <v>81</v>
      </c>
      <c r="W449" s="6" t="s">
        <v>6296</v>
      </c>
      <c r="X449" s="6" t="s">
        <v>81</v>
      </c>
      <c r="Y449" s="21" t="s">
        <v>81</v>
      </c>
      <c r="Z449" s="6" t="s">
        <v>81</v>
      </c>
      <c r="AA449" s="6" t="s">
        <v>81</v>
      </c>
      <c r="AB449" s="6" t="s">
        <v>81</v>
      </c>
      <c r="AC449" s="6" t="s">
        <v>81</v>
      </c>
      <c r="AD449" s="21" t="s">
        <v>81</v>
      </c>
      <c r="AE449" s="6" t="s">
        <v>81</v>
      </c>
      <c r="AF449" s="6" t="s">
        <v>81</v>
      </c>
      <c r="AG449" s="6" t="s">
        <v>81</v>
      </c>
      <c r="AH449" s="6" t="s">
        <v>15042</v>
      </c>
      <c r="AI449" s="6" t="s">
        <v>81</v>
      </c>
      <c r="AJ449" s="6" t="s">
        <v>17608</v>
      </c>
      <c r="AK449" s="6" t="s">
        <v>18380</v>
      </c>
      <c r="AL449" s="6" t="s">
        <v>18444</v>
      </c>
      <c r="AM449" s="6" t="s">
        <v>18774</v>
      </c>
      <c r="AN449" s="6" t="s">
        <v>19639</v>
      </c>
      <c r="AO449" s="6" t="s">
        <v>19725</v>
      </c>
      <c r="AP449" s="6" t="s">
        <v>81</v>
      </c>
      <c r="AQ449" s="6" t="s">
        <v>81</v>
      </c>
      <c r="AR449" s="6" t="s">
        <v>81</v>
      </c>
      <c r="AS449" s="6" t="s">
        <v>81</v>
      </c>
      <c r="AT449" s="6" t="s">
        <v>81</v>
      </c>
      <c r="AU449" s="6" t="s">
        <v>81</v>
      </c>
      <c r="AV449" s="6" t="s">
        <v>81</v>
      </c>
      <c r="AW449" s="6" t="s">
        <v>81</v>
      </c>
      <c r="AX449" s="6" t="s">
        <v>81</v>
      </c>
      <c r="AY449" s="6" t="s">
        <v>81</v>
      </c>
      <c r="AZ449" s="6" t="s">
        <v>81</v>
      </c>
      <c r="BA449" s="6" t="s">
        <v>23824</v>
      </c>
      <c r="BB449" s="24" t="n">
        <v>66</v>
      </c>
      <c r="BC449" s="26"/>
      <c r="BD449" s="26"/>
      <c r="BE449" s="26"/>
      <c r="BF449" s="26" t="s">
        <v>23900</v>
      </c>
      <c r="BG449" s="26"/>
      <c r="BH449" s="26"/>
      <c r="BI449" s="26"/>
      <c r="BJ449" s="26"/>
      <c r="BK449" s="26"/>
      <c r="BL449" s="26"/>
      <c r="BM449" s="26"/>
      <c r="BN449" s="26"/>
      <c r="BO449" s="26"/>
      <c r="BP449" s="16" t="n">
        <v>45461</v>
      </c>
      <c r="BQ449" s="28" t="str">
        <f>HYPERLINK("https://organic.ams.usda.gov/Integrity/Certificate.aspx?cid=45&amp;nopid=9950003978")</f>
        <v>https://organic.ams.usda.gov/Integrity/Certificate.aspx?cid=45&amp;nopid=9950003978</v>
      </c>
    </row>
    <row r="450">
      <c r="A450" t="s">
        <v>3</v>
      </c>
      <c r="B450" s="6" t="s">
        <v>29</v>
      </c>
      <c r="C450" s="6" t="s">
        <v>76</v>
      </c>
      <c r="D450" s="6" t="s">
        <v>122</v>
      </c>
      <c r="E450" s="10" t="s">
        <v>591</v>
      </c>
      <c r="F450" s="6" t="s">
        <v>3326</v>
      </c>
      <c r="G450" s="6" t="s">
        <v>81</v>
      </c>
      <c r="H450" s="6" t="s">
        <v>6297</v>
      </c>
      <c r="I450" s="6" t="s">
        <v>8412</v>
      </c>
      <c r="J450" s="6" t="s">
        <v>9924</v>
      </c>
      <c r="K450" s="6" t="s">
        <v>10886</v>
      </c>
      <c r="L450" s="16" t="n">
        <v>41445</v>
      </c>
      <c r="M450" s="16" t="n">
        <v>45870</v>
      </c>
      <c r="N450" s="6" t="s">
        <v>10886</v>
      </c>
      <c r="O450" s="16" t="n">
        <v>41455</v>
      </c>
      <c r="P450" s="6" t="s">
        <v>11172</v>
      </c>
      <c r="Q450" s="6" t="s">
        <v>81</v>
      </c>
      <c r="R450" s="6" t="s">
        <v>12543</v>
      </c>
      <c r="S450" s="6" t="s">
        <v>81</v>
      </c>
      <c r="T450" s="21" t="s">
        <v>81</v>
      </c>
      <c r="U450" s="6" t="s">
        <v>81</v>
      </c>
      <c r="V450" s="6" t="s">
        <v>81</v>
      </c>
      <c r="W450" s="6" t="s">
        <v>81</v>
      </c>
      <c r="X450" s="6" t="s">
        <v>81</v>
      </c>
      <c r="Y450" s="21" t="s">
        <v>81</v>
      </c>
      <c r="Z450" s="6" t="s">
        <v>81</v>
      </c>
      <c r="AA450" s="6" t="s">
        <v>81</v>
      </c>
      <c r="AB450" s="6" t="s">
        <v>81</v>
      </c>
      <c r="AC450" s="6" t="s">
        <v>10886</v>
      </c>
      <c r="AD450" s="16" t="n">
        <v>41455</v>
      </c>
      <c r="AE450" s="6" t="s">
        <v>14110</v>
      </c>
      <c r="AF450" s="6" t="s">
        <v>81</v>
      </c>
      <c r="AG450" s="6" t="s">
        <v>14534</v>
      </c>
      <c r="AH450" s="6" t="s">
        <v>15043</v>
      </c>
      <c r="AI450" s="6" t="s">
        <v>81</v>
      </c>
      <c r="AJ450" s="6" t="s">
        <v>17402</v>
      </c>
      <c r="AK450" s="6" t="s">
        <v>18391</v>
      </c>
      <c r="AL450" s="6" t="s">
        <v>18444</v>
      </c>
      <c r="AM450" s="6" t="s">
        <v>18558</v>
      </c>
      <c r="AN450" s="6" t="s">
        <v>19669</v>
      </c>
      <c r="AO450" s="6" t="s">
        <v>19780</v>
      </c>
      <c r="AP450" s="6" t="s">
        <v>81</v>
      </c>
      <c r="AQ450" s="6" t="s">
        <v>81</v>
      </c>
      <c r="AR450" s="6" t="s">
        <v>81</v>
      </c>
      <c r="AS450" s="6" t="s">
        <v>81</v>
      </c>
      <c r="AT450" s="6" t="s">
        <v>81</v>
      </c>
      <c r="AU450" s="6" t="s">
        <v>81</v>
      </c>
      <c r="AV450" s="6" t="s">
        <v>81</v>
      </c>
      <c r="AW450" s="6" t="s">
        <v>81</v>
      </c>
      <c r="AX450" s="6" t="s">
        <v>21042</v>
      </c>
      <c r="AY450" s="6" t="s">
        <v>22739</v>
      </c>
      <c r="AZ450" s="6" t="s">
        <v>81</v>
      </c>
      <c r="BA450" s="6" t="s">
        <v>81</v>
      </c>
      <c r="BB450" s="24" t="n">
        <v>21</v>
      </c>
      <c r="BC450" s="26"/>
      <c r="BD450" s="26"/>
      <c r="BE450" s="26"/>
      <c r="BF450" s="26"/>
      <c r="BG450" s="26"/>
      <c r="BH450" s="26"/>
      <c r="BI450" s="26"/>
      <c r="BJ450" s="26"/>
      <c r="BK450" s="26"/>
      <c r="BL450" s="26"/>
      <c r="BM450" s="26"/>
      <c r="BN450" s="26"/>
      <c r="BO450" s="26"/>
      <c r="BP450" s="16" t="n">
        <v>45737</v>
      </c>
      <c r="BQ450" s="28" t="str">
        <f>HYPERLINK("https://organic.ams.usda.gov/Integrity/Certificate.aspx?cid=31&amp;nopid=3920897745")</f>
        <v>https://organic.ams.usda.gov/Integrity/Certificate.aspx?cid=31&amp;nopid=3920897745</v>
      </c>
    </row>
    <row r="451">
      <c r="A451" t="s">
        <v>3</v>
      </c>
      <c r="B451" s="6" t="s">
        <v>39</v>
      </c>
      <c r="C451" s="6" t="s">
        <v>86</v>
      </c>
      <c r="D451" s="6" t="s">
        <v>131</v>
      </c>
      <c r="E451" s="10" t="s">
        <v>592</v>
      </c>
      <c r="F451" s="6" t="s">
        <v>3327</v>
      </c>
      <c r="G451" s="6" t="s">
        <v>5631</v>
      </c>
      <c r="H451" s="6" t="s">
        <v>6298</v>
      </c>
      <c r="I451" s="6" t="s">
        <v>8621</v>
      </c>
      <c r="J451" s="6" t="s">
        <v>9925</v>
      </c>
      <c r="K451" s="6" t="s">
        <v>10886</v>
      </c>
      <c r="L451" s="16" t="n">
        <v>41828</v>
      </c>
      <c r="M451" s="16" t="n">
        <v>45292</v>
      </c>
      <c r="N451" s="6" t="s">
        <v>10886</v>
      </c>
      <c r="O451" s="16" t="n">
        <v>41828</v>
      </c>
      <c r="P451" s="6" t="s">
        <v>11173</v>
      </c>
      <c r="Q451" s="6" t="s">
        <v>81</v>
      </c>
      <c r="R451" s="6" t="s">
        <v>6298</v>
      </c>
      <c r="S451" s="6" t="s">
        <v>10886</v>
      </c>
      <c r="T451" s="16" t="n">
        <v>42602</v>
      </c>
      <c r="U451" s="6" t="s">
        <v>13341</v>
      </c>
      <c r="V451" s="6" t="s">
        <v>81</v>
      </c>
      <c r="W451" s="6" t="s">
        <v>6298</v>
      </c>
      <c r="X451" s="6" t="s">
        <v>81</v>
      </c>
      <c r="Y451" s="21" t="s">
        <v>81</v>
      </c>
      <c r="Z451" s="6" t="s">
        <v>81</v>
      </c>
      <c r="AA451" s="6" t="s">
        <v>81</v>
      </c>
      <c r="AB451" s="6" t="s">
        <v>81</v>
      </c>
      <c r="AC451" s="6" t="s">
        <v>81</v>
      </c>
      <c r="AD451" s="21" t="s">
        <v>81</v>
      </c>
      <c r="AE451" s="6" t="s">
        <v>81</v>
      </c>
      <c r="AF451" s="6" t="s">
        <v>81</v>
      </c>
      <c r="AG451" s="6" t="s">
        <v>81</v>
      </c>
      <c r="AH451" s="6" t="s">
        <v>15044</v>
      </c>
      <c r="AI451" s="6" t="s">
        <v>81</v>
      </c>
      <c r="AJ451" s="6" t="s">
        <v>17609</v>
      </c>
      <c r="AK451" s="6" t="s">
        <v>18414</v>
      </c>
      <c r="AL451" s="6" t="s">
        <v>18444</v>
      </c>
      <c r="AM451" s="6" t="s">
        <v>18775</v>
      </c>
      <c r="AN451" s="6" t="s">
        <v>19698</v>
      </c>
      <c r="AO451" s="6" t="s">
        <v>19878</v>
      </c>
      <c r="AP451" s="6" t="s">
        <v>81</v>
      </c>
      <c r="AQ451" s="6" t="s">
        <v>81</v>
      </c>
      <c r="AR451" s="6" t="s">
        <v>81</v>
      </c>
      <c r="AS451" s="6" t="s">
        <v>81</v>
      </c>
      <c r="AT451" s="6" t="s">
        <v>81</v>
      </c>
      <c r="AU451" s="6" t="s">
        <v>81</v>
      </c>
      <c r="AV451" s="6" t="s">
        <v>81</v>
      </c>
      <c r="AW451" s="6" t="s">
        <v>81</v>
      </c>
      <c r="AX451" s="6" t="s">
        <v>81</v>
      </c>
      <c r="AY451" s="6" t="s">
        <v>81</v>
      </c>
      <c r="AZ451" s="6" t="s">
        <v>81</v>
      </c>
      <c r="BA451" s="6" t="s">
        <v>81</v>
      </c>
      <c r="BB451" s="24" t="n">
        <v>69</v>
      </c>
      <c r="BC451" s="26"/>
      <c r="BD451" s="26"/>
      <c r="BE451" s="26"/>
      <c r="BF451" s="26"/>
      <c r="BG451" s="26"/>
      <c r="BH451" s="26"/>
      <c r="BI451" s="26"/>
      <c r="BJ451" s="26"/>
      <c r="BK451" s="26"/>
      <c r="BL451" s="26"/>
      <c r="BM451" s="26"/>
      <c r="BN451" s="26"/>
      <c r="BO451" s="26"/>
      <c r="BP451" s="16" t="n">
        <v>45405</v>
      </c>
      <c r="BQ451" s="28" t="str">
        <f>HYPERLINK("https://organic.ams.usda.gov/Integrity/Certificate.aspx?cid=38&amp;nopid=5100043552")</f>
        <v>https://organic.ams.usda.gov/Integrity/Certificate.aspx?cid=38&amp;nopid=5100043552</v>
      </c>
    </row>
    <row r="452">
      <c r="A452" t="s">
        <v>3</v>
      </c>
      <c r="B452" s="6" t="s">
        <v>23</v>
      </c>
      <c r="C452" s="6" t="s">
        <v>70</v>
      </c>
      <c r="D452" s="6" t="s">
        <v>116</v>
      </c>
      <c r="E452" s="10" t="s">
        <v>593</v>
      </c>
      <c r="F452" s="6" t="s">
        <v>3328</v>
      </c>
      <c r="G452" s="6" t="s">
        <v>81</v>
      </c>
      <c r="H452" s="6" t="s">
        <v>6299</v>
      </c>
      <c r="I452" s="6" t="s">
        <v>8520</v>
      </c>
      <c r="J452" s="6" t="s">
        <v>9823</v>
      </c>
      <c r="K452" s="6" t="s">
        <v>10886</v>
      </c>
      <c r="L452" s="16" t="n">
        <v>43854</v>
      </c>
      <c r="M452" s="16" t="n">
        <v>45681</v>
      </c>
      <c r="N452" s="6" t="s">
        <v>81</v>
      </c>
      <c r="O452" s="21" t="s">
        <v>81</v>
      </c>
      <c r="P452" s="6" t="s">
        <v>81</v>
      </c>
      <c r="Q452" s="6" t="s">
        <v>81</v>
      </c>
      <c r="R452" s="6" t="s">
        <v>81</v>
      </c>
      <c r="S452" s="6" t="s">
        <v>10886</v>
      </c>
      <c r="T452" s="16" t="n">
        <v>43854</v>
      </c>
      <c r="U452" s="6" t="s">
        <v>13342</v>
      </c>
      <c r="V452" s="6" t="s">
        <v>81</v>
      </c>
      <c r="W452" s="6" t="s">
        <v>13971</v>
      </c>
      <c r="X452" s="6" t="s">
        <v>81</v>
      </c>
      <c r="Y452" s="21" t="s">
        <v>81</v>
      </c>
      <c r="Z452" s="6" t="s">
        <v>81</v>
      </c>
      <c r="AA452" s="6" t="s">
        <v>81</v>
      </c>
      <c r="AB452" s="6" t="s">
        <v>81</v>
      </c>
      <c r="AC452" s="6" t="s">
        <v>81</v>
      </c>
      <c r="AD452" s="21" t="s">
        <v>81</v>
      </c>
      <c r="AE452" s="6" t="s">
        <v>81</v>
      </c>
      <c r="AF452" s="6" t="s">
        <v>81</v>
      </c>
      <c r="AG452" s="6" t="s">
        <v>81</v>
      </c>
      <c r="AH452" s="6" t="s">
        <v>15045</v>
      </c>
      <c r="AI452" s="6" t="s">
        <v>81</v>
      </c>
      <c r="AJ452" s="6" t="s">
        <v>17610</v>
      </c>
      <c r="AK452" s="6" t="s">
        <v>18395</v>
      </c>
      <c r="AL452" s="6" t="s">
        <v>18444</v>
      </c>
      <c r="AM452" s="6" t="s">
        <v>18776</v>
      </c>
      <c r="AN452" s="6" t="s">
        <v>81</v>
      </c>
      <c r="AO452" s="6" t="s">
        <v>81</v>
      </c>
      <c r="AP452" s="6" t="s">
        <v>16724</v>
      </c>
      <c r="AQ452" s="6" t="s">
        <v>81</v>
      </c>
      <c r="AR452" s="6" t="s">
        <v>17610</v>
      </c>
      <c r="AS452" s="6" t="s">
        <v>18395</v>
      </c>
      <c r="AT452" s="6" t="s">
        <v>18444</v>
      </c>
      <c r="AU452" s="6" t="s">
        <v>18776</v>
      </c>
      <c r="AV452" s="6" t="s">
        <v>20717</v>
      </c>
      <c r="AW452" s="6" t="s">
        <v>20722</v>
      </c>
      <c r="AX452" s="6" t="s">
        <v>20920</v>
      </c>
      <c r="AY452" s="6" t="s">
        <v>22648</v>
      </c>
      <c r="AZ452" s="6" t="s">
        <v>81</v>
      </c>
      <c r="BA452" s="6" t="s">
        <v>81</v>
      </c>
      <c r="BB452" s="6" t="s">
        <v>81</v>
      </c>
      <c r="BC452" s="26"/>
      <c r="BD452" s="26"/>
      <c r="BE452" s="26"/>
      <c r="BF452" s="26"/>
      <c r="BG452" s="26"/>
      <c r="BH452" s="26"/>
      <c r="BI452" s="26"/>
      <c r="BJ452" s="26"/>
      <c r="BK452" s="26"/>
      <c r="BL452" s="26"/>
      <c r="BM452" s="26"/>
      <c r="BN452" s="26"/>
      <c r="BO452" s="26"/>
      <c r="BP452" s="16" t="n">
        <v>45394</v>
      </c>
      <c r="BQ452" s="28" t="str">
        <f>HYPERLINK("https://organic.ams.usda.gov/Integrity/Certificate.aspx?cid=63&amp;nopid=6220008076")</f>
        <v>https://organic.ams.usda.gov/Integrity/Certificate.aspx?cid=63&amp;nopid=6220008076</v>
      </c>
    </row>
    <row r="453">
      <c r="A453" t="s">
        <v>3</v>
      </c>
      <c r="B453" s="6" t="s">
        <v>34</v>
      </c>
      <c r="C453" s="6" t="s">
        <v>81</v>
      </c>
      <c r="D453" s="6" t="s">
        <v>81</v>
      </c>
      <c r="E453" s="10" t="s">
        <v>594</v>
      </c>
      <c r="F453" s="6" t="s">
        <v>3329</v>
      </c>
      <c r="G453" s="6" t="s">
        <v>5632</v>
      </c>
      <c r="H453" s="6" t="s">
        <v>6300</v>
      </c>
      <c r="I453" s="6" t="s">
        <v>8676</v>
      </c>
      <c r="J453" s="6" t="s">
        <v>9926</v>
      </c>
      <c r="K453" s="6" t="s">
        <v>10886</v>
      </c>
      <c r="L453" s="16" t="n">
        <v>37301</v>
      </c>
      <c r="M453" s="16" t="n">
        <v>45702</v>
      </c>
      <c r="N453" s="6" t="s">
        <v>81</v>
      </c>
      <c r="O453" s="21" t="s">
        <v>81</v>
      </c>
      <c r="P453" s="6" t="s">
        <v>81</v>
      </c>
      <c r="Q453" s="6" t="s">
        <v>81</v>
      </c>
      <c r="R453" s="6" t="s">
        <v>81</v>
      </c>
      <c r="S453" s="6" t="s">
        <v>81</v>
      </c>
      <c r="T453" s="21" t="s">
        <v>81</v>
      </c>
      <c r="U453" s="6" t="s">
        <v>81</v>
      </c>
      <c r="V453" s="6" t="s">
        <v>81</v>
      </c>
      <c r="W453" s="6" t="s">
        <v>81</v>
      </c>
      <c r="X453" s="6" t="s">
        <v>81</v>
      </c>
      <c r="Y453" s="21" t="s">
        <v>81</v>
      </c>
      <c r="Z453" s="6" t="s">
        <v>81</v>
      </c>
      <c r="AA453" s="6" t="s">
        <v>81</v>
      </c>
      <c r="AB453" s="6" t="s">
        <v>81</v>
      </c>
      <c r="AC453" s="6" t="s">
        <v>10886</v>
      </c>
      <c r="AD453" s="16" t="n">
        <v>37301</v>
      </c>
      <c r="AE453" s="6" t="s">
        <v>14111</v>
      </c>
      <c r="AF453" s="6" t="s">
        <v>81</v>
      </c>
      <c r="AG453" s="6" t="s">
        <v>6300</v>
      </c>
      <c r="AH453" s="6" t="s">
        <v>15046</v>
      </c>
      <c r="AI453" s="6" t="s">
        <v>81</v>
      </c>
      <c r="AJ453" s="6" t="s">
        <v>17561</v>
      </c>
      <c r="AK453" s="6" t="s">
        <v>18386</v>
      </c>
      <c r="AL453" s="6" t="s">
        <v>18444</v>
      </c>
      <c r="AM453" s="6" t="s">
        <v>18760</v>
      </c>
      <c r="AN453" s="6" t="s">
        <v>81</v>
      </c>
      <c r="AO453" s="6" t="s">
        <v>81</v>
      </c>
      <c r="AP453" s="6" t="s">
        <v>81</v>
      </c>
      <c r="AQ453" s="6" t="s">
        <v>81</v>
      </c>
      <c r="AR453" s="6" t="s">
        <v>81</v>
      </c>
      <c r="AS453" s="6" t="s">
        <v>81</v>
      </c>
      <c r="AT453" s="6" t="s">
        <v>81</v>
      </c>
      <c r="AU453" s="6" t="s">
        <v>81</v>
      </c>
      <c r="AV453" s="6" t="s">
        <v>81</v>
      </c>
      <c r="AW453" s="6" t="s">
        <v>81</v>
      </c>
      <c r="AX453" s="6" t="s">
        <v>21043</v>
      </c>
      <c r="AY453" s="6" t="s">
        <v>22740</v>
      </c>
      <c r="AZ453" s="6" t="s">
        <v>23622</v>
      </c>
      <c r="BA453" s="6" t="s">
        <v>23833</v>
      </c>
      <c r="BB453" s="6" t="s">
        <v>81</v>
      </c>
      <c r="BC453" s="26"/>
      <c r="BD453" s="26"/>
      <c r="BE453" s="26"/>
      <c r="BF453" s="26"/>
      <c r="BG453" s="26"/>
      <c r="BH453" s="26"/>
      <c r="BI453" s="26"/>
      <c r="BJ453" s="26"/>
      <c r="BK453" s="26"/>
      <c r="BL453" s="26"/>
      <c r="BM453" s="26"/>
      <c r="BN453" s="26"/>
      <c r="BO453" s="26"/>
      <c r="BP453" s="16" t="n">
        <v>45629</v>
      </c>
      <c r="BQ453" s="28" t="str">
        <f>HYPERLINK("")</f>
      </c>
    </row>
    <row r="454">
      <c r="A454" t="s">
        <v>3</v>
      </c>
      <c r="B454" s="6" t="s">
        <v>36</v>
      </c>
      <c r="C454" s="6" t="s">
        <v>83</v>
      </c>
      <c r="D454" s="6" t="s">
        <v>128</v>
      </c>
      <c r="E454" s="10" t="s">
        <v>595</v>
      </c>
      <c r="F454" s="6" t="s">
        <v>3330</v>
      </c>
      <c r="G454" s="6" t="s">
        <v>5633</v>
      </c>
      <c r="H454" s="6" t="s">
        <v>6301</v>
      </c>
      <c r="I454" s="6" t="s">
        <v>8677</v>
      </c>
      <c r="J454" s="6" t="s">
        <v>9927</v>
      </c>
      <c r="K454" s="6" t="s">
        <v>10886</v>
      </c>
      <c r="L454" s="16" t="n">
        <v>39181</v>
      </c>
      <c r="M454" s="16" t="n">
        <v>45596</v>
      </c>
      <c r="N454" s="6" t="s">
        <v>81</v>
      </c>
      <c r="O454" s="21" t="s">
        <v>81</v>
      </c>
      <c r="P454" s="6" t="s">
        <v>81</v>
      </c>
      <c r="Q454" s="6" t="s">
        <v>81</v>
      </c>
      <c r="R454" s="6" t="s">
        <v>81</v>
      </c>
      <c r="S454" s="6" t="s">
        <v>81</v>
      </c>
      <c r="T454" s="21" t="s">
        <v>81</v>
      </c>
      <c r="U454" s="6" t="s">
        <v>81</v>
      </c>
      <c r="V454" s="6" t="s">
        <v>81</v>
      </c>
      <c r="W454" s="6" t="s">
        <v>81</v>
      </c>
      <c r="X454" s="6" t="s">
        <v>81</v>
      </c>
      <c r="Y454" s="21" t="s">
        <v>81</v>
      </c>
      <c r="Z454" s="6" t="s">
        <v>81</v>
      </c>
      <c r="AA454" s="6" t="s">
        <v>81</v>
      </c>
      <c r="AB454" s="6" t="s">
        <v>81</v>
      </c>
      <c r="AC454" s="6" t="s">
        <v>10886</v>
      </c>
      <c r="AD454" s="16" t="n">
        <v>39181</v>
      </c>
      <c r="AE454" s="6" t="s">
        <v>14112</v>
      </c>
      <c r="AF454" s="6" t="s">
        <v>81</v>
      </c>
      <c r="AG454" s="6" t="s">
        <v>6301</v>
      </c>
      <c r="AH454" s="6" t="s">
        <v>15047</v>
      </c>
      <c r="AI454" s="6" t="s">
        <v>81</v>
      </c>
      <c r="AJ454" s="6" t="s">
        <v>17611</v>
      </c>
      <c r="AK454" s="6" t="s">
        <v>18395</v>
      </c>
      <c r="AL454" s="6" t="s">
        <v>18444</v>
      </c>
      <c r="AM454" s="6" t="s">
        <v>18777</v>
      </c>
      <c r="AN454" s="6" t="s">
        <v>19699</v>
      </c>
      <c r="AO454" s="6" t="s">
        <v>19879</v>
      </c>
      <c r="AP454" s="6" t="s">
        <v>20161</v>
      </c>
      <c r="AQ454" s="6" t="s">
        <v>81</v>
      </c>
      <c r="AR454" s="6" t="s">
        <v>17611</v>
      </c>
      <c r="AS454" s="6" t="s">
        <v>18395</v>
      </c>
      <c r="AT454" s="6" t="s">
        <v>18444</v>
      </c>
      <c r="AU454" s="6" t="s">
        <v>18777</v>
      </c>
      <c r="AV454" s="6" t="s">
        <v>19699</v>
      </c>
      <c r="AW454" s="6" t="s">
        <v>19879</v>
      </c>
      <c r="AX454" s="6" t="s">
        <v>21044</v>
      </c>
      <c r="AY454" s="6" t="s">
        <v>22741</v>
      </c>
      <c r="AZ454" s="6" t="s">
        <v>81</v>
      </c>
      <c r="BA454" s="6" t="s">
        <v>81</v>
      </c>
      <c r="BB454" s="6" t="s">
        <v>81</v>
      </c>
      <c r="BC454" s="26"/>
      <c r="BD454" s="26"/>
      <c r="BE454" s="26"/>
      <c r="BF454" s="26"/>
      <c r="BG454" s="26"/>
      <c r="BH454" s="26"/>
      <c r="BI454" s="26"/>
      <c r="BJ454" s="26"/>
      <c r="BK454" s="26"/>
      <c r="BL454" s="26"/>
      <c r="BM454" s="26"/>
      <c r="BN454" s="26"/>
      <c r="BO454" s="26"/>
      <c r="BP454" s="16" t="n">
        <v>45593</v>
      </c>
      <c r="BQ454" s="28" t="str">
        <f>HYPERLINK("https://organic.ams.usda.gov/Integrity/Certificate.aspx?cid=77&amp;nopid=3510467664")</f>
        <v>https://organic.ams.usda.gov/Integrity/Certificate.aspx?cid=77&amp;nopid=3510467664</v>
      </c>
    </row>
    <row r="455">
      <c r="A455" t="s">
        <v>3</v>
      </c>
      <c r="B455" s="6" t="s">
        <v>7</v>
      </c>
      <c r="C455" s="6" t="s">
        <v>54</v>
      </c>
      <c r="D455" s="6" t="s">
        <v>100</v>
      </c>
      <c r="E455" s="10" t="s">
        <v>596</v>
      </c>
      <c r="F455" s="6" t="s">
        <v>3331</v>
      </c>
      <c r="G455" s="6" t="s">
        <v>81</v>
      </c>
      <c r="H455" s="6" t="s">
        <v>6302</v>
      </c>
      <c r="I455" s="6" t="s">
        <v>8586</v>
      </c>
      <c r="J455" s="6" t="s">
        <v>9928</v>
      </c>
      <c r="K455" s="6" t="s">
        <v>10886</v>
      </c>
      <c r="L455" s="16" t="n">
        <v>39206</v>
      </c>
      <c r="M455" s="16" t="n">
        <v>45716</v>
      </c>
      <c r="N455" s="6" t="s">
        <v>10886</v>
      </c>
      <c r="O455" s="16" t="n">
        <v>39206</v>
      </c>
      <c r="P455" s="6" t="s">
        <v>11174</v>
      </c>
      <c r="Q455" s="6" t="s">
        <v>81</v>
      </c>
      <c r="R455" s="6" t="s">
        <v>81</v>
      </c>
      <c r="S455" s="6" t="s">
        <v>10886</v>
      </c>
      <c r="T455" s="16" t="n">
        <v>39211</v>
      </c>
      <c r="U455" s="6" t="s">
        <v>13169</v>
      </c>
      <c r="V455" s="6" t="s">
        <v>81</v>
      </c>
      <c r="W455" s="6" t="s">
        <v>81</v>
      </c>
      <c r="X455" s="6" t="s">
        <v>81</v>
      </c>
      <c r="Y455" s="21" t="s">
        <v>81</v>
      </c>
      <c r="Z455" s="6" t="s">
        <v>81</v>
      </c>
      <c r="AA455" s="6" t="s">
        <v>81</v>
      </c>
      <c r="AB455" s="6" t="s">
        <v>81</v>
      </c>
      <c r="AC455" s="6" t="s">
        <v>81</v>
      </c>
      <c r="AD455" s="21" t="s">
        <v>81</v>
      </c>
      <c r="AE455" s="6" t="s">
        <v>81</v>
      </c>
      <c r="AF455" s="6" t="s">
        <v>81</v>
      </c>
      <c r="AG455" s="6" t="s">
        <v>81</v>
      </c>
      <c r="AH455" s="6" t="s">
        <v>15048</v>
      </c>
      <c r="AI455" s="6" t="s">
        <v>81</v>
      </c>
      <c r="AJ455" s="6" t="s">
        <v>17521</v>
      </c>
      <c r="AK455" s="6" t="s">
        <v>18380</v>
      </c>
      <c r="AL455" s="6" t="s">
        <v>18444</v>
      </c>
      <c r="AM455" s="6" t="s">
        <v>18686</v>
      </c>
      <c r="AN455" s="6" t="s">
        <v>19660</v>
      </c>
      <c r="AO455" s="6" t="s">
        <v>19833</v>
      </c>
      <c r="AP455" s="6" t="s">
        <v>15048</v>
      </c>
      <c r="AQ455" s="6" t="s">
        <v>81</v>
      </c>
      <c r="AR455" s="6" t="s">
        <v>17521</v>
      </c>
      <c r="AS455" s="6" t="s">
        <v>18380</v>
      </c>
      <c r="AT455" s="6" t="s">
        <v>18444</v>
      </c>
      <c r="AU455" s="6" t="s">
        <v>18686</v>
      </c>
      <c r="AV455" s="6" t="s">
        <v>81</v>
      </c>
      <c r="AW455" s="6" t="s">
        <v>81</v>
      </c>
      <c r="AX455" s="6" t="s">
        <v>21045</v>
      </c>
      <c r="AY455" s="6" t="s">
        <v>22742</v>
      </c>
      <c r="AZ455" s="6" t="s">
        <v>81</v>
      </c>
      <c r="BA455" s="6" t="s">
        <v>81</v>
      </c>
      <c r="BB455" s="24" t="n">
        <v>417</v>
      </c>
      <c r="BC455" s="26"/>
      <c r="BD455" s="26"/>
      <c r="BE455" s="26"/>
      <c r="BF455" s="26" t="s">
        <v>23900</v>
      </c>
      <c r="BG455" s="26"/>
      <c r="BH455" s="26"/>
      <c r="BI455" s="26"/>
      <c r="BJ455" s="26"/>
      <c r="BK455" s="26"/>
      <c r="BL455" s="26"/>
      <c r="BM455" s="26"/>
      <c r="BN455" s="26"/>
      <c r="BO455" s="26"/>
      <c r="BP455" s="16" t="n">
        <v>45595</v>
      </c>
      <c r="BQ455" s="28" t="str">
        <f>HYPERLINK("https://organic.ams.usda.gov/Integrity/Certificate.aspx?cid=57&amp;nopid=3250200691")</f>
        <v>https://organic.ams.usda.gov/Integrity/Certificate.aspx?cid=57&amp;nopid=3250200691</v>
      </c>
    </row>
    <row r="456">
      <c r="A456" t="s">
        <v>3</v>
      </c>
      <c r="B456" s="6" t="s">
        <v>23</v>
      </c>
      <c r="C456" s="6" t="s">
        <v>70</v>
      </c>
      <c r="D456" s="6" t="s">
        <v>116</v>
      </c>
      <c r="E456" s="10" t="s">
        <v>597</v>
      </c>
      <c r="F456" s="6" t="s">
        <v>3332</v>
      </c>
      <c r="G456" s="6" t="s">
        <v>81</v>
      </c>
      <c r="H456" s="6" t="s">
        <v>6303</v>
      </c>
      <c r="I456" s="6" t="s">
        <v>8678</v>
      </c>
      <c r="J456" s="6" t="s">
        <v>9929</v>
      </c>
      <c r="K456" s="6" t="s">
        <v>10886</v>
      </c>
      <c r="L456" s="16" t="n">
        <v>44481</v>
      </c>
      <c r="M456" s="16" t="n">
        <v>46053</v>
      </c>
      <c r="N456" s="6" t="s">
        <v>10886</v>
      </c>
      <c r="O456" s="16" t="n">
        <v>44481</v>
      </c>
      <c r="P456" s="6" t="s">
        <v>11031</v>
      </c>
      <c r="Q456" s="6" t="s">
        <v>81</v>
      </c>
      <c r="R456" s="6" t="s">
        <v>12544</v>
      </c>
      <c r="S456" s="6" t="s">
        <v>10886</v>
      </c>
      <c r="T456" s="16" t="n">
        <v>44481</v>
      </c>
      <c r="U456" s="6" t="s">
        <v>13343</v>
      </c>
      <c r="V456" s="6" t="s">
        <v>81</v>
      </c>
      <c r="W456" s="6" t="s">
        <v>12544</v>
      </c>
      <c r="X456" s="6" t="s">
        <v>81</v>
      </c>
      <c r="Y456" s="21" t="s">
        <v>81</v>
      </c>
      <c r="Z456" s="6" t="s">
        <v>81</v>
      </c>
      <c r="AA456" s="6" t="s">
        <v>81</v>
      </c>
      <c r="AB456" s="6" t="s">
        <v>81</v>
      </c>
      <c r="AC456" s="6" t="s">
        <v>81</v>
      </c>
      <c r="AD456" s="21" t="s">
        <v>81</v>
      </c>
      <c r="AE456" s="6" t="s">
        <v>81</v>
      </c>
      <c r="AF456" s="6" t="s">
        <v>81</v>
      </c>
      <c r="AG456" s="6" t="s">
        <v>81</v>
      </c>
      <c r="AH456" s="6" t="s">
        <v>15049</v>
      </c>
      <c r="AI456" s="6" t="s">
        <v>81</v>
      </c>
      <c r="AJ456" s="6" t="s">
        <v>17506</v>
      </c>
      <c r="AK456" s="6" t="s">
        <v>18386</v>
      </c>
      <c r="AL456" s="6" t="s">
        <v>18444</v>
      </c>
      <c r="AM456" s="6" t="s">
        <v>18667</v>
      </c>
      <c r="AN456" s="6" t="s">
        <v>81</v>
      </c>
      <c r="AO456" s="6" t="s">
        <v>81</v>
      </c>
      <c r="AP456" s="6" t="s">
        <v>20162</v>
      </c>
      <c r="AQ456" s="6" t="s">
        <v>81</v>
      </c>
      <c r="AR456" s="6" t="s">
        <v>17623</v>
      </c>
      <c r="AS456" s="6" t="s">
        <v>18386</v>
      </c>
      <c r="AT456" s="6" t="s">
        <v>18444</v>
      </c>
      <c r="AU456" s="6" t="s">
        <v>18790</v>
      </c>
      <c r="AV456" s="6" t="s">
        <v>19651</v>
      </c>
      <c r="AW456" s="6" t="s">
        <v>19864</v>
      </c>
      <c r="AX456" s="6" t="s">
        <v>21046</v>
      </c>
      <c r="AY456" s="6" t="s">
        <v>22743</v>
      </c>
      <c r="AZ456" s="6" t="s">
        <v>81</v>
      </c>
      <c r="BA456" s="6" t="s">
        <v>81</v>
      </c>
      <c r="BB456" s="24" t="n">
        <v>77</v>
      </c>
      <c r="BC456" s="26"/>
      <c r="BD456" s="26"/>
      <c r="BE456" s="26"/>
      <c r="BF456" s="26"/>
      <c r="BG456" s="26"/>
      <c r="BH456" s="26"/>
      <c r="BI456" s="26"/>
      <c r="BJ456" s="26"/>
      <c r="BK456" s="26"/>
      <c r="BL456" s="26"/>
      <c r="BM456" s="26"/>
      <c r="BN456" s="26"/>
      <c r="BO456" s="26"/>
      <c r="BP456" s="16" t="n">
        <v>45715</v>
      </c>
      <c r="BQ456" s="28" t="str">
        <f>HYPERLINK("https://organic.ams.usda.gov/Integrity/Certificate.aspx?cid=63&amp;nopid=6220007424")</f>
        <v>https://organic.ams.usda.gov/Integrity/Certificate.aspx?cid=63&amp;nopid=6220007424</v>
      </c>
    </row>
    <row r="457">
      <c r="A457" t="s">
        <v>3</v>
      </c>
      <c r="B457" s="6" t="s">
        <v>30</v>
      </c>
      <c r="C457" s="6" t="s">
        <v>77</v>
      </c>
      <c r="D457" s="6" t="s">
        <v>123</v>
      </c>
      <c r="E457" s="10" t="s">
        <v>598</v>
      </c>
      <c r="F457" s="6" t="s">
        <v>3333</v>
      </c>
      <c r="G457" s="6" t="s">
        <v>81</v>
      </c>
      <c r="H457" s="6" t="s">
        <v>6304</v>
      </c>
      <c r="I457" s="6" t="s">
        <v>8679</v>
      </c>
      <c r="J457" s="6" t="s">
        <v>9930</v>
      </c>
      <c r="K457" s="6" t="s">
        <v>10886</v>
      </c>
      <c r="L457" s="16" t="n">
        <v>37551</v>
      </c>
      <c r="M457" s="16" t="n">
        <v>45747</v>
      </c>
      <c r="N457" s="6" t="s">
        <v>10886</v>
      </c>
      <c r="O457" s="16" t="n">
        <v>37551</v>
      </c>
      <c r="P457" s="6" t="s">
        <v>10922</v>
      </c>
      <c r="Q457" s="6" t="s">
        <v>81</v>
      </c>
      <c r="R457" s="6" t="s">
        <v>6304</v>
      </c>
      <c r="S457" s="6" t="s">
        <v>10886</v>
      </c>
      <c r="T457" s="16" t="n">
        <v>37551</v>
      </c>
      <c r="U457" s="6" t="s">
        <v>13344</v>
      </c>
      <c r="V457" s="6" t="s">
        <v>81</v>
      </c>
      <c r="W457" s="6" t="s">
        <v>13972</v>
      </c>
      <c r="X457" s="6" t="s">
        <v>81</v>
      </c>
      <c r="Y457" s="21" t="s">
        <v>81</v>
      </c>
      <c r="Z457" s="6" t="s">
        <v>81</v>
      </c>
      <c r="AA457" s="6" t="s">
        <v>81</v>
      </c>
      <c r="AB457" s="6" t="s">
        <v>81</v>
      </c>
      <c r="AC457" s="6" t="s">
        <v>81</v>
      </c>
      <c r="AD457" s="21" t="s">
        <v>81</v>
      </c>
      <c r="AE457" s="6" t="s">
        <v>81</v>
      </c>
      <c r="AF457" s="6" t="s">
        <v>81</v>
      </c>
      <c r="AG457" s="6" t="s">
        <v>81</v>
      </c>
      <c r="AH457" s="6" t="s">
        <v>15050</v>
      </c>
      <c r="AI457" s="6" t="s">
        <v>81</v>
      </c>
      <c r="AJ457" s="6" t="s">
        <v>17612</v>
      </c>
      <c r="AK457" s="6" t="s">
        <v>17712</v>
      </c>
      <c r="AL457" s="6" t="s">
        <v>18444</v>
      </c>
      <c r="AM457" s="6" t="s">
        <v>18778</v>
      </c>
      <c r="AN457" s="6" t="s">
        <v>7926</v>
      </c>
      <c r="AO457" s="6" t="s">
        <v>19842</v>
      </c>
      <c r="AP457" s="6" t="s">
        <v>15050</v>
      </c>
      <c r="AQ457" s="6" t="s">
        <v>81</v>
      </c>
      <c r="AR457" s="6" t="s">
        <v>17612</v>
      </c>
      <c r="AS457" s="6" t="s">
        <v>17712</v>
      </c>
      <c r="AT457" s="6" t="s">
        <v>18444</v>
      </c>
      <c r="AU457" s="6" t="s">
        <v>18778</v>
      </c>
      <c r="AV457" s="6" t="s">
        <v>81</v>
      </c>
      <c r="AW457" s="6" t="s">
        <v>81</v>
      </c>
      <c r="AX457" s="6" t="s">
        <v>21047</v>
      </c>
      <c r="AY457" s="6" t="s">
        <v>22744</v>
      </c>
      <c r="AZ457" s="6" t="s">
        <v>81</v>
      </c>
      <c r="BA457" s="6" t="s">
        <v>81</v>
      </c>
      <c r="BB457" s="24" t="n">
        <v>370</v>
      </c>
      <c r="BC457" s="26"/>
      <c r="BD457" s="26"/>
      <c r="BE457" s="26"/>
      <c r="BF457" s="26"/>
      <c r="BG457" s="26"/>
      <c r="BH457" s="26"/>
      <c r="BI457" s="26"/>
      <c r="BJ457" s="26"/>
      <c r="BK457" s="26"/>
      <c r="BL457" s="26"/>
      <c r="BM457" s="26"/>
      <c r="BN457" s="26"/>
      <c r="BO457" s="26"/>
      <c r="BP457" s="16" t="n">
        <v>45614</v>
      </c>
      <c r="BQ457" s="28" t="str">
        <f>HYPERLINK("https://organic.ams.usda.gov/Integrity/Certificate.aspx?cid=70&amp;nopid=6430296500")</f>
        <v>https://organic.ams.usda.gov/Integrity/Certificate.aspx?cid=70&amp;nopid=6430296500</v>
      </c>
    </row>
    <row r="458">
      <c r="A458" t="s">
        <v>3</v>
      </c>
      <c r="B458" s="6" t="s">
        <v>16</v>
      </c>
      <c r="C458" s="6" t="s">
        <v>63</v>
      </c>
      <c r="D458" s="6" t="s">
        <v>109</v>
      </c>
      <c r="E458" s="10" t="s">
        <v>599</v>
      </c>
      <c r="F458" s="6" t="s">
        <v>3334</v>
      </c>
      <c r="G458" s="6" t="s">
        <v>81</v>
      </c>
      <c r="H458" s="6" t="s">
        <v>6305</v>
      </c>
      <c r="I458" s="6" t="s">
        <v>8680</v>
      </c>
      <c r="J458" s="6" t="s">
        <v>9931</v>
      </c>
      <c r="K458" s="6" t="s">
        <v>10886</v>
      </c>
      <c r="L458" s="16" t="n">
        <v>36718</v>
      </c>
      <c r="M458" s="16" t="n">
        <v>45731</v>
      </c>
      <c r="N458" s="6" t="s">
        <v>10886</v>
      </c>
      <c r="O458" s="16" t="n">
        <v>36718</v>
      </c>
      <c r="P458" s="6" t="s">
        <v>11175</v>
      </c>
      <c r="Q458" s="6" t="s">
        <v>81</v>
      </c>
      <c r="R458" s="6" t="s">
        <v>81</v>
      </c>
      <c r="S458" s="6" t="s">
        <v>10886</v>
      </c>
      <c r="T458" s="16" t="n">
        <v>36718</v>
      </c>
      <c r="U458" s="6" t="s">
        <v>13281</v>
      </c>
      <c r="V458" s="6" t="s">
        <v>81</v>
      </c>
      <c r="W458" s="6" t="s">
        <v>81</v>
      </c>
      <c r="X458" s="6" t="s">
        <v>81</v>
      </c>
      <c r="Y458" s="21" t="s">
        <v>81</v>
      </c>
      <c r="Z458" s="6" t="s">
        <v>81</v>
      </c>
      <c r="AA458" s="6" t="s">
        <v>81</v>
      </c>
      <c r="AB458" s="6" t="s">
        <v>81</v>
      </c>
      <c r="AC458" s="6" t="s">
        <v>10886</v>
      </c>
      <c r="AD458" s="16" t="n">
        <v>36718</v>
      </c>
      <c r="AE458" s="6" t="s">
        <v>81</v>
      </c>
      <c r="AF458" s="6" t="s">
        <v>81</v>
      </c>
      <c r="AG458" s="6" t="s">
        <v>81</v>
      </c>
      <c r="AH458" s="6" t="s">
        <v>15051</v>
      </c>
      <c r="AI458" s="6" t="s">
        <v>81</v>
      </c>
      <c r="AJ458" s="6" t="s">
        <v>17613</v>
      </c>
      <c r="AK458" s="6" t="s">
        <v>18383</v>
      </c>
      <c r="AL458" s="6" t="s">
        <v>18444</v>
      </c>
      <c r="AM458" s="6" t="s">
        <v>18779</v>
      </c>
      <c r="AN458" s="6" t="s">
        <v>19646</v>
      </c>
      <c r="AO458" s="6" t="s">
        <v>19841</v>
      </c>
      <c r="AP458" s="6" t="s">
        <v>81</v>
      </c>
      <c r="AQ458" s="6" t="s">
        <v>81</v>
      </c>
      <c r="AR458" s="6" t="s">
        <v>81</v>
      </c>
      <c r="AS458" s="6" t="s">
        <v>81</v>
      </c>
      <c r="AT458" s="6" t="s">
        <v>81</v>
      </c>
      <c r="AU458" s="6" t="s">
        <v>81</v>
      </c>
      <c r="AV458" s="6" t="s">
        <v>81</v>
      </c>
      <c r="AW458" s="6" t="s">
        <v>81</v>
      </c>
      <c r="AX458" s="6" t="s">
        <v>21048</v>
      </c>
      <c r="AY458" s="6" t="s">
        <v>81</v>
      </c>
      <c r="AZ458" s="6" t="s">
        <v>81</v>
      </c>
      <c r="BA458" s="6" t="s">
        <v>81</v>
      </c>
      <c r="BB458" s="24" t="n">
        <v>504</v>
      </c>
      <c r="BC458" s="26"/>
      <c r="BD458" s="26"/>
      <c r="BE458" s="26"/>
      <c r="BF458" s="26"/>
      <c r="BG458" s="26"/>
      <c r="BH458" s="26"/>
      <c r="BI458" s="26"/>
      <c r="BJ458" s="26"/>
      <c r="BK458" s="26"/>
      <c r="BL458" s="26"/>
      <c r="BM458" s="26"/>
      <c r="BN458" s="26"/>
      <c r="BO458" s="26"/>
      <c r="BP458" s="16" t="n">
        <v>45701</v>
      </c>
      <c r="BQ458" s="28" t="str">
        <f>HYPERLINK("https://organic.ams.usda.gov/Integrity/Certificate.aspx?cid=81&amp;nopid=4210020029")</f>
        <v>https://organic.ams.usda.gov/Integrity/Certificate.aspx?cid=81&amp;nopid=4210020029</v>
      </c>
    </row>
    <row r="459">
      <c r="A459" t="s">
        <v>3</v>
      </c>
      <c r="B459" s="6" t="s">
        <v>8</v>
      </c>
      <c r="C459" s="6" t="s">
        <v>55</v>
      </c>
      <c r="D459" s="6" t="s">
        <v>101</v>
      </c>
      <c r="E459" s="10" t="s">
        <v>600</v>
      </c>
      <c r="F459" s="6" t="s">
        <v>3335</v>
      </c>
      <c r="G459" s="6" t="s">
        <v>81</v>
      </c>
      <c r="H459" s="6" t="s">
        <v>6306</v>
      </c>
      <c r="I459" s="6" t="s">
        <v>8574</v>
      </c>
      <c r="J459" s="6" t="s">
        <v>9932</v>
      </c>
      <c r="K459" s="6" t="s">
        <v>10886</v>
      </c>
      <c r="L459" s="16" t="n">
        <v>37530</v>
      </c>
      <c r="M459" s="16" t="n">
        <v>45383</v>
      </c>
      <c r="N459" s="6" t="s">
        <v>10886</v>
      </c>
      <c r="O459" s="16" t="n">
        <v>37530</v>
      </c>
      <c r="P459" s="6" t="s">
        <v>11176</v>
      </c>
      <c r="Q459" s="6" t="s">
        <v>81</v>
      </c>
      <c r="R459" s="6" t="s">
        <v>6306</v>
      </c>
      <c r="S459" s="6" t="s">
        <v>10886</v>
      </c>
      <c r="T459" s="16" t="n">
        <v>37530</v>
      </c>
      <c r="U459" s="6" t="s">
        <v>13345</v>
      </c>
      <c r="V459" s="6" t="s">
        <v>81</v>
      </c>
      <c r="W459" s="6" t="s">
        <v>6306</v>
      </c>
      <c r="X459" s="6" t="s">
        <v>81</v>
      </c>
      <c r="Y459" s="21" t="s">
        <v>81</v>
      </c>
      <c r="Z459" s="6" t="s">
        <v>81</v>
      </c>
      <c r="AA459" s="6" t="s">
        <v>81</v>
      </c>
      <c r="AB459" s="6" t="s">
        <v>81</v>
      </c>
      <c r="AC459" s="6" t="s">
        <v>81</v>
      </c>
      <c r="AD459" s="21" t="s">
        <v>81</v>
      </c>
      <c r="AE459" s="6" t="s">
        <v>81</v>
      </c>
      <c r="AF459" s="6" t="s">
        <v>81</v>
      </c>
      <c r="AG459" s="6" t="s">
        <v>81</v>
      </c>
      <c r="AH459" s="6" t="s">
        <v>15052</v>
      </c>
      <c r="AI459" s="6" t="s">
        <v>81</v>
      </c>
      <c r="AJ459" s="6" t="s">
        <v>8537</v>
      </c>
      <c r="AK459" s="6" t="s">
        <v>18381</v>
      </c>
      <c r="AL459" s="6" t="s">
        <v>18444</v>
      </c>
      <c r="AM459" s="6" t="s">
        <v>18780</v>
      </c>
      <c r="AN459" s="6" t="s">
        <v>7926</v>
      </c>
      <c r="AO459" s="6" t="s">
        <v>19880</v>
      </c>
      <c r="AP459" s="6" t="s">
        <v>81</v>
      </c>
      <c r="AQ459" s="6" t="s">
        <v>81</v>
      </c>
      <c r="AR459" s="6" t="s">
        <v>81</v>
      </c>
      <c r="AS459" s="6" t="s">
        <v>81</v>
      </c>
      <c r="AT459" s="6" t="s">
        <v>81</v>
      </c>
      <c r="AU459" s="6" t="s">
        <v>81</v>
      </c>
      <c r="AV459" s="6" t="s">
        <v>81</v>
      </c>
      <c r="AW459" s="6" t="s">
        <v>81</v>
      </c>
      <c r="AX459" s="6" t="s">
        <v>81</v>
      </c>
      <c r="AY459" s="6" t="s">
        <v>81</v>
      </c>
      <c r="AZ459" s="6" t="s">
        <v>81</v>
      </c>
      <c r="BA459" s="6" t="s">
        <v>6306</v>
      </c>
      <c r="BB459" s="24" t="n">
        <v>336</v>
      </c>
      <c r="BC459" s="26"/>
      <c r="BD459" s="26"/>
      <c r="BE459" s="26"/>
      <c r="BF459" s="26"/>
      <c r="BG459" s="26"/>
      <c r="BH459" s="26"/>
      <c r="BI459" s="26"/>
      <c r="BJ459" s="26"/>
      <c r="BK459" s="26"/>
      <c r="BL459" s="26"/>
      <c r="BM459" s="26"/>
      <c r="BN459" s="26"/>
      <c r="BO459" s="26"/>
      <c r="BP459" s="16" t="n">
        <v>45425</v>
      </c>
      <c r="BQ459" s="28" t="str">
        <f>HYPERLINK("https://organic.ams.usda.gov/Integrity/Certificate.aspx?cid=45&amp;nopid=9950000907")</f>
        <v>https://organic.ams.usda.gov/Integrity/Certificate.aspx?cid=45&amp;nopid=9950000907</v>
      </c>
    </row>
    <row r="460">
      <c r="A460" t="s">
        <v>3</v>
      </c>
      <c r="B460" s="6" t="s">
        <v>8</v>
      </c>
      <c r="C460" s="6" t="s">
        <v>55</v>
      </c>
      <c r="D460" s="6" t="s">
        <v>101</v>
      </c>
      <c r="E460" s="10" t="s">
        <v>601</v>
      </c>
      <c r="F460" s="6" t="s">
        <v>3336</v>
      </c>
      <c r="G460" s="6" t="s">
        <v>81</v>
      </c>
      <c r="H460" s="6" t="s">
        <v>6307</v>
      </c>
      <c r="I460" s="6" t="s">
        <v>8681</v>
      </c>
      <c r="J460" s="6" t="s">
        <v>9933</v>
      </c>
      <c r="K460" s="6" t="s">
        <v>10886</v>
      </c>
      <c r="L460" s="16" t="n">
        <v>42753</v>
      </c>
      <c r="M460" s="16" t="n">
        <v>45383</v>
      </c>
      <c r="N460" s="6" t="s">
        <v>10886</v>
      </c>
      <c r="O460" s="16" t="n">
        <v>42753</v>
      </c>
      <c r="P460" s="6" t="s">
        <v>11177</v>
      </c>
      <c r="Q460" s="6" t="s">
        <v>81</v>
      </c>
      <c r="R460" s="6" t="s">
        <v>6307</v>
      </c>
      <c r="S460" s="6" t="s">
        <v>10886</v>
      </c>
      <c r="T460" s="16" t="n">
        <v>42753</v>
      </c>
      <c r="U460" s="6" t="s">
        <v>13221</v>
      </c>
      <c r="V460" s="6" t="s">
        <v>81</v>
      </c>
      <c r="W460" s="6" t="s">
        <v>6307</v>
      </c>
      <c r="X460" s="6" t="s">
        <v>81</v>
      </c>
      <c r="Y460" s="21" t="s">
        <v>81</v>
      </c>
      <c r="Z460" s="6" t="s">
        <v>81</v>
      </c>
      <c r="AA460" s="6" t="s">
        <v>81</v>
      </c>
      <c r="AB460" s="6" t="s">
        <v>81</v>
      </c>
      <c r="AC460" s="6" t="s">
        <v>81</v>
      </c>
      <c r="AD460" s="21" t="s">
        <v>81</v>
      </c>
      <c r="AE460" s="6" t="s">
        <v>81</v>
      </c>
      <c r="AF460" s="6" t="s">
        <v>81</v>
      </c>
      <c r="AG460" s="6" t="s">
        <v>81</v>
      </c>
      <c r="AH460" s="6" t="s">
        <v>15053</v>
      </c>
      <c r="AI460" s="6" t="s">
        <v>81</v>
      </c>
      <c r="AJ460" s="6" t="s">
        <v>9786</v>
      </c>
      <c r="AK460" s="6" t="s">
        <v>18385</v>
      </c>
      <c r="AL460" s="6" t="s">
        <v>18444</v>
      </c>
      <c r="AM460" s="6" t="s">
        <v>18781</v>
      </c>
      <c r="AN460" s="6" t="s">
        <v>19671</v>
      </c>
      <c r="AO460" s="6" t="s">
        <v>19875</v>
      </c>
      <c r="AP460" s="6" t="s">
        <v>20163</v>
      </c>
      <c r="AQ460" s="6" t="s">
        <v>81</v>
      </c>
      <c r="AR460" s="6" t="s">
        <v>9786</v>
      </c>
      <c r="AS460" s="6" t="s">
        <v>18385</v>
      </c>
      <c r="AT460" s="6" t="s">
        <v>18444</v>
      </c>
      <c r="AU460" s="6" t="s">
        <v>18781</v>
      </c>
      <c r="AV460" s="6" t="s">
        <v>81</v>
      </c>
      <c r="AW460" s="6" t="s">
        <v>81</v>
      </c>
      <c r="AX460" s="6" t="s">
        <v>81</v>
      </c>
      <c r="AY460" s="6" t="s">
        <v>22745</v>
      </c>
      <c r="AZ460" s="6" t="s">
        <v>81</v>
      </c>
      <c r="BA460" s="6" t="s">
        <v>23824</v>
      </c>
      <c r="BB460" s="24" t="n">
        <v>215</v>
      </c>
      <c r="BC460" s="26"/>
      <c r="BD460" s="26"/>
      <c r="BE460" s="26"/>
      <c r="BF460" s="26" t="s">
        <v>23900</v>
      </c>
      <c r="BG460" s="26"/>
      <c r="BH460" s="26"/>
      <c r="BI460" s="26"/>
      <c r="BJ460" s="26"/>
      <c r="BK460" s="26"/>
      <c r="BL460" s="26"/>
      <c r="BM460" s="26"/>
      <c r="BN460" s="26"/>
      <c r="BO460" s="26"/>
      <c r="BP460" s="16" t="n">
        <v>45476</v>
      </c>
      <c r="BQ460" s="28" t="str">
        <f>HYPERLINK("https://organic.ams.usda.gov/Integrity/Certificate.aspx?cid=45&amp;nopid=9950009057")</f>
        <v>https://organic.ams.usda.gov/Integrity/Certificate.aspx?cid=45&amp;nopid=9950009057</v>
      </c>
    </row>
    <row r="461">
      <c r="A461" t="s">
        <v>3</v>
      </c>
      <c r="B461" s="6" t="s">
        <v>40</v>
      </c>
      <c r="C461" s="6" t="s">
        <v>87</v>
      </c>
      <c r="D461" s="6" t="s">
        <v>132</v>
      </c>
      <c r="E461" s="10" t="s">
        <v>602</v>
      </c>
      <c r="F461" s="6" t="s">
        <v>3337</v>
      </c>
      <c r="G461" s="6" t="s">
        <v>5634</v>
      </c>
      <c r="H461" s="6" t="s">
        <v>6308</v>
      </c>
      <c r="I461" s="6" t="s">
        <v>8682</v>
      </c>
      <c r="J461" s="6" t="s">
        <v>9934</v>
      </c>
      <c r="K461" s="6" t="s">
        <v>10886</v>
      </c>
      <c r="L461" s="16" t="n">
        <v>38931</v>
      </c>
      <c r="M461" s="16" t="n">
        <v>45931</v>
      </c>
      <c r="N461" s="6" t="s">
        <v>81</v>
      </c>
      <c r="O461" s="21" t="s">
        <v>81</v>
      </c>
      <c r="P461" s="6" t="s">
        <v>81</v>
      </c>
      <c r="Q461" s="6" t="s">
        <v>81</v>
      </c>
      <c r="R461" s="6" t="s">
        <v>81</v>
      </c>
      <c r="S461" s="6" t="s">
        <v>81</v>
      </c>
      <c r="T461" s="21" t="s">
        <v>81</v>
      </c>
      <c r="U461" s="6" t="s">
        <v>81</v>
      </c>
      <c r="V461" s="6" t="s">
        <v>81</v>
      </c>
      <c r="W461" s="6" t="s">
        <v>81</v>
      </c>
      <c r="X461" s="6" t="s">
        <v>81</v>
      </c>
      <c r="Y461" s="21" t="s">
        <v>81</v>
      </c>
      <c r="Z461" s="6" t="s">
        <v>81</v>
      </c>
      <c r="AA461" s="6" t="s">
        <v>81</v>
      </c>
      <c r="AB461" s="6" t="s">
        <v>81</v>
      </c>
      <c r="AC461" s="6" t="s">
        <v>10886</v>
      </c>
      <c r="AD461" s="16" t="n">
        <v>38931</v>
      </c>
      <c r="AE461" s="6" t="s">
        <v>14113</v>
      </c>
      <c r="AF461" s="6" t="s">
        <v>81</v>
      </c>
      <c r="AG461" s="6" t="s">
        <v>81</v>
      </c>
      <c r="AH461" s="6" t="s">
        <v>15054</v>
      </c>
      <c r="AI461" s="6" t="s">
        <v>81</v>
      </c>
      <c r="AJ461" s="6" t="s">
        <v>17614</v>
      </c>
      <c r="AK461" s="6" t="s">
        <v>18398</v>
      </c>
      <c r="AL461" s="6" t="s">
        <v>18444</v>
      </c>
      <c r="AM461" s="6" t="s">
        <v>18782</v>
      </c>
      <c r="AN461" s="6" t="s">
        <v>19647</v>
      </c>
      <c r="AO461" s="6" t="s">
        <v>19881</v>
      </c>
      <c r="AP461" s="6" t="s">
        <v>15054</v>
      </c>
      <c r="AQ461" s="6" t="s">
        <v>81</v>
      </c>
      <c r="AR461" s="6" t="s">
        <v>17614</v>
      </c>
      <c r="AS461" s="6" t="s">
        <v>18398</v>
      </c>
      <c r="AT461" s="6" t="s">
        <v>18444</v>
      </c>
      <c r="AU461" s="6" t="s">
        <v>18782</v>
      </c>
      <c r="AV461" s="6" t="s">
        <v>81</v>
      </c>
      <c r="AW461" s="6" t="s">
        <v>81</v>
      </c>
      <c r="AX461" s="6" t="s">
        <v>21049</v>
      </c>
      <c r="AY461" s="6" t="s">
        <v>22746</v>
      </c>
      <c r="AZ461" s="6" t="s">
        <v>81</v>
      </c>
      <c r="BA461" s="6" t="s">
        <v>81</v>
      </c>
      <c r="BB461" s="6" t="s">
        <v>81</v>
      </c>
      <c r="BC461" s="26"/>
      <c r="BD461" s="26"/>
      <c r="BE461" s="26"/>
      <c r="BF461" s="26"/>
      <c r="BG461" s="26"/>
      <c r="BH461" s="26"/>
      <c r="BI461" s="26"/>
      <c r="BJ461" s="26"/>
      <c r="BK461" s="26"/>
      <c r="BL461" s="26"/>
      <c r="BM461" s="26"/>
      <c r="BN461" s="26"/>
      <c r="BO461" s="26"/>
      <c r="BP461" s="16" t="n">
        <v>45735</v>
      </c>
      <c r="BQ461" s="28" t="str">
        <f>HYPERLINK("https://organic.ams.usda.gov/Integrity/Certificate.aspx?cid=19&amp;nopid=6350000038")</f>
        <v>https://organic.ams.usda.gov/Integrity/Certificate.aspx?cid=19&amp;nopid=6350000038</v>
      </c>
    </row>
    <row r="462">
      <c r="A462" t="s">
        <v>3</v>
      </c>
      <c r="B462" s="6" t="s">
        <v>37</v>
      </c>
      <c r="C462" s="6" t="s">
        <v>84</v>
      </c>
      <c r="D462" s="6" t="s">
        <v>129</v>
      </c>
      <c r="E462" s="10" t="s">
        <v>603</v>
      </c>
      <c r="F462" s="6" t="s">
        <v>3338</v>
      </c>
      <c r="G462" s="6" t="s">
        <v>81</v>
      </c>
      <c r="H462" s="6" t="s">
        <v>6309</v>
      </c>
      <c r="I462" s="6" t="s">
        <v>8683</v>
      </c>
      <c r="J462" s="6" t="s">
        <v>9935</v>
      </c>
      <c r="K462" s="6" t="s">
        <v>10886</v>
      </c>
      <c r="L462" s="16" t="n">
        <v>41640</v>
      </c>
      <c r="M462" s="16" t="n">
        <v>45748</v>
      </c>
      <c r="N462" s="6" t="s">
        <v>10886</v>
      </c>
      <c r="O462" s="16" t="n">
        <v>41640</v>
      </c>
      <c r="P462" s="6" t="s">
        <v>11178</v>
      </c>
      <c r="Q462" s="6" t="s">
        <v>81</v>
      </c>
      <c r="R462" s="6" t="s">
        <v>12545</v>
      </c>
      <c r="S462" s="6" t="s">
        <v>10886</v>
      </c>
      <c r="T462" s="16" t="n">
        <v>41640</v>
      </c>
      <c r="U462" s="6" t="s">
        <v>13315</v>
      </c>
      <c r="V462" s="6" t="s">
        <v>81</v>
      </c>
      <c r="W462" s="6" t="s">
        <v>12545</v>
      </c>
      <c r="X462" s="6" t="s">
        <v>81</v>
      </c>
      <c r="Y462" s="21" t="s">
        <v>81</v>
      </c>
      <c r="Z462" s="6" t="s">
        <v>81</v>
      </c>
      <c r="AA462" s="6" t="s">
        <v>81</v>
      </c>
      <c r="AB462" s="6" t="s">
        <v>81</v>
      </c>
      <c r="AC462" s="6" t="s">
        <v>10886</v>
      </c>
      <c r="AD462" s="16" t="n">
        <v>41640</v>
      </c>
      <c r="AE462" s="6" t="s">
        <v>14041</v>
      </c>
      <c r="AF462" s="6" t="s">
        <v>81</v>
      </c>
      <c r="AG462" s="6" t="s">
        <v>12545</v>
      </c>
      <c r="AH462" s="6" t="s">
        <v>15055</v>
      </c>
      <c r="AI462" s="6" t="s">
        <v>81</v>
      </c>
      <c r="AJ462" s="6" t="s">
        <v>17615</v>
      </c>
      <c r="AK462" s="6" t="s">
        <v>17759</v>
      </c>
      <c r="AL462" s="6" t="s">
        <v>18444</v>
      </c>
      <c r="AM462" s="6" t="s">
        <v>18783</v>
      </c>
      <c r="AN462" s="6" t="s">
        <v>7195</v>
      </c>
      <c r="AO462" s="6" t="s">
        <v>19721</v>
      </c>
      <c r="AP462" s="6" t="s">
        <v>15055</v>
      </c>
      <c r="AQ462" s="6" t="s">
        <v>81</v>
      </c>
      <c r="AR462" s="6" t="s">
        <v>17615</v>
      </c>
      <c r="AS462" s="6" t="s">
        <v>17759</v>
      </c>
      <c r="AT462" s="6" t="s">
        <v>18444</v>
      </c>
      <c r="AU462" s="6" t="s">
        <v>18783</v>
      </c>
      <c r="AV462" s="6" t="s">
        <v>81</v>
      </c>
      <c r="AW462" s="6" t="s">
        <v>81</v>
      </c>
      <c r="AX462" s="6" t="s">
        <v>21050</v>
      </c>
      <c r="AY462" s="6" t="s">
        <v>22747</v>
      </c>
      <c r="AZ462" s="6" t="s">
        <v>81</v>
      </c>
      <c r="BA462" s="6" t="s">
        <v>81</v>
      </c>
      <c r="BB462" s="24" t="n">
        <v>240</v>
      </c>
      <c r="BC462" s="26"/>
      <c r="BD462" s="26"/>
      <c r="BE462" s="26"/>
      <c r="BF462" s="26" t="s">
        <v>23900</v>
      </c>
      <c r="BG462" s="26"/>
      <c r="BH462" s="26"/>
      <c r="BI462" s="26"/>
      <c r="BJ462" s="26"/>
      <c r="BK462" s="26"/>
      <c r="BL462" s="26"/>
      <c r="BM462" s="26"/>
      <c r="BN462" s="26"/>
      <c r="BO462" s="26"/>
      <c r="BP462" s="16" t="n">
        <v>45454</v>
      </c>
      <c r="BQ462" s="28" t="str">
        <f>HYPERLINK("https://organic.ams.usda.gov/Integrity/Certificate.aspx?cid=42&amp;nopid=6780000231")</f>
        <v>https://organic.ams.usda.gov/Integrity/Certificate.aspx?cid=42&amp;nopid=6780000231</v>
      </c>
    </row>
    <row r="463">
      <c r="A463" t="s">
        <v>3</v>
      </c>
      <c r="B463" s="6" t="s">
        <v>7</v>
      </c>
      <c r="C463" s="6" t="s">
        <v>54</v>
      </c>
      <c r="D463" s="6" t="s">
        <v>100</v>
      </c>
      <c r="E463" s="10" t="s">
        <v>604</v>
      </c>
      <c r="F463" s="6" t="s">
        <v>3339</v>
      </c>
      <c r="G463" s="6" t="s">
        <v>81</v>
      </c>
      <c r="H463" s="6" t="s">
        <v>6310</v>
      </c>
      <c r="I463" s="6" t="s">
        <v>8684</v>
      </c>
      <c r="J463" s="6" t="s">
        <v>9936</v>
      </c>
      <c r="K463" s="6" t="s">
        <v>10886</v>
      </c>
      <c r="L463" s="16" t="n">
        <v>43591</v>
      </c>
      <c r="M463" s="16" t="n">
        <v>45716</v>
      </c>
      <c r="N463" s="6" t="s">
        <v>10886</v>
      </c>
      <c r="O463" s="16" t="n">
        <v>43591</v>
      </c>
      <c r="P463" s="6" t="s">
        <v>10944</v>
      </c>
      <c r="Q463" s="6" t="s">
        <v>81</v>
      </c>
      <c r="R463" s="6" t="s">
        <v>81</v>
      </c>
      <c r="S463" s="6" t="s">
        <v>10886</v>
      </c>
      <c r="T463" s="16" t="n">
        <v>43605</v>
      </c>
      <c r="U463" s="6" t="s">
        <v>13169</v>
      </c>
      <c r="V463" s="6" t="s">
        <v>81</v>
      </c>
      <c r="W463" s="6" t="s">
        <v>81</v>
      </c>
      <c r="X463" s="6" t="s">
        <v>81</v>
      </c>
      <c r="Y463" s="21" t="s">
        <v>81</v>
      </c>
      <c r="Z463" s="6" t="s">
        <v>81</v>
      </c>
      <c r="AA463" s="6" t="s">
        <v>81</v>
      </c>
      <c r="AB463" s="6" t="s">
        <v>81</v>
      </c>
      <c r="AC463" s="6" t="s">
        <v>81</v>
      </c>
      <c r="AD463" s="21" t="s">
        <v>81</v>
      </c>
      <c r="AE463" s="6" t="s">
        <v>81</v>
      </c>
      <c r="AF463" s="6" t="s">
        <v>81</v>
      </c>
      <c r="AG463" s="6" t="s">
        <v>81</v>
      </c>
      <c r="AH463" s="6" t="s">
        <v>15056</v>
      </c>
      <c r="AI463" s="6" t="s">
        <v>81</v>
      </c>
      <c r="AJ463" s="6" t="s">
        <v>17616</v>
      </c>
      <c r="AK463" s="6" t="s">
        <v>17712</v>
      </c>
      <c r="AL463" s="6" t="s">
        <v>18444</v>
      </c>
      <c r="AM463" s="6" t="s">
        <v>18784</v>
      </c>
      <c r="AN463" s="6" t="s">
        <v>19662</v>
      </c>
      <c r="AO463" s="6" t="s">
        <v>19762</v>
      </c>
      <c r="AP463" s="6" t="s">
        <v>15056</v>
      </c>
      <c r="AQ463" s="6" t="s">
        <v>81</v>
      </c>
      <c r="AR463" s="6" t="s">
        <v>17616</v>
      </c>
      <c r="AS463" s="6" t="s">
        <v>17712</v>
      </c>
      <c r="AT463" s="6" t="s">
        <v>18444</v>
      </c>
      <c r="AU463" s="6" t="s">
        <v>18784</v>
      </c>
      <c r="AV463" s="6" t="s">
        <v>81</v>
      </c>
      <c r="AW463" s="6" t="s">
        <v>81</v>
      </c>
      <c r="AX463" s="6" t="s">
        <v>21051</v>
      </c>
      <c r="AY463" s="6" t="s">
        <v>81</v>
      </c>
      <c r="AZ463" s="6" t="s">
        <v>81</v>
      </c>
      <c r="BA463" s="6" t="s">
        <v>81</v>
      </c>
      <c r="BB463" s="24" t="n">
        <v>151</v>
      </c>
      <c r="BC463" s="26"/>
      <c r="BD463" s="26"/>
      <c r="BE463" s="26"/>
      <c r="BF463" s="26" t="s">
        <v>23900</v>
      </c>
      <c r="BG463" s="26"/>
      <c r="BH463" s="26"/>
      <c r="BI463" s="26"/>
      <c r="BJ463" s="26"/>
      <c r="BK463" s="26"/>
      <c r="BL463" s="26"/>
      <c r="BM463" s="26"/>
      <c r="BN463" s="26"/>
      <c r="BO463" s="26"/>
      <c r="BP463" s="16" t="n">
        <v>45595</v>
      </c>
      <c r="BQ463" s="28" t="str">
        <f>HYPERLINK("https://organic.ams.usda.gov/Integrity/Certificate.aspx?cid=57&amp;nopid=3252019048")</f>
        <v>https://organic.ams.usda.gov/Integrity/Certificate.aspx?cid=57&amp;nopid=3252019048</v>
      </c>
    </row>
    <row r="464">
      <c r="A464" t="s">
        <v>3</v>
      </c>
      <c r="B464" s="6" t="s">
        <v>8</v>
      </c>
      <c r="C464" s="6" t="s">
        <v>55</v>
      </c>
      <c r="D464" s="6" t="s">
        <v>101</v>
      </c>
      <c r="E464" s="10" t="s">
        <v>605</v>
      </c>
      <c r="F464" s="6" t="s">
        <v>3340</v>
      </c>
      <c r="G464" s="6" t="s">
        <v>81</v>
      </c>
      <c r="H464" s="6" t="s">
        <v>6311</v>
      </c>
      <c r="I464" s="6" t="s">
        <v>8685</v>
      </c>
      <c r="J464" s="6" t="s">
        <v>9668</v>
      </c>
      <c r="K464" s="6" t="s">
        <v>10886</v>
      </c>
      <c r="L464" s="16" t="n">
        <v>43437</v>
      </c>
      <c r="M464" s="16" t="n">
        <v>45748</v>
      </c>
      <c r="N464" s="6" t="s">
        <v>10886</v>
      </c>
      <c r="O464" s="16" t="n">
        <v>43437</v>
      </c>
      <c r="P464" s="6" t="s">
        <v>11179</v>
      </c>
      <c r="Q464" s="6" t="s">
        <v>81</v>
      </c>
      <c r="R464" s="6" t="s">
        <v>6311</v>
      </c>
      <c r="S464" s="6" t="s">
        <v>10886</v>
      </c>
      <c r="T464" s="16" t="n">
        <v>43437</v>
      </c>
      <c r="U464" s="6" t="s">
        <v>13247</v>
      </c>
      <c r="V464" s="6" t="s">
        <v>81</v>
      </c>
      <c r="W464" s="6" t="s">
        <v>6311</v>
      </c>
      <c r="X464" s="6" t="s">
        <v>81</v>
      </c>
      <c r="Y464" s="21" t="s">
        <v>81</v>
      </c>
      <c r="Z464" s="6" t="s">
        <v>81</v>
      </c>
      <c r="AA464" s="6" t="s">
        <v>81</v>
      </c>
      <c r="AB464" s="6" t="s">
        <v>81</v>
      </c>
      <c r="AC464" s="6" t="s">
        <v>81</v>
      </c>
      <c r="AD464" s="21" t="s">
        <v>81</v>
      </c>
      <c r="AE464" s="6" t="s">
        <v>81</v>
      </c>
      <c r="AF464" s="6" t="s">
        <v>81</v>
      </c>
      <c r="AG464" s="6" t="s">
        <v>81</v>
      </c>
      <c r="AH464" s="6" t="s">
        <v>15057</v>
      </c>
      <c r="AI464" s="6" t="s">
        <v>81</v>
      </c>
      <c r="AJ464" s="6" t="s">
        <v>17425</v>
      </c>
      <c r="AK464" s="6" t="s">
        <v>18380</v>
      </c>
      <c r="AL464" s="6" t="s">
        <v>18444</v>
      </c>
      <c r="AM464" s="6" t="s">
        <v>18582</v>
      </c>
      <c r="AN464" s="6" t="s">
        <v>8233</v>
      </c>
      <c r="AO464" s="6" t="s">
        <v>19806</v>
      </c>
      <c r="AP464" s="6" t="s">
        <v>81</v>
      </c>
      <c r="AQ464" s="6" t="s">
        <v>81</v>
      </c>
      <c r="AR464" s="6" t="s">
        <v>81</v>
      </c>
      <c r="AS464" s="6" t="s">
        <v>81</v>
      </c>
      <c r="AT464" s="6" t="s">
        <v>81</v>
      </c>
      <c r="AU464" s="6" t="s">
        <v>81</v>
      </c>
      <c r="AV464" s="6" t="s">
        <v>81</v>
      </c>
      <c r="AW464" s="6" t="s">
        <v>81</v>
      </c>
      <c r="AX464" s="6" t="s">
        <v>81</v>
      </c>
      <c r="AY464" s="6" t="s">
        <v>81</v>
      </c>
      <c r="AZ464" s="6" t="s">
        <v>81</v>
      </c>
      <c r="BA464" s="6" t="s">
        <v>23824</v>
      </c>
      <c r="BB464" s="24" t="n">
        <v>70</v>
      </c>
      <c r="BC464" s="26"/>
      <c r="BD464" s="26"/>
      <c r="BE464" s="26"/>
      <c r="BF464" s="26" t="s">
        <v>23900</v>
      </c>
      <c r="BG464" s="26"/>
      <c r="BH464" s="26"/>
      <c r="BI464" s="26"/>
      <c r="BJ464" s="26"/>
      <c r="BK464" s="26" t="s">
        <v>23900</v>
      </c>
      <c r="BL464" s="26"/>
      <c r="BM464" s="26"/>
      <c r="BN464" s="26"/>
      <c r="BO464" s="26"/>
      <c r="BP464" s="16" t="n">
        <v>45503</v>
      </c>
      <c r="BQ464" s="28" t="str">
        <f>HYPERLINK("https://organic.ams.usda.gov/Integrity/Certificate.aspx?cid=45&amp;nopid=9950009479")</f>
        <v>https://organic.ams.usda.gov/Integrity/Certificate.aspx?cid=45&amp;nopid=9950009479</v>
      </c>
    </row>
    <row r="465">
      <c r="A465" t="s">
        <v>3</v>
      </c>
      <c r="B465" s="6" t="s">
        <v>20</v>
      </c>
      <c r="C465" s="6" t="s">
        <v>67</v>
      </c>
      <c r="D465" s="6" t="s">
        <v>113</v>
      </c>
      <c r="E465" s="10" t="s">
        <v>606</v>
      </c>
      <c r="F465" s="6" t="s">
        <v>3341</v>
      </c>
      <c r="G465" s="6" t="s">
        <v>81</v>
      </c>
      <c r="H465" s="6" t="s">
        <v>6312</v>
      </c>
      <c r="I465" s="6" t="s">
        <v>8686</v>
      </c>
      <c r="J465" s="6" t="s">
        <v>9937</v>
      </c>
      <c r="K465" s="6" t="s">
        <v>10886</v>
      </c>
      <c r="L465" s="16" t="n">
        <v>39093</v>
      </c>
      <c r="M465" s="16" t="n">
        <v>45932</v>
      </c>
      <c r="N465" s="6" t="s">
        <v>81</v>
      </c>
      <c r="O465" s="21" t="s">
        <v>81</v>
      </c>
      <c r="P465" s="6" t="s">
        <v>81</v>
      </c>
      <c r="Q465" s="6" t="s">
        <v>81</v>
      </c>
      <c r="R465" s="6" t="s">
        <v>81</v>
      </c>
      <c r="S465" s="6" t="s">
        <v>81</v>
      </c>
      <c r="T465" s="21" t="s">
        <v>81</v>
      </c>
      <c r="U465" s="6" t="s">
        <v>81</v>
      </c>
      <c r="V465" s="6" t="s">
        <v>81</v>
      </c>
      <c r="W465" s="6" t="s">
        <v>81</v>
      </c>
      <c r="X465" s="6" t="s">
        <v>81</v>
      </c>
      <c r="Y465" s="21" t="s">
        <v>81</v>
      </c>
      <c r="Z465" s="6" t="s">
        <v>81</v>
      </c>
      <c r="AA465" s="6" t="s">
        <v>81</v>
      </c>
      <c r="AB465" s="6" t="s">
        <v>81</v>
      </c>
      <c r="AC465" s="6" t="s">
        <v>10886</v>
      </c>
      <c r="AD465" s="16" t="n">
        <v>39093</v>
      </c>
      <c r="AE465" s="6" t="s">
        <v>14114</v>
      </c>
      <c r="AF465" s="6" t="s">
        <v>81</v>
      </c>
      <c r="AG465" s="6" t="s">
        <v>14535</v>
      </c>
      <c r="AH465" s="6" t="s">
        <v>15058</v>
      </c>
      <c r="AI465" s="6" t="s">
        <v>81</v>
      </c>
      <c r="AJ465" s="6" t="s">
        <v>17617</v>
      </c>
      <c r="AK465" s="6" t="s">
        <v>18385</v>
      </c>
      <c r="AL465" s="6" t="s">
        <v>18444</v>
      </c>
      <c r="AM465" s="6" t="s">
        <v>18785</v>
      </c>
      <c r="AN465" s="6" t="s">
        <v>19690</v>
      </c>
      <c r="AO465" s="6" t="s">
        <v>19882</v>
      </c>
      <c r="AP465" s="6" t="s">
        <v>20164</v>
      </c>
      <c r="AQ465" s="6" t="s">
        <v>81</v>
      </c>
      <c r="AR465" s="6" t="s">
        <v>17617</v>
      </c>
      <c r="AS465" s="6" t="s">
        <v>18385</v>
      </c>
      <c r="AT465" s="6" t="s">
        <v>18444</v>
      </c>
      <c r="AU465" s="6" t="s">
        <v>18785</v>
      </c>
      <c r="AV465" s="6" t="s">
        <v>81</v>
      </c>
      <c r="AW465" s="6" t="s">
        <v>81</v>
      </c>
      <c r="AX465" s="6" t="s">
        <v>21052</v>
      </c>
      <c r="AY465" s="6" t="s">
        <v>22748</v>
      </c>
      <c r="AZ465" s="6" t="s">
        <v>23623</v>
      </c>
      <c r="BA465" s="6" t="s">
        <v>81</v>
      </c>
      <c r="BB465" s="6" t="s">
        <v>81</v>
      </c>
      <c r="BC465" s="26"/>
      <c r="BD465" s="26"/>
      <c r="BE465" s="26" t="s">
        <v>23900</v>
      </c>
      <c r="BF465" s="26"/>
      <c r="BG465" s="26"/>
      <c r="BH465" s="26"/>
      <c r="BI465" s="26"/>
      <c r="BJ465" s="26"/>
      <c r="BK465" s="26"/>
      <c r="BL465" s="26"/>
      <c r="BM465" s="26"/>
      <c r="BN465" s="26"/>
      <c r="BO465" s="26"/>
      <c r="BP465" s="16" t="n">
        <v>45739</v>
      </c>
      <c r="BQ465" s="28" t="str">
        <f>HYPERLINK("https://organic.ams.usda.gov/Integrity/Certificate.aspx?cid=71&amp;nopid=5520029825")</f>
        <v>https://organic.ams.usda.gov/Integrity/Certificate.aspx?cid=71&amp;nopid=5520029825</v>
      </c>
    </row>
    <row r="466">
      <c r="A466" t="s">
        <v>3</v>
      </c>
      <c r="B466" s="6" t="s">
        <v>7</v>
      </c>
      <c r="C466" s="6" t="s">
        <v>54</v>
      </c>
      <c r="D466" s="6" t="s">
        <v>100</v>
      </c>
      <c r="E466" s="10" t="s">
        <v>607</v>
      </c>
      <c r="F466" s="6" t="s">
        <v>3342</v>
      </c>
      <c r="G466" s="6" t="s">
        <v>81</v>
      </c>
      <c r="H466" s="6" t="s">
        <v>6313</v>
      </c>
      <c r="I466" s="6" t="s">
        <v>8687</v>
      </c>
      <c r="J466" s="6" t="s">
        <v>9938</v>
      </c>
      <c r="K466" s="6" t="s">
        <v>10886</v>
      </c>
      <c r="L466" s="16" t="n">
        <v>40082</v>
      </c>
      <c r="M466" s="16" t="n">
        <v>45716</v>
      </c>
      <c r="N466" s="6" t="s">
        <v>10886</v>
      </c>
      <c r="O466" s="16" t="n">
        <v>40082</v>
      </c>
      <c r="P466" s="6" t="s">
        <v>11180</v>
      </c>
      <c r="Q466" s="6" t="s">
        <v>81</v>
      </c>
      <c r="R466" s="6" t="s">
        <v>81</v>
      </c>
      <c r="S466" s="6" t="s">
        <v>10886</v>
      </c>
      <c r="T466" s="16" t="n">
        <v>40811</v>
      </c>
      <c r="U466" s="6" t="s">
        <v>13169</v>
      </c>
      <c r="V466" s="6" t="s">
        <v>81</v>
      </c>
      <c r="W466" s="6" t="s">
        <v>81</v>
      </c>
      <c r="X466" s="6" t="s">
        <v>81</v>
      </c>
      <c r="Y466" s="21" t="s">
        <v>81</v>
      </c>
      <c r="Z466" s="6" t="s">
        <v>81</v>
      </c>
      <c r="AA466" s="6" t="s">
        <v>81</v>
      </c>
      <c r="AB466" s="6" t="s">
        <v>81</v>
      </c>
      <c r="AC466" s="6" t="s">
        <v>81</v>
      </c>
      <c r="AD466" s="21" t="s">
        <v>81</v>
      </c>
      <c r="AE466" s="6" t="s">
        <v>81</v>
      </c>
      <c r="AF466" s="6" t="s">
        <v>81</v>
      </c>
      <c r="AG466" s="6" t="s">
        <v>81</v>
      </c>
      <c r="AH466" s="6" t="s">
        <v>15059</v>
      </c>
      <c r="AI466" s="6" t="s">
        <v>81</v>
      </c>
      <c r="AJ466" s="6" t="s">
        <v>17618</v>
      </c>
      <c r="AK466" s="6" t="s">
        <v>17712</v>
      </c>
      <c r="AL466" s="6" t="s">
        <v>18444</v>
      </c>
      <c r="AM466" s="6" t="s">
        <v>18786</v>
      </c>
      <c r="AN466" s="6" t="s">
        <v>7195</v>
      </c>
      <c r="AO466" s="6" t="s">
        <v>19735</v>
      </c>
      <c r="AP466" s="6" t="s">
        <v>15059</v>
      </c>
      <c r="AQ466" s="6" t="s">
        <v>81</v>
      </c>
      <c r="AR466" s="6" t="s">
        <v>17618</v>
      </c>
      <c r="AS466" s="6" t="s">
        <v>17712</v>
      </c>
      <c r="AT466" s="6" t="s">
        <v>18444</v>
      </c>
      <c r="AU466" s="6" t="s">
        <v>18786</v>
      </c>
      <c r="AV466" s="6" t="s">
        <v>81</v>
      </c>
      <c r="AW466" s="6" t="s">
        <v>81</v>
      </c>
      <c r="AX466" s="6" t="s">
        <v>21053</v>
      </c>
      <c r="AY466" s="6" t="s">
        <v>22749</v>
      </c>
      <c r="AZ466" s="6" t="s">
        <v>81</v>
      </c>
      <c r="BA466" s="6" t="s">
        <v>81</v>
      </c>
      <c r="BB466" s="24" t="n">
        <v>308</v>
      </c>
      <c r="BC466" s="26"/>
      <c r="BD466" s="26"/>
      <c r="BE466" s="26"/>
      <c r="BF466" s="26" t="s">
        <v>23900</v>
      </c>
      <c r="BG466" s="26"/>
      <c r="BH466" s="26"/>
      <c r="BI466" s="26"/>
      <c r="BJ466" s="26"/>
      <c r="BK466" s="26"/>
      <c r="BL466" s="26"/>
      <c r="BM466" s="26"/>
      <c r="BN466" s="26"/>
      <c r="BO466" s="26"/>
      <c r="BP466" s="16" t="n">
        <v>45679</v>
      </c>
      <c r="BQ466" s="28" t="str">
        <f>HYPERLINK("https://organic.ams.usda.gov/Integrity/Certificate.aspx?cid=57&amp;nopid=3252009041")</f>
        <v>https://organic.ams.usda.gov/Integrity/Certificate.aspx?cid=57&amp;nopid=3252009041</v>
      </c>
    </row>
    <row r="467">
      <c r="A467" t="s">
        <v>3</v>
      </c>
      <c r="B467" s="6" t="s">
        <v>7</v>
      </c>
      <c r="C467" s="6" t="s">
        <v>54</v>
      </c>
      <c r="D467" s="6" t="s">
        <v>100</v>
      </c>
      <c r="E467" s="10" t="s">
        <v>608</v>
      </c>
      <c r="F467" s="6" t="s">
        <v>3343</v>
      </c>
      <c r="G467" s="6" t="s">
        <v>81</v>
      </c>
      <c r="H467" s="6" t="s">
        <v>6314</v>
      </c>
      <c r="I467" s="6" t="s">
        <v>8588</v>
      </c>
      <c r="J467" s="6" t="s">
        <v>9727</v>
      </c>
      <c r="K467" s="6" t="s">
        <v>10886</v>
      </c>
      <c r="L467" s="16" t="n">
        <v>41529</v>
      </c>
      <c r="M467" s="16" t="n">
        <v>45716</v>
      </c>
      <c r="N467" s="6" t="s">
        <v>10886</v>
      </c>
      <c r="O467" s="16" t="n">
        <v>41529</v>
      </c>
      <c r="P467" s="6" t="s">
        <v>10930</v>
      </c>
      <c r="Q467" s="6" t="s">
        <v>81</v>
      </c>
      <c r="R467" s="6" t="s">
        <v>81</v>
      </c>
      <c r="S467" s="6" t="s">
        <v>10886</v>
      </c>
      <c r="T467" s="16" t="n">
        <v>41550</v>
      </c>
      <c r="U467" s="6" t="s">
        <v>13160</v>
      </c>
      <c r="V467" s="6" t="s">
        <v>81</v>
      </c>
      <c r="W467" s="6" t="s">
        <v>81</v>
      </c>
      <c r="X467" s="6" t="s">
        <v>81</v>
      </c>
      <c r="Y467" s="21" t="s">
        <v>81</v>
      </c>
      <c r="Z467" s="6" t="s">
        <v>81</v>
      </c>
      <c r="AA467" s="6" t="s">
        <v>81</v>
      </c>
      <c r="AB467" s="6" t="s">
        <v>81</v>
      </c>
      <c r="AC467" s="6" t="s">
        <v>81</v>
      </c>
      <c r="AD467" s="21" t="s">
        <v>81</v>
      </c>
      <c r="AE467" s="6" t="s">
        <v>81</v>
      </c>
      <c r="AF467" s="6" t="s">
        <v>81</v>
      </c>
      <c r="AG467" s="6" t="s">
        <v>81</v>
      </c>
      <c r="AH467" s="6" t="s">
        <v>15060</v>
      </c>
      <c r="AI467" s="6" t="s">
        <v>81</v>
      </c>
      <c r="AJ467" s="6" t="s">
        <v>17619</v>
      </c>
      <c r="AK467" s="6" t="s">
        <v>17712</v>
      </c>
      <c r="AL467" s="6" t="s">
        <v>18444</v>
      </c>
      <c r="AM467" s="6" t="s">
        <v>5908</v>
      </c>
      <c r="AN467" s="6" t="s">
        <v>19652</v>
      </c>
      <c r="AO467" s="6" t="s">
        <v>19742</v>
      </c>
      <c r="AP467" s="6" t="s">
        <v>15060</v>
      </c>
      <c r="AQ467" s="6" t="s">
        <v>81</v>
      </c>
      <c r="AR467" s="6" t="s">
        <v>17619</v>
      </c>
      <c r="AS467" s="6" t="s">
        <v>17712</v>
      </c>
      <c r="AT467" s="6" t="s">
        <v>18444</v>
      </c>
      <c r="AU467" s="6" t="s">
        <v>5908</v>
      </c>
      <c r="AV467" s="6" t="s">
        <v>81</v>
      </c>
      <c r="AW467" s="6" t="s">
        <v>81</v>
      </c>
      <c r="AX467" s="6" t="s">
        <v>81</v>
      </c>
      <c r="AY467" s="6" t="s">
        <v>81</v>
      </c>
      <c r="AZ467" s="6" t="s">
        <v>81</v>
      </c>
      <c r="BA467" s="6" t="s">
        <v>81</v>
      </c>
      <c r="BB467" s="24" t="n">
        <v>127</v>
      </c>
      <c r="BC467" s="26"/>
      <c r="BD467" s="26"/>
      <c r="BE467" s="26"/>
      <c r="BF467" s="26" t="s">
        <v>23900</v>
      </c>
      <c r="BG467" s="26"/>
      <c r="BH467" s="26"/>
      <c r="BI467" s="26"/>
      <c r="BJ467" s="26"/>
      <c r="BK467" s="26"/>
      <c r="BL467" s="26"/>
      <c r="BM467" s="26"/>
      <c r="BN467" s="26"/>
      <c r="BO467" s="26"/>
      <c r="BP467" s="16" t="n">
        <v>45595</v>
      </c>
      <c r="BQ467" s="28" t="str">
        <f>HYPERLINK("https://organic.ams.usda.gov/Integrity/Certificate.aspx?cid=57&amp;nopid=3252013061")</f>
        <v>https://organic.ams.usda.gov/Integrity/Certificate.aspx?cid=57&amp;nopid=3252013061</v>
      </c>
    </row>
    <row r="468">
      <c r="A468" t="s">
        <v>3</v>
      </c>
      <c r="B468" s="6" t="s">
        <v>9</v>
      </c>
      <c r="C468" s="6" t="s">
        <v>56</v>
      </c>
      <c r="D468" s="6" t="s">
        <v>102</v>
      </c>
      <c r="E468" s="10" t="s">
        <v>609</v>
      </c>
      <c r="F468" s="6" t="s">
        <v>3344</v>
      </c>
      <c r="G468" s="6" t="s">
        <v>81</v>
      </c>
      <c r="H468" s="6" t="s">
        <v>6315</v>
      </c>
      <c r="I468" s="6" t="s">
        <v>81</v>
      </c>
      <c r="J468" s="6" t="s">
        <v>81</v>
      </c>
      <c r="K468" s="6" t="s">
        <v>10886</v>
      </c>
      <c r="L468" s="16" t="n">
        <v>42917</v>
      </c>
      <c r="M468" s="16" t="n">
        <v>46113</v>
      </c>
      <c r="N468" s="6" t="s">
        <v>10886</v>
      </c>
      <c r="O468" s="16" t="n">
        <v>42917</v>
      </c>
      <c r="P468" s="6" t="s">
        <v>11181</v>
      </c>
      <c r="Q468" s="6" t="s">
        <v>81</v>
      </c>
      <c r="R468" s="6" t="s">
        <v>12546</v>
      </c>
      <c r="S468" s="6" t="s">
        <v>10886</v>
      </c>
      <c r="T468" s="16" t="n">
        <v>42917</v>
      </c>
      <c r="U468" s="6" t="s">
        <v>13346</v>
      </c>
      <c r="V468" s="6" t="s">
        <v>81</v>
      </c>
      <c r="W468" s="6" t="s">
        <v>12546</v>
      </c>
      <c r="X468" s="6" t="s">
        <v>81</v>
      </c>
      <c r="Y468" s="21" t="s">
        <v>81</v>
      </c>
      <c r="Z468" s="6" t="s">
        <v>81</v>
      </c>
      <c r="AA468" s="6" t="s">
        <v>81</v>
      </c>
      <c r="AB468" s="6" t="s">
        <v>81</v>
      </c>
      <c r="AC468" s="6" t="s">
        <v>81</v>
      </c>
      <c r="AD468" s="21" t="s">
        <v>81</v>
      </c>
      <c r="AE468" s="6" t="s">
        <v>81</v>
      </c>
      <c r="AF468" s="6" t="s">
        <v>81</v>
      </c>
      <c r="AG468" s="6" t="s">
        <v>81</v>
      </c>
      <c r="AH468" s="6" t="s">
        <v>15061</v>
      </c>
      <c r="AI468" s="6" t="s">
        <v>81</v>
      </c>
      <c r="AJ468" s="6" t="s">
        <v>17385</v>
      </c>
      <c r="AK468" s="6" t="s">
        <v>18377</v>
      </c>
      <c r="AL468" s="6" t="s">
        <v>18444</v>
      </c>
      <c r="AM468" s="6" t="s">
        <v>18539</v>
      </c>
      <c r="AN468" s="6" t="s">
        <v>19634</v>
      </c>
      <c r="AO468" s="6" t="s">
        <v>19764</v>
      </c>
      <c r="AP468" s="6" t="s">
        <v>81</v>
      </c>
      <c r="AQ468" s="6" t="s">
        <v>81</v>
      </c>
      <c r="AR468" s="6" t="s">
        <v>81</v>
      </c>
      <c r="AS468" s="6" t="s">
        <v>81</v>
      </c>
      <c r="AT468" s="6" t="s">
        <v>81</v>
      </c>
      <c r="AU468" s="6" t="s">
        <v>81</v>
      </c>
      <c r="AV468" s="6" t="s">
        <v>81</v>
      </c>
      <c r="AW468" s="6" t="s">
        <v>81</v>
      </c>
      <c r="AX468" s="6" t="s">
        <v>81</v>
      </c>
      <c r="AY468" s="6" t="s">
        <v>81</v>
      </c>
      <c r="AZ468" s="6" t="s">
        <v>81</v>
      </c>
      <c r="BA468" s="6" t="s">
        <v>81</v>
      </c>
      <c r="BB468" s="24" t="n">
        <v>85</v>
      </c>
      <c r="BC468" s="26"/>
      <c r="BD468" s="26"/>
      <c r="BE468" s="26"/>
      <c r="BF468" s="26"/>
      <c r="BG468" s="26"/>
      <c r="BH468" s="26"/>
      <c r="BI468" s="26"/>
      <c r="BJ468" s="26"/>
      <c r="BK468" s="26"/>
      <c r="BL468" s="26"/>
      <c r="BM468" s="26"/>
      <c r="BN468" s="26"/>
      <c r="BO468" s="26"/>
      <c r="BP468" s="16" t="n">
        <v>45738</v>
      </c>
      <c r="BQ468" s="28" t="str">
        <f>HYPERLINK("https://organic.ams.usda.gov/Integrity/Certificate.aspx?cid=52&amp;nopid=8431701197")</f>
        <v>https://organic.ams.usda.gov/Integrity/Certificate.aspx?cid=52&amp;nopid=8431701197</v>
      </c>
    </row>
    <row r="469">
      <c r="A469" t="s">
        <v>3</v>
      </c>
      <c r="B469" s="6" t="s">
        <v>21</v>
      </c>
      <c r="C469" s="6" t="s">
        <v>68</v>
      </c>
      <c r="D469" s="6" t="s">
        <v>114</v>
      </c>
      <c r="E469" s="10" t="s">
        <v>610</v>
      </c>
      <c r="F469" s="6" t="s">
        <v>3345</v>
      </c>
      <c r="G469" s="6" t="s">
        <v>81</v>
      </c>
      <c r="H469" s="6" t="s">
        <v>6316</v>
      </c>
      <c r="I469" s="6" t="s">
        <v>8514</v>
      </c>
      <c r="J469" s="6" t="s">
        <v>9939</v>
      </c>
      <c r="K469" s="6" t="s">
        <v>10886</v>
      </c>
      <c r="L469" s="16" t="n">
        <v>37375</v>
      </c>
      <c r="M469" s="16" t="n">
        <v>46113</v>
      </c>
      <c r="N469" s="6" t="s">
        <v>10886</v>
      </c>
      <c r="O469" s="16" t="n">
        <v>37923</v>
      </c>
      <c r="P469" s="6" t="s">
        <v>11182</v>
      </c>
      <c r="Q469" s="6" t="s">
        <v>81</v>
      </c>
      <c r="R469" s="6" t="s">
        <v>81</v>
      </c>
      <c r="S469" s="6" t="s">
        <v>10893</v>
      </c>
      <c r="T469" s="16" t="n">
        <v>45119</v>
      </c>
      <c r="U469" s="6" t="s">
        <v>81</v>
      </c>
      <c r="V469" s="6" t="s">
        <v>81</v>
      </c>
      <c r="W469" s="6" t="s">
        <v>81</v>
      </c>
      <c r="X469" s="6" t="s">
        <v>81</v>
      </c>
      <c r="Y469" s="21" t="s">
        <v>81</v>
      </c>
      <c r="Z469" s="6" t="s">
        <v>81</v>
      </c>
      <c r="AA469" s="6" t="s">
        <v>81</v>
      </c>
      <c r="AB469" s="6" t="s">
        <v>81</v>
      </c>
      <c r="AC469" s="6" t="s">
        <v>10886</v>
      </c>
      <c r="AD469" s="16" t="n">
        <v>37375</v>
      </c>
      <c r="AE469" s="6" t="s">
        <v>14115</v>
      </c>
      <c r="AF469" s="6" t="s">
        <v>81</v>
      </c>
      <c r="AG469" s="6" t="s">
        <v>81</v>
      </c>
      <c r="AH469" s="6" t="s">
        <v>81</v>
      </c>
      <c r="AI469" s="6" t="s">
        <v>81</v>
      </c>
      <c r="AJ469" s="6" t="s">
        <v>81</v>
      </c>
      <c r="AK469" s="6" t="s">
        <v>81</v>
      </c>
      <c r="AL469" s="6" t="s">
        <v>81</v>
      </c>
      <c r="AM469" s="6" t="s">
        <v>81</v>
      </c>
      <c r="AN469" s="6" t="s">
        <v>81</v>
      </c>
      <c r="AO469" s="6" t="s">
        <v>81</v>
      </c>
      <c r="AP469" s="6" t="s">
        <v>20165</v>
      </c>
      <c r="AQ469" s="6" t="s">
        <v>81</v>
      </c>
      <c r="AR469" s="6" t="s">
        <v>17749</v>
      </c>
      <c r="AS469" s="6" t="s">
        <v>18377</v>
      </c>
      <c r="AT469" s="6" t="s">
        <v>18444</v>
      </c>
      <c r="AU469" s="6" t="s">
        <v>18917</v>
      </c>
      <c r="AV469" s="6" t="s">
        <v>19634</v>
      </c>
      <c r="AW469" s="6" t="s">
        <v>19764</v>
      </c>
      <c r="AX469" s="6" t="s">
        <v>21054</v>
      </c>
      <c r="AY469" s="6" t="s">
        <v>22750</v>
      </c>
      <c r="AZ469" s="6" t="s">
        <v>23624</v>
      </c>
      <c r="BA469" s="6" t="s">
        <v>81</v>
      </c>
      <c r="BB469" s="24" t="n">
        <v>16</v>
      </c>
      <c r="BC469" s="26" t="s">
        <v>23900</v>
      </c>
      <c r="BD469" s="26"/>
      <c r="BE469" s="26" t="s">
        <v>23900</v>
      </c>
      <c r="BF469" s="26"/>
      <c r="BG469" s="26" t="s">
        <v>23900</v>
      </c>
      <c r="BH469" s="26" t="s">
        <v>23900</v>
      </c>
      <c r="BI469" s="26"/>
      <c r="BJ469" s="26"/>
      <c r="BK469" s="26"/>
      <c r="BL469" s="26" t="s">
        <v>23900</v>
      </c>
      <c r="BM469" s="26"/>
      <c r="BN469" s="26" t="s">
        <v>23900</v>
      </c>
      <c r="BO469" s="26"/>
      <c r="BP469" s="16" t="n">
        <v>45734</v>
      </c>
      <c r="BQ469" s="28" t="str">
        <f>HYPERLINK("https://organic.ams.usda.gov/Integrity/Certificate.aspx?cid=62&amp;nopid=8150001357")</f>
        <v>https://organic.ams.usda.gov/Integrity/Certificate.aspx?cid=62&amp;nopid=8150001357</v>
      </c>
    </row>
    <row r="470">
      <c r="A470" t="s">
        <v>3</v>
      </c>
      <c r="B470" s="6" t="s">
        <v>7</v>
      </c>
      <c r="C470" s="6" t="s">
        <v>54</v>
      </c>
      <c r="D470" s="6" t="s">
        <v>100</v>
      </c>
      <c r="E470" s="10" t="s">
        <v>611</v>
      </c>
      <c r="F470" s="6" t="s">
        <v>3346</v>
      </c>
      <c r="G470" s="6" t="s">
        <v>81</v>
      </c>
      <c r="H470" s="6" t="s">
        <v>6317</v>
      </c>
      <c r="I470" s="6" t="s">
        <v>8513</v>
      </c>
      <c r="J470" s="6" t="s">
        <v>9940</v>
      </c>
      <c r="K470" s="6" t="s">
        <v>10886</v>
      </c>
      <c r="L470" s="16" t="n">
        <v>38930</v>
      </c>
      <c r="M470" s="16" t="n">
        <v>45716</v>
      </c>
      <c r="N470" s="6" t="s">
        <v>10886</v>
      </c>
      <c r="O470" s="16" t="n">
        <v>38930</v>
      </c>
      <c r="P470" s="6" t="s">
        <v>11183</v>
      </c>
      <c r="Q470" s="6" t="s">
        <v>81</v>
      </c>
      <c r="R470" s="6" t="s">
        <v>81</v>
      </c>
      <c r="S470" s="6" t="s">
        <v>10886</v>
      </c>
      <c r="T470" s="16" t="n">
        <v>39813</v>
      </c>
      <c r="U470" s="6" t="s">
        <v>13347</v>
      </c>
      <c r="V470" s="6" t="s">
        <v>81</v>
      </c>
      <c r="W470" s="6" t="s">
        <v>81</v>
      </c>
      <c r="X470" s="6" t="s">
        <v>81</v>
      </c>
      <c r="Y470" s="21" t="s">
        <v>81</v>
      </c>
      <c r="Z470" s="6" t="s">
        <v>81</v>
      </c>
      <c r="AA470" s="6" t="s">
        <v>81</v>
      </c>
      <c r="AB470" s="6" t="s">
        <v>81</v>
      </c>
      <c r="AC470" s="6" t="s">
        <v>10886</v>
      </c>
      <c r="AD470" s="16" t="n">
        <v>42290</v>
      </c>
      <c r="AE470" s="6" t="s">
        <v>14101</v>
      </c>
      <c r="AF470" s="6" t="s">
        <v>81</v>
      </c>
      <c r="AG470" s="6" t="s">
        <v>81</v>
      </c>
      <c r="AH470" s="6" t="s">
        <v>15062</v>
      </c>
      <c r="AI470" s="6" t="s">
        <v>81</v>
      </c>
      <c r="AJ470" s="6" t="s">
        <v>17620</v>
      </c>
      <c r="AK470" s="6" t="s">
        <v>17712</v>
      </c>
      <c r="AL470" s="6" t="s">
        <v>18444</v>
      </c>
      <c r="AM470" s="6" t="s">
        <v>18787</v>
      </c>
      <c r="AN470" s="6" t="s">
        <v>19669</v>
      </c>
      <c r="AO470" s="6" t="s">
        <v>19790</v>
      </c>
      <c r="AP470" s="6" t="s">
        <v>15062</v>
      </c>
      <c r="AQ470" s="6" t="s">
        <v>81</v>
      </c>
      <c r="AR470" s="6" t="s">
        <v>17620</v>
      </c>
      <c r="AS470" s="6" t="s">
        <v>17712</v>
      </c>
      <c r="AT470" s="6" t="s">
        <v>18444</v>
      </c>
      <c r="AU470" s="6" t="s">
        <v>18787</v>
      </c>
      <c r="AV470" s="6" t="s">
        <v>81</v>
      </c>
      <c r="AW470" s="6" t="s">
        <v>81</v>
      </c>
      <c r="AX470" s="6" t="s">
        <v>21055</v>
      </c>
      <c r="AY470" s="6" t="s">
        <v>22751</v>
      </c>
      <c r="AZ470" s="6" t="s">
        <v>23625</v>
      </c>
      <c r="BA470" s="6" t="s">
        <v>81</v>
      </c>
      <c r="BB470" s="24" t="n">
        <v>66</v>
      </c>
      <c r="BC470" s="26"/>
      <c r="BD470" s="26"/>
      <c r="BE470" s="26"/>
      <c r="BF470" s="26"/>
      <c r="BG470" s="26"/>
      <c r="BH470" s="26"/>
      <c r="BI470" s="26"/>
      <c r="BJ470" s="26"/>
      <c r="BK470" s="26"/>
      <c r="BL470" s="26"/>
      <c r="BM470" s="26"/>
      <c r="BN470" s="26"/>
      <c r="BO470" s="26"/>
      <c r="BP470" s="16" t="n">
        <v>45595</v>
      </c>
      <c r="BQ470" s="28" t="str">
        <f>HYPERLINK("https://organic.ams.usda.gov/Integrity/Certificate.aspx?cid=57&amp;nopid=3250200652")</f>
        <v>https://organic.ams.usda.gov/Integrity/Certificate.aspx?cid=57&amp;nopid=3250200652</v>
      </c>
    </row>
    <row r="471">
      <c r="A471" t="s">
        <v>3</v>
      </c>
      <c r="B471" s="6" t="s">
        <v>25</v>
      </c>
      <c r="C471" s="6" t="s">
        <v>72</v>
      </c>
      <c r="D471" s="6" t="s">
        <v>118</v>
      </c>
      <c r="E471" s="10" t="s">
        <v>612</v>
      </c>
      <c r="F471" s="6" t="s">
        <v>3347</v>
      </c>
      <c r="G471" s="6" t="s">
        <v>81</v>
      </c>
      <c r="H471" s="6" t="s">
        <v>6318</v>
      </c>
      <c r="I471" s="6" t="s">
        <v>8688</v>
      </c>
      <c r="J471" s="6" t="s">
        <v>9941</v>
      </c>
      <c r="K471" s="6" t="s">
        <v>10886</v>
      </c>
      <c r="L471" s="16" t="n">
        <v>44399</v>
      </c>
      <c r="M471" s="16" t="n">
        <v>46023</v>
      </c>
      <c r="N471" s="6" t="s">
        <v>81</v>
      </c>
      <c r="O471" s="21" t="s">
        <v>81</v>
      </c>
      <c r="P471" s="6" t="s">
        <v>81</v>
      </c>
      <c r="Q471" s="6" t="s">
        <v>81</v>
      </c>
      <c r="R471" s="6" t="s">
        <v>81</v>
      </c>
      <c r="S471" s="6" t="s">
        <v>81</v>
      </c>
      <c r="T471" s="21" t="s">
        <v>81</v>
      </c>
      <c r="U471" s="6" t="s">
        <v>81</v>
      </c>
      <c r="V471" s="6" t="s">
        <v>81</v>
      </c>
      <c r="W471" s="6" t="s">
        <v>81</v>
      </c>
      <c r="X471" s="6" t="s">
        <v>81</v>
      </c>
      <c r="Y471" s="21" t="s">
        <v>81</v>
      </c>
      <c r="Z471" s="6" t="s">
        <v>81</v>
      </c>
      <c r="AA471" s="6" t="s">
        <v>81</v>
      </c>
      <c r="AB471" s="6" t="s">
        <v>81</v>
      </c>
      <c r="AC471" s="6" t="s">
        <v>10886</v>
      </c>
      <c r="AD471" s="16" t="n">
        <v>44399</v>
      </c>
      <c r="AE471" s="6" t="s">
        <v>14116</v>
      </c>
      <c r="AF471" s="6" t="s">
        <v>81</v>
      </c>
      <c r="AG471" s="6" t="s">
        <v>81</v>
      </c>
      <c r="AH471" s="6" t="s">
        <v>15063</v>
      </c>
      <c r="AI471" s="6" t="s">
        <v>81</v>
      </c>
      <c r="AJ471" s="6" t="s">
        <v>17621</v>
      </c>
      <c r="AK471" s="6" t="s">
        <v>18386</v>
      </c>
      <c r="AL471" s="6" t="s">
        <v>18444</v>
      </c>
      <c r="AM471" s="6" t="s">
        <v>18788</v>
      </c>
      <c r="AN471" s="6" t="s">
        <v>19646</v>
      </c>
      <c r="AO471" s="6" t="s">
        <v>19883</v>
      </c>
      <c r="AP471" s="6" t="s">
        <v>20166</v>
      </c>
      <c r="AQ471" s="6" t="s">
        <v>81</v>
      </c>
      <c r="AR471" s="6" t="s">
        <v>20514</v>
      </c>
      <c r="AS471" s="6" t="s">
        <v>18386</v>
      </c>
      <c r="AT471" s="6" t="s">
        <v>18444</v>
      </c>
      <c r="AU471" s="6" t="s">
        <v>20624</v>
      </c>
      <c r="AV471" s="6" t="s">
        <v>81</v>
      </c>
      <c r="AW471" s="6" t="s">
        <v>81</v>
      </c>
      <c r="AX471" s="6" t="s">
        <v>21056</v>
      </c>
      <c r="AY471" s="6" t="s">
        <v>22752</v>
      </c>
      <c r="AZ471" s="6" t="s">
        <v>23626</v>
      </c>
      <c r="BA471" s="6" t="s">
        <v>23843</v>
      </c>
      <c r="BB471" s="6" t="s">
        <v>81</v>
      </c>
      <c r="BC471" s="26"/>
      <c r="BD471" s="26"/>
      <c r="BE471" s="26"/>
      <c r="BF471" s="26"/>
      <c r="BG471" s="26"/>
      <c r="BH471" s="26"/>
      <c r="BI471" s="26"/>
      <c r="BJ471" s="26"/>
      <c r="BK471" s="26"/>
      <c r="BL471" s="26"/>
      <c r="BM471" s="26"/>
      <c r="BN471" s="26"/>
      <c r="BO471" s="26"/>
      <c r="BP471" s="16" t="n">
        <v>45728</v>
      </c>
      <c r="BQ471" s="28" t="str">
        <f>HYPERLINK("https://organic.ams.usda.gov/Integrity/Certificate.aspx?cid=15&amp;nopid=5561006980")</f>
        <v>https://organic.ams.usda.gov/Integrity/Certificate.aspx?cid=15&amp;nopid=5561006980</v>
      </c>
    </row>
    <row r="472">
      <c r="A472" t="s">
        <v>3</v>
      </c>
      <c r="B472" s="6" t="s">
        <v>7</v>
      </c>
      <c r="C472" s="6" t="s">
        <v>54</v>
      </c>
      <c r="D472" s="6" t="s">
        <v>100</v>
      </c>
      <c r="E472" s="10" t="s">
        <v>613</v>
      </c>
      <c r="F472" s="6" t="s">
        <v>3348</v>
      </c>
      <c r="G472" s="6" t="s">
        <v>81</v>
      </c>
      <c r="H472" s="6" t="s">
        <v>6319</v>
      </c>
      <c r="I472" s="6" t="s">
        <v>8689</v>
      </c>
      <c r="J472" s="6" t="s">
        <v>9942</v>
      </c>
      <c r="K472" s="6" t="s">
        <v>10886</v>
      </c>
      <c r="L472" s="16" t="n">
        <v>45316</v>
      </c>
      <c r="M472" s="16" t="n">
        <v>45716</v>
      </c>
      <c r="N472" s="6" t="s">
        <v>10886</v>
      </c>
      <c r="O472" s="16" t="n">
        <v>45316</v>
      </c>
      <c r="P472" s="6" t="s">
        <v>11184</v>
      </c>
      <c r="Q472" s="6" t="s">
        <v>81</v>
      </c>
      <c r="R472" s="6" t="s">
        <v>81</v>
      </c>
      <c r="S472" s="6" t="s">
        <v>10886</v>
      </c>
      <c r="T472" s="16" t="n">
        <v>45316</v>
      </c>
      <c r="U472" s="6" t="s">
        <v>13175</v>
      </c>
      <c r="V472" s="6" t="s">
        <v>81</v>
      </c>
      <c r="W472" s="6" t="s">
        <v>81</v>
      </c>
      <c r="X472" s="6" t="s">
        <v>81</v>
      </c>
      <c r="Y472" s="21" t="s">
        <v>81</v>
      </c>
      <c r="Z472" s="6" t="s">
        <v>81</v>
      </c>
      <c r="AA472" s="6" t="s">
        <v>81</v>
      </c>
      <c r="AB472" s="6" t="s">
        <v>81</v>
      </c>
      <c r="AC472" s="6" t="s">
        <v>81</v>
      </c>
      <c r="AD472" s="21" t="s">
        <v>81</v>
      </c>
      <c r="AE472" s="6" t="s">
        <v>81</v>
      </c>
      <c r="AF472" s="6" t="s">
        <v>81</v>
      </c>
      <c r="AG472" s="6" t="s">
        <v>81</v>
      </c>
      <c r="AH472" s="6" t="s">
        <v>15064</v>
      </c>
      <c r="AI472" s="6" t="s">
        <v>81</v>
      </c>
      <c r="AJ472" s="6" t="s">
        <v>17347</v>
      </c>
      <c r="AK472" s="6" t="s">
        <v>17712</v>
      </c>
      <c r="AL472" s="6" t="s">
        <v>18444</v>
      </c>
      <c r="AM472" s="6" t="s">
        <v>18659</v>
      </c>
      <c r="AN472" s="6" t="s">
        <v>81</v>
      </c>
      <c r="AO472" s="6" t="s">
        <v>81</v>
      </c>
      <c r="AP472" s="6" t="s">
        <v>15064</v>
      </c>
      <c r="AQ472" s="6" t="s">
        <v>81</v>
      </c>
      <c r="AR472" s="6" t="s">
        <v>17347</v>
      </c>
      <c r="AS472" s="6" t="s">
        <v>17712</v>
      </c>
      <c r="AT472" s="6" t="s">
        <v>18444</v>
      </c>
      <c r="AU472" s="6" t="s">
        <v>18659</v>
      </c>
      <c r="AV472" s="6" t="s">
        <v>81</v>
      </c>
      <c r="AW472" s="6" t="s">
        <v>81</v>
      </c>
      <c r="AX472" s="6" t="s">
        <v>21057</v>
      </c>
      <c r="AY472" s="6" t="s">
        <v>81</v>
      </c>
      <c r="AZ472" s="6" t="s">
        <v>81</v>
      </c>
      <c r="BA472" s="6" t="s">
        <v>81</v>
      </c>
      <c r="BB472" s="24" t="n">
        <v>150</v>
      </c>
      <c r="BC472" s="26"/>
      <c r="BD472" s="26"/>
      <c r="BE472" s="26"/>
      <c r="BF472" s="26" t="s">
        <v>23900</v>
      </c>
      <c r="BG472" s="26"/>
      <c r="BH472" s="26"/>
      <c r="BI472" s="26"/>
      <c r="BJ472" s="26"/>
      <c r="BK472" s="26"/>
      <c r="BL472" s="26"/>
      <c r="BM472" s="26"/>
      <c r="BN472" s="26"/>
      <c r="BO472" s="26"/>
      <c r="BP472" s="16" t="n">
        <v>45735</v>
      </c>
      <c r="BQ472" s="28" t="str">
        <f>HYPERLINK("https://organic.ams.usda.gov/Integrity/Certificate.aspx?cid=57&amp;nopid=3252023078")</f>
        <v>https://organic.ams.usda.gov/Integrity/Certificate.aspx?cid=57&amp;nopid=3252023078</v>
      </c>
    </row>
    <row r="473">
      <c r="A473" t="s">
        <v>3</v>
      </c>
      <c r="B473" s="6" t="s">
        <v>25</v>
      </c>
      <c r="C473" s="6" t="s">
        <v>72</v>
      </c>
      <c r="D473" s="6" t="s">
        <v>118</v>
      </c>
      <c r="E473" s="10" t="s">
        <v>614</v>
      </c>
      <c r="F473" s="6" t="s">
        <v>3349</v>
      </c>
      <c r="G473" s="6" t="s">
        <v>5635</v>
      </c>
      <c r="H473" s="6" t="s">
        <v>6320</v>
      </c>
      <c r="I473" s="6" t="s">
        <v>81</v>
      </c>
      <c r="J473" s="6" t="s">
        <v>9943</v>
      </c>
      <c r="K473" s="6" t="s">
        <v>10886</v>
      </c>
      <c r="L473" s="16" t="n">
        <v>39135</v>
      </c>
      <c r="M473" s="16" t="n">
        <v>46023</v>
      </c>
      <c r="N473" s="6" t="s">
        <v>81</v>
      </c>
      <c r="O473" s="21" t="s">
        <v>81</v>
      </c>
      <c r="P473" s="6" t="s">
        <v>81</v>
      </c>
      <c r="Q473" s="6" t="s">
        <v>81</v>
      </c>
      <c r="R473" s="6" t="s">
        <v>81</v>
      </c>
      <c r="S473" s="6" t="s">
        <v>81</v>
      </c>
      <c r="T473" s="21" t="s">
        <v>81</v>
      </c>
      <c r="U473" s="6" t="s">
        <v>81</v>
      </c>
      <c r="V473" s="6" t="s">
        <v>81</v>
      </c>
      <c r="W473" s="6" t="s">
        <v>81</v>
      </c>
      <c r="X473" s="6" t="s">
        <v>81</v>
      </c>
      <c r="Y473" s="21" t="s">
        <v>81</v>
      </c>
      <c r="Z473" s="6" t="s">
        <v>81</v>
      </c>
      <c r="AA473" s="6" t="s">
        <v>81</v>
      </c>
      <c r="AB473" s="6" t="s">
        <v>81</v>
      </c>
      <c r="AC473" s="6" t="s">
        <v>10886</v>
      </c>
      <c r="AD473" s="16" t="n">
        <v>39135</v>
      </c>
      <c r="AE473" s="6" t="s">
        <v>14117</v>
      </c>
      <c r="AF473" s="6" t="s">
        <v>81</v>
      </c>
      <c r="AG473" s="6" t="s">
        <v>81</v>
      </c>
      <c r="AH473" s="6" t="s">
        <v>15065</v>
      </c>
      <c r="AI473" s="6" t="s">
        <v>81</v>
      </c>
      <c r="AJ473" s="6" t="s">
        <v>17622</v>
      </c>
      <c r="AK473" s="6" t="s">
        <v>18386</v>
      </c>
      <c r="AL473" s="6" t="s">
        <v>18444</v>
      </c>
      <c r="AM473" s="6" t="s">
        <v>18789</v>
      </c>
      <c r="AN473" s="6" t="s">
        <v>19642</v>
      </c>
      <c r="AO473" s="6" t="s">
        <v>19798</v>
      </c>
      <c r="AP473" s="6" t="s">
        <v>15065</v>
      </c>
      <c r="AQ473" s="6" t="s">
        <v>81</v>
      </c>
      <c r="AR473" s="6" t="s">
        <v>17622</v>
      </c>
      <c r="AS473" s="6" t="s">
        <v>18386</v>
      </c>
      <c r="AT473" s="6" t="s">
        <v>18444</v>
      </c>
      <c r="AU473" s="6" t="s">
        <v>18789</v>
      </c>
      <c r="AV473" s="6" t="s">
        <v>81</v>
      </c>
      <c r="AW473" s="6" t="s">
        <v>81</v>
      </c>
      <c r="AX473" s="6" t="s">
        <v>21058</v>
      </c>
      <c r="AY473" s="6" t="s">
        <v>22753</v>
      </c>
      <c r="AZ473" s="6" t="s">
        <v>23627</v>
      </c>
      <c r="BA473" s="6" t="s">
        <v>23844</v>
      </c>
      <c r="BB473" s="6" t="s">
        <v>81</v>
      </c>
      <c r="BC473" s="26"/>
      <c r="BD473" s="26"/>
      <c r="BE473" s="26"/>
      <c r="BF473" s="26"/>
      <c r="BG473" s="26"/>
      <c r="BH473" s="26"/>
      <c r="BI473" s="26"/>
      <c r="BJ473" s="26"/>
      <c r="BK473" s="26"/>
      <c r="BL473" s="26"/>
      <c r="BM473" s="26"/>
      <c r="BN473" s="26"/>
      <c r="BO473" s="26"/>
      <c r="BP473" s="16" t="n">
        <v>45673</v>
      </c>
      <c r="BQ473" s="28" t="str">
        <f>HYPERLINK("https://organic.ams.usda.gov/Integrity/Certificate.aspx?cid=15&amp;nopid=5561002374")</f>
        <v>https://organic.ams.usda.gov/Integrity/Certificate.aspx?cid=15&amp;nopid=5561002374</v>
      </c>
    </row>
    <row r="474">
      <c r="A474" t="s">
        <v>3</v>
      </c>
      <c r="B474" s="6" t="s">
        <v>25</v>
      </c>
      <c r="C474" s="6" t="s">
        <v>72</v>
      </c>
      <c r="D474" s="6" t="s">
        <v>118</v>
      </c>
      <c r="E474" s="10" t="s">
        <v>615</v>
      </c>
      <c r="F474" s="6" t="s">
        <v>3350</v>
      </c>
      <c r="G474" s="6" t="s">
        <v>81</v>
      </c>
      <c r="H474" s="6" t="s">
        <v>6321</v>
      </c>
      <c r="I474" s="6" t="s">
        <v>8690</v>
      </c>
      <c r="J474" s="6" t="s">
        <v>9944</v>
      </c>
      <c r="K474" s="6" t="s">
        <v>10886</v>
      </c>
      <c r="L474" s="16" t="n">
        <v>37761</v>
      </c>
      <c r="M474" s="16" t="n">
        <v>46023</v>
      </c>
      <c r="N474" s="6" t="s">
        <v>81</v>
      </c>
      <c r="O474" s="21" t="s">
        <v>81</v>
      </c>
      <c r="P474" s="6" t="s">
        <v>81</v>
      </c>
      <c r="Q474" s="6" t="s">
        <v>81</v>
      </c>
      <c r="R474" s="6" t="s">
        <v>81</v>
      </c>
      <c r="S474" s="6" t="s">
        <v>81</v>
      </c>
      <c r="T474" s="21" t="s">
        <v>81</v>
      </c>
      <c r="U474" s="6" t="s">
        <v>81</v>
      </c>
      <c r="V474" s="6" t="s">
        <v>81</v>
      </c>
      <c r="W474" s="6" t="s">
        <v>81</v>
      </c>
      <c r="X474" s="6" t="s">
        <v>81</v>
      </c>
      <c r="Y474" s="21" t="s">
        <v>81</v>
      </c>
      <c r="Z474" s="6" t="s">
        <v>81</v>
      </c>
      <c r="AA474" s="6" t="s">
        <v>81</v>
      </c>
      <c r="AB474" s="6" t="s">
        <v>81</v>
      </c>
      <c r="AC474" s="6" t="s">
        <v>10886</v>
      </c>
      <c r="AD474" s="16" t="n">
        <v>37761</v>
      </c>
      <c r="AE474" s="6" t="s">
        <v>14118</v>
      </c>
      <c r="AF474" s="6" t="s">
        <v>81</v>
      </c>
      <c r="AG474" s="6" t="s">
        <v>81</v>
      </c>
      <c r="AH474" s="6" t="s">
        <v>15066</v>
      </c>
      <c r="AI474" s="6" t="s">
        <v>81</v>
      </c>
      <c r="AJ474" s="6" t="s">
        <v>17623</v>
      </c>
      <c r="AK474" s="6" t="s">
        <v>18386</v>
      </c>
      <c r="AL474" s="6" t="s">
        <v>18444</v>
      </c>
      <c r="AM474" s="6" t="s">
        <v>18790</v>
      </c>
      <c r="AN474" s="6" t="s">
        <v>19651</v>
      </c>
      <c r="AO474" s="6" t="s">
        <v>19864</v>
      </c>
      <c r="AP474" s="6" t="s">
        <v>15066</v>
      </c>
      <c r="AQ474" s="6" t="s">
        <v>81</v>
      </c>
      <c r="AR474" s="6" t="s">
        <v>17623</v>
      </c>
      <c r="AS474" s="6" t="s">
        <v>18386</v>
      </c>
      <c r="AT474" s="6" t="s">
        <v>18444</v>
      </c>
      <c r="AU474" s="6" t="s">
        <v>18790</v>
      </c>
      <c r="AV474" s="6" t="s">
        <v>81</v>
      </c>
      <c r="AW474" s="6" t="s">
        <v>81</v>
      </c>
      <c r="AX474" s="6" t="s">
        <v>21059</v>
      </c>
      <c r="AY474" s="6" t="s">
        <v>22754</v>
      </c>
      <c r="AZ474" s="6" t="s">
        <v>23628</v>
      </c>
      <c r="BA474" s="6" t="s">
        <v>23845</v>
      </c>
      <c r="BB474" s="6" t="s">
        <v>81</v>
      </c>
      <c r="BC474" s="26"/>
      <c r="BD474" s="26"/>
      <c r="BE474" s="26"/>
      <c r="BF474" s="26"/>
      <c r="BG474" s="26"/>
      <c r="BH474" s="26"/>
      <c r="BI474" s="26"/>
      <c r="BJ474" s="26"/>
      <c r="BK474" s="26"/>
      <c r="BL474" s="26"/>
      <c r="BM474" s="26"/>
      <c r="BN474" s="26"/>
      <c r="BO474" s="26"/>
      <c r="BP474" s="16" t="n">
        <v>45667</v>
      </c>
      <c r="BQ474" s="28" t="str">
        <f>HYPERLINK("https://organic.ams.usda.gov/Integrity/Certificate.aspx?cid=15&amp;nopid=5561002252")</f>
        <v>https://organic.ams.usda.gov/Integrity/Certificate.aspx?cid=15&amp;nopid=5561002252</v>
      </c>
    </row>
    <row r="475">
      <c r="A475" t="s">
        <v>3</v>
      </c>
      <c r="B475" s="6" t="s">
        <v>7</v>
      </c>
      <c r="C475" s="6" t="s">
        <v>54</v>
      </c>
      <c r="D475" s="6" t="s">
        <v>100</v>
      </c>
      <c r="E475" s="10" t="s">
        <v>616</v>
      </c>
      <c r="F475" s="6" t="s">
        <v>3351</v>
      </c>
      <c r="G475" s="6" t="s">
        <v>81</v>
      </c>
      <c r="H475" s="6" t="s">
        <v>6322</v>
      </c>
      <c r="I475" s="6" t="s">
        <v>8691</v>
      </c>
      <c r="J475" s="6" t="s">
        <v>9923</v>
      </c>
      <c r="K475" s="6" t="s">
        <v>10886</v>
      </c>
      <c r="L475" s="16" t="n">
        <v>45618</v>
      </c>
      <c r="M475" s="16" t="n">
        <v>45716</v>
      </c>
      <c r="N475" s="6" t="s">
        <v>10886</v>
      </c>
      <c r="O475" s="16" t="n">
        <v>45618</v>
      </c>
      <c r="P475" s="6" t="s">
        <v>11185</v>
      </c>
      <c r="Q475" s="6" t="s">
        <v>81</v>
      </c>
      <c r="R475" s="6" t="s">
        <v>81</v>
      </c>
      <c r="S475" s="6" t="s">
        <v>10886</v>
      </c>
      <c r="T475" s="16" t="n">
        <v>45618</v>
      </c>
      <c r="U475" s="6" t="s">
        <v>13188</v>
      </c>
      <c r="V475" s="6" t="s">
        <v>81</v>
      </c>
      <c r="W475" s="6" t="s">
        <v>81</v>
      </c>
      <c r="X475" s="6" t="s">
        <v>81</v>
      </c>
      <c r="Y475" s="21" t="s">
        <v>81</v>
      </c>
      <c r="Z475" s="6" t="s">
        <v>81</v>
      </c>
      <c r="AA475" s="6" t="s">
        <v>81</v>
      </c>
      <c r="AB475" s="6" t="s">
        <v>81</v>
      </c>
      <c r="AC475" s="6" t="s">
        <v>81</v>
      </c>
      <c r="AD475" s="21" t="s">
        <v>81</v>
      </c>
      <c r="AE475" s="6" t="s">
        <v>81</v>
      </c>
      <c r="AF475" s="6" t="s">
        <v>81</v>
      </c>
      <c r="AG475" s="6" t="s">
        <v>81</v>
      </c>
      <c r="AH475" s="6" t="s">
        <v>15067</v>
      </c>
      <c r="AI475" s="6" t="s">
        <v>81</v>
      </c>
      <c r="AJ475" s="6" t="s">
        <v>17624</v>
      </c>
      <c r="AK475" s="6" t="s">
        <v>18380</v>
      </c>
      <c r="AL475" s="6" t="s">
        <v>18444</v>
      </c>
      <c r="AM475" s="6" t="s">
        <v>18791</v>
      </c>
      <c r="AN475" s="6" t="s">
        <v>81</v>
      </c>
      <c r="AO475" s="6" t="s">
        <v>81</v>
      </c>
      <c r="AP475" s="6" t="s">
        <v>15067</v>
      </c>
      <c r="AQ475" s="6" t="s">
        <v>81</v>
      </c>
      <c r="AR475" s="6" t="s">
        <v>17624</v>
      </c>
      <c r="AS475" s="6" t="s">
        <v>18380</v>
      </c>
      <c r="AT475" s="6" t="s">
        <v>18444</v>
      </c>
      <c r="AU475" s="6" t="s">
        <v>18791</v>
      </c>
      <c r="AV475" s="6" t="s">
        <v>81</v>
      </c>
      <c r="AW475" s="6" t="s">
        <v>81</v>
      </c>
      <c r="AX475" s="6" t="s">
        <v>21060</v>
      </c>
      <c r="AY475" s="6" t="s">
        <v>81</v>
      </c>
      <c r="AZ475" s="6" t="s">
        <v>81</v>
      </c>
      <c r="BA475" s="6" t="s">
        <v>81</v>
      </c>
      <c r="BB475" s="24" t="n">
        <v>90</v>
      </c>
      <c r="BC475" s="26"/>
      <c r="BD475" s="26"/>
      <c r="BE475" s="26"/>
      <c r="BF475" s="26" t="s">
        <v>23900</v>
      </c>
      <c r="BG475" s="26"/>
      <c r="BH475" s="26"/>
      <c r="BI475" s="26"/>
      <c r="BJ475" s="26"/>
      <c r="BK475" s="26"/>
      <c r="BL475" s="26"/>
      <c r="BM475" s="26"/>
      <c r="BN475" s="26"/>
      <c r="BO475" s="26"/>
      <c r="BP475" s="16" t="n">
        <v>45623</v>
      </c>
      <c r="BQ475" s="28" t="str">
        <f>HYPERLINK("https://organic.ams.usda.gov/Integrity/Certificate.aspx?cid=57&amp;nopid=3252024080")</f>
        <v>https://organic.ams.usda.gov/Integrity/Certificate.aspx?cid=57&amp;nopid=3252024080</v>
      </c>
    </row>
    <row r="476">
      <c r="A476" t="s">
        <v>3</v>
      </c>
      <c r="B476" s="6" t="s">
        <v>7</v>
      </c>
      <c r="C476" s="6" t="s">
        <v>54</v>
      </c>
      <c r="D476" s="6" t="s">
        <v>100</v>
      </c>
      <c r="E476" s="10" t="s">
        <v>617</v>
      </c>
      <c r="F476" s="6" t="s">
        <v>3352</v>
      </c>
      <c r="G476" s="6" t="s">
        <v>5636</v>
      </c>
      <c r="H476" s="6" t="s">
        <v>6323</v>
      </c>
      <c r="I476" s="6" t="s">
        <v>8692</v>
      </c>
      <c r="J476" s="6" t="s">
        <v>9945</v>
      </c>
      <c r="K476" s="6" t="s">
        <v>10886</v>
      </c>
      <c r="L476" s="16" t="n">
        <v>44729</v>
      </c>
      <c r="M476" s="16" t="n">
        <v>43735</v>
      </c>
      <c r="N476" s="6" t="s">
        <v>10886</v>
      </c>
      <c r="O476" s="16" t="n">
        <v>44729</v>
      </c>
      <c r="P476" s="6" t="s">
        <v>11186</v>
      </c>
      <c r="Q476" s="6" t="s">
        <v>81</v>
      </c>
      <c r="R476" s="6" t="s">
        <v>6323</v>
      </c>
      <c r="S476" s="6" t="s">
        <v>10886</v>
      </c>
      <c r="T476" s="16" t="n">
        <v>44729</v>
      </c>
      <c r="U476" s="6" t="s">
        <v>13348</v>
      </c>
      <c r="V476" s="6" t="s">
        <v>81</v>
      </c>
      <c r="W476" s="6" t="s">
        <v>6323</v>
      </c>
      <c r="X476" s="6" t="s">
        <v>81</v>
      </c>
      <c r="Y476" s="21" t="s">
        <v>81</v>
      </c>
      <c r="Z476" s="6" t="s">
        <v>81</v>
      </c>
      <c r="AA476" s="6" t="s">
        <v>81</v>
      </c>
      <c r="AB476" s="6" t="s">
        <v>81</v>
      </c>
      <c r="AC476" s="6" t="s">
        <v>81</v>
      </c>
      <c r="AD476" s="21" t="s">
        <v>81</v>
      </c>
      <c r="AE476" s="6" t="s">
        <v>81</v>
      </c>
      <c r="AF476" s="6" t="s">
        <v>81</v>
      </c>
      <c r="AG476" s="6" t="s">
        <v>81</v>
      </c>
      <c r="AH476" s="6" t="s">
        <v>15068</v>
      </c>
      <c r="AI476" s="6" t="s">
        <v>81</v>
      </c>
      <c r="AJ476" s="6" t="s">
        <v>17625</v>
      </c>
      <c r="AK476" s="6" t="s">
        <v>17712</v>
      </c>
      <c r="AL476" s="6" t="s">
        <v>18444</v>
      </c>
      <c r="AM476" s="6" t="s">
        <v>18792</v>
      </c>
      <c r="AN476" s="6" t="s">
        <v>7195</v>
      </c>
      <c r="AO476" s="6" t="s">
        <v>19735</v>
      </c>
      <c r="AP476" s="6" t="s">
        <v>81</v>
      </c>
      <c r="AQ476" s="6" t="s">
        <v>81</v>
      </c>
      <c r="AR476" s="6" t="s">
        <v>81</v>
      </c>
      <c r="AS476" s="6" t="s">
        <v>81</v>
      </c>
      <c r="AT476" s="6" t="s">
        <v>81</v>
      </c>
      <c r="AU476" s="6" t="s">
        <v>81</v>
      </c>
      <c r="AV476" s="6" t="s">
        <v>81</v>
      </c>
      <c r="AW476" s="6" t="s">
        <v>81</v>
      </c>
      <c r="AX476" s="6" t="s">
        <v>21061</v>
      </c>
      <c r="AY476" s="6" t="s">
        <v>81</v>
      </c>
      <c r="AZ476" s="6" t="s">
        <v>81</v>
      </c>
      <c r="BA476" s="6" t="s">
        <v>81</v>
      </c>
      <c r="BB476" s="24" t="n">
        <v>145</v>
      </c>
      <c r="BC476" s="26"/>
      <c r="BD476" s="26"/>
      <c r="BE476" s="26"/>
      <c r="BF476" s="26"/>
      <c r="BG476" s="26"/>
      <c r="BH476" s="26"/>
      <c r="BI476" s="26"/>
      <c r="BJ476" s="26"/>
      <c r="BK476" s="26"/>
      <c r="BL476" s="26"/>
      <c r="BM476" s="26"/>
      <c r="BN476" s="26"/>
      <c r="BO476" s="26"/>
      <c r="BP476" s="16" t="n">
        <v>44909</v>
      </c>
      <c r="BQ476" s="28" t="str">
        <f>HYPERLINK("https://organic.ams.usda.gov/Integrity/Certificate.aspx?cid=57&amp;nopid=3259869934")</f>
        <v>https://organic.ams.usda.gov/Integrity/Certificate.aspx?cid=57&amp;nopid=3259869934</v>
      </c>
    </row>
    <row r="477">
      <c r="A477" t="s">
        <v>3</v>
      </c>
      <c r="B477" s="6" t="s">
        <v>8</v>
      </c>
      <c r="C477" s="6" t="s">
        <v>55</v>
      </c>
      <c r="D477" s="6" t="s">
        <v>101</v>
      </c>
      <c r="E477" s="10" t="s">
        <v>618</v>
      </c>
      <c r="F477" s="6" t="s">
        <v>3353</v>
      </c>
      <c r="G477" s="6" t="s">
        <v>81</v>
      </c>
      <c r="H477" s="6" t="s">
        <v>6324</v>
      </c>
      <c r="I477" s="6" t="s">
        <v>8693</v>
      </c>
      <c r="J477" s="6" t="s">
        <v>9946</v>
      </c>
      <c r="K477" s="6" t="s">
        <v>10886</v>
      </c>
      <c r="L477" s="16" t="n">
        <v>37510</v>
      </c>
      <c r="M477" s="16" t="n">
        <v>45383</v>
      </c>
      <c r="N477" s="6" t="s">
        <v>10886</v>
      </c>
      <c r="O477" s="16" t="n">
        <v>37510</v>
      </c>
      <c r="P477" s="6" t="s">
        <v>11187</v>
      </c>
      <c r="Q477" s="6" t="s">
        <v>81</v>
      </c>
      <c r="R477" s="6" t="s">
        <v>6324</v>
      </c>
      <c r="S477" s="6" t="s">
        <v>10886</v>
      </c>
      <c r="T477" s="16" t="n">
        <v>37510</v>
      </c>
      <c r="U477" s="6" t="s">
        <v>13285</v>
      </c>
      <c r="V477" s="6" t="s">
        <v>81</v>
      </c>
      <c r="W477" s="6" t="s">
        <v>6324</v>
      </c>
      <c r="X477" s="6" t="s">
        <v>81</v>
      </c>
      <c r="Y477" s="21" t="s">
        <v>81</v>
      </c>
      <c r="Z477" s="6" t="s">
        <v>81</v>
      </c>
      <c r="AA477" s="6" t="s">
        <v>81</v>
      </c>
      <c r="AB477" s="6" t="s">
        <v>81</v>
      </c>
      <c r="AC477" s="6" t="s">
        <v>81</v>
      </c>
      <c r="AD477" s="21" t="s">
        <v>81</v>
      </c>
      <c r="AE477" s="6" t="s">
        <v>81</v>
      </c>
      <c r="AF477" s="6" t="s">
        <v>81</v>
      </c>
      <c r="AG477" s="6" t="s">
        <v>81</v>
      </c>
      <c r="AH477" s="6" t="s">
        <v>15069</v>
      </c>
      <c r="AI477" s="6" t="s">
        <v>81</v>
      </c>
      <c r="AJ477" s="6" t="s">
        <v>17626</v>
      </c>
      <c r="AK477" s="6" t="s">
        <v>18377</v>
      </c>
      <c r="AL477" s="6" t="s">
        <v>18444</v>
      </c>
      <c r="AM477" s="6" t="s">
        <v>18793</v>
      </c>
      <c r="AN477" s="6" t="s">
        <v>19653</v>
      </c>
      <c r="AO477" s="6" t="s">
        <v>19838</v>
      </c>
      <c r="AP477" s="6" t="s">
        <v>81</v>
      </c>
      <c r="AQ477" s="6" t="s">
        <v>81</v>
      </c>
      <c r="AR477" s="6" t="s">
        <v>81</v>
      </c>
      <c r="AS477" s="6" t="s">
        <v>81</v>
      </c>
      <c r="AT477" s="6" t="s">
        <v>81</v>
      </c>
      <c r="AU477" s="6" t="s">
        <v>81</v>
      </c>
      <c r="AV477" s="6" t="s">
        <v>81</v>
      </c>
      <c r="AW477" s="6" t="s">
        <v>81</v>
      </c>
      <c r="AX477" s="6" t="s">
        <v>81</v>
      </c>
      <c r="AY477" s="6" t="s">
        <v>81</v>
      </c>
      <c r="AZ477" s="6" t="s">
        <v>81</v>
      </c>
      <c r="BA477" s="6" t="s">
        <v>6324</v>
      </c>
      <c r="BB477" s="24" t="n">
        <v>1039</v>
      </c>
      <c r="BC477" s="26"/>
      <c r="BD477" s="26"/>
      <c r="BE477" s="26"/>
      <c r="BF477" s="26"/>
      <c r="BG477" s="26"/>
      <c r="BH477" s="26"/>
      <c r="BI477" s="26"/>
      <c r="BJ477" s="26"/>
      <c r="BK477" s="26"/>
      <c r="BL477" s="26"/>
      <c r="BM477" s="26"/>
      <c r="BN477" s="26"/>
      <c r="BO477" s="26"/>
      <c r="BP477" s="16" t="n">
        <v>45425</v>
      </c>
      <c r="BQ477" s="28" t="str">
        <f>HYPERLINK("https://organic.ams.usda.gov/Integrity/Certificate.aspx?cid=45&amp;nopid=9950000922")</f>
        <v>https://organic.ams.usda.gov/Integrity/Certificate.aspx?cid=45&amp;nopid=9950000922</v>
      </c>
    </row>
    <row r="478">
      <c r="A478" t="s">
        <v>3</v>
      </c>
      <c r="B478" s="6" t="s">
        <v>8</v>
      </c>
      <c r="C478" s="6" t="s">
        <v>55</v>
      </c>
      <c r="D478" s="6" t="s">
        <v>101</v>
      </c>
      <c r="E478" s="10" t="s">
        <v>619</v>
      </c>
      <c r="F478" s="6" t="s">
        <v>3354</v>
      </c>
      <c r="G478" s="6" t="s">
        <v>5637</v>
      </c>
      <c r="H478" s="6" t="s">
        <v>6325</v>
      </c>
      <c r="I478" s="6" t="s">
        <v>8694</v>
      </c>
      <c r="J478" s="6" t="s">
        <v>9947</v>
      </c>
      <c r="K478" s="6" t="s">
        <v>10886</v>
      </c>
      <c r="L478" s="16" t="n">
        <v>38602</v>
      </c>
      <c r="M478" s="16" t="n">
        <v>45383</v>
      </c>
      <c r="N478" s="6" t="s">
        <v>10886</v>
      </c>
      <c r="O478" s="16" t="n">
        <v>38602</v>
      </c>
      <c r="P478" s="6" t="s">
        <v>11188</v>
      </c>
      <c r="Q478" s="6" t="s">
        <v>81</v>
      </c>
      <c r="R478" s="6" t="s">
        <v>6325</v>
      </c>
      <c r="S478" s="6" t="s">
        <v>10886</v>
      </c>
      <c r="T478" s="16" t="n">
        <v>38602</v>
      </c>
      <c r="U478" s="6" t="s">
        <v>13173</v>
      </c>
      <c r="V478" s="6" t="s">
        <v>81</v>
      </c>
      <c r="W478" s="6" t="s">
        <v>6325</v>
      </c>
      <c r="X478" s="6" t="s">
        <v>81</v>
      </c>
      <c r="Y478" s="21" t="s">
        <v>81</v>
      </c>
      <c r="Z478" s="6" t="s">
        <v>81</v>
      </c>
      <c r="AA478" s="6" t="s">
        <v>81</v>
      </c>
      <c r="AB478" s="6" t="s">
        <v>81</v>
      </c>
      <c r="AC478" s="6" t="s">
        <v>81</v>
      </c>
      <c r="AD478" s="21" t="s">
        <v>81</v>
      </c>
      <c r="AE478" s="6" t="s">
        <v>81</v>
      </c>
      <c r="AF478" s="6" t="s">
        <v>81</v>
      </c>
      <c r="AG478" s="6" t="s">
        <v>81</v>
      </c>
      <c r="AH478" s="6" t="s">
        <v>15070</v>
      </c>
      <c r="AI478" s="6" t="s">
        <v>81</v>
      </c>
      <c r="AJ478" s="6" t="s">
        <v>17627</v>
      </c>
      <c r="AK478" s="6" t="s">
        <v>18379</v>
      </c>
      <c r="AL478" s="6" t="s">
        <v>18444</v>
      </c>
      <c r="AM478" s="6" t="s">
        <v>18794</v>
      </c>
      <c r="AN478" s="6" t="s">
        <v>19681</v>
      </c>
      <c r="AO478" s="6" t="s">
        <v>19884</v>
      </c>
      <c r="AP478" s="6" t="s">
        <v>20167</v>
      </c>
      <c r="AQ478" s="6" t="s">
        <v>81</v>
      </c>
      <c r="AR478" s="6" t="s">
        <v>20515</v>
      </c>
      <c r="AS478" s="6" t="s">
        <v>18379</v>
      </c>
      <c r="AT478" s="6" t="s">
        <v>18444</v>
      </c>
      <c r="AU478" s="6" t="s">
        <v>20625</v>
      </c>
      <c r="AV478" s="6" t="s">
        <v>81</v>
      </c>
      <c r="AW478" s="6" t="s">
        <v>81</v>
      </c>
      <c r="AX478" s="6" t="s">
        <v>21062</v>
      </c>
      <c r="AY478" s="6" t="s">
        <v>22755</v>
      </c>
      <c r="AZ478" s="6" t="s">
        <v>81</v>
      </c>
      <c r="BA478" s="6" t="s">
        <v>23846</v>
      </c>
      <c r="BB478" s="24" t="n">
        <v>708</v>
      </c>
      <c r="BC478" s="26"/>
      <c r="BD478" s="26"/>
      <c r="BE478" s="26"/>
      <c r="BF478" s="26" t="s">
        <v>23900</v>
      </c>
      <c r="BG478" s="26"/>
      <c r="BH478" s="26"/>
      <c r="BI478" s="26"/>
      <c r="BJ478" s="26"/>
      <c r="BK478" s="26"/>
      <c r="BL478" s="26"/>
      <c r="BM478" s="26"/>
      <c r="BN478" s="26"/>
      <c r="BO478" s="26"/>
      <c r="BP478" s="16" t="n">
        <v>45481</v>
      </c>
      <c r="BQ478" s="28" t="str">
        <f>HYPERLINK("https://organic.ams.usda.gov/Integrity/Certificate.aspx?cid=45&amp;nopid=9950001869")</f>
        <v>https://organic.ams.usda.gov/Integrity/Certificate.aspx?cid=45&amp;nopid=9950001869</v>
      </c>
    </row>
    <row r="479">
      <c r="A479" t="s">
        <v>3</v>
      </c>
      <c r="B479" s="6" t="s">
        <v>8</v>
      </c>
      <c r="C479" s="6" t="s">
        <v>55</v>
      </c>
      <c r="D479" s="6" t="s">
        <v>101</v>
      </c>
      <c r="E479" s="10" t="s">
        <v>620</v>
      </c>
      <c r="F479" s="6" t="s">
        <v>3355</v>
      </c>
      <c r="G479" s="6" t="s">
        <v>81</v>
      </c>
      <c r="H479" s="6" t="s">
        <v>6326</v>
      </c>
      <c r="I479" s="6" t="s">
        <v>8695</v>
      </c>
      <c r="J479" s="6" t="s">
        <v>9665</v>
      </c>
      <c r="K479" s="6" t="s">
        <v>10886</v>
      </c>
      <c r="L479" s="16" t="n">
        <v>41166</v>
      </c>
      <c r="M479" s="16" t="n">
        <v>45748</v>
      </c>
      <c r="N479" s="6" t="s">
        <v>10886</v>
      </c>
      <c r="O479" s="16" t="n">
        <v>41166</v>
      </c>
      <c r="P479" s="6" t="s">
        <v>11189</v>
      </c>
      <c r="Q479" s="6" t="s">
        <v>81</v>
      </c>
      <c r="R479" s="6" t="s">
        <v>6326</v>
      </c>
      <c r="S479" s="6" t="s">
        <v>10886</v>
      </c>
      <c r="T479" s="16" t="n">
        <v>41166</v>
      </c>
      <c r="U479" s="6" t="s">
        <v>13286</v>
      </c>
      <c r="V479" s="6" t="s">
        <v>81</v>
      </c>
      <c r="W479" s="6" t="s">
        <v>6326</v>
      </c>
      <c r="X479" s="6" t="s">
        <v>81</v>
      </c>
      <c r="Y479" s="21" t="s">
        <v>81</v>
      </c>
      <c r="Z479" s="6" t="s">
        <v>81</v>
      </c>
      <c r="AA479" s="6" t="s">
        <v>81</v>
      </c>
      <c r="AB479" s="6" t="s">
        <v>81</v>
      </c>
      <c r="AC479" s="6" t="s">
        <v>81</v>
      </c>
      <c r="AD479" s="21" t="s">
        <v>81</v>
      </c>
      <c r="AE479" s="6" t="s">
        <v>81</v>
      </c>
      <c r="AF479" s="6" t="s">
        <v>81</v>
      </c>
      <c r="AG479" s="6" t="s">
        <v>81</v>
      </c>
      <c r="AH479" s="6" t="s">
        <v>15071</v>
      </c>
      <c r="AI479" s="6" t="s">
        <v>81</v>
      </c>
      <c r="AJ479" s="6" t="s">
        <v>17542</v>
      </c>
      <c r="AK479" s="6" t="s">
        <v>18377</v>
      </c>
      <c r="AL479" s="6" t="s">
        <v>18444</v>
      </c>
      <c r="AM479" s="6" t="s">
        <v>18795</v>
      </c>
      <c r="AN479" s="6" t="s">
        <v>19638</v>
      </c>
      <c r="AO479" s="6" t="s">
        <v>19724</v>
      </c>
      <c r="AP479" s="6" t="s">
        <v>81</v>
      </c>
      <c r="AQ479" s="6" t="s">
        <v>81</v>
      </c>
      <c r="AR479" s="6" t="s">
        <v>81</v>
      </c>
      <c r="AS479" s="6" t="s">
        <v>81</v>
      </c>
      <c r="AT479" s="6" t="s">
        <v>81</v>
      </c>
      <c r="AU479" s="6" t="s">
        <v>81</v>
      </c>
      <c r="AV479" s="6" t="s">
        <v>81</v>
      </c>
      <c r="AW479" s="6" t="s">
        <v>81</v>
      </c>
      <c r="AX479" s="6" t="s">
        <v>81</v>
      </c>
      <c r="AY479" s="6" t="s">
        <v>81</v>
      </c>
      <c r="AZ479" s="6" t="s">
        <v>81</v>
      </c>
      <c r="BA479" s="6" t="s">
        <v>23819</v>
      </c>
      <c r="BB479" s="24" t="n">
        <v>156</v>
      </c>
      <c r="BC479" s="26"/>
      <c r="BD479" s="26"/>
      <c r="BE479" s="26"/>
      <c r="BF479" s="26" t="s">
        <v>23900</v>
      </c>
      <c r="BG479" s="26"/>
      <c r="BH479" s="26"/>
      <c r="BI479" s="26"/>
      <c r="BJ479" s="26"/>
      <c r="BK479" s="26"/>
      <c r="BL479" s="26"/>
      <c r="BM479" s="26"/>
      <c r="BN479" s="26"/>
      <c r="BO479" s="26"/>
      <c r="BP479" s="16" t="n">
        <v>45547</v>
      </c>
      <c r="BQ479" s="28" t="str">
        <f>HYPERLINK("https://organic.ams.usda.gov/Integrity/Certificate.aspx?cid=45&amp;nopid=9950004881")</f>
        <v>https://organic.ams.usda.gov/Integrity/Certificate.aspx?cid=45&amp;nopid=9950004881</v>
      </c>
    </row>
    <row r="480">
      <c r="A480" t="s">
        <v>3</v>
      </c>
      <c r="B480" s="6" t="s">
        <v>9</v>
      </c>
      <c r="C480" s="6" t="s">
        <v>56</v>
      </c>
      <c r="D480" s="6" t="s">
        <v>102</v>
      </c>
      <c r="E480" s="10" t="s">
        <v>621</v>
      </c>
      <c r="F480" s="6" t="s">
        <v>3356</v>
      </c>
      <c r="G480" s="6" t="s">
        <v>81</v>
      </c>
      <c r="H480" s="6" t="s">
        <v>6327</v>
      </c>
      <c r="I480" s="6" t="s">
        <v>8696</v>
      </c>
      <c r="J480" s="6" t="s">
        <v>9948</v>
      </c>
      <c r="K480" s="6" t="s">
        <v>10886</v>
      </c>
      <c r="L480" s="16" t="n">
        <v>44102</v>
      </c>
      <c r="M480" s="16" t="n">
        <v>45748</v>
      </c>
      <c r="N480" s="6" t="s">
        <v>10886</v>
      </c>
      <c r="O480" s="16" t="n">
        <v>44102</v>
      </c>
      <c r="P480" s="6" t="s">
        <v>11190</v>
      </c>
      <c r="Q480" s="6" t="s">
        <v>81</v>
      </c>
      <c r="R480" s="6" t="s">
        <v>12547</v>
      </c>
      <c r="S480" s="6" t="s">
        <v>10886</v>
      </c>
      <c r="T480" s="16" t="n">
        <v>44102</v>
      </c>
      <c r="U480" s="6" t="s">
        <v>13168</v>
      </c>
      <c r="V480" s="6" t="s">
        <v>81</v>
      </c>
      <c r="W480" s="6" t="s">
        <v>12547</v>
      </c>
      <c r="X480" s="6" t="s">
        <v>81</v>
      </c>
      <c r="Y480" s="21" t="s">
        <v>81</v>
      </c>
      <c r="Z480" s="6" t="s">
        <v>81</v>
      </c>
      <c r="AA480" s="6" t="s">
        <v>81</v>
      </c>
      <c r="AB480" s="6" t="s">
        <v>81</v>
      </c>
      <c r="AC480" s="6" t="s">
        <v>81</v>
      </c>
      <c r="AD480" s="21" t="s">
        <v>81</v>
      </c>
      <c r="AE480" s="6" t="s">
        <v>81</v>
      </c>
      <c r="AF480" s="6" t="s">
        <v>81</v>
      </c>
      <c r="AG480" s="6" t="s">
        <v>81</v>
      </c>
      <c r="AH480" s="6" t="s">
        <v>15072</v>
      </c>
      <c r="AI480" s="6" t="s">
        <v>81</v>
      </c>
      <c r="AJ480" s="6" t="s">
        <v>17493</v>
      </c>
      <c r="AK480" s="6" t="s">
        <v>18377</v>
      </c>
      <c r="AL480" s="6" t="s">
        <v>18444</v>
      </c>
      <c r="AM480" s="6" t="s">
        <v>18653</v>
      </c>
      <c r="AN480" s="6" t="s">
        <v>6332</v>
      </c>
      <c r="AO480" s="6" t="s">
        <v>19885</v>
      </c>
      <c r="AP480" s="6" t="s">
        <v>81</v>
      </c>
      <c r="AQ480" s="6" t="s">
        <v>81</v>
      </c>
      <c r="AR480" s="6" t="s">
        <v>81</v>
      </c>
      <c r="AS480" s="6" t="s">
        <v>81</v>
      </c>
      <c r="AT480" s="6" t="s">
        <v>81</v>
      </c>
      <c r="AU480" s="6" t="s">
        <v>81</v>
      </c>
      <c r="AV480" s="6" t="s">
        <v>81</v>
      </c>
      <c r="AW480" s="6" t="s">
        <v>81</v>
      </c>
      <c r="AX480" s="6" t="s">
        <v>21063</v>
      </c>
      <c r="AY480" s="6" t="s">
        <v>22756</v>
      </c>
      <c r="AZ480" s="6" t="s">
        <v>81</v>
      </c>
      <c r="BA480" s="6" t="s">
        <v>81</v>
      </c>
      <c r="BB480" s="24" t="n">
        <v>464</v>
      </c>
      <c r="BC480" s="26"/>
      <c r="BD480" s="26"/>
      <c r="BE480" s="26"/>
      <c r="BF480" s="26"/>
      <c r="BG480" s="26"/>
      <c r="BH480" s="26"/>
      <c r="BI480" s="26"/>
      <c r="BJ480" s="26"/>
      <c r="BK480" s="26"/>
      <c r="BL480" s="26"/>
      <c r="BM480" s="26"/>
      <c r="BN480" s="26"/>
      <c r="BO480" s="26"/>
      <c r="BP480" s="16" t="n">
        <v>45738</v>
      </c>
      <c r="BQ480" s="28" t="str">
        <f>HYPERLINK("https://organic.ams.usda.gov/Integrity/Certificate.aspx?cid=52&amp;nopid=8432001846")</f>
        <v>https://organic.ams.usda.gov/Integrity/Certificate.aspx?cid=52&amp;nopid=8432001846</v>
      </c>
    </row>
    <row r="481">
      <c r="A481" t="s">
        <v>3</v>
      </c>
      <c r="B481" s="6" t="s">
        <v>7</v>
      </c>
      <c r="C481" s="6" t="s">
        <v>54</v>
      </c>
      <c r="D481" s="6" t="s">
        <v>100</v>
      </c>
      <c r="E481" s="10" t="s">
        <v>622</v>
      </c>
      <c r="F481" s="6" t="s">
        <v>3357</v>
      </c>
      <c r="G481" s="6" t="s">
        <v>81</v>
      </c>
      <c r="H481" s="6" t="s">
        <v>6328</v>
      </c>
      <c r="I481" s="6" t="s">
        <v>8697</v>
      </c>
      <c r="J481" s="6" t="s">
        <v>9759</v>
      </c>
      <c r="K481" s="6" t="s">
        <v>10886</v>
      </c>
      <c r="L481" s="16" t="n">
        <v>42487</v>
      </c>
      <c r="M481" s="16" t="n">
        <v>45716</v>
      </c>
      <c r="N481" s="6" t="s">
        <v>10886</v>
      </c>
      <c r="O481" s="16" t="n">
        <v>45489</v>
      </c>
      <c r="P481" s="6" t="s">
        <v>11191</v>
      </c>
      <c r="Q481" s="6" t="s">
        <v>81</v>
      </c>
      <c r="R481" s="6" t="s">
        <v>81</v>
      </c>
      <c r="S481" s="6" t="s">
        <v>10886</v>
      </c>
      <c r="T481" s="16" t="n">
        <v>45489</v>
      </c>
      <c r="U481" s="6" t="s">
        <v>13169</v>
      </c>
      <c r="V481" s="6" t="s">
        <v>81</v>
      </c>
      <c r="W481" s="6" t="s">
        <v>81</v>
      </c>
      <c r="X481" s="6" t="s">
        <v>81</v>
      </c>
      <c r="Y481" s="21" t="s">
        <v>81</v>
      </c>
      <c r="Z481" s="6" t="s">
        <v>81</v>
      </c>
      <c r="AA481" s="6" t="s">
        <v>81</v>
      </c>
      <c r="AB481" s="6" t="s">
        <v>81</v>
      </c>
      <c r="AC481" s="6" t="s">
        <v>81</v>
      </c>
      <c r="AD481" s="21" t="s">
        <v>81</v>
      </c>
      <c r="AE481" s="6" t="s">
        <v>81</v>
      </c>
      <c r="AF481" s="6" t="s">
        <v>81</v>
      </c>
      <c r="AG481" s="6" t="s">
        <v>81</v>
      </c>
      <c r="AH481" s="6" t="s">
        <v>15073</v>
      </c>
      <c r="AI481" s="6" t="s">
        <v>81</v>
      </c>
      <c r="AJ481" s="6" t="s">
        <v>17311</v>
      </c>
      <c r="AK481" s="6" t="s">
        <v>17712</v>
      </c>
      <c r="AL481" s="6" t="s">
        <v>18444</v>
      </c>
      <c r="AM481" s="6" t="s">
        <v>18463</v>
      </c>
      <c r="AN481" s="6" t="s">
        <v>81</v>
      </c>
      <c r="AO481" s="6" t="s">
        <v>81</v>
      </c>
      <c r="AP481" s="6" t="s">
        <v>15073</v>
      </c>
      <c r="AQ481" s="6" t="s">
        <v>81</v>
      </c>
      <c r="AR481" s="6" t="s">
        <v>17311</v>
      </c>
      <c r="AS481" s="6" t="s">
        <v>17712</v>
      </c>
      <c r="AT481" s="6" t="s">
        <v>18444</v>
      </c>
      <c r="AU481" s="6" t="s">
        <v>18463</v>
      </c>
      <c r="AV481" s="6" t="s">
        <v>81</v>
      </c>
      <c r="AW481" s="6" t="s">
        <v>81</v>
      </c>
      <c r="AX481" s="6" t="s">
        <v>21064</v>
      </c>
      <c r="AY481" s="6" t="s">
        <v>81</v>
      </c>
      <c r="AZ481" s="6" t="s">
        <v>81</v>
      </c>
      <c r="BA481" s="6" t="s">
        <v>81</v>
      </c>
      <c r="BB481" s="24" t="n">
        <v>240</v>
      </c>
      <c r="BC481" s="26"/>
      <c r="BD481" s="26"/>
      <c r="BE481" s="26"/>
      <c r="BF481" s="26" t="s">
        <v>23900</v>
      </c>
      <c r="BG481" s="26"/>
      <c r="BH481" s="26"/>
      <c r="BI481" s="26"/>
      <c r="BJ481" s="26"/>
      <c r="BK481" s="26"/>
      <c r="BL481" s="26"/>
      <c r="BM481" s="26"/>
      <c r="BN481" s="26"/>
      <c r="BO481" s="26"/>
      <c r="BP481" s="16" t="n">
        <v>45595</v>
      </c>
      <c r="BQ481" s="28" t="str">
        <f>HYPERLINK("https://organic.ams.usda.gov/Integrity/Certificate.aspx?cid=57&amp;nopid=3252024001")</f>
        <v>https://organic.ams.usda.gov/Integrity/Certificate.aspx?cid=57&amp;nopid=3252024001</v>
      </c>
    </row>
    <row r="482">
      <c r="A482" t="s">
        <v>3</v>
      </c>
      <c r="B482" s="6" t="s">
        <v>24</v>
      </c>
      <c r="C482" s="6" t="s">
        <v>71</v>
      </c>
      <c r="D482" s="6" t="s">
        <v>117</v>
      </c>
      <c r="E482" s="10" t="s">
        <v>623</v>
      </c>
      <c r="F482" s="6" t="s">
        <v>3358</v>
      </c>
      <c r="G482" s="6" t="s">
        <v>81</v>
      </c>
      <c r="H482" s="6" t="s">
        <v>81</v>
      </c>
      <c r="I482" s="6" t="s">
        <v>8568</v>
      </c>
      <c r="J482" s="6" t="s">
        <v>9949</v>
      </c>
      <c r="K482" s="6" t="s">
        <v>10886</v>
      </c>
      <c r="L482" s="16" t="n">
        <v>44599</v>
      </c>
      <c r="M482" s="16" t="n">
        <v>45992</v>
      </c>
      <c r="N482" s="6" t="s">
        <v>81</v>
      </c>
      <c r="O482" s="21" t="s">
        <v>81</v>
      </c>
      <c r="P482" s="6" t="s">
        <v>81</v>
      </c>
      <c r="Q482" s="6" t="s">
        <v>81</v>
      </c>
      <c r="R482" s="6" t="s">
        <v>81</v>
      </c>
      <c r="S482" s="6" t="s">
        <v>81</v>
      </c>
      <c r="T482" s="21" t="s">
        <v>81</v>
      </c>
      <c r="U482" s="6" t="s">
        <v>81</v>
      </c>
      <c r="V482" s="6" t="s">
        <v>81</v>
      </c>
      <c r="W482" s="6" t="s">
        <v>81</v>
      </c>
      <c r="X482" s="6" t="s">
        <v>81</v>
      </c>
      <c r="Y482" s="21" t="s">
        <v>81</v>
      </c>
      <c r="Z482" s="6" t="s">
        <v>81</v>
      </c>
      <c r="AA482" s="6" t="s">
        <v>81</v>
      </c>
      <c r="AB482" s="6" t="s">
        <v>81</v>
      </c>
      <c r="AC482" s="6" t="s">
        <v>10886</v>
      </c>
      <c r="AD482" s="16" t="n">
        <v>44599</v>
      </c>
      <c r="AE482" s="6" t="s">
        <v>14119</v>
      </c>
      <c r="AF482" s="6" t="s">
        <v>81</v>
      </c>
      <c r="AG482" s="6" t="s">
        <v>81</v>
      </c>
      <c r="AH482" s="6" t="s">
        <v>15074</v>
      </c>
      <c r="AI482" s="6" t="s">
        <v>81</v>
      </c>
      <c r="AJ482" s="6" t="s">
        <v>17628</v>
      </c>
      <c r="AK482" s="6" t="s">
        <v>18415</v>
      </c>
      <c r="AL482" s="6" t="s">
        <v>18444</v>
      </c>
      <c r="AM482" s="6" t="s">
        <v>18796</v>
      </c>
      <c r="AN482" s="6" t="s">
        <v>6332</v>
      </c>
      <c r="AO482" s="6" t="s">
        <v>19742</v>
      </c>
      <c r="AP482" s="6" t="s">
        <v>20168</v>
      </c>
      <c r="AQ482" s="6" t="s">
        <v>81</v>
      </c>
      <c r="AR482" s="6" t="s">
        <v>17628</v>
      </c>
      <c r="AS482" s="6" t="s">
        <v>18415</v>
      </c>
      <c r="AT482" s="6" t="s">
        <v>18444</v>
      </c>
      <c r="AU482" s="6" t="s">
        <v>20626</v>
      </c>
      <c r="AV482" s="6" t="s">
        <v>81</v>
      </c>
      <c r="AW482" s="6" t="s">
        <v>81</v>
      </c>
      <c r="AX482" s="6" t="s">
        <v>81</v>
      </c>
      <c r="AY482" s="6" t="s">
        <v>22757</v>
      </c>
      <c r="AZ482" s="6" t="s">
        <v>81</v>
      </c>
      <c r="BA482" s="6" t="s">
        <v>81</v>
      </c>
      <c r="BB482" s="6" t="s">
        <v>81</v>
      </c>
      <c r="BC482" s="26"/>
      <c r="BD482" s="26"/>
      <c r="BE482" s="26"/>
      <c r="BF482" s="26"/>
      <c r="BG482" s="26"/>
      <c r="BH482" s="26"/>
      <c r="BI482" s="26"/>
      <c r="BJ482" s="26"/>
      <c r="BK482" s="26"/>
      <c r="BL482" s="26"/>
      <c r="BM482" s="26"/>
      <c r="BN482" s="26"/>
      <c r="BO482" s="26"/>
      <c r="BP482" s="16" t="n">
        <v>45628</v>
      </c>
      <c r="BQ482" s="28" t="str">
        <f>HYPERLINK("https://organic.ams.usda.gov/Integrity/Certificate.aspx?cid=1&amp;nopid=9092132703")</f>
        <v>https://organic.ams.usda.gov/Integrity/Certificate.aspx?cid=1&amp;nopid=9092132703</v>
      </c>
    </row>
    <row r="483">
      <c r="A483" t="s">
        <v>3</v>
      </c>
      <c r="B483" s="6" t="s">
        <v>11</v>
      </c>
      <c r="C483" s="6" t="s">
        <v>58</v>
      </c>
      <c r="D483" s="6" t="s">
        <v>104</v>
      </c>
      <c r="E483" s="10" t="s">
        <v>624</v>
      </c>
      <c r="F483" s="6" t="s">
        <v>3359</v>
      </c>
      <c r="G483" s="6" t="s">
        <v>81</v>
      </c>
      <c r="H483" s="6" t="s">
        <v>81</v>
      </c>
      <c r="I483" s="6" t="s">
        <v>8698</v>
      </c>
      <c r="J483" s="6" t="s">
        <v>9665</v>
      </c>
      <c r="K483" s="6" t="s">
        <v>10886</v>
      </c>
      <c r="L483" s="16" t="n">
        <v>43438</v>
      </c>
      <c r="M483" s="16" t="n">
        <v>45748</v>
      </c>
      <c r="N483" s="6" t="s">
        <v>10886</v>
      </c>
      <c r="O483" s="16" t="n">
        <v>43438</v>
      </c>
      <c r="P483" s="6" t="s">
        <v>11192</v>
      </c>
      <c r="Q483" s="6" t="s">
        <v>81</v>
      </c>
      <c r="R483" s="6" t="s">
        <v>81</v>
      </c>
      <c r="S483" s="6" t="s">
        <v>10886</v>
      </c>
      <c r="T483" s="16" t="n">
        <v>43468</v>
      </c>
      <c r="U483" s="6" t="s">
        <v>13349</v>
      </c>
      <c r="V483" s="6" t="s">
        <v>81</v>
      </c>
      <c r="W483" s="6" t="s">
        <v>81</v>
      </c>
      <c r="X483" s="6" t="s">
        <v>81</v>
      </c>
      <c r="Y483" s="21" t="s">
        <v>81</v>
      </c>
      <c r="Z483" s="6" t="s">
        <v>81</v>
      </c>
      <c r="AA483" s="6" t="s">
        <v>81</v>
      </c>
      <c r="AB483" s="6" t="s">
        <v>81</v>
      </c>
      <c r="AC483" s="6" t="s">
        <v>81</v>
      </c>
      <c r="AD483" s="21" t="s">
        <v>81</v>
      </c>
      <c r="AE483" s="6" t="s">
        <v>81</v>
      </c>
      <c r="AF483" s="6" t="s">
        <v>81</v>
      </c>
      <c r="AG483" s="6" t="s">
        <v>81</v>
      </c>
      <c r="AH483" s="6" t="s">
        <v>15075</v>
      </c>
      <c r="AI483" s="6" t="s">
        <v>81</v>
      </c>
      <c r="AJ483" s="6" t="s">
        <v>17629</v>
      </c>
      <c r="AK483" s="6" t="s">
        <v>18377</v>
      </c>
      <c r="AL483" s="6" t="s">
        <v>18444</v>
      </c>
      <c r="AM483" s="6" t="s">
        <v>18797</v>
      </c>
      <c r="AN483" s="6" t="s">
        <v>19652</v>
      </c>
      <c r="AO483" s="6" t="s">
        <v>19772</v>
      </c>
      <c r="AP483" s="6" t="s">
        <v>15075</v>
      </c>
      <c r="AQ483" s="6" t="s">
        <v>81</v>
      </c>
      <c r="AR483" s="6" t="s">
        <v>17629</v>
      </c>
      <c r="AS483" s="6" t="s">
        <v>18377</v>
      </c>
      <c r="AT483" s="6" t="s">
        <v>18444</v>
      </c>
      <c r="AU483" s="6" t="s">
        <v>18797</v>
      </c>
      <c r="AV483" s="6" t="s">
        <v>81</v>
      </c>
      <c r="AW483" s="6" t="s">
        <v>81</v>
      </c>
      <c r="AX483" s="6" t="s">
        <v>81</v>
      </c>
      <c r="AY483" s="6" t="s">
        <v>81</v>
      </c>
      <c r="AZ483" s="6" t="s">
        <v>81</v>
      </c>
      <c r="BA483" s="6" t="s">
        <v>23825</v>
      </c>
      <c r="BB483" s="24" t="n">
        <v>28</v>
      </c>
      <c r="BC483" s="26"/>
      <c r="BD483" s="26"/>
      <c r="BE483" s="26"/>
      <c r="BF483" s="26"/>
      <c r="BG483" s="26"/>
      <c r="BH483" s="26"/>
      <c r="BI483" s="26"/>
      <c r="BJ483" s="26"/>
      <c r="BK483" s="26"/>
      <c r="BL483" s="26"/>
      <c r="BM483" s="26"/>
      <c r="BN483" s="26"/>
      <c r="BO483" s="26"/>
      <c r="BP483" s="16" t="n">
        <v>45572</v>
      </c>
      <c r="BQ483" s="28" t="str">
        <f>HYPERLINK("https://organic.ams.usda.gov/Integrity/Certificate.aspx?cid=46&amp;nopid=3671800102")</f>
        <v>https://organic.ams.usda.gov/Integrity/Certificate.aspx?cid=46&amp;nopid=3671800102</v>
      </c>
    </row>
    <row r="484">
      <c r="A484" t="s">
        <v>3</v>
      </c>
      <c r="B484" s="6" t="s">
        <v>16</v>
      </c>
      <c r="C484" s="6" t="s">
        <v>63</v>
      </c>
      <c r="D484" s="6" t="s">
        <v>109</v>
      </c>
      <c r="E484" s="10" t="s">
        <v>625</v>
      </c>
      <c r="F484" s="6" t="s">
        <v>3360</v>
      </c>
      <c r="G484" s="6" t="s">
        <v>5638</v>
      </c>
      <c r="H484" s="6" t="s">
        <v>6329</v>
      </c>
      <c r="I484" s="6" t="s">
        <v>8699</v>
      </c>
      <c r="J484" s="6" t="s">
        <v>9950</v>
      </c>
      <c r="K484" s="6" t="s">
        <v>10886</v>
      </c>
      <c r="L484" s="16" t="n">
        <v>44516</v>
      </c>
      <c r="M484" s="16" t="n">
        <v>45731</v>
      </c>
      <c r="N484" s="6" t="s">
        <v>10886</v>
      </c>
      <c r="O484" s="16" t="n">
        <v>44516</v>
      </c>
      <c r="P484" s="6" t="s">
        <v>11193</v>
      </c>
      <c r="Q484" s="6" t="s">
        <v>81</v>
      </c>
      <c r="R484" s="6" t="s">
        <v>81</v>
      </c>
      <c r="S484" s="6" t="s">
        <v>10886</v>
      </c>
      <c r="T484" s="16" t="n">
        <v>44516</v>
      </c>
      <c r="U484" s="6" t="s">
        <v>13350</v>
      </c>
      <c r="V484" s="6" t="s">
        <v>81</v>
      </c>
      <c r="W484" s="6" t="s">
        <v>81</v>
      </c>
      <c r="X484" s="6" t="s">
        <v>81</v>
      </c>
      <c r="Y484" s="21" t="s">
        <v>81</v>
      </c>
      <c r="Z484" s="6" t="s">
        <v>81</v>
      </c>
      <c r="AA484" s="6" t="s">
        <v>81</v>
      </c>
      <c r="AB484" s="6" t="s">
        <v>81</v>
      </c>
      <c r="AC484" s="6" t="s">
        <v>10886</v>
      </c>
      <c r="AD484" s="16" t="n">
        <v>45449</v>
      </c>
      <c r="AE484" s="6" t="s">
        <v>14120</v>
      </c>
      <c r="AF484" s="6" t="s">
        <v>81</v>
      </c>
      <c r="AG484" s="6" t="s">
        <v>81</v>
      </c>
      <c r="AH484" s="6" t="s">
        <v>15076</v>
      </c>
      <c r="AI484" s="6" t="s">
        <v>81</v>
      </c>
      <c r="AJ484" s="6" t="s">
        <v>17630</v>
      </c>
      <c r="AK484" s="6" t="s">
        <v>18383</v>
      </c>
      <c r="AL484" s="6" t="s">
        <v>18444</v>
      </c>
      <c r="AM484" s="6" t="s">
        <v>18798</v>
      </c>
      <c r="AN484" s="6" t="s">
        <v>19655</v>
      </c>
      <c r="AO484" s="6" t="s">
        <v>19886</v>
      </c>
      <c r="AP484" s="6" t="s">
        <v>81</v>
      </c>
      <c r="AQ484" s="6" t="s">
        <v>81</v>
      </c>
      <c r="AR484" s="6" t="s">
        <v>81</v>
      </c>
      <c r="AS484" s="6" t="s">
        <v>81</v>
      </c>
      <c r="AT484" s="6" t="s">
        <v>81</v>
      </c>
      <c r="AU484" s="6" t="s">
        <v>81</v>
      </c>
      <c r="AV484" s="6" t="s">
        <v>81</v>
      </c>
      <c r="AW484" s="6" t="s">
        <v>81</v>
      </c>
      <c r="AX484" s="6" t="s">
        <v>21065</v>
      </c>
      <c r="AY484" s="6" t="s">
        <v>81</v>
      </c>
      <c r="AZ484" s="6" t="s">
        <v>23629</v>
      </c>
      <c r="BA484" s="6" t="s">
        <v>81</v>
      </c>
      <c r="BB484" s="24" t="n">
        <v>1200</v>
      </c>
      <c r="BC484" s="26"/>
      <c r="BD484" s="26"/>
      <c r="BE484" s="26"/>
      <c r="BF484" s="26"/>
      <c r="BG484" s="26"/>
      <c r="BH484" s="26"/>
      <c r="BI484" s="26"/>
      <c r="BJ484" s="26"/>
      <c r="BK484" s="26"/>
      <c r="BL484" s="26"/>
      <c r="BM484" s="26"/>
      <c r="BN484" s="26"/>
      <c r="BO484" s="26"/>
      <c r="BP484" s="16" t="n">
        <v>45701</v>
      </c>
      <c r="BQ484" s="28" t="str">
        <f>HYPERLINK("https://organic.ams.usda.gov/Integrity/Certificate.aspx?cid=81&amp;nopid=4212021067")</f>
        <v>https://organic.ams.usda.gov/Integrity/Certificate.aspx?cid=81&amp;nopid=4212021067</v>
      </c>
    </row>
    <row r="485">
      <c r="A485" t="s">
        <v>3</v>
      </c>
      <c r="B485" s="6" t="s">
        <v>22</v>
      </c>
      <c r="C485" s="6" t="s">
        <v>69</v>
      </c>
      <c r="D485" s="6" t="s">
        <v>115</v>
      </c>
      <c r="E485" s="10" t="s">
        <v>626</v>
      </c>
      <c r="F485" s="6" t="s">
        <v>3361</v>
      </c>
      <c r="G485" s="6" t="s">
        <v>81</v>
      </c>
      <c r="H485" s="6" t="s">
        <v>6330</v>
      </c>
      <c r="I485" s="6" t="s">
        <v>8700</v>
      </c>
      <c r="J485" s="6" t="s">
        <v>9951</v>
      </c>
      <c r="K485" s="6" t="s">
        <v>10886</v>
      </c>
      <c r="L485" s="16" t="n">
        <v>45390</v>
      </c>
      <c r="M485" s="16" t="n">
        <v>45662</v>
      </c>
      <c r="N485" s="6" t="s">
        <v>10886</v>
      </c>
      <c r="O485" s="16" t="n">
        <v>45390</v>
      </c>
      <c r="P485" s="6" t="s">
        <v>11194</v>
      </c>
      <c r="Q485" s="6" t="s">
        <v>81</v>
      </c>
      <c r="R485" s="6" t="s">
        <v>81</v>
      </c>
      <c r="S485" s="6" t="s">
        <v>81</v>
      </c>
      <c r="T485" s="21" t="s">
        <v>81</v>
      </c>
      <c r="U485" s="6" t="s">
        <v>81</v>
      </c>
      <c r="V485" s="6" t="s">
        <v>81</v>
      </c>
      <c r="W485" s="6" t="s">
        <v>81</v>
      </c>
      <c r="X485" s="6" t="s">
        <v>81</v>
      </c>
      <c r="Y485" s="21" t="s">
        <v>81</v>
      </c>
      <c r="Z485" s="6" t="s">
        <v>81</v>
      </c>
      <c r="AA485" s="6" t="s">
        <v>81</v>
      </c>
      <c r="AB485" s="6" t="s">
        <v>81</v>
      </c>
      <c r="AC485" s="6" t="s">
        <v>10886</v>
      </c>
      <c r="AD485" s="16" t="n">
        <v>45390</v>
      </c>
      <c r="AE485" s="6" t="s">
        <v>14121</v>
      </c>
      <c r="AF485" s="6" t="s">
        <v>81</v>
      </c>
      <c r="AG485" s="6" t="s">
        <v>81</v>
      </c>
      <c r="AH485" s="6" t="s">
        <v>15077</v>
      </c>
      <c r="AI485" s="6" t="s">
        <v>81</v>
      </c>
      <c r="AJ485" s="6" t="s">
        <v>17631</v>
      </c>
      <c r="AK485" s="6" t="s">
        <v>18416</v>
      </c>
      <c r="AL485" s="6" t="s">
        <v>18450</v>
      </c>
      <c r="AM485" s="6" t="s">
        <v>81</v>
      </c>
      <c r="AN485" s="6" t="s">
        <v>81</v>
      </c>
      <c r="AO485" s="6" t="s">
        <v>81</v>
      </c>
      <c r="AP485" s="6" t="s">
        <v>20169</v>
      </c>
      <c r="AQ485" s="6" t="s">
        <v>81</v>
      </c>
      <c r="AR485" s="6" t="s">
        <v>17631</v>
      </c>
      <c r="AS485" s="6" t="s">
        <v>18416</v>
      </c>
      <c r="AT485" s="6" t="s">
        <v>18450</v>
      </c>
      <c r="AU485" s="6" t="s">
        <v>20627</v>
      </c>
      <c r="AV485" s="6" t="s">
        <v>81</v>
      </c>
      <c r="AW485" s="6" t="s">
        <v>81</v>
      </c>
      <c r="AX485" s="6" t="s">
        <v>21066</v>
      </c>
      <c r="AY485" s="6" t="s">
        <v>22758</v>
      </c>
      <c r="AZ485" s="6" t="s">
        <v>81</v>
      </c>
      <c r="BA485" s="6" t="s">
        <v>81</v>
      </c>
      <c r="BB485" s="24" t="n">
        <v>92</v>
      </c>
      <c r="BC485" s="26"/>
      <c r="BD485" s="26"/>
      <c r="BE485" s="26"/>
      <c r="BF485" s="26"/>
      <c r="BG485" s="26"/>
      <c r="BH485" s="26"/>
      <c r="BI485" s="26"/>
      <c r="BJ485" s="26"/>
      <c r="BK485" s="26"/>
      <c r="BL485" s="26"/>
      <c r="BM485" s="26"/>
      <c r="BN485" s="26"/>
      <c r="BO485" s="26" t="s">
        <v>23900</v>
      </c>
      <c r="BP485" s="16" t="n">
        <v>45700</v>
      </c>
      <c r="BQ485" s="28" t="str">
        <f>HYPERLINK("https://organic.ams.usda.gov/Integrity/Certificate.aspx?cid=21&amp;nopid=1780899875")</f>
        <v>https://organic.ams.usda.gov/Integrity/Certificate.aspx?cid=21&amp;nopid=1780899875</v>
      </c>
    </row>
    <row r="486">
      <c r="A486" t="s">
        <v>3</v>
      </c>
      <c r="B486" s="6" t="s">
        <v>29</v>
      </c>
      <c r="C486" s="6" t="s">
        <v>76</v>
      </c>
      <c r="D486" s="6" t="s">
        <v>122</v>
      </c>
      <c r="E486" s="10" t="s">
        <v>627</v>
      </c>
      <c r="F486" s="6" t="s">
        <v>3362</v>
      </c>
      <c r="G486" s="6" t="s">
        <v>81</v>
      </c>
      <c r="H486" s="6" t="s">
        <v>6331</v>
      </c>
      <c r="I486" s="6" t="s">
        <v>8701</v>
      </c>
      <c r="J486" s="6" t="s">
        <v>9952</v>
      </c>
      <c r="K486" s="6" t="s">
        <v>10886</v>
      </c>
      <c r="L486" s="16" t="n">
        <v>36107</v>
      </c>
      <c r="M486" s="16" t="n">
        <v>45505</v>
      </c>
      <c r="N486" s="6" t="s">
        <v>10886</v>
      </c>
      <c r="O486" s="16" t="n">
        <v>36107</v>
      </c>
      <c r="P486" s="6" t="s">
        <v>11195</v>
      </c>
      <c r="Q486" s="6" t="s">
        <v>81</v>
      </c>
      <c r="R486" s="6" t="s">
        <v>12548</v>
      </c>
      <c r="S486" s="6" t="s">
        <v>10886</v>
      </c>
      <c r="T486" s="16" t="n">
        <v>36107</v>
      </c>
      <c r="U486" s="6" t="s">
        <v>13351</v>
      </c>
      <c r="V486" s="6" t="s">
        <v>81</v>
      </c>
      <c r="W486" s="6" t="s">
        <v>12548</v>
      </c>
      <c r="X486" s="6" t="s">
        <v>81</v>
      </c>
      <c r="Y486" s="21" t="s">
        <v>81</v>
      </c>
      <c r="Z486" s="6" t="s">
        <v>81</v>
      </c>
      <c r="AA486" s="6" t="s">
        <v>81</v>
      </c>
      <c r="AB486" s="6" t="s">
        <v>81</v>
      </c>
      <c r="AC486" s="6" t="s">
        <v>81</v>
      </c>
      <c r="AD486" s="21" t="s">
        <v>81</v>
      </c>
      <c r="AE486" s="6" t="s">
        <v>81</v>
      </c>
      <c r="AF486" s="6" t="s">
        <v>81</v>
      </c>
      <c r="AG486" s="6" t="s">
        <v>81</v>
      </c>
      <c r="AH486" s="6" t="s">
        <v>15078</v>
      </c>
      <c r="AI486" s="6" t="s">
        <v>81</v>
      </c>
      <c r="AJ486" s="6" t="s">
        <v>9637</v>
      </c>
      <c r="AK486" s="6" t="s">
        <v>18377</v>
      </c>
      <c r="AL486" s="6" t="s">
        <v>18444</v>
      </c>
      <c r="AM486" s="6" t="s">
        <v>18799</v>
      </c>
      <c r="AN486" s="6" t="s">
        <v>7895</v>
      </c>
      <c r="AO486" s="6" t="s">
        <v>19773</v>
      </c>
      <c r="AP486" s="6" t="s">
        <v>81</v>
      </c>
      <c r="AQ486" s="6" t="s">
        <v>81</v>
      </c>
      <c r="AR486" s="6" t="s">
        <v>81</v>
      </c>
      <c r="AS486" s="6" t="s">
        <v>81</v>
      </c>
      <c r="AT486" s="6" t="s">
        <v>81</v>
      </c>
      <c r="AU486" s="6" t="s">
        <v>81</v>
      </c>
      <c r="AV486" s="6" t="s">
        <v>81</v>
      </c>
      <c r="AW486" s="6" t="s">
        <v>81</v>
      </c>
      <c r="AX486" s="6" t="s">
        <v>21067</v>
      </c>
      <c r="AY486" s="6" t="s">
        <v>22759</v>
      </c>
      <c r="AZ486" s="6" t="s">
        <v>81</v>
      </c>
      <c r="BA486" s="6" t="s">
        <v>81</v>
      </c>
      <c r="BB486" s="24" t="n">
        <v>261</v>
      </c>
      <c r="BC486" s="26"/>
      <c r="BD486" s="26"/>
      <c r="BE486" s="26"/>
      <c r="BF486" s="26" t="s">
        <v>23900</v>
      </c>
      <c r="BG486" s="26"/>
      <c r="BH486" s="26"/>
      <c r="BI486" s="26"/>
      <c r="BJ486" s="26"/>
      <c r="BK486" s="26"/>
      <c r="BL486" s="26"/>
      <c r="BM486" s="26"/>
      <c r="BN486" s="26"/>
      <c r="BO486" s="26"/>
      <c r="BP486" s="16" t="n">
        <v>45737</v>
      </c>
      <c r="BQ486" s="28" t="str">
        <f>HYPERLINK("https://organic.ams.usda.gov/Integrity/Certificate.aspx?cid=31&amp;nopid=3920001004")</f>
        <v>https://organic.ams.usda.gov/Integrity/Certificate.aspx?cid=31&amp;nopid=3920001004</v>
      </c>
    </row>
    <row r="487">
      <c r="A487" t="s">
        <v>3</v>
      </c>
      <c r="B487" s="6" t="s">
        <v>34</v>
      </c>
      <c r="C487" s="6" t="s">
        <v>81</v>
      </c>
      <c r="D487" s="6" t="s">
        <v>81</v>
      </c>
      <c r="E487" s="10" t="s">
        <v>628</v>
      </c>
      <c r="F487" s="6" t="s">
        <v>3363</v>
      </c>
      <c r="G487" s="6" t="s">
        <v>5639</v>
      </c>
      <c r="H487" s="6" t="s">
        <v>6332</v>
      </c>
      <c r="I487" s="6" t="s">
        <v>8702</v>
      </c>
      <c r="J487" s="6" t="s">
        <v>9953</v>
      </c>
      <c r="K487" s="6" t="s">
        <v>10886</v>
      </c>
      <c r="L487" s="16" t="n">
        <v>43628</v>
      </c>
      <c r="M487" s="16" t="n">
        <v>45089</v>
      </c>
      <c r="N487" s="6" t="s">
        <v>81</v>
      </c>
      <c r="O487" s="21" t="s">
        <v>81</v>
      </c>
      <c r="P487" s="6" t="s">
        <v>81</v>
      </c>
      <c r="Q487" s="6" t="s">
        <v>81</v>
      </c>
      <c r="R487" s="6" t="s">
        <v>81</v>
      </c>
      <c r="S487" s="6" t="s">
        <v>81</v>
      </c>
      <c r="T487" s="21" t="s">
        <v>81</v>
      </c>
      <c r="U487" s="6" t="s">
        <v>81</v>
      </c>
      <c r="V487" s="6" t="s">
        <v>81</v>
      </c>
      <c r="W487" s="6" t="s">
        <v>81</v>
      </c>
      <c r="X487" s="6" t="s">
        <v>81</v>
      </c>
      <c r="Y487" s="21" t="s">
        <v>81</v>
      </c>
      <c r="Z487" s="6" t="s">
        <v>81</v>
      </c>
      <c r="AA487" s="6" t="s">
        <v>81</v>
      </c>
      <c r="AB487" s="6" t="s">
        <v>81</v>
      </c>
      <c r="AC487" s="6" t="s">
        <v>10886</v>
      </c>
      <c r="AD487" s="16" t="n">
        <v>43628</v>
      </c>
      <c r="AE487" s="6" t="s">
        <v>14122</v>
      </c>
      <c r="AF487" s="6" t="s">
        <v>81</v>
      </c>
      <c r="AG487" s="6" t="s">
        <v>6332</v>
      </c>
      <c r="AH487" s="6" t="s">
        <v>15079</v>
      </c>
      <c r="AI487" s="6" t="s">
        <v>81</v>
      </c>
      <c r="AJ487" s="6" t="s">
        <v>17632</v>
      </c>
      <c r="AK487" s="6" t="s">
        <v>18386</v>
      </c>
      <c r="AL487" s="6" t="s">
        <v>18444</v>
      </c>
      <c r="AM487" s="6" t="s">
        <v>18800</v>
      </c>
      <c r="AN487" s="6" t="s">
        <v>81</v>
      </c>
      <c r="AO487" s="6" t="s">
        <v>81</v>
      </c>
      <c r="AP487" s="6" t="s">
        <v>15079</v>
      </c>
      <c r="AQ487" s="6" t="s">
        <v>81</v>
      </c>
      <c r="AR487" s="6" t="s">
        <v>17632</v>
      </c>
      <c r="AS487" s="6" t="s">
        <v>18386</v>
      </c>
      <c r="AT487" s="6" t="s">
        <v>18444</v>
      </c>
      <c r="AU487" s="6" t="s">
        <v>18800</v>
      </c>
      <c r="AV487" s="6" t="s">
        <v>81</v>
      </c>
      <c r="AW487" s="6" t="s">
        <v>81</v>
      </c>
      <c r="AX487" s="6" t="s">
        <v>21068</v>
      </c>
      <c r="AY487" s="6" t="s">
        <v>22760</v>
      </c>
      <c r="AZ487" s="6" t="s">
        <v>23630</v>
      </c>
      <c r="BA487" s="6" t="s">
        <v>23847</v>
      </c>
      <c r="BB487" s="6" t="s">
        <v>81</v>
      </c>
      <c r="BC487" s="26"/>
      <c r="BD487" s="26"/>
      <c r="BE487" s="26"/>
      <c r="BF487" s="26"/>
      <c r="BG487" s="26"/>
      <c r="BH487" s="26"/>
      <c r="BI487" s="26"/>
      <c r="BJ487" s="26" t="s">
        <v>23900</v>
      </c>
      <c r="BK487" s="26"/>
      <c r="BL487" s="26"/>
      <c r="BM487" s="26"/>
      <c r="BN487" s="26"/>
      <c r="BO487" s="26"/>
      <c r="BP487" s="16" t="n">
        <v>45232</v>
      </c>
      <c r="BQ487" s="28" t="str">
        <f>HYPERLINK("")</f>
      </c>
    </row>
    <row r="488">
      <c r="A488" t="s">
        <v>3</v>
      </c>
      <c r="B488" s="6" t="s">
        <v>41</v>
      </c>
      <c r="C488" s="6" t="s">
        <v>88</v>
      </c>
      <c r="D488" s="6" t="s">
        <v>133</v>
      </c>
      <c r="E488" s="10" t="s">
        <v>629</v>
      </c>
      <c r="F488" s="6" t="s">
        <v>3364</v>
      </c>
      <c r="G488" s="6" t="s">
        <v>5640</v>
      </c>
      <c r="H488" s="6" t="s">
        <v>6333</v>
      </c>
      <c r="I488" s="6" t="s">
        <v>81</v>
      </c>
      <c r="J488" s="6" t="s">
        <v>81</v>
      </c>
      <c r="K488" s="6" t="s">
        <v>10886</v>
      </c>
      <c r="L488" s="16" t="n">
        <v>44939</v>
      </c>
      <c r="M488" s="18" t="s">
        <v>81</v>
      </c>
      <c r="N488" s="6" t="s">
        <v>81</v>
      </c>
      <c r="O488" s="21" t="s">
        <v>81</v>
      </c>
      <c r="P488" s="6" t="s">
        <v>81</v>
      </c>
      <c r="Q488" s="6" t="s">
        <v>81</v>
      </c>
      <c r="R488" s="6" t="s">
        <v>81</v>
      </c>
      <c r="S488" s="6" t="s">
        <v>81</v>
      </c>
      <c r="T488" s="21" t="s">
        <v>81</v>
      </c>
      <c r="U488" s="6" t="s">
        <v>81</v>
      </c>
      <c r="V488" s="6" t="s">
        <v>81</v>
      </c>
      <c r="W488" s="6" t="s">
        <v>81</v>
      </c>
      <c r="X488" s="6" t="s">
        <v>81</v>
      </c>
      <c r="Y488" s="21" t="s">
        <v>81</v>
      </c>
      <c r="Z488" s="6" t="s">
        <v>81</v>
      </c>
      <c r="AA488" s="6" t="s">
        <v>81</v>
      </c>
      <c r="AB488" s="6" t="s">
        <v>81</v>
      </c>
      <c r="AC488" s="6" t="s">
        <v>10886</v>
      </c>
      <c r="AD488" s="16" t="n">
        <v>44939</v>
      </c>
      <c r="AE488" s="6" t="s">
        <v>14123</v>
      </c>
      <c r="AF488" s="6" t="s">
        <v>81</v>
      </c>
      <c r="AG488" s="6" t="s">
        <v>6333</v>
      </c>
      <c r="AH488" s="6" t="s">
        <v>15080</v>
      </c>
      <c r="AI488" s="6" t="s">
        <v>81</v>
      </c>
      <c r="AJ488" s="6" t="s">
        <v>8787</v>
      </c>
      <c r="AK488" s="6" t="s">
        <v>18377</v>
      </c>
      <c r="AL488" s="6" t="s">
        <v>18444</v>
      </c>
      <c r="AM488" s="6" t="s">
        <v>18801</v>
      </c>
      <c r="AN488" s="6" t="s">
        <v>7450</v>
      </c>
      <c r="AO488" s="6" t="s">
        <v>19887</v>
      </c>
      <c r="AP488" s="6" t="s">
        <v>81</v>
      </c>
      <c r="AQ488" s="6" t="s">
        <v>81</v>
      </c>
      <c r="AR488" s="6" t="s">
        <v>81</v>
      </c>
      <c r="AS488" s="6" t="s">
        <v>81</v>
      </c>
      <c r="AT488" s="6" t="s">
        <v>81</v>
      </c>
      <c r="AU488" s="6" t="s">
        <v>81</v>
      </c>
      <c r="AV488" s="6" t="s">
        <v>81</v>
      </c>
      <c r="AW488" s="6" t="s">
        <v>81</v>
      </c>
      <c r="AX488" s="6" t="s">
        <v>81</v>
      </c>
      <c r="AY488" s="6" t="s">
        <v>81</v>
      </c>
      <c r="AZ488" s="6" t="s">
        <v>81</v>
      </c>
      <c r="BA488" s="6" t="s">
        <v>81</v>
      </c>
      <c r="BB488" s="6" t="s">
        <v>81</v>
      </c>
      <c r="BC488" s="26"/>
      <c r="BD488" s="26"/>
      <c r="BE488" s="26"/>
      <c r="BF488" s="26"/>
      <c r="BG488" s="26"/>
      <c r="BH488" s="26"/>
      <c r="BI488" s="26"/>
      <c r="BJ488" s="26"/>
      <c r="BK488" s="26"/>
      <c r="BL488" s="26"/>
      <c r="BM488" s="26"/>
      <c r="BN488" s="26"/>
      <c r="BO488" s="26"/>
      <c r="BP488" s="16" t="n">
        <v>45141</v>
      </c>
      <c r="BQ488" s="28" t="str">
        <f>HYPERLINK("https://organic.ams.usda.gov/Integrity/Certificate.aspx?cid=12&amp;nopid=8698973939")</f>
        <v>https://organic.ams.usda.gov/Integrity/Certificate.aspx?cid=12&amp;nopid=8698973939</v>
      </c>
    </row>
    <row r="489">
      <c r="A489" t="s">
        <v>3</v>
      </c>
      <c r="B489" s="6" t="s">
        <v>41</v>
      </c>
      <c r="C489" s="6" t="s">
        <v>88</v>
      </c>
      <c r="D489" s="6" t="s">
        <v>133</v>
      </c>
      <c r="E489" s="10" t="s">
        <v>630</v>
      </c>
      <c r="F489" s="6" t="s">
        <v>3365</v>
      </c>
      <c r="G489" s="6" t="s">
        <v>5641</v>
      </c>
      <c r="H489" s="6" t="s">
        <v>6334</v>
      </c>
      <c r="I489" s="6" t="s">
        <v>81</v>
      </c>
      <c r="J489" s="6" t="s">
        <v>81</v>
      </c>
      <c r="K489" s="6" t="s">
        <v>10886</v>
      </c>
      <c r="L489" s="16" t="n">
        <v>44974</v>
      </c>
      <c r="M489" s="18" t="s">
        <v>81</v>
      </c>
      <c r="N489" s="6" t="s">
        <v>81</v>
      </c>
      <c r="O489" s="21" t="s">
        <v>81</v>
      </c>
      <c r="P489" s="6" t="s">
        <v>81</v>
      </c>
      <c r="Q489" s="6" t="s">
        <v>81</v>
      </c>
      <c r="R489" s="6" t="s">
        <v>81</v>
      </c>
      <c r="S489" s="6" t="s">
        <v>81</v>
      </c>
      <c r="T489" s="21" t="s">
        <v>81</v>
      </c>
      <c r="U489" s="6" t="s">
        <v>81</v>
      </c>
      <c r="V489" s="6" t="s">
        <v>81</v>
      </c>
      <c r="W489" s="6" t="s">
        <v>81</v>
      </c>
      <c r="X489" s="6" t="s">
        <v>81</v>
      </c>
      <c r="Y489" s="21" t="s">
        <v>81</v>
      </c>
      <c r="Z489" s="6" t="s">
        <v>81</v>
      </c>
      <c r="AA489" s="6" t="s">
        <v>81</v>
      </c>
      <c r="AB489" s="6" t="s">
        <v>81</v>
      </c>
      <c r="AC489" s="6" t="s">
        <v>10886</v>
      </c>
      <c r="AD489" s="16" t="n">
        <v>44974</v>
      </c>
      <c r="AE489" s="6" t="s">
        <v>14124</v>
      </c>
      <c r="AF489" s="6" t="s">
        <v>81</v>
      </c>
      <c r="AG489" s="6" t="s">
        <v>81</v>
      </c>
      <c r="AH489" s="6" t="s">
        <v>15081</v>
      </c>
      <c r="AI489" s="6" t="s">
        <v>81</v>
      </c>
      <c r="AJ489" s="6" t="s">
        <v>17633</v>
      </c>
      <c r="AK489" s="6" t="s">
        <v>18403</v>
      </c>
      <c r="AL489" s="6" t="s">
        <v>18444</v>
      </c>
      <c r="AM489" s="6" t="s">
        <v>18802</v>
      </c>
      <c r="AN489" s="6" t="s">
        <v>19654</v>
      </c>
      <c r="AO489" s="6" t="s">
        <v>19888</v>
      </c>
      <c r="AP489" s="6" t="s">
        <v>81</v>
      </c>
      <c r="AQ489" s="6" t="s">
        <v>81</v>
      </c>
      <c r="AR489" s="6" t="s">
        <v>81</v>
      </c>
      <c r="AS489" s="6" t="s">
        <v>81</v>
      </c>
      <c r="AT489" s="6" t="s">
        <v>81</v>
      </c>
      <c r="AU489" s="6" t="s">
        <v>81</v>
      </c>
      <c r="AV489" s="6" t="s">
        <v>81</v>
      </c>
      <c r="AW489" s="6" t="s">
        <v>81</v>
      </c>
      <c r="AX489" s="6" t="s">
        <v>81</v>
      </c>
      <c r="AY489" s="6" t="s">
        <v>81</v>
      </c>
      <c r="AZ489" s="6" t="s">
        <v>81</v>
      </c>
      <c r="BA489" s="6" t="s">
        <v>81</v>
      </c>
      <c r="BB489" s="6" t="s">
        <v>81</v>
      </c>
      <c r="BC489" s="26"/>
      <c r="BD489" s="26"/>
      <c r="BE489" s="26"/>
      <c r="BF489" s="26"/>
      <c r="BG489" s="26"/>
      <c r="BH489" s="26"/>
      <c r="BI489" s="26"/>
      <c r="BJ489" s="26"/>
      <c r="BK489" s="26"/>
      <c r="BL489" s="26"/>
      <c r="BM489" s="26"/>
      <c r="BN489" s="26"/>
      <c r="BO489" s="26"/>
      <c r="BP489" s="16" t="n">
        <v>45141</v>
      </c>
      <c r="BQ489" s="28" t="str">
        <f>HYPERLINK("https://organic.ams.usda.gov/Integrity/Certificate.aspx?cid=12&amp;nopid=8693692134")</f>
        <v>https://organic.ams.usda.gov/Integrity/Certificate.aspx?cid=12&amp;nopid=8693692134</v>
      </c>
    </row>
    <row r="490">
      <c r="A490" t="s">
        <v>3</v>
      </c>
      <c r="B490" s="6" t="s">
        <v>41</v>
      </c>
      <c r="C490" s="6" t="s">
        <v>88</v>
      </c>
      <c r="D490" s="6" t="s">
        <v>133</v>
      </c>
      <c r="E490" s="10" t="s">
        <v>631</v>
      </c>
      <c r="F490" s="6" t="s">
        <v>3366</v>
      </c>
      <c r="G490" s="6" t="s">
        <v>81</v>
      </c>
      <c r="H490" s="6" t="s">
        <v>6335</v>
      </c>
      <c r="I490" s="6" t="s">
        <v>81</v>
      </c>
      <c r="J490" s="6" t="s">
        <v>81</v>
      </c>
      <c r="K490" s="6" t="s">
        <v>10886</v>
      </c>
      <c r="L490" s="16" t="n">
        <v>44939</v>
      </c>
      <c r="M490" s="16" t="n">
        <v>45798</v>
      </c>
      <c r="N490" s="6" t="s">
        <v>81</v>
      </c>
      <c r="O490" s="21" t="s">
        <v>81</v>
      </c>
      <c r="P490" s="6" t="s">
        <v>81</v>
      </c>
      <c r="Q490" s="6" t="s">
        <v>81</v>
      </c>
      <c r="R490" s="6" t="s">
        <v>81</v>
      </c>
      <c r="S490" s="6" t="s">
        <v>81</v>
      </c>
      <c r="T490" s="21" t="s">
        <v>81</v>
      </c>
      <c r="U490" s="6" t="s">
        <v>81</v>
      </c>
      <c r="V490" s="6" t="s">
        <v>81</v>
      </c>
      <c r="W490" s="6" t="s">
        <v>81</v>
      </c>
      <c r="X490" s="6" t="s">
        <v>81</v>
      </c>
      <c r="Y490" s="21" t="s">
        <v>81</v>
      </c>
      <c r="Z490" s="6" t="s">
        <v>81</v>
      </c>
      <c r="AA490" s="6" t="s">
        <v>81</v>
      </c>
      <c r="AB490" s="6" t="s">
        <v>81</v>
      </c>
      <c r="AC490" s="6" t="s">
        <v>10886</v>
      </c>
      <c r="AD490" s="16" t="n">
        <v>44939</v>
      </c>
      <c r="AE490" s="6" t="s">
        <v>14125</v>
      </c>
      <c r="AF490" s="6" t="s">
        <v>81</v>
      </c>
      <c r="AG490" s="6" t="s">
        <v>6333</v>
      </c>
      <c r="AH490" s="6" t="s">
        <v>15080</v>
      </c>
      <c r="AI490" s="6" t="s">
        <v>81</v>
      </c>
      <c r="AJ490" s="6" t="s">
        <v>8787</v>
      </c>
      <c r="AK490" s="6" t="s">
        <v>18377</v>
      </c>
      <c r="AL490" s="6" t="s">
        <v>18444</v>
      </c>
      <c r="AM490" s="6" t="s">
        <v>18801</v>
      </c>
      <c r="AN490" s="6" t="s">
        <v>81</v>
      </c>
      <c r="AO490" s="6" t="s">
        <v>81</v>
      </c>
      <c r="AP490" s="6" t="s">
        <v>81</v>
      </c>
      <c r="AQ490" s="6" t="s">
        <v>81</v>
      </c>
      <c r="AR490" s="6" t="s">
        <v>81</v>
      </c>
      <c r="AS490" s="6" t="s">
        <v>81</v>
      </c>
      <c r="AT490" s="6" t="s">
        <v>81</v>
      </c>
      <c r="AU490" s="6" t="s">
        <v>81</v>
      </c>
      <c r="AV490" s="6" t="s">
        <v>81</v>
      </c>
      <c r="AW490" s="6" t="s">
        <v>81</v>
      </c>
      <c r="AX490" s="6" t="s">
        <v>81</v>
      </c>
      <c r="AY490" s="6" t="s">
        <v>81</v>
      </c>
      <c r="AZ490" s="6" t="s">
        <v>81</v>
      </c>
      <c r="BA490" s="6" t="s">
        <v>81</v>
      </c>
      <c r="BB490" s="24" t="n">
        <v>0</v>
      </c>
      <c r="BC490" s="26"/>
      <c r="BD490" s="26"/>
      <c r="BE490" s="26"/>
      <c r="BF490" s="26"/>
      <c r="BG490" s="26"/>
      <c r="BH490" s="26"/>
      <c r="BI490" s="26"/>
      <c r="BJ490" s="26"/>
      <c r="BK490" s="26"/>
      <c r="BL490" s="26"/>
      <c r="BM490" s="26"/>
      <c r="BN490" s="26"/>
      <c r="BO490" s="26"/>
      <c r="BP490" s="16" t="n">
        <v>45720</v>
      </c>
      <c r="BQ490" s="28" t="str">
        <f>HYPERLINK("https://organic.ams.usda.gov/Integrity/Certificate.aspx?cid=12&amp;nopid=8699694247")</f>
        <v>https://organic.ams.usda.gov/Integrity/Certificate.aspx?cid=12&amp;nopid=8699694247</v>
      </c>
    </row>
    <row r="491">
      <c r="A491" t="s">
        <v>3</v>
      </c>
      <c r="B491" s="6" t="s">
        <v>41</v>
      </c>
      <c r="C491" s="6" t="s">
        <v>88</v>
      </c>
      <c r="D491" s="6" t="s">
        <v>133</v>
      </c>
      <c r="E491" s="10" t="s">
        <v>632</v>
      </c>
      <c r="F491" s="6" t="s">
        <v>3367</v>
      </c>
      <c r="G491" s="6" t="s">
        <v>81</v>
      </c>
      <c r="H491" s="6" t="s">
        <v>6336</v>
      </c>
      <c r="I491" s="6" t="s">
        <v>81</v>
      </c>
      <c r="J491" s="6" t="s">
        <v>81</v>
      </c>
      <c r="K491" s="6" t="s">
        <v>10886</v>
      </c>
      <c r="L491" s="16" t="n">
        <v>44974</v>
      </c>
      <c r="M491" s="16" t="n">
        <v>45806</v>
      </c>
      <c r="N491" s="6" t="s">
        <v>81</v>
      </c>
      <c r="O491" s="21" t="s">
        <v>81</v>
      </c>
      <c r="P491" s="6" t="s">
        <v>81</v>
      </c>
      <c r="Q491" s="6" t="s">
        <v>81</v>
      </c>
      <c r="R491" s="6" t="s">
        <v>81</v>
      </c>
      <c r="S491" s="6" t="s">
        <v>81</v>
      </c>
      <c r="T491" s="21" t="s">
        <v>81</v>
      </c>
      <c r="U491" s="6" t="s">
        <v>81</v>
      </c>
      <c r="V491" s="6" t="s">
        <v>81</v>
      </c>
      <c r="W491" s="6" t="s">
        <v>81</v>
      </c>
      <c r="X491" s="6" t="s">
        <v>81</v>
      </c>
      <c r="Y491" s="21" t="s">
        <v>81</v>
      </c>
      <c r="Z491" s="6" t="s">
        <v>81</v>
      </c>
      <c r="AA491" s="6" t="s">
        <v>81</v>
      </c>
      <c r="AB491" s="6" t="s">
        <v>81</v>
      </c>
      <c r="AC491" s="6" t="s">
        <v>10886</v>
      </c>
      <c r="AD491" s="16" t="n">
        <v>44974</v>
      </c>
      <c r="AE491" s="6" t="s">
        <v>14126</v>
      </c>
      <c r="AF491" s="6" t="s">
        <v>81</v>
      </c>
      <c r="AG491" s="6" t="s">
        <v>6334</v>
      </c>
      <c r="AH491" s="6" t="s">
        <v>15081</v>
      </c>
      <c r="AI491" s="6" t="s">
        <v>81</v>
      </c>
      <c r="AJ491" s="6" t="s">
        <v>17633</v>
      </c>
      <c r="AK491" s="6" t="s">
        <v>18403</v>
      </c>
      <c r="AL491" s="6" t="s">
        <v>18444</v>
      </c>
      <c r="AM491" s="6" t="s">
        <v>18802</v>
      </c>
      <c r="AN491" s="6" t="s">
        <v>81</v>
      </c>
      <c r="AO491" s="6" t="s">
        <v>81</v>
      </c>
      <c r="AP491" s="6" t="s">
        <v>81</v>
      </c>
      <c r="AQ491" s="6" t="s">
        <v>81</v>
      </c>
      <c r="AR491" s="6" t="s">
        <v>81</v>
      </c>
      <c r="AS491" s="6" t="s">
        <v>81</v>
      </c>
      <c r="AT491" s="6" t="s">
        <v>81</v>
      </c>
      <c r="AU491" s="6" t="s">
        <v>81</v>
      </c>
      <c r="AV491" s="6" t="s">
        <v>81</v>
      </c>
      <c r="AW491" s="6" t="s">
        <v>81</v>
      </c>
      <c r="AX491" s="6" t="s">
        <v>21069</v>
      </c>
      <c r="AY491" s="6" t="s">
        <v>81</v>
      </c>
      <c r="AZ491" s="6" t="s">
        <v>81</v>
      </c>
      <c r="BA491" s="6" t="s">
        <v>81</v>
      </c>
      <c r="BB491" s="24" t="n">
        <v>0</v>
      </c>
      <c r="BC491" s="26"/>
      <c r="BD491" s="26"/>
      <c r="BE491" s="26"/>
      <c r="BF491" s="26"/>
      <c r="BG491" s="26"/>
      <c r="BH491" s="26"/>
      <c r="BI491" s="26"/>
      <c r="BJ491" s="26"/>
      <c r="BK491" s="26"/>
      <c r="BL491" s="26"/>
      <c r="BM491" s="26"/>
      <c r="BN491" s="26"/>
      <c r="BO491" s="26"/>
      <c r="BP491" s="16" t="n">
        <v>45611</v>
      </c>
      <c r="BQ491" s="28" t="str">
        <f>HYPERLINK("https://organic.ams.usda.gov/Integrity/Certificate.aspx?cid=12&amp;nopid=8699694250")</f>
        <v>https://organic.ams.usda.gov/Integrity/Certificate.aspx?cid=12&amp;nopid=8699694250</v>
      </c>
    </row>
    <row r="492">
      <c r="A492" t="s">
        <v>3</v>
      </c>
      <c r="B492" s="6" t="s">
        <v>34</v>
      </c>
      <c r="C492" s="6" t="s">
        <v>81</v>
      </c>
      <c r="D492" s="6" t="s">
        <v>81</v>
      </c>
      <c r="E492" s="10" t="s">
        <v>633</v>
      </c>
      <c r="F492" s="6" t="s">
        <v>3368</v>
      </c>
      <c r="G492" s="6" t="s">
        <v>5642</v>
      </c>
      <c r="H492" s="6" t="s">
        <v>6337</v>
      </c>
      <c r="I492" s="6" t="s">
        <v>8703</v>
      </c>
      <c r="J492" s="6" t="s">
        <v>9954</v>
      </c>
      <c r="K492" s="6" t="s">
        <v>10886</v>
      </c>
      <c r="L492" s="16" t="n">
        <v>39863</v>
      </c>
      <c r="M492" s="16" t="n">
        <v>45868</v>
      </c>
      <c r="N492" s="6" t="s">
        <v>81</v>
      </c>
      <c r="O492" s="21" t="s">
        <v>81</v>
      </c>
      <c r="P492" s="6" t="s">
        <v>81</v>
      </c>
      <c r="Q492" s="6" t="s">
        <v>81</v>
      </c>
      <c r="R492" s="6" t="s">
        <v>81</v>
      </c>
      <c r="S492" s="6" t="s">
        <v>81</v>
      </c>
      <c r="T492" s="21" t="s">
        <v>81</v>
      </c>
      <c r="U492" s="6" t="s">
        <v>81</v>
      </c>
      <c r="V492" s="6" t="s">
        <v>81</v>
      </c>
      <c r="W492" s="6" t="s">
        <v>81</v>
      </c>
      <c r="X492" s="6" t="s">
        <v>81</v>
      </c>
      <c r="Y492" s="21" t="s">
        <v>81</v>
      </c>
      <c r="Z492" s="6" t="s">
        <v>81</v>
      </c>
      <c r="AA492" s="6" t="s">
        <v>81</v>
      </c>
      <c r="AB492" s="6" t="s">
        <v>81</v>
      </c>
      <c r="AC492" s="6" t="s">
        <v>10886</v>
      </c>
      <c r="AD492" s="16" t="n">
        <v>45707</v>
      </c>
      <c r="AE492" s="6" t="s">
        <v>14127</v>
      </c>
      <c r="AF492" s="6" t="s">
        <v>81</v>
      </c>
      <c r="AG492" s="6" t="s">
        <v>14536</v>
      </c>
      <c r="AH492" s="6" t="s">
        <v>15082</v>
      </c>
      <c r="AI492" s="6" t="s">
        <v>81</v>
      </c>
      <c r="AJ492" s="6" t="s">
        <v>17634</v>
      </c>
      <c r="AK492" s="6" t="s">
        <v>18386</v>
      </c>
      <c r="AL492" s="6" t="s">
        <v>18444</v>
      </c>
      <c r="AM492" s="6" t="s">
        <v>18803</v>
      </c>
      <c r="AN492" s="6" t="s">
        <v>81</v>
      </c>
      <c r="AO492" s="6" t="s">
        <v>81</v>
      </c>
      <c r="AP492" s="6" t="s">
        <v>15082</v>
      </c>
      <c r="AQ492" s="6" t="s">
        <v>81</v>
      </c>
      <c r="AR492" s="6" t="s">
        <v>17634</v>
      </c>
      <c r="AS492" s="6" t="s">
        <v>18386</v>
      </c>
      <c r="AT492" s="6" t="s">
        <v>18444</v>
      </c>
      <c r="AU492" s="6" t="s">
        <v>18803</v>
      </c>
      <c r="AV492" s="6" t="s">
        <v>81</v>
      </c>
      <c r="AW492" s="6" t="s">
        <v>81</v>
      </c>
      <c r="AX492" s="6" t="s">
        <v>21070</v>
      </c>
      <c r="AY492" s="6" t="s">
        <v>22761</v>
      </c>
      <c r="AZ492" s="6" t="s">
        <v>81</v>
      </c>
      <c r="BA492" s="6" t="s">
        <v>23848</v>
      </c>
      <c r="BB492" s="6" t="s">
        <v>81</v>
      </c>
      <c r="BC492" s="26"/>
      <c r="BD492" s="26"/>
      <c r="BE492" s="26"/>
      <c r="BF492" s="26"/>
      <c r="BG492" s="26"/>
      <c r="BH492" s="26"/>
      <c r="BI492" s="26"/>
      <c r="BJ492" s="26"/>
      <c r="BK492" s="26"/>
      <c r="BL492" s="26"/>
      <c r="BM492" s="26"/>
      <c r="BN492" s="26"/>
      <c r="BO492" s="26"/>
      <c r="BP492" s="16" t="n">
        <v>45733</v>
      </c>
      <c r="BQ492" s="28" t="str">
        <f>HYPERLINK("")</f>
      </c>
    </row>
    <row r="493">
      <c r="A493" t="s">
        <v>3</v>
      </c>
      <c r="B493" s="6" t="s">
        <v>25</v>
      </c>
      <c r="C493" s="6" t="s">
        <v>72</v>
      </c>
      <c r="D493" s="6" t="s">
        <v>118</v>
      </c>
      <c r="E493" s="10" t="s">
        <v>634</v>
      </c>
      <c r="F493" s="6" t="s">
        <v>3369</v>
      </c>
      <c r="G493" s="6" t="s">
        <v>81</v>
      </c>
      <c r="H493" s="6" t="s">
        <v>6338</v>
      </c>
      <c r="I493" s="6" t="s">
        <v>8704</v>
      </c>
      <c r="J493" s="6" t="s">
        <v>9955</v>
      </c>
      <c r="K493" s="6" t="s">
        <v>10886</v>
      </c>
      <c r="L493" s="16" t="n">
        <v>38958</v>
      </c>
      <c r="M493" s="16" t="n">
        <v>46023</v>
      </c>
      <c r="N493" s="6" t="s">
        <v>81</v>
      </c>
      <c r="O493" s="21" t="s">
        <v>81</v>
      </c>
      <c r="P493" s="6" t="s">
        <v>81</v>
      </c>
      <c r="Q493" s="6" t="s">
        <v>81</v>
      </c>
      <c r="R493" s="6" t="s">
        <v>81</v>
      </c>
      <c r="S493" s="6" t="s">
        <v>81</v>
      </c>
      <c r="T493" s="21" t="s">
        <v>81</v>
      </c>
      <c r="U493" s="6" t="s">
        <v>81</v>
      </c>
      <c r="V493" s="6" t="s">
        <v>81</v>
      </c>
      <c r="W493" s="6" t="s">
        <v>81</v>
      </c>
      <c r="X493" s="6" t="s">
        <v>81</v>
      </c>
      <c r="Y493" s="21" t="s">
        <v>81</v>
      </c>
      <c r="Z493" s="6" t="s">
        <v>81</v>
      </c>
      <c r="AA493" s="6" t="s">
        <v>81</v>
      </c>
      <c r="AB493" s="6" t="s">
        <v>81</v>
      </c>
      <c r="AC493" s="6" t="s">
        <v>10886</v>
      </c>
      <c r="AD493" s="16" t="n">
        <v>38958</v>
      </c>
      <c r="AE493" s="6" t="s">
        <v>14128</v>
      </c>
      <c r="AF493" s="6" t="s">
        <v>81</v>
      </c>
      <c r="AG493" s="6" t="s">
        <v>81</v>
      </c>
      <c r="AH493" s="6" t="s">
        <v>15083</v>
      </c>
      <c r="AI493" s="6" t="s">
        <v>81</v>
      </c>
      <c r="AJ493" s="6" t="s">
        <v>17561</v>
      </c>
      <c r="AK493" s="6" t="s">
        <v>18386</v>
      </c>
      <c r="AL493" s="6" t="s">
        <v>18444</v>
      </c>
      <c r="AM493" s="6" t="s">
        <v>18760</v>
      </c>
      <c r="AN493" s="6" t="s">
        <v>19672</v>
      </c>
      <c r="AO493" s="6" t="s">
        <v>19787</v>
      </c>
      <c r="AP493" s="6" t="s">
        <v>15083</v>
      </c>
      <c r="AQ493" s="6" t="s">
        <v>81</v>
      </c>
      <c r="AR493" s="6" t="s">
        <v>17561</v>
      </c>
      <c r="AS493" s="6" t="s">
        <v>18386</v>
      </c>
      <c r="AT493" s="6" t="s">
        <v>18444</v>
      </c>
      <c r="AU493" s="6" t="s">
        <v>18760</v>
      </c>
      <c r="AV493" s="6" t="s">
        <v>81</v>
      </c>
      <c r="AW493" s="6" t="s">
        <v>81</v>
      </c>
      <c r="AX493" s="6" t="s">
        <v>21071</v>
      </c>
      <c r="AY493" s="6" t="s">
        <v>22762</v>
      </c>
      <c r="AZ493" s="6" t="s">
        <v>81</v>
      </c>
      <c r="BA493" s="6" t="s">
        <v>23827</v>
      </c>
      <c r="BB493" s="6" t="s">
        <v>81</v>
      </c>
      <c r="BC493" s="26"/>
      <c r="BD493" s="26"/>
      <c r="BE493" s="26"/>
      <c r="BF493" s="26"/>
      <c r="BG493" s="26"/>
      <c r="BH493" s="26"/>
      <c r="BI493" s="26"/>
      <c r="BJ493" s="26"/>
      <c r="BK493" s="26"/>
      <c r="BL493" s="26"/>
      <c r="BM493" s="26"/>
      <c r="BN493" s="26"/>
      <c r="BO493" s="26"/>
      <c r="BP493" s="16" t="n">
        <v>45728</v>
      </c>
      <c r="BQ493" s="28" t="str">
        <f>HYPERLINK("https://organic.ams.usda.gov/Integrity/Certificate.aspx?cid=15&amp;nopid=5561002357")</f>
        <v>https://organic.ams.usda.gov/Integrity/Certificate.aspx?cid=15&amp;nopid=5561002357</v>
      </c>
    </row>
    <row r="494">
      <c r="A494" t="s">
        <v>3</v>
      </c>
      <c r="B494" s="6" t="s">
        <v>10</v>
      </c>
      <c r="C494" s="6" t="s">
        <v>57</v>
      </c>
      <c r="D494" s="6" t="s">
        <v>103</v>
      </c>
      <c r="E494" s="10" t="s">
        <v>635</v>
      </c>
      <c r="F494" s="6" t="s">
        <v>3370</v>
      </c>
      <c r="G494" s="6" t="s">
        <v>81</v>
      </c>
      <c r="H494" s="6" t="s">
        <v>6339</v>
      </c>
      <c r="I494" s="6" t="s">
        <v>8705</v>
      </c>
      <c r="J494" s="6" t="s">
        <v>9698</v>
      </c>
      <c r="K494" s="6" t="s">
        <v>10886</v>
      </c>
      <c r="L494" s="16" t="n">
        <v>42264</v>
      </c>
      <c r="M494" s="16" t="n">
        <v>45748</v>
      </c>
      <c r="N494" s="6" t="s">
        <v>10886</v>
      </c>
      <c r="O494" s="16" t="n">
        <v>42264</v>
      </c>
      <c r="P494" s="6" t="s">
        <v>11196</v>
      </c>
      <c r="Q494" s="6" t="s">
        <v>81</v>
      </c>
      <c r="R494" s="6" t="s">
        <v>12549</v>
      </c>
      <c r="S494" s="6" t="s">
        <v>10886</v>
      </c>
      <c r="T494" s="16" t="n">
        <v>42264</v>
      </c>
      <c r="U494" s="6" t="s">
        <v>13163</v>
      </c>
      <c r="V494" s="6" t="s">
        <v>81</v>
      </c>
      <c r="W494" s="6" t="s">
        <v>81</v>
      </c>
      <c r="X494" s="6" t="s">
        <v>81</v>
      </c>
      <c r="Y494" s="21" t="s">
        <v>81</v>
      </c>
      <c r="Z494" s="6" t="s">
        <v>81</v>
      </c>
      <c r="AA494" s="6" t="s">
        <v>81</v>
      </c>
      <c r="AB494" s="6" t="s">
        <v>81</v>
      </c>
      <c r="AC494" s="6" t="s">
        <v>81</v>
      </c>
      <c r="AD494" s="21" t="s">
        <v>81</v>
      </c>
      <c r="AE494" s="6" t="s">
        <v>81</v>
      </c>
      <c r="AF494" s="6" t="s">
        <v>81</v>
      </c>
      <c r="AG494" s="6" t="s">
        <v>81</v>
      </c>
      <c r="AH494" s="6" t="s">
        <v>15084</v>
      </c>
      <c r="AI494" s="6" t="s">
        <v>81</v>
      </c>
      <c r="AJ494" s="6" t="s">
        <v>17635</v>
      </c>
      <c r="AK494" s="6" t="s">
        <v>18379</v>
      </c>
      <c r="AL494" s="6" t="s">
        <v>18444</v>
      </c>
      <c r="AM494" s="6" t="s">
        <v>18804</v>
      </c>
      <c r="AN494" s="6" t="s">
        <v>19637</v>
      </c>
      <c r="AO494" s="6" t="s">
        <v>19723</v>
      </c>
      <c r="AP494" s="6" t="s">
        <v>15084</v>
      </c>
      <c r="AQ494" s="6" t="s">
        <v>81</v>
      </c>
      <c r="AR494" s="6" t="s">
        <v>17635</v>
      </c>
      <c r="AS494" s="6" t="s">
        <v>18379</v>
      </c>
      <c r="AT494" s="6" t="s">
        <v>18444</v>
      </c>
      <c r="AU494" s="6" t="s">
        <v>18804</v>
      </c>
      <c r="AV494" s="6" t="s">
        <v>81</v>
      </c>
      <c r="AW494" s="6" t="s">
        <v>81</v>
      </c>
      <c r="AX494" s="6" t="s">
        <v>21072</v>
      </c>
      <c r="AY494" s="6" t="s">
        <v>81</v>
      </c>
      <c r="AZ494" s="6" t="s">
        <v>81</v>
      </c>
      <c r="BA494" s="6" t="s">
        <v>81</v>
      </c>
      <c r="BB494" s="24" t="n">
        <v>141</v>
      </c>
      <c r="BC494" s="26"/>
      <c r="BD494" s="26"/>
      <c r="BE494" s="26"/>
      <c r="BF494" s="26"/>
      <c r="BG494" s="26"/>
      <c r="BH494" s="26"/>
      <c r="BI494" s="26"/>
      <c r="BJ494" s="26"/>
      <c r="BK494" s="26"/>
      <c r="BL494" s="26"/>
      <c r="BM494" s="26"/>
      <c r="BN494" s="26"/>
      <c r="BO494" s="26"/>
      <c r="BP494" s="16" t="n">
        <v>45730</v>
      </c>
      <c r="BQ494" s="28" t="str">
        <f>HYPERLINK("https://organic.ams.usda.gov/Integrity/Certificate.aspx?cid=90&amp;nopid=7170020080")</f>
        <v>https://organic.ams.usda.gov/Integrity/Certificate.aspx?cid=90&amp;nopid=7170020080</v>
      </c>
    </row>
    <row r="495">
      <c r="A495" t="s">
        <v>3</v>
      </c>
      <c r="B495" s="6" t="s">
        <v>7</v>
      </c>
      <c r="C495" s="6" t="s">
        <v>54</v>
      </c>
      <c r="D495" s="6" t="s">
        <v>100</v>
      </c>
      <c r="E495" s="10" t="s">
        <v>636</v>
      </c>
      <c r="F495" s="6" t="s">
        <v>3371</v>
      </c>
      <c r="G495" s="6" t="s">
        <v>81</v>
      </c>
      <c r="H495" s="6" t="s">
        <v>6340</v>
      </c>
      <c r="I495" s="6" t="s">
        <v>8706</v>
      </c>
      <c r="J495" s="6" t="s">
        <v>9956</v>
      </c>
      <c r="K495" s="6" t="s">
        <v>10886</v>
      </c>
      <c r="L495" s="16" t="n">
        <v>42627</v>
      </c>
      <c r="M495" s="16" t="n">
        <v>45716</v>
      </c>
      <c r="N495" s="6" t="s">
        <v>10886</v>
      </c>
      <c r="O495" s="16" t="n">
        <v>42627</v>
      </c>
      <c r="P495" s="6" t="s">
        <v>11006</v>
      </c>
      <c r="Q495" s="6" t="s">
        <v>81</v>
      </c>
      <c r="R495" s="6" t="s">
        <v>81</v>
      </c>
      <c r="S495" s="6" t="s">
        <v>10886</v>
      </c>
      <c r="T495" s="16" t="n">
        <v>42909</v>
      </c>
      <c r="U495" s="6" t="s">
        <v>13160</v>
      </c>
      <c r="V495" s="6" t="s">
        <v>81</v>
      </c>
      <c r="W495" s="6" t="s">
        <v>81</v>
      </c>
      <c r="X495" s="6" t="s">
        <v>81</v>
      </c>
      <c r="Y495" s="21" t="s">
        <v>81</v>
      </c>
      <c r="Z495" s="6" t="s">
        <v>81</v>
      </c>
      <c r="AA495" s="6" t="s">
        <v>81</v>
      </c>
      <c r="AB495" s="6" t="s">
        <v>81</v>
      </c>
      <c r="AC495" s="6" t="s">
        <v>81</v>
      </c>
      <c r="AD495" s="21" t="s">
        <v>81</v>
      </c>
      <c r="AE495" s="6" t="s">
        <v>81</v>
      </c>
      <c r="AF495" s="6" t="s">
        <v>81</v>
      </c>
      <c r="AG495" s="6" t="s">
        <v>81</v>
      </c>
      <c r="AH495" s="6" t="s">
        <v>15085</v>
      </c>
      <c r="AI495" s="6" t="s">
        <v>81</v>
      </c>
      <c r="AJ495" s="6" t="s">
        <v>17358</v>
      </c>
      <c r="AK495" s="6" t="s">
        <v>17712</v>
      </c>
      <c r="AL495" s="6" t="s">
        <v>18444</v>
      </c>
      <c r="AM495" s="6" t="s">
        <v>18512</v>
      </c>
      <c r="AN495" s="6" t="s">
        <v>7195</v>
      </c>
      <c r="AO495" s="6" t="s">
        <v>19735</v>
      </c>
      <c r="AP495" s="6" t="s">
        <v>20170</v>
      </c>
      <c r="AQ495" s="6" t="s">
        <v>81</v>
      </c>
      <c r="AR495" s="6" t="s">
        <v>17358</v>
      </c>
      <c r="AS495" s="6" t="s">
        <v>17712</v>
      </c>
      <c r="AT495" s="6" t="s">
        <v>18444</v>
      </c>
      <c r="AU495" s="6" t="s">
        <v>18512</v>
      </c>
      <c r="AV495" s="6" t="s">
        <v>81</v>
      </c>
      <c r="AW495" s="6" t="s">
        <v>81</v>
      </c>
      <c r="AX495" s="6" t="s">
        <v>21073</v>
      </c>
      <c r="AY495" s="6" t="s">
        <v>22763</v>
      </c>
      <c r="AZ495" s="6" t="s">
        <v>23631</v>
      </c>
      <c r="BA495" s="6" t="s">
        <v>81</v>
      </c>
      <c r="BB495" s="24" t="n">
        <v>131</v>
      </c>
      <c r="BC495" s="26"/>
      <c r="BD495" s="26"/>
      <c r="BE495" s="26"/>
      <c r="BF495" s="26" t="s">
        <v>23900</v>
      </c>
      <c r="BG495" s="26"/>
      <c r="BH495" s="26"/>
      <c r="BI495" s="26"/>
      <c r="BJ495" s="26"/>
      <c r="BK495" s="26"/>
      <c r="BL495" s="26"/>
      <c r="BM495" s="26"/>
      <c r="BN495" s="26"/>
      <c r="BO495" s="26"/>
      <c r="BP495" s="16" t="n">
        <v>45679</v>
      </c>
      <c r="BQ495" s="28" t="str">
        <f>HYPERLINK("https://organic.ams.usda.gov/Integrity/Certificate.aspx?cid=57&amp;nopid=3252016100")</f>
        <v>https://organic.ams.usda.gov/Integrity/Certificate.aspx?cid=57&amp;nopid=3252016100</v>
      </c>
    </row>
    <row r="496">
      <c r="A496" t="s">
        <v>3</v>
      </c>
      <c r="B496" s="6" t="s">
        <v>8</v>
      </c>
      <c r="C496" s="6" t="s">
        <v>55</v>
      </c>
      <c r="D496" s="6" t="s">
        <v>101</v>
      </c>
      <c r="E496" s="10" t="s">
        <v>637</v>
      </c>
      <c r="F496" s="6" t="s">
        <v>3372</v>
      </c>
      <c r="G496" s="6" t="s">
        <v>81</v>
      </c>
      <c r="H496" s="6" t="s">
        <v>6341</v>
      </c>
      <c r="I496" s="6" t="s">
        <v>8707</v>
      </c>
      <c r="J496" s="6" t="s">
        <v>9675</v>
      </c>
      <c r="K496" s="6" t="s">
        <v>10886</v>
      </c>
      <c r="L496" s="16" t="n">
        <v>41562</v>
      </c>
      <c r="M496" s="16" t="n">
        <v>45689</v>
      </c>
      <c r="N496" s="6" t="s">
        <v>10886</v>
      </c>
      <c r="O496" s="16" t="n">
        <v>41562</v>
      </c>
      <c r="P496" s="6" t="s">
        <v>11197</v>
      </c>
      <c r="Q496" s="6" t="s">
        <v>81</v>
      </c>
      <c r="R496" s="6" t="s">
        <v>6341</v>
      </c>
      <c r="S496" s="6" t="s">
        <v>10886</v>
      </c>
      <c r="T496" s="16" t="n">
        <v>41562</v>
      </c>
      <c r="U496" s="6" t="s">
        <v>13179</v>
      </c>
      <c r="V496" s="6" t="s">
        <v>81</v>
      </c>
      <c r="W496" s="6" t="s">
        <v>6341</v>
      </c>
      <c r="X496" s="6" t="s">
        <v>81</v>
      </c>
      <c r="Y496" s="21" t="s">
        <v>81</v>
      </c>
      <c r="Z496" s="6" t="s">
        <v>81</v>
      </c>
      <c r="AA496" s="6" t="s">
        <v>81</v>
      </c>
      <c r="AB496" s="6" t="s">
        <v>81</v>
      </c>
      <c r="AC496" s="6" t="s">
        <v>81</v>
      </c>
      <c r="AD496" s="21" t="s">
        <v>81</v>
      </c>
      <c r="AE496" s="6" t="s">
        <v>81</v>
      </c>
      <c r="AF496" s="6" t="s">
        <v>81</v>
      </c>
      <c r="AG496" s="6" t="s">
        <v>81</v>
      </c>
      <c r="AH496" s="6" t="s">
        <v>15086</v>
      </c>
      <c r="AI496" s="6" t="s">
        <v>81</v>
      </c>
      <c r="AJ496" s="6" t="s">
        <v>17636</v>
      </c>
      <c r="AK496" s="6" t="s">
        <v>18377</v>
      </c>
      <c r="AL496" s="6" t="s">
        <v>18444</v>
      </c>
      <c r="AM496" s="6" t="s">
        <v>18805</v>
      </c>
      <c r="AN496" s="6" t="s">
        <v>7195</v>
      </c>
      <c r="AO496" s="6" t="s">
        <v>19737</v>
      </c>
      <c r="AP496" s="6" t="s">
        <v>81</v>
      </c>
      <c r="AQ496" s="6" t="s">
        <v>81</v>
      </c>
      <c r="AR496" s="6" t="s">
        <v>81</v>
      </c>
      <c r="AS496" s="6" t="s">
        <v>81</v>
      </c>
      <c r="AT496" s="6" t="s">
        <v>81</v>
      </c>
      <c r="AU496" s="6" t="s">
        <v>81</v>
      </c>
      <c r="AV496" s="6" t="s">
        <v>81</v>
      </c>
      <c r="AW496" s="6" t="s">
        <v>81</v>
      </c>
      <c r="AX496" s="6" t="s">
        <v>81</v>
      </c>
      <c r="AY496" s="6" t="s">
        <v>81</v>
      </c>
      <c r="AZ496" s="6" t="s">
        <v>81</v>
      </c>
      <c r="BA496" s="6" t="s">
        <v>23819</v>
      </c>
      <c r="BB496" s="24" t="n">
        <v>138</v>
      </c>
      <c r="BC496" s="26"/>
      <c r="BD496" s="26"/>
      <c r="BE496" s="26"/>
      <c r="BF496" s="26" t="s">
        <v>23900</v>
      </c>
      <c r="BG496" s="26"/>
      <c r="BH496" s="26"/>
      <c r="BI496" s="26"/>
      <c r="BJ496" s="26"/>
      <c r="BK496" s="26"/>
      <c r="BL496" s="26"/>
      <c r="BM496" s="26"/>
      <c r="BN496" s="26"/>
      <c r="BO496" s="26"/>
      <c r="BP496" s="16" t="n">
        <v>45678</v>
      </c>
      <c r="BQ496" s="28" t="str">
        <f>HYPERLINK("https://organic.ams.usda.gov/Integrity/Certificate.aspx?cid=45&amp;nopid=9950005145")</f>
        <v>https://organic.ams.usda.gov/Integrity/Certificate.aspx?cid=45&amp;nopid=9950005145</v>
      </c>
    </row>
    <row r="497">
      <c r="A497" t="s">
        <v>3</v>
      </c>
      <c r="B497" s="6" t="s">
        <v>7</v>
      </c>
      <c r="C497" s="6" t="s">
        <v>54</v>
      </c>
      <c r="D497" s="6" t="s">
        <v>100</v>
      </c>
      <c r="E497" s="10" t="s">
        <v>638</v>
      </c>
      <c r="F497" s="6" t="s">
        <v>3373</v>
      </c>
      <c r="G497" s="6" t="s">
        <v>81</v>
      </c>
      <c r="H497" s="6" t="s">
        <v>6342</v>
      </c>
      <c r="I497" s="6" t="s">
        <v>8707</v>
      </c>
      <c r="J497" s="6" t="s">
        <v>9666</v>
      </c>
      <c r="K497" s="6" t="s">
        <v>10886</v>
      </c>
      <c r="L497" s="16" t="n">
        <v>45491</v>
      </c>
      <c r="M497" s="16" t="n">
        <v>45716</v>
      </c>
      <c r="N497" s="6" t="s">
        <v>10886</v>
      </c>
      <c r="O497" s="16" t="n">
        <v>45491</v>
      </c>
      <c r="P497" s="6" t="s">
        <v>10925</v>
      </c>
      <c r="Q497" s="6" t="s">
        <v>81</v>
      </c>
      <c r="R497" s="6" t="s">
        <v>81</v>
      </c>
      <c r="S497" s="6" t="s">
        <v>10886</v>
      </c>
      <c r="T497" s="16" t="n">
        <v>45603</v>
      </c>
      <c r="U497" s="6" t="s">
        <v>13188</v>
      </c>
      <c r="V497" s="6" t="s">
        <v>81</v>
      </c>
      <c r="W497" s="6" t="s">
        <v>81</v>
      </c>
      <c r="X497" s="6" t="s">
        <v>81</v>
      </c>
      <c r="Y497" s="21" t="s">
        <v>81</v>
      </c>
      <c r="Z497" s="6" t="s">
        <v>81</v>
      </c>
      <c r="AA497" s="6" t="s">
        <v>81</v>
      </c>
      <c r="AB497" s="6" t="s">
        <v>81</v>
      </c>
      <c r="AC497" s="6" t="s">
        <v>81</v>
      </c>
      <c r="AD497" s="21" t="s">
        <v>81</v>
      </c>
      <c r="AE497" s="6" t="s">
        <v>81</v>
      </c>
      <c r="AF497" s="6" t="s">
        <v>81</v>
      </c>
      <c r="AG497" s="6" t="s">
        <v>81</v>
      </c>
      <c r="AH497" s="6" t="s">
        <v>15087</v>
      </c>
      <c r="AI497" s="6" t="s">
        <v>81</v>
      </c>
      <c r="AJ497" s="6" t="s">
        <v>10590</v>
      </c>
      <c r="AK497" s="6" t="s">
        <v>17712</v>
      </c>
      <c r="AL497" s="6" t="s">
        <v>18444</v>
      </c>
      <c r="AM497" s="6" t="s">
        <v>18628</v>
      </c>
      <c r="AN497" s="6" t="s">
        <v>81</v>
      </c>
      <c r="AO497" s="6" t="s">
        <v>81</v>
      </c>
      <c r="AP497" s="6" t="s">
        <v>15087</v>
      </c>
      <c r="AQ497" s="6" t="s">
        <v>81</v>
      </c>
      <c r="AR497" s="6" t="s">
        <v>10590</v>
      </c>
      <c r="AS497" s="6" t="s">
        <v>17712</v>
      </c>
      <c r="AT497" s="6" t="s">
        <v>18444</v>
      </c>
      <c r="AU497" s="6" t="s">
        <v>18628</v>
      </c>
      <c r="AV497" s="6" t="s">
        <v>81</v>
      </c>
      <c r="AW497" s="6" t="s">
        <v>81</v>
      </c>
      <c r="AX497" s="6" t="s">
        <v>81</v>
      </c>
      <c r="AY497" s="6" t="s">
        <v>81</v>
      </c>
      <c r="AZ497" s="6" t="s">
        <v>81</v>
      </c>
      <c r="BA497" s="6" t="s">
        <v>81</v>
      </c>
      <c r="BB497" s="24" t="n">
        <v>150</v>
      </c>
      <c r="BC497" s="26"/>
      <c r="BD497" s="26"/>
      <c r="BE497" s="26"/>
      <c r="BF497" s="26" t="s">
        <v>23900</v>
      </c>
      <c r="BG497" s="26"/>
      <c r="BH497" s="26"/>
      <c r="BI497" s="26"/>
      <c r="BJ497" s="26"/>
      <c r="BK497" s="26"/>
      <c r="BL497" s="26"/>
      <c r="BM497" s="26"/>
      <c r="BN497" s="26"/>
      <c r="BO497" s="26"/>
      <c r="BP497" s="16" t="n">
        <v>45604</v>
      </c>
      <c r="BQ497" s="28" t="str">
        <f>HYPERLINK("https://organic.ams.usda.gov/Integrity/Certificate.aspx?cid=57&amp;nopid=3252024077")</f>
        <v>https://organic.ams.usda.gov/Integrity/Certificate.aspx?cid=57&amp;nopid=3252024077</v>
      </c>
    </row>
    <row r="498">
      <c r="A498" t="s">
        <v>3</v>
      </c>
      <c r="B498" s="6" t="s">
        <v>9</v>
      </c>
      <c r="C498" s="6" t="s">
        <v>56</v>
      </c>
      <c r="D498" s="6" t="s">
        <v>102</v>
      </c>
      <c r="E498" s="10" t="s">
        <v>639</v>
      </c>
      <c r="F498" s="6" t="s">
        <v>3374</v>
      </c>
      <c r="G498" s="6" t="s">
        <v>81</v>
      </c>
      <c r="H498" s="6" t="s">
        <v>6343</v>
      </c>
      <c r="I498" s="6" t="s">
        <v>8708</v>
      </c>
      <c r="J498" s="6" t="s">
        <v>9718</v>
      </c>
      <c r="K498" s="6" t="s">
        <v>10886</v>
      </c>
      <c r="L498" s="16" t="n">
        <v>41499</v>
      </c>
      <c r="M498" s="16" t="n">
        <v>46113</v>
      </c>
      <c r="N498" s="6" t="s">
        <v>10886</v>
      </c>
      <c r="O498" s="16" t="n">
        <v>41499</v>
      </c>
      <c r="P498" s="6" t="s">
        <v>10939</v>
      </c>
      <c r="Q498" s="6" t="s">
        <v>81</v>
      </c>
      <c r="R498" s="6" t="s">
        <v>12550</v>
      </c>
      <c r="S498" s="6" t="s">
        <v>10886</v>
      </c>
      <c r="T498" s="16" t="n">
        <v>41499</v>
      </c>
      <c r="U498" s="6" t="s">
        <v>13162</v>
      </c>
      <c r="V498" s="6" t="s">
        <v>81</v>
      </c>
      <c r="W498" s="6" t="s">
        <v>12550</v>
      </c>
      <c r="X498" s="6" t="s">
        <v>81</v>
      </c>
      <c r="Y498" s="21" t="s">
        <v>81</v>
      </c>
      <c r="Z498" s="6" t="s">
        <v>81</v>
      </c>
      <c r="AA498" s="6" t="s">
        <v>81</v>
      </c>
      <c r="AB498" s="6" t="s">
        <v>81</v>
      </c>
      <c r="AC498" s="6" t="s">
        <v>81</v>
      </c>
      <c r="AD498" s="21" t="s">
        <v>81</v>
      </c>
      <c r="AE498" s="6" t="s">
        <v>81</v>
      </c>
      <c r="AF498" s="6" t="s">
        <v>81</v>
      </c>
      <c r="AG498" s="6" t="s">
        <v>81</v>
      </c>
      <c r="AH498" s="6" t="s">
        <v>15088</v>
      </c>
      <c r="AI498" s="6" t="s">
        <v>81</v>
      </c>
      <c r="AJ498" s="6" t="s">
        <v>17353</v>
      </c>
      <c r="AK498" s="6" t="s">
        <v>18384</v>
      </c>
      <c r="AL498" s="6" t="s">
        <v>18444</v>
      </c>
      <c r="AM498" s="6" t="s">
        <v>18507</v>
      </c>
      <c r="AN498" s="6" t="s">
        <v>19646</v>
      </c>
      <c r="AO498" s="6" t="s">
        <v>19746</v>
      </c>
      <c r="AP498" s="6" t="s">
        <v>81</v>
      </c>
      <c r="AQ498" s="6" t="s">
        <v>81</v>
      </c>
      <c r="AR498" s="6" t="s">
        <v>81</v>
      </c>
      <c r="AS498" s="6" t="s">
        <v>81</v>
      </c>
      <c r="AT498" s="6" t="s">
        <v>81</v>
      </c>
      <c r="AU498" s="6" t="s">
        <v>81</v>
      </c>
      <c r="AV498" s="6" t="s">
        <v>81</v>
      </c>
      <c r="AW498" s="6" t="s">
        <v>81</v>
      </c>
      <c r="AX498" s="6" t="s">
        <v>21074</v>
      </c>
      <c r="AY498" s="6" t="s">
        <v>81</v>
      </c>
      <c r="AZ498" s="6" t="s">
        <v>81</v>
      </c>
      <c r="BA498" s="6" t="s">
        <v>81</v>
      </c>
      <c r="BB498" s="24" t="n">
        <v>157</v>
      </c>
      <c r="BC498" s="26"/>
      <c r="BD498" s="26"/>
      <c r="BE498" s="26"/>
      <c r="BF498" s="26"/>
      <c r="BG498" s="26"/>
      <c r="BH498" s="26"/>
      <c r="BI498" s="26"/>
      <c r="BJ498" s="26"/>
      <c r="BK498" s="26"/>
      <c r="BL498" s="26"/>
      <c r="BM498" s="26"/>
      <c r="BN498" s="26"/>
      <c r="BO498" s="26"/>
      <c r="BP498" s="16" t="n">
        <v>45738</v>
      </c>
      <c r="BQ498" s="28" t="str">
        <f>HYPERLINK("https://organic.ams.usda.gov/Integrity/Certificate.aspx?cid=52&amp;nopid=8431300529")</f>
        <v>https://organic.ams.usda.gov/Integrity/Certificate.aspx?cid=52&amp;nopid=8431300529</v>
      </c>
    </row>
    <row r="499">
      <c r="A499" t="s">
        <v>3</v>
      </c>
      <c r="B499" s="6" t="s">
        <v>9</v>
      </c>
      <c r="C499" s="6" t="s">
        <v>56</v>
      </c>
      <c r="D499" s="6" t="s">
        <v>102</v>
      </c>
      <c r="E499" s="10" t="s">
        <v>640</v>
      </c>
      <c r="F499" s="6" t="s">
        <v>3375</v>
      </c>
      <c r="G499" s="6" t="s">
        <v>81</v>
      </c>
      <c r="H499" s="6" t="s">
        <v>6344</v>
      </c>
      <c r="I499" s="6" t="s">
        <v>8707</v>
      </c>
      <c r="J499" s="6" t="s">
        <v>9957</v>
      </c>
      <c r="K499" s="6" t="s">
        <v>10886</v>
      </c>
      <c r="L499" s="16" t="n">
        <v>41541</v>
      </c>
      <c r="M499" s="16" t="n">
        <v>45748</v>
      </c>
      <c r="N499" s="6" t="s">
        <v>10886</v>
      </c>
      <c r="O499" s="16" t="n">
        <v>41541</v>
      </c>
      <c r="P499" s="6" t="s">
        <v>11198</v>
      </c>
      <c r="Q499" s="6" t="s">
        <v>81</v>
      </c>
      <c r="R499" s="6" t="s">
        <v>12551</v>
      </c>
      <c r="S499" s="6" t="s">
        <v>10886</v>
      </c>
      <c r="T499" s="16" t="n">
        <v>41541</v>
      </c>
      <c r="U499" s="6" t="s">
        <v>13172</v>
      </c>
      <c r="V499" s="6" t="s">
        <v>81</v>
      </c>
      <c r="W499" s="6" t="s">
        <v>12551</v>
      </c>
      <c r="X499" s="6" t="s">
        <v>81</v>
      </c>
      <c r="Y499" s="21" t="s">
        <v>81</v>
      </c>
      <c r="Z499" s="6" t="s">
        <v>81</v>
      </c>
      <c r="AA499" s="6" t="s">
        <v>81</v>
      </c>
      <c r="AB499" s="6" t="s">
        <v>81</v>
      </c>
      <c r="AC499" s="6" t="s">
        <v>81</v>
      </c>
      <c r="AD499" s="21" t="s">
        <v>81</v>
      </c>
      <c r="AE499" s="6" t="s">
        <v>81</v>
      </c>
      <c r="AF499" s="6" t="s">
        <v>81</v>
      </c>
      <c r="AG499" s="6" t="s">
        <v>81</v>
      </c>
      <c r="AH499" s="6" t="s">
        <v>15089</v>
      </c>
      <c r="AI499" s="6" t="s">
        <v>81</v>
      </c>
      <c r="AJ499" s="6" t="s">
        <v>17637</v>
      </c>
      <c r="AK499" s="6" t="s">
        <v>18377</v>
      </c>
      <c r="AL499" s="6" t="s">
        <v>18444</v>
      </c>
      <c r="AM499" s="6" t="s">
        <v>18806</v>
      </c>
      <c r="AN499" s="6" t="s">
        <v>19648</v>
      </c>
      <c r="AO499" s="6" t="s">
        <v>19889</v>
      </c>
      <c r="AP499" s="6" t="s">
        <v>81</v>
      </c>
      <c r="AQ499" s="6" t="s">
        <v>81</v>
      </c>
      <c r="AR499" s="6" t="s">
        <v>81</v>
      </c>
      <c r="AS499" s="6" t="s">
        <v>81</v>
      </c>
      <c r="AT499" s="6" t="s">
        <v>81</v>
      </c>
      <c r="AU499" s="6" t="s">
        <v>81</v>
      </c>
      <c r="AV499" s="6" t="s">
        <v>81</v>
      </c>
      <c r="AW499" s="6" t="s">
        <v>81</v>
      </c>
      <c r="AX499" s="6" t="s">
        <v>21075</v>
      </c>
      <c r="AY499" s="6" t="s">
        <v>81</v>
      </c>
      <c r="AZ499" s="6" t="s">
        <v>81</v>
      </c>
      <c r="BA499" s="6" t="s">
        <v>81</v>
      </c>
      <c r="BB499" s="24" t="n">
        <v>504</v>
      </c>
      <c r="BC499" s="26"/>
      <c r="BD499" s="26"/>
      <c r="BE499" s="26"/>
      <c r="BF499" s="26"/>
      <c r="BG499" s="26"/>
      <c r="BH499" s="26"/>
      <c r="BI499" s="26"/>
      <c r="BJ499" s="26"/>
      <c r="BK499" s="26"/>
      <c r="BL499" s="26"/>
      <c r="BM499" s="26"/>
      <c r="BN499" s="26"/>
      <c r="BO499" s="26"/>
      <c r="BP499" s="16" t="n">
        <v>45738</v>
      </c>
      <c r="BQ499" s="28" t="str">
        <f>HYPERLINK("https://organic.ams.usda.gov/Integrity/Certificate.aspx?cid=52&amp;nopid=8431300561")</f>
        <v>https://organic.ams.usda.gov/Integrity/Certificate.aspx?cid=52&amp;nopid=8431300561</v>
      </c>
    </row>
    <row r="500">
      <c r="A500" t="s">
        <v>3</v>
      </c>
      <c r="B500" s="6" t="s">
        <v>8</v>
      </c>
      <c r="C500" s="6" t="s">
        <v>55</v>
      </c>
      <c r="D500" s="6" t="s">
        <v>101</v>
      </c>
      <c r="E500" s="10" t="s">
        <v>641</v>
      </c>
      <c r="F500" s="6" t="s">
        <v>3376</v>
      </c>
      <c r="G500" s="6" t="s">
        <v>5643</v>
      </c>
      <c r="H500" s="6" t="s">
        <v>6345</v>
      </c>
      <c r="I500" s="6" t="s">
        <v>8709</v>
      </c>
      <c r="J500" s="6" t="s">
        <v>9958</v>
      </c>
      <c r="K500" s="6" t="s">
        <v>10886</v>
      </c>
      <c r="L500" s="16" t="n">
        <v>38237</v>
      </c>
      <c r="M500" s="16" t="n">
        <v>45383</v>
      </c>
      <c r="N500" s="6" t="s">
        <v>10886</v>
      </c>
      <c r="O500" s="16" t="n">
        <v>38237</v>
      </c>
      <c r="P500" s="6" t="s">
        <v>11199</v>
      </c>
      <c r="Q500" s="6" t="s">
        <v>81</v>
      </c>
      <c r="R500" s="6" t="s">
        <v>6345</v>
      </c>
      <c r="S500" s="6" t="s">
        <v>10886</v>
      </c>
      <c r="T500" s="16" t="n">
        <v>38237</v>
      </c>
      <c r="U500" s="6" t="s">
        <v>13352</v>
      </c>
      <c r="V500" s="6" t="s">
        <v>81</v>
      </c>
      <c r="W500" s="6" t="s">
        <v>6345</v>
      </c>
      <c r="X500" s="6" t="s">
        <v>81</v>
      </c>
      <c r="Y500" s="21" t="s">
        <v>81</v>
      </c>
      <c r="Z500" s="6" t="s">
        <v>81</v>
      </c>
      <c r="AA500" s="6" t="s">
        <v>81</v>
      </c>
      <c r="AB500" s="6" t="s">
        <v>81</v>
      </c>
      <c r="AC500" s="6" t="s">
        <v>81</v>
      </c>
      <c r="AD500" s="21" t="s">
        <v>81</v>
      </c>
      <c r="AE500" s="6" t="s">
        <v>81</v>
      </c>
      <c r="AF500" s="6" t="s">
        <v>81</v>
      </c>
      <c r="AG500" s="6" t="s">
        <v>81</v>
      </c>
      <c r="AH500" s="6" t="s">
        <v>15090</v>
      </c>
      <c r="AI500" s="6" t="s">
        <v>81</v>
      </c>
      <c r="AJ500" s="6" t="s">
        <v>17385</v>
      </c>
      <c r="AK500" s="6" t="s">
        <v>18377</v>
      </c>
      <c r="AL500" s="6" t="s">
        <v>18444</v>
      </c>
      <c r="AM500" s="6" t="s">
        <v>18539</v>
      </c>
      <c r="AN500" s="6" t="s">
        <v>19634</v>
      </c>
      <c r="AO500" s="6" t="s">
        <v>19764</v>
      </c>
      <c r="AP500" s="6" t="s">
        <v>81</v>
      </c>
      <c r="AQ500" s="6" t="s">
        <v>81</v>
      </c>
      <c r="AR500" s="6" t="s">
        <v>81</v>
      </c>
      <c r="AS500" s="6" t="s">
        <v>81</v>
      </c>
      <c r="AT500" s="6" t="s">
        <v>81</v>
      </c>
      <c r="AU500" s="6" t="s">
        <v>81</v>
      </c>
      <c r="AV500" s="6" t="s">
        <v>81</v>
      </c>
      <c r="AW500" s="6" t="s">
        <v>81</v>
      </c>
      <c r="AX500" s="6" t="s">
        <v>81</v>
      </c>
      <c r="AY500" s="6" t="s">
        <v>22764</v>
      </c>
      <c r="AZ500" s="6" t="s">
        <v>81</v>
      </c>
      <c r="BA500" s="6" t="s">
        <v>23819</v>
      </c>
      <c r="BB500" s="24" t="n">
        <v>131</v>
      </c>
      <c r="BC500" s="26"/>
      <c r="BD500" s="26"/>
      <c r="BE500" s="26"/>
      <c r="BF500" s="26"/>
      <c r="BG500" s="26"/>
      <c r="BH500" s="26"/>
      <c r="BI500" s="26"/>
      <c r="BJ500" s="26"/>
      <c r="BK500" s="26"/>
      <c r="BL500" s="26"/>
      <c r="BM500" s="26"/>
      <c r="BN500" s="26"/>
      <c r="BO500" s="26"/>
      <c r="BP500" s="16" t="n">
        <v>45401</v>
      </c>
      <c r="BQ500" s="28" t="str">
        <f>HYPERLINK("https://organic.ams.usda.gov/Integrity/Certificate.aspx?cid=45&amp;nopid=9950001567")</f>
        <v>https://organic.ams.usda.gov/Integrity/Certificate.aspx?cid=45&amp;nopid=9950001567</v>
      </c>
    </row>
    <row r="501">
      <c r="A501" t="s">
        <v>3</v>
      </c>
      <c r="B501" s="6" t="s">
        <v>12</v>
      </c>
      <c r="C501" s="6" t="s">
        <v>59</v>
      </c>
      <c r="D501" s="6" t="s">
        <v>105</v>
      </c>
      <c r="E501" s="10" t="s">
        <v>642</v>
      </c>
      <c r="F501" s="6" t="s">
        <v>3377</v>
      </c>
      <c r="G501" s="6" t="s">
        <v>81</v>
      </c>
      <c r="H501" s="6" t="s">
        <v>6346</v>
      </c>
      <c r="I501" s="6" t="s">
        <v>8710</v>
      </c>
      <c r="J501" s="6" t="s">
        <v>9233</v>
      </c>
      <c r="K501" s="6" t="s">
        <v>10886</v>
      </c>
      <c r="L501" s="16" t="n">
        <v>37550</v>
      </c>
      <c r="M501" s="16" t="n">
        <v>45717</v>
      </c>
      <c r="N501" s="6" t="s">
        <v>10886</v>
      </c>
      <c r="O501" s="16" t="n">
        <v>37550</v>
      </c>
      <c r="P501" s="6" t="s">
        <v>11200</v>
      </c>
      <c r="Q501" s="6" t="s">
        <v>81</v>
      </c>
      <c r="R501" s="6" t="s">
        <v>81</v>
      </c>
      <c r="S501" s="6" t="s">
        <v>10886</v>
      </c>
      <c r="T501" s="16" t="n">
        <v>37550</v>
      </c>
      <c r="U501" s="6" t="s">
        <v>13353</v>
      </c>
      <c r="V501" s="6" t="s">
        <v>81</v>
      </c>
      <c r="W501" s="6" t="s">
        <v>81</v>
      </c>
      <c r="X501" s="6" t="s">
        <v>81</v>
      </c>
      <c r="Y501" s="21" t="s">
        <v>81</v>
      </c>
      <c r="Z501" s="6" t="s">
        <v>81</v>
      </c>
      <c r="AA501" s="6" t="s">
        <v>81</v>
      </c>
      <c r="AB501" s="6" t="s">
        <v>81</v>
      </c>
      <c r="AC501" s="6" t="s">
        <v>10886</v>
      </c>
      <c r="AD501" s="16" t="n">
        <v>37550</v>
      </c>
      <c r="AE501" s="6" t="s">
        <v>14129</v>
      </c>
      <c r="AF501" s="6" t="s">
        <v>81</v>
      </c>
      <c r="AG501" s="6" t="s">
        <v>81</v>
      </c>
      <c r="AH501" s="6" t="s">
        <v>15091</v>
      </c>
      <c r="AI501" s="6" t="s">
        <v>81</v>
      </c>
      <c r="AJ501" s="6" t="s">
        <v>17638</v>
      </c>
      <c r="AK501" s="6" t="s">
        <v>18380</v>
      </c>
      <c r="AL501" s="6" t="s">
        <v>18444</v>
      </c>
      <c r="AM501" s="6" t="s">
        <v>18807</v>
      </c>
      <c r="AN501" s="6" t="s">
        <v>19639</v>
      </c>
      <c r="AO501" s="6" t="s">
        <v>19725</v>
      </c>
      <c r="AP501" s="6" t="s">
        <v>15091</v>
      </c>
      <c r="AQ501" s="6" t="s">
        <v>81</v>
      </c>
      <c r="AR501" s="6" t="s">
        <v>17638</v>
      </c>
      <c r="AS501" s="6" t="s">
        <v>18380</v>
      </c>
      <c r="AT501" s="6" t="s">
        <v>18444</v>
      </c>
      <c r="AU501" s="6" t="s">
        <v>18807</v>
      </c>
      <c r="AV501" s="6" t="s">
        <v>81</v>
      </c>
      <c r="AW501" s="6" t="s">
        <v>81</v>
      </c>
      <c r="AX501" s="6" t="s">
        <v>21076</v>
      </c>
      <c r="AY501" s="6" t="s">
        <v>22765</v>
      </c>
      <c r="AZ501" s="6" t="s">
        <v>81</v>
      </c>
      <c r="BA501" s="6" t="s">
        <v>81</v>
      </c>
      <c r="BB501" s="24" t="n">
        <v>419</v>
      </c>
      <c r="BC501" s="26"/>
      <c r="BD501" s="26"/>
      <c r="BE501" s="26"/>
      <c r="BF501" s="26"/>
      <c r="BG501" s="26"/>
      <c r="BH501" s="26"/>
      <c r="BI501" s="26"/>
      <c r="BJ501" s="26"/>
      <c r="BK501" s="26"/>
      <c r="BL501" s="26"/>
      <c r="BM501" s="26"/>
      <c r="BN501" s="26"/>
      <c r="BO501" s="26"/>
      <c r="BP501" s="16" t="n">
        <v>45684</v>
      </c>
      <c r="BQ501" s="28" t="str">
        <f>HYPERLINK("https://organic.ams.usda.gov/Integrity/Certificate.aspx?cid=68&amp;nopid=8210001405")</f>
        <v>https://organic.ams.usda.gov/Integrity/Certificate.aspx?cid=68&amp;nopid=8210001405</v>
      </c>
    </row>
    <row r="502">
      <c r="A502" t="s">
        <v>3</v>
      </c>
      <c r="B502" s="6" t="s">
        <v>9</v>
      </c>
      <c r="C502" s="6" t="s">
        <v>56</v>
      </c>
      <c r="D502" s="6" t="s">
        <v>102</v>
      </c>
      <c r="E502" s="10" t="s">
        <v>643</v>
      </c>
      <c r="F502" s="6" t="s">
        <v>3378</v>
      </c>
      <c r="G502" s="6" t="s">
        <v>81</v>
      </c>
      <c r="H502" s="6" t="s">
        <v>6347</v>
      </c>
      <c r="I502" s="6" t="s">
        <v>8711</v>
      </c>
      <c r="J502" s="6" t="s">
        <v>9803</v>
      </c>
      <c r="K502" s="6" t="s">
        <v>10886</v>
      </c>
      <c r="L502" s="16" t="n">
        <v>41430</v>
      </c>
      <c r="M502" s="16" t="n">
        <v>45748</v>
      </c>
      <c r="N502" s="6" t="s">
        <v>10886</v>
      </c>
      <c r="O502" s="16" t="n">
        <v>41430</v>
      </c>
      <c r="P502" s="6" t="s">
        <v>11201</v>
      </c>
      <c r="Q502" s="6" t="s">
        <v>81</v>
      </c>
      <c r="R502" s="6" t="s">
        <v>12552</v>
      </c>
      <c r="S502" s="6" t="s">
        <v>10886</v>
      </c>
      <c r="T502" s="16" t="n">
        <v>41430</v>
      </c>
      <c r="U502" s="6" t="s">
        <v>13354</v>
      </c>
      <c r="V502" s="6" t="s">
        <v>81</v>
      </c>
      <c r="W502" s="6" t="s">
        <v>12552</v>
      </c>
      <c r="X502" s="6" t="s">
        <v>81</v>
      </c>
      <c r="Y502" s="21" t="s">
        <v>81</v>
      </c>
      <c r="Z502" s="6" t="s">
        <v>81</v>
      </c>
      <c r="AA502" s="6" t="s">
        <v>81</v>
      </c>
      <c r="AB502" s="6" t="s">
        <v>81</v>
      </c>
      <c r="AC502" s="6" t="s">
        <v>81</v>
      </c>
      <c r="AD502" s="21" t="s">
        <v>81</v>
      </c>
      <c r="AE502" s="6" t="s">
        <v>81</v>
      </c>
      <c r="AF502" s="6" t="s">
        <v>81</v>
      </c>
      <c r="AG502" s="6" t="s">
        <v>81</v>
      </c>
      <c r="AH502" s="6" t="s">
        <v>15092</v>
      </c>
      <c r="AI502" s="6" t="s">
        <v>81</v>
      </c>
      <c r="AJ502" s="6" t="s">
        <v>17324</v>
      </c>
      <c r="AK502" s="6" t="s">
        <v>18378</v>
      </c>
      <c r="AL502" s="6" t="s">
        <v>18444</v>
      </c>
      <c r="AM502" s="6" t="s">
        <v>18476</v>
      </c>
      <c r="AN502" s="6" t="s">
        <v>19640</v>
      </c>
      <c r="AO502" s="6" t="s">
        <v>19726</v>
      </c>
      <c r="AP502" s="6" t="s">
        <v>81</v>
      </c>
      <c r="AQ502" s="6" t="s">
        <v>81</v>
      </c>
      <c r="AR502" s="6" t="s">
        <v>81</v>
      </c>
      <c r="AS502" s="6" t="s">
        <v>81</v>
      </c>
      <c r="AT502" s="6" t="s">
        <v>81</v>
      </c>
      <c r="AU502" s="6" t="s">
        <v>81</v>
      </c>
      <c r="AV502" s="6" t="s">
        <v>81</v>
      </c>
      <c r="AW502" s="6" t="s">
        <v>81</v>
      </c>
      <c r="AX502" s="6" t="s">
        <v>21077</v>
      </c>
      <c r="AY502" s="6" t="s">
        <v>22766</v>
      </c>
      <c r="AZ502" s="6" t="s">
        <v>81</v>
      </c>
      <c r="BA502" s="6" t="s">
        <v>81</v>
      </c>
      <c r="BB502" s="24" t="n">
        <v>136</v>
      </c>
      <c r="BC502" s="26"/>
      <c r="BD502" s="26"/>
      <c r="BE502" s="26"/>
      <c r="BF502" s="26"/>
      <c r="BG502" s="26"/>
      <c r="BH502" s="26"/>
      <c r="BI502" s="26"/>
      <c r="BJ502" s="26"/>
      <c r="BK502" s="26"/>
      <c r="BL502" s="26"/>
      <c r="BM502" s="26"/>
      <c r="BN502" s="26"/>
      <c r="BO502" s="26"/>
      <c r="BP502" s="16" t="n">
        <v>45738</v>
      </c>
      <c r="BQ502" s="28" t="str">
        <f>HYPERLINK("https://organic.ams.usda.gov/Integrity/Certificate.aspx?cid=52&amp;nopid=8431300460")</f>
        <v>https://organic.ams.usda.gov/Integrity/Certificate.aspx?cid=52&amp;nopid=8431300460</v>
      </c>
    </row>
    <row r="503">
      <c r="A503" t="s">
        <v>3</v>
      </c>
      <c r="B503" s="6" t="s">
        <v>9</v>
      </c>
      <c r="C503" s="6" t="s">
        <v>56</v>
      </c>
      <c r="D503" s="6" t="s">
        <v>102</v>
      </c>
      <c r="E503" s="10" t="s">
        <v>644</v>
      </c>
      <c r="F503" s="6" t="s">
        <v>3379</v>
      </c>
      <c r="G503" s="6" t="s">
        <v>81</v>
      </c>
      <c r="H503" s="6" t="s">
        <v>6348</v>
      </c>
      <c r="I503" s="6" t="s">
        <v>8712</v>
      </c>
      <c r="J503" s="6" t="s">
        <v>9665</v>
      </c>
      <c r="K503" s="6" t="s">
        <v>10886</v>
      </c>
      <c r="L503" s="16" t="n">
        <v>41213</v>
      </c>
      <c r="M503" s="16" t="n">
        <v>46113</v>
      </c>
      <c r="N503" s="6" t="s">
        <v>10886</v>
      </c>
      <c r="O503" s="16" t="n">
        <v>41213</v>
      </c>
      <c r="P503" s="6" t="s">
        <v>11201</v>
      </c>
      <c r="Q503" s="6" t="s">
        <v>81</v>
      </c>
      <c r="R503" s="6" t="s">
        <v>12553</v>
      </c>
      <c r="S503" s="6" t="s">
        <v>10886</v>
      </c>
      <c r="T503" s="16" t="n">
        <v>41213</v>
      </c>
      <c r="U503" s="6" t="s">
        <v>13168</v>
      </c>
      <c r="V503" s="6" t="s">
        <v>81</v>
      </c>
      <c r="W503" s="6" t="s">
        <v>12553</v>
      </c>
      <c r="X503" s="6" t="s">
        <v>81</v>
      </c>
      <c r="Y503" s="21" t="s">
        <v>81</v>
      </c>
      <c r="Z503" s="6" t="s">
        <v>81</v>
      </c>
      <c r="AA503" s="6" t="s">
        <v>81</v>
      </c>
      <c r="AB503" s="6" t="s">
        <v>81</v>
      </c>
      <c r="AC503" s="6" t="s">
        <v>81</v>
      </c>
      <c r="AD503" s="21" t="s">
        <v>81</v>
      </c>
      <c r="AE503" s="6" t="s">
        <v>81</v>
      </c>
      <c r="AF503" s="6" t="s">
        <v>81</v>
      </c>
      <c r="AG503" s="6" t="s">
        <v>81</v>
      </c>
      <c r="AH503" s="6" t="s">
        <v>15093</v>
      </c>
      <c r="AI503" s="6" t="s">
        <v>81</v>
      </c>
      <c r="AJ503" s="6" t="s">
        <v>17635</v>
      </c>
      <c r="AK503" s="6" t="s">
        <v>18379</v>
      </c>
      <c r="AL503" s="6" t="s">
        <v>18444</v>
      </c>
      <c r="AM503" s="6" t="s">
        <v>18804</v>
      </c>
      <c r="AN503" s="6" t="s">
        <v>19637</v>
      </c>
      <c r="AO503" s="6" t="s">
        <v>19723</v>
      </c>
      <c r="AP503" s="6" t="s">
        <v>81</v>
      </c>
      <c r="AQ503" s="6" t="s">
        <v>81</v>
      </c>
      <c r="AR503" s="6" t="s">
        <v>81</v>
      </c>
      <c r="AS503" s="6" t="s">
        <v>81</v>
      </c>
      <c r="AT503" s="6" t="s">
        <v>81</v>
      </c>
      <c r="AU503" s="6" t="s">
        <v>81</v>
      </c>
      <c r="AV503" s="6" t="s">
        <v>81</v>
      </c>
      <c r="AW503" s="6" t="s">
        <v>81</v>
      </c>
      <c r="AX503" s="6" t="s">
        <v>81</v>
      </c>
      <c r="AY503" s="6" t="s">
        <v>81</v>
      </c>
      <c r="AZ503" s="6" t="s">
        <v>81</v>
      </c>
      <c r="BA503" s="6" t="s">
        <v>81</v>
      </c>
      <c r="BB503" s="24" t="n">
        <v>145</v>
      </c>
      <c r="BC503" s="26"/>
      <c r="BD503" s="26"/>
      <c r="BE503" s="26"/>
      <c r="BF503" s="26"/>
      <c r="BG503" s="26"/>
      <c r="BH503" s="26"/>
      <c r="BI503" s="26"/>
      <c r="BJ503" s="26"/>
      <c r="BK503" s="26"/>
      <c r="BL503" s="26"/>
      <c r="BM503" s="26"/>
      <c r="BN503" s="26"/>
      <c r="BO503" s="26"/>
      <c r="BP503" s="16" t="n">
        <v>45738</v>
      </c>
      <c r="BQ503" s="28" t="str">
        <f>HYPERLINK("https://organic.ams.usda.gov/Integrity/Certificate.aspx?cid=52&amp;nopid=8431200385")</f>
        <v>https://organic.ams.usda.gov/Integrity/Certificate.aspx?cid=52&amp;nopid=8431200385</v>
      </c>
    </row>
    <row r="504">
      <c r="A504" t="s">
        <v>3</v>
      </c>
      <c r="B504" s="6" t="s">
        <v>7</v>
      </c>
      <c r="C504" s="6" t="s">
        <v>54</v>
      </c>
      <c r="D504" s="6" t="s">
        <v>100</v>
      </c>
      <c r="E504" s="10" t="s">
        <v>645</v>
      </c>
      <c r="F504" s="6" t="s">
        <v>3380</v>
      </c>
      <c r="G504" s="6" t="s">
        <v>81</v>
      </c>
      <c r="H504" s="6" t="s">
        <v>6349</v>
      </c>
      <c r="I504" s="6" t="s">
        <v>8713</v>
      </c>
      <c r="J504" s="6" t="s">
        <v>9727</v>
      </c>
      <c r="K504" s="6" t="s">
        <v>10886</v>
      </c>
      <c r="L504" s="16" t="n">
        <v>44735</v>
      </c>
      <c r="M504" s="16" t="n">
        <v>45716</v>
      </c>
      <c r="N504" s="6" t="s">
        <v>10886</v>
      </c>
      <c r="O504" s="16" t="n">
        <v>44735</v>
      </c>
      <c r="P504" s="6" t="s">
        <v>10910</v>
      </c>
      <c r="Q504" s="6" t="s">
        <v>81</v>
      </c>
      <c r="R504" s="6" t="s">
        <v>81</v>
      </c>
      <c r="S504" s="6" t="s">
        <v>10886</v>
      </c>
      <c r="T504" s="16" t="n">
        <v>44735</v>
      </c>
      <c r="U504" s="6" t="s">
        <v>13169</v>
      </c>
      <c r="V504" s="6" t="s">
        <v>81</v>
      </c>
      <c r="W504" s="6" t="s">
        <v>81</v>
      </c>
      <c r="X504" s="6" t="s">
        <v>81</v>
      </c>
      <c r="Y504" s="21" t="s">
        <v>81</v>
      </c>
      <c r="Z504" s="6" t="s">
        <v>81</v>
      </c>
      <c r="AA504" s="6" t="s">
        <v>81</v>
      </c>
      <c r="AB504" s="6" t="s">
        <v>81</v>
      </c>
      <c r="AC504" s="6" t="s">
        <v>81</v>
      </c>
      <c r="AD504" s="21" t="s">
        <v>81</v>
      </c>
      <c r="AE504" s="6" t="s">
        <v>81</v>
      </c>
      <c r="AF504" s="6" t="s">
        <v>81</v>
      </c>
      <c r="AG504" s="6" t="s">
        <v>81</v>
      </c>
      <c r="AH504" s="6" t="s">
        <v>15094</v>
      </c>
      <c r="AI504" s="6" t="s">
        <v>81</v>
      </c>
      <c r="AJ504" s="6" t="s">
        <v>17618</v>
      </c>
      <c r="AK504" s="6" t="s">
        <v>17712</v>
      </c>
      <c r="AL504" s="6" t="s">
        <v>18444</v>
      </c>
      <c r="AM504" s="6" t="s">
        <v>18786</v>
      </c>
      <c r="AN504" s="6" t="s">
        <v>19645</v>
      </c>
      <c r="AO504" s="6" t="s">
        <v>19770</v>
      </c>
      <c r="AP504" s="6" t="s">
        <v>15094</v>
      </c>
      <c r="AQ504" s="6" t="s">
        <v>81</v>
      </c>
      <c r="AR504" s="6" t="s">
        <v>17618</v>
      </c>
      <c r="AS504" s="6" t="s">
        <v>17712</v>
      </c>
      <c r="AT504" s="6" t="s">
        <v>18444</v>
      </c>
      <c r="AU504" s="6" t="s">
        <v>18786</v>
      </c>
      <c r="AV504" s="6" t="s">
        <v>81</v>
      </c>
      <c r="AW504" s="6" t="s">
        <v>81</v>
      </c>
      <c r="AX504" s="6" t="s">
        <v>21078</v>
      </c>
      <c r="AY504" s="6" t="s">
        <v>81</v>
      </c>
      <c r="AZ504" s="6" t="s">
        <v>81</v>
      </c>
      <c r="BA504" s="6" t="s">
        <v>81</v>
      </c>
      <c r="BB504" s="24" t="n">
        <v>124</v>
      </c>
      <c r="BC504" s="26"/>
      <c r="BD504" s="26"/>
      <c r="BE504" s="26"/>
      <c r="BF504" s="26" t="s">
        <v>23900</v>
      </c>
      <c r="BG504" s="26"/>
      <c r="BH504" s="26"/>
      <c r="BI504" s="26"/>
      <c r="BJ504" s="26"/>
      <c r="BK504" s="26"/>
      <c r="BL504" s="26"/>
      <c r="BM504" s="26"/>
      <c r="BN504" s="26"/>
      <c r="BO504" s="26"/>
      <c r="BP504" s="16" t="n">
        <v>45595</v>
      </c>
      <c r="BQ504" s="28" t="str">
        <f>HYPERLINK("https://organic.ams.usda.gov/Integrity/Certificate.aspx?cid=57&amp;nopid=3252022052")</f>
        <v>https://organic.ams.usda.gov/Integrity/Certificate.aspx?cid=57&amp;nopid=3252022052</v>
      </c>
    </row>
    <row r="505">
      <c r="A505" t="s">
        <v>3</v>
      </c>
      <c r="B505" s="6" t="s">
        <v>7</v>
      </c>
      <c r="C505" s="6" t="s">
        <v>54</v>
      </c>
      <c r="D505" s="6" t="s">
        <v>100</v>
      </c>
      <c r="E505" s="10" t="s">
        <v>646</v>
      </c>
      <c r="F505" s="6" t="s">
        <v>3381</v>
      </c>
      <c r="G505" s="6" t="s">
        <v>81</v>
      </c>
      <c r="H505" s="6" t="s">
        <v>6350</v>
      </c>
      <c r="I505" s="6" t="s">
        <v>8714</v>
      </c>
      <c r="J505" s="6" t="s">
        <v>9142</v>
      </c>
      <c r="K505" s="6" t="s">
        <v>10886</v>
      </c>
      <c r="L505" s="16" t="n">
        <v>44802</v>
      </c>
      <c r="M505" s="16" t="n">
        <v>44802</v>
      </c>
      <c r="N505" s="6" t="s">
        <v>10886</v>
      </c>
      <c r="O505" s="16" t="n">
        <v>44802</v>
      </c>
      <c r="P505" s="6" t="s">
        <v>10944</v>
      </c>
      <c r="Q505" s="6" t="s">
        <v>81</v>
      </c>
      <c r="R505" s="6" t="s">
        <v>669</v>
      </c>
      <c r="S505" s="6" t="s">
        <v>10886</v>
      </c>
      <c r="T505" s="16" t="n">
        <v>44867</v>
      </c>
      <c r="U505" s="6" t="s">
        <v>13355</v>
      </c>
      <c r="V505" s="6" t="s">
        <v>81</v>
      </c>
      <c r="W505" s="6" t="s">
        <v>669</v>
      </c>
      <c r="X505" s="6" t="s">
        <v>81</v>
      </c>
      <c r="Y505" s="21" t="s">
        <v>81</v>
      </c>
      <c r="Z505" s="6" t="s">
        <v>81</v>
      </c>
      <c r="AA505" s="6" t="s">
        <v>81</v>
      </c>
      <c r="AB505" s="6" t="s">
        <v>81</v>
      </c>
      <c r="AC505" s="6" t="s">
        <v>81</v>
      </c>
      <c r="AD505" s="21" t="s">
        <v>81</v>
      </c>
      <c r="AE505" s="6" t="s">
        <v>81</v>
      </c>
      <c r="AF505" s="6" t="s">
        <v>81</v>
      </c>
      <c r="AG505" s="6" t="s">
        <v>81</v>
      </c>
      <c r="AH505" s="6" t="s">
        <v>15095</v>
      </c>
      <c r="AI505" s="6" t="s">
        <v>81</v>
      </c>
      <c r="AJ505" s="6" t="s">
        <v>17406</v>
      </c>
      <c r="AK505" s="6" t="s">
        <v>17712</v>
      </c>
      <c r="AL505" s="6" t="s">
        <v>18444</v>
      </c>
      <c r="AM505" s="6" t="s">
        <v>18562</v>
      </c>
      <c r="AN505" s="6" t="s">
        <v>19657</v>
      </c>
      <c r="AO505" s="6" t="s">
        <v>19751</v>
      </c>
      <c r="AP505" s="6" t="s">
        <v>81</v>
      </c>
      <c r="AQ505" s="6" t="s">
        <v>81</v>
      </c>
      <c r="AR505" s="6" t="s">
        <v>81</v>
      </c>
      <c r="AS505" s="6" t="s">
        <v>81</v>
      </c>
      <c r="AT505" s="6" t="s">
        <v>81</v>
      </c>
      <c r="AU505" s="6" t="s">
        <v>81</v>
      </c>
      <c r="AV505" s="6" t="s">
        <v>81</v>
      </c>
      <c r="AW505" s="6" t="s">
        <v>81</v>
      </c>
      <c r="AX505" s="6" t="s">
        <v>81</v>
      </c>
      <c r="AY505" s="6" t="s">
        <v>81</v>
      </c>
      <c r="AZ505" s="6" t="s">
        <v>81</v>
      </c>
      <c r="BA505" s="6" t="s">
        <v>81</v>
      </c>
      <c r="BB505" s="24" t="n">
        <v>39</v>
      </c>
      <c r="BC505" s="26"/>
      <c r="BD505" s="26"/>
      <c r="BE505" s="26"/>
      <c r="BF505" s="26"/>
      <c r="BG505" s="26"/>
      <c r="BH505" s="26"/>
      <c r="BI505" s="26"/>
      <c r="BJ505" s="26"/>
      <c r="BK505" s="26"/>
      <c r="BL505" s="26"/>
      <c r="BM505" s="26"/>
      <c r="BN505" s="26"/>
      <c r="BO505" s="26"/>
      <c r="BP505" s="16" t="n">
        <v>44915</v>
      </c>
      <c r="BQ505" s="28" t="str">
        <f>HYPERLINK("https://organic.ams.usda.gov/Integrity/Certificate.aspx?cid=57&amp;nopid=3258475713")</f>
        <v>https://organic.ams.usda.gov/Integrity/Certificate.aspx?cid=57&amp;nopid=3258475713</v>
      </c>
    </row>
    <row r="506">
      <c r="A506" t="s">
        <v>3</v>
      </c>
      <c r="B506" s="6" t="s">
        <v>10</v>
      </c>
      <c r="C506" s="6" t="s">
        <v>57</v>
      </c>
      <c r="D506" s="6" t="s">
        <v>103</v>
      </c>
      <c r="E506" s="10" t="s">
        <v>647</v>
      </c>
      <c r="F506" s="6" t="s">
        <v>3382</v>
      </c>
      <c r="G506" s="6" t="s">
        <v>81</v>
      </c>
      <c r="H506" s="6" t="s">
        <v>6351</v>
      </c>
      <c r="I506" s="6" t="s">
        <v>8715</v>
      </c>
      <c r="J506" s="6" t="s">
        <v>9730</v>
      </c>
      <c r="K506" s="6" t="s">
        <v>10886</v>
      </c>
      <c r="L506" s="16" t="n">
        <v>44447</v>
      </c>
      <c r="M506" s="16" t="n">
        <v>45748</v>
      </c>
      <c r="N506" s="6" t="s">
        <v>10886</v>
      </c>
      <c r="O506" s="16" t="n">
        <v>44447</v>
      </c>
      <c r="P506" s="6" t="s">
        <v>11202</v>
      </c>
      <c r="Q506" s="6" t="s">
        <v>81</v>
      </c>
      <c r="R506" s="6" t="s">
        <v>12554</v>
      </c>
      <c r="S506" s="6" t="s">
        <v>10886</v>
      </c>
      <c r="T506" s="16" t="n">
        <v>44447</v>
      </c>
      <c r="U506" s="6" t="s">
        <v>13163</v>
      </c>
      <c r="V506" s="6" t="s">
        <v>81</v>
      </c>
      <c r="W506" s="6" t="s">
        <v>81</v>
      </c>
      <c r="X506" s="6" t="s">
        <v>81</v>
      </c>
      <c r="Y506" s="21" t="s">
        <v>81</v>
      </c>
      <c r="Z506" s="6" t="s">
        <v>81</v>
      </c>
      <c r="AA506" s="6" t="s">
        <v>81</v>
      </c>
      <c r="AB506" s="6" t="s">
        <v>81</v>
      </c>
      <c r="AC506" s="6" t="s">
        <v>81</v>
      </c>
      <c r="AD506" s="21" t="s">
        <v>81</v>
      </c>
      <c r="AE506" s="6" t="s">
        <v>81</v>
      </c>
      <c r="AF506" s="6" t="s">
        <v>81</v>
      </c>
      <c r="AG506" s="6" t="s">
        <v>81</v>
      </c>
      <c r="AH506" s="6" t="s">
        <v>15096</v>
      </c>
      <c r="AI506" s="6" t="s">
        <v>81</v>
      </c>
      <c r="AJ506" s="6" t="s">
        <v>17639</v>
      </c>
      <c r="AK506" s="6" t="s">
        <v>18379</v>
      </c>
      <c r="AL506" s="6" t="s">
        <v>18444</v>
      </c>
      <c r="AM506" s="6" t="s">
        <v>18808</v>
      </c>
      <c r="AN506" s="6" t="s">
        <v>19671</v>
      </c>
      <c r="AO506" s="6" t="s">
        <v>19784</v>
      </c>
      <c r="AP506" s="6" t="s">
        <v>15096</v>
      </c>
      <c r="AQ506" s="6" t="s">
        <v>81</v>
      </c>
      <c r="AR506" s="6" t="s">
        <v>17639</v>
      </c>
      <c r="AS506" s="6" t="s">
        <v>18379</v>
      </c>
      <c r="AT506" s="6" t="s">
        <v>18444</v>
      </c>
      <c r="AU506" s="6" t="s">
        <v>18808</v>
      </c>
      <c r="AV506" s="6" t="s">
        <v>81</v>
      </c>
      <c r="AW506" s="6" t="s">
        <v>81</v>
      </c>
      <c r="AX506" s="6" t="s">
        <v>21079</v>
      </c>
      <c r="AY506" s="6" t="s">
        <v>81</v>
      </c>
      <c r="AZ506" s="6" t="s">
        <v>81</v>
      </c>
      <c r="BA506" s="6" t="s">
        <v>81</v>
      </c>
      <c r="BB506" s="24" t="n">
        <v>88</v>
      </c>
      <c r="BC506" s="26"/>
      <c r="BD506" s="26"/>
      <c r="BE506" s="26"/>
      <c r="BF506" s="26"/>
      <c r="BG506" s="26"/>
      <c r="BH506" s="26"/>
      <c r="BI506" s="26"/>
      <c r="BJ506" s="26"/>
      <c r="BK506" s="26"/>
      <c r="BL506" s="26"/>
      <c r="BM506" s="26"/>
      <c r="BN506" s="26"/>
      <c r="BO506" s="26"/>
      <c r="BP506" s="16" t="n">
        <v>45730</v>
      </c>
      <c r="BQ506" s="28" t="str">
        <f>HYPERLINK("https://organic.ams.usda.gov/Integrity/Certificate.aspx?cid=90&amp;nopid=7170210409")</f>
        <v>https://organic.ams.usda.gov/Integrity/Certificate.aspx?cid=90&amp;nopid=7170210409</v>
      </c>
    </row>
    <row r="507">
      <c r="A507" t="s">
        <v>3</v>
      </c>
      <c r="B507" s="6" t="s">
        <v>12</v>
      </c>
      <c r="C507" s="6" t="s">
        <v>59</v>
      </c>
      <c r="D507" s="6" t="s">
        <v>105</v>
      </c>
      <c r="E507" s="10" t="s">
        <v>648</v>
      </c>
      <c r="F507" s="6" t="s">
        <v>3383</v>
      </c>
      <c r="G507" s="6" t="s">
        <v>81</v>
      </c>
      <c r="H507" s="6" t="s">
        <v>6352</v>
      </c>
      <c r="I507" s="6" t="s">
        <v>8716</v>
      </c>
      <c r="J507" s="6" t="s">
        <v>9672</v>
      </c>
      <c r="K507" s="6" t="s">
        <v>10886</v>
      </c>
      <c r="L507" s="16" t="n">
        <v>38769</v>
      </c>
      <c r="M507" s="16" t="n">
        <v>45717</v>
      </c>
      <c r="N507" s="6" t="s">
        <v>10886</v>
      </c>
      <c r="O507" s="16" t="n">
        <v>38769</v>
      </c>
      <c r="P507" s="6" t="s">
        <v>11203</v>
      </c>
      <c r="Q507" s="6" t="s">
        <v>81</v>
      </c>
      <c r="R507" s="6" t="s">
        <v>81</v>
      </c>
      <c r="S507" s="6" t="s">
        <v>10886</v>
      </c>
      <c r="T507" s="16" t="n">
        <v>38769</v>
      </c>
      <c r="U507" s="6" t="s">
        <v>13356</v>
      </c>
      <c r="V507" s="6" t="s">
        <v>81</v>
      </c>
      <c r="W507" s="6" t="s">
        <v>81</v>
      </c>
      <c r="X507" s="6" t="s">
        <v>81</v>
      </c>
      <c r="Y507" s="21" t="s">
        <v>81</v>
      </c>
      <c r="Z507" s="6" t="s">
        <v>81</v>
      </c>
      <c r="AA507" s="6" t="s">
        <v>81</v>
      </c>
      <c r="AB507" s="6" t="s">
        <v>81</v>
      </c>
      <c r="AC507" s="6" t="s">
        <v>81</v>
      </c>
      <c r="AD507" s="21" t="s">
        <v>81</v>
      </c>
      <c r="AE507" s="6" t="s">
        <v>81</v>
      </c>
      <c r="AF507" s="6" t="s">
        <v>81</v>
      </c>
      <c r="AG507" s="6" t="s">
        <v>81</v>
      </c>
      <c r="AH507" s="6" t="s">
        <v>15097</v>
      </c>
      <c r="AI507" s="6" t="s">
        <v>81</v>
      </c>
      <c r="AJ507" s="6" t="s">
        <v>17640</v>
      </c>
      <c r="AK507" s="6" t="s">
        <v>18380</v>
      </c>
      <c r="AL507" s="6" t="s">
        <v>18444</v>
      </c>
      <c r="AM507" s="6" t="s">
        <v>18809</v>
      </c>
      <c r="AN507" s="6" t="s">
        <v>19648</v>
      </c>
      <c r="AO507" s="6" t="s">
        <v>19736</v>
      </c>
      <c r="AP507" s="6" t="s">
        <v>15097</v>
      </c>
      <c r="AQ507" s="6" t="s">
        <v>81</v>
      </c>
      <c r="AR507" s="6" t="s">
        <v>17640</v>
      </c>
      <c r="AS507" s="6" t="s">
        <v>18380</v>
      </c>
      <c r="AT507" s="6" t="s">
        <v>18444</v>
      </c>
      <c r="AU507" s="6" t="s">
        <v>18809</v>
      </c>
      <c r="AV507" s="6" t="s">
        <v>81</v>
      </c>
      <c r="AW507" s="6" t="s">
        <v>81</v>
      </c>
      <c r="AX507" s="6" t="s">
        <v>21080</v>
      </c>
      <c r="AY507" s="6" t="s">
        <v>81</v>
      </c>
      <c r="AZ507" s="6" t="s">
        <v>81</v>
      </c>
      <c r="BA507" s="6" t="s">
        <v>81</v>
      </c>
      <c r="BB507" s="24" t="n">
        <v>89</v>
      </c>
      <c r="BC507" s="26"/>
      <c r="BD507" s="26"/>
      <c r="BE507" s="26"/>
      <c r="BF507" s="26"/>
      <c r="BG507" s="26"/>
      <c r="BH507" s="26"/>
      <c r="BI507" s="26"/>
      <c r="BJ507" s="26"/>
      <c r="BK507" s="26"/>
      <c r="BL507" s="26"/>
      <c r="BM507" s="26"/>
      <c r="BN507" s="26"/>
      <c r="BO507" s="26"/>
      <c r="BP507" s="16" t="n">
        <v>45684</v>
      </c>
      <c r="BQ507" s="28" t="str">
        <f>HYPERLINK("https://organic.ams.usda.gov/Integrity/Certificate.aspx?cid=68&amp;nopid=8210002542")</f>
        <v>https://organic.ams.usda.gov/Integrity/Certificate.aspx?cid=68&amp;nopid=8210002542</v>
      </c>
    </row>
    <row r="508">
      <c r="A508" t="s">
        <v>3</v>
      </c>
      <c r="B508" s="6" t="s">
        <v>8</v>
      </c>
      <c r="C508" s="6" t="s">
        <v>55</v>
      </c>
      <c r="D508" s="6" t="s">
        <v>101</v>
      </c>
      <c r="E508" s="10" t="s">
        <v>649</v>
      </c>
      <c r="F508" s="6" t="s">
        <v>3384</v>
      </c>
      <c r="G508" s="6" t="s">
        <v>81</v>
      </c>
      <c r="H508" s="6" t="s">
        <v>6353</v>
      </c>
      <c r="I508" s="6" t="s">
        <v>8713</v>
      </c>
      <c r="J508" s="6" t="s">
        <v>9959</v>
      </c>
      <c r="K508" s="6" t="s">
        <v>10886</v>
      </c>
      <c r="L508" s="16" t="n">
        <v>42276</v>
      </c>
      <c r="M508" s="16" t="n">
        <v>45748</v>
      </c>
      <c r="N508" s="6" t="s">
        <v>10886</v>
      </c>
      <c r="O508" s="16" t="n">
        <v>42276</v>
      </c>
      <c r="P508" s="6" t="s">
        <v>11204</v>
      </c>
      <c r="Q508" s="6" t="s">
        <v>81</v>
      </c>
      <c r="R508" s="6" t="s">
        <v>6353</v>
      </c>
      <c r="S508" s="6" t="s">
        <v>10886</v>
      </c>
      <c r="T508" s="16" t="n">
        <v>42276</v>
      </c>
      <c r="U508" s="6" t="s">
        <v>13173</v>
      </c>
      <c r="V508" s="6" t="s">
        <v>81</v>
      </c>
      <c r="W508" s="6" t="s">
        <v>6353</v>
      </c>
      <c r="X508" s="6" t="s">
        <v>81</v>
      </c>
      <c r="Y508" s="21" t="s">
        <v>81</v>
      </c>
      <c r="Z508" s="6" t="s">
        <v>81</v>
      </c>
      <c r="AA508" s="6" t="s">
        <v>81</v>
      </c>
      <c r="AB508" s="6" t="s">
        <v>81</v>
      </c>
      <c r="AC508" s="6" t="s">
        <v>81</v>
      </c>
      <c r="AD508" s="21" t="s">
        <v>81</v>
      </c>
      <c r="AE508" s="6" t="s">
        <v>81</v>
      </c>
      <c r="AF508" s="6" t="s">
        <v>81</v>
      </c>
      <c r="AG508" s="6" t="s">
        <v>81</v>
      </c>
      <c r="AH508" s="6" t="s">
        <v>15098</v>
      </c>
      <c r="AI508" s="6" t="s">
        <v>81</v>
      </c>
      <c r="AJ508" s="6" t="s">
        <v>17376</v>
      </c>
      <c r="AK508" s="6" t="s">
        <v>18377</v>
      </c>
      <c r="AL508" s="6" t="s">
        <v>18444</v>
      </c>
      <c r="AM508" s="6" t="s">
        <v>18528</v>
      </c>
      <c r="AN508" s="6" t="s">
        <v>19661</v>
      </c>
      <c r="AO508" s="6" t="s">
        <v>19761</v>
      </c>
      <c r="AP508" s="6" t="s">
        <v>81</v>
      </c>
      <c r="AQ508" s="6" t="s">
        <v>81</v>
      </c>
      <c r="AR508" s="6" t="s">
        <v>81</v>
      </c>
      <c r="AS508" s="6" t="s">
        <v>81</v>
      </c>
      <c r="AT508" s="6" t="s">
        <v>81</v>
      </c>
      <c r="AU508" s="6" t="s">
        <v>81</v>
      </c>
      <c r="AV508" s="6" t="s">
        <v>81</v>
      </c>
      <c r="AW508" s="6" t="s">
        <v>81</v>
      </c>
      <c r="AX508" s="6" t="s">
        <v>81</v>
      </c>
      <c r="AY508" s="6" t="s">
        <v>81</v>
      </c>
      <c r="AZ508" s="6" t="s">
        <v>81</v>
      </c>
      <c r="BA508" s="6" t="s">
        <v>23819</v>
      </c>
      <c r="BB508" s="24" t="n">
        <v>201</v>
      </c>
      <c r="BC508" s="26"/>
      <c r="BD508" s="26"/>
      <c r="BE508" s="26"/>
      <c r="BF508" s="26" t="s">
        <v>23900</v>
      </c>
      <c r="BG508" s="26"/>
      <c r="BH508" s="26"/>
      <c r="BI508" s="26"/>
      <c r="BJ508" s="26"/>
      <c r="BK508" s="26"/>
      <c r="BL508" s="26"/>
      <c r="BM508" s="26"/>
      <c r="BN508" s="26"/>
      <c r="BO508" s="26"/>
      <c r="BP508" s="16" t="n">
        <v>45525</v>
      </c>
      <c r="BQ508" s="28" t="str">
        <f>HYPERLINK("https://organic.ams.usda.gov/Integrity/Certificate.aspx?cid=45&amp;nopid=9950008645")</f>
        <v>https://organic.ams.usda.gov/Integrity/Certificate.aspx?cid=45&amp;nopid=9950008645</v>
      </c>
    </row>
    <row r="509">
      <c r="A509" t="s">
        <v>3</v>
      </c>
      <c r="B509" s="6" t="s">
        <v>8</v>
      </c>
      <c r="C509" s="6" t="s">
        <v>55</v>
      </c>
      <c r="D509" s="6" t="s">
        <v>101</v>
      </c>
      <c r="E509" s="10" t="s">
        <v>650</v>
      </c>
      <c r="F509" s="6" t="s">
        <v>3385</v>
      </c>
      <c r="G509" s="6" t="s">
        <v>81</v>
      </c>
      <c r="H509" s="6" t="s">
        <v>6354</v>
      </c>
      <c r="I509" s="6" t="s">
        <v>8713</v>
      </c>
      <c r="J509" s="6" t="s">
        <v>9743</v>
      </c>
      <c r="K509" s="6" t="s">
        <v>10886</v>
      </c>
      <c r="L509" s="16" t="n">
        <v>42569</v>
      </c>
      <c r="M509" s="16" t="n">
        <v>45689</v>
      </c>
      <c r="N509" s="6" t="s">
        <v>10886</v>
      </c>
      <c r="O509" s="16" t="n">
        <v>42569</v>
      </c>
      <c r="P509" s="6" t="s">
        <v>11205</v>
      </c>
      <c r="Q509" s="6" t="s">
        <v>81</v>
      </c>
      <c r="R509" s="6" t="s">
        <v>6354</v>
      </c>
      <c r="S509" s="6" t="s">
        <v>10886</v>
      </c>
      <c r="T509" s="16" t="n">
        <v>42569</v>
      </c>
      <c r="U509" s="6" t="s">
        <v>13357</v>
      </c>
      <c r="V509" s="6" t="s">
        <v>81</v>
      </c>
      <c r="W509" s="6" t="s">
        <v>6354</v>
      </c>
      <c r="X509" s="6" t="s">
        <v>10893</v>
      </c>
      <c r="Y509" s="16" t="n">
        <v>43537</v>
      </c>
      <c r="Z509" s="6" t="s">
        <v>81</v>
      </c>
      <c r="AA509" s="6" t="s">
        <v>81</v>
      </c>
      <c r="AB509" s="6" t="s">
        <v>81</v>
      </c>
      <c r="AC509" s="6" t="s">
        <v>81</v>
      </c>
      <c r="AD509" s="21" t="s">
        <v>81</v>
      </c>
      <c r="AE509" s="6" t="s">
        <v>81</v>
      </c>
      <c r="AF509" s="6" t="s">
        <v>81</v>
      </c>
      <c r="AG509" s="6" t="s">
        <v>81</v>
      </c>
      <c r="AH509" s="6" t="s">
        <v>15099</v>
      </c>
      <c r="AI509" s="6" t="s">
        <v>81</v>
      </c>
      <c r="AJ509" s="6" t="s">
        <v>17641</v>
      </c>
      <c r="AK509" s="6" t="s">
        <v>18377</v>
      </c>
      <c r="AL509" s="6" t="s">
        <v>18444</v>
      </c>
      <c r="AM509" s="6" t="s">
        <v>18810</v>
      </c>
      <c r="AN509" s="6" t="s">
        <v>19646</v>
      </c>
      <c r="AO509" s="6" t="s">
        <v>19733</v>
      </c>
      <c r="AP509" s="6" t="s">
        <v>81</v>
      </c>
      <c r="AQ509" s="6" t="s">
        <v>81</v>
      </c>
      <c r="AR509" s="6" t="s">
        <v>81</v>
      </c>
      <c r="AS509" s="6" t="s">
        <v>81</v>
      </c>
      <c r="AT509" s="6" t="s">
        <v>81</v>
      </c>
      <c r="AU509" s="6" t="s">
        <v>81</v>
      </c>
      <c r="AV509" s="6" t="s">
        <v>81</v>
      </c>
      <c r="AW509" s="6" t="s">
        <v>81</v>
      </c>
      <c r="AX509" s="6" t="s">
        <v>81</v>
      </c>
      <c r="AY509" s="6" t="s">
        <v>81</v>
      </c>
      <c r="AZ509" s="6" t="s">
        <v>81</v>
      </c>
      <c r="BA509" s="6" t="s">
        <v>23819</v>
      </c>
      <c r="BB509" s="24" t="n">
        <v>68</v>
      </c>
      <c r="BC509" s="26"/>
      <c r="BD509" s="26"/>
      <c r="BE509" s="26"/>
      <c r="BF509" s="26" t="s">
        <v>23900</v>
      </c>
      <c r="BG509" s="26"/>
      <c r="BH509" s="26"/>
      <c r="BI509" s="26"/>
      <c r="BJ509" s="26"/>
      <c r="BK509" s="26"/>
      <c r="BL509" s="26"/>
      <c r="BM509" s="26"/>
      <c r="BN509" s="26"/>
      <c r="BO509" s="26"/>
      <c r="BP509" s="16" t="n">
        <v>45722</v>
      </c>
      <c r="BQ509" s="28" t="str">
        <f>HYPERLINK("https://organic.ams.usda.gov/Integrity/Certificate.aspx?cid=45&amp;nopid=9950009750")</f>
        <v>https://organic.ams.usda.gov/Integrity/Certificate.aspx?cid=45&amp;nopid=9950009750</v>
      </c>
    </row>
    <row r="510">
      <c r="A510" t="s">
        <v>3</v>
      </c>
      <c r="B510" s="6" t="s">
        <v>9</v>
      </c>
      <c r="C510" s="6" t="s">
        <v>56</v>
      </c>
      <c r="D510" s="6" t="s">
        <v>102</v>
      </c>
      <c r="E510" s="10" t="s">
        <v>651</v>
      </c>
      <c r="F510" s="6" t="s">
        <v>3385</v>
      </c>
      <c r="G510" s="6" t="s">
        <v>81</v>
      </c>
      <c r="H510" s="6" t="s">
        <v>6355</v>
      </c>
      <c r="I510" s="6" t="s">
        <v>8713</v>
      </c>
      <c r="J510" s="6" t="s">
        <v>9743</v>
      </c>
      <c r="K510" s="6" t="s">
        <v>10886</v>
      </c>
      <c r="L510" s="16" t="n">
        <v>41493</v>
      </c>
      <c r="M510" s="16" t="n">
        <v>45748</v>
      </c>
      <c r="N510" s="6" t="s">
        <v>10886</v>
      </c>
      <c r="O510" s="16" t="n">
        <v>41493</v>
      </c>
      <c r="P510" s="6" t="s">
        <v>10907</v>
      </c>
      <c r="Q510" s="6" t="s">
        <v>81</v>
      </c>
      <c r="R510" s="6" t="s">
        <v>12555</v>
      </c>
      <c r="S510" s="6" t="s">
        <v>10886</v>
      </c>
      <c r="T510" s="16" t="n">
        <v>41493</v>
      </c>
      <c r="U510" s="6" t="s">
        <v>13162</v>
      </c>
      <c r="V510" s="6" t="s">
        <v>81</v>
      </c>
      <c r="W510" s="6" t="s">
        <v>12555</v>
      </c>
      <c r="X510" s="6" t="s">
        <v>81</v>
      </c>
      <c r="Y510" s="21" t="s">
        <v>81</v>
      </c>
      <c r="Z510" s="6" t="s">
        <v>81</v>
      </c>
      <c r="AA510" s="6" t="s">
        <v>81</v>
      </c>
      <c r="AB510" s="6" t="s">
        <v>81</v>
      </c>
      <c r="AC510" s="6" t="s">
        <v>81</v>
      </c>
      <c r="AD510" s="21" t="s">
        <v>81</v>
      </c>
      <c r="AE510" s="6" t="s">
        <v>81</v>
      </c>
      <c r="AF510" s="6" t="s">
        <v>81</v>
      </c>
      <c r="AG510" s="6" t="s">
        <v>81</v>
      </c>
      <c r="AH510" s="6" t="s">
        <v>15100</v>
      </c>
      <c r="AI510" s="6" t="s">
        <v>81</v>
      </c>
      <c r="AJ510" s="6" t="s">
        <v>17642</v>
      </c>
      <c r="AK510" s="6" t="s">
        <v>18377</v>
      </c>
      <c r="AL510" s="6" t="s">
        <v>18444</v>
      </c>
      <c r="AM510" s="6" t="s">
        <v>18811</v>
      </c>
      <c r="AN510" s="6" t="s">
        <v>19694</v>
      </c>
      <c r="AO510" s="6" t="s">
        <v>19859</v>
      </c>
      <c r="AP510" s="6" t="s">
        <v>81</v>
      </c>
      <c r="AQ510" s="6" t="s">
        <v>81</v>
      </c>
      <c r="AR510" s="6" t="s">
        <v>81</v>
      </c>
      <c r="AS510" s="6" t="s">
        <v>81</v>
      </c>
      <c r="AT510" s="6" t="s">
        <v>81</v>
      </c>
      <c r="AU510" s="6" t="s">
        <v>81</v>
      </c>
      <c r="AV510" s="6" t="s">
        <v>81</v>
      </c>
      <c r="AW510" s="6" t="s">
        <v>81</v>
      </c>
      <c r="AX510" s="6" t="s">
        <v>21081</v>
      </c>
      <c r="AY510" s="6" t="s">
        <v>81</v>
      </c>
      <c r="AZ510" s="6" t="s">
        <v>81</v>
      </c>
      <c r="BA510" s="6" t="s">
        <v>81</v>
      </c>
      <c r="BB510" s="24" t="n">
        <v>88</v>
      </c>
      <c r="BC510" s="26"/>
      <c r="BD510" s="26"/>
      <c r="BE510" s="26"/>
      <c r="BF510" s="26"/>
      <c r="BG510" s="26"/>
      <c r="BH510" s="26"/>
      <c r="BI510" s="26"/>
      <c r="BJ510" s="26"/>
      <c r="BK510" s="26"/>
      <c r="BL510" s="26"/>
      <c r="BM510" s="26"/>
      <c r="BN510" s="26"/>
      <c r="BO510" s="26"/>
      <c r="BP510" s="16" t="n">
        <v>45738</v>
      </c>
      <c r="BQ510" s="28" t="str">
        <f>HYPERLINK("https://organic.ams.usda.gov/Integrity/Certificate.aspx?cid=52&amp;nopid=8431300526")</f>
        <v>https://organic.ams.usda.gov/Integrity/Certificate.aspx?cid=52&amp;nopid=8431300526</v>
      </c>
    </row>
    <row r="511">
      <c r="A511" t="s">
        <v>3</v>
      </c>
      <c r="B511" s="6" t="s">
        <v>11</v>
      </c>
      <c r="C511" s="6" t="s">
        <v>58</v>
      </c>
      <c r="D511" s="6" t="s">
        <v>104</v>
      </c>
      <c r="E511" s="10" t="s">
        <v>652</v>
      </c>
      <c r="F511" s="6" t="s">
        <v>3386</v>
      </c>
      <c r="G511" s="6" t="s">
        <v>5644</v>
      </c>
      <c r="H511" s="6" t="s">
        <v>81</v>
      </c>
      <c r="I511" s="6" t="s">
        <v>8717</v>
      </c>
      <c r="J511" s="6" t="s">
        <v>9755</v>
      </c>
      <c r="K511" s="6" t="s">
        <v>10886</v>
      </c>
      <c r="L511" s="16" t="n">
        <v>42159</v>
      </c>
      <c r="M511" s="16" t="n">
        <v>45748</v>
      </c>
      <c r="N511" s="6" t="s">
        <v>10886</v>
      </c>
      <c r="O511" s="16" t="n">
        <v>42159</v>
      </c>
      <c r="P511" s="6" t="s">
        <v>11206</v>
      </c>
      <c r="Q511" s="6" t="s">
        <v>81</v>
      </c>
      <c r="R511" s="6" t="s">
        <v>81</v>
      </c>
      <c r="S511" s="6" t="s">
        <v>10886</v>
      </c>
      <c r="T511" s="16" t="n">
        <v>42159</v>
      </c>
      <c r="U511" s="6" t="s">
        <v>13358</v>
      </c>
      <c r="V511" s="6" t="s">
        <v>81</v>
      </c>
      <c r="W511" s="6" t="s">
        <v>81</v>
      </c>
      <c r="X511" s="6" t="s">
        <v>81</v>
      </c>
      <c r="Y511" s="21" t="s">
        <v>81</v>
      </c>
      <c r="Z511" s="6" t="s">
        <v>81</v>
      </c>
      <c r="AA511" s="6" t="s">
        <v>81</v>
      </c>
      <c r="AB511" s="6" t="s">
        <v>81</v>
      </c>
      <c r="AC511" s="6" t="s">
        <v>10893</v>
      </c>
      <c r="AD511" s="16" t="n">
        <v>44419</v>
      </c>
      <c r="AE511" s="6" t="s">
        <v>81</v>
      </c>
      <c r="AF511" s="6" t="s">
        <v>81</v>
      </c>
      <c r="AG511" s="6" t="s">
        <v>81</v>
      </c>
      <c r="AH511" s="6" t="s">
        <v>15101</v>
      </c>
      <c r="AI511" s="6" t="s">
        <v>81</v>
      </c>
      <c r="AJ511" s="6" t="s">
        <v>17407</v>
      </c>
      <c r="AK511" s="6" t="s">
        <v>18377</v>
      </c>
      <c r="AL511" s="6" t="s">
        <v>18444</v>
      </c>
      <c r="AM511" s="6" t="s">
        <v>18563</v>
      </c>
      <c r="AN511" s="6" t="s">
        <v>19638</v>
      </c>
      <c r="AO511" s="6" t="s">
        <v>19724</v>
      </c>
      <c r="AP511" s="6" t="s">
        <v>15101</v>
      </c>
      <c r="AQ511" s="6" t="s">
        <v>81</v>
      </c>
      <c r="AR511" s="6" t="s">
        <v>17407</v>
      </c>
      <c r="AS511" s="6" t="s">
        <v>18377</v>
      </c>
      <c r="AT511" s="6" t="s">
        <v>18444</v>
      </c>
      <c r="AU511" s="6" t="s">
        <v>18563</v>
      </c>
      <c r="AV511" s="6" t="s">
        <v>81</v>
      </c>
      <c r="AW511" s="6" t="s">
        <v>81</v>
      </c>
      <c r="AX511" s="6" t="s">
        <v>81</v>
      </c>
      <c r="AY511" s="6" t="s">
        <v>81</v>
      </c>
      <c r="AZ511" s="6" t="s">
        <v>81</v>
      </c>
      <c r="BA511" s="6" t="s">
        <v>23820</v>
      </c>
      <c r="BB511" s="24" t="n">
        <v>79</v>
      </c>
      <c r="BC511" s="26"/>
      <c r="BD511" s="26"/>
      <c r="BE511" s="26"/>
      <c r="BF511" s="26"/>
      <c r="BG511" s="26"/>
      <c r="BH511" s="26"/>
      <c r="BI511" s="26"/>
      <c r="BJ511" s="26"/>
      <c r="BK511" s="26"/>
      <c r="BL511" s="26"/>
      <c r="BM511" s="26"/>
      <c r="BN511" s="26"/>
      <c r="BO511" s="26"/>
      <c r="BP511" s="16" t="n">
        <v>45674</v>
      </c>
      <c r="BQ511" s="28" t="str">
        <f>HYPERLINK("https://organic.ams.usda.gov/Integrity/Certificate.aspx?cid=46&amp;nopid=3671500011")</f>
        <v>https://organic.ams.usda.gov/Integrity/Certificate.aspx?cid=46&amp;nopid=3671500011</v>
      </c>
    </row>
    <row r="512">
      <c r="A512" t="s">
        <v>3</v>
      </c>
      <c r="B512" s="6" t="s">
        <v>11</v>
      </c>
      <c r="C512" s="6" t="s">
        <v>58</v>
      </c>
      <c r="D512" s="6" t="s">
        <v>104</v>
      </c>
      <c r="E512" s="10" t="s">
        <v>653</v>
      </c>
      <c r="F512" s="6" t="s">
        <v>3387</v>
      </c>
      <c r="G512" s="6" t="s">
        <v>81</v>
      </c>
      <c r="H512" s="6" t="s">
        <v>81</v>
      </c>
      <c r="I512" s="6" t="s">
        <v>8718</v>
      </c>
      <c r="J512" s="6" t="s">
        <v>9742</v>
      </c>
      <c r="K512" s="6" t="s">
        <v>10886</v>
      </c>
      <c r="L512" s="16" t="n">
        <v>43069</v>
      </c>
      <c r="M512" s="16" t="n">
        <v>45383</v>
      </c>
      <c r="N512" s="6" t="s">
        <v>10886</v>
      </c>
      <c r="O512" s="16" t="n">
        <v>43069</v>
      </c>
      <c r="P512" s="6" t="s">
        <v>11207</v>
      </c>
      <c r="Q512" s="6" t="s">
        <v>81</v>
      </c>
      <c r="R512" s="6" t="s">
        <v>81</v>
      </c>
      <c r="S512" s="6" t="s">
        <v>10886</v>
      </c>
      <c r="T512" s="16" t="n">
        <v>43069</v>
      </c>
      <c r="U512" s="6" t="s">
        <v>13359</v>
      </c>
      <c r="V512" s="6" t="s">
        <v>81</v>
      </c>
      <c r="W512" s="6" t="s">
        <v>81</v>
      </c>
      <c r="X512" s="6" t="s">
        <v>81</v>
      </c>
      <c r="Y512" s="21" t="s">
        <v>81</v>
      </c>
      <c r="Z512" s="6" t="s">
        <v>81</v>
      </c>
      <c r="AA512" s="6" t="s">
        <v>81</v>
      </c>
      <c r="AB512" s="6" t="s">
        <v>81</v>
      </c>
      <c r="AC512" s="6" t="s">
        <v>81</v>
      </c>
      <c r="AD512" s="21" t="s">
        <v>81</v>
      </c>
      <c r="AE512" s="6" t="s">
        <v>81</v>
      </c>
      <c r="AF512" s="6" t="s">
        <v>81</v>
      </c>
      <c r="AG512" s="6" t="s">
        <v>81</v>
      </c>
      <c r="AH512" s="6" t="s">
        <v>15102</v>
      </c>
      <c r="AI512" s="6" t="s">
        <v>81</v>
      </c>
      <c r="AJ512" s="6" t="s">
        <v>17643</v>
      </c>
      <c r="AK512" s="6" t="s">
        <v>18377</v>
      </c>
      <c r="AL512" s="6" t="s">
        <v>18444</v>
      </c>
      <c r="AM512" s="6" t="s">
        <v>18812</v>
      </c>
      <c r="AN512" s="6" t="s">
        <v>19646</v>
      </c>
      <c r="AO512" s="6" t="s">
        <v>19733</v>
      </c>
      <c r="AP512" s="6" t="s">
        <v>15102</v>
      </c>
      <c r="AQ512" s="6" t="s">
        <v>81</v>
      </c>
      <c r="AR512" s="6" t="s">
        <v>17643</v>
      </c>
      <c r="AS512" s="6" t="s">
        <v>18377</v>
      </c>
      <c r="AT512" s="6" t="s">
        <v>18444</v>
      </c>
      <c r="AU512" s="6" t="s">
        <v>18812</v>
      </c>
      <c r="AV512" s="6" t="s">
        <v>81</v>
      </c>
      <c r="AW512" s="6" t="s">
        <v>81</v>
      </c>
      <c r="AX512" s="6" t="s">
        <v>81</v>
      </c>
      <c r="AY512" s="6" t="s">
        <v>81</v>
      </c>
      <c r="AZ512" s="6" t="s">
        <v>81</v>
      </c>
      <c r="BA512" s="6" t="s">
        <v>23820</v>
      </c>
      <c r="BB512" s="24" t="n">
        <v>58</v>
      </c>
      <c r="BC512" s="26"/>
      <c r="BD512" s="26"/>
      <c r="BE512" s="26"/>
      <c r="BF512" s="26"/>
      <c r="BG512" s="26"/>
      <c r="BH512" s="26"/>
      <c r="BI512" s="26"/>
      <c r="BJ512" s="26"/>
      <c r="BK512" s="26"/>
      <c r="BL512" s="26"/>
      <c r="BM512" s="26"/>
      <c r="BN512" s="26"/>
      <c r="BO512" s="26"/>
      <c r="BP512" s="16" t="n">
        <v>45442</v>
      </c>
      <c r="BQ512" s="28" t="str">
        <f>HYPERLINK("https://organic.ams.usda.gov/Integrity/Certificate.aspx?cid=46&amp;nopid=3671700111")</f>
        <v>https://organic.ams.usda.gov/Integrity/Certificate.aspx?cid=46&amp;nopid=3671700111</v>
      </c>
    </row>
    <row r="513">
      <c r="A513" t="s">
        <v>3</v>
      </c>
      <c r="B513" s="6" t="s">
        <v>7</v>
      </c>
      <c r="C513" s="6" t="s">
        <v>54</v>
      </c>
      <c r="D513" s="6" t="s">
        <v>100</v>
      </c>
      <c r="E513" s="10" t="s">
        <v>654</v>
      </c>
      <c r="F513" s="6" t="s">
        <v>3388</v>
      </c>
      <c r="G513" s="6" t="s">
        <v>81</v>
      </c>
      <c r="H513" s="6" t="s">
        <v>6356</v>
      </c>
      <c r="I513" s="6" t="s">
        <v>8713</v>
      </c>
      <c r="J513" s="6" t="s">
        <v>9665</v>
      </c>
      <c r="K513" s="6" t="s">
        <v>10886</v>
      </c>
      <c r="L513" s="16" t="n">
        <v>43055</v>
      </c>
      <c r="M513" s="16" t="n">
        <v>45716</v>
      </c>
      <c r="N513" s="6" t="s">
        <v>10886</v>
      </c>
      <c r="O513" s="16" t="n">
        <v>43055</v>
      </c>
      <c r="P513" s="6" t="s">
        <v>11208</v>
      </c>
      <c r="Q513" s="6" t="s">
        <v>81</v>
      </c>
      <c r="R513" s="6" t="s">
        <v>81</v>
      </c>
      <c r="S513" s="6" t="s">
        <v>10886</v>
      </c>
      <c r="T513" s="16" t="n">
        <v>43662</v>
      </c>
      <c r="U513" s="6" t="s">
        <v>13169</v>
      </c>
      <c r="V513" s="6" t="s">
        <v>81</v>
      </c>
      <c r="W513" s="6" t="s">
        <v>81</v>
      </c>
      <c r="X513" s="6" t="s">
        <v>81</v>
      </c>
      <c r="Y513" s="21" t="s">
        <v>81</v>
      </c>
      <c r="Z513" s="6" t="s">
        <v>81</v>
      </c>
      <c r="AA513" s="6" t="s">
        <v>81</v>
      </c>
      <c r="AB513" s="6" t="s">
        <v>81</v>
      </c>
      <c r="AC513" s="6" t="s">
        <v>81</v>
      </c>
      <c r="AD513" s="21" t="s">
        <v>81</v>
      </c>
      <c r="AE513" s="6" t="s">
        <v>81</v>
      </c>
      <c r="AF513" s="6" t="s">
        <v>81</v>
      </c>
      <c r="AG513" s="6" t="s">
        <v>81</v>
      </c>
      <c r="AH513" s="6" t="s">
        <v>15103</v>
      </c>
      <c r="AI513" s="6" t="s">
        <v>81</v>
      </c>
      <c r="AJ513" s="6" t="s">
        <v>17644</v>
      </c>
      <c r="AK513" s="6" t="s">
        <v>17712</v>
      </c>
      <c r="AL513" s="6" t="s">
        <v>18444</v>
      </c>
      <c r="AM513" s="6" t="s">
        <v>18813</v>
      </c>
      <c r="AN513" s="6" t="s">
        <v>19684</v>
      </c>
      <c r="AO513" s="6" t="s">
        <v>19784</v>
      </c>
      <c r="AP513" s="6" t="s">
        <v>15103</v>
      </c>
      <c r="AQ513" s="6" t="s">
        <v>81</v>
      </c>
      <c r="AR513" s="6" t="s">
        <v>17644</v>
      </c>
      <c r="AS513" s="6" t="s">
        <v>17712</v>
      </c>
      <c r="AT513" s="6" t="s">
        <v>18444</v>
      </c>
      <c r="AU513" s="6" t="s">
        <v>18813</v>
      </c>
      <c r="AV513" s="6" t="s">
        <v>81</v>
      </c>
      <c r="AW513" s="6" t="s">
        <v>81</v>
      </c>
      <c r="AX513" s="6" t="s">
        <v>81</v>
      </c>
      <c r="AY513" s="6" t="s">
        <v>81</v>
      </c>
      <c r="AZ513" s="6" t="s">
        <v>81</v>
      </c>
      <c r="BA513" s="6" t="s">
        <v>81</v>
      </c>
      <c r="BB513" s="24" t="n">
        <v>48</v>
      </c>
      <c r="BC513" s="26"/>
      <c r="BD513" s="26"/>
      <c r="BE513" s="26"/>
      <c r="BF513" s="26" t="s">
        <v>23900</v>
      </c>
      <c r="BG513" s="26"/>
      <c r="BH513" s="26"/>
      <c r="BI513" s="26"/>
      <c r="BJ513" s="26"/>
      <c r="BK513" s="26"/>
      <c r="BL513" s="26"/>
      <c r="BM513" s="26"/>
      <c r="BN513" s="26"/>
      <c r="BO513" s="26"/>
      <c r="BP513" s="16" t="n">
        <v>45595</v>
      </c>
      <c r="BQ513" s="28" t="str">
        <f>HYPERLINK("https://organic.ams.usda.gov/Integrity/Certificate.aspx?cid=57&amp;nopid=3252017137")</f>
        <v>https://organic.ams.usda.gov/Integrity/Certificate.aspx?cid=57&amp;nopid=3252017137</v>
      </c>
    </row>
    <row r="514">
      <c r="A514" t="s">
        <v>3</v>
      </c>
      <c r="B514" s="6" t="s">
        <v>10</v>
      </c>
      <c r="C514" s="6" t="s">
        <v>57</v>
      </c>
      <c r="D514" s="6" t="s">
        <v>103</v>
      </c>
      <c r="E514" s="10" t="s">
        <v>655</v>
      </c>
      <c r="F514" s="6" t="s">
        <v>3389</v>
      </c>
      <c r="G514" s="6" t="s">
        <v>81</v>
      </c>
      <c r="H514" s="6" t="s">
        <v>6357</v>
      </c>
      <c r="I514" s="6" t="s">
        <v>8719</v>
      </c>
      <c r="J514" s="6" t="s">
        <v>9742</v>
      </c>
      <c r="K514" s="6" t="s">
        <v>10886</v>
      </c>
      <c r="L514" s="16" t="n">
        <v>43738</v>
      </c>
      <c r="M514" s="16" t="n">
        <v>45748</v>
      </c>
      <c r="N514" s="6" t="s">
        <v>10886</v>
      </c>
      <c r="O514" s="16" t="n">
        <v>43738</v>
      </c>
      <c r="P514" s="6" t="s">
        <v>11209</v>
      </c>
      <c r="Q514" s="6" t="s">
        <v>81</v>
      </c>
      <c r="R514" s="6" t="s">
        <v>12556</v>
      </c>
      <c r="S514" s="6" t="s">
        <v>10886</v>
      </c>
      <c r="T514" s="16" t="n">
        <v>43738</v>
      </c>
      <c r="U514" s="6" t="s">
        <v>13234</v>
      </c>
      <c r="V514" s="6" t="s">
        <v>81</v>
      </c>
      <c r="W514" s="6" t="s">
        <v>81</v>
      </c>
      <c r="X514" s="6" t="s">
        <v>81</v>
      </c>
      <c r="Y514" s="21" t="s">
        <v>81</v>
      </c>
      <c r="Z514" s="6" t="s">
        <v>81</v>
      </c>
      <c r="AA514" s="6" t="s">
        <v>81</v>
      </c>
      <c r="AB514" s="6" t="s">
        <v>81</v>
      </c>
      <c r="AC514" s="6" t="s">
        <v>81</v>
      </c>
      <c r="AD514" s="21" t="s">
        <v>81</v>
      </c>
      <c r="AE514" s="6" t="s">
        <v>81</v>
      </c>
      <c r="AF514" s="6" t="s">
        <v>81</v>
      </c>
      <c r="AG514" s="6" t="s">
        <v>81</v>
      </c>
      <c r="AH514" s="6" t="s">
        <v>15104</v>
      </c>
      <c r="AI514" s="6" t="s">
        <v>81</v>
      </c>
      <c r="AJ514" s="6" t="s">
        <v>17635</v>
      </c>
      <c r="AK514" s="6" t="s">
        <v>18379</v>
      </c>
      <c r="AL514" s="6" t="s">
        <v>18444</v>
      </c>
      <c r="AM514" s="6" t="s">
        <v>18804</v>
      </c>
      <c r="AN514" s="6" t="s">
        <v>19637</v>
      </c>
      <c r="AO514" s="6" t="s">
        <v>19723</v>
      </c>
      <c r="AP514" s="6" t="s">
        <v>15104</v>
      </c>
      <c r="AQ514" s="6" t="s">
        <v>81</v>
      </c>
      <c r="AR514" s="6" t="s">
        <v>17635</v>
      </c>
      <c r="AS514" s="6" t="s">
        <v>18379</v>
      </c>
      <c r="AT514" s="6" t="s">
        <v>18444</v>
      </c>
      <c r="AU514" s="6" t="s">
        <v>18804</v>
      </c>
      <c r="AV514" s="6" t="s">
        <v>81</v>
      </c>
      <c r="AW514" s="6" t="s">
        <v>81</v>
      </c>
      <c r="AX514" s="6" t="s">
        <v>21082</v>
      </c>
      <c r="AY514" s="6" t="s">
        <v>81</v>
      </c>
      <c r="AZ514" s="6" t="s">
        <v>81</v>
      </c>
      <c r="BA514" s="6" t="s">
        <v>81</v>
      </c>
      <c r="BB514" s="24" t="n">
        <v>66</v>
      </c>
      <c r="BC514" s="26"/>
      <c r="BD514" s="26"/>
      <c r="BE514" s="26"/>
      <c r="BF514" s="26"/>
      <c r="BG514" s="26"/>
      <c r="BH514" s="26"/>
      <c r="BI514" s="26"/>
      <c r="BJ514" s="26"/>
      <c r="BK514" s="26"/>
      <c r="BL514" s="26"/>
      <c r="BM514" s="26"/>
      <c r="BN514" s="26"/>
      <c r="BO514" s="26"/>
      <c r="BP514" s="16" t="n">
        <v>45730</v>
      </c>
      <c r="BQ514" s="28" t="str">
        <f>HYPERLINK("https://organic.ams.usda.gov/Integrity/Certificate.aspx?cid=90&amp;nopid=7170019043")</f>
        <v>https://organic.ams.usda.gov/Integrity/Certificate.aspx?cid=90&amp;nopid=7170019043</v>
      </c>
    </row>
    <row r="515">
      <c r="A515" t="s">
        <v>3</v>
      </c>
      <c r="B515" s="6" t="s">
        <v>30</v>
      </c>
      <c r="C515" s="6" t="s">
        <v>77</v>
      </c>
      <c r="D515" s="6" t="s">
        <v>123</v>
      </c>
      <c r="E515" s="10" t="s">
        <v>656</v>
      </c>
      <c r="F515" s="6" t="s">
        <v>3390</v>
      </c>
      <c r="G515" s="6" t="s">
        <v>81</v>
      </c>
      <c r="H515" s="6" t="s">
        <v>6358</v>
      </c>
      <c r="I515" s="6" t="s">
        <v>8720</v>
      </c>
      <c r="J515" s="6" t="s">
        <v>9960</v>
      </c>
      <c r="K515" s="6" t="s">
        <v>10886</v>
      </c>
      <c r="L515" s="16" t="n">
        <v>44553</v>
      </c>
      <c r="M515" s="16" t="n">
        <v>45747</v>
      </c>
      <c r="N515" s="6" t="s">
        <v>10886</v>
      </c>
      <c r="O515" s="16" t="n">
        <v>44553</v>
      </c>
      <c r="P515" s="6" t="s">
        <v>10907</v>
      </c>
      <c r="Q515" s="6" t="s">
        <v>81</v>
      </c>
      <c r="R515" s="6" t="s">
        <v>12557</v>
      </c>
      <c r="S515" s="6" t="s">
        <v>10886</v>
      </c>
      <c r="T515" s="16" t="n">
        <v>44610</v>
      </c>
      <c r="U515" s="6" t="s">
        <v>13218</v>
      </c>
      <c r="V515" s="6" t="s">
        <v>81</v>
      </c>
      <c r="W515" s="6" t="s">
        <v>81</v>
      </c>
      <c r="X515" s="6" t="s">
        <v>81</v>
      </c>
      <c r="Y515" s="21" t="s">
        <v>81</v>
      </c>
      <c r="Z515" s="6" t="s">
        <v>81</v>
      </c>
      <c r="AA515" s="6" t="s">
        <v>81</v>
      </c>
      <c r="AB515" s="6" t="s">
        <v>81</v>
      </c>
      <c r="AC515" s="6" t="s">
        <v>81</v>
      </c>
      <c r="AD515" s="21" t="s">
        <v>81</v>
      </c>
      <c r="AE515" s="6" t="s">
        <v>81</v>
      </c>
      <c r="AF515" s="6" t="s">
        <v>81</v>
      </c>
      <c r="AG515" s="6" t="s">
        <v>81</v>
      </c>
      <c r="AH515" s="6" t="s">
        <v>15105</v>
      </c>
      <c r="AI515" s="6" t="s">
        <v>81</v>
      </c>
      <c r="AJ515" s="6" t="s">
        <v>17410</v>
      </c>
      <c r="AK515" s="6" t="s">
        <v>17712</v>
      </c>
      <c r="AL515" s="6" t="s">
        <v>18444</v>
      </c>
      <c r="AM515" s="6" t="s">
        <v>18566</v>
      </c>
      <c r="AN515" s="6" t="s">
        <v>19670</v>
      </c>
      <c r="AO515" s="6" t="s">
        <v>19782</v>
      </c>
      <c r="AP515" s="6" t="s">
        <v>15105</v>
      </c>
      <c r="AQ515" s="6" t="s">
        <v>81</v>
      </c>
      <c r="AR515" s="6" t="s">
        <v>17410</v>
      </c>
      <c r="AS515" s="6" t="s">
        <v>17712</v>
      </c>
      <c r="AT515" s="6" t="s">
        <v>18444</v>
      </c>
      <c r="AU515" s="6" t="s">
        <v>18566</v>
      </c>
      <c r="AV515" s="6" t="s">
        <v>81</v>
      </c>
      <c r="AW515" s="6" t="s">
        <v>81</v>
      </c>
      <c r="AX515" s="6" t="s">
        <v>81</v>
      </c>
      <c r="AY515" s="6" t="s">
        <v>81</v>
      </c>
      <c r="AZ515" s="6" t="s">
        <v>81</v>
      </c>
      <c r="BA515" s="6" t="s">
        <v>81</v>
      </c>
      <c r="BB515" s="24" t="n">
        <v>73</v>
      </c>
      <c r="BC515" s="26"/>
      <c r="BD515" s="26"/>
      <c r="BE515" s="26"/>
      <c r="BF515" s="26"/>
      <c r="BG515" s="26"/>
      <c r="BH515" s="26"/>
      <c r="BI515" s="26"/>
      <c r="BJ515" s="26"/>
      <c r="BK515" s="26"/>
      <c r="BL515" s="26"/>
      <c r="BM515" s="26"/>
      <c r="BN515" s="26"/>
      <c r="BO515" s="26"/>
      <c r="BP515" s="16" t="n">
        <v>45573</v>
      </c>
      <c r="BQ515" s="28" t="str">
        <f>HYPERLINK("https://organic.ams.usda.gov/Integrity/Certificate.aspx?cid=70&amp;nopid=6432117890")</f>
        <v>https://organic.ams.usda.gov/Integrity/Certificate.aspx?cid=70&amp;nopid=6432117890</v>
      </c>
    </row>
    <row r="516">
      <c r="A516" t="s">
        <v>3</v>
      </c>
      <c r="B516" s="6" t="s">
        <v>10</v>
      </c>
      <c r="C516" s="6" t="s">
        <v>57</v>
      </c>
      <c r="D516" s="6" t="s">
        <v>103</v>
      </c>
      <c r="E516" s="10" t="s">
        <v>657</v>
      </c>
      <c r="F516" s="6" t="s">
        <v>3391</v>
      </c>
      <c r="G516" s="6" t="s">
        <v>81</v>
      </c>
      <c r="H516" s="6" t="s">
        <v>6359</v>
      </c>
      <c r="I516" s="6" t="s">
        <v>8713</v>
      </c>
      <c r="J516" s="6" t="s">
        <v>9670</v>
      </c>
      <c r="K516" s="6" t="s">
        <v>10886</v>
      </c>
      <c r="L516" s="16" t="n">
        <v>42472</v>
      </c>
      <c r="M516" s="16" t="n">
        <v>45748</v>
      </c>
      <c r="N516" s="6" t="s">
        <v>10886</v>
      </c>
      <c r="O516" s="16" t="n">
        <v>42472</v>
      </c>
      <c r="P516" s="6" t="s">
        <v>10910</v>
      </c>
      <c r="Q516" s="6" t="s">
        <v>81</v>
      </c>
      <c r="R516" s="6" t="s">
        <v>12558</v>
      </c>
      <c r="S516" s="6" t="s">
        <v>10886</v>
      </c>
      <c r="T516" s="16" t="n">
        <v>42472</v>
      </c>
      <c r="U516" s="6" t="s">
        <v>13360</v>
      </c>
      <c r="V516" s="6" t="s">
        <v>81</v>
      </c>
      <c r="W516" s="6" t="s">
        <v>81</v>
      </c>
      <c r="X516" s="6" t="s">
        <v>81</v>
      </c>
      <c r="Y516" s="21" t="s">
        <v>81</v>
      </c>
      <c r="Z516" s="6" t="s">
        <v>81</v>
      </c>
      <c r="AA516" s="6" t="s">
        <v>81</v>
      </c>
      <c r="AB516" s="6" t="s">
        <v>81</v>
      </c>
      <c r="AC516" s="6" t="s">
        <v>81</v>
      </c>
      <c r="AD516" s="21" t="s">
        <v>81</v>
      </c>
      <c r="AE516" s="6" t="s">
        <v>81</v>
      </c>
      <c r="AF516" s="6" t="s">
        <v>81</v>
      </c>
      <c r="AG516" s="6" t="s">
        <v>81</v>
      </c>
      <c r="AH516" s="6" t="s">
        <v>15106</v>
      </c>
      <c r="AI516" s="6" t="s">
        <v>81</v>
      </c>
      <c r="AJ516" s="6" t="s">
        <v>17335</v>
      </c>
      <c r="AK516" s="6" t="s">
        <v>18378</v>
      </c>
      <c r="AL516" s="6" t="s">
        <v>18444</v>
      </c>
      <c r="AM516" s="6" t="s">
        <v>18489</v>
      </c>
      <c r="AN516" s="6" t="s">
        <v>19640</v>
      </c>
      <c r="AO516" s="6" t="s">
        <v>19726</v>
      </c>
      <c r="AP516" s="6" t="s">
        <v>15106</v>
      </c>
      <c r="AQ516" s="6" t="s">
        <v>81</v>
      </c>
      <c r="AR516" s="6" t="s">
        <v>17335</v>
      </c>
      <c r="AS516" s="6" t="s">
        <v>18378</v>
      </c>
      <c r="AT516" s="6" t="s">
        <v>18444</v>
      </c>
      <c r="AU516" s="6" t="s">
        <v>18489</v>
      </c>
      <c r="AV516" s="6" t="s">
        <v>81</v>
      </c>
      <c r="AW516" s="6" t="s">
        <v>81</v>
      </c>
      <c r="AX516" s="6" t="s">
        <v>21083</v>
      </c>
      <c r="AY516" s="6" t="s">
        <v>81</v>
      </c>
      <c r="AZ516" s="6" t="s">
        <v>81</v>
      </c>
      <c r="BA516" s="6" t="s">
        <v>81</v>
      </c>
      <c r="BB516" s="24" t="n">
        <v>106</v>
      </c>
      <c r="BC516" s="26"/>
      <c r="BD516" s="26"/>
      <c r="BE516" s="26"/>
      <c r="BF516" s="26"/>
      <c r="BG516" s="26"/>
      <c r="BH516" s="26"/>
      <c r="BI516" s="26"/>
      <c r="BJ516" s="26"/>
      <c r="BK516" s="26"/>
      <c r="BL516" s="26"/>
      <c r="BM516" s="26"/>
      <c r="BN516" s="26"/>
      <c r="BO516" s="26"/>
      <c r="BP516" s="16" t="n">
        <v>45730</v>
      </c>
      <c r="BQ516" s="28" t="str">
        <f>HYPERLINK("https://organic.ams.usda.gov/Integrity/Certificate.aspx?cid=90&amp;nopid=7170230640")</f>
        <v>https://organic.ams.usda.gov/Integrity/Certificate.aspx?cid=90&amp;nopid=7170230640</v>
      </c>
    </row>
    <row r="517">
      <c r="A517" t="s">
        <v>3</v>
      </c>
      <c r="B517" s="6" t="s">
        <v>9</v>
      </c>
      <c r="C517" s="6" t="s">
        <v>56</v>
      </c>
      <c r="D517" s="6" t="s">
        <v>102</v>
      </c>
      <c r="E517" s="10" t="s">
        <v>658</v>
      </c>
      <c r="F517" s="6" t="s">
        <v>3392</v>
      </c>
      <c r="G517" s="6" t="s">
        <v>81</v>
      </c>
      <c r="H517" s="6" t="s">
        <v>6185</v>
      </c>
      <c r="I517" s="6" t="s">
        <v>8713</v>
      </c>
      <c r="J517" s="6" t="s">
        <v>9741</v>
      </c>
      <c r="K517" s="6" t="s">
        <v>10886</v>
      </c>
      <c r="L517" s="16" t="n">
        <v>45288</v>
      </c>
      <c r="M517" s="16" t="n">
        <v>46113</v>
      </c>
      <c r="N517" s="6" t="s">
        <v>10886</v>
      </c>
      <c r="O517" s="16" t="n">
        <v>45288</v>
      </c>
      <c r="P517" s="6" t="s">
        <v>11210</v>
      </c>
      <c r="Q517" s="6" t="s">
        <v>81</v>
      </c>
      <c r="R517" s="6" t="s">
        <v>12559</v>
      </c>
      <c r="S517" s="6" t="s">
        <v>10886</v>
      </c>
      <c r="T517" s="16" t="n">
        <v>45288</v>
      </c>
      <c r="U517" s="6" t="s">
        <v>13168</v>
      </c>
      <c r="V517" s="6" t="s">
        <v>81</v>
      </c>
      <c r="W517" s="6" t="s">
        <v>12559</v>
      </c>
      <c r="X517" s="6" t="s">
        <v>81</v>
      </c>
      <c r="Y517" s="21" t="s">
        <v>81</v>
      </c>
      <c r="Z517" s="6" t="s">
        <v>81</v>
      </c>
      <c r="AA517" s="6" t="s">
        <v>81</v>
      </c>
      <c r="AB517" s="6" t="s">
        <v>81</v>
      </c>
      <c r="AC517" s="6" t="s">
        <v>81</v>
      </c>
      <c r="AD517" s="21" t="s">
        <v>81</v>
      </c>
      <c r="AE517" s="6" t="s">
        <v>81</v>
      </c>
      <c r="AF517" s="6" t="s">
        <v>81</v>
      </c>
      <c r="AG517" s="6" t="s">
        <v>81</v>
      </c>
      <c r="AH517" s="6" t="s">
        <v>15107</v>
      </c>
      <c r="AI517" s="6" t="s">
        <v>81</v>
      </c>
      <c r="AJ517" s="6" t="s">
        <v>17317</v>
      </c>
      <c r="AK517" s="6" t="s">
        <v>18380</v>
      </c>
      <c r="AL517" s="6" t="s">
        <v>18444</v>
      </c>
      <c r="AM517" s="6" t="s">
        <v>18469</v>
      </c>
      <c r="AN517" s="6" t="s">
        <v>81</v>
      </c>
      <c r="AO517" s="6" t="s">
        <v>81</v>
      </c>
      <c r="AP517" s="6" t="s">
        <v>81</v>
      </c>
      <c r="AQ517" s="6" t="s">
        <v>81</v>
      </c>
      <c r="AR517" s="6" t="s">
        <v>81</v>
      </c>
      <c r="AS517" s="6" t="s">
        <v>81</v>
      </c>
      <c r="AT517" s="6" t="s">
        <v>81</v>
      </c>
      <c r="AU517" s="6" t="s">
        <v>81</v>
      </c>
      <c r="AV517" s="6" t="s">
        <v>81</v>
      </c>
      <c r="AW517" s="6" t="s">
        <v>81</v>
      </c>
      <c r="AX517" s="6" t="s">
        <v>81</v>
      </c>
      <c r="AY517" s="6" t="s">
        <v>81</v>
      </c>
      <c r="AZ517" s="6" t="s">
        <v>81</v>
      </c>
      <c r="BA517" s="6" t="s">
        <v>81</v>
      </c>
      <c r="BB517" s="24" t="n">
        <v>95</v>
      </c>
      <c r="BC517" s="26"/>
      <c r="BD517" s="26"/>
      <c r="BE517" s="26"/>
      <c r="BF517" s="26"/>
      <c r="BG517" s="26"/>
      <c r="BH517" s="26"/>
      <c r="BI517" s="26"/>
      <c r="BJ517" s="26"/>
      <c r="BK517" s="26"/>
      <c r="BL517" s="26"/>
      <c r="BM517" s="26"/>
      <c r="BN517" s="26"/>
      <c r="BO517" s="26"/>
      <c r="BP517" s="16" t="n">
        <v>45738</v>
      </c>
      <c r="BQ517" s="28" t="str">
        <f>HYPERLINK("https://organic.ams.usda.gov/Integrity/Certificate.aspx?cid=52&amp;nopid=8432302173")</f>
        <v>https://organic.ams.usda.gov/Integrity/Certificate.aspx?cid=52&amp;nopid=8432302173</v>
      </c>
    </row>
    <row r="518">
      <c r="A518" t="s">
        <v>3</v>
      </c>
      <c r="B518" s="6" t="s">
        <v>9</v>
      </c>
      <c r="C518" s="6" t="s">
        <v>56</v>
      </c>
      <c r="D518" s="6" t="s">
        <v>102</v>
      </c>
      <c r="E518" s="10" t="s">
        <v>659</v>
      </c>
      <c r="F518" s="6" t="s">
        <v>3393</v>
      </c>
      <c r="G518" s="6" t="s">
        <v>81</v>
      </c>
      <c r="H518" s="6" t="s">
        <v>6360</v>
      </c>
      <c r="I518" s="6" t="s">
        <v>81</v>
      </c>
      <c r="J518" s="6" t="s">
        <v>81</v>
      </c>
      <c r="K518" s="6" t="s">
        <v>10886</v>
      </c>
      <c r="L518" s="16" t="n">
        <v>42009</v>
      </c>
      <c r="M518" s="16" t="n">
        <v>46113</v>
      </c>
      <c r="N518" s="6" t="s">
        <v>10886</v>
      </c>
      <c r="O518" s="16" t="n">
        <v>42009</v>
      </c>
      <c r="P518" s="6" t="s">
        <v>10939</v>
      </c>
      <c r="Q518" s="6" t="s">
        <v>81</v>
      </c>
      <c r="R518" s="6" t="s">
        <v>12560</v>
      </c>
      <c r="S518" s="6" t="s">
        <v>10886</v>
      </c>
      <c r="T518" s="16" t="n">
        <v>42009</v>
      </c>
      <c r="U518" s="6" t="s">
        <v>13361</v>
      </c>
      <c r="V518" s="6" t="s">
        <v>81</v>
      </c>
      <c r="W518" s="6" t="s">
        <v>12560</v>
      </c>
      <c r="X518" s="6" t="s">
        <v>81</v>
      </c>
      <c r="Y518" s="21" t="s">
        <v>81</v>
      </c>
      <c r="Z518" s="6" t="s">
        <v>81</v>
      </c>
      <c r="AA518" s="6" t="s">
        <v>81</v>
      </c>
      <c r="AB518" s="6" t="s">
        <v>81</v>
      </c>
      <c r="AC518" s="6" t="s">
        <v>81</v>
      </c>
      <c r="AD518" s="21" t="s">
        <v>81</v>
      </c>
      <c r="AE518" s="6" t="s">
        <v>81</v>
      </c>
      <c r="AF518" s="6" t="s">
        <v>81</v>
      </c>
      <c r="AG518" s="6" t="s">
        <v>81</v>
      </c>
      <c r="AH518" s="6" t="s">
        <v>15108</v>
      </c>
      <c r="AI518" s="6" t="s">
        <v>81</v>
      </c>
      <c r="AJ518" s="6" t="s">
        <v>17645</v>
      </c>
      <c r="AK518" s="6" t="s">
        <v>18379</v>
      </c>
      <c r="AL518" s="6" t="s">
        <v>18444</v>
      </c>
      <c r="AM518" s="6" t="s">
        <v>18814</v>
      </c>
      <c r="AN518" s="6" t="s">
        <v>19654</v>
      </c>
      <c r="AO518" s="6" t="s">
        <v>19765</v>
      </c>
      <c r="AP518" s="6" t="s">
        <v>81</v>
      </c>
      <c r="AQ518" s="6" t="s">
        <v>81</v>
      </c>
      <c r="AR518" s="6" t="s">
        <v>81</v>
      </c>
      <c r="AS518" s="6" t="s">
        <v>81</v>
      </c>
      <c r="AT518" s="6" t="s">
        <v>81</v>
      </c>
      <c r="AU518" s="6" t="s">
        <v>81</v>
      </c>
      <c r="AV518" s="6" t="s">
        <v>81</v>
      </c>
      <c r="AW518" s="6" t="s">
        <v>81</v>
      </c>
      <c r="AX518" s="6" t="s">
        <v>21084</v>
      </c>
      <c r="AY518" s="6" t="s">
        <v>81</v>
      </c>
      <c r="AZ518" s="6" t="s">
        <v>81</v>
      </c>
      <c r="BA518" s="6" t="s">
        <v>81</v>
      </c>
      <c r="BB518" s="24" t="n">
        <v>78</v>
      </c>
      <c r="BC518" s="26"/>
      <c r="BD518" s="26"/>
      <c r="BE518" s="26"/>
      <c r="BF518" s="26"/>
      <c r="BG518" s="26"/>
      <c r="BH518" s="26"/>
      <c r="BI518" s="26"/>
      <c r="BJ518" s="26"/>
      <c r="BK518" s="26"/>
      <c r="BL518" s="26"/>
      <c r="BM518" s="26"/>
      <c r="BN518" s="26"/>
      <c r="BO518" s="26"/>
      <c r="BP518" s="16" t="n">
        <v>45738</v>
      </c>
      <c r="BQ518" s="28" t="str">
        <f>HYPERLINK("https://organic.ams.usda.gov/Integrity/Certificate.aspx?cid=52&amp;nopid=8431400911")</f>
        <v>https://organic.ams.usda.gov/Integrity/Certificate.aspx?cid=52&amp;nopid=8431400911</v>
      </c>
    </row>
    <row r="519">
      <c r="A519" t="s">
        <v>3</v>
      </c>
      <c r="B519" s="6" t="s">
        <v>7</v>
      </c>
      <c r="C519" s="6" t="s">
        <v>54</v>
      </c>
      <c r="D519" s="6" t="s">
        <v>100</v>
      </c>
      <c r="E519" s="10" t="s">
        <v>660</v>
      </c>
      <c r="F519" s="6" t="s">
        <v>3394</v>
      </c>
      <c r="G519" s="6" t="s">
        <v>81</v>
      </c>
      <c r="H519" s="6" t="s">
        <v>6361</v>
      </c>
      <c r="I519" s="6" t="s">
        <v>8713</v>
      </c>
      <c r="J519" s="6" t="s">
        <v>9666</v>
      </c>
      <c r="K519" s="6" t="s">
        <v>10886</v>
      </c>
      <c r="L519" s="16" t="n">
        <v>45190</v>
      </c>
      <c r="M519" s="16" t="n">
        <v>45716</v>
      </c>
      <c r="N519" s="6" t="s">
        <v>10886</v>
      </c>
      <c r="O519" s="16" t="n">
        <v>45190</v>
      </c>
      <c r="P519" s="6" t="s">
        <v>11211</v>
      </c>
      <c r="Q519" s="6" t="s">
        <v>81</v>
      </c>
      <c r="R519" s="6" t="s">
        <v>81</v>
      </c>
      <c r="S519" s="6" t="s">
        <v>10886</v>
      </c>
      <c r="T519" s="16" t="n">
        <v>45190</v>
      </c>
      <c r="U519" s="6" t="s">
        <v>13169</v>
      </c>
      <c r="V519" s="6" t="s">
        <v>81</v>
      </c>
      <c r="W519" s="6" t="s">
        <v>81</v>
      </c>
      <c r="X519" s="6" t="s">
        <v>81</v>
      </c>
      <c r="Y519" s="21" t="s">
        <v>81</v>
      </c>
      <c r="Z519" s="6" t="s">
        <v>81</v>
      </c>
      <c r="AA519" s="6" t="s">
        <v>81</v>
      </c>
      <c r="AB519" s="6" t="s">
        <v>81</v>
      </c>
      <c r="AC519" s="6" t="s">
        <v>81</v>
      </c>
      <c r="AD519" s="21" t="s">
        <v>81</v>
      </c>
      <c r="AE519" s="6" t="s">
        <v>81</v>
      </c>
      <c r="AF519" s="6" t="s">
        <v>81</v>
      </c>
      <c r="AG519" s="6" t="s">
        <v>81</v>
      </c>
      <c r="AH519" s="6" t="s">
        <v>15109</v>
      </c>
      <c r="AI519" s="6" t="s">
        <v>81</v>
      </c>
      <c r="AJ519" s="6" t="s">
        <v>17490</v>
      </c>
      <c r="AK519" s="6" t="s">
        <v>17712</v>
      </c>
      <c r="AL519" s="6" t="s">
        <v>18444</v>
      </c>
      <c r="AM519" s="6" t="s">
        <v>18650</v>
      </c>
      <c r="AN519" s="6" t="s">
        <v>81</v>
      </c>
      <c r="AO519" s="6" t="s">
        <v>81</v>
      </c>
      <c r="AP519" s="6" t="s">
        <v>15109</v>
      </c>
      <c r="AQ519" s="6" t="s">
        <v>81</v>
      </c>
      <c r="AR519" s="6" t="s">
        <v>17490</v>
      </c>
      <c r="AS519" s="6" t="s">
        <v>17712</v>
      </c>
      <c r="AT519" s="6" t="s">
        <v>18444</v>
      </c>
      <c r="AU519" s="6" t="s">
        <v>18650</v>
      </c>
      <c r="AV519" s="6" t="s">
        <v>81</v>
      </c>
      <c r="AW519" s="6" t="s">
        <v>81</v>
      </c>
      <c r="AX519" s="6" t="s">
        <v>81</v>
      </c>
      <c r="AY519" s="6" t="s">
        <v>81</v>
      </c>
      <c r="AZ519" s="6" t="s">
        <v>81</v>
      </c>
      <c r="BA519" s="6" t="s">
        <v>81</v>
      </c>
      <c r="BB519" s="24" t="n">
        <v>79</v>
      </c>
      <c r="BC519" s="26"/>
      <c r="BD519" s="26"/>
      <c r="BE519" s="26"/>
      <c r="BF519" s="26" t="s">
        <v>23900</v>
      </c>
      <c r="BG519" s="26"/>
      <c r="BH519" s="26"/>
      <c r="BI519" s="26"/>
      <c r="BJ519" s="26"/>
      <c r="BK519" s="26"/>
      <c r="BL519" s="26"/>
      <c r="BM519" s="26"/>
      <c r="BN519" s="26"/>
      <c r="BO519" s="26"/>
      <c r="BP519" s="16" t="n">
        <v>45595</v>
      </c>
      <c r="BQ519" s="28" t="str">
        <f>HYPERLINK("https://organic.ams.usda.gov/Integrity/Certificate.aspx?cid=57&amp;nopid=3252023071")</f>
        <v>https://organic.ams.usda.gov/Integrity/Certificate.aspx?cid=57&amp;nopid=3252023071</v>
      </c>
    </row>
    <row r="520">
      <c r="A520" t="s">
        <v>3</v>
      </c>
      <c r="B520" s="6" t="s">
        <v>9</v>
      </c>
      <c r="C520" s="6" t="s">
        <v>56</v>
      </c>
      <c r="D520" s="6" t="s">
        <v>102</v>
      </c>
      <c r="E520" s="10" t="s">
        <v>661</v>
      </c>
      <c r="F520" s="6" t="s">
        <v>3395</v>
      </c>
      <c r="G520" s="6" t="s">
        <v>81</v>
      </c>
      <c r="H520" s="6" t="s">
        <v>6362</v>
      </c>
      <c r="I520" s="6" t="s">
        <v>8713</v>
      </c>
      <c r="J520" s="6" t="s">
        <v>9675</v>
      </c>
      <c r="K520" s="6" t="s">
        <v>10886</v>
      </c>
      <c r="L520" s="16" t="n">
        <v>44567</v>
      </c>
      <c r="M520" s="16" t="n">
        <v>45748</v>
      </c>
      <c r="N520" s="6" t="s">
        <v>10886</v>
      </c>
      <c r="O520" s="16" t="n">
        <v>44567</v>
      </c>
      <c r="P520" s="6" t="s">
        <v>11212</v>
      </c>
      <c r="Q520" s="6" t="s">
        <v>81</v>
      </c>
      <c r="R520" s="6" t="s">
        <v>12561</v>
      </c>
      <c r="S520" s="6" t="s">
        <v>10886</v>
      </c>
      <c r="T520" s="16" t="n">
        <v>44567</v>
      </c>
      <c r="U520" s="6" t="s">
        <v>13362</v>
      </c>
      <c r="V520" s="6" t="s">
        <v>81</v>
      </c>
      <c r="W520" s="6" t="s">
        <v>12561</v>
      </c>
      <c r="X520" s="6" t="s">
        <v>81</v>
      </c>
      <c r="Y520" s="21" t="s">
        <v>81</v>
      </c>
      <c r="Z520" s="6" t="s">
        <v>81</v>
      </c>
      <c r="AA520" s="6" t="s">
        <v>81</v>
      </c>
      <c r="AB520" s="6" t="s">
        <v>81</v>
      </c>
      <c r="AC520" s="6" t="s">
        <v>81</v>
      </c>
      <c r="AD520" s="21" t="s">
        <v>81</v>
      </c>
      <c r="AE520" s="6" t="s">
        <v>81</v>
      </c>
      <c r="AF520" s="6" t="s">
        <v>81</v>
      </c>
      <c r="AG520" s="6" t="s">
        <v>81</v>
      </c>
      <c r="AH520" s="6" t="s">
        <v>15110</v>
      </c>
      <c r="AI520" s="6" t="s">
        <v>81</v>
      </c>
      <c r="AJ520" s="6" t="s">
        <v>17646</v>
      </c>
      <c r="AK520" s="6" t="s">
        <v>18378</v>
      </c>
      <c r="AL520" s="6" t="s">
        <v>18444</v>
      </c>
      <c r="AM520" s="6" t="s">
        <v>18815</v>
      </c>
      <c r="AN520" s="6" t="s">
        <v>19640</v>
      </c>
      <c r="AO520" s="6" t="s">
        <v>19726</v>
      </c>
      <c r="AP520" s="6" t="s">
        <v>81</v>
      </c>
      <c r="AQ520" s="6" t="s">
        <v>81</v>
      </c>
      <c r="AR520" s="6" t="s">
        <v>81</v>
      </c>
      <c r="AS520" s="6" t="s">
        <v>81</v>
      </c>
      <c r="AT520" s="6" t="s">
        <v>81</v>
      </c>
      <c r="AU520" s="6" t="s">
        <v>81</v>
      </c>
      <c r="AV520" s="6" t="s">
        <v>81</v>
      </c>
      <c r="AW520" s="6" t="s">
        <v>81</v>
      </c>
      <c r="AX520" s="6" t="s">
        <v>21085</v>
      </c>
      <c r="AY520" s="6" t="s">
        <v>81</v>
      </c>
      <c r="AZ520" s="6" t="s">
        <v>81</v>
      </c>
      <c r="BA520" s="6" t="s">
        <v>81</v>
      </c>
      <c r="BB520" s="24" t="n">
        <v>128</v>
      </c>
      <c r="BC520" s="26"/>
      <c r="BD520" s="26"/>
      <c r="BE520" s="26"/>
      <c r="BF520" s="26"/>
      <c r="BG520" s="26"/>
      <c r="BH520" s="26"/>
      <c r="BI520" s="26"/>
      <c r="BJ520" s="26"/>
      <c r="BK520" s="26"/>
      <c r="BL520" s="26"/>
      <c r="BM520" s="26"/>
      <c r="BN520" s="26"/>
      <c r="BO520" s="26"/>
      <c r="BP520" s="16" t="n">
        <v>45738</v>
      </c>
      <c r="BQ520" s="28" t="str">
        <f>HYPERLINK("https://organic.ams.usda.gov/Integrity/Certificate.aspx?cid=52&amp;nopid=8432102006")</f>
        <v>https://organic.ams.usda.gov/Integrity/Certificate.aspx?cid=52&amp;nopid=8432102006</v>
      </c>
    </row>
    <row r="521">
      <c r="A521" t="s">
        <v>3</v>
      </c>
      <c r="B521" s="6" t="s">
        <v>30</v>
      </c>
      <c r="C521" s="6" t="s">
        <v>77</v>
      </c>
      <c r="D521" s="6" t="s">
        <v>123</v>
      </c>
      <c r="E521" s="10" t="s">
        <v>662</v>
      </c>
      <c r="F521" s="6" t="s">
        <v>3396</v>
      </c>
      <c r="G521" s="6" t="s">
        <v>81</v>
      </c>
      <c r="H521" s="6" t="s">
        <v>6363</v>
      </c>
      <c r="I521" s="6" t="s">
        <v>8721</v>
      </c>
      <c r="J521" s="6" t="s">
        <v>9740</v>
      </c>
      <c r="K521" s="6" t="s">
        <v>10886</v>
      </c>
      <c r="L521" s="16" t="n">
        <v>42116</v>
      </c>
      <c r="M521" s="16" t="n">
        <v>45747</v>
      </c>
      <c r="N521" s="6" t="s">
        <v>10886</v>
      </c>
      <c r="O521" s="16" t="n">
        <v>42383</v>
      </c>
      <c r="P521" s="6" t="s">
        <v>11213</v>
      </c>
      <c r="Q521" s="6" t="s">
        <v>81</v>
      </c>
      <c r="R521" s="6" t="s">
        <v>12562</v>
      </c>
      <c r="S521" s="6" t="s">
        <v>10886</v>
      </c>
      <c r="T521" s="16" t="n">
        <v>42116</v>
      </c>
      <c r="U521" s="6" t="s">
        <v>13216</v>
      </c>
      <c r="V521" s="6" t="s">
        <v>81</v>
      </c>
      <c r="W521" s="6" t="s">
        <v>6363</v>
      </c>
      <c r="X521" s="6" t="s">
        <v>81</v>
      </c>
      <c r="Y521" s="21" t="s">
        <v>81</v>
      </c>
      <c r="Z521" s="6" t="s">
        <v>81</v>
      </c>
      <c r="AA521" s="6" t="s">
        <v>81</v>
      </c>
      <c r="AB521" s="6" t="s">
        <v>81</v>
      </c>
      <c r="AC521" s="6" t="s">
        <v>81</v>
      </c>
      <c r="AD521" s="21" t="s">
        <v>81</v>
      </c>
      <c r="AE521" s="6" t="s">
        <v>81</v>
      </c>
      <c r="AF521" s="6" t="s">
        <v>81</v>
      </c>
      <c r="AG521" s="6" t="s">
        <v>81</v>
      </c>
      <c r="AH521" s="6" t="s">
        <v>15111</v>
      </c>
      <c r="AI521" s="6" t="s">
        <v>81</v>
      </c>
      <c r="AJ521" s="6" t="s">
        <v>17647</v>
      </c>
      <c r="AK521" s="6" t="s">
        <v>17712</v>
      </c>
      <c r="AL521" s="6" t="s">
        <v>18444</v>
      </c>
      <c r="AM521" s="6" t="s">
        <v>18816</v>
      </c>
      <c r="AN521" s="6" t="s">
        <v>19645</v>
      </c>
      <c r="AO521" s="6" t="s">
        <v>19770</v>
      </c>
      <c r="AP521" s="6" t="s">
        <v>15111</v>
      </c>
      <c r="AQ521" s="6" t="s">
        <v>81</v>
      </c>
      <c r="AR521" s="6" t="s">
        <v>17647</v>
      </c>
      <c r="AS521" s="6" t="s">
        <v>17712</v>
      </c>
      <c r="AT521" s="6" t="s">
        <v>18444</v>
      </c>
      <c r="AU521" s="6" t="s">
        <v>18816</v>
      </c>
      <c r="AV521" s="6" t="s">
        <v>81</v>
      </c>
      <c r="AW521" s="6" t="s">
        <v>81</v>
      </c>
      <c r="AX521" s="6" t="s">
        <v>81</v>
      </c>
      <c r="AY521" s="6" t="s">
        <v>81</v>
      </c>
      <c r="AZ521" s="6" t="s">
        <v>81</v>
      </c>
      <c r="BA521" s="6" t="s">
        <v>81</v>
      </c>
      <c r="BB521" s="24" t="n">
        <v>102</v>
      </c>
      <c r="BC521" s="26"/>
      <c r="BD521" s="26"/>
      <c r="BE521" s="26"/>
      <c r="BF521" s="26"/>
      <c r="BG521" s="26"/>
      <c r="BH521" s="26"/>
      <c r="BI521" s="26"/>
      <c r="BJ521" s="26"/>
      <c r="BK521" s="26"/>
      <c r="BL521" s="26"/>
      <c r="BM521" s="26"/>
      <c r="BN521" s="26"/>
      <c r="BO521" s="26"/>
      <c r="BP521" s="16" t="n">
        <v>45695</v>
      </c>
      <c r="BQ521" s="28" t="str">
        <f>HYPERLINK("https://organic.ams.usda.gov/Integrity/Certificate.aspx?cid=70&amp;nopid=6431581600")</f>
        <v>https://organic.ams.usda.gov/Integrity/Certificate.aspx?cid=70&amp;nopid=6431581600</v>
      </c>
    </row>
    <row r="522">
      <c r="A522" t="s">
        <v>3</v>
      </c>
      <c r="B522" s="6" t="s">
        <v>7</v>
      </c>
      <c r="C522" s="6" t="s">
        <v>54</v>
      </c>
      <c r="D522" s="6" t="s">
        <v>100</v>
      </c>
      <c r="E522" s="10" t="s">
        <v>663</v>
      </c>
      <c r="F522" s="6" t="s">
        <v>3397</v>
      </c>
      <c r="G522" s="6" t="s">
        <v>81</v>
      </c>
      <c r="H522" s="6" t="s">
        <v>6364</v>
      </c>
      <c r="I522" s="6" t="s">
        <v>8713</v>
      </c>
      <c r="J522" s="6" t="s">
        <v>9960</v>
      </c>
      <c r="K522" s="6" t="s">
        <v>10886</v>
      </c>
      <c r="L522" s="16" t="n">
        <v>42186</v>
      </c>
      <c r="M522" s="16" t="n">
        <v>45716</v>
      </c>
      <c r="N522" s="6" t="s">
        <v>10886</v>
      </c>
      <c r="O522" s="16" t="n">
        <v>42186</v>
      </c>
      <c r="P522" s="6" t="s">
        <v>11214</v>
      </c>
      <c r="Q522" s="6" t="s">
        <v>81</v>
      </c>
      <c r="R522" s="6" t="s">
        <v>81</v>
      </c>
      <c r="S522" s="6" t="s">
        <v>10886</v>
      </c>
      <c r="T522" s="16" t="n">
        <v>42186</v>
      </c>
      <c r="U522" s="6" t="s">
        <v>13169</v>
      </c>
      <c r="V522" s="6" t="s">
        <v>81</v>
      </c>
      <c r="W522" s="6" t="s">
        <v>81</v>
      </c>
      <c r="X522" s="6" t="s">
        <v>81</v>
      </c>
      <c r="Y522" s="21" t="s">
        <v>81</v>
      </c>
      <c r="Z522" s="6" t="s">
        <v>81</v>
      </c>
      <c r="AA522" s="6" t="s">
        <v>81</v>
      </c>
      <c r="AB522" s="6" t="s">
        <v>81</v>
      </c>
      <c r="AC522" s="6" t="s">
        <v>81</v>
      </c>
      <c r="AD522" s="21" t="s">
        <v>81</v>
      </c>
      <c r="AE522" s="6" t="s">
        <v>81</v>
      </c>
      <c r="AF522" s="6" t="s">
        <v>81</v>
      </c>
      <c r="AG522" s="6" t="s">
        <v>81</v>
      </c>
      <c r="AH522" s="6" t="s">
        <v>15112</v>
      </c>
      <c r="AI522" s="6" t="s">
        <v>81</v>
      </c>
      <c r="AJ522" s="6" t="s">
        <v>17406</v>
      </c>
      <c r="AK522" s="6" t="s">
        <v>17712</v>
      </c>
      <c r="AL522" s="6" t="s">
        <v>18444</v>
      </c>
      <c r="AM522" s="6" t="s">
        <v>18562</v>
      </c>
      <c r="AN522" s="6" t="s">
        <v>19657</v>
      </c>
      <c r="AO522" s="6" t="s">
        <v>19751</v>
      </c>
      <c r="AP522" s="6" t="s">
        <v>15112</v>
      </c>
      <c r="AQ522" s="6" t="s">
        <v>81</v>
      </c>
      <c r="AR522" s="6" t="s">
        <v>17406</v>
      </c>
      <c r="AS522" s="6" t="s">
        <v>17712</v>
      </c>
      <c r="AT522" s="6" t="s">
        <v>18444</v>
      </c>
      <c r="AU522" s="6" t="s">
        <v>18562</v>
      </c>
      <c r="AV522" s="6" t="s">
        <v>81</v>
      </c>
      <c r="AW522" s="6" t="s">
        <v>81</v>
      </c>
      <c r="AX522" s="6" t="s">
        <v>81</v>
      </c>
      <c r="AY522" s="6" t="s">
        <v>81</v>
      </c>
      <c r="AZ522" s="6" t="s">
        <v>81</v>
      </c>
      <c r="BA522" s="6" t="s">
        <v>81</v>
      </c>
      <c r="BB522" s="24" t="n">
        <v>67</v>
      </c>
      <c r="BC522" s="26"/>
      <c r="BD522" s="26"/>
      <c r="BE522" s="26"/>
      <c r="BF522" s="26" t="s">
        <v>23900</v>
      </c>
      <c r="BG522" s="26"/>
      <c r="BH522" s="26"/>
      <c r="BI522" s="26"/>
      <c r="BJ522" s="26"/>
      <c r="BK522" s="26"/>
      <c r="BL522" s="26"/>
      <c r="BM522" s="26"/>
      <c r="BN522" s="26"/>
      <c r="BO522" s="26"/>
      <c r="BP522" s="16" t="n">
        <v>45674</v>
      </c>
      <c r="BQ522" s="28" t="str">
        <f>HYPERLINK("https://organic.ams.usda.gov/Integrity/Certificate.aspx?cid=57&amp;nopid=3252015013")</f>
        <v>https://organic.ams.usda.gov/Integrity/Certificate.aspx?cid=57&amp;nopid=3252015013</v>
      </c>
    </row>
    <row r="523">
      <c r="A523" t="s">
        <v>3</v>
      </c>
      <c r="B523" s="6" t="s">
        <v>7</v>
      </c>
      <c r="C523" s="6" t="s">
        <v>54</v>
      </c>
      <c r="D523" s="6" t="s">
        <v>100</v>
      </c>
      <c r="E523" s="10" t="s">
        <v>664</v>
      </c>
      <c r="F523" s="6" t="s">
        <v>3398</v>
      </c>
      <c r="G523" s="6" t="s">
        <v>81</v>
      </c>
      <c r="H523" s="6" t="s">
        <v>6365</v>
      </c>
      <c r="I523" s="6" t="s">
        <v>8713</v>
      </c>
      <c r="J523" s="6" t="s">
        <v>9805</v>
      </c>
      <c r="K523" s="6" t="s">
        <v>10886</v>
      </c>
      <c r="L523" s="16" t="n">
        <v>44062</v>
      </c>
      <c r="M523" s="16" t="n">
        <v>45716</v>
      </c>
      <c r="N523" s="6" t="s">
        <v>10886</v>
      </c>
      <c r="O523" s="16" t="n">
        <v>44062</v>
      </c>
      <c r="P523" s="6" t="s">
        <v>10944</v>
      </c>
      <c r="Q523" s="6" t="s">
        <v>81</v>
      </c>
      <c r="R523" s="6" t="s">
        <v>81</v>
      </c>
      <c r="S523" s="6" t="s">
        <v>10886</v>
      </c>
      <c r="T523" s="16" t="n">
        <v>44062</v>
      </c>
      <c r="U523" s="6" t="s">
        <v>13160</v>
      </c>
      <c r="V523" s="6" t="s">
        <v>81</v>
      </c>
      <c r="W523" s="6" t="s">
        <v>81</v>
      </c>
      <c r="X523" s="6" t="s">
        <v>81</v>
      </c>
      <c r="Y523" s="21" t="s">
        <v>81</v>
      </c>
      <c r="Z523" s="6" t="s">
        <v>81</v>
      </c>
      <c r="AA523" s="6" t="s">
        <v>81</v>
      </c>
      <c r="AB523" s="6" t="s">
        <v>81</v>
      </c>
      <c r="AC523" s="6" t="s">
        <v>81</v>
      </c>
      <c r="AD523" s="21" t="s">
        <v>81</v>
      </c>
      <c r="AE523" s="6" t="s">
        <v>81</v>
      </c>
      <c r="AF523" s="6" t="s">
        <v>81</v>
      </c>
      <c r="AG523" s="6" t="s">
        <v>81</v>
      </c>
      <c r="AH523" s="6" t="s">
        <v>15113</v>
      </c>
      <c r="AI523" s="6" t="s">
        <v>81</v>
      </c>
      <c r="AJ523" s="6" t="s">
        <v>17648</v>
      </c>
      <c r="AK523" s="6" t="s">
        <v>17712</v>
      </c>
      <c r="AL523" s="6" t="s">
        <v>18444</v>
      </c>
      <c r="AM523" s="6" t="s">
        <v>18817</v>
      </c>
      <c r="AN523" s="6" t="s">
        <v>19670</v>
      </c>
      <c r="AO523" s="6" t="s">
        <v>19782</v>
      </c>
      <c r="AP523" s="6" t="s">
        <v>15113</v>
      </c>
      <c r="AQ523" s="6" t="s">
        <v>81</v>
      </c>
      <c r="AR523" s="6" t="s">
        <v>17648</v>
      </c>
      <c r="AS523" s="6" t="s">
        <v>17712</v>
      </c>
      <c r="AT523" s="6" t="s">
        <v>18444</v>
      </c>
      <c r="AU523" s="6" t="s">
        <v>18817</v>
      </c>
      <c r="AV523" s="6" t="s">
        <v>81</v>
      </c>
      <c r="AW523" s="6" t="s">
        <v>81</v>
      </c>
      <c r="AX523" s="6" t="s">
        <v>81</v>
      </c>
      <c r="AY523" s="6" t="s">
        <v>81</v>
      </c>
      <c r="AZ523" s="6" t="s">
        <v>81</v>
      </c>
      <c r="BA523" s="6" t="s">
        <v>81</v>
      </c>
      <c r="BB523" s="24" t="n">
        <v>59</v>
      </c>
      <c r="BC523" s="26"/>
      <c r="BD523" s="26"/>
      <c r="BE523" s="26"/>
      <c r="BF523" s="26" t="s">
        <v>23900</v>
      </c>
      <c r="BG523" s="26"/>
      <c r="BH523" s="26"/>
      <c r="BI523" s="26"/>
      <c r="BJ523" s="26"/>
      <c r="BK523" s="26"/>
      <c r="BL523" s="26"/>
      <c r="BM523" s="26"/>
      <c r="BN523" s="26"/>
      <c r="BO523" s="26"/>
      <c r="BP523" s="16" t="n">
        <v>45702</v>
      </c>
      <c r="BQ523" s="28" t="str">
        <f>HYPERLINK("https://organic.ams.usda.gov/Integrity/Certificate.aspx?cid=57&amp;nopid=3252020073")</f>
        <v>https://organic.ams.usda.gov/Integrity/Certificate.aspx?cid=57&amp;nopid=3252020073</v>
      </c>
    </row>
    <row r="524">
      <c r="A524" t="s">
        <v>3</v>
      </c>
      <c r="B524" s="6" t="s">
        <v>9</v>
      </c>
      <c r="C524" s="6" t="s">
        <v>56</v>
      </c>
      <c r="D524" s="6" t="s">
        <v>102</v>
      </c>
      <c r="E524" s="10" t="s">
        <v>665</v>
      </c>
      <c r="F524" s="6" t="s">
        <v>3399</v>
      </c>
      <c r="G524" s="6" t="s">
        <v>81</v>
      </c>
      <c r="H524" s="6" t="s">
        <v>6366</v>
      </c>
      <c r="I524" s="6" t="s">
        <v>8713</v>
      </c>
      <c r="J524" s="6" t="s">
        <v>9677</v>
      </c>
      <c r="K524" s="6" t="s">
        <v>10886</v>
      </c>
      <c r="L524" s="16" t="n">
        <v>42917</v>
      </c>
      <c r="M524" s="16" t="n">
        <v>45748</v>
      </c>
      <c r="N524" s="6" t="s">
        <v>10886</v>
      </c>
      <c r="O524" s="16" t="n">
        <v>42917</v>
      </c>
      <c r="P524" s="6" t="s">
        <v>11215</v>
      </c>
      <c r="Q524" s="6" t="s">
        <v>81</v>
      </c>
      <c r="R524" s="6" t="s">
        <v>12563</v>
      </c>
      <c r="S524" s="6" t="s">
        <v>10886</v>
      </c>
      <c r="T524" s="16" t="n">
        <v>42917</v>
      </c>
      <c r="U524" s="6" t="s">
        <v>13363</v>
      </c>
      <c r="V524" s="6" t="s">
        <v>81</v>
      </c>
      <c r="W524" s="6" t="s">
        <v>12563</v>
      </c>
      <c r="X524" s="6" t="s">
        <v>81</v>
      </c>
      <c r="Y524" s="21" t="s">
        <v>81</v>
      </c>
      <c r="Z524" s="6" t="s">
        <v>81</v>
      </c>
      <c r="AA524" s="6" t="s">
        <v>81</v>
      </c>
      <c r="AB524" s="6" t="s">
        <v>81</v>
      </c>
      <c r="AC524" s="6" t="s">
        <v>81</v>
      </c>
      <c r="AD524" s="21" t="s">
        <v>81</v>
      </c>
      <c r="AE524" s="6" t="s">
        <v>81</v>
      </c>
      <c r="AF524" s="6" t="s">
        <v>81</v>
      </c>
      <c r="AG524" s="6" t="s">
        <v>81</v>
      </c>
      <c r="AH524" s="6" t="s">
        <v>15114</v>
      </c>
      <c r="AI524" s="6" t="s">
        <v>81</v>
      </c>
      <c r="AJ524" s="6" t="s">
        <v>17317</v>
      </c>
      <c r="AK524" s="6" t="s">
        <v>18380</v>
      </c>
      <c r="AL524" s="6" t="s">
        <v>18444</v>
      </c>
      <c r="AM524" s="6" t="s">
        <v>18469</v>
      </c>
      <c r="AN524" s="6" t="s">
        <v>19639</v>
      </c>
      <c r="AO524" s="6" t="s">
        <v>19725</v>
      </c>
      <c r="AP524" s="6" t="s">
        <v>81</v>
      </c>
      <c r="AQ524" s="6" t="s">
        <v>81</v>
      </c>
      <c r="AR524" s="6" t="s">
        <v>81</v>
      </c>
      <c r="AS524" s="6" t="s">
        <v>81</v>
      </c>
      <c r="AT524" s="6" t="s">
        <v>81</v>
      </c>
      <c r="AU524" s="6" t="s">
        <v>81</v>
      </c>
      <c r="AV524" s="6" t="s">
        <v>81</v>
      </c>
      <c r="AW524" s="6" t="s">
        <v>81</v>
      </c>
      <c r="AX524" s="6" t="s">
        <v>21086</v>
      </c>
      <c r="AY524" s="6" t="s">
        <v>81</v>
      </c>
      <c r="AZ524" s="6" t="s">
        <v>81</v>
      </c>
      <c r="BA524" s="6" t="s">
        <v>81</v>
      </c>
      <c r="BB524" s="24" t="n">
        <v>59</v>
      </c>
      <c r="BC524" s="26"/>
      <c r="BD524" s="26"/>
      <c r="BE524" s="26"/>
      <c r="BF524" s="26"/>
      <c r="BG524" s="26"/>
      <c r="BH524" s="26"/>
      <c r="BI524" s="26"/>
      <c r="BJ524" s="26"/>
      <c r="BK524" s="26"/>
      <c r="BL524" s="26"/>
      <c r="BM524" s="26"/>
      <c r="BN524" s="26"/>
      <c r="BO524" s="26"/>
      <c r="BP524" s="16" t="n">
        <v>45738</v>
      </c>
      <c r="BQ524" s="28" t="str">
        <f>HYPERLINK("https://organic.ams.usda.gov/Integrity/Certificate.aspx?cid=52&amp;nopid=8431701194")</f>
        <v>https://organic.ams.usda.gov/Integrity/Certificate.aspx?cid=52&amp;nopid=8431701194</v>
      </c>
    </row>
    <row r="525">
      <c r="A525" t="s">
        <v>3</v>
      </c>
      <c r="B525" s="6" t="s">
        <v>9</v>
      </c>
      <c r="C525" s="6" t="s">
        <v>56</v>
      </c>
      <c r="D525" s="6" t="s">
        <v>102</v>
      </c>
      <c r="E525" s="10" t="s">
        <v>666</v>
      </c>
      <c r="F525" s="6" t="s">
        <v>3400</v>
      </c>
      <c r="G525" s="6" t="s">
        <v>81</v>
      </c>
      <c r="H525" s="6" t="s">
        <v>6367</v>
      </c>
      <c r="I525" s="6" t="s">
        <v>8722</v>
      </c>
      <c r="J525" s="6" t="s">
        <v>9665</v>
      </c>
      <c r="K525" s="6" t="s">
        <v>10886</v>
      </c>
      <c r="L525" s="16" t="n">
        <v>42367</v>
      </c>
      <c r="M525" s="16" t="n">
        <v>45748</v>
      </c>
      <c r="N525" s="6" t="s">
        <v>10886</v>
      </c>
      <c r="O525" s="16" t="n">
        <v>42367</v>
      </c>
      <c r="P525" s="6" t="s">
        <v>10900</v>
      </c>
      <c r="Q525" s="6" t="s">
        <v>81</v>
      </c>
      <c r="R525" s="6" t="s">
        <v>12564</v>
      </c>
      <c r="S525" s="6" t="s">
        <v>10886</v>
      </c>
      <c r="T525" s="16" t="n">
        <v>42367</v>
      </c>
      <c r="U525" s="6" t="s">
        <v>13162</v>
      </c>
      <c r="V525" s="6" t="s">
        <v>81</v>
      </c>
      <c r="W525" s="6" t="s">
        <v>12564</v>
      </c>
      <c r="X525" s="6" t="s">
        <v>81</v>
      </c>
      <c r="Y525" s="21" t="s">
        <v>81</v>
      </c>
      <c r="Z525" s="6" t="s">
        <v>81</v>
      </c>
      <c r="AA525" s="6" t="s">
        <v>81</v>
      </c>
      <c r="AB525" s="6" t="s">
        <v>81</v>
      </c>
      <c r="AC525" s="6" t="s">
        <v>81</v>
      </c>
      <c r="AD525" s="21" t="s">
        <v>81</v>
      </c>
      <c r="AE525" s="6" t="s">
        <v>81</v>
      </c>
      <c r="AF525" s="6" t="s">
        <v>81</v>
      </c>
      <c r="AG525" s="6" t="s">
        <v>81</v>
      </c>
      <c r="AH525" s="6" t="s">
        <v>15115</v>
      </c>
      <c r="AI525" s="6" t="s">
        <v>81</v>
      </c>
      <c r="AJ525" s="6" t="s">
        <v>17325</v>
      </c>
      <c r="AK525" s="6" t="s">
        <v>18378</v>
      </c>
      <c r="AL525" s="6" t="s">
        <v>18444</v>
      </c>
      <c r="AM525" s="6" t="s">
        <v>18477</v>
      </c>
      <c r="AN525" s="6" t="s">
        <v>19641</v>
      </c>
      <c r="AO525" s="6" t="s">
        <v>19727</v>
      </c>
      <c r="AP525" s="6" t="s">
        <v>20171</v>
      </c>
      <c r="AQ525" s="6" t="s">
        <v>81</v>
      </c>
      <c r="AR525" s="6" t="s">
        <v>17325</v>
      </c>
      <c r="AS525" s="6" t="s">
        <v>18378</v>
      </c>
      <c r="AT525" s="6" t="s">
        <v>18444</v>
      </c>
      <c r="AU525" s="6" t="s">
        <v>18477</v>
      </c>
      <c r="AV525" s="6" t="s">
        <v>81</v>
      </c>
      <c r="AW525" s="6" t="s">
        <v>81</v>
      </c>
      <c r="AX525" s="6" t="s">
        <v>21087</v>
      </c>
      <c r="AY525" s="6" t="s">
        <v>81</v>
      </c>
      <c r="AZ525" s="6" t="s">
        <v>81</v>
      </c>
      <c r="BA525" s="6" t="s">
        <v>81</v>
      </c>
      <c r="BB525" s="24" t="n">
        <v>93</v>
      </c>
      <c r="BC525" s="26"/>
      <c r="BD525" s="26"/>
      <c r="BE525" s="26"/>
      <c r="BF525" s="26"/>
      <c r="BG525" s="26"/>
      <c r="BH525" s="26"/>
      <c r="BI525" s="26"/>
      <c r="BJ525" s="26"/>
      <c r="BK525" s="26"/>
      <c r="BL525" s="26"/>
      <c r="BM525" s="26"/>
      <c r="BN525" s="26"/>
      <c r="BO525" s="26"/>
      <c r="BP525" s="16" t="n">
        <v>45738</v>
      </c>
      <c r="BQ525" s="28" t="str">
        <f>HYPERLINK("https://organic.ams.usda.gov/Integrity/Certificate.aspx?cid=52&amp;nopid=8431501136")</f>
        <v>https://organic.ams.usda.gov/Integrity/Certificate.aspx?cid=52&amp;nopid=8431501136</v>
      </c>
    </row>
    <row r="526">
      <c r="A526" t="s">
        <v>3</v>
      </c>
      <c r="B526" s="6" t="s">
        <v>15</v>
      </c>
      <c r="C526" s="6" t="s">
        <v>62</v>
      </c>
      <c r="D526" s="6" t="s">
        <v>108</v>
      </c>
      <c r="E526" s="10" t="s">
        <v>667</v>
      </c>
      <c r="F526" s="6" t="s">
        <v>3401</v>
      </c>
      <c r="G526" s="6" t="s">
        <v>5645</v>
      </c>
      <c r="H526" s="6" t="s">
        <v>6368</v>
      </c>
      <c r="I526" s="6" t="s">
        <v>8723</v>
      </c>
      <c r="J526" s="6" t="s">
        <v>9672</v>
      </c>
      <c r="K526" s="6" t="s">
        <v>10886</v>
      </c>
      <c r="L526" s="16" t="n">
        <v>39757</v>
      </c>
      <c r="M526" s="16" t="n">
        <v>46157</v>
      </c>
      <c r="N526" s="6" t="s">
        <v>10886</v>
      </c>
      <c r="O526" s="16" t="n">
        <v>39757</v>
      </c>
      <c r="P526" s="6" t="s">
        <v>11216</v>
      </c>
      <c r="Q526" s="6" t="s">
        <v>81</v>
      </c>
      <c r="R526" s="6" t="s">
        <v>81</v>
      </c>
      <c r="S526" s="6" t="s">
        <v>10886</v>
      </c>
      <c r="T526" s="16" t="n">
        <v>39757</v>
      </c>
      <c r="U526" s="6" t="s">
        <v>13196</v>
      </c>
      <c r="V526" s="6" t="s">
        <v>81</v>
      </c>
      <c r="W526" s="6" t="s">
        <v>81</v>
      </c>
      <c r="X526" s="6" t="s">
        <v>81</v>
      </c>
      <c r="Y526" s="21" t="s">
        <v>81</v>
      </c>
      <c r="Z526" s="6" t="s">
        <v>81</v>
      </c>
      <c r="AA526" s="6" t="s">
        <v>81</v>
      </c>
      <c r="AB526" s="6" t="s">
        <v>81</v>
      </c>
      <c r="AC526" s="6" t="s">
        <v>81</v>
      </c>
      <c r="AD526" s="21" t="s">
        <v>81</v>
      </c>
      <c r="AE526" s="6" t="s">
        <v>81</v>
      </c>
      <c r="AF526" s="6" t="s">
        <v>81</v>
      </c>
      <c r="AG526" s="6" t="s">
        <v>81</v>
      </c>
      <c r="AH526" s="6" t="s">
        <v>15116</v>
      </c>
      <c r="AI526" s="6" t="s">
        <v>81</v>
      </c>
      <c r="AJ526" s="6" t="s">
        <v>17583</v>
      </c>
      <c r="AK526" s="6" t="s">
        <v>18379</v>
      </c>
      <c r="AL526" s="6" t="s">
        <v>18444</v>
      </c>
      <c r="AM526" s="6" t="s">
        <v>18746</v>
      </c>
      <c r="AN526" s="6" t="s">
        <v>6842</v>
      </c>
      <c r="AO526" s="6" t="s">
        <v>19781</v>
      </c>
      <c r="AP526" s="6" t="s">
        <v>15116</v>
      </c>
      <c r="AQ526" s="6" t="s">
        <v>81</v>
      </c>
      <c r="AR526" s="6" t="s">
        <v>17583</v>
      </c>
      <c r="AS526" s="6" t="s">
        <v>18379</v>
      </c>
      <c r="AT526" s="6" t="s">
        <v>18444</v>
      </c>
      <c r="AU526" s="6" t="s">
        <v>18746</v>
      </c>
      <c r="AV526" s="6" t="s">
        <v>81</v>
      </c>
      <c r="AW526" s="6" t="s">
        <v>81</v>
      </c>
      <c r="AX526" s="6" t="s">
        <v>21088</v>
      </c>
      <c r="AY526" s="6" t="s">
        <v>81</v>
      </c>
      <c r="AZ526" s="6" t="s">
        <v>81</v>
      </c>
      <c r="BA526" s="6" t="s">
        <v>81</v>
      </c>
      <c r="BB526" s="24" t="n">
        <v>78</v>
      </c>
      <c r="BC526" s="26"/>
      <c r="BD526" s="26"/>
      <c r="BE526" s="26"/>
      <c r="BF526" s="26" t="s">
        <v>23900</v>
      </c>
      <c r="BG526" s="26"/>
      <c r="BH526" s="26"/>
      <c r="BI526" s="26"/>
      <c r="BJ526" s="26"/>
      <c r="BK526" s="26"/>
      <c r="BL526" s="26"/>
      <c r="BM526" s="26"/>
      <c r="BN526" s="26"/>
      <c r="BO526" s="26"/>
      <c r="BP526" s="16" t="n">
        <v>45737</v>
      </c>
      <c r="BQ526" s="28" t="str">
        <f>HYPERLINK("https://organic.ams.usda.gov/Integrity/Certificate.aspx?cid=58&amp;nopid=1600001585")</f>
        <v>https://organic.ams.usda.gov/Integrity/Certificate.aspx?cid=58&amp;nopid=1600001585</v>
      </c>
    </row>
    <row r="527">
      <c r="A527" t="s">
        <v>3</v>
      </c>
      <c r="B527" s="6" t="s">
        <v>15</v>
      </c>
      <c r="C527" s="6" t="s">
        <v>62</v>
      </c>
      <c r="D527" s="6" t="s">
        <v>108</v>
      </c>
      <c r="E527" s="10" t="s">
        <v>668</v>
      </c>
      <c r="F527" s="6" t="s">
        <v>3402</v>
      </c>
      <c r="G527" s="6" t="s">
        <v>5646</v>
      </c>
      <c r="H527" s="6" t="s">
        <v>6369</v>
      </c>
      <c r="I527" s="6" t="s">
        <v>8723</v>
      </c>
      <c r="J527" s="6" t="s">
        <v>9729</v>
      </c>
      <c r="K527" s="6" t="s">
        <v>10886</v>
      </c>
      <c r="L527" s="16" t="n">
        <v>37550</v>
      </c>
      <c r="M527" s="16" t="n">
        <v>46157</v>
      </c>
      <c r="N527" s="6" t="s">
        <v>10886</v>
      </c>
      <c r="O527" s="16" t="n">
        <v>37550</v>
      </c>
      <c r="P527" s="6" t="s">
        <v>11217</v>
      </c>
      <c r="Q527" s="6" t="s">
        <v>81</v>
      </c>
      <c r="R527" s="6" t="s">
        <v>81</v>
      </c>
      <c r="S527" s="6" t="s">
        <v>10886</v>
      </c>
      <c r="T527" s="16" t="n">
        <v>37550</v>
      </c>
      <c r="U527" s="6" t="s">
        <v>13215</v>
      </c>
      <c r="V527" s="6" t="s">
        <v>81</v>
      </c>
      <c r="W527" s="6" t="s">
        <v>81</v>
      </c>
      <c r="X527" s="6" t="s">
        <v>81</v>
      </c>
      <c r="Y527" s="21" t="s">
        <v>81</v>
      </c>
      <c r="Z527" s="6" t="s">
        <v>81</v>
      </c>
      <c r="AA527" s="6" t="s">
        <v>81</v>
      </c>
      <c r="AB527" s="6" t="s">
        <v>81</v>
      </c>
      <c r="AC527" s="6" t="s">
        <v>81</v>
      </c>
      <c r="AD527" s="21" t="s">
        <v>81</v>
      </c>
      <c r="AE527" s="6" t="s">
        <v>81</v>
      </c>
      <c r="AF527" s="6" t="s">
        <v>81</v>
      </c>
      <c r="AG527" s="6" t="s">
        <v>81</v>
      </c>
      <c r="AH527" s="6" t="s">
        <v>15117</v>
      </c>
      <c r="AI527" s="6" t="s">
        <v>81</v>
      </c>
      <c r="AJ527" s="6" t="s">
        <v>17324</v>
      </c>
      <c r="AK527" s="6" t="s">
        <v>18378</v>
      </c>
      <c r="AL527" s="6" t="s">
        <v>18444</v>
      </c>
      <c r="AM527" s="6" t="s">
        <v>18476</v>
      </c>
      <c r="AN527" s="6" t="s">
        <v>19640</v>
      </c>
      <c r="AO527" s="6" t="s">
        <v>19726</v>
      </c>
      <c r="AP527" s="6" t="s">
        <v>15117</v>
      </c>
      <c r="AQ527" s="6" t="s">
        <v>81</v>
      </c>
      <c r="AR527" s="6" t="s">
        <v>17324</v>
      </c>
      <c r="AS527" s="6" t="s">
        <v>18378</v>
      </c>
      <c r="AT527" s="6" t="s">
        <v>18444</v>
      </c>
      <c r="AU527" s="6" t="s">
        <v>18476</v>
      </c>
      <c r="AV527" s="6" t="s">
        <v>81</v>
      </c>
      <c r="AW527" s="6" t="s">
        <v>81</v>
      </c>
      <c r="AX527" s="6" t="s">
        <v>21089</v>
      </c>
      <c r="AY527" s="6" t="s">
        <v>81</v>
      </c>
      <c r="AZ527" s="6" t="s">
        <v>81</v>
      </c>
      <c r="BA527" s="6" t="s">
        <v>81</v>
      </c>
      <c r="BB527" s="24" t="n">
        <v>148</v>
      </c>
      <c r="BC527" s="26"/>
      <c r="BD527" s="26"/>
      <c r="BE527" s="26"/>
      <c r="BF527" s="26" t="s">
        <v>23900</v>
      </c>
      <c r="BG527" s="26"/>
      <c r="BH527" s="26"/>
      <c r="BI527" s="26"/>
      <c r="BJ527" s="26"/>
      <c r="BK527" s="26"/>
      <c r="BL527" s="26"/>
      <c r="BM527" s="26"/>
      <c r="BN527" s="26"/>
      <c r="BO527" s="26"/>
      <c r="BP527" s="16" t="n">
        <v>45737</v>
      </c>
      <c r="BQ527" s="28" t="str">
        <f>HYPERLINK("https://organic.ams.usda.gov/Integrity/Certificate.aspx?cid=58&amp;nopid=1600000848")</f>
        <v>https://organic.ams.usda.gov/Integrity/Certificate.aspx?cid=58&amp;nopid=1600000848</v>
      </c>
    </row>
    <row r="528">
      <c r="A528" t="s">
        <v>3</v>
      </c>
      <c r="B528" s="6" t="s">
        <v>7</v>
      </c>
      <c r="C528" s="6" t="s">
        <v>54</v>
      </c>
      <c r="D528" s="6" t="s">
        <v>100</v>
      </c>
      <c r="E528" s="10" t="s">
        <v>669</v>
      </c>
      <c r="F528" s="6" t="s">
        <v>3403</v>
      </c>
      <c r="G528" s="6" t="s">
        <v>81</v>
      </c>
      <c r="H528" s="6" t="s">
        <v>6350</v>
      </c>
      <c r="I528" s="6" t="s">
        <v>8713</v>
      </c>
      <c r="J528" s="6" t="s">
        <v>9142</v>
      </c>
      <c r="K528" s="6" t="s">
        <v>10886</v>
      </c>
      <c r="L528" s="16" t="n">
        <v>44802</v>
      </c>
      <c r="M528" s="16" t="n">
        <v>45716</v>
      </c>
      <c r="N528" s="6" t="s">
        <v>10886</v>
      </c>
      <c r="O528" s="16" t="n">
        <v>44802</v>
      </c>
      <c r="P528" s="6" t="s">
        <v>10944</v>
      </c>
      <c r="Q528" s="6" t="s">
        <v>81</v>
      </c>
      <c r="R528" s="6" t="s">
        <v>81</v>
      </c>
      <c r="S528" s="6" t="s">
        <v>10886</v>
      </c>
      <c r="T528" s="16" t="n">
        <v>44867</v>
      </c>
      <c r="U528" s="6" t="s">
        <v>13169</v>
      </c>
      <c r="V528" s="6" t="s">
        <v>81</v>
      </c>
      <c r="W528" s="6" t="s">
        <v>81</v>
      </c>
      <c r="X528" s="6" t="s">
        <v>81</v>
      </c>
      <c r="Y528" s="21" t="s">
        <v>81</v>
      </c>
      <c r="Z528" s="6" t="s">
        <v>81</v>
      </c>
      <c r="AA528" s="6" t="s">
        <v>81</v>
      </c>
      <c r="AB528" s="6" t="s">
        <v>81</v>
      </c>
      <c r="AC528" s="6" t="s">
        <v>81</v>
      </c>
      <c r="AD528" s="21" t="s">
        <v>81</v>
      </c>
      <c r="AE528" s="6" t="s">
        <v>81</v>
      </c>
      <c r="AF528" s="6" t="s">
        <v>81</v>
      </c>
      <c r="AG528" s="6" t="s">
        <v>81</v>
      </c>
      <c r="AH528" s="6" t="s">
        <v>15095</v>
      </c>
      <c r="AI528" s="6" t="s">
        <v>81</v>
      </c>
      <c r="AJ528" s="6" t="s">
        <v>17406</v>
      </c>
      <c r="AK528" s="6" t="s">
        <v>17712</v>
      </c>
      <c r="AL528" s="6" t="s">
        <v>18444</v>
      </c>
      <c r="AM528" s="6" t="s">
        <v>18562</v>
      </c>
      <c r="AN528" s="6" t="s">
        <v>19657</v>
      </c>
      <c r="AO528" s="6" t="s">
        <v>19751</v>
      </c>
      <c r="AP528" s="6" t="s">
        <v>15095</v>
      </c>
      <c r="AQ528" s="6" t="s">
        <v>81</v>
      </c>
      <c r="AR528" s="6" t="s">
        <v>17406</v>
      </c>
      <c r="AS528" s="6" t="s">
        <v>17712</v>
      </c>
      <c r="AT528" s="6" t="s">
        <v>18444</v>
      </c>
      <c r="AU528" s="6" t="s">
        <v>18562</v>
      </c>
      <c r="AV528" s="6" t="s">
        <v>81</v>
      </c>
      <c r="AW528" s="6" t="s">
        <v>81</v>
      </c>
      <c r="AX528" s="6" t="s">
        <v>81</v>
      </c>
      <c r="AY528" s="6" t="s">
        <v>81</v>
      </c>
      <c r="AZ528" s="6" t="s">
        <v>81</v>
      </c>
      <c r="BA528" s="6" t="s">
        <v>81</v>
      </c>
      <c r="BB528" s="24" t="n">
        <v>41</v>
      </c>
      <c r="BC528" s="26"/>
      <c r="BD528" s="26"/>
      <c r="BE528" s="26"/>
      <c r="BF528" s="26" t="s">
        <v>23900</v>
      </c>
      <c r="BG528" s="26"/>
      <c r="BH528" s="26"/>
      <c r="BI528" s="26"/>
      <c r="BJ528" s="26"/>
      <c r="BK528" s="26"/>
      <c r="BL528" s="26"/>
      <c r="BM528" s="26"/>
      <c r="BN528" s="26"/>
      <c r="BO528" s="26"/>
      <c r="BP528" s="16" t="n">
        <v>45700</v>
      </c>
      <c r="BQ528" s="28" t="str">
        <f>HYPERLINK("https://organic.ams.usda.gov/Integrity/Certificate.aspx?cid=57&amp;nopid=3252022067")</f>
        <v>https://organic.ams.usda.gov/Integrity/Certificate.aspx?cid=57&amp;nopid=3252022067</v>
      </c>
    </row>
    <row r="529">
      <c r="A529" t="s">
        <v>3</v>
      </c>
      <c r="B529" s="6" t="s">
        <v>7</v>
      </c>
      <c r="C529" s="6" t="s">
        <v>54</v>
      </c>
      <c r="D529" s="6" t="s">
        <v>100</v>
      </c>
      <c r="E529" s="10" t="s">
        <v>670</v>
      </c>
      <c r="F529" s="6" t="s">
        <v>3404</v>
      </c>
      <c r="G529" s="6" t="s">
        <v>81</v>
      </c>
      <c r="H529" s="6" t="s">
        <v>6370</v>
      </c>
      <c r="I529" s="6" t="s">
        <v>8713</v>
      </c>
      <c r="J529" s="6" t="s">
        <v>9671</v>
      </c>
      <c r="K529" s="6" t="s">
        <v>10886</v>
      </c>
      <c r="L529" s="16" t="n">
        <v>45082</v>
      </c>
      <c r="M529" s="16" t="n">
        <v>45716</v>
      </c>
      <c r="N529" s="6" t="s">
        <v>10886</v>
      </c>
      <c r="O529" s="16" t="n">
        <v>45082</v>
      </c>
      <c r="P529" s="6" t="s">
        <v>11218</v>
      </c>
      <c r="Q529" s="6" t="s">
        <v>81</v>
      </c>
      <c r="R529" s="6" t="s">
        <v>81</v>
      </c>
      <c r="S529" s="6" t="s">
        <v>10886</v>
      </c>
      <c r="T529" s="16" t="n">
        <v>45082</v>
      </c>
      <c r="U529" s="6" t="s">
        <v>13169</v>
      </c>
      <c r="V529" s="6" t="s">
        <v>81</v>
      </c>
      <c r="W529" s="6" t="s">
        <v>81</v>
      </c>
      <c r="X529" s="6" t="s">
        <v>81</v>
      </c>
      <c r="Y529" s="21" t="s">
        <v>81</v>
      </c>
      <c r="Z529" s="6" t="s">
        <v>81</v>
      </c>
      <c r="AA529" s="6" t="s">
        <v>81</v>
      </c>
      <c r="AB529" s="6" t="s">
        <v>81</v>
      </c>
      <c r="AC529" s="6" t="s">
        <v>81</v>
      </c>
      <c r="AD529" s="21" t="s">
        <v>81</v>
      </c>
      <c r="AE529" s="6" t="s">
        <v>81</v>
      </c>
      <c r="AF529" s="6" t="s">
        <v>81</v>
      </c>
      <c r="AG529" s="6" t="s">
        <v>81</v>
      </c>
      <c r="AH529" s="6" t="s">
        <v>15118</v>
      </c>
      <c r="AI529" s="6" t="s">
        <v>81</v>
      </c>
      <c r="AJ529" s="6" t="s">
        <v>17490</v>
      </c>
      <c r="AK529" s="6" t="s">
        <v>17712</v>
      </c>
      <c r="AL529" s="6" t="s">
        <v>18444</v>
      </c>
      <c r="AM529" s="6" t="s">
        <v>18650</v>
      </c>
      <c r="AN529" s="6" t="s">
        <v>81</v>
      </c>
      <c r="AO529" s="6" t="s">
        <v>81</v>
      </c>
      <c r="AP529" s="6" t="s">
        <v>15118</v>
      </c>
      <c r="AQ529" s="6" t="s">
        <v>81</v>
      </c>
      <c r="AR529" s="6" t="s">
        <v>17490</v>
      </c>
      <c r="AS529" s="6" t="s">
        <v>17712</v>
      </c>
      <c r="AT529" s="6" t="s">
        <v>18444</v>
      </c>
      <c r="AU529" s="6" t="s">
        <v>18650</v>
      </c>
      <c r="AV529" s="6" t="s">
        <v>81</v>
      </c>
      <c r="AW529" s="6" t="s">
        <v>81</v>
      </c>
      <c r="AX529" s="6" t="s">
        <v>81</v>
      </c>
      <c r="AY529" s="6" t="s">
        <v>81</v>
      </c>
      <c r="AZ529" s="6" t="s">
        <v>81</v>
      </c>
      <c r="BA529" s="6" t="s">
        <v>81</v>
      </c>
      <c r="BB529" s="24" t="n">
        <v>104</v>
      </c>
      <c r="BC529" s="26"/>
      <c r="BD529" s="26"/>
      <c r="BE529" s="26"/>
      <c r="BF529" s="26" t="s">
        <v>23900</v>
      </c>
      <c r="BG529" s="26"/>
      <c r="BH529" s="26"/>
      <c r="BI529" s="26"/>
      <c r="BJ529" s="26"/>
      <c r="BK529" s="26"/>
      <c r="BL529" s="26"/>
      <c r="BM529" s="26"/>
      <c r="BN529" s="26"/>
      <c r="BO529" s="26"/>
      <c r="BP529" s="16" t="n">
        <v>45730</v>
      </c>
      <c r="BQ529" s="28" t="str">
        <f>HYPERLINK("https://organic.ams.usda.gov/Integrity/Certificate.aspx?cid=57&amp;nopid=3252023048")</f>
        <v>https://organic.ams.usda.gov/Integrity/Certificate.aspx?cid=57&amp;nopid=3252023048</v>
      </c>
    </row>
    <row r="530">
      <c r="A530" t="s">
        <v>3</v>
      </c>
      <c r="B530" s="6" t="s">
        <v>7</v>
      </c>
      <c r="C530" s="6" t="s">
        <v>54</v>
      </c>
      <c r="D530" s="6" t="s">
        <v>100</v>
      </c>
      <c r="E530" s="10" t="s">
        <v>671</v>
      </c>
      <c r="F530" s="6" t="s">
        <v>3405</v>
      </c>
      <c r="G530" s="6" t="s">
        <v>81</v>
      </c>
      <c r="H530" s="6" t="s">
        <v>6371</v>
      </c>
      <c r="I530" s="6" t="s">
        <v>8713</v>
      </c>
      <c r="J530" s="6" t="s">
        <v>9665</v>
      </c>
      <c r="K530" s="6" t="s">
        <v>10886</v>
      </c>
      <c r="L530" s="16" t="n">
        <v>44103</v>
      </c>
      <c r="M530" s="16" t="n">
        <v>45716</v>
      </c>
      <c r="N530" s="6" t="s">
        <v>10886</v>
      </c>
      <c r="O530" s="16" t="n">
        <v>44103</v>
      </c>
      <c r="P530" s="6" t="s">
        <v>11219</v>
      </c>
      <c r="Q530" s="6" t="s">
        <v>81</v>
      </c>
      <c r="R530" s="6" t="s">
        <v>81</v>
      </c>
      <c r="S530" s="6" t="s">
        <v>10886</v>
      </c>
      <c r="T530" s="16" t="n">
        <v>44544</v>
      </c>
      <c r="U530" s="6" t="s">
        <v>13169</v>
      </c>
      <c r="V530" s="6" t="s">
        <v>81</v>
      </c>
      <c r="W530" s="6" t="s">
        <v>81</v>
      </c>
      <c r="X530" s="6" t="s">
        <v>81</v>
      </c>
      <c r="Y530" s="21" t="s">
        <v>81</v>
      </c>
      <c r="Z530" s="6" t="s">
        <v>81</v>
      </c>
      <c r="AA530" s="6" t="s">
        <v>81</v>
      </c>
      <c r="AB530" s="6" t="s">
        <v>81</v>
      </c>
      <c r="AC530" s="6" t="s">
        <v>81</v>
      </c>
      <c r="AD530" s="21" t="s">
        <v>81</v>
      </c>
      <c r="AE530" s="6" t="s">
        <v>81</v>
      </c>
      <c r="AF530" s="6" t="s">
        <v>81</v>
      </c>
      <c r="AG530" s="6" t="s">
        <v>81</v>
      </c>
      <c r="AH530" s="6" t="s">
        <v>15119</v>
      </c>
      <c r="AI530" s="6" t="s">
        <v>81</v>
      </c>
      <c r="AJ530" s="6" t="s">
        <v>17509</v>
      </c>
      <c r="AK530" s="6" t="s">
        <v>17712</v>
      </c>
      <c r="AL530" s="6" t="s">
        <v>18444</v>
      </c>
      <c r="AM530" s="6" t="s">
        <v>18673</v>
      </c>
      <c r="AN530" s="6" t="s">
        <v>6842</v>
      </c>
      <c r="AO530" s="6" t="s">
        <v>19815</v>
      </c>
      <c r="AP530" s="6" t="s">
        <v>15119</v>
      </c>
      <c r="AQ530" s="6" t="s">
        <v>81</v>
      </c>
      <c r="AR530" s="6" t="s">
        <v>17509</v>
      </c>
      <c r="AS530" s="6" t="s">
        <v>17712</v>
      </c>
      <c r="AT530" s="6" t="s">
        <v>18444</v>
      </c>
      <c r="AU530" s="6" t="s">
        <v>18673</v>
      </c>
      <c r="AV530" s="6" t="s">
        <v>81</v>
      </c>
      <c r="AW530" s="6" t="s">
        <v>81</v>
      </c>
      <c r="AX530" s="6" t="s">
        <v>21090</v>
      </c>
      <c r="AY530" s="6" t="s">
        <v>81</v>
      </c>
      <c r="AZ530" s="6" t="s">
        <v>81</v>
      </c>
      <c r="BA530" s="6" t="s">
        <v>81</v>
      </c>
      <c r="BB530" s="24" t="n">
        <v>116</v>
      </c>
      <c r="BC530" s="26"/>
      <c r="BD530" s="26"/>
      <c r="BE530" s="26"/>
      <c r="BF530" s="26"/>
      <c r="BG530" s="26"/>
      <c r="BH530" s="26"/>
      <c r="BI530" s="26"/>
      <c r="BJ530" s="26"/>
      <c r="BK530" s="26"/>
      <c r="BL530" s="26"/>
      <c r="BM530" s="26"/>
      <c r="BN530" s="26"/>
      <c r="BO530" s="26"/>
      <c r="BP530" s="16" t="n">
        <v>45595</v>
      </c>
      <c r="BQ530" s="28" t="str">
        <f>HYPERLINK("https://organic.ams.usda.gov/Integrity/Certificate.aspx?cid=57&amp;nopid=3252020092")</f>
        <v>https://organic.ams.usda.gov/Integrity/Certificate.aspx?cid=57&amp;nopid=3252020092</v>
      </c>
    </row>
    <row r="531">
      <c r="A531" t="s">
        <v>3</v>
      </c>
      <c r="B531" s="6" t="s">
        <v>29</v>
      </c>
      <c r="C531" s="6" t="s">
        <v>76</v>
      </c>
      <c r="D531" s="6" t="s">
        <v>122</v>
      </c>
      <c r="E531" s="10" t="s">
        <v>672</v>
      </c>
      <c r="F531" s="6" t="s">
        <v>3406</v>
      </c>
      <c r="G531" s="6" t="s">
        <v>81</v>
      </c>
      <c r="H531" s="6" t="s">
        <v>6372</v>
      </c>
      <c r="I531" s="6" t="s">
        <v>8724</v>
      </c>
      <c r="J531" s="6" t="s">
        <v>9679</v>
      </c>
      <c r="K531" s="6" t="s">
        <v>10886</v>
      </c>
      <c r="L531" s="16" t="n">
        <v>40078</v>
      </c>
      <c r="M531" s="16" t="n">
        <v>45870</v>
      </c>
      <c r="N531" s="6" t="s">
        <v>10886</v>
      </c>
      <c r="O531" s="16" t="n">
        <v>40078</v>
      </c>
      <c r="P531" s="6" t="s">
        <v>11220</v>
      </c>
      <c r="Q531" s="6" t="s">
        <v>81</v>
      </c>
      <c r="R531" s="6" t="s">
        <v>12565</v>
      </c>
      <c r="S531" s="6" t="s">
        <v>10886</v>
      </c>
      <c r="T531" s="16" t="n">
        <v>40078</v>
      </c>
      <c r="U531" s="6" t="s">
        <v>13364</v>
      </c>
      <c r="V531" s="6" t="s">
        <v>81</v>
      </c>
      <c r="W531" s="6" t="s">
        <v>12565</v>
      </c>
      <c r="X531" s="6" t="s">
        <v>81</v>
      </c>
      <c r="Y531" s="21" t="s">
        <v>81</v>
      </c>
      <c r="Z531" s="6" t="s">
        <v>81</v>
      </c>
      <c r="AA531" s="6" t="s">
        <v>81</v>
      </c>
      <c r="AB531" s="6" t="s">
        <v>81</v>
      </c>
      <c r="AC531" s="6" t="s">
        <v>81</v>
      </c>
      <c r="AD531" s="21" t="s">
        <v>81</v>
      </c>
      <c r="AE531" s="6" t="s">
        <v>81</v>
      </c>
      <c r="AF531" s="6" t="s">
        <v>81</v>
      </c>
      <c r="AG531" s="6" t="s">
        <v>81</v>
      </c>
      <c r="AH531" s="6" t="s">
        <v>15120</v>
      </c>
      <c r="AI531" s="6" t="s">
        <v>81</v>
      </c>
      <c r="AJ531" s="6" t="s">
        <v>17649</v>
      </c>
      <c r="AK531" s="6" t="s">
        <v>18380</v>
      </c>
      <c r="AL531" s="6" t="s">
        <v>18444</v>
      </c>
      <c r="AM531" s="6" t="s">
        <v>18818</v>
      </c>
      <c r="AN531" s="6" t="s">
        <v>19639</v>
      </c>
      <c r="AO531" s="6" t="s">
        <v>19725</v>
      </c>
      <c r="AP531" s="6" t="s">
        <v>81</v>
      </c>
      <c r="AQ531" s="6" t="s">
        <v>81</v>
      </c>
      <c r="AR531" s="6" t="s">
        <v>81</v>
      </c>
      <c r="AS531" s="6" t="s">
        <v>81</v>
      </c>
      <c r="AT531" s="6" t="s">
        <v>81</v>
      </c>
      <c r="AU531" s="6" t="s">
        <v>81</v>
      </c>
      <c r="AV531" s="6" t="s">
        <v>81</v>
      </c>
      <c r="AW531" s="6" t="s">
        <v>81</v>
      </c>
      <c r="AX531" s="6" t="s">
        <v>21091</v>
      </c>
      <c r="AY531" s="6" t="s">
        <v>81</v>
      </c>
      <c r="AZ531" s="6" t="s">
        <v>81</v>
      </c>
      <c r="BA531" s="6" t="s">
        <v>81</v>
      </c>
      <c r="BB531" s="24" t="n">
        <v>72</v>
      </c>
      <c r="BC531" s="26"/>
      <c r="BD531" s="26"/>
      <c r="BE531" s="26"/>
      <c r="BF531" s="26" t="s">
        <v>23900</v>
      </c>
      <c r="BG531" s="26"/>
      <c r="BH531" s="26"/>
      <c r="BI531" s="26"/>
      <c r="BJ531" s="26"/>
      <c r="BK531" s="26"/>
      <c r="BL531" s="26"/>
      <c r="BM531" s="26"/>
      <c r="BN531" s="26"/>
      <c r="BO531" s="26"/>
      <c r="BP531" s="16" t="n">
        <v>45737</v>
      </c>
      <c r="BQ531" s="28" t="str">
        <f>HYPERLINK("https://organic.ams.usda.gov/Integrity/Certificate.aspx?cid=31&amp;nopid=3920897875")</f>
        <v>https://organic.ams.usda.gov/Integrity/Certificate.aspx?cid=31&amp;nopid=3920897875</v>
      </c>
    </row>
    <row r="532">
      <c r="A532" t="s">
        <v>3</v>
      </c>
      <c r="B532" s="6" t="s">
        <v>8</v>
      </c>
      <c r="C532" s="6" t="s">
        <v>55</v>
      </c>
      <c r="D532" s="6" t="s">
        <v>101</v>
      </c>
      <c r="E532" s="10" t="s">
        <v>673</v>
      </c>
      <c r="F532" s="6" t="s">
        <v>3407</v>
      </c>
      <c r="G532" s="6" t="s">
        <v>81</v>
      </c>
      <c r="H532" s="6" t="s">
        <v>6373</v>
      </c>
      <c r="I532" s="6" t="s">
        <v>8713</v>
      </c>
      <c r="J532" s="6" t="s">
        <v>9961</v>
      </c>
      <c r="K532" s="6" t="s">
        <v>10886</v>
      </c>
      <c r="L532" s="16" t="n">
        <v>39366</v>
      </c>
      <c r="M532" s="18" t="s">
        <v>81</v>
      </c>
      <c r="N532" s="6" t="s">
        <v>10886</v>
      </c>
      <c r="O532" s="16" t="n">
        <v>39366</v>
      </c>
      <c r="P532" s="6" t="s">
        <v>11221</v>
      </c>
      <c r="Q532" s="6" t="s">
        <v>81</v>
      </c>
      <c r="R532" s="6" t="s">
        <v>81</v>
      </c>
      <c r="S532" s="6" t="s">
        <v>10886</v>
      </c>
      <c r="T532" s="16" t="n">
        <v>39366</v>
      </c>
      <c r="U532" s="6" t="s">
        <v>13365</v>
      </c>
      <c r="V532" s="6" t="s">
        <v>81</v>
      </c>
      <c r="W532" s="6" t="s">
        <v>81</v>
      </c>
      <c r="X532" s="6" t="s">
        <v>81</v>
      </c>
      <c r="Y532" s="21" t="s">
        <v>81</v>
      </c>
      <c r="Z532" s="6" t="s">
        <v>81</v>
      </c>
      <c r="AA532" s="6" t="s">
        <v>81</v>
      </c>
      <c r="AB532" s="6" t="s">
        <v>81</v>
      </c>
      <c r="AC532" s="6" t="s">
        <v>81</v>
      </c>
      <c r="AD532" s="21" t="s">
        <v>81</v>
      </c>
      <c r="AE532" s="6" t="s">
        <v>81</v>
      </c>
      <c r="AF532" s="6" t="s">
        <v>81</v>
      </c>
      <c r="AG532" s="6" t="s">
        <v>81</v>
      </c>
      <c r="AH532" s="6" t="s">
        <v>15121</v>
      </c>
      <c r="AI532" s="6" t="s">
        <v>81</v>
      </c>
      <c r="AJ532" s="6" t="s">
        <v>17366</v>
      </c>
      <c r="AK532" s="6" t="s">
        <v>18381</v>
      </c>
      <c r="AL532" s="6" t="s">
        <v>18444</v>
      </c>
      <c r="AM532" s="6" t="s">
        <v>18518</v>
      </c>
      <c r="AN532" s="6" t="s">
        <v>19676</v>
      </c>
      <c r="AO532" s="6" t="s">
        <v>19797</v>
      </c>
      <c r="AP532" s="6" t="s">
        <v>81</v>
      </c>
      <c r="AQ532" s="6" t="s">
        <v>81</v>
      </c>
      <c r="AR532" s="6" t="s">
        <v>81</v>
      </c>
      <c r="AS532" s="6" t="s">
        <v>81</v>
      </c>
      <c r="AT532" s="6" t="s">
        <v>81</v>
      </c>
      <c r="AU532" s="6" t="s">
        <v>81</v>
      </c>
      <c r="AV532" s="6" t="s">
        <v>81</v>
      </c>
      <c r="AW532" s="6" t="s">
        <v>81</v>
      </c>
      <c r="AX532" s="6" t="s">
        <v>81</v>
      </c>
      <c r="AY532" s="6" t="s">
        <v>81</v>
      </c>
      <c r="AZ532" s="6" t="s">
        <v>81</v>
      </c>
      <c r="BA532" s="6" t="s">
        <v>81</v>
      </c>
      <c r="BB532" s="24" t="n">
        <v>428</v>
      </c>
      <c r="BC532" s="26"/>
      <c r="BD532" s="26"/>
      <c r="BE532" s="26"/>
      <c r="BF532" s="26"/>
      <c r="BG532" s="26"/>
      <c r="BH532" s="26"/>
      <c r="BI532" s="26"/>
      <c r="BJ532" s="26"/>
      <c r="BK532" s="26"/>
      <c r="BL532" s="26"/>
      <c r="BM532" s="26"/>
      <c r="BN532" s="26"/>
      <c r="BO532" s="26"/>
      <c r="BP532" s="16" t="n">
        <v>45292</v>
      </c>
      <c r="BQ532" s="28" t="str">
        <f>HYPERLINK("https://organic.ams.usda.gov/Integrity/Certificate.aspx?cid=45&amp;nopid=9950002739")</f>
        <v>https://organic.ams.usda.gov/Integrity/Certificate.aspx?cid=45&amp;nopid=9950002739</v>
      </c>
    </row>
    <row r="533">
      <c r="A533" t="s">
        <v>3</v>
      </c>
      <c r="B533" s="6" t="s">
        <v>9</v>
      </c>
      <c r="C533" s="6" t="s">
        <v>56</v>
      </c>
      <c r="D533" s="6" t="s">
        <v>102</v>
      </c>
      <c r="E533" s="10" t="s">
        <v>674</v>
      </c>
      <c r="F533" s="6" t="s">
        <v>3408</v>
      </c>
      <c r="G533" s="6" t="s">
        <v>81</v>
      </c>
      <c r="H533" s="6" t="s">
        <v>6374</v>
      </c>
      <c r="I533" s="6" t="s">
        <v>8713</v>
      </c>
      <c r="J533" s="6" t="s">
        <v>9962</v>
      </c>
      <c r="K533" s="6" t="s">
        <v>10886</v>
      </c>
      <c r="L533" s="16" t="n">
        <v>39434</v>
      </c>
      <c r="M533" s="16" t="n">
        <v>46113</v>
      </c>
      <c r="N533" s="6" t="s">
        <v>10886</v>
      </c>
      <c r="O533" s="16" t="n">
        <v>39434</v>
      </c>
      <c r="P533" s="6" t="s">
        <v>11222</v>
      </c>
      <c r="Q533" s="6" t="s">
        <v>81</v>
      </c>
      <c r="R533" s="6" t="s">
        <v>12566</v>
      </c>
      <c r="S533" s="6" t="s">
        <v>10886</v>
      </c>
      <c r="T533" s="16" t="n">
        <v>39434</v>
      </c>
      <c r="U533" s="6" t="s">
        <v>13172</v>
      </c>
      <c r="V533" s="6" t="s">
        <v>81</v>
      </c>
      <c r="W533" s="6" t="s">
        <v>12566</v>
      </c>
      <c r="X533" s="6" t="s">
        <v>81</v>
      </c>
      <c r="Y533" s="21" t="s">
        <v>81</v>
      </c>
      <c r="Z533" s="6" t="s">
        <v>81</v>
      </c>
      <c r="AA533" s="6" t="s">
        <v>81</v>
      </c>
      <c r="AB533" s="6" t="s">
        <v>81</v>
      </c>
      <c r="AC533" s="6" t="s">
        <v>81</v>
      </c>
      <c r="AD533" s="21" t="s">
        <v>81</v>
      </c>
      <c r="AE533" s="6" t="s">
        <v>81</v>
      </c>
      <c r="AF533" s="6" t="s">
        <v>81</v>
      </c>
      <c r="AG533" s="6" t="s">
        <v>81</v>
      </c>
      <c r="AH533" s="6" t="s">
        <v>15122</v>
      </c>
      <c r="AI533" s="6" t="s">
        <v>81</v>
      </c>
      <c r="AJ533" s="6" t="s">
        <v>10599</v>
      </c>
      <c r="AK533" s="6" t="s">
        <v>18377</v>
      </c>
      <c r="AL533" s="6" t="s">
        <v>18444</v>
      </c>
      <c r="AM533" s="6" t="s">
        <v>18819</v>
      </c>
      <c r="AN533" s="6" t="s">
        <v>19651</v>
      </c>
      <c r="AO533" s="6" t="s">
        <v>19747</v>
      </c>
      <c r="AP533" s="6" t="s">
        <v>81</v>
      </c>
      <c r="AQ533" s="6" t="s">
        <v>81</v>
      </c>
      <c r="AR533" s="6" t="s">
        <v>81</v>
      </c>
      <c r="AS533" s="6" t="s">
        <v>81</v>
      </c>
      <c r="AT533" s="6" t="s">
        <v>81</v>
      </c>
      <c r="AU533" s="6" t="s">
        <v>81</v>
      </c>
      <c r="AV533" s="6" t="s">
        <v>81</v>
      </c>
      <c r="AW533" s="6" t="s">
        <v>81</v>
      </c>
      <c r="AX533" s="6" t="s">
        <v>21092</v>
      </c>
      <c r="AY533" s="6" t="s">
        <v>22767</v>
      </c>
      <c r="AZ533" s="6" t="s">
        <v>81</v>
      </c>
      <c r="BA533" s="6" t="s">
        <v>81</v>
      </c>
      <c r="BB533" s="24" t="n">
        <v>506</v>
      </c>
      <c r="BC533" s="26"/>
      <c r="BD533" s="26"/>
      <c r="BE533" s="26"/>
      <c r="BF533" s="26"/>
      <c r="BG533" s="26"/>
      <c r="BH533" s="26"/>
      <c r="BI533" s="26"/>
      <c r="BJ533" s="26"/>
      <c r="BK533" s="26"/>
      <c r="BL533" s="26"/>
      <c r="BM533" s="26"/>
      <c r="BN533" s="26"/>
      <c r="BO533" s="26"/>
      <c r="BP533" s="16" t="n">
        <v>45738</v>
      </c>
      <c r="BQ533" s="28" t="str">
        <f>HYPERLINK("https://organic.ams.usda.gov/Integrity/Certificate.aspx?cid=52&amp;nopid=8430700050")</f>
        <v>https://organic.ams.usda.gov/Integrity/Certificate.aspx?cid=52&amp;nopid=8430700050</v>
      </c>
    </row>
    <row r="534">
      <c r="A534" t="s">
        <v>3</v>
      </c>
      <c r="B534" s="6" t="s">
        <v>29</v>
      </c>
      <c r="C534" s="6" t="s">
        <v>76</v>
      </c>
      <c r="D534" s="6" t="s">
        <v>122</v>
      </c>
      <c r="E534" s="10" t="s">
        <v>675</v>
      </c>
      <c r="F534" s="6" t="s">
        <v>3409</v>
      </c>
      <c r="G534" s="6" t="s">
        <v>5647</v>
      </c>
      <c r="H534" s="6" t="s">
        <v>6375</v>
      </c>
      <c r="I534" s="6" t="s">
        <v>8725</v>
      </c>
      <c r="J534" s="6" t="s">
        <v>9755</v>
      </c>
      <c r="K534" s="6" t="s">
        <v>10886</v>
      </c>
      <c r="L534" s="16" t="n">
        <v>45258</v>
      </c>
      <c r="M534" s="16" t="n">
        <v>45870</v>
      </c>
      <c r="N534" s="6" t="s">
        <v>10886</v>
      </c>
      <c r="O534" s="16" t="n">
        <v>45258</v>
      </c>
      <c r="P534" s="6" t="s">
        <v>11223</v>
      </c>
      <c r="Q534" s="6" t="s">
        <v>81</v>
      </c>
      <c r="R534" s="6" t="s">
        <v>12567</v>
      </c>
      <c r="S534" s="6" t="s">
        <v>10886</v>
      </c>
      <c r="T534" s="16" t="n">
        <v>45258</v>
      </c>
      <c r="U534" s="6" t="s">
        <v>13366</v>
      </c>
      <c r="V534" s="6" t="s">
        <v>81</v>
      </c>
      <c r="W534" s="6" t="s">
        <v>12567</v>
      </c>
      <c r="X534" s="6" t="s">
        <v>81</v>
      </c>
      <c r="Y534" s="21" t="s">
        <v>81</v>
      </c>
      <c r="Z534" s="6" t="s">
        <v>81</v>
      </c>
      <c r="AA534" s="6" t="s">
        <v>81</v>
      </c>
      <c r="AB534" s="6" t="s">
        <v>81</v>
      </c>
      <c r="AC534" s="6" t="s">
        <v>81</v>
      </c>
      <c r="AD534" s="21" t="s">
        <v>81</v>
      </c>
      <c r="AE534" s="6" t="s">
        <v>81</v>
      </c>
      <c r="AF534" s="6" t="s">
        <v>81</v>
      </c>
      <c r="AG534" s="6" t="s">
        <v>81</v>
      </c>
      <c r="AH534" s="6" t="s">
        <v>15123</v>
      </c>
      <c r="AI534" s="6" t="s">
        <v>81</v>
      </c>
      <c r="AJ534" s="6" t="s">
        <v>17475</v>
      </c>
      <c r="AK534" s="6" t="s">
        <v>18377</v>
      </c>
      <c r="AL534" s="6" t="s">
        <v>18444</v>
      </c>
      <c r="AM534" s="6" t="s">
        <v>18637</v>
      </c>
      <c r="AN534" s="6" t="s">
        <v>81</v>
      </c>
      <c r="AO534" s="6" t="s">
        <v>81</v>
      </c>
      <c r="AP534" s="6" t="s">
        <v>81</v>
      </c>
      <c r="AQ534" s="6" t="s">
        <v>81</v>
      </c>
      <c r="AR534" s="6" t="s">
        <v>81</v>
      </c>
      <c r="AS534" s="6" t="s">
        <v>81</v>
      </c>
      <c r="AT534" s="6" t="s">
        <v>81</v>
      </c>
      <c r="AU534" s="6" t="s">
        <v>81</v>
      </c>
      <c r="AV534" s="6" t="s">
        <v>81</v>
      </c>
      <c r="AW534" s="6" t="s">
        <v>81</v>
      </c>
      <c r="AX534" s="6" t="s">
        <v>81</v>
      </c>
      <c r="AY534" s="6" t="s">
        <v>81</v>
      </c>
      <c r="AZ534" s="6" t="s">
        <v>81</v>
      </c>
      <c r="BA534" s="6" t="s">
        <v>81</v>
      </c>
      <c r="BB534" s="24" t="n">
        <v>147</v>
      </c>
      <c r="BC534" s="26"/>
      <c r="BD534" s="26"/>
      <c r="BE534" s="26"/>
      <c r="BF534" s="26" t="s">
        <v>23900</v>
      </c>
      <c r="BG534" s="26"/>
      <c r="BH534" s="26"/>
      <c r="BI534" s="26"/>
      <c r="BJ534" s="26"/>
      <c r="BK534" s="26"/>
      <c r="BL534" s="26"/>
      <c r="BM534" s="26"/>
      <c r="BN534" s="26"/>
      <c r="BO534" s="26"/>
      <c r="BP534" s="16" t="n">
        <v>45737</v>
      </c>
      <c r="BQ534" s="28" t="str">
        <f>HYPERLINK("https://organic.ams.usda.gov/Integrity/Certificate.aspx?cid=31&amp;nopid=3928972396")</f>
        <v>https://organic.ams.usda.gov/Integrity/Certificate.aspx?cid=31&amp;nopid=3928972396</v>
      </c>
    </row>
    <row r="535">
      <c r="A535" t="s">
        <v>3</v>
      </c>
      <c r="B535" s="6" t="s">
        <v>7</v>
      </c>
      <c r="C535" s="6" t="s">
        <v>54</v>
      </c>
      <c r="D535" s="6" t="s">
        <v>100</v>
      </c>
      <c r="E535" s="10" t="s">
        <v>676</v>
      </c>
      <c r="F535" s="6" t="s">
        <v>3410</v>
      </c>
      <c r="G535" s="6" t="s">
        <v>81</v>
      </c>
      <c r="H535" s="6" t="s">
        <v>6376</v>
      </c>
      <c r="I535" s="6" t="s">
        <v>8713</v>
      </c>
      <c r="J535" s="6" t="s">
        <v>9727</v>
      </c>
      <c r="K535" s="6" t="s">
        <v>10886</v>
      </c>
      <c r="L535" s="16" t="n">
        <v>44376</v>
      </c>
      <c r="M535" s="16" t="n">
        <v>45716</v>
      </c>
      <c r="N535" s="6" t="s">
        <v>10886</v>
      </c>
      <c r="O535" s="16" t="n">
        <v>44376</v>
      </c>
      <c r="P535" s="6" t="s">
        <v>10930</v>
      </c>
      <c r="Q535" s="6" t="s">
        <v>81</v>
      </c>
      <c r="R535" s="6" t="s">
        <v>81</v>
      </c>
      <c r="S535" s="6" t="s">
        <v>10886</v>
      </c>
      <c r="T535" s="16" t="n">
        <v>44376</v>
      </c>
      <c r="U535" s="6" t="s">
        <v>13284</v>
      </c>
      <c r="V535" s="6" t="s">
        <v>81</v>
      </c>
      <c r="W535" s="6" t="s">
        <v>81</v>
      </c>
      <c r="X535" s="6" t="s">
        <v>81</v>
      </c>
      <c r="Y535" s="21" t="s">
        <v>81</v>
      </c>
      <c r="Z535" s="6" t="s">
        <v>81</v>
      </c>
      <c r="AA535" s="6" t="s">
        <v>81</v>
      </c>
      <c r="AB535" s="6" t="s">
        <v>81</v>
      </c>
      <c r="AC535" s="6" t="s">
        <v>81</v>
      </c>
      <c r="AD535" s="21" t="s">
        <v>81</v>
      </c>
      <c r="AE535" s="6" t="s">
        <v>81</v>
      </c>
      <c r="AF535" s="6" t="s">
        <v>81</v>
      </c>
      <c r="AG535" s="6" t="s">
        <v>81</v>
      </c>
      <c r="AH535" s="6" t="s">
        <v>15124</v>
      </c>
      <c r="AI535" s="6" t="s">
        <v>81</v>
      </c>
      <c r="AJ535" s="6" t="s">
        <v>17490</v>
      </c>
      <c r="AK535" s="6" t="s">
        <v>17712</v>
      </c>
      <c r="AL535" s="6" t="s">
        <v>18444</v>
      </c>
      <c r="AM535" s="6" t="s">
        <v>18650</v>
      </c>
      <c r="AN535" s="6" t="s">
        <v>19635</v>
      </c>
      <c r="AO535" s="6" t="s">
        <v>19795</v>
      </c>
      <c r="AP535" s="6" t="s">
        <v>15124</v>
      </c>
      <c r="AQ535" s="6" t="s">
        <v>81</v>
      </c>
      <c r="AR535" s="6" t="s">
        <v>17490</v>
      </c>
      <c r="AS535" s="6" t="s">
        <v>17712</v>
      </c>
      <c r="AT535" s="6" t="s">
        <v>18444</v>
      </c>
      <c r="AU535" s="6" t="s">
        <v>18650</v>
      </c>
      <c r="AV535" s="6" t="s">
        <v>81</v>
      </c>
      <c r="AW535" s="6" t="s">
        <v>81</v>
      </c>
      <c r="AX535" s="6" t="s">
        <v>81</v>
      </c>
      <c r="AY535" s="6" t="s">
        <v>81</v>
      </c>
      <c r="AZ535" s="6" t="s">
        <v>81</v>
      </c>
      <c r="BA535" s="6" t="s">
        <v>81</v>
      </c>
      <c r="BB535" s="24" t="n">
        <v>106</v>
      </c>
      <c r="BC535" s="26"/>
      <c r="BD535" s="26"/>
      <c r="BE535" s="26"/>
      <c r="BF535" s="26"/>
      <c r="BG535" s="26"/>
      <c r="BH535" s="26"/>
      <c r="BI535" s="26"/>
      <c r="BJ535" s="26"/>
      <c r="BK535" s="26"/>
      <c r="BL535" s="26"/>
      <c r="BM535" s="26"/>
      <c r="BN535" s="26"/>
      <c r="BO535" s="26"/>
      <c r="BP535" s="16" t="n">
        <v>45595</v>
      </c>
      <c r="BQ535" s="28" t="str">
        <f>HYPERLINK("https://organic.ams.usda.gov/Integrity/Certificate.aspx?cid=57&amp;nopid=3252021051")</f>
        <v>https://organic.ams.usda.gov/Integrity/Certificate.aspx?cid=57&amp;nopid=3252021051</v>
      </c>
    </row>
    <row r="536">
      <c r="A536" t="s">
        <v>3</v>
      </c>
      <c r="B536" s="6" t="s">
        <v>29</v>
      </c>
      <c r="C536" s="6" t="s">
        <v>76</v>
      </c>
      <c r="D536" s="6" t="s">
        <v>122</v>
      </c>
      <c r="E536" s="10" t="s">
        <v>677</v>
      </c>
      <c r="F536" s="6" t="s">
        <v>3411</v>
      </c>
      <c r="G536" s="6" t="s">
        <v>81</v>
      </c>
      <c r="H536" s="6" t="s">
        <v>6377</v>
      </c>
      <c r="I536" s="6" t="s">
        <v>8725</v>
      </c>
      <c r="J536" s="6" t="s">
        <v>9671</v>
      </c>
      <c r="K536" s="6" t="s">
        <v>10886</v>
      </c>
      <c r="L536" s="16" t="n">
        <v>43305</v>
      </c>
      <c r="M536" s="16" t="n">
        <v>45870</v>
      </c>
      <c r="N536" s="6" t="s">
        <v>10886</v>
      </c>
      <c r="O536" s="16" t="n">
        <v>43305</v>
      </c>
      <c r="P536" s="6" t="s">
        <v>11224</v>
      </c>
      <c r="Q536" s="6" t="s">
        <v>81</v>
      </c>
      <c r="R536" s="6" t="s">
        <v>12568</v>
      </c>
      <c r="S536" s="6" t="s">
        <v>10886</v>
      </c>
      <c r="T536" s="16" t="n">
        <v>43305</v>
      </c>
      <c r="U536" s="6" t="s">
        <v>13367</v>
      </c>
      <c r="V536" s="6" t="s">
        <v>81</v>
      </c>
      <c r="W536" s="6" t="s">
        <v>12568</v>
      </c>
      <c r="X536" s="6" t="s">
        <v>81</v>
      </c>
      <c r="Y536" s="21" t="s">
        <v>81</v>
      </c>
      <c r="Z536" s="6" t="s">
        <v>81</v>
      </c>
      <c r="AA536" s="6" t="s">
        <v>81</v>
      </c>
      <c r="AB536" s="6" t="s">
        <v>81</v>
      </c>
      <c r="AC536" s="6" t="s">
        <v>81</v>
      </c>
      <c r="AD536" s="21" t="s">
        <v>81</v>
      </c>
      <c r="AE536" s="6" t="s">
        <v>81</v>
      </c>
      <c r="AF536" s="6" t="s">
        <v>81</v>
      </c>
      <c r="AG536" s="6" t="s">
        <v>81</v>
      </c>
      <c r="AH536" s="6" t="s">
        <v>15125</v>
      </c>
      <c r="AI536" s="6" t="s">
        <v>81</v>
      </c>
      <c r="AJ536" s="6" t="s">
        <v>17329</v>
      </c>
      <c r="AK536" s="6" t="s">
        <v>18380</v>
      </c>
      <c r="AL536" s="6" t="s">
        <v>18444</v>
      </c>
      <c r="AM536" s="6" t="s">
        <v>18481</v>
      </c>
      <c r="AN536" s="6" t="s">
        <v>19639</v>
      </c>
      <c r="AO536" s="6" t="s">
        <v>19725</v>
      </c>
      <c r="AP536" s="6" t="s">
        <v>81</v>
      </c>
      <c r="AQ536" s="6" t="s">
        <v>81</v>
      </c>
      <c r="AR536" s="6" t="s">
        <v>81</v>
      </c>
      <c r="AS536" s="6" t="s">
        <v>81</v>
      </c>
      <c r="AT536" s="6" t="s">
        <v>81</v>
      </c>
      <c r="AU536" s="6" t="s">
        <v>81</v>
      </c>
      <c r="AV536" s="6" t="s">
        <v>81</v>
      </c>
      <c r="AW536" s="6" t="s">
        <v>81</v>
      </c>
      <c r="AX536" s="6" t="s">
        <v>81</v>
      </c>
      <c r="AY536" s="6" t="s">
        <v>81</v>
      </c>
      <c r="AZ536" s="6" t="s">
        <v>81</v>
      </c>
      <c r="BA536" s="6" t="s">
        <v>81</v>
      </c>
      <c r="BB536" s="24" t="n">
        <v>48</v>
      </c>
      <c r="BC536" s="26"/>
      <c r="BD536" s="26"/>
      <c r="BE536" s="26"/>
      <c r="BF536" s="26" t="s">
        <v>23900</v>
      </c>
      <c r="BG536" s="26"/>
      <c r="BH536" s="26"/>
      <c r="BI536" s="26"/>
      <c r="BJ536" s="26"/>
      <c r="BK536" s="26"/>
      <c r="BL536" s="26"/>
      <c r="BM536" s="26"/>
      <c r="BN536" s="26"/>
      <c r="BO536" s="26"/>
      <c r="BP536" s="16" t="n">
        <v>45737</v>
      </c>
      <c r="BQ536" s="28" t="str">
        <f>HYPERLINK("https://organic.ams.usda.gov/Integrity/Certificate.aspx?cid=31&amp;nopid=3928971930")</f>
        <v>https://organic.ams.usda.gov/Integrity/Certificate.aspx?cid=31&amp;nopid=3928971930</v>
      </c>
    </row>
    <row r="537">
      <c r="A537" t="s">
        <v>3</v>
      </c>
      <c r="B537" s="6" t="s">
        <v>13</v>
      </c>
      <c r="C537" s="6" t="s">
        <v>60</v>
      </c>
      <c r="D537" s="6" t="s">
        <v>106</v>
      </c>
      <c r="E537" s="10" t="s">
        <v>678</v>
      </c>
      <c r="F537" s="6" t="s">
        <v>3412</v>
      </c>
      <c r="G537" s="6" t="s">
        <v>81</v>
      </c>
      <c r="H537" s="6" t="s">
        <v>6378</v>
      </c>
      <c r="I537" s="6" t="s">
        <v>8713</v>
      </c>
      <c r="J537" s="6" t="s">
        <v>9752</v>
      </c>
      <c r="K537" s="6" t="s">
        <v>10886</v>
      </c>
      <c r="L537" s="16" t="n">
        <v>42549</v>
      </c>
      <c r="M537" s="16" t="n">
        <v>45748</v>
      </c>
      <c r="N537" s="6" t="s">
        <v>10886</v>
      </c>
      <c r="O537" s="16" t="n">
        <v>42549</v>
      </c>
      <c r="P537" s="6" t="s">
        <v>11225</v>
      </c>
      <c r="Q537" s="6" t="s">
        <v>81</v>
      </c>
      <c r="R537" s="6" t="s">
        <v>12569</v>
      </c>
      <c r="S537" s="6" t="s">
        <v>10886</v>
      </c>
      <c r="T537" s="16" t="n">
        <v>42549</v>
      </c>
      <c r="U537" s="6" t="s">
        <v>13368</v>
      </c>
      <c r="V537" s="6" t="s">
        <v>81</v>
      </c>
      <c r="W537" s="6" t="s">
        <v>12569</v>
      </c>
      <c r="X537" s="6" t="s">
        <v>81</v>
      </c>
      <c r="Y537" s="21" t="s">
        <v>81</v>
      </c>
      <c r="Z537" s="6" t="s">
        <v>81</v>
      </c>
      <c r="AA537" s="6" t="s">
        <v>81</v>
      </c>
      <c r="AB537" s="6" t="s">
        <v>81</v>
      </c>
      <c r="AC537" s="6" t="s">
        <v>81</v>
      </c>
      <c r="AD537" s="21" t="s">
        <v>81</v>
      </c>
      <c r="AE537" s="6" t="s">
        <v>81</v>
      </c>
      <c r="AF537" s="6" t="s">
        <v>81</v>
      </c>
      <c r="AG537" s="6" t="s">
        <v>81</v>
      </c>
      <c r="AH537" s="6" t="s">
        <v>15126</v>
      </c>
      <c r="AI537" s="6" t="s">
        <v>81</v>
      </c>
      <c r="AJ537" s="6" t="s">
        <v>17650</v>
      </c>
      <c r="AK537" s="6" t="s">
        <v>18380</v>
      </c>
      <c r="AL537" s="6" t="s">
        <v>18444</v>
      </c>
      <c r="AM537" s="6" t="s">
        <v>18820</v>
      </c>
      <c r="AN537" s="6" t="s">
        <v>19681</v>
      </c>
      <c r="AO537" s="6" t="s">
        <v>19805</v>
      </c>
      <c r="AP537" s="6" t="s">
        <v>15126</v>
      </c>
      <c r="AQ537" s="6" t="s">
        <v>81</v>
      </c>
      <c r="AR537" s="6" t="s">
        <v>17650</v>
      </c>
      <c r="AS537" s="6" t="s">
        <v>18380</v>
      </c>
      <c r="AT537" s="6" t="s">
        <v>18444</v>
      </c>
      <c r="AU537" s="6" t="s">
        <v>18820</v>
      </c>
      <c r="AV537" s="6" t="s">
        <v>81</v>
      </c>
      <c r="AW537" s="6" t="s">
        <v>81</v>
      </c>
      <c r="AX537" s="6" t="s">
        <v>21093</v>
      </c>
      <c r="AY537" s="6" t="s">
        <v>81</v>
      </c>
      <c r="AZ537" s="6" t="s">
        <v>81</v>
      </c>
      <c r="BA537" s="6" t="s">
        <v>81</v>
      </c>
      <c r="BB537" s="24" t="n">
        <v>116</v>
      </c>
      <c r="BC537" s="26"/>
      <c r="BD537" s="26"/>
      <c r="BE537" s="26"/>
      <c r="BF537" s="26" t="s">
        <v>23900</v>
      </c>
      <c r="BG537" s="26"/>
      <c r="BH537" s="26"/>
      <c r="BI537" s="26"/>
      <c r="BJ537" s="26"/>
      <c r="BK537" s="26"/>
      <c r="BL537" s="26"/>
      <c r="BM537" s="26"/>
      <c r="BN537" s="26"/>
      <c r="BO537" s="26"/>
      <c r="BP537" s="16" t="n">
        <v>45663</v>
      </c>
      <c r="BQ537" s="28" t="str">
        <f>HYPERLINK("https://organic.ams.usda.gov/Integrity/Certificate.aspx?cid=72&amp;nopid=5870002358")</f>
        <v>https://organic.ams.usda.gov/Integrity/Certificate.aspx?cid=72&amp;nopid=5870002358</v>
      </c>
    </row>
    <row r="538">
      <c r="A538" t="s">
        <v>3</v>
      </c>
      <c r="B538" s="6" t="s">
        <v>7</v>
      </c>
      <c r="C538" s="6" t="s">
        <v>54</v>
      </c>
      <c r="D538" s="6" t="s">
        <v>100</v>
      </c>
      <c r="E538" s="10" t="s">
        <v>679</v>
      </c>
      <c r="F538" s="6" t="s">
        <v>3413</v>
      </c>
      <c r="G538" s="6" t="s">
        <v>81</v>
      </c>
      <c r="H538" s="6" t="s">
        <v>6379</v>
      </c>
      <c r="I538" s="6" t="s">
        <v>8713</v>
      </c>
      <c r="J538" s="6" t="s">
        <v>9669</v>
      </c>
      <c r="K538" s="6" t="s">
        <v>10886</v>
      </c>
      <c r="L538" s="16" t="n">
        <v>45071</v>
      </c>
      <c r="M538" s="16" t="n">
        <v>45716</v>
      </c>
      <c r="N538" s="6" t="s">
        <v>10886</v>
      </c>
      <c r="O538" s="16" t="n">
        <v>45071</v>
      </c>
      <c r="P538" s="6" t="s">
        <v>10977</v>
      </c>
      <c r="Q538" s="6" t="s">
        <v>81</v>
      </c>
      <c r="R538" s="6" t="s">
        <v>81</v>
      </c>
      <c r="S538" s="6" t="s">
        <v>10886</v>
      </c>
      <c r="T538" s="16" t="n">
        <v>45071</v>
      </c>
      <c r="U538" s="6" t="s">
        <v>13169</v>
      </c>
      <c r="V538" s="6" t="s">
        <v>81</v>
      </c>
      <c r="W538" s="6" t="s">
        <v>81</v>
      </c>
      <c r="X538" s="6" t="s">
        <v>81</v>
      </c>
      <c r="Y538" s="21" t="s">
        <v>81</v>
      </c>
      <c r="Z538" s="6" t="s">
        <v>81</v>
      </c>
      <c r="AA538" s="6" t="s">
        <v>81</v>
      </c>
      <c r="AB538" s="6" t="s">
        <v>81</v>
      </c>
      <c r="AC538" s="6" t="s">
        <v>81</v>
      </c>
      <c r="AD538" s="21" t="s">
        <v>81</v>
      </c>
      <c r="AE538" s="6" t="s">
        <v>81</v>
      </c>
      <c r="AF538" s="6" t="s">
        <v>81</v>
      </c>
      <c r="AG538" s="6" t="s">
        <v>81</v>
      </c>
      <c r="AH538" s="6" t="s">
        <v>15127</v>
      </c>
      <c r="AI538" s="6" t="s">
        <v>81</v>
      </c>
      <c r="AJ538" s="6" t="s">
        <v>17406</v>
      </c>
      <c r="AK538" s="6" t="s">
        <v>17712</v>
      </c>
      <c r="AL538" s="6" t="s">
        <v>18444</v>
      </c>
      <c r="AM538" s="6" t="s">
        <v>18562</v>
      </c>
      <c r="AN538" s="6" t="s">
        <v>81</v>
      </c>
      <c r="AO538" s="6" t="s">
        <v>81</v>
      </c>
      <c r="AP538" s="6" t="s">
        <v>15127</v>
      </c>
      <c r="AQ538" s="6" t="s">
        <v>81</v>
      </c>
      <c r="AR538" s="6" t="s">
        <v>17406</v>
      </c>
      <c r="AS538" s="6" t="s">
        <v>17712</v>
      </c>
      <c r="AT538" s="6" t="s">
        <v>18444</v>
      </c>
      <c r="AU538" s="6" t="s">
        <v>18562</v>
      </c>
      <c r="AV538" s="6" t="s">
        <v>81</v>
      </c>
      <c r="AW538" s="6" t="s">
        <v>81</v>
      </c>
      <c r="AX538" s="6" t="s">
        <v>81</v>
      </c>
      <c r="AY538" s="6" t="s">
        <v>81</v>
      </c>
      <c r="AZ538" s="6" t="s">
        <v>81</v>
      </c>
      <c r="BA538" s="6" t="s">
        <v>81</v>
      </c>
      <c r="BB538" s="24" t="n">
        <v>64</v>
      </c>
      <c r="BC538" s="26"/>
      <c r="BD538" s="26"/>
      <c r="BE538" s="26"/>
      <c r="BF538" s="26" t="s">
        <v>23900</v>
      </c>
      <c r="BG538" s="26"/>
      <c r="BH538" s="26"/>
      <c r="BI538" s="26"/>
      <c r="BJ538" s="26"/>
      <c r="BK538" s="26"/>
      <c r="BL538" s="26"/>
      <c r="BM538" s="26"/>
      <c r="BN538" s="26"/>
      <c r="BO538" s="26"/>
      <c r="BP538" s="16" t="n">
        <v>45616</v>
      </c>
      <c r="BQ538" s="28" t="str">
        <f>HYPERLINK("https://organic.ams.usda.gov/Integrity/Certificate.aspx?cid=57&amp;nopid=3252023007")</f>
        <v>https://organic.ams.usda.gov/Integrity/Certificate.aspx?cid=57&amp;nopid=3252023007</v>
      </c>
    </row>
    <row r="539">
      <c r="A539" t="s">
        <v>3</v>
      </c>
      <c r="B539" s="6" t="s">
        <v>18</v>
      </c>
      <c r="C539" s="6" t="s">
        <v>65</v>
      </c>
      <c r="D539" s="6" t="s">
        <v>111</v>
      </c>
      <c r="E539" s="10" t="s">
        <v>680</v>
      </c>
      <c r="F539" s="6" t="s">
        <v>3414</v>
      </c>
      <c r="G539" s="6" t="s">
        <v>81</v>
      </c>
      <c r="H539" s="6" t="s">
        <v>680</v>
      </c>
      <c r="I539" s="6" t="s">
        <v>8713</v>
      </c>
      <c r="J539" s="6" t="s">
        <v>9666</v>
      </c>
      <c r="K539" s="6" t="s">
        <v>10886</v>
      </c>
      <c r="L539" s="16" t="n">
        <v>45390</v>
      </c>
      <c r="M539" s="16" t="n">
        <v>45703</v>
      </c>
      <c r="N539" s="6" t="s">
        <v>10886</v>
      </c>
      <c r="O539" s="16" t="n">
        <v>45390</v>
      </c>
      <c r="P539" s="6" t="s">
        <v>10918</v>
      </c>
      <c r="Q539" s="6" t="s">
        <v>81</v>
      </c>
      <c r="R539" s="6" t="s">
        <v>3414</v>
      </c>
      <c r="S539" s="6" t="s">
        <v>10886</v>
      </c>
      <c r="T539" s="16" t="n">
        <v>45390</v>
      </c>
      <c r="U539" s="6" t="s">
        <v>13369</v>
      </c>
      <c r="V539" s="6" t="s">
        <v>81</v>
      </c>
      <c r="W539" s="6" t="s">
        <v>3414</v>
      </c>
      <c r="X539" s="6" t="s">
        <v>81</v>
      </c>
      <c r="Y539" s="21" t="s">
        <v>81</v>
      </c>
      <c r="Z539" s="6" t="s">
        <v>81</v>
      </c>
      <c r="AA539" s="6" t="s">
        <v>81</v>
      </c>
      <c r="AB539" s="6" t="s">
        <v>81</v>
      </c>
      <c r="AC539" s="6" t="s">
        <v>81</v>
      </c>
      <c r="AD539" s="21" t="s">
        <v>81</v>
      </c>
      <c r="AE539" s="6" t="s">
        <v>81</v>
      </c>
      <c r="AF539" s="6" t="s">
        <v>81</v>
      </c>
      <c r="AG539" s="6" t="s">
        <v>81</v>
      </c>
      <c r="AH539" s="6" t="s">
        <v>15128</v>
      </c>
      <c r="AI539" s="6" t="s">
        <v>81</v>
      </c>
      <c r="AJ539" s="6" t="s">
        <v>17651</v>
      </c>
      <c r="AK539" s="6" t="s">
        <v>18380</v>
      </c>
      <c r="AL539" s="6" t="s">
        <v>18444</v>
      </c>
      <c r="AM539" s="6" t="s">
        <v>18821</v>
      </c>
      <c r="AN539" s="6" t="s">
        <v>81</v>
      </c>
      <c r="AO539" s="6" t="s">
        <v>81</v>
      </c>
      <c r="AP539" s="6" t="s">
        <v>15128</v>
      </c>
      <c r="AQ539" s="6" t="s">
        <v>81</v>
      </c>
      <c r="AR539" s="6" t="s">
        <v>17651</v>
      </c>
      <c r="AS539" s="6" t="s">
        <v>18380</v>
      </c>
      <c r="AT539" s="6" t="s">
        <v>18444</v>
      </c>
      <c r="AU539" s="6" t="s">
        <v>18821</v>
      </c>
      <c r="AV539" s="6" t="s">
        <v>81</v>
      </c>
      <c r="AW539" s="6" t="s">
        <v>81</v>
      </c>
      <c r="AX539" s="6" t="s">
        <v>21094</v>
      </c>
      <c r="AY539" s="6" t="s">
        <v>81</v>
      </c>
      <c r="AZ539" s="6" t="s">
        <v>81</v>
      </c>
      <c r="BA539" s="6" t="s">
        <v>81</v>
      </c>
      <c r="BB539" s="24" t="n">
        <v>115</v>
      </c>
      <c r="BC539" s="26"/>
      <c r="BD539" s="26"/>
      <c r="BE539" s="26"/>
      <c r="BF539" s="26" t="s">
        <v>23900</v>
      </c>
      <c r="BG539" s="26"/>
      <c r="BH539" s="26"/>
      <c r="BI539" s="26"/>
      <c r="BJ539" s="26"/>
      <c r="BK539" s="26"/>
      <c r="BL539" s="26"/>
      <c r="BM539" s="26"/>
      <c r="BN539" s="26"/>
      <c r="BO539" s="26"/>
      <c r="BP539" s="16" t="n">
        <v>45429</v>
      </c>
      <c r="BQ539" s="28" t="str">
        <f>HYPERLINK("https://organic.ams.usda.gov/Integrity/Certificate.aspx?cid=8&amp;nopid=2202405800")</f>
        <v>https://organic.ams.usda.gov/Integrity/Certificate.aspx?cid=8&amp;nopid=2202405800</v>
      </c>
    </row>
    <row r="540">
      <c r="A540" t="s">
        <v>3</v>
      </c>
      <c r="B540" s="6" t="s">
        <v>9</v>
      </c>
      <c r="C540" s="6" t="s">
        <v>56</v>
      </c>
      <c r="D540" s="6" t="s">
        <v>102</v>
      </c>
      <c r="E540" s="10" t="s">
        <v>681</v>
      </c>
      <c r="F540" s="6" t="s">
        <v>3415</v>
      </c>
      <c r="G540" s="6" t="s">
        <v>81</v>
      </c>
      <c r="H540" s="6" t="s">
        <v>6380</v>
      </c>
      <c r="I540" s="6" t="s">
        <v>8713</v>
      </c>
      <c r="J540" s="6" t="s">
        <v>9671</v>
      </c>
      <c r="K540" s="6" t="s">
        <v>10886</v>
      </c>
      <c r="L540" s="16" t="n">
        <v>44351</v>
      </c>
      <c r="M540" s="16" t="n">
        <v>45748</v>
      </c>
      <c r="N540" s="6" t="s">
        <v>10886</v>
      </c>
      <c r="O540" s="16" t="n">
        <v>44351</v>
      </c>
      <c r="P540" s="6" t="s">
        <v>11226</v>
      </c>
      <c r="Q540" s="6" t="s">
        <v>81</v>
      </c>
      <c r="R540" s="6" t="s">
        <v>12570</v>
      </c>
      <c r="S540" s="6" t="s">
        <v>10886</v>
      </c>
      <c r="T540" s="16" t="n">
        <v>44351</v>
      </c>
      <c r="U540" s="6" t="s">
        <v>13176</v>
      </c>
      <c r="V540" s="6" t="s">
        <v>81</v>
      </c>
      <c r="W540" s="6" t="s">
        <v>12570</v>
      </c>
      <c r="X540" s="6" t="s">
        <v>81</v>
      </c>
      <c r="Y540" s="21" t="s">
        <v>81</v>
      </c>
      <c r="Z540" s="6" t="s">
        <v>81</v>
      </c>
      <c r="AA540" s="6" t="s">
        <v>81</v>
      </c>
      <c r="AB540" s="6" t="s">
        <v>81</v>
      </c>
      <c r="AC540" s="6" t="s">
        <v>81</v>
      </c>
      <c r="AD540" s="21" t="s">
        <v>81</v>
      </c>
      <c r="AE540" s="6" t="s">
        <v>81</v>
      </c>
      <c r="AF540" s="6" t="s">
        <v>81</v>
      </c>
      <c r="AG540" s="6" t="s">
        <v>81</v>
      </c>
      <c r="AH540" s="6" t="s">
        <v>15129</v>
      </c>
      <c r="AI540" s="6" t="s">
        <v>81</v>
      </c>
      <c r="AJ540" s="6" t="s">
        <v>17652</v>
      </c>
      <c r="AK540" s="6" t="s">
        <v>18380</v>
      </c>
      <c r="AL540" s="6" t="s">
        <v>18444</v>
      </c>
      <c r="AM540" s="6" t="s">
        <v>18651</v>
      </c>
      <c r="AN540" s="6" t="s">
        <v>19665</v>
      </c>
      <c r="AO540" s="6" t="s">
        <v>19755</v>
      </c>
      <c r="AP540" s="6" t="s">
        <v>81</v>
      </c>
      <c r="AQ540" s="6" t="s">
        <v>81</v>
      </c>
      <c r="AR540" s="6" t="s">
        <v>81</v>
      </c>
      <c r="AS540" s="6" t="s">
        <v>81</v>
      </c>
      <c r="AT540" s="6" t="s">
        <v>81</v>
      </c>
      <c r="AU540" s="6" t="s">
        <v>81</v>
      </c>
      <c r="AV540" s="6" t="s">
        <v>81</v>
      </c>
      <c r="AW540" s="6" t="s">
        <v>81</v>
      </c>
      <c r="AX540" s="6" t="s">
        <v>21095</v>
      </c>
      <c r="AY540" s="6" t="s">
        <v>81</v>
      </c>
      <c r="AZ540" s="6" t="s">
        <v>81</v>
      </c>
      <c r="BA540" s="6" t="s">
        <v>81</v>
      </c>
      <c r="BB540" s="24" t="n">
        <v>41</v>
      </c>
      <c r="BC540" s="26"/>
      <c r="BD540" s="26"/>
      <c r="BE540" s="26"/>
      <c r="BF540" s="26"/>
      <c r="BG540" s="26"/>
      <c r="BH540" s="26"/>
      <c r="BI540" s="26"/>
      <c r="BJ540" s="26"/>
      <c r="BK540" s="26"/>
      <c r="BL540" s="26"/>
      <c r="BM540" s="26"/>
      <c r="BN540" s="26"/>
      <c r="BO540" s="26"/>
      <c r="BP540" s="16" t="n">
        <v>45738</v>
      </c>
      <c r="BQ540" s="28" t="str">
        <f>HYPERLINK("https://organic.ams.usda.gov/Integrity/Certificate.aspx?cid=52&amp;nopid=8432101938")</f>
        <v>https://organic.ams.usda.gov/Integrity/Certificate.aspx?cid=52&amp;nopid=8432101938</v>
      </c>
    </row>
    <row r="541">
      <c r="A541" t="s">
        <v>3</v>
      </c>
      <c r="B541" s="6" t="s">
        <v>9</v>
      </c>
      <c r="C541" s="6" t="s">
        <v>56</v>
      </c>
      <c r="D541" s="6" t="s">
        <v>102</v>
      </c>
      <c r="E541" s="10" t="s">
        <v>682</v>
      </c>
      <c r="F541" s="6" t="s">
        <v>3416</v>
      </c>
      <c r="G541" s="6" t="s">
        <v>81</v>
      </c>
      <c r="H541" s="6" t="s">
        <v>6381</v>
      </c>
      <c r="I541" s="6" t="s">
        <v>8713</v>
      </c>
      <c r="J541" s="6" t="s">
        <v>9729</v>
      </c>
      <c r="K541" s="6" t="s">
        <v>10886</v>
      </c>
      <c r="L541" s="16" t="n">
        <v>42310</v>
      </c>
      <c r="M541" s="16" t="n">
        <v>46113</v>
      </c>
      <c r="N541" s="6" t="s">
        <v>10886</v>
      </c>
      <c r="O541" s="16" t="n">
        <v>42310</v>
      </c>
      <c r="P541" s="6" t="s">
        <v>10939</v>
      </c>
      <c r="Q541" s="6" t="s">
        <v>81</v>
      </c>
      <c r="R541" s="6" t="s">
        <v>12571</v>
      </c>
      <c r="S541" s="6" t="s">
        <v>10886</v>
      </c>
      <c r="T541" s="16" t="n">
        <v>42310</v>
      </c>
      <c r="U541" s="6" t="s">
        <v>13168</v>
      </c>
      <c r="V541" s="6" t="s">
        <v>81</v>
      </c>
      <c r="W541" s="6" t="s">
        <v>12571</v>
      </c>
      <c r="X541" s="6" t="s">
        <v>81</v>
      </c>
      <c r="Y541" s="21" t="s">
        <v>81</v>
      </c>
      <c r="Z541" s="6" t="s">
        <v>81</v>
      </c>
      <c r="AA541" s="6" t="s">
        <v>81</v>
      </c>
      <c r="AB541" s="6" t="s">
        <v>81</v>
      </c>
      <c r="AC541" s="6" t="s">
        <v>81</v>
      </c>
      <c r="AD541" s="21" t="s">
        <v>81</v>
      </c>
      <c r="AE541" s="6" t="s">
        <v>81</v>
      </c>
      <c r="AF541" s="6" t="s">
        <v>81</v>
      </c>
      <c r="AG541" s="6" t="s">
        <v>81</v>
      </c>
      <c r="AH541" s="6" t="s">
        <v>15130</v>
      </c>
      <c r="AI541" s="6" t="s">
        <v>81</v>
      </c>
      <c r="AJ541" s="6" t="s">
        <v>17641</v>
      </c>
      <c r="AK541" s="6" t="s">
        <v>18377</v>
      </c>
      <c r="AL541" s="6" t="s">
        <v>18444</v>
      </c>
      <c r="AM541" s="6" t="s">
        <v>18810</v>
      </c>
      <c r="AN541" s="6" t="s">
        <v>19646</v>
      </c>
      <c r="AO541" s="6" t="s">
        <v>19733</v>
      </c>
      <c r="AP541" s="6" t="s">
        <v>81</v>
      </c>
      <c r="AQ541" s="6" t="s">
        <v>81</v>
      </c>
      <c r="AR541" s="6" t="s">
        <v>81</v>
      </c>
      <c r="AS541" s="6" t="s">
        <v>81</v>
      </c>
      <c r="AT541" s="6" t="s">
        <v>81</v>
      </c>
      <c r="AU541" s="6" t="s">
        <v>81</v>
      </c>
      <c r="AV541" s="6" t="s">
        <v>81</v>
      </c>
      <c r="AW541" s="6" t="s">
        <v>81</v>
      </c>
      <c r="AX541" s="6" t="s">
        <v>81</v>
      </c>
      <c r="AY541" s="6" t="s">
        <v>81</v>
      </c>
      <c r="AZ541" s="6" t="s">
        <v>81</v>
      </c>
      <c r="BA541" s="6" t="s">
        <v>23837</v>
      </c>
      <c r="BB541" s="24" t="n">
        <v>148</v>
      </c>
      <c r="BC541" s="26"/>
      <c r="BD541" s="26"/>
      <c r="BE541" s="26"/>
      <c r="BF541" s="26"/>
      <c r="BG541" s="26"/>
      <c r="BH541" s="26"/>
      <c r="BI541" s="26"/>
      <c r="BJ541" s="26"/>
      <c r="BK541" s="26"/>
      <c r="BL541" s="26"/>
      <c r="BM541" s="26"/>
      <c r="BN541" s="26"/>
      <c r="BO541" s="26"/>
      <c r="BP541" s="16" t="n">
        <v>45738</v>
      </c>
      <c r="BQ541" s="28" t="str">
        <f>HYPERLINK("https://organic.ams.usda.gov/Integrity/Certificate.aspx?cid=52&amp;nopid=8431501104")</f>
        <v>https://organic.ams.usda.gov/Integrity/Certificate.aspx?cid=52&amp;nopid=8431501104</v>
      </c>
    </row>
    <row r="542">
      <c r="A542" t="s">
        <v>3</v>
      </c>
      <c r="B542" s="6" t="s">
        <v>30</v>
      </c>
      <c r="C542" s="6" t="s">
        <v>77</v>
      </c>
      <c r="D542" s="6" t="s">
        <v>123</v>
      </c>
      <c r="E542" s="10" t="s">
        <v>683</v>
      </c>
      <c r="F542" s="6" t="s">
        <v>3417</v>
      </c>
      <c r="G542" s="6" t="s">
        <v>81</v>
      </c>
      <c r="H542" s="6" t="s">
        <v>6382</v>
      </c>
      <c r="I542" s="6" t="s">
        <v>8713</v>
      </c>
      <c r="J542" s="6" t="s">
        <v>9671</v>
      </c>
      <c r="K542" s="6" t="s">
        <v>10886</v>
      </c>
      <c r="L542" s="16" t="n">
        <v>45159</v>
      </c>
      <c r="M542" s="16" t="n">
        <v>45747</v>
      </c>
      <c r="N542" s="6" t="s">
        <v>10886</v>
      </c>
      <c r="O542" s="16" t="n">
        <v>45159</v>
      </c>
      <c r="P542" s="6" t="s">
        <v>10907</v>
      </c>
      <c r="Q542" s="6" t="s">
        <v>81</v>
      </c>
      <c r="R542" s="6" t="s">
        <v>81</v>
      </c>
      <c r="S542" s="6" t="s">
        <v>10886</v>
      </c>
      <c r="T542" s="16" t="n">
        <v>45159</v>
      </c>
      <c r="U542" s="6" t="s">
        <v>13216</v>
      </c>
      <c r="V542" s="6" t="s">
        <v>81</v>
      </c>
      <c r="W542" s="6" t="s">
        <v>81</v>
      </c>
      <c r="X542" s="6" t="s">
        <v>81</v>
      </c>
      <c r="Y542" s="21" t="s">
        <v>81</v>
      </c>
      <c r="Z542" s="6" t="s">
        <v>81</v>
      </c>
      <c r="AA542" s="6" t="s">
        <v>81</v>
      </c>
      <c r="AB542" s="6" t="s">
        <v>81</v>
      </c>
      <c r="AC542" s="6" t="s">
        <v>81</v>
      </c>
      <c r="AD542" s="21" t="s">
        <v>81</v>
      </c>
      <c r="AE542" s="6" t="s">
        <v>81</v>
      </c>
      <c r="AF542" s="6" t="s">
        <v>81</v>
      </c>
      <c r="AG542" s="6" t="s">
        <v>81</v>
      </c>
      <c r="AH542" s="6" t="s">
        <v>15131</v>
      </c>
      <c r="AI542" s="6" t="s">
        <v>81</v>
      </c>
      <c r="AJ542" s="6" t="s">
        <v>17321</v>
      </c>
      <c r="AK542" s="6" t="s">
        <v>17712</v>
      </c>
      <c r="AL542" s="6" t="s">
        <v>18444</v>
      </c>
      <c r="AM542" s="6" t="s">
        <v>18473</v>
      </c>
      <c r="AN542" s="6" t="s">
        <v>19642</v>
      </c>
      <c r="AO542" s="6" t="s">
        <v>19728</v>
      </c>
      <c r="AP542" s="6" t="s">
        <v>81</v>
      </c>
      <c r="AQ542" s="6" t="s">
        <v>81</v>
      </c>
      <c r="AR542" s="6" t="s">
        <v>81</v>
      </c>
      <c r="AS542" s="6" t="s">
        <v>81</v>
      </c>
      <c r="AT542" s="6" t="s">
        <v>81</v>
      </c>
      <c r="AU542" s="6" t="s">
        <v>81</v>
      </c>
      <c r="AV542" s="6" t="s">
        <v>81</v>
      </c>
      <c r="AW542" s="6" t="s">
        <v>81</v>
      </c>
      <c r="AX542" s="6" t="s">
        <v>21096</v>
      </c>
      <c r="AY542" s="6" t="s">
        <v>81</v>
      </c>
      <c r="AZ542" s="6" t="s">
        <v>81</v>
      </c>
      <c r="BA542" s="6" t="s">
        <v>81</v>
      </c>
      <c r="BB542" s="24" t="n">
        <v>75</v>
      </c>
      <c r="BC542" s="26"/>
      <c r="BD542" s="26"/>
      <c r="BE542" s="26"/>
      <c r="BF542" s="26"/>
      <c r="BG542" s="26"/>
      <c r="BH542" s="26"/>
      <c r="BI542" s="26"/>
      <c r="BJ542" s="26"/>
      <c r="BK542" s="26"/>
      <c r="BL542" s="26"/>
      <c r="BM542" s="26"/>
      <c r="BN542" s="26"/>
      <c r="BO542" s="26"/>
      <c r="BP542" s="16" t="n">
        <v>45723</v>
      </c>
      <c r="BQ542" s="28" t="str">
        <f>HYPERLINK("https://organic.ams.usda.gov/Integrity/Certificate.aspx?cid=70&amp;nopid=6432219260")</f>
        <v>https://organic.ams.usda.gov/Integrity/Certificate.aspx?cid=70&amp;nopid=6432219260</v>
      </c>
    </row>
    <row r="543">
      <c r="A543" t="s">
        <v>3</v>
      </c>
      <c r="B543" s="6" t="s">
        <v>30</v>
      </c>
      <c r="C543" s="6" t="s">
        <v>77</v>
      </c>
      <c r="D543" s="6" t="s">
        <v>123</v>
      </c>
      <c r="E543" s="10" t="s">
        <v>684</v>
      </c>
      <c r="F543" s="6" t="s">
        <v>3418</v>
      </c>
      <c r="G543" s="6" t="s">
        <v>81</v>
      </c>
      <c r="H543" s="6" t="s">
        <v>6383</v>
      </c>
      <c r="I543" s="6" t="s">
        <v>8726</v>
      </c>
      <c r="J543" s="6" t="s">
        <v>9727</v>
      </c>
      <c r="K543" s="6" t="s">
        <v>10886</v>
      </c>
      <c r="L543" s="16" t="n">
        <v>40995</v>
      </c>
      <c r="M543" s="16" t="n">
        <v>45382</v>
      </c>
      <c r="N543" s="6" t="s">
        <v>10886</v>
      </c>
      <c r="O543" s="16" t="n">
        <v>40995</v>
      </c>
      <c r="P543" s="6" t="s">
        <v>11227</v>
      </c>
      <c r="Q543" s="6" t="s">
        <v>81</v>
      </c>
      <c r="R543" s="6" t="s">
        <v>12572</v>
      </c>
      <c r="S543" s="6" t="s">
        <v>10886</v>
      </c>
      <c r="T543" s="16" t="n">
        <v>40995</v>
      </c>
      <c r="U543" s="6" t="s">
        <v>13370</v>
      </c>
      <c r="V543" s="6" t="s">
        <v>81</v>
      </c>
      <c r="W543" s="6" t="s">
        <v>6383</v>
      </c>
      <c r="X543" s="6" t="s">
        <v>81</v>
      </c>
      <c r="Y543" s="21" t="s">
        <v>81</v>
      </c>
      <c r="Z543" s="6" t="s">
        <v>81</v>
      </c>
      <c r="AA543" s="6" t="s">
        <v>81</v>
      </c>
      <c r="AB543" s="6" t="s">
        <v>81</v>
      </c>
      <c r="AC543" s="6" t="s">
        <v>81</v>
      </c>
      <c r="AD543" s="21" t="s">
        <v>81</v>
      </c>
      <c r="AE543" s="6" t="s">
        <v>81</v>
      </c>
      <c r="AF543" s="6" t="s">
        <v>81</v>
      </c>
      <c r="AG543" s="6" t="s">
        <v>81</v>
      </c>
      <c r="AH543" s="6" t="s">
        <v>15132</v>
      </c>
      <c r="AI543" s="6" t="s">
        <v>81</v>
      </c>
      <c r="AJ543" s="6" t="s">
        <v>17653</v>
      </c>
      <c r="AK543" s="6" t="s">
        <v>17712</v>
      </c>
      <c r="AL543" s="6" t="s">
        <v>18444</v>
      </c>
      <c r="AM543" s="6" t="s">
        <v>18822</v>
      </c>
      <c r="AN543" s="6" t="s">
        <v>19662</v>
      </c>
      <c r="AO543" s="6" t="s">
        <v>19762</v>
      </c>
      <c r="AP543" s="6" t="s">
        <v>15132</v>
      </c>
      <c r="AQ543" s="6" t="s">
        <v>81</v>
      </c>
      <c r="AR543" s="6" t="s">
        <v>17653</v>
      </c>
      <c r="AS543" s="6" t="s">
        <v>17712</v>
      </c>
      <c r="AT543" s="6" t="s">
        <v>18444</v>
      </c>
      <c r="AU543" s="6" t="s">
        <v>18822</v>
      </c>
      <c r="AV543" s="6" t="s">
        <v>81</v>
      </c>
      <c r="AW543" s="6" t="s">
        <v>81</v>
      </c>
      <c r="AX543" s="6" t="s">
        <v>81</v>
      </c>
      <c r="AY543" s="6" t="s">
        <v>81</v>
      </c>
      <c r="AZ543" s="6" t="s">
        <v>81</v>
      </c>
      <c r="BA543" s="6" t="s">
        <v>81</v>
      </c>
      <c r="BB543" s="24" t="n">
        <v>199</v>
      </c>
      <c r="BC543" s="26"/>
      <c r="BD543" s="26"/>
      <c r="BE543" s="26"/>
      <c r="BF543" s="26"/>
      <c r="BG543" s="26"/>
      <c r="BH543" s="26"/>
      <c r="BI543" s="26"/>
      <c r="BJ543" s="26"/>
      <c r="BK543" s="26"/>
      <c r="BL543" s="26"/>
      <c r="BM543" s="26"/>
      <c r="BN543" s="26"/>
      <c r="BO543" s="26"/>
      <c r="BP543" s="16" t="n">
        <v>45365</v>
      </c>
      <c r="BQ543" s="28" t="str">
        <f>HYPERLINK("https://organic.ams.usda.gov/Integrity/Certificate.aspx?cid=70&amp;nopid=6431250300")</f>
        <v>https://organic.ams.usda.gov/Integrity/Certificate.aspx?cid=70&amp;nopid=6431250300</v>
      </c>
    </row>
    <row r="544">
      <c r="A544" t="s">
        <v>3</v>
      </c>
      <c r="B544" s="6" t="s">
        <v>12</v>
      </c>
      <c r="C544" s="6" t="s">
        <v>59</v>
      </c>
      <c r="D544" s="6" t="s">
        <v>105</v>
      </c>
      <c r="E544" s="10" t="s">
        <v>685</v>
      </c>
      <c r="F544" s="6" t="s">
        <v>3419</v>
      </c>
      <c r="G544" s="6" t="s">
        <v>81</v>
      </c>
      <c r="H544" s="6" t="s">
        <v>6384</v>
      </c>
      <c r="I544" s="6" t="s">
        <v>8727</v>
      </c>
      <c r="J544" s="6" t="s">
        <v>9963</v>
      </c>
      <c r="K544" s="6" t="s">
        <v>10886</v>
      </c>
      <c r="L544" s="16" t="n">
        <v>44272</v>
      </c>
      <c r="M544" s="16" t="n">
        <v>45717</v>
      </c>
      <c r="N544" s="6" t="s">
        <v>10886</v>
      </c>
      <c r="O544" s="16" t="n">
        <v>44272</v>
      </c>
      <c r="P544" s="6" t="s">
        <v>11228</v>
      </c>
      <c r="Q544" s="6" t="s">
        <v>81</v>
      </c>
      <c r="R544" s="6" t="s">
        <v>81</v>
      </c>
      <c r="S544" s="6" t="s">
        <v>10886</v>
      </c>
      <c r="T544" s="16" t="n">
        <v>44272</v>
      </c>
      <c r="U544" s="6" t="s">
        <v>13371</v>
      </c>
      <c r="V544" s="6" t="s">
        <v>81</v>
      </c>
      <c r="W544" s="6" t="s">
        <v>81</v>
      </c>
      <c r="X544" s="6" t="s">
        <v>81</v>
      </c>
      <c r="Y544" s="21" t="s">
        <v>81</v>
      </c>
      <c r="Z544" s="6" t="s">
        <v>81</v>
      </c>
      <c r="AA544" s="6" t="s">
        <v>81</v>
      </c>
      <c r="AB544" s="6" t="s">
        <v>81</v>
      </c>
      <c r="AC544" s="6" t="s">
        <v>10886</v>
      </c>
      <c r="AD544" s="16" t="n">
        <v>45255</v>
      </c>
      <c r="AE544" s="6" t="s">
        <v>14130</v>
      </c>
      <c r="AF544" s="6" t="s">
        <v>81</v>
      </c>
      <c r="AG544" s="6" t="s">
        <v>81</v>
      </c>
      <c r="AH544" s="6" t="s">
        <v>15133</v>
      </c>
      <c r="AI544" s="6" t="s">
        <v>81</v>
      </c>
      <c r="AJ544" s="6" t="s">
        <v>17654</v>
      </c>
      <c r="AK544" s="6" t="s">
        <v>18380</v>
      </c>
      <c r="AL544" s="6" t="s">
        <v>18444</v>
      </c>
      <c r="AM544" s="6" t="s">
        <v>18823</v>
      </c>
      <c r="AN544" s="6" t="s">
        <v>19683</v>
      </c>
      <c r="AO544" s="6" t="s">
        <v>19867</v>
      </c>
      <c r="AP544" s="6" t="s">
        <v>15133</v>
      </c>
      <c r="AQ544" s="6" t="s">
        <v>81</v>
      </c>
      <c r="AR544" s="6" t="s">
        <v>17654</v>
      </c>
      <c r="AS544" s="6" t="s">
        <v>18380</v>
      </c>
      <c r="AT544" s="6" t="s">
        <v>18444</v>
      </c>
      <c r="AU544" s="6" t="s">
        <v>18823</v>
      </c>
      <c r="AV544" s="6" t="s">
        <v>81</v>
      </c>
      <c r="AW544" s="6" t="s">
        <v>81</v>
      </c>
      <c r="AX544" s="6" t="s">
        <v>21097</v>
      </c>
      <c r="AY544" s="6" t="s">
        <v>22768</v>
      </c>
      <c r="AZ544" s="6" t="s">
        <v>81</v>
      </c>
      <c r="BA544" s="6" t="s">
        <v>81</v>
      </c>
      <c r="BB544" s="24" t="n">
        <v>306</v>
      </c>
      <c r="BC544" s="26"/>
      <c r="BD544" s="26"/>
      <c r="BE544" s="26"/>
      <c r="BF544" s="26"/>
      <c r="BG544" s="26"/>
      <c r="BH544" s="26"/>
      <c r="BI544" s="26"/>
      <c r="BJ544" s="26"/>
      <c r="BK544" s="26"/>
      <c r="BL544" s="26"/>
      <c r="BM544" s="26"/>
      <c r="BN544" s="26"/>
      <c r="BO544" s="26"/>
      <c r="BP544" s="16" t="n">
        <v>45721</v>
      </c>
      <c r="BQ544" s="28" t="str">
        <f>HYPERLINK("https://organic.ams.usda.gov/Integrity/Certificate.aspx?cid=68&amp;nopid=8210008038")</f>
        <v>https://organic.ams.usda.gov/Integrity/Certificate.aspx?cid=68&amp;nopid=8210008038</v>
      </c>
    </row>
    <row r="545">
      <c r="A545" t="s">
        <v>3</v>
      </c>
      <c r="B545" s="6" t="s">
        <v>30</v>
      </c>
      <c r="C545" s="6" t="s">
        <v>77</v>
      </c>
      <c r="D545" s="6" t="s">
        <v>123</v>
      </c>
      <c r="E545" s="10" t="s">
        <v>686</v>
      </c>
      <c r="F545" s="6" t="s">
        <v>3420</v>
      </c>
      <c r="G545" s="6" t="s">
        <v>81</v>
      </c>
      <c r="H545" s="6" t="s">
        <v>6385</v>
      </c>
      <c r="I545" s="6" t="s">
        <v>8727</v>
      </c>
      <c r="J545" s="6" t="s">
        <v>9964</v>
      </c>
      <c r="K545" s="6" t="s">
        <v>10886</v>
      </c>
      <c r="L545" s="16" t="n">
        <v>39017</v>
      </c>
      <c r="M545" s="16" t="n">
        <v>45747</v>
      </c>
      <c r="N545" s="6" t="s">
        <v>10886</v>
      </c>
      <c r="O545" s="16" t="n">
        <v>39017</v>
      </c>
      <c r="P545" s="6" t="s">
        <v>11229</v>
      </c>
      <c r="Q545" s="6" t="s">
        <v>81</v>
      </c>
      <c r="R545" s="6" t="s">
        <v>6385</v>
      </c>
      <c r="S545" s="6" t="s">
        <v>10886</v>
      </c>
      <c r="T545" s="16" t="n">
        <v>39017</v>
      </c>
      <c r="U545" s="6" t="s">
        <v>13216</v>
      </c>
      <c r="V545" s="6" t="s">
        <v>81</v>
      </c>
      <c r="W545" s="6" t="s">
        <v>6385</v>
      </c>
      <c r="X545" s="6" t="s">
        <v>81</v>
      </c>
      <c r="Y545" s="21" t="s">
        <v>81</v>
      </c>
      <c r="Z545" s="6" t="s">
        <v>81</v>
      </c>
      <c r="AA545" s="6" t="s">
        <v>81</v>
      </c>
      <c r="AB545" s="6" t="s">
        <v>81</v>
      </c>
      <c r="AC545" s="6" t="s">
        <v>81</v>
      </c>
      <c r="AD545" s="21" t="s">
        <v>81</v>
      </c>
      <c r="AE545" s="6" t="s">
        <v>81</v>
      </c>
      <c r="AF545" s="6" t="s">
        <v>81</v>
      </c>
      <c r="AG545" s="6" t="s">
        <v>81</v>
      </c>
      <c r="AH545" s="6" t="s">
        <v>15134</v>
      </c>
      <c r="AI545" s="6" t="s">
        <v>81</v>
      </c>
      <c r="AJ545" s="6" t="s">
        <v>17625</v>
      </c>
      <c r="AK545" s="6" t="s">
        <v>17712</v>
      </c>
      <c r="AL545" s="6" t="s">
        <v>18444</v>
      </c>
      <c r="AM545" s="6" t="s">
        <v>18792</v>
      </c>
      <c r="AN545" s="6" t="s">
        <v>7195</v>
      </c>
      <c r="AO545" s="6" t="s">
        <v>19735</v>
      </c>
      <c r="AP545" s="6" t="s">
        <v>15134</v>
      </c>
      <c r="AQ545" s="6" t="s">
        <v>81</v>
      </c>
      <c r="AR545" s="6" t="s">
        <v>17625</v>
      </c>
      <c r="AS545" s="6" t="s">
        <v>17712</v>
      </c>
      <c r="AT545" s="6" t="s">
        <v>18444</v>
      </c>
      <c r="AU545" s="6" t="s">
        <v>18792</v>
      </c>
      <c r="AV545" s="6" t="s">
        <v>81</v>
      </c>
      <c r="AW545" s="6" t="s">
        <v>81</v>
      </c>
      <c r="AX545" s="6" t="s">
        <v>21098</v>
      </c>
      <c r="AY545" s="6" t="s">
        <v>22769</v>
      </c>
      <c r="AZ545" s="6" t="s">
        <v>81</v>
      </c>
      <c r="BA545" s="6" t="s">
        <v>81</v>
      </c>
      <c r="BB545" s="24" t="n">
        <v>994</v>
      </c>
      <c r="BC545" s="26"/>
      <c r="BD545" s="26"/>
      <c r="BE545" s="26"/>
      <c r="BF545" s="26"/>
      <c r="BG545" s="26"/>
      <c r="BH545" s="26"/>
      <c r="BI545" s="26"/>
      <c r="BJ545" s="26"/>
      <c r="BK545" s="26"/>
      <c r="BL545" s="26"/>
      <c r="BM545" s="26"/>
      <c r="BN545" s="26"/>
      <c r="BO545" s="26"/>
      <c r="BP545" s="16" t="n">
        <v>45672</v>
      </c>
      <c r="BQ545" s="28" t="str">
        <f>HYPERLINK("https://organic.ams.usda.gov/Integrity/Certificate.aspx?cid=70&amp;nopid=6430613740")</f>
        <v>https://organic.ams.usda.gov/Integrity/Certificate.aspx?cid=70&amp;nopid=6430613740</v>
      </c>
    </row>
    <row r="546">
      <c r="A546" t="s">
        <v>3</v>
      </c>
      <c r="B546" s="6" t="s">
        <v>9</v>
      </c>
      <c r="C546" s="6" t="s">
        <v>56</v>
      </c>
      <c r="D546" s="6" t="s">
        <v>102</v>
      </c>
      <c r="E546" s="10" t="s">
        <v>687</v>
      </c>
      <c r="F546" s="6" t="s">
        <v>3421</v>
      </c>
      <c r="G546" s="6" t="s">
        <v>81</v>
      </c>
      <c r="H546" s="6" t="s">
        <v>6386</v>
      </c>
      <c r="I546" s="6" t="s">
        <v>8713</v>
      </c>
      <c r="J546" s="6" t="s">
        <v>9666</v>
      </c>
      <c r="K546" s="6" t="s">
        <v>10886</v>
      </c>
      <c r="L546" s="16" t="n">
        <v>42217</v>
      </c>
      <c r="M546" s="16" t="n">
        <v>46113</v>
      </c>
      <c r="N546" s="6" t="s">
        <v>10886</v>
      </c>
      <c r="O546" s="16" t="n">
        <v>42217</v>
      </c>
      <c r="P546" s="6" t="s">
        <v>11143</v>
      </c>
      <c r="Q546" s="6" t="s">
        <v>81</v>
      </c>
      <c r="R546" s="6" t="s">
        <v>12573</v>
      </c>
      <c r="S546" s="6" t="s">
        <v>10886</v>
      </c>
      <c r="T546" s="16" t="n">
        <v>42217</v>
      </c>
      <c r="U546" s="6" t="s">
        <v>13162</v>
      </c>
      <c r="V546" s="6" t="s">
        <v>81</v>
      </c>
      <c r="W546" s="6" t="s">
        <v>12573</v>
      </c>
      <c r="X546" s="6" t="s">
        <v>81</v>
      </c>
      <c r="Y546" s="21" t="s">
        <v>81</v>
      </c>
      <c r="Z546" s="6" t="s">
        <v>81</v>
      </c>
      <c r="AA546" s="6" t="s">
        <v>81</v>
      </c>
      <c r="AB546" s="6" t="s">
        <v>81</v>
      </c>
      <c r="AC546" s="6" t="s">
        <v>81</v>
      </c>
      <c r="AD546" s="21" t="s">
        <v>81</v>
      </c>
      <c r="AE546" s="6" t="s">
        <v>81</v>
      </c>
      <c r="AF546" s="6" t="s">
        <v>81</v>
      </c>
      <c r="AG546" s="6" t="s">
        <v>81</v>
      </c>
      <c r="AH546" s="6" t="s">
        <v>15135</v>
      </c>
      <c r="AI546" s="6" t="s">
        <v>81</v>
      </c>
      <c r="AJ546" s="6" t="s">
        <v>17574</v>
      </c>
      <c r="AK546" s="6" t="s">
        <v>18377</v>
      </c>
      <c r="AL546" s="6" t="s">
        <v>18444</v>
      </c>
      <c r="AM546" s="6" t="s">
        <v>18738</v>
      </c>
      <c r="AN546" s="6" t="s">
        <v>19694</v>
      </c>
      <c r="AO546" s="6" t="s">
        <v>19859</v>
      </c>
      <c r="AP546" s="6" t="s">
        <v>81</v>
      </c>
      <c r="AQ546" s="6" t="s">
        <v>81</v>
      </c>
      <c r="AR546" s="6" t="s">
        <v>81</v>
      </c>
      <c r="AS546" s="6" t="s">
        <v>81</v>
      </c>
      <c r="AT546" s="6" t="s">
        <v>81</v>
      </c>
      <c r="AU546" s="6" t="s">
        <v>81</v>
      </c>
      <c r="AV546" s="6" t="s">
        <v>81</v>
      </c>
      <c r="AW546" s="6" t="s">
        <v>81</v>
      </c>
      <c r="AX546" s="6" t="s">
        <v>21099</v>
      </c>
      <c r="AY546" s="6" t="s">
        <v>81</v>
      </c>
      <c r="AZ546" s="6" t="s">
        <v>81</v>
      </c>
      <c r="BA546" s="6" t="s">
        <v>81</v>
      </c>
      <c r="BB546" s="24" t="n">
        <v>216</v>
      </c>
      <c r="BC546" s="26"/>
      <c r="BD546" s="26"/>
      <c r="BE546" s="26"/>
      <c r="BF546" s="26"/>
      <c r="BG546" s="26"/>
      <c r="BH546" s="26"/>
      <c r="BI546" s="26"/>
      <c r="BJ546" s="26"/>
      <c r="BK546" s="26"/>
      <c r="BL546" s="26"/>
      <c r="BM546" s="26"/>
      <c r="BN546" s="26"/>
      <c r="BO546" s="26"/>
      <c r="BP546" s="16" t="n">
        <v>45738</v>
      </c>
      <c r="BQ546" s="28" t="str">
        <f>HYPERLINK("https://organic.ams.usda.gov/Integrity/Certificate.aspx?cid=52&amp;nopid=8431501026")</f>
        <v>https://organic.ams.usda.gov/Integrity/Certificate.aspx?cid=52&amp;nopid=8431501026</v>
      </c>
    </row>
    <row r="547">
      <c r="A547" t="s">
        <v>3</v>
      </c>
      <c r="B547" s="6" t="s">
        <v>25</v>
      </c>
      <c r="C547" s="6" t="s">
        <v>72</v>
      </c>
      <c r="D547" s="6" t="s">
        <v>118</v>
      </c>
      <c r="E547" s="10" t="s">
        <v>688</v>
      </c>
      <c r="F547" s="6" t="s">
        <v>3422</v>
      </c>
      <c r="G547" s="6" t="s">
        <v>5648</v>
      </c>
      <c r="H547" s="6" t="s">
        <v>6387</v>
      </c>
      <c r="I547" s="6" t="s">
        <v>8728</v>
      </c>
      <c r="J547" s="6" t="s">
        <v>9965</v>
      </c>
      <c r="K547" s="6" t="s">
        <v>10886</v>
      </c>
      <c r="L547" s="16" t="n">
        <v>38145</v>
      </c>
      <c r="M547" s="16" t="n">
        <v>46023</v>
      </c>
      <c r="N547" s="6" t="s">
        <v>10886</v>
      </c>
      <c r="O547" s="16" t="n">
        <v>38145</v>
      </c>
      <c r="P547" s="6" t="s">
        <v>11076</v>
      </c>
      <c r="Q547" s="6" t="s">
        <v>81</v>
      </c>
      <c r="R547" s="6" t="s">
        <v>81</v>
      </c>
      <c r="S547" s="6" t="s">
        <v>10886</v>
      </c>
      <c r="T547" s="16" t="n">
        <v>38145</v>
      </c>
      <c r="U547" s="6" t="s">
        <v>13372</v>
      </c>
      <c r="V547" s="6" t="s">
        <v>81</v>
      </c>
      <c r="W547" s="6" t="s">
        <v>81</v>
      </c>
      <c r="X547" s="6" t="s">
        <v>81</v>
      </c>
      <c r="Y547" s="21" t="s">
        <v>81</v>
      </c>
      <c r="Z547" s="6" t="s">
        <v>81</v>
      </c>
      <c r="AA547" s="6" t="s">
        <v>81</v>
      </c>
      <c r="AB547" s="6" t="s">
        <v>81</v>
      </c>
      <c r="AC547" s="6" t="s">
        <v>10886</v>
      </c>
      <c r="AD547" s="16" t="n">
        <v>44729</v>
      </c>
      <c r="AE547" s="6" t="s">
        <v>14081</v>
      </c>
      <c r="AF547" s="6" t="s">
        <v>81</v>
      </c>
      <c r="AG547" s="6" t="s">
        <v>81</v>
      </c>
      <c r="AH547" s="6" t="s">
        <v>15136</v>
      </c>
      <c r="AI547" s="6" t="s">
        <v>81</v>
      </c>
      <c r="AJ547" s="6" t="s">
        <v>17655</v>
      </c>
      <c r="AK547" s="6" t="s">
        <v>18393</v>
      </c>
      <c r="AL547" s="6" t="s">
        <v>18444</v>
      </c>
      <c r="AM547" s="6" t="s">
        <v>18824</v>
      </c>
      <c r="AN547" s="6" t="s">
        <v>19683</v>
      </c>
      <c r="AO547" s="6" t="s">
        <v>19890</v>
      </c>
      <c r="AP547" s="6" t="s">
        <v>20172</v>
      </c>
      <c r="AQ547" s="6" t="s">
        <v>81</v>
      </c>
      <c r="AR547" s="6" t="s">
        <v>17655</v>
      </c>
      <c r="AS547" s="6" t="s">
        <v>18393</v>
      </c>
      <c r="AT547" s="6" t="s">
        <v>18444</v>
      </c>
      <c r="AU547" s="6" t="s">
        <v>18824</v>
      </c>
      <c r="AV547" s="6" t="s">
        <v>81</v>
      </c>
      <c r="AW547" s="6" t="s">
        <v>81</v>
      </c>
      <c r="AX547" s="6" t="s">
        <v>21100</v>
      </c>
      <c r="AY547" s="6" t="s">
        <v>22770</v>
      </c>
      <c r="AZ547" s="6" t="s">
        <v>81</v>
      </c>
      <c r="BA547" s="6" t="s">
        <v>23827</v>
      </c>
      <c r="BB547" s="24" t="n">
        <v>2551</v>
      </c>
      <c r="BC547" s="26"/>
      <c r="BD547" s="26"/>
      <c r="BE547" s="26"/>
      <c r="BF547" s="26"/>
      <c r="BG547" s="26"/>
      <c r="BH547" s="26"/>
      <c r="BI547" s="26"/>
      <c r="BJ547" s="26"/>
      <c r="BK547" s="26"/>
      <c r="BL547" s="26"/>
      <c r="BM547" s="26"/>
      <c r="BN547" s="26"/>
      <c r="BO547" s="26"/>
      <c r="BP547" s="16" t="n">
        <v>45702</v>
      </c>
      <c r="BQ547" s="28" t="str">
        <f>HYPERLINK("https://organic.ams.usda.gov/Integrity/Certificate.aspx?cid=15&amp;nopid=5561000062")</f>
        <v>https://organic.ams.usda.gov/Integrity/Certificate.aspx?cid=15&amp;nopid=5561000062</v>
      </c>
    </row>
    <row r="548">
      <c r="A548" t="s">
        <v>3</v>
      </c>
      <c r="B548" s="6" t="s">
        <v>7</v>
      </c>
      <c r="C548" s="6" t="s">
        <v>54</v>
      </c>
      <c r="D548" s="6" t="s">
        <v>100</v>
      </c>
      <c r="E548" s="10" t="s">
        <v>689</v>
      </c>
      <c r="F548" s="6" t="s">
        <v>3423</v>
      </c>
      <c r="G548" s="6" t="s">
        <v>81</v>
      </c>
      <c r="H548" s="6" t="s">
        <v>6388</v>
      </c>
      <c r="I548" s="6" t="s">
        <v>8729</v>
      </c>
      <c r="J548" s="6" t="s">
        <v>9669</v>
      </c>
      <c r="K548" s="6" t="s">
        <v>10886</v>
      </c>
      <c r="L548" s="16" t="n">
        <v>43039</v>
      </c>
      <c r="M548" s="16" t="n">
        <v>45716</v>
      </c>
      <c r="N548" s="6" t="s">
        <v>10886</v>
      </c>
      <c r="O548" s="16" t="n">
        <v>43039</v>
      </c>
      <c r="P548" s="6" t="s">
        <v>10925</v>
      </c>
      <c r="Q548" s="6" t="s">
        <v>81</v>
      </c>
      <c r="R548" s="6" t="s">
        <v>81</v>
      </c>
      <c r="S548" s="6" t="s">
        <v>10886</v>
      </c>
      <c r="T548" s="16" t="n">
        <v>43076</v>
      </c>
      <c r="U548" s="6" t="s">
        <v>13169</v>
      </c>
      <c r="V548" s="6" t="s">
        <v>81</v>
      </c>
      <c r="W548" s="6" t="s">
        <v>81</v>
      </c>
      <c r="X548" s="6" t="s">
        <v>81</v>
      </c>
      <c r="Y548" s="21" t="s">
        <v>81</v>
      </c>
      <c r="Z548" s="6" t="s">
        <v>81</v>
      </c>
      <c r="AA548" s="6" t="s">
        <v>81</v>
      </c>
      <c r="AB548" s="6" t="s">
        <v>81</v>
      </c>
      <c r="AC548" s="6" t="s">
        <v>81</v>
      </c>
      <c r="AD548" s="21" t="s">
        <v>81</v>
      </c>
      <c r="AE548" s="6" t="s">
        <v>81</v>
      </c>
      <c r="AF548" s="6" t="s">
        <v>81</v>
      </c>
      <c r="AG548" s="6" t="s">
        <v>81</v>
      </c>
      <c r="AH548" s="6" t="s">
        <v>15137</v>
      </c>
      <c r="AI548" s="6" t="s">
        <v>81</v>
      </c>
      <c r="AJ548" s="6" t="s">
        <v>17431</v>
      </c>
      <c r="AK548" s="6" t="s">
        <v>17712</v>
      </c>
      <c r="AL548" s="6" t="s">
        <v>18444</v>
      </c>
      <c r="AM548" s="6" t="s">
        <v>18588</v>
      </c>
      <c r="AN548" s="6" t="s">
        <v>19646</v>
      </c>
      <c r="AO548" s="6" t="s">
        <v>19729</v>
      </c>
      <c r="AP548" s="6" t="s">
        <v>15137</v>
      </c>
      <c r="AQ548" s="6" t="s">
        <v>81</v>
      </c>
      <c r="AR548" s="6" t="s">
        <v>17431</v>
      </c>
      <c r="AS548" s="6" t="s">
        <v>17712</v>
      </c>
      <c r="AT548" s="6" t="s">
        <v>18444</v>
      </c>
      <c r="AU548" s="6" t="s">
        <v>18588</v>
      </c>
      <c r="AV548" s="6" t="s">
        <v>81</v>
      </c>
      <c r="AW548" s="6" t="s">
        <v>81</v>
      </c>
      <c r="AX548" s="6" t="s">
        <v>81</v>
      </c>
      <c r="AY548" s="6" t="s">
        <v>81</v>
      </c>
      <c r="AZ548" s="6" t="s">
        <v>81</v>
      </c>
      <c r="BA548" s="6" t="s">
        <v>81</v>
      </c>
      <c r="BB548" s="24" t="n">
        <v>77</v>
      </c>
      <c r="BC548" s="26"/>
      <c r="BD548" s="26"/>
      <c r="BE548" s="26"/>
      <c r="BF548" s="26" t="s">
        <v>23900</v>
      </c>
      <c r="BG548" s="26"/>
      <c r="BH548" s="26"/>
      <c r="BI548" s="26"/>
      <c r="BJ548" s="26"/>
      <c r="BK548" s="26"/>
      <c r="BL548" s="26"/>
      <c r="BM548" s="26"/>
      <c r="BN548" s="26"/>
      <c r="BO548" s="26"/>
      <c r="BP548" s="16" t="n">
        <v>45686</v>
      </c>
      <c r="BQ548" s="28" t="str">
        <f>HYPERLINK("https://organic.ams.usda.gov/Integrity/Certificate.aspx?cid=57&amp;nopid=3252017147")</f>
        <v>https://organic.ams.usda.gov/Integrity/Certificate.aspx?cid=57&amp;nopid=3252017147</v>
      </c>
    </row>
    <row r="549">
      <c r="A549" t="s">
        <v>3</v>
      </c>
      <c r="B549" s="6" t="s">
        <v>7</v>
      </c>
      <c r="C549" s="6" t="s">
        <v>54</v>
      </c>
      <c r="D549" s="6" t="s">
        <v>100</v>
      </c>
      <c r="E549" s="10" t="s">
        <v>690</v>
      </c>
      <c r="F549" s="6" t="s">
        <v>3424</v>
      </c>
      <c r="G549" s="6" t="s">
        <v>81</v>
      </c>
      <c r="H549" s="6" t="s">
        <v>6389</v>
      </c>
      <c r="I549" s="6" t="s">
        <v>8729</v>
      </c>
      <c r="J549" s="6" t="s">
        <v>9803</v>
      </c>
      <c r="K549" s="6" t="s">
        <v>10886</v>
      </c>
      <c r="L549" s="16" t="n">
        <v>45188</v>
      </c>
      <c r="M549" s="16" t="n">
        <v>45716</v>
      </c>
      <c r="N549" s="6" t="s">
        <v>10886</v>
      </c>
      <c r="O549" s="16" t="n">
        <v>45188</v>
      </c>
      <c r="P549" s="6" t="s">
        <v>10944</v>
      </c>
      <c r="Q549" s="6" t="s">
        <v>81</v>
      </c>
      <c r="R549" s="6" t="s">
        <v>81</v>
      </c>
      <c r="S549" s="6" t="s">
        <v>10886</v>
      </c>
      <c r="T549" s="16" t="n">
        <v>45188</v>
      </c>
      <c r="U549" s="6" t="s">
        <v>13188</v>
      </c>
      <c r="V549" s="6" t="s">
        <v>81</v>
      </c>
      <c r="W549" s="6" t="s">
        <v>81</v>
      </c>
      <c r="X549" s="6" t="s">
        <v>81</v>
      </c>
      <c r="Y549" s="21" t="s">
        <v>81</v>
      </c>
      <c r="Z549" s="6" t="s">
        <v>81</v>
      </c>
      <c r="AA549" s="6" t="s">
        <v>81</v>
      </c>
      <c r="AB549" s="6" t="s">
        <v>81</v>
      </c>
      <c r="AC549" s="6" t="s">
        <v>81</v>
      </c>
      <c r="AD549" s="21" t="s">
        <v>81</v>
      </c>
      <c r="AE549" s="6" t="s">
        <v>81</v>
      </c>
      <c r="AF549" s="6" t="s">
        <v>81</v>
      </c>
      <c r="AG549" s="6" t="s">
        <v>81</v>
      </c>
      <c r="AH549" s="6" t="s">
        <v>15138</v>
      </c>
      <c r="AI549" s="6" t="s">
        <v>81</v>
      </c>
      <c r="AJ549" s="6" t="s">
        <v>17656</v>
      </c>
      <c r="AK549" s="6" t="s">
        <v>17712</v>
      </c>
      <c r="AL549" s="6" t="s">
        <v>18444</v>
      </c>
      <c r="AM549" s="6" t="s">
        <v>18572</v>
      </c>
      <c r="AN549" s="6" t="s">
        <v>81</v>
      </c>
      <c r="AO549" s="6" t="s">
        <v>81</v>
      </c>
      <c r="AP549" s="6" t="s">
        <v>15138</v>
      </c>
      <c r="AQ549" s="6" t="s">
        <v>81</v>
      </c>
      <c r="AR549" s="6" t="s">
        <v>17656</v>
      </c>
      <c r="AS549" s="6" t="s">
        <v>17712</v>
      </c>
      <c r="AT549" s="6" t="s">
        <v>18444</v>
      </c>
      <c r="AU549" s="6" t="s">
        <v>18572</v>
      </c>
      <c r="AV549" s="6" t="s">
        <v>81</v>
      </c>
      <c r="AW549" s="6" t="s">
        <v>81</v>
      </c>
      <c r="AX549" s="6" t="s">
        <v>81</v>
      </c>
      <c r="AY549" s="6" t="s">
        <v>81</v>
      </c>
      <c r="AZ549" s="6" t="s">
        <v>81</v>
      </c>
      <c r="BA549" s="6" t="s">
        <v>81</v>
      </c>
      <c r="BB549" s="24" t="n">
        <v>188</v>
      </c>
      <c r="BC549" s="26"/>
      <c r="BD549" s="26"/>
      <c r="BE549" s="26"/>
      <c r="BF549" s="26" t="s">
        <v>23900</v>
      </c>
      <c r="BG549" s="26"/>
      <c r="BH549" s="26"/>
      <c r="BI549" s="26"/>
      <c r="BJ549" s="26"/>
      <c r="BK549" s="26"/>
      <c r="BL549" s="26"/>
      <c r="BM549" s="26"/>
      <c r="BN549" s="26"/>
      <c r="BO549" s="26"/>
      <c r="BP549" s="16" t="n">
        <v>45737</v>
      </c>
      <c r="BQ549" s="28" t="str">
        <f>HYPERLINK("https://organic.ams.usda.gov/Integrity/Certificate.aspx?cid=57&amp;nopid=3252023044")</f>
        <v>https://organic.ams.usda.gov/Integrity/Certificate.aspx?cid=57&amp;nopid=3252023044</v>
      </c>
    </row>
    <row r="550">
      <c r="A550" t="s">
        <v>3</v>
      </c>
      <c r="B550" s="6" t="s">
        <v>7</v>
      </c>
      <c r="C550" s="6" t="s">
        <v>54</v>
      </c>
      <c r="D550" s="6" t="s">
        <v>100</v>
      </c>
      <c r="E550" s="10" t="s">
        <v>691</v>
      </c>
      <c r="F550" s="6" t="s">
        <v>3425</v>
      </c>
      <c r="G550" s="6" t="s">
        <v>81</v>
      </c>
      <c r="H550" s="6" t="s">
        <v>6390</v>
      </c>
      <c r="I550" s="6" t="s">
        <v>8730</v>
      </c>
      <c r="J550" s="6" t="s">
        <v>9665</v>
      </c>
      <c r="K550" s="6" t="s">
        <v>10886</v>
      </c>
      <c r="L550" s="16" t="n">
        <v>45463</v>
      </c>
      <c r="M550" s="16" t="n">
        <v>45716</v>
      </c>
      <c r="N550" s="6" t="s">
        <v>10886</v>
      </c>
      <c r="O550" s="16" t="n">
        <v>45463</v>
      </c>
      <c r="P550" s="6" t="s">
        <v>10925</v>
      </c>
      <c r="Q550" s="6" t="s">
        <v>81</v>
      </c>
      <c r="R550" s="6" t="s">
        <v>81</v>
      </c>
      <c r="S550" s="6" t="s">
        <v>10886</v>
      </c>
      <c r="T550" s="16" t="n">
        <v>45468</v>
      </c>
      <c r="U550" s="6" t="s">
        <v>13188</v>
      </c>
      <c r="V550" s="6" t="s">
        <v>81</v>
      </c>
      <c r="W550" s="6" t="s">
        <v>81</v>
      </c>
      <c r="X550" s="6" t="s">
        <v>81</v>
      </c>
      <c r="Y550" s="21" t="s">
        <v>81</v>
      </c>
      <c r="Z550" s="6" t="s">
        <v>81</v>
      </c>
      <c r="AA550" s="6" t="s">
        <v>81</v>
      </c>
      <c r="AB550" s="6" t="s">
        <v>81</v>
      </c>
      <c r="AC550" s="6" t="s">
        <v>81</v>
      </c>
      <c r="AD550" s="21" t="s">
        <v>81</v>
      </c>
      <c r="AE550" s="6" t="s">
        <v>81</v>
      </c>
      <c r="AF550" s="6" t="s">
        <v>81</v>
      </c>
      <c r="AG550" s="6" t="s">
        <v>81</v>
      </c>
      <c r="AH550" s="6" t="s">
        <v>15139</v>
      </c>
      <c r="AI550" s="6" t="s">
        <v>81</v>
      </c>
      <c r="AJ550" s="6" t="s">
        <v>17657</v>
      </c>
      <c r="AK550" s="6" t="s">
        <v>17712</v>
      </c>
      <c r="AL550" s="6" t="s">
        <v>18444</v>
      </c>
      <c r="AM550" s="6" t="s">
        <v>18825</v>
      </c>
      <c r="AN550" s="6" t="s">
        <v>81</v>
      </c>
      <c r="AO550" s="6" t="s">
        <v>81</v>
      </c>
      <c r="AP550" s="6" t="s">
        <v>15139</v>
      </c>
      <c r="AQ550" s="6" t="s">
        <v>81</v>
      </c>
      <c r="AR550" s="6" t="s">
        <v>17657</v>
      </c>
      <c r="AS550" s="6" t="s">
        <v>17712</v>
      </c>
      <c r="AT550" s="6" t="s">
        <v>18444</v>
      </c>
      <c r="AU550" s="6" t="s">
        <v>18825</v>
      </c>
      <c r="AV550" s="6" t="s">
        <v>81</v>
      </c>
      <c r="AW550" s="6" t="s">
        <v>81</v>
      </c>
      <c r="AX550" s="6" t="s">
        <v>81</v>
      </c>
      <c r="AY550" s="6" t="s">
        <v>81</v>
      </c>
      <c r="AZ550" s="6" t="s">
        <v>81</v>
      </c>
      <c r="BA550" s="6" t="s">
        <v>81</v>
      </c>
      <c r="BB550" s="24" t="n">
        <v>71</v>
      </c>
      <c r="BC550" s="26"/>
      <c r="BD550" s="26"/>
      <c r="BE550" s="26"/>
      <c r="BF550" s="26"/>
      <c r="BG550" s="26"/>
      <c r="BH550" s="26"/>
      <c r="BI550" s="26"/>
      <c r="BJ550" s="26"/>
      <c r="BK550" s="26"/>
      <c r="BL550" s="26"/>
      <c r="BM550" s="26"/>
      <c r="BN550" s="26"/>
      <c r="BO550" s="26"/>
      <c r="BP550" s="16" t="n">
        <v>45595</v>
      </c>
      <c r="BQ550" s="28" t="str">
        <f>HYPERLINK("https://organic.ams.usda.gov/Integrity/Certificate.aspx?cid=57&amp;nopid=3252024053")</f>
        <v>https://organic.ams.usda.gov/Integrity/Certificate.aspx?cid=57&amp;nopid=3252024053</v>
      </c>
    </row>
    <row r="551">
      <c r="A551" t="s">
        <v>3</v>
      </c>
      <c r="B551" s="6" t="s">
        <v>7</v>
      </c>
      <c r="C551" s="6" t="s">
        <v>54</v>
      </c>
      <c r="D551" s="6" t="s">
        <v>100</v>
      </c>
      <c r="E551" s="10" t="s">
        <v>692</v>
      </c>
      <c r="F551" s="6" t="s">
        <v>3426</v>
      </c>
      <c r="G551" s="6" t="s">
        <v>81</v>
      </c>
      <c r="H551" s="6" t="s">
        <v>6391</v>
      </c>
      <c r="I551" s="6" t="s">
        <v>8730</v>
      </c>
      <c r="J551" s="6" t="s">
        <v>9669</v>
      </c>
      <c r="K551" s="6" t="s">
        <v>10886</v>
      </c>
      <c r="L551" s="16" t="n">
        <v>45048</v>
      </c>
      <c r="M551" s="16" t="n">
        <v>45716</v>
      </c>
      <c r="N551" s="6" t="s">
        <v>10886</v>
      </c>
      <c r="O551" s="16" t="n">
        <v>45048</v>
      </c>
      <c r="P551" s="6" t="s">
        <v>10944</v>
      </c>
      <c r="Q551" s="6" t="s">
        <v>81</v>
      </c>
      <c r="R551" s="6" t="s">
        <v>81</v>
      </c>
      <c r="S551" s="6" t="s">
        <v>10886</v>
      </c>
      <c r="T551" s="16" t="n">
        <v>45048</v>
      </c>
      <c r="U551" s="6" t="s">
        <v>13169</v>
      </c>
      <c r="V551" s="6" t="s">
        <v>81</v>
      </c>
      <c r="W551" s="6" t="s">
        <v>81</v>
      </c>
      <c r="X551" s="6" t="s">
        <v>81</v>
      </c>
      <c r="Y551" s="21" t="s">
        <v>81</v>
      </c>
      <c r="Z551" s="6" t="s">
        <v>81</v>
      </c>
      <c r="AA551" s="6" t="s">
        <v>81</v>
      </c>
      <c r="AB551" s="6" t="s">
        <v>81</v>
      </c>
      <c r="AC551" s="6" t="s">
        <v>81</v>
      </c>
      <c r="AD551" s="21" t="s">
        <v>81</v>
      </c>
      <c r="AE551" s="6" t="s">
        <v>81</v>
      </c>
      <c r="AF551" s="6" t="s">
        <v>81</v>
      </c>
      <c r="AG551" s="6" t="s">
        <v>81</v>
      </c>
      <c r="AH551" s="6" t="s">
        <v>15140</v>
      </c>
      <c r="AI551" s="6" t="s">
        <v>81</v>
      </c>
      <c r="AJ551" s="6" t="s">
        <v>17410</v>
      </c>
      <c r="AK551" s="6" t="s">
        <v>17712</v>
      </c>
      <c r="AL551" s="6" t="s">
        <v>18444</v>
      </c>
      <c r="AM551" s="6" t="s">
        <v>18566</v>
      </c>
      <c r="AN551" s="6" t="s">
        <v>81</v>
      </c>
      <c r="AO551" s="6" t="s">
        <v>81</v>
      </c>
      <c r="AP551" s="6" t="s">
        <v>15140</v>
      </c>
      <c r="AQ551" s="6" t="s">
        <v>81</v>
      </c>
      <c r="AR551" s="6" t="s">
        <v>17410</v>
      </c>
      <c r="AS551" s="6" t="s">
        <v>17712</v>
      </c>
      <c r="AT551" s="6" t="s">
        <v>18444</v>
      </c>
      <c r="AU551" s="6" t="s">
        <v>18566</v>
      </c>
      <c r="AV551" s="6" t="s">
        <v>81</v>
      </c>
      <c r="AW551" s="6" t="s">
        <v>81</v>
      </c>
      <c r="AX551" s="6" t="s">
        <v>81</v>
      </c>
      <c r="AY551" s="6" t="s">
        <v>81</v>
      </c>
      <c r="AZ551" s="6" t="s">
        <v>81</v>
      </c>
      <c r="BA551" s="6" t="s">
        <v>81</v>
      </c>
      <c r="BB551" s="24" t="n">
        <v>173</v>
      </c>
      <c r="BC551" s="26"/>
      <c r="BD551" s="26"/>
      <c r="BE551" s="26"/>
      <c r="BF551" s="26" t="s">
        <v>23900</v>
      </c>
      <c r="BG551" s="26"/>
      <c r="BH551" s="26"/>
      <c r="BI551" s="26"/>
      <c r="BJ551" s="26"/>
      <c r="BK551" s="26"/>
      <c r="BL551" s="26"/>
      <c r="BM551" s="26"/>
      <c r="BN551" s="26"/>
      <c r="BO551" s="26"/>
      <c r="BP551" s="16" t="n">
        <v>45623</v>
      </c>
      <c r="BQ551" s="28" t="str">
        <f>HYPERLINK("https://organic.ams.usda.gov/Integrity/Certificate.aspx?cid=57&amp;nopid=3252023011")</f>
        <v>https://organic.ams.usda.gov/Integrity/Certificate.aspx?cid=57&amp;nopid=3252023011</v>
      </c>
    </row>
    <row r="552">
      <c r="A552" t="s">
        <v>3</v>
      </c>
      <c r="B552" s="6" t="s">
        <v>7</v>
      </c>
      <c r="C552" s="6" t="s">
        <v>54</v>
      </c>
      <c r="D552" s="6" t="s">
        <v>100</v>
      </c>
      <c r="E552" s="10" t="s">
        <v>693</v>
      </c>
      <c r="F552" s="6" t="s">
        <v>3427</v>
      </c>
      <c r="G552" s="6" t="s">
        <v>81</v>
      </c>
      <c r="H552" s="6" t="s">
        <v>6392</v>
      </c>
      <c r="I552" s="6" t="s">
        <v>8730</v>
      </c>
      <c r="J552" s="6" t="s">
        <v>9727</v>
      </c>
      <c r="K552" s="6" t="s">
        <v>10886</v>
      </c>
      <c r="L552" s="16" t="n">
        <v>43040</v>
      </c>
      <c r="M552" s="16" t="n">
        <v>45716</v>
      </c>
      <c r="N552" s="6" t="s">
        <v>10886</v>
      </c>
      <c r="O552" s="16" t="n">
        <v>43040</v>
      </c>
      <c r="P552" s="6" t="s">
        <v>10991</v>
      </c>
      <c r="Q552" s="6" t="s">
        <v>81</v>
      </c>
      <c r="R552" s="6" t="s">
        <v>81</v>
      </c>
      <c r="S552" s="6" t="s">
        <v>10886</v>
      </c>
      <c r="T552" s="16" t="n">
        <v>43245</v>
      </c>
      <c r="U552" s="6" t="s">
        <v>13169</v>
      </c>
      <c r="V552" s="6" t="s">
        <v>81</v>
      </c>
      <c r="W552" s="6" t="s">
        <v>81</v>
      </c>
      <c r="X552" s="6" t="s">
        <v>81</v>
      </c>
      <c r="Y552" s="21" t="s">
        <v>81</v>
      </c>
      <c r="Z552" s="6" t="s">
        <v>81</v>
      </c>
      <c r="AA552" s="6" t="s">
        <v>81</v>
      </c>
      <c r="AB552" s="6" t="s">
        <v>81</v>
      </c>
      <c r="AC552" s="6" t="s">
        <v>81</v>
      </c>
      <c r="AD552" s="21" t="s">
        <v>81</v>
      </c>
      <c r="AE552" s="6" t="s">
        <v>81</v>
      </c>
      <c r="AF552" s="6" t="s">
        <v>81</v>
      </c>
      <c r="AG552" s="6" t="s">
        <v>81</v>
      </c>
      <c r="AH552" s="6" t="s">
        <v>15141</v>
      </c>
      <c r="AI552" s="6" t="s">
        <v>81</v>
      </c>
      <c r="AJ552" s="6" t="s">
        <v>17431</v>
      </c>
      <c r="AK552" s="6" t="s">
        <v>17712</v>
      </c>
      <c r="AL552" s="6" t="s">
        <v>18444</v>
      </c>
      <c r="AM552" s="6" t="s">
        <v>18588</v>
      </c>
      <c r="AN552" s="6" t="s">
        <v>19646</v>
      </c>
      <c r="AO552" s="6" t="s">
        <v>19729</v>
      </c>
      <c r="AP552" s="6" t="s">
        <v>15141</v>
      </c>
      <c r="AQ552" s="6" t="s">
        <v>81</v>
      </c>
      <c r="AR552" s="6" t="s">
        <v>17431</v>
      </c>
      <c r="AS552" s="6" t="s">
        <v>17712</v>
      </c>
      <c r="AT552" s="6" t="s">
        <v>18444</v>
      </c>
      <c r="AU552" s="6" t="s">
        <v>20628</v>
      </c>
      <c r="AV552" s="6" t="s">
        <v>81</v>
      </c>
      <c r="AW552" s="6" t="s">
        <v>81</v>
      </c>
      <c r="AX552" s="6" t="s">
        <v>81</v>
      </c>
      <c r="AY552" s="6" t="s">
        <v>81</v>
      </c>
      <c r="AZ552" s="6" t="s">
        <v>81</v>
      </c>
      <c r="BA552" s="6" t="s">
        <v>81</v>
      </c>
      <c r="BB552" s="24" t="n">
        <v>167</v>
      </c>
      <c r="BC552" s="26"/>
      <c r="BD552" s="26"/>
      <c r="BE552" s="26"/>
      <c r="BF552" s="26" t="s">
        <v>23900</v>
      </c>
      <c r="BG552" s="26"/>
      <c r="BH552" s="26"/>
      <c r="BI552" s="26"/>
      <c r="BJ552" s="26"/>
      <c r="BK552" s="26"/>
      <c r="BL552" s="26"/>
      <c r="BM552" s="26"/>
      <c r="BN552" s="26"/>
      <c r="BO552" s="26"/>
      <c r="BP552" s="16" t="n">
        <v>45700</v>
      </c>
      <c r="BQ552" s="28" t="str">
        <f>HYPERLINK("https://organic.ams.usda.gov/Integrity/Certificate.aspx?cid=57&amp;nopid=3252017114")</f>
        <v>https://organic.ams.usda.gov/Integrity/Certificate.aspx?cid=57&amp;nopid=3252017114</v>
      </c>
    </row>
    <row r="553">
      <c r="A553" t="s">
        <v>3</v>
      </c>
      <c r="B553" s="6" t="s">
        <v>23</v>
      </c>
      <c r="C553" s="6" t="s">
        <v>70</v>
      </c>
      <c r="D553" s="6" t="s">
        <v>116</v>
      </c>
      <c r="E553" s="10" t="s">
        <v>694</v>
      </c>
      <c r="F553" s="6" t="s">
        <v>3428</v>
      </c>
      <c r="G553" s="6" t="s">
        <v>81</v>
      </c>
      <c r="H553" s="6" t="s">
        <v>6393</v>
      </c>
      <c r="I553" s="6" t="s">
        <v>8671</v>
      </c>
      <c r="J553" s="6" t="s">
        <v>9966</v>
      </c>
      <c r="K553" s="6" t="s">
        <v>10886</v>
      </c>
      <c r="L553" s="16" t="n">
        <v>42397</v>
      </c>
      <c r="M553" s="16" t="n">
        <v>45685</v>
      </c>
      <c r="N553" s="6" t="s">
        <v>81</v>
      </c>
      <c r="O553" s="21" t="s">
        <v>81</v>
      </c>
      <c r="P553" s="6" t="s">
        <v>81</v>
      </c>
      <c r="Q553" s="6" t="s">
        <v>81</v>
      </c>
      <c r="R553" s="6" t="s">
        <v>81</v>
      </c>
      <c r="S553" s="6" t="s">
        <v>81</v>
      </c>
      <c r="T553" s="21" t="s">
        <v>81</v>
      </c>
      <c r="U553" s="6" t="s">
        <v>81</v>
      </c>
      <c r="V553" s="6" t="s">
        <v>81</v>
      </c>
      <c r="W553" s="6" t="s">
        <v>81</v>
      </c>
      <c r="X553" s="6" t="s">
        <v>81</v>
      </c>
      <c r="Y553" s="21" t="s">
        <v>81</v>
      </c>
      <c r="Z553" s="6" t="s">
        <v>81</v>
      </c>
      <c r="AA553" s="6" t="s">
        <v>81</v>
      </c>
      <c r="AB553" s="6" t="s">
        <v>81</v>
      </c>
      <c r="AC553" s="6" t="s">
        <v>10886</v>
      </c>
      <c r="AD553" s="16" t="n">
        <v>42397</v>
      </c>
      <c r="AE553" s="6" t="s">
        <v>14131</v>
      </c>
      <c r="AF553" s="6" t="s">
        <v>81</v>
      </c>
      <c r="AG553" s="6" t="s">
        <v>81</v>
      </c>
      <c r="AH553" s="6" t="s">
        <v>81</v>
      </c>
      <c r="AI553" s="6" t="s">
        <v>81</v>
      </c>
      <c r="AJ553" s="6" t="s">
        <v>81</v>
      </c>
      <c r="AK553" s="6" t="s">
        <v>81</v>
      </c>
      <c r="AL553" s="6" t="s">
        <v>81</v>
      </c>
      <c r="AM553" s="6" t="s">
        <v>81</v>
      </c>
      <c r="AN553" s="6" t="s">
        <v>81</v>
      </c>
      <c r="AO553" s="6" t="s">
        <v>81</v>
      </c>
      <c r="AP553" s="6" t="s">
        <v>20173</v>
      </c>
      <c r="AQ553" s="6" t="s">
        <v>81</v>
      </c>
      <c r="AR553" s="6" t="s">
        <v>20516</v>
      </c>
      <c r="AS553" s="6" t="s">
        <v>18398</v>
      </c>
      <c r="AT553" s="6" t="s">
        <v>18444</v>
      </c>
      <c r="AU553" s="6" t="s">
        <v>20629</v>
      </c>
      <c r="AV553" s="6" t="s">
        <v>20718</v>
      </c>
      <c r="AW553" s="6" t="s">
        <v>20727</v>
      </c>
      <c r="AX553" s="6" t="s">
        <v>21101</v>
      </c>
      <c r="AY553" s="6" t="s">
        <v>22771</v>
      </c>
      <c r="AZ553" s="6" t="s">
        <v>81</v>
      </c>
      <c r="BA553" s="6" t="s">
        <v>81</v>
      </c>
      <c r="BB553" s="6" t="s">
        <v>81</v>
      </c>
      <c r="BC553" s="26"/>
      <c r="BD553" s="26"/>
      <c r="BE553" s="26"/>
      <c r="BF553" s="26"/>
      <c r="BG553" s="26"/>
      <c r="BH553" s="26"/>
      <c r="BI553" s="26"/>
      <c r="BJ553" s="26"/>
      <c r="BK553" s="26"/>
      <c r="BL553" s="26"/>
      <c r="BM553" s="26"/>
      <c r="BN553" s="26"/>
      <c r="BO553" s="26"/>
      <c r="BP553" s="16" t="n">
        <v>45546</v>
      </c>
      <c r="BQ553" s="28" t="str">
        <f>HYPERLINK("https://organic.ams.usda.gov/Integrity/Certificate.aspx?cid=63&amp;nopid=6220006944")</f>
        <v>https://organic.ams.usda.gov/Integrity/Certificate.aspx?cid=63&amp;nopid=6220006944</v>
      </c>
    </row>
    <row r="554">
      <c r="A554" t="s">
        <v>3</v>
      </c>
      <c r="B554" s="6" t="s">
        <v>23</v>
      </c>
      <c r="C554" s="6" t="s">
        <v>70</v>
      </c>
      <c r="D554" s="6" t="s">
        <v>116</v>
      </c>
      <c r="E554" s="10" t="s">
        <v>695</v>
      </c>
      <c r="F554" s="6" t="s">
        <v>3429</v>
      </c>
      <c r="G554" s="6" t="s">
        <v>81</v>
      </c>
      <c r="H554" s="6" t="s">
        <v>6394</v>
      </c>
      <c r="I554" s="6" t="s">
        <v>8731</v>
      </c>
      <c r="J554" s="6" t="s">
        <v>9967</v>
      </c>
      <c r="K554" s="6" t="s">
        <v>10886</v>
      </c>
      <c r="L554" s="16" t="n">
        <v>44202</v>
      </c>
      <c r="M554" s="16" t="n">
        <v>45663</v>
      </c>
      <c r="N554" s="6" t="s">
        <v>81</v>
      </c>
      <c r="O554" s="21" t="s">
        <v>81</v>
      </c>
      <c r="P554" s="6" t="s">
        <v>81</v>
      </c>
      <c r="Q554" s="6" t="s">
        <v>81</v>
      </c>
      <c r="R554" s="6" t="s">
        <v>81</v>
      </c>
      <c r="S554" s="6" t="s">
        <v>81</v>
      </c>
      <c r="T554" s="21" t="s">
        <v>81</v>
      </c>
      <c r="U554" s="6" t="s">
        <v>81</v>
      </c>
      <c r="V554" s="6" t="s">
        <v>81</v>
      </c>
      <c r="W554" s="6" t="s">
        <v>81</v>
      </c>
      <c r="X554" s="6" t="s">
        <v>81</v>
      </c>
      <c r="Y554" s="21" t="s">
        <v>81</v>
      </c>
      <c r="Z554" s="6" t="s">
        <v>81</v>
      </c>
      <c r="AA554" s="6" t="s">
        <v>81</v>
      </c>
      <c r="AB554" s="6" t="s">
        <v>81</v>
      </c>
      <c r="AC554" s="6" t="s">
        <v>10886</v>
      </c>
      <c r="AD554" s="16" t="n">
        <v>44202</v>
      </c>
      <c r="AE554" s="6" t="s">
        <v>14132</v>
      </c>
      <c r="AF554" s="6" t="s">
        <v>81</v>
      </c>
      <c r="AG554" s="6" t="s">
        <v>81</v>
      </c>
      <c r="AH554" s="6" t="s">
        <v>15142</v>
      </c>
      <c r="AI554" s="6" t="s">
        <v>81</v>
      </c>
      <c r="AJ554" s="6" t="s">
        <v>17658</v>
      </c>
      <c r="AK554" s="6" t="s">
        <v>18392</v>
      </c>
      <c r="AL554" s="6" t="s">
        <v>18444</v>
      </c>
      <c r="AM554" s="6" t="s">
        <v>18826</v>
      </c>
      <c r="AN554" s="6" t="s">
        <v>81</v>
      </c>
      <c r="AO554" s="6" t="s">
        <v>81</v>
      </c>
      <c r="AP554" s="6" t="s">
        <v>81</v>
      </c>
      <c r="AQ554" s="6" t="s">
        <v>81</v>
      </c>
      <c r="AR554" s="6" t="s">
        <v>81</v>
      </c>
      <c r="AS554" s="6" t="s">
        <v>81</v>
      </c>
      <c r="AT554" s="6" t="s">
        <v>81</v>
      </c>
      <c r="AU554" s="6" t="s">
        <v>81</v>
      </c>
      <c r="AV554" s="6" t="s">
        <v>81</v>
      </c>
      <c r="AW554" s="6" t="s">
        <v>81</v>
      </c>
      <c r="AX554" s="6" t="s">
        <v>21102</v>
      </c>
      <c r="AY554" s="6" t="s">
        <v>22772</v>
      </c>
      <c r="AZ554" s="6" t="s">
        <v>81</v>
      </c>
      <c r="BA554" s="6" t="s">
        <v>81</v>
      </c>
      <c r="BB554" s="6" t="s">
        <v>81</v>
      </c>
      <c r="BC554" s="26"/>
      <c r="BD554" s="26"/>
      <c r="BE554" s="26"/>
      <c r="BF554" s="26"/>
      <c r="BG554" s="26"/>
      <c r="BH554" s="26"/>
      <c r="BI554" s="26"/>
      <c r="BJ554" s="26"/>
      <c r="BK554" s="26"/>
      <c r="BL554" s="26"/>
      <c r="BM554" s="26"/>
      <c r="BN554" s="26"/>
      <c r="BO554" s="26"/>
      <c r="BP554" s="16" t="n">
        <v>45664</v>
      </c>
      <c r="BQ554" s="28" t="str">
        <f>HYPERLINK("https://organic.ams.usda.gov/Integrity/Certificate.aspx?cid=63&amp;nopid=6220008457")</f>
        <v>https://organic.ams.usda.gov/Integrity/Certificate.aspx?cid=63&amp;nopid=6220008457</v>
      </c>
    </row>
    <row r="555">
      <c r="A555" t="s">
        <v>3</v>
      </c>
      <c r="B555" s="6" t="s">
        <v>8</v>
      </c>
      <c r="C555" s="6" t="s">
        <v>55</v>
      </c>
      <c r="D555" s="6" t="s">
        <v>101</v>
      </c>
      <c r="E555" s="10" t="s">
        <v>696</v>
      </c>
      <c r="F555" s="6" t="s">
        <v>3430</v>
      </c>
      <c r="G555" s="6" t="s">
        <v>81</v>
      </c>
      <c r="H555" s="6" t="s">
        <v>6395</v>
      </c>
      <c r="I555" s="6" t="s">
        <v>8732</v>
      </c>
      <c r="J555" s="6" t="s">
        <v>9968</v>
      </c>
      <c r="K555" s="6" t="s">
        <v>10886</v>
      </c>
      <c r="L555" s="16" t="n">
        <v>39127</v>
      </c>
      <c r="M555" s="16" t="n">
        <v>45689</v>
      </c>
      <c r="N555" s="6" t="s">
        <v>10886</v>
      </c>
      <c r="O555" s="16" t="n">
        <v>39127</v>
      </c>
      <c r="P555" s="6" t="s">
        <v>11230</v>
      </c>
      <c r="Q555" s="6" t="s">
        <v>81</v>
      </c>
      <c r="R555" s="6" t="s">
        <v>6395</v>
      </c>
      <c r="S555" s="6" t="s">
        <v>10886</v>
      </c>
      <c r="T555" s="16" t="n">
        <v>39127</v>
      </c>
      <c r="U555" s="6" t="s">
        <v>13373</v>
      </c>
      <c r="V555" s="6" t="s">
        <v>81</v>
      </c>
      <c r="W555" s="6" t="s">
        <v>6395</v>
      </c>
      <c r="X555" s="6" t="s">
        <v>81</v>
      </c>
      <c r="Y555" s="21" t="s">
        <v>81</v>
      </c>
      <c r="Z555" s="6" t="s">
        <v>81</v>
      </c>
      <c r="AA555" s="6" t="s">
        <v>81</v>
      </c>
      <c r="AB555" s="6" t="s">
        <v>81</v>
      </c>
      <c r="AC555" s="6" t="s">
        <v>81</v>
      </c>
      <c r="AD555" s="21" t="s">
        <v>81</v>
      </c>
      <c r="AE555" s="6" t="s">
        <v>81</v>
      </c>
      <c r="AF555" s="6" t="s">
        <v>81</v>
      </c>
      <c r="AG555" s="6" t="s">
        <v>81</v>
      </c>
      <c r="AH555" s="6" t="s">
        <v>15143</v>
      </c>
      <c r="AI555" s="6" t="s">
        <v>81</v>
      </c>
      <c r="AJ555" s="6" t="s">
        <v>17427</v>
      </c>
      <c r="AK555" s="6" t="s">
        <v>18377</v>
      </c>
      <c r="AL555" s="6" t="s">
        <v>18444</v>
      </c>
      <c r="AM555" s="6" t="s">
        <v>18584</v>
      </c>
      <c r="AN555" s="6" t="s">
        <v>19634</v>
      </c>
      <c r="AO555" s="6" t="s">
        <v>19764</v>
      </c>
      <c r="AP555" s="6" t="s">
        <v>81</v>
      </c>
      <c r="AQ555" s="6" t="s">
        <v>81</v>
      </c>
      <c r="AR555" s="6" t="s">
        <v>81</v>
      </c>
      <c r="AS555" s="6" t="s">
        <v>81</v>
      </c>
      <c r="AT555" s="6" t="s">
        <v>81</v>
      </c>
      <c r="AU555" s="6" t="s">
        <v>81</v>
      </c>
      <c r="AV555" s="6" t="s">
        <v>81</v>
      </c>
      <c r="AW555" s="6" t="s">
        <v>81</v>
      </c>
      <c r="AX555" s="6" t="s">
        <v>81</v>
      </c>
      <c r="AY555" s="6" t="s">
        <v>22773</v>
      </c>
      <c r="AZ555" s="6" t="s">
        <v>81</v>
      </c>
      <c r="BA555" s="6" t="s">
        <v>23819</v>
      </c>
      <c r="BB555" s="24" t="n">
        <v>284</v>
      </c>
      <c r="BC555" s="26"/>
      <c r="BD555" s="26"/>
      <c r="BE555" s="26"/>
      <c r="BF555" s="26" t="s">
        <v>23900</v>
      </c>
      <c r="BG555" s="26"/>
      <c r="BH555" s="26"/>
      <c r="BI555" s="26"/>
      <c r="BJ555" s="26"/>
      <c r="BK555" s="26"/>
      <c r="BL555" s="26"/>
      <c r="BM555" s="26"/>
      <c r="BN555" s="26"/>
      <c r="BO555" s="26"/>
      <c r="BP555" s="16" t="n">
        <v>45688</v>
      </c>
      <c r="BQ555" s="28" t="str">
        <f>HYPERLINK("https://organic.ams.usda.gov/Integrity/Certificate.aspx?cid=45&amp;nopid=9950002503")</f>
        <v>https://organic.ams.usda.gov/Integrity/Certificate.aspx?cid=45&amp;nopid=9950002503</v>
      </c>
    </row>
    <row r="556">
      <c r="A556" t="s">
        <v>3</v>
      </c>
      <c r="B556" s="6" t="s">
        <v>15</v>
      </c>
      <c r="C556" s="6" t="s">
        <v>62</v>
      </c>
      <c r="D556" s="6" t="s">
        <v>108</v>
      </c>
      <c r="E556" s="10" t="s">
        <v>697</v>
      </c>
      <c r="F556" s="6" t="s">
        <v>3431</v>
      </c>
      <c r="G556" s="6" t="s">
        <v>5649</v>
      </c>
      <c r="H556" s="6" t="s">
        <v>6396</v>
      </c>
      <c r="I556" s="6" t="s">
        <v>8733</v>
      </c>
      <c r="J556" s="6" t="s">
        <v>9969</v>
      </c>
      <c r="K556" s="6" t="s">
        <v>10886</v>
      </c>
      <c r="L556" s="16" t="n">
        <v>43991</v>
      </c>
      <c r="M556" s="16" t="n">
        <v>46157</v>
      </c>
      <c r="N556" s="6" t="s">
        <v>10886</v>
      </c>
      <c r="O556" s="16" t="n">
        <v>43991</v>
      </c>
      <c r="P556" s="6" t="s">
        <v>11231</v>
      </c>
      <c r="Q556" s="6" t="s">
        <v>81</v>
      </c>
      <c r="R556" s="6" t="s">
        <v>81</v>
      </c>
      <c r="S556" s="6" t="s">
        <v>10886</v>
      </c>
      <c r="T556" s="16" t="n">
        <v>43991</v>
      </c>
      <c r="U556" s="6" t="s">
        <v>13316</v>
      </c>
      <c r="V556" s="6" t="s">
        <v>81</v>
      </c>
      <c r="W556" s="6" t="s">
        <v>81</v>
      </c>
      <c r="X556" s="6" t="s">
        <v>81</v>
      </c>
      <c r="Y556" s="21" t="s">
        <v>81</v>
      </c>
      <c r="Z556" s="6" t="s">
        <v>81</v>
      </c>
      <c r="AA556" s="6" t="s">
        <v>81</v>
      </c>
      <c r="AB556" s="6" t="s">
        <v>81</v>
      </c>
      <c r="AC556" s="6" t="s">
        <v>81</v>
      </c>
      <c r="AD556" s="21" t="s">
        <v>81</v>
      </c>
      <c r="AE556" s="6" t="s">
        <v>81</v>
      </c>
      <c r="AF556" s="6" t="s">
        <v>81</v>
      </c>
      <c r="AG556" s="6" t="s">
        <v>81</v>
      </c>
      <c r="AH556" s="6" t="s">
        <v>15144</v>
      </c>
      <c r="AI556" s="6" t="s">
        <v>81</v>
      </c>
      <c r="AJ556" s="6" t="s">
        <v>17659</v>
      </c>
      <c r="AK556" s="6" t="s">
        <v>18377</v>
      </c>
      <c r="AL556" s="6" t="s">
        <v>18444</v>
      </c>
      <c r="AM556" s="6" t="s">
        <v>18827</v>
      </c>
      <c r="AN556" s="6" t="s">
        <v>19673</v>
      </c>
      <c r="AO556" s="6" t="s">
        <v>19891</v>
      </c>
      <c r="AP556" s="6" t="s">
        <v>15144</v>
      </c>
      <c r="AQ556" s="6" t="s">
        <v>81</v>
      </c>
      <c r="AR556" s="6" t="s">
        <v>17659</v>
      </c>
      <c r="AS556" s="6" t="s">
        <v>18377</v>
      </c>
      <c r="AT556" s="6" t="s">
        <v>18444</v>
      </c>
      <c r="AU556" s="6" t="s">
        <v>18827</v>
      </c>
      <c r="AV556" s="6" t="s">
        <v>81</v>
      </c>
      <c r="AW556" s="6" t="s">
        <v>81</v>
      </c>
      <c r="AX556" s="6" t="s">
        <v>21103</v>
      </c>
      <c r="AY556" s="6" t="s">
        <v>22774</v>
      </c>
      <c r="AZ556" s="6" t="s">
        <v>81</v>
      </c>
      <c r="BA556" s="6" t="s">
        <v>81</v>
      </c>
      <c r="BB556" s="24" t="n">
        <v>268</v>
      </c>
      <c r="BC556" s="26"/>
      <c r="BD556" s="26"/>
      <c r="BE556" s="26"/>
      <c r="BF556" s="26" t="s">
        <v>23900</v>
      </c>
      <c r="BG556" s="26"/>
      <c r="BH556" s="26"/>
      <c r="BI556" s="26"/>
      <c r="BJ556" s="26"/>
      <c r="BK556" s="26"/>
      <c r="BL556" s="26"/>
      <c r="BM556" s="26"/>
      <c r="BN556" s="26"/>
      <c r="BO556" s="26"/>
      <c r="BP556" s="16" t="n">
        <v>45737</v>
      </c>
      <c r="BQ556" s="28" t="str">
        <f>HYPERLINK("https://organic.ams.usda.gov/Integrity/Certificate.aspx?cid=58&amp;nopid=1600003638")</f>
        <v>https://organic.ams.usda.gov/Integrity/Certificate.aspx?cid=58&amp;nopid=1600003638</v>
      </c>
    </row>
    <row r="557">
      <c r="A557" t="s">
        <v>3</v>
      </c>
      <c r="B557" s="6" t="s">
        <v>25</v>
      </c>
      <c r="C557" s="6" t="s">
        <v>72</v>
      </c>
      <c r="D557" s="6" t="s">
        <v>118</v>
      </c>
      <c r="E557" s="10" t="s">
        <v>698</v>
      </c>
      <c r="F557" s="6" t="s">
        <v>3432</v>
      </c>
      <c r="G557" s="6" t="s">
        <v>81</v>
      </c>
      <c r="H557" s="6" t="s">
        <v>6397</v>
      </c>
      <c r="I557" s="6" t="s">
        <v>8734</v>
      </c>
      <c r="J557" s="6" t="s">
        <v>9970</v>
      </c>
      <c r="K557" s="6" t="s">
        <v>10886</v>
      </c>
      <c r="L557" s="16" t="n">
        <v>39974</v>
      </c>
      <c r="M557" s="16" t="n">
        <v>46023</v>
      </c>
      <c r="N557" s="6" t="s">
        <v>10886</v>
      </c>
      <c r="O557" s="16" t="n">
        <v>39974</v>
      </c>
      <c r="P557" s="6" t="s">
        <v>11232</v>
      </c>
      <c r="Q557" s="6" t="s">
        <v>81</v>
      </c>
      <c r="R557" s="6" t="s">
        <v>81</v>
      </c>
      <c r="S557" s="6" t="s">
        <v>10886</v>
      </c>
      <c r="T557" s="16" t="n">
        <v>41044</v>
      </c>
      <c r="U557" s="6" t="s">
        <v>13374</v>
      </c>
      <c r="V557" s="6" t="s">
        <v>81</v>
      </c>
      <c r="W557" s="6" t="s">
        <v>81</v>
      </c>
      <c r="X557" s="6" t="s">
        <v>81</v>
      </c>
      <c r="Y557" s="21" t="s">
        <v>81</v>
      </c>
      <c r="Z557" s="6" t="s">
        <v>81</v>
      </c>
      <c r="AA557" s="6" t="s">
        <v>81</v>
      </c>
      <c r="AB557" s="6" t="s">
        <v>81</v>
      </c>
      <c r="AC557" s="6" t="s">
        <v>10886</v>
      </c>
      <c r="AD557" s="16" t="n">
        <v>44733</v>
      </c>
      <c r="AE557" s="6" t="s">
        <v>14081</v>
      </c>
      <c r="AF557" s="6" t="s">
        <v>81</v>
      </c>
      <c r="AG557" s="6" t="s">
        <v>81</v>
      </c>
      <c r="AH557" s="6" t="s">
        <v>15145</v>
      </c>
      <c r="AI557" s="6" t="s">
        <v>81</v>
      </c>
      <c r="AJ557" s="6" t="s">
        <v>17506</v>
      </c>
      <c r="AK557" s="6" t="s">
        <v>18386</v>
      </c>
      <c r="AL557" s="6" t="s">
        <v>18444</v>
      </c>
      <c r="AM557" s="6" t="s">
        <v>18667</v>
      </c>
      <c r="AN557" s="6" t="s">
        <v>19651</v>
      </c>
      <c r="AO557" s="6" t="s">
        <v>19864</v>
      </c>
      <c r="AP557" s="6" t="s">
        <v>20174</v>
      </c>
      <c r="AQ557" s="6" t="s">
        <v>81</v>
      </c>
      <c r="AR557" s="6" t="s">
        <v>17506</v>
      </c>
      <c r="AS557" s="6" t="s">
        <v>18386</v>
      </c>
      <c r="AT557" s="6" t="s">
        <v>18444</v>
      </c>
      <c r="AU557" s="6" t="s">
        <v>18667</v>
      </c>
      <c r="AV557" s="6" t="s">
        <v>81</v>
      </c>
      <c r="AW557" s="6" t="s">
        <v>81</v>
      </c>
      <c r="AX557" s="6" t="s">
        <v>21104</v>
      </c>
      <c r="AY557" s="6" t="s">
        <v>22775</v>
      </c>
      <c r="AZ557" s="6" t="s">
        <v>81</v>
      </c>
      <c r="BA557" s="6" t="s">
        <v>81</v>
      </c>
      <c r="BB557" s="24" t="n">
        <v>173</v>
      </c>
      <c r="BC557" s="26"/>
      <c r="BD557" s="26"/>
      <c r="BE557" s="26"/>
      <c r="BF557" s="26"/>
      <c r="BG557" s="26"/>
      <c r="BH557" s="26"/>
      <c r="BI557" s="26"/>
      <c r="BJ557" s="26"/>
      <c r="BK557" s="26"/>
      <c r="BL557" s="26"/>
      <c r="BM557" s="26"/>
      <c r="BN557" s="26"/>
      <c r="BO557" s="26"/>
      <c r="BP557" s="16" t="n">
        <v>45667</v>
      </c>
      <c r="BQ557" s="28" t="str">
        <f>HYPERLINK("https://organic.ams.usda.gov/Integrity/Certificate.aspx?cid=15&amp;nopid=5561001010")</f>
        <v>https://organic.ams.usda.gov/Integrity/Certificate.aspx?cid=15&amp;nopid=5561001010</v>
      </c>
    </row>
    <row r="558">
      <c r="A558" t="s">
        <v>3</v>
      </c>
      <c r="B558" s="6" t="s">
        <v>24</v>
      </c>
      <c r="C558" s="6" t="s">
        <v>71</v>
      </c>
      <c r="D558" s="6" t="s">
        <v>117</v>
      </c>
      <c r="E558" s="10" t="s">
        <v>699</v>
      </c>
      <c r="F558" s="6" t="s">
        <v>3433</v>
      </c>
      <c r="G558" s="6" t="s">
        <v>81</v>
      </c>
      <c r="H558" s="6" t="s">
        <v>81</v>
      </c>
      <c r="I558" s="6" t="s">
        <v>8735</v>
      </c>
      <c r="J558" s="6" t="s">
        <v>9971</v>
      </c>
      <c r="K558" s="6" t="s">
        <v>10886</v>
      </c>
      <c r="L558" s="16" t="n">
        <v>44679</v>
      </c>
      <c r="M558" s="16" t="n">
        <v>45901</v>
      </c>
      <c r="N558" s="6" t="s">
        <v>10886</v>
      </c>
      <c r="O558" s="16" t="n">
        <v>44926</v>
      </c>
      <c r="P558" s="6" t="s">
        <v>11031</v>
      </c>
      <c r="Q558" s="6" t="s">
        <v>81</v>
      </c>
      <c r="R558" s="6" t="s">
        <v>81</v>
      </c>
      <c r="S558" s="6" t="s">
        <v>10886</v>
      </c>
      <c r="T558" s="16" t="n">
        <v>44679</v>
      </c>
      <c r="U558" s="6" t="s">
        <v>13375</v>
      </c>
      <c r="V558" s="6" t="s">
        <v>81</v>
      </c>
      <c r="W558" s="6" t="s">
        <v>81</v>
      </c>
      <c r="X558" s="6" t="s">
        <v>81</v>
      </c>
      <c r="Y558" s="21" t="s">
        <v>81</v>
      </c>
      <c r="Z558" s="6" t="s">
        <v>81</v>
      </c>
      <c r="AA558" s="6" t="s">
        <v>81</v>
      </c>
      <c r="AB558" s="6" t="s">
        <v>81</v>
      </c>
      <c r="AC558" s="6" t="s">
        <v>10886</v>
      </c>
      <c r="AD558" s="16" t="n">
        <v>44679</v>
      </c>
      <c r="AE558" s="6" t="s">
        <v>14133</v>
      </c>
      <c r="AF558" s="6" t="s">
        <v>81</v>
      </c>
      <c r="AG558" s="6" t="s">
        <v>81</v>
      </c>
      <c r="AH558" s="6" t="s">
        <v>15146</v>
      </c>
      <c r="AI558" s="6" t="s">
        <v>81</v>
      </c>
      <c r="AJ558" s="6" t="s">
        <v>17660</v>
      </c>
      <c r="AK558" s="6" t="s">
        <v>18404</v>
      </c>
      <c r="AL558" s="6" t="s">
        <v>18444</v>
      </c>
      <c r="AM558" s="6" t="s">
        <v>18828</v>
      </c>
      <c r="AN558" s="6" t="s">
        <v>19684</v>
      </c>
      <c r="AO558" s="6" t="s">
        <v>19829</v>
      </c>
      <c r="AP558" s="6" t="s">
        <v>20175</v>
      </c>
      <c r="AQ558" s="6" t="s">
        <v>81</v>
      </c>
      <c r="AR558" s="6" t="s">
        <v>17660</v>
      </c>
      <c r="AS558" s="6" t="s">
        <v>18404</v>
      </c>
      <c r="AT558" s="6" t="s">
        <v>18444</v>
      </c>
      <c r="AU558" s="6" t="s">
        <v>18828</v>
      </c>
      <c r="AV558" s="6" t="s">
        <v>81</v>
      </c>
      <c r="AW558" s="6" t="s">
        <v>81</v>
      </c>
      <c r="AX558" s="6" t="s">
        <v>81</v>
      </c>
      <c r="AY558" s="6" t="s">
        <v>22776</v>
      </c>
      <c r="AZ558" s="6" t="s">
        <v>81</v>
      </c>
      <c r="BA558" s="6" t="s">
        <v>81</v>
      </c>
      <c r="BB558" s="24" t="n">
        <v>404</v>
      </c>
      <c r="BC558" s="26"/>
      <c r="BD558" s="26"/>
      <c r="BE558" s="26"/>
      <c r="BF558" s="26"/>
      <c r="BG558" s="26"/>
      <c r="BH558" s="26"/>
      <c r="BI558" s="26"/>
      <c r="BJ558" s="26"/>
      <c r="BK558" s="26"/>
      <c r="BL558" s="26"/>
      <c r="BM558" s="26"/>
      <c r="BN558" s="26"/>
      <c r="BO558" s="26"/>
      <c r="BP558" s="16" t="n">
        <v>45628</v>
      </c>
      <c r="BQ558" s="28" t="str">
        <f>HYPERLINK("https://organic.ams.usda.gov/Integrity/Certificate.aspx?cid=1&amp;nopid=9092201905")</f>
        <v>https://organic.ams.usda.gov/Integrity/Certificate.aspx?cid=1&amp;nopid=9092201905</v>
      </c>
    </row>
    <row r="559">
      <c r="A559" t="s">
        <v>3</v>
      </c>
      <c r="B559" s="6" t="s">
        <v>25</v>
      </c>
      <c r="C559" s="6" t="s">
        <v>72</v>
      </c>
      <c r="D559" s="6" t="s">
        <v>118</v>
      </c>
      <c r="E559" s="10" t="s">
        <v>700</v>
      </c>
      <c r="F559" s="6" t="s">
        <v>3434</v>
      </c>
      <c r="G559" s="6" t="s">
        <v>81</v>
      </c>
      <c r="H559" s="6" t="s">
        <v>6398</v>
      </c>
      <c r="I559" s="6" t="s">
        <v>8692</v>
      </c>
      <c r="J559" s="6" t="s">
        <v>9972</v>
      </c>
      <c r="K559" s="6" t="s">
        <v>10886</v>
      </c>
      <c r="L559" s="16" t="n">
        <v>44980</v>
      </c>
      <c r="M559" s="16" t="n">
        <v>46023</v>
      </c>
      <c r="N559" s="6" t="s">
        <v>10886</v>
      </c>
      <c r="O559" s="16" t="n">
        <v>44980</v>
      </c>
      <c r="P559" s="6" t="s">
        <v>11128</v>
      </c>
      <c r="Q559" s="6" t="s">
        <v>81</v>
      </c>
      <c r="R559" s="6" t="s">
        <v>81</v>
      </c>
      <c r="S559" s="6" t="s">
        <v>10886</v>
      </c>
      <c r="T559" s="16" t="n">
        <v>44980</v>
      </c>
      <c r="U559" s="6" t="s">
        <v>13376</v>
      </c>
      <c r="V559" s="6" t="s">
        <v>81</v>
      </c>
      <c r="W559" s="6" t="s">
        <v>81</v>
      </c>
      <c r="X559" s="6" t="s">
        <v>81</v>
      </c>
      <c r="Y559" s="21" t="s">
        <v>81</v>
      </c>
      <c r="Z559" s="6" t="s">
        <v>81</v>
      </c>
      <c r="AA559" s="6" t="s">
        <v>81</v>
      </c>
      <c r="AB559" s="6" t="s">
        <v>81</v>
      </c>
      <c r="AC559" s="6" t="s">
        <v>10886</v>
      </c>
      <c r="AD559" s="16" t="n">
        <v>44980</v>
      </c>
      <c r="AE559" s="6" t="s">
        <v>14081</v>
      </c>
      <c r="AF559" s="6" t="s">
        <v>81</v>
      </c>
      <c r="AG559" s="6" t="s">
        <v>81</v>
      </c>
      <c r="AH559" s="6" t="s">
        <v>15147</v>
      </c>
      <c r="AI559" s="6" t="s">
        <v>81</v>
      </c>
      <c r="AJ559" s="6" t="s">
        <v>17661</v>
      </c>
      <c r="AK559" s="6" t="s">
        <v>18152</v>
      </c>
      <c r="AL559" s="6" t="s">
        <v>18444</v>
      </c>
      <c r="AM559" s="6" t="s">
        <v>18829</v>
      </c>
      <c r="AN559" s="6" t="s">
        <v>19674</v>
      </c>
      <c r="AO559" s="6" t="s">
        <v>19795</v>
      </c>
      <c r="AP559" s="6" t="s">
        <v>15147</v>
      </c>
      <c r="AQ559" s="6" t="s">
        <v>81</v>
      </c>
      <c r="AR559" s="6" t="s">
        <v>17661</v>
      </c>
      <c r="AS559" s="6" t="s">
        <v>18152</v>
      </c>
      <c r="AT559" s="6" t="s">
        <v>18444</v>
      </c>
      <c r="AU559" s="6" t="s">
        <v>18829</v>
      </c>
      <c r="AV559" s="6" t="s">
        <v>81</v>
      </c>
      <c r="AW559" s="6" t="s">
        <v>81</v>
      </c>
      <c r="AX559" s="6" t="s">
        <v>21105</v>
      </c>
      <c r="AY559" s="6" t="s">
        <v>22777</v>
      </c>
      <c r="AZ559" s="6" t="s">
        <v>81</v>
      </c>
      <c r="BA559" s="6" t="s">
        <v>23827</v>
      </c>
      <c r="BB559" s="24" t="n">
        <v>588</v>
      </c>
      <c r="BC559" s="26"/>
      <c r="BD559" s="26"/>
      <c r="BE559" s="26"/>
      <c r="BF559" s="26" t="s">
        <v>23900</v>
      </c>
      <c r="BG559" s="26"/>
      <c r="BH559" s="26"/>
      <c r="BI559" s="26"/>
      <c r="BJ559" s="26"/>
      <c r="BK559" s="26"/>
      <c r="BL559" s="26"/>
      <c r="BM559" s="26"/>
      <c r="BN559" s="26"/>
      <c r="BO559" s="26"/>
      <c r="BP559" s="16" t="n">
        <v>45687</v>
      </c>
      <c r="BQ559" s="28" t="str">
        <f>HYPERLINK("https://organic.ams.usda.gov/Integrity/Certificate.aspx?cid=15&amp;nopid=5561007325")</f>
        <v>https://organic.ams.usda.gov/Integrity/Certificate.aspx?cid=15&amp;nopid=5561007325</v>
      </c>
    </row>
    <row r="560">
      <c r="A560" t="s">
        <v>3</v>
      </c>
      <c r="B560" s="6" t="s">
        <v>9</v>
      </c>
      <c r="C560" s="6" t="s">
        <v>56</v>
      </c>
      <c r="D560" s="6" t="s">
        <v>102</v>
      </c>
      <c r="E560" s="10" t="s">
        <v>701</v>
      </c>
      <c r="F560" s="6" t="s">
        <v>3435</v>
      </c>
      <c r="G560" s="6" t="s">
        <v>81</v>
      </c>
      <c r="H560" s="6" t="s">
        <v>6399</v>
      </c>
      <c r="I560" s="6" t="s">
        <v>8736</v>
      </c>
      <c r="J560" s="6" t="s">
        <v>9804</v>
      </c>
      <c r="K560" s="6" t="s">
        <v>10886</v>
      </c>
      <c r="L560" s="16" t="n">
        <v>41604</v>
      </c>
      <c r="M560" s="16" t="n">
        <v>45748</v>
      </c>
      <c r="N560" s="6" t="s">
        <v>10886</v>
      </c>
      <c r="O560" s="16" t="n">
        <v>41604</v>
      </c>
      <c r="P560" s="6" t="s">
        <v>11233</v>
      </c>
      <c r="Q560" s="6" t="s">
        <v>81</v>
      </c>
      <c r="R560" s="6" t="s">
        <v>12574</v>
      </c>
      <c r="S560" s="6" t="s">
        <v>10886</v>
      </c>
      <c r="T560" s="16" t="n">
        <v>41604</v>
      </c>
      <c r="U560" s="6" t="s">
        <v>13162</v>
      </c>
      <c r="V560" s="6" t="s">
        <v>81</v>
      </c>
      <c r="W560" s="6" t="s">
        <v>12574</v>
      </c>
      <c r="X560" s="6" t="s">
        <v>81</v>
      </c>
      <c r="Y560" s="21" t="s">
        <v>81</v>
      </c>
      <c r="Z560" s="6" t="s">
        <v>81</v>
      </c>
      <c r="AA560" s="6" t="s">
        <v>81</v>
      </c>
      <c r="AB560" s="6" t="s">
        <v>81</v>
      </c>
      <c r="AC560" s="6" t="s">
        <v>81</v>
      </c>
      <c r="AD560" s="21" t="s">
        <v>81</v>
      </c>
      <c r="AE560" s="6" t="s">
        <v>81</v>
      </c>
      <c r="AF560" s="6" t="s">
        <v>81</v>
      </c>
      <c r="AG560" s="6" t="s">
        <v>81</v>
      </c>
      <c r="AH560" s="6" t="s">
        <v>15148</v>
      </c>
      <c r="AI560" s="6" t="s">
        <v>81</v>
      </c>
      <c r="AJ560" s="6" t="s">
        <v>17662</v>
      </c>
      <c r="AK560" s="6" t="s">
        <v>18377</v>
      </c>
      <c r="AL560" s="6" t="s">
        <v>18444</v>
      </c>
      <c r="AM560" s="6" t="s">
        <v>18830</v>
      </c>
      <c r="AN560" s="6" t="s">
        <v>7546</v>
      </c>
      <c r="AO560" s="6" t="s">
        <v>19892</v>
      </c>
      <c r="AP560" s="6" t="s">
        <v>81</v>
      </c>
      <c r="AQ560" s="6" t="s">
        <v>81</v>
      </c>
      <c r="AR560" s="6" t="s">
        <v>81</v>
      </c>
      <c r="AS560" s="6" t="s">
        <v>81</v>
      </c>
      <c r="AT560" s="6" t="s">
        <v>81</v>
      </c>
      <c r="AU560" s="6" t="s">
        <v>81</v>
      </c>
      <c r="AV560" s="6" t="s">
        <v>81</v>
      </c>
      <c r="AW560" s="6" t="s">
        <v>81</v>
      </c>
      <c r="AX560" s="6" t="s">
        <v>21106</v>
      </c>
      <c r="AY560" s="6" t="s">
        <v>81</v>
      </c>
      <c r="AZ560" s="6" t="s">
        <v>81</v>
      </c>
      <c r="BA560" s="6" t="s">
        <v>81</v>
      </c>
      <c r="BB560" s="24" t="n">
        <v>240</v>
      </c>
      <c r="BC560" s="26"/>
      <c r="BD560" s="26"/>
      <c r="BE560" s="26"/>
      <c r="BF560" s="26"/>
      <c r="BG560" s="26"/>
      <c r="BH560" s="26"/>
      <c r="BI560" s="26"/>
      <c r="BJ560" s="26"/>
      <c r="BK560" s="26"/>
      <c r="BL560" s="26"/>
      <c r="BM560" s="26"/>
      <c r="BN560" s="26"/>
      <c r="BO560" s="26"/>
      <c r="BP560" s="16" t="n">
        <v>45738</v>
      </c>
      <c r="BQ560" s="28" t="str">
        <f>HYPERLINK("https://organic.ams.usda.gov/Integrity/Certificate.aspx?cid=52&amp;nopid=8431300618")</f>
        <v>https://organic.ams.usda.gov/Integrity/Certificate.aspx?cid=52&amp;nopid=8431300618</v>
      </c>
    </row>
    <row r="561">
      <c r="A561" t="s">
        <v>3</v>
      </c>
      <c r="B561" s="6" t="s">
        <v>10</v>
      </c>
      <c r="C561" s="6" t="s">
        <v>57</v>
      </c>
      <c r="D561" s="6" t="s">
        <v>103</v>
      </c>
      <c r="E561" s="10" t="s">
        <v>702</v>
      </c>
      <c r="F561" s="6" t="s">
        <v>3436</v>
      </c>
      <c r="G561" s="6" t="s">
        <v>81</v>
      </c>
      <c r="H561" s="6" t="s">
        <v>6400</v>
      </c>
      <c r="I561" s="6" t="s">
        <v>8513</v>
      </c>
      <c r="J561" s="6" t="s">
        <v>9677</v>
      </c>
      <c r="K561" s="6" t="s">
        <v>10886</v>
      </c>
      <c r="L561" s="16" t="n">
        <v>39268</v>
      </c>
      <c r="M561" s="16" t="n">
        <v>45748</v>
      </c>
      <c r="N561" s="6" t="s">
        <v>10886</v>
      </c>
      <c r="O561" s="16" t="n">
        <v>39268</v>
      </c>
      <c r="P561" s="6" t="s">
        <v>11234</v>
      </c>
      <c r="Q561" s="6" t="s">
        <v>81</v>
      </c>
      <c r="R561" s="6" t="s">
        <v>12575</v>
      </c>
      <c r="S561" s="6" t="s">
        <v>10886</v>
      </c>
      <c r="T561" s="16" t="n">
        <v>39268</v>
      </c>
      <c r="U561" s="6" t="s">
        <v>13163</v>
      </c>
      <c r="V561" s="6" t="s">
        <v>81</v>
      </c>
      <c r="W561" s="6" t="s">
        <v>81</v>
      </c>
      <c r="X561" s="6" t="s">
        <v>81</v>
      </c>
      <c r="Y561" s="21" t="s">
        <v>81</v>
      </c>
      <c r="Z561" s="6" t="s">
        <v>81</v>
      </c>
      <c r="AA561" s="6" t="s">
        <v>81</v>
      </c>
      <c r="AB561" s="6" t="s">
        <v>81</v>
      </c>
      <c r="AC561" s="6" t="s">
        <v>81</v>
      </c>
      <c r="AD561" s="21" t="s">
        <v>81</v>
      </c>
      <c r="AE561" s="6" t="s">
        <v>81</v>
      </c>
      <c r="AF561" s="6" t="s">
        <v>81</v>
      </c>
      <c r="AG561" s="6" t="s">
        <v>81</v>
      </c>
      <c r="AH561" s="6" t="s">
        <v>15149</v>
      </c>
      <c r="AI561" s="6" t="s">
        <v>81</v>
      </c>
      <c r="AJ561" s="6" t="s">
        <v>17418</v>
      </c>
      <c r="AK561" s="6" t="s">
        <v>18379</v>
      </c>
      <c r="AL561" s="6" t="s">
        <v>18444</v>
      </c>
      <c r="AM561" s="6" t="s">
        <v>18575</v>
      </c>
      <c r="AN561" s="6" t="s">
        <v>19671</v>
      </c>
      <c r="AO561" s="6" t="s">
        <v>19784</v>
      </c>
      <c r="AP561" s="6" t="s">
        <v>15149</v>
      </c>
      <c r="AQ561" s="6" t="s">
        <v>81</v>
      </c>
      <c r="AR561" s="6" t="s">
        <v>17418</v>
      </c>
      <c r="AS561" s="6" t="s">
        <v>18379</v>
      </c>
      <c r="AT561" s="6" t="s">
        <v>18444</v>
      </c>
      <c r="AU561" s="6" t="s">
        <v>18575</v>
      </c>
      <c r="AV561" s="6" t="s">
        <v>81</v>
      </c>
      <c r="AW561" s="6" t="s">
        <v>81</v>
      </c>
      <c r="AX561" s="6" t="s">
        <v>21107</v>
      </c>
      <c r="AY561" s="6" t="s">
        <v>81</v>
      </c>
      <c r="AZ561" s="6" t="s">
        <v>81</v>
      </c>
      <c r="BA561" s="6" t="s">
        <v>81</v>
      </c>
      <c r="BB561" s="24" t="n">
        <v>114</v>
      </c>
      <c r="BC561" s="26"/>
      <c r="BD561" s="26"/>
      <c r="BE561" s="26"/>
      <c r="BF561" s="26"/>
      <c r="BG561" s="26"/>
      <c r="BH561" s="26"/>
      <c r="BI561" s="26"/>
      <c r="BJ561" s="26"/>
      <c r="BK561" s="26"/>
      <c r="BL561" s="26"/>
      <c r="BM561" s="26"/>
      <c r="BN561" s="26"/>
      <c r="BO561" s="26"/>
      <c r="BP561" s="16" t="n">
        <v>45730</v>
      </c>
      <c r="BQ561" s="28" t="str">
        <f>HYPERLINK("https://organic.ams.usda.gov/Integrity/Certificate.aspx?cid=90&amp;nopid=7170230648")</f>
        <v>https://organic.ams.usda.gov/Integrity/Certificate.aspx?cid=90&amp;nopid=7170230648</v>
      </c>
    </row>
    <row r="562">
      <c r="A562" t="s">
        <v>3</v>
      </c>
      <c r="B562" s="6" t="s">
        <v>9</v>
      </c>
      <c r="C562" s="6" t="s">
        <v>56</v>
      </c>
      <c r="D562" s="6" t="s">
        <v>102</v>
      </c>
      <c r="E562" s="10" t="s">
        <v>703</v>
      </c>
      <c r="F562" s="6" t="s">
        <v>3437</v>
      </c>
      <c r="G562" s="6" t="s">
        <v>81</v>
      </c>
      <c r="H562" s="6" t="s">
        <v>6401</v>
      </c>
      <c r="I562" s="6" t="s">
        <v>8737</v>
      </c>
      <c r="J562" s="6" t="s">
        <v>9665</v>
      </c>
      <c r="K562" s="6" t="s">
        <v>10886</v>
      </c>
      <c r="L562" s="16" t="n">
        <v>42285</v>
      </c>
      <c r="M562" s="16" t="n">
        <v>45748</v>
      </c>
      <c r="N562" s="6" t="s">
        <v>10886</v>
      </c>
      <c r="O562" s="16" t="n">
        <v>42285</v>
      </c>
      <c r="P562" s="6" t="s">
        <v>10922</v>
      </c>
      <c r="Q562" s="6" t="s">
        <v>81</v>
      </c>
      <c r="R562" s="6" t="s">
        <v>12576</v>
      </c>
      <c r="S562" s="6" t="s">
        <v>10886</v>
      </c>
      <c r="T562" s="16" t="n">
        <v>42285</v>
      </c>
      <c r="U562" s="6" t="s">
        <v>13168</v>
      </c>
      <c r="V562" s="6" t="s">
        <v>81</v>
      </c>
      <c r="W562" s="6" t="s">
        <v>12576</v>
      </c>
      <c r="X562" s="6" t="s">
        <v>81</v>
      </c>
      <c r="Y562" s="21" t="s">
        <v>81</v>
      </c>
      <c r="Z562" s="6" t="s">
        <v>81</v>
      </c>
      <c r="AA562" s="6" t="s">
        <v>81</v>
      </c>
      <c r="AB562" s="6" t="s">
        <v>81</v>
      </c>
      <c r="AC562" s="6" t="s">
        <v>81</v>
      </c>
      <c r="AD562" s="21" t="s">
        <v>81</v>
      </c>
      <c r="AE562" s="6" t="s">
        <v>81</v>
      </c>
      <c r="AF562" s="6" t="s">
        <v>81</v>
      </c>
      <c r="AG562" s="6" t="s">
        <v>81</v>
      </c>
      <c r="AH562" s="6" t="s">
        <v>15150</v>
      </c>
      <c r="AI562" s="6" t="s">
        <v>81</v>
      </c>
      <c r="AJ562" s="6" t="s">
        <v>17315</v>
      </c>
      <c r="AK562" s="6" t="s">
        <v>18379</v>
      </c>
      <c r="AL562" s="6" t="s">
        <v>18444</v>
      </c>
      <c r="AM562" s="6" t="s">
        <v>18467</v>
      </c>
      <c r="AN562" s="6" t="s">
        <v>19637</v>
      </c>
      <c r="AO562" s="6" t="s">
        <v>19723</v>
      </c>
      <c r="AP562" s="6" t="s">
        <v>81</v>
      </c>
      <c r="AQ562" s="6" t="s">
        <v>81</v>
      </c>
      <c r="AR562" s="6" t="s">
        <v>81</v>
      </c>
      <c r="AS562" s="6" t="s">
        <v>81</v>
      </c>
      <c r="AT562" s="6" t="s">
        <v>81</v>
      </c>
      <c r="AU562" s="6" t="s">
        <v>81</v>
      </c>
      <c r="AV562" s="6" t="s">
        <v>81</v>
      </c>
      <c r="AW562" s="6" t="s">
        <v>81</v>
      </c>
      <c r="AX562" s="6" t="s">
        <v>81</v>
      </c>
      <c r="AY562" s="6" t="s">
        <v>81</v>
      </c>
      <c r="AZ562" s="6" t="s">
        <v>81</v>
      </c>
      <c r="BA562" s="6" t="s">
        <v>81</v>
      </c>
      <c r="BB562" s="24" t="n">
        <v>96</v>
      </c>
      <c r="BC562" s="26"/>
      <c r="BD562" s="26"/>
      <c r="BE562" s="26"/>
      <c r="BF562" s="26"/>
      <c r="BG562" s="26"/>
      <c r="BH562" s="26"/>
      <c r="BI562" s="26"/>
      <c r="BJ562" s="26"/>
      <c r="BK562" s="26"/>
      <c r="BL562" s="26"/>
      <c r="BM562" s="26"/>
      <c r="BN562" s="26"/>
      <c r="BO562" s="26"/>
      <c r="BP562" s="16" t="n">
        <v>45738</v>
      </c>
      <c r="BQ562" s="28" t="str">
        <f>HYPERLINK("https://organic.ams.usda.gov/Integrity/Certificate.aspx?cid=52&amp;nopid=8431501111")</f>
        <v>https://organic.ams.usda.gov/Integrity/Certificate.aspx?cid=52&amp;nopid=8431501111</v>
      </c>
    </row>
    <row r="563">
      <c r="A563" t="s">
        <v>3</v>
      </c>
      <c r="B563" s="6" t="s">
        <v>9</v>
      </c>
      <c r="C563" s="6" t="s">
        <v>56</v>
      </c>
      <c r="D563" s="6" t="s">
        <v>102</v>
      </c>
      <c r="E563" s="10" t="s">
        <v>704</v>
      </c>
      <c r="F563" s="6" t="s">
        <v>3438</v>
      </c>
      <c r="G563" s="6" t="s">
        <v>81</v>
      </c>
      <c r="H563" s="6" t="s">
        <v>6402</v>
      </c>
      <c r="I563" s="6" t="s">
        <v>81</v>
      </c>
      <c r="J563" s="6" t="s">
        <v>81</v>
      </c>
      <c r="K563" s="6" t="s">
        <v>10886</v>
      </c>
      <c r="L563" s="16" t="n">
        <v>41912</v>
      </c>
      <c r="M563" s="16" t="n">
        <v>46113</v>
      </c>
      <c r="N563" s="6" t="s">
        <v>10886</v>
      </c>
      <c r="O563" s="16" t="n">
        <v>41912</v>
      </c>
      <c r="P563" s="6" t="s">
        <v>10900</v>
      </c>
      <c r="Q563" s="6" t="s">
        <v>81</v>
      </c>
      <c r="R563" s="6" t="s">
        <v>12577</v>
      </c>
      <c r="S563" s="6" t="s">
        <v>10886</v>
      </c>
      <c r="T563" s="16" t="n">
        <v>41912</v>
      </c>
      <c r="U563" s="6" t="s">
        <v>13168</v>
      </c>
      <c r="V563" s="6" t="s">
        <v>81</v>
      </c>
      <c r="W563" s="6" t="s">
        <v>12577</v>
      </c>
      <c r="X563" s="6" t="s">
        <v>81</v>
      </c>
      <c r="Y563" s="21" t="s">
        <v>81</v>
      </c>
      <c r="Z563" s="6" t="s">
        <v>81</v>
      </c>
      <c r="AA563" s="6" t="s">
        <v>81</v>
      </c>
      <c r="AB563" s="6" t="s">
        <v>81</v>
      </c>
      <c r="AC563" s="6" t="s">
        <v>81</v>
      </c>
      <c r="AD563" s="21" t="s">
        <v>81</v>
      </c>
      <c r="AE563" s="6" t="s">
        <v>81</v>
      </c>
      <c r="AF563" s="6" t="s">
        <v>81</v>
      </c>
      <c r="AG563" s="6" t="s">
        <v>81</v>
      </c>
      <c r="AH563" s="6" t="s">
        <v>15151</v>
      </c>
      <c r="AI563" s="6" t="s">
        <v>81</v>
      </c>
      <c r="AJ563" s="6" t="s">
        <v>17663</v>
      </c>
      <c r="AK563" s="6" t="s">
        <v>18378</v>
      </c>
      <c r="AL563" s="6" t="s">
        <v>18444</v>
      </c>
      <c r="AM563" s="6" t="s">
        <v>18831</v>
      </c>
      <c r="AN563" s="6" t="s">
        <v>19647</v>
      </c>
      <c r="AO563" s="6" t="s">
        <v>19734</v>
      </c>
      <c r="AP563" s="6" t="s">
        <v>81</v>
      </c>
      <c r="AQ563" s="6" t="s">
        <v>81</v>
      </c>
      <c r="AR563" s="6" t="s">
        <v>81</v>
      </c>
      <c r="AS563" s="6" t="s">
        <v>81</v>
      </c>
      <c r="AT563" s="6" t="s">
        <v>81</v>
      </c>
      <c r="AU563" s="6" t="s">
        <v>81</v>
      </c>
      <c r="AV563" s="6" t="s">
        <v>81</v>
      </c>
      <c r="AW563" s="6" t="s">
        <v>81</v>
      </c>
      <c r="AX563" s="6" t="s">
        <v>21108</v>
      </c>
      <c r="AY563" s="6" t="s">
        <v>81</v>
      </c>
      <c r="AZ563" s="6" t="s">
        <v>81</v>
      </c>
      <c r="BA563" s="6" t="s">
        <v>81</v>
      </c>
      <c r="BB563" s="24" t="n">
        <v>166</v>
      </c>
      <c r="BC563" s="26"/>
      <c r="BD563" s="26"/>
      <c r="BE563" s="26"/>
      <c r="BF563" s="26"/>
      <c r="BG563" s="26"/>
      <c r="BH563" s="26"/>
      <c r="BI563" s="26"/>
      <c r="BJ563" s="26"/>
      <c r="BK563" s="26"/>
      <c r="BL563" s="26"/>
      <c r="BM563" s="26"/>
      <c r="BN563" s="26"/>
      <c r="BO563" s="26"/>
      <c r="BP563" s="16" t="n">
        <v>45738</v>
      </c>
      <c r="BQ563" s="28" t="str">
        <f>HYPERLINK("https://organic.ams.usda.gov/Integrity/Certificate.aspx?cid=52&amp;nopid=8431400837")</f>
        <v>https://organic.ams.usda.gov/Integrity/Certificate.aspx?cid=52&amp;nopid=8431400837</v>
      </c>
    </row>
    <row r="564">
      <c r="A564" t="s">
        <v>3</v>
      </c>
      <c r="B564" s="6" t="s">
        <v>10</v>
      </c>
      <c r="C564" s="6" t="s">
        <v>57</v>
      </c>
      <c r="D564" s="6" t="s">
        <v>103</v>
      </c>
      <c r="E564" s="10" t="s">
        <v>705</v>
      </c>
      <c r="F564" s="6" t="s">
        <v>3439</v>
      </c>
      <c r="G564" s="6" t="s">
        <v>81</v>
      </c>
      <c r="H564" s="6" t="s">
        <v>6403</v>
      </c>
      <c r="I564" s="6" t="s">
        <v>8738</v>
      </c>
      <c r="J564" s="6" t="s">
        <v>9665</v>
      </c>
      <c r="K564" s="6" t="s">
        <v>10886</v>
      </c>
      <c r="L564" s="16" t="n">
        <v>41946</v>
      </c>
      <c r="M564" s="16" t="n">
        <v>45748</v>
      </c>
      <c r="N564" s="6" t="s">
        <v>10886</v>
      </c>
      <c r="O564" s="16" t="n">
        <v>41946</v>
      </c>
      <c r="P564" s="6" t="s">
        <v>11235</v>
      </c>
      <c r="Q564" s="6" t="s">
        <v>81</v>
      </c>
      <c r="R564" s="6" t="s">
        <v>12578</v>
      </c>
      <c r="S564" s="6" t="s">
        <v>10886</v>
      </c>
      <c r="T564" s="16" t="n">
        <v>41946</v>
      </c>
      <c r="U564" s="6" t="s">
        <v>13377</v>
      </c>
      <c r="V564" s="6" t="s">
        <v>81</v>
      </c>
      <c r="W564" s="6" t="s">
        <v>81</v>
      </c>
      <c r="X564" s="6" t="s">
        <v>81</v>
      </c>
      <c r="Y564" s="21" t="s">
        <v>81</v>
      </c>
      <c r="Z564" s="6" t="s">
        <v>81</v>
      </c>
      <c r="AA564" s="6" t="s">
        <v>81</v>
      </c>
      <c r="AB564" s="6" t="s">
        <v>81</v>
      </c>
      <c r="AC564" s="6" t="s">
        <v>81</v>
      </c>
      <c r="AD564" s="21" t="s">
        <v>81</v>
      </c>
      <c r="AE564" s="6" t="s">
        <v>81</v>
      </c>
      <c r="AF564" s="6" t="s">
        <v>81</v>
      </c>
      <c r="AG564" s="6" t="s">
        <v>81</v>
      </c>
      <c r="AH564" s="6" t="s">
        <v>15152</v>
      </c>
      <c r="AI564" s="6" t="s">
        <v>81</v>
      </c>
      <c r="AJ564" s="6" t="s">
        <v>17315</v>
      </c>
      <c r="AK564" s="6" t="s">
        <v>18379</v>
      </c>
      <c r="AL564" s="6" t="s">
        <v>18444</v>
      </c>
      <c r="AM564" s="6" t="s">
        <v>18467</v>
      </c>
      <c r="AN564" s="6" t="s">
        <v>19637</v>
      </c>
      <c r="AO564" s="6" t="s">
        <v>19723</v>
      </c>
      <c r="AP564" s="6" t="s">
        <v>15152</v>
      </c>
      <c r="AQ564" s="6" t="s">
        <v>81</v>
      </c>
      <c r="AR564" s="6" t="s">
        <v>17315</v>
      </c>
      <c r="AS564" s="6" t="s">
        <v>18379</v>
      </c>
      <c r="AT564" s="6" t="s">
        <v>18444</v>
      </c>
      <c r="AU564" s="6" t="s">
        <v>18467</v>
      </c>
      <c r="AV564" s="6" t="s">
        <v>81</v>
      </c>
      <c r="AW564" s="6" t="s">
        <v>81</v>
      </c>
      <c r="AX564" s="6" t="s">
        <v>21109</v>
      </c>
      <c r="AY564" s="6" t="s">
        <v>81</v>
      </c>
      <c r="AZ564" s="6" t="s">
        <v>81</v>
      </c>
      <c r="BA564" s="6" t="s">
        <v>81</v>
      </c>
      <c r="BB564" s="24" t="n">
        <v>83</v>
      </c>
      <c r="BC564" s="26"/>
      <c r="BD564" s="26"/>
      <c r="BE564" s="26"/>
      <c r="BF564" s="26"/>
      <c r="BG564" s="26"/>
      <c r="BH564" s="26"/>
      <c r="BI564" s="26"/>
      <c r="BJ564" s="26"/>
      <c r="BK564" s="26"/>
      <c r="BL564" s="26"/>
      <c r="BM564" s="26"/>
      <c r="BN564" s="26"/>
      <c r="BO564" s="26"/>
      <c r="BP564" s="16" t="n">
        <v>45730</v>
      </c>
      <c r="BQ564" s="28" t="str">
        <f>HYPERLINK("https://organic.ams.usda.gov/Integrity/Certificate.aspx?cid=90&amp;nopid=7170020082")</f>
        <v>https://organic.ams.usda.gov/Integrity/Certificate.aspx?cid=90&amp;nopid=7170020082</v>
      </c>
    </row>
    <row r="565">
      <c r="A565" t="s">
        <v>3</v>
      </c>
      <c r="B565" s="6" t="s">
        <v>10</v>
      </c>
      <c r="C565" s="6" t="s">
        <v>57</v>
      </c>
      <c r="D565" s="6" t="s">
        <v>103</v>
      </c>
      <c r="E565" s="10" t="s">
        <v>706</v>
      </c>
      <c r="F565" s="6" t="s">
        <v>3440</v>
      </c>
      <c r="G565" s="6" t="s">
        <v>81</v>
      </c>
      <c r="H565" s="6" t="s">
        <v>6404</v>
      </c>
      <c r="I565" s="6" t="s">
        <v>8739</v>
      </c>
      <c r="J565" s="6" t="s">
        <v>9699</v>
      </c>
      <c r="K565" s="6" t="s">
        <v>10886</v>
      </c>
      <c r="L565" s="16" t="n">
        <v>45545</v>
      </c>
      <c r="M565" s="16" t="n">
        <v>45748</v>
      </c>
      <c r="N565" s="6" t="s">
        <v>10886</v>
      </c>
      <c r="O565" s="16" t="n">
        <v>45545</v>
      </c>
      <c r="P565" s="6" t="s">
        <v>11236</v>
      </c>
      <c r="Q565" s="6" t="s">
        <v>81</v>
      </c>
      <c r="R565" s="6" t="s">
        <v>12579</v>
      </c>
      <c r="S565" s="6" t="s">
        <v>10886</v>
      </c>
      <c r="T565" s="16" t="n">
        <v>45545</v>
      </c>
      <c r="U565" s="6" t="s">
        <v>13163</v>
      </c>
      <c r="V565" s="6" t="s">
        <v>81</v>
      </c>
      <c r="W565" s="6" t="s">
        <v>81</v>
      </c>
      <c r="X565" s="6" t="s">
        <v>81</v>
      </c>
      <c r="Y565" s="21" t="s">
        <v>81</v>
      </c>
      <c r="Z565" s="6" t="s">
        <v>81</v>
      </c>
      <c r="AA565" s="6" t="s">
        <v>81</v>
      </c>
      <c r="AB565" s="6" t="s">
        <v>81</v>
      </c>
      <c r="AC565" s="6" t="s">
        <v>81</v>
      </c>
      <c r="AD565" s="21" t="s">
        <v>81</v>
      </c>
      <c r="AE565" s="6" t="s">
        <v>81</v>
      </c>
      <c r="AF565" s="6" t="s">
        <v>81</v>
      </c>
      <c r="AG565" s="6" t="s">
        <v>81</v>
      </c>
      <c r="AH565" s="6" t="s">
        <v>15153</v>
      </c>
      <c r="AI565" s="6" t="s">
        <v>81</v>
      </c>
      <c r="AJ565" s="6" t="s">
        <v>17347</v>
      </c>
      <c r="AK565" s="6" t="s">
        <v>18378</v>
      </c>
      <c r="AL565" s="6" t="s">
        <v>18444</v>
      </c>
      <c r="AM565" s="6" t="s">
        <v>18501</v>
      </c>
      <c r="AN565" s="6" t="s">
        <v>81</v>
      </c>
      <c r="AO565" s="6" t="s">
        <v>81</v>
      </c>
      <c r="AP565" s="6" t="s">
        <v>15153</v>
      </c>
      <c r="AQ565" s="6" t="s">
        <v>81</v>
      </c>
      <c r="AR565" s="6" t="s">
        <v>17347</v>
      </c>
      <c r="AS565" s="6" t="s">
        <v>18378</v>
      </c>
      <c r="AT565" s="6" t="s">
        <v>18444</v>
      </c>
      <c r="AU565" s="6" t="s">
        <v>18501</v>
      </c>
      <c r="AV565" s="6" t="s">
        <v>81</v>
      </c>
      <c r="AW565" s="6" t="s">
        <v>81</v>
      </c>
      <c r="AX565" s="6" t="s">
        <v>21110</v>
      </c>
      <c r="AY565" s="6" t="s">
        <v>22778</v>
      </c>
      <c r="AZ565" s="6" t="s">
        <v>81</v>
      </c>
      <c r="BA565" s="6" t="s">
        <v>81</v>
      </c>
      <c r="BB565" s="24" t="n">
        <v>98</v>
      </c>
      <c r="BC565" s="26"/>
      <c r="BD565" s="26"/>
      <c r="BE565" s="26"/>
      <c r="BF565" s="26"/>
      <c r="BG565" s="26"/>
      <c r="BH565" s="26"/>
      <c r="BI565" s="26"/>
      <c r="BJ565" s="26"/>
      <c r="BK565" s="26"/>
      <c r="BL565" s="26"/>
      <c r="BM565" s="26"/>
      <c r="BN565" s="26"/>
      <c r="BO565" s="26"/>
      <c r="BP565" s="16" t="n">
        <v>45730</v>
      </c>
      <c r="BQ565" s="28" t="str">
        <f>HYPERLINK("https://organic.ams.usda.gov/Integrity/Certificate.aspx?cid=90&amp;nopid=7170240830")</f>
        <v>https://organic.ams.usda.gov/Integrity/Certificate.aspx?cid=90&amp;nopid=7170240830</v>
      </c>
    </row>
    <row r="566">
      <c r="A566" t="s">
        <v>3</v>
      </c>
      <c r="B566" s="6" t="s">
        <v>12</v>
      </c>
      <c r="C566" s="6" t="s">
        <v>59</v>
      </c>
      <c r="D566" s="6" t="s">
        <v>105</v>
      </c>
      <c r="E566" s="10" t="s">
        <v>707</v>
      </c>
      <c r="F566" s="6" t="s">
        <v>3441</v>
      </c>
      <c r="G566" s="6" t="s">
        <v>81</v>
      </c>
      <c r="H566" s="6" t="s">
        <v>6405</v>
      </c>
      <c r="I566" s="6" t="s">
        <v>8513</v>
      </c>
      <c r="J566" s="6" t="s">
        <v>9726</v>
      </c>
      <c r="K566" s="6" t="s">
        <v>10886</v>
      </c>
      <c r="L566" s="16" t="n">
        <v>40672</v>
      </c>
      <c r="M566" s="16" t="n">
        <v>45717</v>
      </c>
      <c r="N566" s="6" t="s">
        <v>10886</v>
      </c>
      <c r="O566" s="16" t="n">
        <v>40672</v>
      </c>
      <c r="P566" s="6" t="s">
        <v>11237</v>
      </c>
      <c r="Q566" s="6" t="s">
        <v>81</v>
      </c>
      <c r="R566" s="6" t="s">
        <v>81</v>
      </c>
      <c r="S566" s="6" t="s">
        <v>10886</v>
      </c>
      <c r="T566" s="16" t="n">
        <v>40672</v>
      </c>
      <c r="U566" s="6" t="s">
        <v>13262</v>
      </c>
      <c r="V566" s="6" t="s">
        <v>81</v>
      </c>
      <c r="W566" s="6" t="s">
        <v>81</v>
      </c>
      <c r="X566" s="6" t="s">
        <v>81</v>
      </c>
      <c r="Y566" s="21" t="s">
        <v>81</v>
      </c>
      <c r="Z566" s="6" t="s">
        <v>81</v>
      </c>
      <c r="AA566" s="6" t="s">
        <v>81</v>
      </c>
      <c r="AB566" s="6" t="s">
        <v>81</v>
      </c>
      <c r="AC566" s="6" t="s">
        <v>81</v>
      </c>
      <c r="AD566" s="21" t="s">
        <v>81</v>
      </c>
      <c r="AE566" s="6" t="s">
        <v>81</v>
      </c>
      <c r="AF566" s="6" t="s">
        <v>81</v>
      </c>
      <c r="AG566" s="6" t="s">
        <v>81</v>
      </c>
      <c r="AH566" s="6" t="s">
        <v>15154</v>
      </c>
      <c r="AI566" s="6" t="s">
        <v>81</v>
      </c>
      <c r="AJ566" s="6" t="s">
        <v>17664</v>
      </c>
      <c r="AK566" s="6" t="s">
        <v>17712</v>
      </c>
      <c r="AL566" s="6" t="s">
        <v>18444</v>
      </c>
      <c r="AM566" s="6" t="s">
        <v>18832</v>
      </c>
      <c r="AN566" s="6" t="s">
        <v>19661</v>
      </c>
      <c r="AO566" s="6" t="s">
        <v>19841</v>
      </c>
      <c r="AP566" s="6" t="s">
        <v>15154</v>
      </c>
      <c r="AQ566" s="6" t="s">
        <v>81</v>
      </c>
      <c r="AR566" s="6" t="s">
        <v>17664</v>
      </c>
      <c r="AS566" s="6" t="s">
        <v>17712</v>
      </c>
      <c r="AT566" s="6" t="s">
        <v>18444</v>
      </c>
      <c r="AU566" s="6" t="s">
        <v>18832</v>
      </c>
      <c r="AV566" s="6" t="s">
        <v>81</v>
      </c>
      <c r="AW566" s="6" t="s">
        <v>81</v>
      </c>
      <c r="AX566" s="6" t="s">
        <v>21111</v>
      </c>
      <c r="AY566" s="6" t="s">
        <v>81</v>
      </c>
      <c r="AZ566" s="6" t="s">
        <v>81</v>
      </c>
      <c r="BA566" s="6" t="s">
        <v>81</v>
      </c>
      <c r="BB566" s="24" t="n">
        <v>204</v>
      </c>
      <c r="BC566" s="26"/>
      <c r="BD566" s="26"/>
      <c r="BE566" s="26"/>
      <c r="BF566" s="26"/>
      <c r="BG566" s="26"/>
      <c r="BH566" s="26"/>
      <c r="BI566" s="26"/>
      <c r="BJ566" s="26"/>
      <c r="BK566" s="26"/>
      <c r="BL566" s="26"/>
      <c r="BM566" s="26"/>
      <c r="BN566" s="26"/>
      <c r="BO566" s="26"/>
      <c r="BP566" s="16" t="n">
        <v>45729</v>
      </c>
      <c r="BQ566" s="28" t="str">
        <f>HYPERLINK("https://organic.ams.usda.gov/Integrity/Certificate.aspx?cid=68&amp;nopid=8210002175")</f>
        <v>https://organic.ams.usda.gov/Integrity/Certificate.aspx?cid=68&amp;nopid=8210002175</v>
      </c>
    </row>
    <row r="567">
      <c r="A567" t="s">
        <v>3</v>
      </c>
      <c r="B567" s="6" t="s">
        <v>9</v>
      </c>
      <c r="C567" s="6" t="s">
        <v>56</v>
      </c>
      <c r="D567" s="6" t="s">
        <v>102</v>
      </c>
      <c r="E567" s="10" t="s">
        <v>708</v>
      </c>
      <c r="F567" s="6" t="s">
        <v>3442</v>
      </c>
      <c r="G567" s="6" t="s">
        <v>81</v>
      </c>
      <c r="H567" s="6" t="s">
        <v>6406</v>
      </c>
      <c r="I567" s="6" t="s">
        <v>81</v>
      </c>
      <c r="J567" s="6" t="s">
        <v>81</v>
      </c>
      <c r="K567" s="6" t="s">
        <v>10886</v>
      </c>
      <c r="L567" s="16" t="n">
        <v>42064</v>
      </c>
      <c r="M567" s="16" t="n">
        <v>45748</v>
      </c>
      <c r="N567" s="6" t="s">
        <v>10886</v>
      </c>
      <c r="O567" s="16" t="n">
        <v>42064</v>
      </c>
      <c r="P567" s="6" t="s">
        <v>10907</v>
      </c>
      <c r="Q567" s="6" t="s">
        <v>81</v>
      </c>
      <c r="R567" s="6" t="s">
        <v>12580</v>
      </c>
      <c r="S567" s="6" t="s">
        <v>10886</v>
      </c>
      <c r="T567" s="16" t="n">
        <v>42064</v>
      </c>
      <c r="U567" s="6" t="s">
        <v>13168</v>
      </c>
      <c r="V567" s="6" t="s">
        <v>81</v>
      </c>
      <c r="W567" s="6" t="s">
        <v>12580</v>
      </c>
      <c r="X567" s="6" t="s">
        <v>81</v>
      </c>
      <c r="Y567" s="21" t="s">
        <v>81</v>
      </c>
      <c r="Z567" s="6" t="s">
        <v>81</v>
      </c>
      <c r="AA567" s="6" t="s">
        <v>81</v>
      </c>
      <c r="AB567" s="6" t="s">
        <v>81</v>
      </c>
      <c r="AC567" s="6" t="s">
        <v>81</v>
      </c>
      <c r="AD567" s="21" t="s">
        <v>81</v>
      </c>
      <c r="AE567" s="6" t="s">
        <v>81</v>
      </c>
      <c r="AF567" s="6" t="s">
        <v>81</v>
      </c>
      <c r="AG567" s="6" t="s">
        <v>81</v>
      </c>
      <c r="AH567" s="6" t="s">
        <v>15155</v>
      </c>
      <c r="AI567" s="6" t="s">
        <v>81</v>
      </c>
      <c r="AJ567" s="6" t="s">
        <v>17380</v>
      </c>
      <c r="AK567" s="6" t="s">
        <v>18379</v>
      </c>
      <c r="AL567" s="6" t="s">
        <v>18444</v>
      </c>
      <c r="AM567" s="6" t="s">
        <v>18533</v>
      </c>
      <c r="AN567" s="6" t="s">
        <v>19637</v>
      </c>
      <c r="AO567" s="6" t="s">
        <v>19723</v>
      </c>
      <c r="AP567" s="6" t="s">
        <v>81</v>
      </c>
      <c r="AQ567" s="6" t="s">
        <v>81</v>
      </c>
      <c r="AR567" s="6" t="s">
        <v>81</v>
      </c>
      <c r="AS567" s="6" t="s">
        <v>81</v>
      </c>
      <c r="AT567" s="6" t="s">
        <v>81</v>
      </c>
      <c r="AU567" s="6" t="s">
        <v>81</v>
      </c>
      <c r="AV567" s="6" t="s">
        <v>81</v>
      </c>
      <c r="AW567" s="6" t="s">
        <v>81</v>
      </c>
      <c r="AX567" s="6" t="s">
        <v>21112</v>
      </c>
      <c r="AY567" s="6" t="s">
        <v>81</v>
      </c>
      <c r="AZ567" s="6" t="s">
        <v>81</v>
      </c>
      <c r="BA567" s="6" t="s">
        <v>81</v>
      </c>
      <c r="BB567" s="24" t="n">
        <v>58</v>
      </c>
      <c r="BC567" s="26"/>
      <c r="BD567" s="26"/>
      <c r="BE567" s="26"/>
      <c r="BF567" s="26"/>
      <c r="BG567" s="26"/>
      <c r="BH567" s="26"/>
      <c r="BI567" s="26"/>
      <c r="BJ567" s="26"/>
      <c r="BK567" s="26"/>
      <c r="BL567" s="26"/>
      <c r="BM567" s="26"/>
      <c r="BN567" s="26"/>
      <c r="BO567" s="26"/>
      <c r="BP567" s="16" t="n">
        <v>45738</v>
      </c>
      <c r="BQ567" s="28" t="str">
        <f>HYPERLINK("https://organic.ams.usda.gov/Integrity/Certificate.aspx?cid=52&amp;nopid=8431500924")</f>
        <v>https://organic.ams.usda.gov/Integrity/Certificate.aspx?cid=52&amp;nopid=8431500924</v>
      </c>
    </row>
    <row r="568">
      <c r="A568" t="s">
        <v>3</v>
      </c>
      <c r="B568" s="6" t="s">
        <v>9</v>
      </c>
      <c r="C568" s="6" t="s">
        <v>56</v>
      </c>
      <c r="D568" s="6" t="s">
        <v>102</v>
      </c>
      <c r="E568" s="10" t="s">
        <v>709</v>
      </c>
      <c r="F568" s="6" t="s">
        <v>3443</v>
      </c>
      <c r="G568" s="6" t="s">
        <v>81</v>
      </c>
      <c r="H568" s="6" t="s">
        <v>6407</v>
      </c>
      <c r="I568" s="6" t="s">
        <v>81</v>
      </c>
      <c r="J568" s="6" t="s">
        <v>81</v>
      </c>
      <c r="K568" s="6" t="s">
        <v>10886</v>
      </c>
      <c r="L568" s="16" t="n">
        <v>42367</v>
      </c>
      <c r="M568" s="16" t="n">
        <v>46113</v>
      </c>
      <c r="N568" s="6" t="s">
        <v>10886</v>
      </c>
      <c r="O568" s="16" t="n">
        <v>42367</v>
      </c>
      <c r="P568" s="6" t="s">
        <v>10900</v>
      </c>
      <c r="Q568" s="6" t="s">
        <v>81</v>
      </c>
      <c r="R568" s="6" t="s">
        <v>12581</v>
      </c>
      <c r="S568" s="6" t="s">
        <v>10886</v>
      </c>
      <c r="T568" s="16" t="n">
        <v>42367</v>
      </c>
      <c r="U568" s="6" t="s">
        <v>13162</v>
      </c>
      <c r="V568" s="6" t="s">
        <v>81</v>
      </c>
      <c r="W568" s="6" t="s">
        <v>12581</v>
      </c>
      <c r="X568" s="6" t="s">
        <v>81</v>
      </c>
      <c r="Y568" s="21" t="s">
        <v>81</v>
      </c>
      <c r="Z568" s="6" t="s">
        <v>81</v>
      </c>
      <c r="AA568" s="6" t="s">
        <v>81</v>
      </c>
      <c r="AB568" s="6" t="s">
        <v>81</v>
      </c>
      <c r="AC568" s="6" t="s">
        <v>81</v>
      </c>
      <c r="AD568" s="21" t="s">
        <v>81</v>
      </c>
      <c r="AE568" s="6" t="s">
        <v>81</v>
      </c>
      <c r="AF568" s="6" t="s">
        <v>81</v>
      </c>
      <c r="AG568" s="6" t="s">
        <v>81</v>
      </c>
      <c r="AH568" s="6" t="s">
        <v>15156</v>
      </c>
      <c r="AI568" s="6" t="s">
        <v>81</v>
      </c>
      <c r="AJ568" s="6" t="s">
        <v>17385</v>
      </c>
      <c r="AK568" s="6" t="s">
        <v>18377</v>
      </c>
      <c r="AL568" s="6" t="s">
        <v>18444</v>
      </c>
      <c r="AM568" s="6" t="s">
        <v>18539</v>
      </c>
      <c r="AN568" s="6" t="s">
        <v>19634</v>
      </c>
      <c r="AO568" s="6" t="s">
        <v>19764</v>
      </c>
      <c r="AP568" s="6" t="s">
        <v>81</v>
      </c>
      <c r="AQ568" s="6" t="s">
        <v>81</v>
      </c>
      <c r="AR568" s="6" t="s">
        <v>81</v>
      </c>
      <c r="AS568" s="6" t="s">
        <v>81</v>
      </c>
      <c r="AT568" s="6" t="s">
        <v>81</v>
      </c>
      <c r="AU568" s="6" t="s">
        <v>81</v>
      </c>
      <c r="AV568" s="6" t="s">
        <v>81</v>
      </c>
      <c r="AW568" s="6" t="s">
        <v>81</v>
      </c>
      <c r="AX568" s="6" t="s">
        <v>81</v>
      </c>
      <c r="AY568" s="6" t="s">
        <v>81</v>
      </c>
      <c r="AZ568" s="6" t="s">
        <v>81</v>
      </c>
      <c r="BA568" s="6" t="s">
        <v>81</v>
      </c>
      <c r="BB568" s="24" t="n">
        <v>90</v>
      </c>
      <c r="BC568" s="26"/>
      <c r="BD568" s="26"/>
      <c r="BE568" s="26"/>
      <c r="BF568" s="26"/>
      <c r="BG568" s="26"/>
      <c r="BH568" s="26"/>
      <c r="BI568" s="26"/>
      <c r="BJ568" s="26"/>
      <c r="BK568" s="26"/>
      <c r="BL568" s="26"/>
      <c r="BM568" s="26"/>
      <c r="BN568" s="26"/>
      <c r="BO568" s="26"/>
      <c r="BP568" s="16" t="n">
        <v>45738</v>
      </c>
      <c r="BQ568" s="28" t="str">
        <f>HYPERLINK("https://organic.ams.usda.gov/Integrity/Certificate.aspx?cid=52&amp;nopid=8431501140")</f>
        <v>https://organic.ams.usda.gov/Integrity/Certificate.aspx?cid=52&amp;nopid=8431501140</v>
      </c>
    </row>
    <row r="569">
      <c r="A569" t="s">
        <v>3</v>
      </c>
      <c r="B569" s="6" t="s">
        <v>12</v>
      </c>
      <c r="C569" s="6" t="s">
        <v>59</v>
      </c>
      <c r="D569" s="6" t="s">
        <v>105</v>
      </c>
      <c r="E569" s="10" t="s">
        <v>710</v>
      </c>
      <c r="F569" s="6" t="s">
        <v>3444</v>
      </c>
      <c r="G569" s="6" t="s">
        <v>81</v>
      </c>
      <c r="H569" s="6" t="s">
        <v>6408</v>
      </c>
      <c r="I569" s="6" t="s">
        <v>8740</v>
      </c>
      <c r="J569" s="6" t="s">
        <v>9677</v>
      </c>
      <c r="K569" s="6" t="s">
        <v>10886</v>
      </c>
      <c r="L569" s="16" t="n">
        <v>40107</v>
      </c>
      <c r="M569" s="16" t="n">
        <v>45717</v>
      </c>
      <c r="N569" s="6" t="s">
        <v>10886</v>
      </c>
      <c r="O569" s="16" t="n">
        <v>40107</v>
      </c>
      <c r="P569" s="6" t="s">
        <v>10925</v>
      </c>
      <c r="Q569" s="6" t="s">
        <v>81</v>
      </c>
      <c r="R569" s="6" t="s">
        <v>81</v>
      </c>
      <c r="S569" s="6" t="s">
        <v>10886</v>
      </c>
      <c r="T569" s="16" t="n">
        <v>40107</v>
      </c>
      <c r="U569" s="6" t="s">
        <v>13166</v>
      </c>
      <c r="V569" s="6" t="s">
        <v>81</v>
      </c>
      <c r="W569" s="6" t="s">
        <v>81</v>
      </c>
      <c r="X569" s="6" t="s">
        <v>81</v>
      </c>
      <c r="Y569" s="21" t="s">
        <v>81</v>
      </c>
      <c r="Z569" s="6" t="s">
        <v>81</v>
      </c>
      <c r="AA569" s="6" t="s">
        <v>81</v>
      </c>
      <c r="AB569" s="6" t="s">
        <v>81</v>
      </c>
      <c r="AC569" s="6" t="s">
        <v>81</v>
      </c>
      <c r="AD569" s="21" t="s">
        <v>81</v>
      </c>
      <c r="AE569" s="6" t="s">
        <v>81</v>
      </c>
      <c r="AF569" s="6" t="s">
        <v>81</v>
      </c>
      <c r="AG569" s="6" t="s">
        <v>81</v>
      </c>
      <c r="AH569" s="6" t="s">
        <v>15157</v>
      </c>
      <c r="AI569" s="6" t="s">
        <v>81</v>
      </c>
      <c r="AJ569" s="6" t="s">
        <v>17483</v>
      </c>
      <c r="AK569" s="6" t="s">
        <v>18380</v>
      </c>
      <c r="AL569" s="6" t="s">
        <v>18444</v>
      </c>
      <c r="AM569" s="6" t="s">
        <v>18479</v>
      </c>
      <c r="AN569" s="6" t="s">
        <v>19639</v>
      </c>
      <c r="AO569" s="6" t="s">
        <v>19725</v>
      </c>
      <c r="AP569" s="6" t="s">
        <v>15157</v>
      </c>
      <c r="AQ569" s="6" t="s">
        <v>81</v>
      </c>
      <c r="AR569" s="6" t="s">
        <v>17483</v>
      </c>
      <c r="AS569" s="6" t="s">
        <v>18380</v>
      </c>
      <c r="AT569" s="6" t="s">
        <v>18444</v>
      </c>
      <c r="AU569" s="6" t="s">
        <v>18479</v>
      </c>
      <c r="AV569" s="6" t="s">
        <v>81</v>
      </c>
      <c r="AW569" s="6" t="s">
        <v>81</v>
      </c>
      <c r="AX569" s="6" t="s">
        <v>21113</v>
      </c>
      <c r="AY569" s="6" t="s">
        <v>81</v>
      </c>
      <c r="AZ569" s="6" t="s">
        <v>81</v>
      </c>
      <c r="BA569" s="6" t="s">
        <v>81</v>
      </c>
      <c r="BB569" s="24" t="n">
        <v>99</v>
      </c>
      <c r="BC569" s="26"/>
      <c r="BD569" s="26"/>
      <c r="BE569" s="26"/>
      <c r="BF569" s="26"/>
      <c r="BG569" s="26"/>
      <c r="BH569" s="26"/>
      <c r="BI569" s="26"/>
      <c r="BJ569" s="26"/>
      <c r="BK569" s="26"/>
      <c r="BL569" s="26"/>
      <c r="BM569" s="26"/>
      <c r="BN569" s="26"/>
      <c r="BO569" s="26"/>
      <c r="BP569" s="16" t="n">
        <v>45684</v>
      </c>
      <c r="BQ569" s="28" t="str">
        <f>HYPERLINK("https://organic.ams.usda.gov/Integrity/Certificate.aspx?cid=68&amp;nopid=8210002587")</f>
        <v>https://organic.ams.usda.gov/Integrity/Certificate.aspx?cid=68&amp;nopid=8210002587</v>
      </c>
    </row>
    <row r="570">
      <c r="A570" t="s">
        <v>3</v>
      </c>
      <c r="B570" s="6" t="s">
        <v>9</v>
      </c>
      <c r="C570" s="6" t="s">
        <v>56</v>
      </c>
      <c r="D570" s="6" t="s">
        <v>102</v>
      </c>
      <c r="E570" s="10" t="s">
        <v>711</v>
      </c>
      <c r="F570" s="6" t="s">
        <v>3445</v>
      </c>
      <c r="G570" s="6" t="s">
        <v>81</v>
      </c>
      <c r="H570" s="6" t="s">
        <v>6409</v>
      </c>
      <c r="I570" s="6" t="s">
        <v>8513</v>
      </c>
      <c r="J570" s="6" t="s">
        <v>9742</v>
      </c>
      <c r="K570" s="6" t="s">
        <v>10886</v>
      </c>
      <c r="L570" s="16" t="n">
        <v>41975</v>
      </c>
      <c r="M570" s="16" t="n">
        <v>45748</v>
      </c>
      <c r="N570" s="6" t="s">
        <v>10886</v>
      </c>
      <c r="O570" s="16" t="n">
        <v>41975</v>
      </c>
      <c r="P570" s="6" t="s">
        <v>10907</v>
      </c>
      <c r="Q570" s="6" t="s">
        <v>81</v>
      </c>
      <c r="R570" s="6" t="s">
        <v>12582</v>
      </c>
      <c r="S570" s="6" t="s">
        <v>10886</v>
      </c>
      <c r="T570" s="16" t="n">
        <v>41975</v>
      </c>
      <c r="U570" s="6" t="s">
        <v>13168</v>
      </c>
      <c r="V570" s="6" t="s">
        <v>81</v>
      </c>
      <c r="W570" s="6" t="s">
        <v>12582</v>
      </c>
      <c r="X570" s="6" t="s">
        <v>81</v>
      </c>
      <c r="Y570" s="21" t="s">
        <v>81</v>
      </c>
      <c r="Z570" s="6" t="s">
        <v>81</v>
      </c>
      <c r="AA570" s="6" t="s">
        <v>81</v>
      </c>
      <c r="AB570" s="6" t="s">
        <v>81</v>
      </c>
      <c r="AC570" s="6" t="s">
        <v>81</v>
      </c>
      <c r="AD570" s="21" t="s">
        <v>81</v>
      </c>
      <c r="AE570" s="6" t="s">
        <v>81</v>
      </c>
      <c r="AF570" s="6" t="s">
        <v>81</v>
      </c>
      <c r="AG570" s="6" t="s">
        <v>81</v>
      </c>
      <c r="AH570" s="6" t="s">
        <v>15158</v>
      </c>
      <c r="AI570" s="6" t="s">
        <v>81</v>
      </c>
      <c r="AJ570" s="6" t="s">
        <v>17315</v>
      </c>
      <c r="AK570" s="6" t="s">
        <v>18379</v>
      </c>
      <c r="AL570" s="6" t="s">
        <v>18444</v>
      </c>
      <c r="AM570" s="6" t="s">
        <v>18467</v>
      </c>
      <c r="AN570" s="6" t="s">
        <v>19637</v>
      </c>
      <c r="AO570" s="6" t="s">
        <v>19723</v>
      </c>
      <c r="AP570" s="6" t="s">
        <v>81</v>
      </c>
      <c r="AQ570" s="6" t="s">
        <v>81</v>
      </c>
      <c r="AR570" s="6" t="s">
        <v>81</v>
      </c>
      <c r="AS570" s="6" t="s">
        <v>81</v>
      </c>
      <c r="AT570" s="6" t="s">
        <v>81</v>
      </c>
      <c r="AU570" s="6" t="s">
        <v>81</v>
      </c>
      <c r="AV570" s="6" t="s">
        <v>81</v>
      </c>
      <c r="AW570" s="6" t="s">
        <v>81</v>
      </c>
      <c r="AX570" s="6" t="s">
        <v>81</v>
      </c>
      <c r="AY570" s="6" t="s">
        <v>81</v>
      </c>
      <c r="AZ570" s="6" t="s">
        <v>81</v>
      </c>
      <c r="BA570" s="6" t="s">
        <v>81</v>
      </c>
      <c r="BB570" s="24" t="n">
        <v>96</v>
      </c>
      <c r="BC570" s="26"/>
      <c r="BD570" s="26"/>
      <c r="BE570" s="26"/>
      <c r="BF570" s="26"/>
      <c r="BG570" s="26"/>
      <c r="BH570" s="26"/>
      <c r="BI570" s="26"/>
      <c r="BJ570" s="26"/>
      <c r="BK570" s="26"/>
      <c r="BL570" s="26"/>
      <c r="BM570" s="26"/>
      <c r="BN570" s="26"/>
      <c r="BO570" s="26"/>
      <c r="BP570" s="16" t="n">
        <v>45738</v>
      </c>
      <c r="BQ570" s="28" t="str">
        <f>HYPERLINK("https://organic.ams.usda.gov/Integrity/Certificate.aspx?cid=52&amp;nopid=8431400891")</f>
        <v>https://organic.ams.usda.gov/Integrity/Certificate.aspx?cid=52&amp;nopid=8431400891</v>
      </c>
    </row>
    <row r="571">
      <c r="A571" t="s">
        <v>3</v>
      </c>
      <c r="B571" s="6" t="s">
        <v>12</v>
      </c>
      <c r="C571" s="6" t="s">
        <v>59</v>
      </c>
      <c r="D571" s="6" t="s">
        <v>105</v>
      </c>
      <c r="E571" s="10" t="s">
        <v>712</v>
      </c>
      <c r="F571" s="6" t="s">
        <v>3446</v>
      </c>
      <c r="G571" s="6" t="s">
        <v>81</v>
      </c>
      <c r="H571" s="6" t="s">
        <v>6410</v>
      </c>
      <c r="I571" s="6" t="s">
        <v>8513</v>
      </c>
      <c r="J571" s="6" t="s">
        <v>9699</v>
      </c>
      <c r="K571" s="6" t="s">
        <v>10886</v>
      </c>
      <c r="L571" s="16" t="n">
        <v>43357</v>
      </c>
      <c r="M571" s="16" t="n">
        <v>45717</v>
      </c>
      <c r="N571" s="6" t="s">
        <v>10886</v>
      </c>
      <c r="O571" s="16" t="n">
        <v>43357</v>
      </c>
      <c r="P571" s="6" t="s">
        <v>11238</v>
      </c>
      <c r="Q571" s="6" t="s">
        <v>81</v>
      </c>
      <c r="R571" s="6" t="s">
        <v>81</v>
      </c>
      <c r="S571" s="6" t="s">
        <v>10886</v>
      </c>
      <c r="T571" s="16" t="n">
        <v>43357</v>
      </c>
      <c r="U571" s="6" t="s">
        <v>13262</v>
      </c>
      <c r="V571" s="6" t="s">
        <v>81</v>
      </c>
      <c r="W571" s="6" t="s">
        <v>81</v>
      </c>
      <c r="X571" s="6" t="s">
        <v>81</v>
      </c>
      <c r="Y571" s="21" t="s">
        <v>81</v>
      </c>
      <c r="Z571" s="6" t="s">
        <v>81</v>
      </c>
      <c r="AA571" s="6" t="s">
        <v>81</v>
      </c>
      <c r="AB571" s="6" t="s">
        <v>81</v>
      </c>
      <c r="AC571" s="6" t="s">
        <v>81</v>
      </c>
      <c r="AD571" s="21" t="s">
        <v>81</v>
      </c>
      <c r="AE571" s="6" t="s">
        <v>81</v>
      </c>
      <c r="AF571" s="6" t="s">
        <v>81</v>
      </c>
      <c r="AG571" s="6" t="s">
        <v>81</v>
      </c>
      <c r="AH571" s="6" t="s">
        <v>15159</v>
      </c>
      <c r="AI571" s="6" t="s">
        <v>81</v>
      </c>
      <c r="AJ571" s="6" t="s">
        <v>17618</v>
      </c>
      <c r="AK571" s="6" t="s">
        <v>17712</v>
      </c>
      <c r="AL571" s="6" t="s">
        <v>18444</v>
      </c>
      <c r="AM571" s="6" t="s">
        <v>18786</v>
      </c>
      <c r="AN571" s="6" t="s">
        <v>19645</v>
      </c>
      <c r="AO571" s="6" t="s">
        <v>19770</v>
      </c>
      <c r="AP571" s="6" t="s">
        <v>15159</v>
      </c>
      <c r="AQ571" s="6" t="s">
        <v>81</v>
      </c>
      <c r="AR571" s="6" t="s">
        <v>17618</v>
      </c>
      <c r="AS571" s="6" t="s">
        <v>17712</v>
      </c>
      <c r="AT571" s="6" t="s">
        <v>18444</v>
      </c>
      <c r="AU571" s="6" t="s">
        <v>18786</v>
      </c>
      <c r="AV571" s="6" t="s">
        <v>81</v>
      </c>
      <c r="AW571" s="6" t="s">
        <v>81</v>
      </c>
      <c r="AX571" s="6" t="s">
        <v>21114</v>
      </c>
      <c r="AY571" s="6" t="s">
        <v>81</v>
      </c>
      <c r="AZ571" s="6" t="s">
        <v>81</v>
      </c>
      <c r="BA571" s="6" t="s">
        <v>81</v>
      </c>
      <c r="BB571" s="24" t="n">
        <v>262</v>
      </c>
      <c r="BC571" s="26"/>
      <c r="BD571" s="26"/>
      <c r="BE571" s="26"/>
      <c r="BF571" s="26"/>
      <c r="BG571" s="26"/>
      <c r="BH571" s="26"/>
      <c r="BI571" s="26"/>
      <c r="BJ571" s="26"/>
      <c r="BK571" s="26"/>
      <c r="BL571" s="26"/>
      <c r="BM571" s="26"/>
      <c r="BN571" s="26"/>
      <c r="BO571" s="26"/>
      <c r="BP571" s="16" t="n">
        <v>45707</v>
      </c>
      <c r="BQ571" s="28" t="str">
        <f>HYPERLINK("https://organic.ams.usda.gov/Integrity/Certificate.aspx?cid=68&amp;nopid=8210005336")</f>
        <v>https://organic.ams.usda.gov/Integrity/Certificate.aspx?cid=68&amp;nopid=8210005336</v>
      </c>
    </row>
    <row r="572">
      <c r="A572" t="s">
        <v>3</v>
      </c>
      <c r="B572" s="6" t="s">
        <v>30</v>
      </c>
      <c r="C572" s="6" t="s">
        <v>77</v>
      </c>
      <c r="D572" s="6" t="s">
        <v>123</v>
      </c>
      <c r="E572" s="10" t="s">
        <v>713</v>
      </c>
      <c r="F572" s="6" t="s">
        <v>3447</v>
      </c>
      <c r="G572" s="6" t="s">
        <v>81</v>
      </c>
      <c r="H572" s="6" t="s">
        <v>6411</v>
      </c>
      <c r="I572" s="6" t="s">
        <v>8741</v>
      </c>
      <c r="J572" s="6" t="s">
        <v>9960</v>
      </c>
      <c r="K572" s="6" t="s">
        <v>10886</v>
      </c>
      <c r="L572" s="16" t="n">
        <v>39191</v>
      </c>
      <c r="M572" s="16" t="n">
        <v>45747</v>
      </c>
      <c r="N572" s="6" t="s">
        <v>10886</v>
      </c>
      <c r="O572" s="16" t="n">
        <v>39191</v>
      </c>
      <c r="P572" s="6" t="s">
        <v>11239</v>
      </c>
      <c r="Q572" s="6" t="s">
        <v>81</v>
      </c>
      <c r="R572" s="6" t="s">
        <v>6411</v>
      </c>
      <c r="S572" s="6" t="s">
        <v>10886</v>
      </c>
      <c r="T572" s="16" t="n">
        <v>39191</v>
      </c>
      <c r="U572" s="6" t="s">
        <v>13216</v>
      </c>
      <c r="V572" s="6" t="s">
        <v>81</v>
      </c>
      <c r="W572" s="6" t="s">
        <v>6411</v>
      </c>
      <c r="X572" s="6" t="s">
        <v>81</v>
      </c>
      <c r="Y572" s="21" t="s">
        <v>81</v>
      </c>
      <c r="Z572" s="6" t="s">
        <v>81</v>
      </c>
      <c r="AA572" s="6" t="s">
        <v>81</v>
      </c>
      <c r="AB572" s="6" t="s">
        <v>81</v>
      </c>
      <c r="AC572" s="6" t="s">
        <v>81</v>
      </c>
      <c r="AD572" s="21" t="s">
        <v>81</v>
      </c>
      <c r="AE572" s="6" t="s">
        <v>81</v>
      </c>
      <c r="AF572" s="6" t="s">
        <v>81</v>
      </c>
      <c r="AG572" s="6" t="s">
        <v>81</v>
      </c>
      <c r="AH572" s="6" t="s">
        <v>15160</v>
      </c>
      <c r="AI572" s="6" t="s">
        <v>81</v>
      </c>
      <c r="AJ572" s="6" t="s">
        <v>17406</v>
      </c>
      <c r="AK572" s="6" t="s">
        <v>17712</v>
      </c>
      <c r="AL572" s="6" t="s">
        <v>18444</v>
      </c>
      <c r="AM572" s="6" t="s">
        <v>18562</v>
      </c>
      <c r="AN572" s="6" t="s">
        <v>19657</v>
      </c>
      <c r="AO572" s="6" t="s">
        <v>19751</v>
      </c>
      <c r="AP572" s="6" t="s">
        <v>15160</v>
      </c>
      <c r="AQ572" s="6" t="s">
        <v>81</v>
      </c>
      <c r="AR572" s="6" t="s">
        <v>17406</v>
      </c>
      <c r="AS572" s="6" t="s">
        <v>17712</v>
      </c>
      <c r="AT572" s="6" t="s">
        <v>18444</v>
      </c>
      <c r="AU572" s="6" t="s">
        <v>18562</v>
      </c>
      <c r="AV572" s="6" t="s">
        <v>81</v>
      </c>
      <c r="AW572" s="6" t="s">
        <v>81</v>
      </c>
      <c r="AX572" s="6" t="s">
        <v>81</v>
      </c>
      <c r="AY572" s="6" t="s">
        <v>81</v>
      </c>
      <c r="AZ572" s="6" t="s">
        <v>81</v>
      </c>
      <c r="BA572" s="6" t="s">
        <v>81</v>
      </c>
      <c r="BB572" s="24" t="n">
        <v>115</v>
      </c>
      <c r="BC572" s="26"/>
      <c r="BD572" s="26"/>
      <c r="BE572" s="26"/>
      <c r="BF572" s="26"/>
      <c r="BG572" s="26"/>
      <c r="BH572" s="26"/>
      <c r="BI572" s="26"/>
      <c r="BJ572" s="26"/>
      <c r="BK572" s="26"/>
      <c r="BL572" s="26"/>
      <c r="BM572" s="26"/>
      <c r="BN572" s="26"/>
      <c r="BO572" s="26"/>
      <c r="BP572" s="16" t="n">
        <v>45616</v>
      </c>
      <c r="BQ572" s="28" t="str">
        <f>HYPERLINK("https://organic.ams.usda.gov/Integrity/Certificate.aspx?cid=70&amp;nopid=6430713910")</f>
        <v>https://organic.ams.usda.gov/Integrity/Certificate.aspx?cid=70&amp;nopid=6430713910</v>
      </c>
    </row>
    <row r="573">
      <c r="A573" t="s">
        <v>3</v>
      </c>
      <c r="B573" s="6" t="s">
        <v>7</v>
      </c>
      <c r="C573" s="6" t="s">
        <v>54</v>
      </c>
      <c r="D573" s="6" t="s">
        <v>100</v>
      </c>
      <c r="E573" s="10" t="s">
        <v>714</v>
      </c>
      <c r="F573" s="6" t="s">
        <v>3448</v>
      </c>
      <c r="G573" s="6" t="s">
        <v>81</v>
      </c>
      <c r="H573" s="6" t="s">
        <v>6412</v>
      </c>
      <c r="I573" s="6" t="s">
        <v>8513</v>
      </c>
      <c r="J573" s="6" t="s">
        <v>9733</v>
      </c>
      <c r="K573" s="6" t="s">
        <v>10886</v>
      </c>
      <c r="L573" s="16" t="n">
        <v>42632</v>
      </c>
      <c r="M573" s="16" t="n">
        <v>45716</v>
      </c>
      <c r="N573" s="6" t="s">
        <v>10886</v>
      </c>
      <c r="O573" s="16" t="n">
        <v>42632</v>
      </c>
      <c r="P573" s="6" t="s">
        <v>11092</v>
      </c>
      <c r="Q573" s="6" t="s">
        <v>81</v>
      </c>
      <c r="R573" s="6" t="s">
        <v>81</v>
      </c>
      <c r="S573" s="6" t="s">
        <v>10886</v>
      </c>
      <c r="T573" s="16" t="n">
        <v>42776</v>
      </c>
      <c r="U573" s="6" t="s">
        <v>13160</v>
      </c>
      <c r="V573" s="6" t="s">
        <v>81</v>
      </c>
      <c r="W573" s="6" t="s">
        <v>81</v>
      </c>
      <c r="X573" s="6" t="s">
        <v>81</v>
      </c>
      <c r="Y573" s="21" t="s">
        <v>81</v>
      </c>
      <c r="Z573" s="6" t="s">
        <v>81</v>
      </c>
      <c r="AA573" s="6" t="s">
        <v>81</v>
      </c>
      <c r="AB573" s="6" t="s">
        <v>81</v>
      </c>
      <c r="AC573" s="6" t="s">
        <v>81</v>
      </c>
      <c r="AD573" s="21" t="s">
        <v>81</v>
      </c>
      <c r="AE573" s="6" t="s">
        <v>81</v>
      </c>
      <c r="AF573" s="6" t="s">
        <v>81</v>
      </c>
      <c r="AG573" s="6" t="s">
        <v>81</v>
      </c>
      <c r="AH573" s="6" t="s">
        <v>15161</v>
      </c>
      <c r="AI573" s="6" t="s">
        <v>81</v>
      </c>
      <c r="AJ573" s="6" t="s">
        <v>17393</v>
      </c>
      <c r="AK573" s="6" t="s">
        <v>17712</v>
      </c>
      <c r="AL573" s="6" t="s">
        <v>18444</v>
      </c>
      <c r="AM573" s="6" t="s">
        <v>18549</v>
      </c>
      <c r="AN573" s="6" t="s">
        <v>19643</v>
      </c>
      <c r="AO573" s="6" t="s">
        <v>19766</v>
      </c>
      <c r="AP573" s="6" t="s">
        <v>20176</v>
      </c>
      <c r="AQ573" s="6" t="s">
        <v>81</v>
      </c>
      <c r="AR573" s="6" t="s">
        <v>18176</v>
      </c>
      <c r="AS573" s="6" t="s">
        <v>8428</v>
      </c>
      <c r="AT573" s="6" t="s">
        <v>18444</v>
      </c>
      <c r="AU573" s="6" t="s">
        <v>19384</v>
      </c>
      <c r="AV573" s="6" t="s">
        <v>81</v>
      </c>
      <c r="AW573" s="6" t="s">
        <v>81</v>
      </c>
      <c r="AX573" s="6" t="s">
        <v>81</v>
      </c>
      <c r="AY573" s="6" t="s">
        <v>81</v>
      </c>
      <c r="AZ573" s="6" t="s">
        <v>81</v>
      </c>
      <c r="BA573" s="6" t="s">
        <v>81</v>
      </c>
      <c r="BB573" s="24" t="n">
        <v>176</v>
      </c>
      <c r="BC573" s="26"/>
      <c r="BD573" s="26"/>
      <c r="BE573" s="26"/>
      <c r="BF573" s="26" t="s">
        <v>23900</v>
      </c>
      <c r="BG573" s="26"/>
      <c r="BH573" s="26"/>
      <c r="BI573" s="26"/>
      <c r="BJ573" s="26"/>
      <c r="BK573" s="26"/>
      <c r="BL573" s="26"/>
      <c r="BM573" s="26"/>
      <c r="BN573" s="26"/>
      <c r="BO573" s="26"/>
      <c r="BP573" s="16" t="n">
        <v>45674</v>
      </c>
      <c r="BQ573" s="28" t="str">
        <f>HYPERLINK("https://organic.ams.usda.gov/Integrity/Certificate.aspx?cid=57&amp;nopid=3252016035")</f>
        <v>https://organic.ams.usda.gov/Integrity/Certificate.aspx?cid=57&amp;nopid=3252016035</v>
      </c>
    </row>
    <row r="574">
      <c r="A574" t="s">
        <v>3</v>
      </c>
      <c r="B574" s="6" t="s">
        <v>24</v>
      </c>
      <c r="C574" s="6" t="s">
        <v>71</v>
      </c>
      <c r="D574" s="6" t="s">
        <v>117</v>
      </c>
      <c r="E574" s="10" t="s">
        <v>715</v>
      </c>
      <c r="F574" s="6" t="s">
        <v>3449</v>
      </c>
      <c r="G574" s="6" t="s">
        <v>81</v>
      </c>
      <c r="H574" s="6" t="s">
        <v>81</v>
      </c>
      <c r="I574" s="6" t="s">
        <v>8513</v>
      </c>
      <c r="J574" s="6" t="s">
        <v>9973</v>
      </c>
      <c r="K574" s="6" t="s">
        <v>10886</v>
      </c>
      <c r="L574" s="16" t="n">
        <v>44704</v>
      </c>
      <c r="M574" s="16" t="n">
        <v>45901</v>
      </c>
      <c r="N574" s="6" t="s">
        <v>10886</v>
      </c>
      <c r="O574" s="16" t="n">
        <v>45159</v>
      </c>
      <c r="P574" s="6" t="s">
        <v>10910</v>
      </c>
      <c r="Q574" s="6" t="s">
        <v>81</v>
      </c>
      <c r="R574" s="6" t="s">
        <v>81</v>
      </c>
      <c r="S574" s="6" t="s">
        <v>10886</v>
      </c>
      <c r="T574" s="16" t="n">
        <v>44704</v>
      </c>
      <c r="U574" s="6" t="s">
        <v>13378</v>
      </c>
      <c r="V574" s="6" t="s">
        <v>81</v>
      </c>
      <c r="W574" s="6" t="s">
        <v>81</v>
      </c>
      <c r="X574" s="6" t="s">
        <v>81</v>
      </c>
      <c r="Y574" s="21" t="s">
        <v>81</v>
      </c>
      <c r="Z574" s="6" t="s">
        <v>81</v>
      </c>
      <c r="AA574" s="6" t="s">
        <v>81</v>
      </c>
      <c r="AB574" s="6" t="s">
        <v>81</v>
      </c>
      <c r="AC574" s="6" t="s">
        <v>10886</v>
      </c>
      <c r="AD574" s="16" t="n">
        <v>44704</v>
      </c>
      <c r="AE574" s="6" t="s">
        <v>14014</v>
      </c>
      <c r="AF574" s="6" t="s">
        <v>81</v>
      </c>
      <c r="AG574" s="6" t="s">
        <v>81</v>
      </c>
      <c r="AH574" s="6" t="s">
        <v>15162</v>
      </c>
      <c r="AI574" s="6" t="s">
        <v>81</v>
      </c>
      <c r="AJ574" s="6" t="s">
        <v>17665</v>
      </c>
      <c r="AK574" s="6" t="s">
        <v>18400</v>
      </c>
      <c r="AL574" s="6" t="s">
        <v>18444</v>
      </c>
      <c r="AM574" s="6" t="s">
        <v>18833</v>
      </c>
      <c r="AN574" s="6" t="s">
        <v>19659</v>
      </c>
      <c r="AO574" s="6" t="s">
        <v>19893</v>
      </c>
      <c r="AP574" s="6" t="s">
        <v>15162</v>
      </c>
      <c r="AQ574" s="6" t="s">
        <v>81</v>
      </c>
      <c r="AR574" s="6" t="s">
        <v>17665</v>
      </c>
      <c r="AS574" s="6" t="s">
        <v>18400</v>
      </c>
      <c r="AT574" s="6" t="s">
        <v>18444</v>
      </c>
      <c r="AU574" s="6" t="s">
        <v>18833</v>
      </c>
      <c r="AV574" s="6" t="s">
        <v>81</v>
      </c>
      <c r="AW574" s="6" t="s">
        <v>81</v>
      </c>
      <c r="AX574" s="6" t="s">
        <v>81</v>
      </c>
      <c r="AY574" s="6" t="s">
        <v>22779</v>
      </c>
      <c r="AZ574" s="6" t="s">
        <v>81</v>
      </c>
      <c r="BA574" s="6" t="s">
        <v>81</v>
      </c>
      <c r="BB574" s="24" t="n">
        <v>117</v>
      </c>
      <c r="BC574" s="26"/>
      <c r="BD574" s="26"/>
      <c r="BE574" s="26"/>
      <c r="BF574" s="26"/>
      <c r="BG574" s="26"/>
      <c r="BH574" s="26"/>
      <c r="BI574" s="26"/>
      <c r="BJ574" s="26"/>
      <c r="BK574" s="26"/>
      <c r="BL574" s="26"/>
      <c r="BM574" s="26"/>
      <c r="BN574" s="26"/>
      <c r="BO574" s="26"/>
      <c r="BP574" s="16" t="n">
        <v>45628</v>
      </c>
      <c r="BQ574" s="28" t="str">
        <f>HYPERLINK("https://organic.ams.usda.gov/Integrity/Certificate.aspx?cid=1&amp;nopid=9092201703")</f>
        <v>https://organic.ams.usda.gov/Integrity/Certificate.aspx?cid=1&amp;nopid=9092201703</v>
      </c>
    </row>
    <row r="575">
      <c r="A575" t="s">
        <v>3</v>
      </c>
      <c r="B575" s="6" t="s">
        <v>12</v>
      </c>
      <c r="C575" s="6" t="s">
        <v>59</v>
      </c>
      <c r="D575" s="6" t="s">
        <v>105</v>
      </c>
      <c r="E575" s="10" t="s">
        <v>716</v>
      </c>
      <c r="F575" s="6" t="s">
        <v>3450</v>
      </c>
      <c r="G575" s="6" t="s">
        <v>81</v>
      </c>
      <c r="H575" s="6" t="s">
        <v>6413</v>
      </c>
      <c r="I575" s="6" t="s">
        <v>8742</v>
      </c>
      <c r="J575" s="6" t="s">
        <v>9672</v>
      </c>
      <c r="K575" s="6" t="s">
        <v>10886</v>
      </c>
      <c r="L575" s="16" t="n">
        <v>42963</v>
      </c>
      <c r="M575" s="16" t="n">
        <v>45717</v>
      </c>
      <c r="N575" s="6" t="s">
        <v>10886</v>
      </c>
      <c r="O575" s="16" t="n">
        <v>42963</v>
      </c>
      <c r="P575" s="6" t="s">
        <v>11240</v>
      </c>
      <c r="Q575" s="6" t="s">
        <v>81</v>
      </c>
      <c r="R575" s="6" t="s">
        <v>81</v>
      </c>
      <c r="S575" s="6" t="s">
        <v>10886</v>
      </c>
      <c r="T575" s="16" t="n">
        <v>42963</v>
      </c>
      <c r="U575" s="6" t="s">
        <v>13183</v>
      </c>
      <c r="V575" s="6" t="s">
        <v>81</v>
      </c>
      <c r="W575" s="6" t="s">
        <v>81</v>
      </c>
      <c r="X575" s="6" t="s">
        <v>81</v>
      </c>
      <c r="Y575" s="21" t="s">
        <v>81</v>
      </c>
      <c r="Z575" s="6" t="s">
        <v>81</v>
      </c>
      <c r="AA575" s="6" t="s">
        <v>81</v>
      </c>
      <c r="AB575" s="6" t="s">
        <v>81</v>
      </c>
      <c r="AC575" s="6" t="s">
        <v>81</v>
      </c>
      <c r="AD575" s="21" t="s">
        <v>81</v>
      </c>
      <c r="AE575" s="6" t="s">
        <v>81</v>
      </c>
      <c r="AF575" s="6" t="s">
        <v>81</v>
      </c>
      <c r="AG575" s="6" t="s">
        <v>81</v>
      </c>
      <c r="AH575" s="6" t="s">
        <v>15163</v>
      </c>
      <c r="AI575" s="6" t="s">
        <v>81</v>
      </c>
      <c r="AJ575" s="6" t="s">
        <v>17322</v>
      </c>
      <c r="AK575" s="6" t="s">
        <v>18380</v>
      </c>
      <c r="AL575" s="6" t="s">
        <v>18444</v>
      </c>
      <c r="AM575" s="6" t="s">
        <v>18474</v>
      </c>
      <c r="AN575" s="6" t="s">
        <v>6139</v>
      </c>
      <c r="AO575" s="6" t="s">
        <v>19729</v>
      </c>
      <c r="AP575" s="6" t="s">
        <v>15163</v>
      </c>
      <c r="AQ575" s="6" t="s">
        <v>81</v>
      </c>
      <c r="AR575" s="6" t="s">
        <v>17322</v>
      </c>
      <c r="AS575" s="6" t="s">
        <v>18380</v>
      </c>
      <c r="AT575" s="6" t="s">
        <v>18444</v>
      </c>
      <c r="AU575" s="6" t="s">
        <v>18474</v>
      </c>
      <c r="AV575" s="6" t="s">
        <v>81</v>
      </c>
      <c r="AW575" s="6" t="s">
        <v>81</v>
      </c>
      <c r="AX575" s="6" t="s">
        <v>21115</v>
      </c>
      <c r="AY575" s="6" t="s">
        <v>81</v>
      </c>
      <c r="AZ575" s="6" t="s">
        <v>81</v>
      </c>
      <c r="BA575" s="6" t="s">
        <v>81</v>
      </c>
      <c r="BB575" s="24" t="n">
        <v>76</v>
      </c>
      <c r="BC575" s="26"/>
      <c r="BD575" s="26"/>
      <c r="BE575" s="26"/>
      <c r="BF575" s="26"/>
      <c r="BG575" s="26"/>
      <c r="BH575" s="26"/>
      <c r="BI575" s="26"/>
      <c r="BJ575" s="26"/>
      <c r="BK575" s="26"/>
      <c r="BL575" s="26"/>
      <c r="BM575" s="26"/>
      <c r="BN575" s="26"/>
      <c r="BO575" s="26"/>
      <c r="BP575" s="16" t="n">
        <v>45684</v>
      </c>
      <c r="BQ575" s="28" t="str">
        <f>HYPERLINK("https://organic.ams.usda.gov/Integrity/Certificate.aspx?cid=68&amp;nopid=8210004124")</f>
        <v>https://organic.ams.usda.gov/Integrity/Certificate.aspx?cid=68&amp;nopid=8210004124</v>
      </c>
    </row>
    <row r="576">
      <c r="A576" t="s">
        <v>3</v>
      </c>
      <c r="B576" s="6" t="s">
        <v>12</v>
      </c>
      <c r="C576" s="6" t="s">
        <v>59</v>
      </c>
      <c r="D576" s="6" t="s">
        <v>105</v>
      </c>
      <c r="E576" s="10" t="s">
        <v>717</v>
      </c>
      <c r="F576" s="6" t="s">
        <v>3451</v>
      </c>
      <c r="G576" s="6" t="s">
        <v>81</v>
      </c>
      <c r="H576" s="6" t="s">
        <v>6414</v>
      </c>
      <c r="I576" s="6" t="s">
        <v>8742</v>
      </c>
      <c r="J576" s="6" t="s">
        <v>9677</v>
      </c>
      <c r="K576" s="6" t="s">
        <v>10886</v>
      </c>
      <c r="L576" s="16" t="n">
        <v>44417</v>
      </c>
      <c r="M576" s="16" t="n">
        <v>45717</v>
      </c>
      <c r="N576" s="6" t="s">
        <v>10886</v>
      </c>
      <c r="O576" s="16" t="n">
        <v>44417</v>
      </c>
      <c r="P576" s="6" t="s">
        <v>10910</v>
      </c>
      <c r="Q576" s="6" t="s">
        <v>81</v>
      </c>
      <c r="R576" s="6" t="s">
        <v>81</v>
      </c>
      <c r="S576" s="6" t="s">
        <v>10886</v>
      </c>
      <c r="T576" s="16" t="n">
        <v>44417</v>
      </c>
      <c r="U576" s="6" t="s">
        <v>13183</v>
      </c>
      <c r="V576" s="6" t="s">
        <v>81</v>
      </c>
      <c r="W576" s="6" t="s">
        <v>81</v>
      </c>
      <c r="X576" s="6" t="s">
        <v>81</v>
      </c>
      <c r="Y576" s="21" t="s">
        <v>81</v>
      </c>
      <c r="Z576" s="6" t="s">
        <v>81</v>
      </c>
      <c r="AA576" s="6" t="s">
        <v>81</v>
      </c>
      <c r="AB576" s="6" t="s">
        <v>81</v>
      </c>
      <c r="AC576" s="6" t="s">
        <v>81</v>
      </c>
      <c r="AD576" s="21" t="s">
        <v>81</v>
      </c>
      <c r="AE576" s="6" t="s">
        <v>81</v>
      </c>
      <c r="AF576" s="6" t="s">
        <v>81</v>
      </c>
      <c r="AG576" s="6" t="s">
        <v>81</v>
      </c>
      <c r="AH576" s="6" t="s">
        <v>15164</v>
      </c>
      <c r="AI576" s="6" t="s">
        <v>81</v>
      </c>
      <c r="AJ576" s="6" t="s">
        <v>17666</v>
      </c>
      <c r="AK576" s="6" t="s">
        <v>18380</v>
      </c>
      <c r="AL576" s="6" t="s">
        <v>18444</v>
      </c>
      <c r="AM576" s="6" t="s">
        <v>18834</v>
      </c>
      <c r="AN576" s="6" t="s">
        <v>19648</v>
      </c>
      <c r="AO576" s="6" t="s">
        <v>19736</v>
      </c>
      <c r="AP576" s="6" t="s">
        <v>15164</v>
      </c>
      <c r="AQ576" s="6" t="s">
        <v>81</v>
      </c>
      <c r="AR576" s="6" t="s">
        <v>17666</v>
      </c>
      <c r="AS576" s="6" t="s">
        <v>18380</v>
      </c>
      <c r="AT576" s="6" t="s">
        <v>18444</v>
      </c>
      <c r="AU576" s="6" t="s">
        <v>18834</v>
      </c>
      <c r="AV576" s="6" t="s">
        <v>81</v>
      </c>
      <c r="AW576" s="6" t="s">
        <v>81</v>
      </c>
      <c r="AX576" s="6" t="s">
        <v>21116</v>
      </c>
      <c r="AY576" s="6" t="s">
        <v>81</v>
      </c>
      <c r="AZ576" s="6" t="s">
        <v>81</v>
      </c>
      <c r="BA576" s="6" t="s">
        <v>81</v>
      </c>
      <c r="BB576" s="24" t="n">
        <v>133</v>
      </c>
      <c r="BC576" s="26"/>
      <c r="BD576" s="26"/>
      <c r="BE576" s="26"/>
      <c r="BF576" s="26"/>
      <c r="BG576" s="26"/>
      <c r="BH576" s="26"/>
      <c r="BI576" s="26"/>
      <c r="BJ576" s="26"/>
      <c r="BK576" s="26"/>
      <c r="BL576" s="26"/>
      <c r="BM576" s="26"/>
      <c r="BN576" s="26"/>
      <c r="BO576" s="26"/>
      <c r="BP576" s="16" t="n">
        <v>45684</v>
      </c>
      <c r="BQ576" s="28" t="str">
        <f>HYPERLINK("https://organic.ams.usda.gov/Integrity/Certificate.aspx?cid=68&amp;nopid=8210008126")</f>
        <v>https://organic.ams.usda.gov/Integrity/Certificate.aspx?cid=68&amp;nopid=8210008126</v>
      </c>
    </row>
    <row r="577">
      <c r="A577" t="s">
        <v>3</v>
      </c>
      <c r="B577" s="6" t="s">
        <v>8</v>
      </c>
      <c r="C577" s="6" t="s">
        <v>55</v>
      </c>
      <c r="D577" s="6" t="s">
        <v>101</v>
      </c>
      <c r="E577" s="10" t="s">
        <v>718</v>
      </c>
      <c r="F577" s="6" t="s">
        <v>3452</v>
      </c>
      <c r="G577" s="6" t="s">
        <v>81</v>
      </c>
      <c r="H577" s="6" t="s">
        <v>6415</v>
      </c>
      <c r="I577" s="6" t="s">
        <v>8513</v>
      </c>
      <c r="J577" s="6" t="s">
        <v>9667</v>
      </c>
      <c r="K577" s="6" t="s">
        <v>10886</v>
      </c>
      <c r="L577" s="16" t="n">
        <v>41527</v>
      </c>
      <c r="M577" s="16" t="n">
        <v>45748</v>
      </c>
      <c r="N577" s="6" t="s">
        <v>10886</v>
      </c>
      <c r="O577" s="16" t="n">
        <v>41527</v>
      </c>
      <c r="P577" s="6" t="s">
        <v>11241</v>
      </c>
      <c r="Q577" s="6" t="s">
        <v>81</v>
      </c>
      <c r="R577" s="6" t="s">
        <v>6415</v>
      </c>
      <c r="S577" s="6" t="s">
        <v>10886</v>
      </c>
      <c r="T577" s="16" t="n">
        <v>41527</v>
      </c>
      <c r="U577" s="6" t="s">
        <v>13179</v>
      </c>
      <c r="V577" s="6" t="s">
        <v>81</v>
      </c>
      <c r="W577" s="6" t="s">
        <v>6415</v>
      </c>
      <c r="X577" s="6" t="s">
        <v>81</v>
      </c>
      <c r="Y577" s="21" t="s">
        <v>81</v>
      </c>
      <c r="Z577" s="6" t="s">
        <v>81</v>
      </c>
      <c r="AA577" s="6" t="s">
        <v>81</v>
      </c>
      <c r="AB577" s="6" t="s">
        <v>81</v>
      </c>
      <c r="AC577" s="6" t="s">
        <v>81</v>
      </c>
      <c r="AD577" s="21" t="s">
        <v>81</v>
      </c>
      <c r="AE577" s="6" t="s">
        <v>81</v>
      </c>
      <c r="AF577" s="6" t="s">
        <v>81</v>
      </c>
      <c r="AG577" s="6" t="s">
        <v>81</v>
      </c>
      <c r="AH577" s="6" t="s">
        <v>15165</v>
      </c>
      <c r="AI577" s="6" t="s">
        <v>81</v>
      </c>
      <c r="AJ577" s="6" t="s">
        <v>17477</v>
      </c>
      <c r="AK577" s="6" t="s">
        <v>18380</v>
      </c>
      <c r="AL577" s="6" t="s">
        <v>18444</v>
      </c>
      <c r="AM577" s="6" t="s">
        <v>18639</v>
      </c>
      <c r="AN577" s="6" t="s">
        <v>19639</v>
      </c>
      <c r="AO577" s="6" t="s">
        <v>19725</v>
      </c>
      <c r="AP577" s="6" t="s">
        <v>81</v>
      </c>
      <c r="AQ577" s="6" t="s">
        <v>81</v>
      </c>
      <c r="AR577" s="6" t="s">
        <v>81</v>
      </c>
      <c r="AS577" s="6" t="s">
        <v>81</v>
      </c>
      <c r="AT577" s="6" t="s">
        <v>81</v>
      </c>
      <c r="AU577" s="6" t="s">
        <v>81</v>
      </c>
      <c r="AV577" s="6" t="s">
        <v>81</v>
      </c>
      <c r="AW577" s="6" t="s">
        <v>81</v>
      </c>
      <c r="AX577" s="6" t="s">
        <v>81</v>
      </c>
      <c r="AY577" s="6" t="s">
        <v>81</v>
      </c>
      <c r="AZ577" s="6" t="s">
        <v>81</v>
      </c>
      <c r="BA577" s="6" t="s">
        <v>23819</v>
      </c>
      <c r="BB577" s="24" t="n">
        <v>89</v>
      </c>
      <c r="BC577" s="26"/>
      <c r="BD577" s="26"/>
      <c r="BE577" s="26"/>
      <c r="BF577" s="26" t="s">
        <v>23900</v>
      </c>
      <c r="BG577" s="26"/>
      <c r="BH577" s="26"/>
      <c r="BI577" s="26"/>
      <c r="BJ577" s="26"/>
      <c r="BK577" s="26"/>
      <c r="BL577" s="26"/>
      <c r="BM577" s="26"/>
      <c r="BN577" s="26"/>
      <c r="BO577" s="26"/>
      <c r="BP577" s="16" t="n">
        <v>45566</v>
      </c>
      <c r="BQ577" s="28" t="str">
        <f>HYPERLINK("https://organic.ams.usda.gov/Integrity/Certificate.aspx?cid=45&amp;nopid=9950004989")</f>
        <v>https://organic.ams.usda.gov/Integrity/Certificate.aspx?cid=45&amp;nopid=9950004989</v>
      </c>
    </row>
    <row r="578">
      <c r="A578" t="s">
        <v>3</v>
      </c>
      <c r="B578" s="6" t="s">
        <v>30</v>
      </c>
      <c r="C578" s="6" t="s">
        <v>77</v>
      </c>
      <c r="D578" s="6" t="s">
        <v>123</v>
      </c>
      <c r="E578" s="10" t="s">
        <v>719</v>
      </c>
      <c r="F578" s="6" t="s">
        <v>3453</v>
      </c>
      <c r="G578" s="6" t="s">
        <v>81</v>
      </c>
      <c r="H578" s="6" t="s">
        <v>6416</v>
      </c>
      <c r="I578" s="6" t="s">
        <v>8743</v>
      </c>
      <c r="J578" s="6" t="s">
        <v>9974</v>
      </c>
      <c r="K578" s="6" t="s">
        <v>10886</v>
      </c>
      <c r="L578" s="16" t="n">
        <v>44455</v>
      </c>
      <c r="M578" s="16" t="n">
        <v>45747</v>
      </c>
      <c r="N578" s="6" t="s">
        <v>10886</v>
      </c>
      <c r="O578" s="16" t="n">
        <v>44455</v>
      </c>
      <c r="P578" s="6" t="s">
        <v>10907</v>
      </c>
      <c r="Q578" s="6" t="s">
        <v>81</v>
      </c>
      <c r="R578" s="6" t="s">
        <v>81</v>
      </c>
      <c r="S578" s="6" t="s">
        <v>10886</v>
      </c>
      <c r="T578" s="16" t="n">
        <v>44455</v>
      </c>
      <c r="U578" s="6" t="s">
        <v>13216</v>
      </c>
      <c r="V578" s="6" t="s">
        <v>81</v>
      </c>
      <c r="W578" s="6" t="s">
        <v>81</v>
      </c>
      <c r="X578" s="6" t="s">
        <v>81</v>
      </c>
      <c r="Y578" s="21" t="s">
        <v>81</v>
      </c>
      <c r="Z578" s="6" t="s">
        <v>81</v>
      </c>
      <c r="AA578" s="6" t="s">
        <v>81</v>
      </c>
      <c r="AB578" s="6" t="s">
        <v>81</v>
      </c>
      <c r="AC578" s="6" t="s">
        <v>81</v>
      </c>
      <c r="AD578" s="21" t="s">
        <v>81</v>
      </c>
      <c r="AE578" s="6" t="s">
        <v>81</v>
      </c>
      <c r="AF578" s="6" t="s">
        <v>81</v>
      </c>
      <c r="AG578" s="6" t="s">
        <v>81</v>
      </c>
      <c r="AH578" s="6" t="s">
        <v>15166</v>
      </c>
      <c r="AI578" s="6" t="s">
        <v>81</v>
      </c>
      <c r="AJ578" s="6" t="s">
        <v>17667</v>
      </c>
      <c r="AK578" s="6" t="s">
        <v>17712</v>
      </c>
      <c r="AL578" s="6" t="s">
        <v>18444</v>
      </c>
      <c r="AM578" s="6" t="s">
        <v>18786</v>
      </c>
      <c r="AN578" s="6" t="s">
        <v>7195</v>
      </c>
      <c r="AO578" s="6" t="s">
        <v>19735</v>
      </c>
      <c r="AP578" s="6" t="s">
        <v>15166</v>
      </c>
      <c r="AQ578" s="6" t="s">
        <v>81</v>
      </c>
      <c r="AR578" s="6" t="s">
        <v>17667</v>
      </c>
      <c r="AS578" s="6" t="s">
        <v>17712</v>
      </c>
      <c r="AT578" s="6" t="s">
        <v>18444</v>
      </c>
      <c r="AU578" s="6" t="s">
        <v>18786</v>
      </c>
      <c r="AV578" s="6" t="s">
        <v>81</v>
      </c>
      <c r="AW578" s="6" t="s">
        <v>81</v>
      </c>
      <c r="AX578" s="6" t="s">
        <v>81</v>
      </c>
      <c r="AY578" s="6" t="s">
        <v>81</v>
      </c>
      <c r="AZ578" s="6" t="s">
        <v>81</v>
      </c>
      <c r="BA578" s="6" t="s">
        <v>81</v>
      </c>
      <c r="BB578" s="24" t="n">
        <v>136</v>
      </c>
      <c r="BC578" s="26"/>
      <c r="BD578" s="26"/>
      <c r="BE578" s="26"/>
      <c r="BF578" s="26"/>
      <c r="BG578" s="26"/>
      <c r="BH578" s="26"/>
      <c r="BI578" s="26"/>
      <c r="BJ578" s="26"/>
      <c r="BK578" s="26"/>
      <c r="BL578" s="26"/>
      <c r="BM578" s="26"/>
      <c r="BN578" s="26"/>
      <c r="BO578" s="26"/>
      <c r="BP578" s="16" t="n">
        <v>45510</v>
      </c>
      <c r="BQ578" s="28" t="str">
        <f>HYPERLINK("https://organic.ams.usda.gov/Integrity/Certificate.aspx?cid=70&amp;nopid=6432117300")</f>
        <v>https://organic.ams.usda.gov/Integrity/Certificate.aspx?cid=70&amp;nopid=6432117300</v>
      </c>
    </row>
    <row r="579">
      <c r="A579" t="s">
        <v>3</v>
      </c>
      <c r="B579" s="6" t="s">
        <v>10</v>
      </c>
      <c r="C579" s="6" t="s">
        <v>57</v>
      </c>
      <c r="D579" s="6" t="s">
        <v>103</v>
      </c>
      <c r="E579" s="10" t="s">
        <v>720</v>
      </c>
      <c r="F579" s="6" t="s">
        <v>3454</v>
      </c>
      <c r="G579" s="6" t="s">
        <v>81</v>
      </c>
      <c r="H579" s="6" t="s">
        <v>6417</v>
      </c>
      <c r="I579" s="6" t="s">
        <v>8513</v>
      </c>
      <c r="J579" s="6" t="s">
        <v>9675</v>
      </c>
      <c r="K579" s="6" t="s">
        <v>10886</v>
      </c>
      <c r="L579" s="16" t="n">
        <v>40486</v>
      </c>
      <c r="M579" s="16" t="n">
        <v>45748</v>
      </c>
      <c r="N579" s="6" t="s">
        <v>10886</v>
      </c>
      <c r="O579" s="16" t="n">
        <v>40486</v>
      </c>
      <c r="P579" s="6" t="s">
        <v>11242</v>
      </c>
      <c r="Q579" s="6" t="s">
        <v>81</v>
      </c>
      <c r="R579" s="6" t="s">
        <v>12583</v>
      </c>
      <c r="S579" s="6" t="s">
        <v>10886</v>
      </c>
      <c r="T579" s="16" t="n">
        <v>40486</v>
      </c>
      <c r="U579" s="6" t="s">
        <v>13234</v>
      </c>
      <c r="V579" s="6" t="s">
        <v>81</v>
      </c>
      <c r="W579" s="6" t="s">
        <v>81</v>
      </c>
      <c r="X579" s="6" t="s">
        <v>81</v>
      </c>
      <c r="Y579" s="21" t="s">
        <v>81</v>
      </c>
      <c r="Z579" s="6" t="s">
        <v>81</v>
      </c>
      <c r="AA579" s="6" t="s">
        <v>81</v>
      </c>
      <c r="AB579" s="6" t="s">
        <v>81</v>
      </c>
      <c r="AC579" s="6" t="s">
        <v>81</v>
      </c>
      <c r="AD579" s="21" t="s">
        <v>81</v>
      </c>
      <c r="AE579" s="6" t="s">
        <v>81</v>
      </c>
      <c r="AF579" s="6" t="s">
        <v>81</v>
      </c>
      <c r="AG579" s="6" t="s">
        <v>81</v>
      </c>
      <c r="AH579" s="6" t="s">
        <v>15167</v>
      </c>
      <c r="AI579" s="6" t="s">
        <v>81</v>
      </c>
      <c r="AJ579" s="6" t="s">
        <v>17319</v>
      </c>
      <c r="AK579" s="6" t="s">
        <v>18378</v>
      </c>
      <c r="AL579" s="6" t="s">
        <v>18444</v>
      </c>
      <c r="AM579" s="6" t="s">
        <v>18471</v>
      </c>
      <c r="AN579" s="6" t="s">
        <v>19640</v>
      </c>
      <c r="AO579" s="6" t="s">
        <v>19726</v>
      </c>
      <c r="AP579" s="6" t="s">
        <v>15167</v>
      </c>
      <c r="AQ579" s="6" t="s">
        <v>81</v>
      </c>
      <c r="AR579" s="6" t="s">
        <v>17319</v>
      </c>
      <c r="AS579" s="6" t="s">
        <v>18378</v>
      </c>
      <c r="AT579" s="6" t="s">
        <v>18444</v>
      </c>
      <c r="AU579" s="6" t="s">
        <v>18471</v>
      </c>
      <c r="AV579" s="6" t="s">
        <v>81</v>
      </c>
      <c r="AW579" s="6" t="s">
        <v>81</v>
      </c>
      <c r="AX579" s="6" t="s">
        <v>21117</v>
      </c>
      <c r="AY579" s="6" t="s">
        <v>81</v>
      </c>
      <c r="AZ579" s="6" t="s">
        <v>81</v>
      </c>
      <c r="BA579" s="6" t="s">
        <v>81</v>
      </c>
      <c r="BB579" s="24" t="n">
        <v>133</v>
      </c>
      <c r="BC579" s="26"/>
      <c r="BD579" s="26"/>
      <c r="BE579" s="26"/>
      <c r="BF579" s="26"/>
      <c r="BG579" s="26"/>
      <c r="BH579" s="26"/>
      <c r="BI579" s="26"/>
      <c r="BJ579" s="26"/>
      <c r="BK579" s="26"/>
      <c r="BL579" s="26"/>
      <c r="BM579" s="26"/>
      <c r="BN579" s="26"/>
      <c r="BO579" s="26"/>
      <c r="BP579" s="16" t="n">
        <v>45730</v>
      </c>
      <c r="BQ579" s="28" t="str">
        <f>HYPERLINK("https://organic.ams.usda.gov/Integrity/Certificate.aspx?cid=90&amp;nopid=7170220525")</f>
        <v>https://organic.ams.usda.gov/Integrity/Certificate.aspx?cid=90&amp;nopid=7170220525</v>
      </c>
    </row>
    <row r="580">
      <c r="A580" t="s">
        <v>3</v>
      </c>
      <c r="B580" s="6" t="s">
        <v>11</v>
      </c>
      <c r="C580" s="6" t="s">
        <v>58</v>
      </c>
      <c r="D580" s="6" t="s">
        <v>104</v>
      </c>
      <c r="E580" s="10" t="s">
        <v>721</v>
      </c>
      <c r="F580" s="6" t="s">
        <v>3455</v>
      </c>
      <c r="G580" s="6" t="s">
        <v>81</v>
      </c>
      <c r="H580" s="6" t="s">
        <v>81</v>
      </c>
      <c r="I580" s="6" t="s">
        <v>8744</v>
      </c>
      <c r="J580" s="6" t="s">
        <v>9666</v>
      </c>
      <c r="K580" s="6" t="s">
        <v>10886</v>
      </c>
      <c r="L580" s="16" t="n">
        <v>41881</v>
      </c>
      <c r="M580" s="16" t="n">
        <v>45748</v>
      </c>
      <c r="N580" s="6" t="s">
        <v>10886</v>
      </c>
      <c r="O580" s="16" t="n">
        <v>41881</v>
      </c>
      <c r="P580" s="6" t="s">
        <v>11243</v>
      </c>
      <c r="Q580" s="6" t="s">
        <v>81</v>
      </c>
      <c r="R580" s="6" t="s">
        <v>81</v>
      </c>
      <c r="S580" s="6" t="s">
        <v>10886</v>
      </c>
      <c r="T580" s="16" t="n">
        <v>41927</v>
      </c>
      <c r="U580" s="6" t="s">
        <v>13379</v>
      </c>
      <c r="V580" s="6" t="s">
        <v>81</v>
      </c>
      <c r="W580" s="6" t="s">
        <v>81</v>
      </c>
      <c r="X580" s="6" t="s">
        <v>81</v>
      </c>
      <c r="Y580" s="21" t="s">
        <v>81</v>
      </c>
      <c r="Z580" s="6" t="s">
        <v>81</v>
      </c>
      <c r="AA580" s="6" t="s">
        <v>81</v>
      </c>
      <c r="AB580" s="6" t="s">
        <v>81</v>
      </c>
      <c r="AC580" s="6" t="s">
        <v>81</v>
      </c>
      <c r="AD580" s="21" t="s">
        <v>81</v>
      </c>
      <c r="AE580" s="6" t="s">
        <v>81</v>
      </c>
      <c r="AF580" s="6" t="s">
        <v>81</v>
      </c>
      <c r="AG580" s="6" t="s">
        <v>81</v>
      </c>
      <c r="AH580" s="6" t="s">
        <v>15168</v>
      </c>
      <c r="AI580" s="6" t="s">
        <v>81</v>
      </c>
      <c r="AJ580" s="6" t="s">
        <v>17316</v>
      </c>
      <c r="AK580" s="6" t="s">
        <v>18377</v>
      </c>
      <c r="AL580" s="6" t="s">
        <v>18444</v>
      </c>
      <c r="AM580" s="6" t="s">
        <v>18468</v>
      </c>
      <c r="AN580" s="6" t="s">
        <v>19638</v>
      </c>
      <c r="AO580" s="6" t="s">
        <v>19724</v>
      </c>
      <c r="AP580" s="6" t="s">
        <v>15168</v>
      </c>
      <c r="AQ580" s="6" t="s">
        <v>81</v>
      </c>
      <c r="AR580" s="6" t="s">
        <v>17316</v>
      </c>
      <c r="AS580" s="6" t="s">
        <v>18377</v>
      </c>
      <c r="AT580" s="6" t="s">
        <v>18444</v>
      </c>
      <c r="AU580" s="6" t="s">
        <v>18468</v>
      </c>
      <c r="AV580" s="6" t="s">
        <v>81</v>
      </c>
      <c r="AW580" s="6" t="s">
        <v>81</v>
      </c>
      <c r="AX580" s="6" t="s">
        <v>81</v>
      </c>
      <c r="AY580" s="6" t="s">
        <v>81</v>
      </c>
      <c r="AZ580" s="6" t="s">
        <v>81</v>
      </c>
      <c r="BA580" s="6" t="s">
        <v>23825</v>
      </c>
      <c r="BB580" s="24" t="n">
        <v>97</v>
      </c>
      <c r="BC580" s="26"/>
      <c r="BD580" s="26"/>
      <c r="BE580" s="26"/>
      <c r="BF580" s="26"/>
      <c r="BG580" s="26"/>
      <c r="BH580" s="26"/>
      <c r="BI580" s="26"/>
      <c r="BJ580" s="26"/>
      <c r="BK580" s="26"/>
      <c r="BL580" s="26"/>
      <c r="BM580" s="26"/>
      <c r="BN580" s="26"/>
      <c r="BO580" s="26"/>
      <c r="BP580" s="16" t="n">
        <v>45721</v>
      </c>
      <c r="BQ580" s="28" t="str">
        <f>HYPERLINK("https://organic.ams.usda.gov/Integrity/Certificate.aspx?cid=46&amp;nopid=3671400039")</f>
        <v>https://organic.ams.usda.gov/Integrity/Certificate.aspx?cid=46&amp;nopid=3671400039</v>
      </c>
    </row>
    <row r="581">
      <c r="A581" t="s">
        <v>3</v>
      </c>
      <c r="B581" s="6" t="s">
        <v>18</v>
      </c>
      <c r="C581" s="6" t="s">
        <v>65</v>
      </c>
      <c r="D581" s="6" t="s">
        <v>111</v>
      </c>
      <c r="E581" s="10" t="s">
        <v>722</v>
      </c>
      <c r="F581" s="6" t="s">
        <v>3456</v>
      </c>
      <c r="G581" s="6" t="s">
        <v>81</v>
      </c>
      <c r="H581" s="6" t="s">
        <v>722</v>
      </c>
      <c r="I581" s="6" t="s">
        <v>8745</v>
      </c>
      <c r="J581" s="6" t="s">
        <v>9669</v>
      </c>
      <c r="K581" s="6" t="s">
        <v>10886</v>
      </c>
      <c r="L581" s="16" t="n">
        <v>45712</v>
      </c>
      <c r="M581" s="16" t="n">
        <v>46068</v>
      </c>
      <c r="N581" s="6" t="s">
        <v>10886</v>
      </c>
      <c r="O581" s="16" t="n">
        <v>45712</v>
      </c>
      <c r="P581" s="6" t="s">
        <v>11244</v>
      </c>
      <c r="Q581" s="6" t="s">
        <v>81</v>
      </c>
      <c r="R581" s="6" t="s">
        <v>81</v>
      </c>
      <c r="S581" s="6" t="s">
        <v>10886</v>
      </c>
      <c r="T581" s="16" t="n">
        <v>45712</v>
      </c>
      <c r="U581" s="6" t="s">
        <v>13292</v>
      </c>
      <c r="V581" s="6" t="s">
        <v>81</v>
      </c>
      <c r="W581" s="6" t="s">
        <v>81</v>
      </c>
      <c r="X581" s="6" t="s">
        <v>81</v>
      </c>
      <c r="Y581" s="21" t="s">
        <v>81</v>
      </c>
      <c r="Z581" s="6" t="s">
        <v>81</v>
      </c>
      <c r="AA581" s="6" t="s">
        <v>81</v>
      </c>
      <c r="AB581" s="6" t="s">
        <v>81</v>
      </c>
      <c r="AC581" s="6" t="s">
        <v>81</v>
      </c>
      <c r="AD581" s="21" t="s">
        <v>81</v>
      </c>
      <c r="AE581" s="6" t="s">
        <v>81</v>
      </c>
      <c r="AF581" s="6" t="s">
        <v>81</v>
      </c>
      <c r="AG581" s="6" t="s">
        <v>81</v>
      </c>
      <c r="AH581" s="6" t="s">
        <v>15169</v>
      </c>
      <c r="AI581" s="6" t="s">
        <v>81</v>
      </c>
      <c r="AJ581" s="6" t="s">
        <v>17341</v>
      </c>
      <c r="AK581" s="6" t="s">
        <v>17712</v>
      </c>
      <c r="AL581" s="6" t="s">
        <v>18444</v>
      </c>
      <c r="AM581" s="6" t="s">
        <v>18495</v>
      </c>
      <c r="AN581" s="6" t="s">
        <v>81</v>
      </c>
      <c r="AO581" s="6" t="s">
        <v>81</v>
      </c>
      <c r="AP581" s="6" t="s">
        <v>15169</v>
      </c>
      <c r="AQ581" s="6" t="s">
        <v>81</v>
      </c>
      <c r="AR581" s="6" t="s">
        <v>17341</v>
      </c>
      <c r="AS581" s="6" t="s">
        <v>17712</v>
      </c>
      <c r="AT581" s="6" t="s">
        <v>18444</v>
      </c>
      <c r="AU581" s="6" t="s">
        <v>18495</v>
      </c>
      <c r="AV581" s="6" t="s">
        <v>81</v>
      </c>
      <c r="AW581" s="6" t="s">
        <v>81</v>
      </c>
      <c r="AX581" s="6" t="s">
        <v>81</v>
      </c>
      <c r="AY581" s="6" t="s">
        <v>81</v>
      </c>
      <c r="AZ581" s="6" t="s">
        <v>81</v>
      </c>
      <c r="BA581" s="6" t="s">
        <v>23849</v>
      </c>
      <c r="BB581" s="24" t="n">
        <v>88</v>
      </c>
      <c r="BC581" s="26"/>
      <c r="BD581" s="26"/>
      <c r="BE581" s="26"/>
      <c r="BF581" s="26" t="s">
        <v>23900</v>
      </c>
      <c r="BG581" s="26"/>
      <c r="BH581" s="26"/>
      <c r="BI581" s="26"/>
      <c r="BJ581" s="26"/>
      <c r="BK581" s="26"/>
      <c r="BL581" s="26"/>
      <c r="BM581" s="26"/>
      <c r="BN581" s="26"/>
      <c r="BO581" s="26"/>
      <c r="BP581" s="16" t="n">
        <v>45712</v>
      </c>
      <c r="BQ581" s="28" t="str">
        <f>HYPERLINK("https://organic.ams.usda.gov/Integrity/Certificate.aspx?cid=8&amp;nopid=2202501500")</f>
        <v>https://organic.ams.usda.gov/Integrity/Certificate.aspx?cid=8&amp;nopid=2202501500</v>
      </c>
    </row>
    <row r="582">
      <c r="A582" t="s">
        <v>3</v>
      </c>
      <c r="B582" s="6" t="s">
        <v>7</v>
      </c>
      <c r="C582" s="6" t="s">
        <v>54</v>
      </c>
      <c r="D582" s="6" t="s">
        <v>100</v>
      </c>
      <c r="E582" s="10" t="s">
        <v>723</v>
      </c>
      <c r="F582" s="6" t="s">
        <v>3456</v>
      </c>
      <c r="G582" s="6" t="s">
        <v>81</v>
      </c>
      <c r="H582" s="6" t="s">
        <v>6418</v>
      </c>
      <c r="I582" s="6" t="s">
        <v>8513</v>
      </c>
      <c r="J582" s="6" t="s">
        <v>9669</v>
      </c>
      <c r="K582" s="6" t="s">
        <v>10886</v>
      </c>
      <c r="L582" s="16" t="n">
        <v>45609</v>
      </c>
      <c r="M582" s="16" t="n">
        <v>45716</v>
      </c>
      <c r="N582" s="6" t="s">
        <v>10886</v>
      </c>
      <c r="O582" s="16" t="n">
        <v>45609</v>
      </c>
      <c r="P582" s="6" t="s">
        <v>10934</v>
      </c>
      <c r="Q582" s="6" t="s">
        <v>81</v>
      </c>
      <c r="R582" s="6" t="s">
        <v>81</v>
      </c>
      <c r="S582" s="6" t="s">
        <v>10886</v>
      </c>
      <c r="T582" s="16" t="n">
        <v>45609</v>
      </c>
      <c r="U582" s="6" t="s">
        <v>13169</v>
      </c>
      <c r="V582" s="6" t="s">
        <v>81</v>
      </c>
      <c r="W582" s="6" t="s">
        <v>81</v>
      </c>
      <c r="X582" s="6" t="s">
        <v>81</v>
      </c>
      <c r="Y582" s="21" t="s">
        <v>81</v>
      </c>
      <c r="Z582" s="6" t="s">
        <v>81</v>
      </c>
      <c r="AA582" s="6" t="s">
        <v>81</v>
      </c>
      <c r="AB582" s="6" t="s">
        <v>81</v>
      </c>
      <c r="AC582" s="6" t="s">
        <v>81</v>
      </c>
      <c r="AD582" s="21" t="s">
        <v>81</v>
      </c>
      <c r="AE582" s="6" t="s">
        <v>81</v>
      </c>
      <c r="AF582" s="6" t="s">
        <v>81</v>
      </c>
      <c r="AG582" s="6" t="s">
        <v>81</v>
      </c>
      <c r="AH582" s="6" t="s">
        <v>15170</v>
      </c>
      <c r="AI582" s="6" t="s">
        <v>81</v>
      </c>
      <c r="AJ582" s="6" t="s">
        <v>17410</v>
      </c>
      <c r="AK582" s="6" t="s">
        <v>17712</v>
      </c>
      <c r="AL582" s="6" t="s">
        <v>18444</v>
      </c>
      <c r="AM582" s="6" t="s">
        <v>18566</v>
      </c>
      <c r="AN582" s="6" t="s">
        <v>81</v>
      </c>
      <c r="AO582" s="6" t="s">
        <v>81</v>
      </c>
      <c r="AP582" s="6" t="s">
        <v>15170</v>
      </c>
      <c r="AQ582" s="6" t="s">
        <v>81</v>
      </c>
      <c r="AR582" s="6" t="s">
        <v>17410</v>
      </c>
      <c r="AS582" s="6" t="s">
        <v>17712</v>
      </c>
      <c r="AT582" s="6" t="s">
        <v>18444</v>
      </c>
      <c r="AU582" s="6" t="s">
        <v>18566</v>
      </c>
      <c r="AV582" s="6" t="s">
        <v>81</v>
      </c>
      <c r="AW582" s="6" t="s">
        <v>81</v>
      </c>
      <c r="AX582" s="6" t="s">
        <v>81</v>
      </c>
      <c r="AY582" s="6" t="s">
        <v>81</v>
      </c>
      <c r="AZ582" s="6" t="s">
        <v>81</v>
      </c>
      <c r="BA582" s="6" t="s">
        <v>81</v>
      </c>
      <c r="BB582" s="24" t="n">
        <v>162</v>
      </c>
      <c r="BC582" s="26"/>
      <c r="BD582" s="26"/>
      <c r="BE582" s="26"/>
      <c r="BF582" s="26" t="s">
        <v>23900</v>
      </c>
      <c r="BG582" s="26"/>
      <c r="BH582" s="26"/>
      <c r="BI582" s="26"/>
      <c r="BJ582" s="26"/>
      <c r="BK582" s="26"/>
      <c r="BL582" s="26"/>
      <c r="BM582" s="26"/>
      <c r="BN582" s="26"/>
      <c r="BO582" s="26"/>
      <c r="BP582" s="16" t="n">
        <v>45611</v>
      </c>
      <c r="BQ582" s="28" t="str">
        <f>HYPERLINK("https://organic.ams.usda.gov/Integrity/Certificate.aspx?cid=57&amp;nopid=3252024035")</f>
        <v>https://organic.ams.usda.gov/Integrity/Certificate.aspx?cid=57&amp;nopid=3252024035</v>
      </c>
    </row>
    <row r="583">
      <c r="A583" t="s">
        <v>3</v>
      </c>
      <c r="B583" s="6" t="s">
        <v>12</v>
      </c>
      <c r="C583" s="6" t="s">
        <v>59</v>
      </c>
      <c r="D583" s="6" t="s">
        <v>105</v>
      </c>
      <c r="E583" s="10" t="s">
        <v>724</v>
      </c>
      <c r="F583" s="6" t="s">
        <v>3457</v>
      </c>
      <c r="G583" s="6" t="s">
        <v>81</v>
      </c>
      <c r="H583" s="6" t="s">
        <v>6419</v>
      </c>
      <c r="I583" s="6" t="s">
        <v>8746</v>
      </c>
      <c r="J583" s="6" t="s">
        <v>9808</v>
      </c>
      <c r="K583" s="6" t="s">
        <v>10886</v>
      </c>
      <c r="L583" s="16" t="n">
        <v>42537</v>
      </c>
      <c r="M583" s="16" t="n">
        <v>45717</v>
      </c>
      <c r="N583" s="6" t="s">
        <v>10886</v>
      </c>
      <c r="O583" s="16" t="n">
        <v>42537</v>
      </c>
      <c r="P583" s="6" t="s">
        <v>10925</v>
      </c>
      <c r="Q583" s="6" t="s">
        <v>81</v>
      </c>
      <c r="R583" s="6" t="s">
        <v>81</v>
      </c>
      <c r="S583" s="6" t="s">
        <v>10886</v>
      </c>
      <c r="T583" s="16" t="n">
        <v>42537</v>
      </c>
      <c r="U583" s="6" t="s">
        <v>13274</v>
      </c>
      <c r="V583" s="6" t="s">
        <v>81</v>
      </c>
      <c r="W583" s="6" t="s">
        <v>81</v>
      </c>
      <c r="X583" s="6" t="s">
        <v>81</v>
      </c>
      <c r="Y583" s="21" t="s">
        <v>81</v>
      </c>
      <c r="Z583" s="6" t="s">
        <v>81</v>
      </c>
      <c r="AA583" s="6" t="s">
        <v>81</v>
      </c>
      <c r="AB583" s="6" t="s">
        <v>81</v>
      </c>
      <c r="AC583" s="6" t="s">
        <v>81</v>
      </c>
      <c r="AD583" s="21" t="s">
        <v>81</v>
      </c>
      <c r="AE583" s="6" t="s">
        <v>81</v>
      </c>
      <c r="AF583" s="6" t="s">
        <v>81</v>
      </c>
      <c r="AG583" s="6" t="s">
        <v>81</v>
      </c>
      <c r="AH583" s="6" t="s">
        <v>15171</v>
      </c>
      <c r="AI583" s="6" t="s">
        <v>81</v>
      </c>
      <c r="AJ583" s="6" t="s">
        <v>17668</v>
      </c>
      <c r="AK583" s="6" t="s">
        <v>18380</v>
      </c>
      <c r="AL583" s="6" t="s">
        <v>18444</v>
      </c>
      <c r="AM583" s="6" t="s">
        <v>18835</v>
      </c>
      <c r="AN583" s="6" t="s">
        <v>19648</v>
      </c>
      <c r="AO583" s="6" t="s">
        <v>19736</v>
      </c>
      <c r="AP583" s="6" t="s">
        <v>15171</v>
      </c>
      <c r="AQ583" s="6" t="s">
        <v>81</v>
      </c>
      <c r="AR583" s="6" t="s">
        <v>17668</v>
      </c>
      <c r="AS583" s="6" t="s">
        <v>18380</v>
      </c>
      <c r="AT583" s="6" t="s">
        <v>18444</v>
      </c>
      <c r="AU583" s="6" t="s">
        <v>18835</v>
      </c>
      <c r="AV583" s="6" t="s">
        <v>81</v>
      </c>
      <c r="AW583" s="6" t="s">
        <v>81</v>
      </c>
      <c r="AX583" s="6" t="s">
        <v>21118</v>
      </c>
      <c r="AY583" s="6" t="s">
        <v>81</v>
      </c>
      <c r="AZ583" s="6" t="s">
        <v>81</v>
      </c>
      <c r="BA583" s="6" t="s">
        <v>81</v>
      </c>
      <c r="BB583" s="24" t="n">
        <v>175</v>
      </c>
      <c r="BC583" s="26"/>
      <c r="BD583" s="26"/>
      <c r="BE583" s="26"/>
      <c r="BF583" s="26"/>
      <c r="BG583" s="26"/>
      <c r="BH583" s="26"/>
      <c r="BI583" s="26"/>
      <c r="BJ583" s="26"/>
      <c r="BK583" s="26"/>
      <c r="BL583" s="26"/>
      <c r="BM583" s="26"/>
      <c r="BN583" s="26"/>
      <c r="BO583" s="26"/>
      <c r="BP583" s="16" t="n">
        <v>45684</v>
      </c>
      <c r="BQ583" s="28" t="str">
        <f>HYPERLINK("https://organic.ams.usda.gov/Integrity/Certificate.aspx?cid=68&amp;nopid=8210004574")</f>
        <v>https://organic.ams.usda.gov/Integrity/Certificate.aspx?cid=68&amp;nopid=8210004574</v>
      </c>
    </row>
    <row r="584">
      <c r="A584" t="s">
        <v>3</v>
      </c>
      <c r="B584" s="6" t="s">
        <v>15</v>
      </c>
      <c r="C584" s="6" t="s">
        <v>62</v>
      </c>
      <c r="D584" s="6" t="s">
        <v>108</v>
      </c>
      <c r="E584" s="10" t="s">
        <v>725</v>
      </c>
      <c r="F584" s="6" t="s">
        <v>3458</v>
      </c>
      <c r="G584" s="6" t="s">
        <v>5650</v>
      </c>
      <c r="H584" s="6" t="s">
        <v>6420</v>
      </c>
      <c r="I584" s="6" t="s">
        <v>8513</v>
      </c>
      <c r="J584" s="6" t="s">
        <v>9769</v>
      </c>
      <c r="K584" s="6" t="s">
        <v>10886</v>
      </c>
      <c r="L584" s="16" t="n">
        <v>40814</v>
      </c>
      <c r="M584" s="16" t="n">
        <v>45792</v>
      </c>
      <c r="N584" s="6" t="s">
        <v>10886</v>
      </c>
      <c r="O584" s="16" t="n">
        <v>40814</v>
      </c>
      <c r="P584" s="6" t="s">
        <v>11245</v>
      </c>
      <c r="Q584" s="6" t="s">
        <v>81</v>
      </c>
      <c r="R584" s="6" t="s">
        <v>81</v>
      </c>
      <c r="S584" s="6" t="s">
        <v>10886</v>
      </c>
      <c r="T584" s="16" t="n">
        <v>40814</v>
      </c>
      <c r="U584" s="6" t="s">
        <v>13380</v>
      </c>
      <c r="V584" s="6" t="s">
        <v>81</v>
      </c>
      <c r="W584" s="6" t="s">
        <v>81</v>
      </c>
      <c r="X584" s="6" t="s">
        <v>81</v>
      </c>
      <c r="Y584" s="21" t="s">
        <v>81</v>
      </c>
      <c r="Z584" s="6" t="s">
        <v>81</v>
      </c>
      <c r="AA584" s="6" t="s">
        <v>81</v>
      </c>
      <c r="AB584" s="6" t="s">
        <v>81</v>
      </c>
      <c r="AC584" s="6" t="s">
        <v>81</v>
      </c>
      <c r="AD584" s="21" t="s">
        <v>81</v>
      </c>
      <c r="AE584" s="6" t="s">
        <v>81</v>
      </c>
      <c r="AF584" s="6" t="s">
        <v>81</v>
      </c>
      <c r="AG584" s="6" t="s">
        <v>81</v>
      </c>
      <c r="AH584" s="6" t="s">
        <v>15172</v>
      </c>
      <c r="AI584" s="6" t="s">
        <v>81</v>
      </c>
      <c r="AJ584" s="6" t="s">
        <v>17669</v>
      </c>
      <c r="AK584" s="6" t="s">
        <v>18384</v>
      </c>
      <c r="AL584" s="6" t="s">
        <v>18444</v>
      </c>
      <c r="AM584" s="6" t="s">
        <v>18836</v>
      </c>
      <c r="AN584" s="6" t="s">
        <v>8053</v>
      </c>
      <c r="AO584" s="6" t="s">
        <v>19894</v>
      </c>
      <c r="AP584" s="6" t="s">
        <v>15172</v>
      </c>
      <c r="AQ584" s="6" t="s">
        <v>81</v>
      </c>
      <c r="AR584" s="6" t="s">
        <v>17669</v>
      </c>
      <c r="AS584" s="6" t="s">
        <v>18384</v>
      </c>
      <c r="AT584" s="6" t="s">
        <v>18444</v>
      </c>
      <c r="AU584" s="6" t="s">
        <v>18836</v>
      </c>
      <c r="AV584" s="6" t="s">
        <v>81</v>
      </c>
      <c r="AW584" s="6" t="s">
        <v>81</v>
      </c>
      <c r="AX584" s="6" t="s">
        <v>21119</v>
      </c>
      <c r="AY584" s="6" t="s">
        <v>81</v>
      </c>
      <c r="AZ584" s="6" t="s">
        <v>81</v>
      </c>
      <c r="BA584" s="6" t="s">
        <v>81</v>
      </c>
      <c r="BB584" s="24" t="n">
        <v>61</v>
      </c>
      <c r="BC584" s="26"/>
      <c r="BD584" s="26"/>
      <c r="BE584" s="26"/>
      <c r="BF584" s="26" t="s">
        <v>23900</v>
      </c>
      <c r="BG584" s="26"/>
      <c r="BH584" s="26"/>
      <c r="BI584" s="26"/>
      <c r="BJ584" s="26"/>
      <c r="BK584" s="26"/>
      <c r="BL584" s="26"/>
      <c r="BM584" s="26"/>
      <c r="BN584" s="26"/>
      <c r="BO584" s="26"/>
      <c r="BP584" s="16" t="n">
        <v>45737</v>
      </c>
      <c r="BQ584" s="28" t="str">
        <f>HYPERLINK("https://organic.ams.usda.gov/Integrity/Certificate.aspx?cid=58&amp;nopid=1600001871")</f>
        <v>https://organic.ams.usda.gov/Integrity/Certificate.aspx?cid=58&amp;nopid=1600001871</v>
      </c>
    </row>
    <row r="585">
      <c r="A585" t="s">
        <v>3</v>
      </c>
      <c r="B585" s="6" t="s">
        <v>30</v>
      </c>
      <c r="C585" s="6" t="s">
        <v>77</v>
      </c>
      <c r="D585" s="6" t="s">
        <v>123</v>
      </c>
      <c r="E585" s="10" t="s">
        <v>726</v>
      </c>
      <c r="F585" s="6" t="s">
        <v>3459</v>
      </c>
      <c r="G585" s="6" t="s">
        <v>81</v>
      </c>
      <c r="H585" s="6" t="s">
        <v>6421</v>
      </c>
      <c r="I585" s="6" t="s">
        <v>8747</v>
      </c>
      <c r="J585" s="6" t="s">
        <v>9960</v>
      </c>
      <c r="K585" s="6" t="s">
        <v>10886</v>
      </c>
      <c r="L585" s="16" t="n">
        <v>44111</v>
      </c>
      <c r="M585" s="16" t="n">
        <v>45747</v>
      </c>
      <c r="N585" s="6" t="s">
        <v>10886</v>
      </c>
      <c r="O585" s="16" t="n">
        <v>44111</v>
      </c>
      <c r="P585" s="6" t="s">
        <v>11246</v>
      </c>
      <c r="Q585" s="6" t="s">
        <v>81</v>
      </c>
      <c r="R585" s="6" t="s">
        <v>81</v>
      </c>
      <c r="S585" s="6" t="s">
        <v>10886</v>
      </c>
      <c r="T585" s="16" t="n">
        <v>44111</v>
      </c>
      <c r="U585" s="6" t="s">
        <v>13216</v>
      </c>
      <c r="V585" s="6" t="s">
        <v>81</v>
      </c>
      <c r="W585" s="6" t="s">
        <v>81</v>
      </c>
      <c r="X585" s="6" t="s">
        <v>81</v>
      </c>
      <c r="Y585" s="21" t="s">
        <v>81</v>
      </c>
      <c r="Z585" s="6" t="s">
        <v>81</v>
      </c>
      <c r="AA585" s="6" t="s">
        <v>81</v>
      </c>
      <c r="AB585" s="6" t="s">
        <v>81</v>
      </c>
      <c r="AC585" s="6" t="s">
        <v>81</v>
      </c>
      <c r="AD585" s="21" t="s">
        <v>81</v>
      </c>
      <c r="AE585" s="6" t="s">
        <v>81</v>
      </c>
      <c r="AF585" s="6" t="s">
        <v>81</v>
      </c>
      <c r="AG585" s="6" t="s">
        <v>81</v>
      </c>
      <c r="AH585" s="6" t="s">
        <v>15173</v>
      </c>
      <c r="AI585" s="6" t="s">
        <v>81</v>
      </c>
      <c r="AJ585" s="6" t="s">
        <v>17406</v>
      </c>
      <c r="AK585" s="6" t="s">
        <v>17712</v>
      </c>
      <c r="AL585" s="6" t="s">
        <v>18444</v>
      </c>
      <c r="AM585" s="6" t="s">
        <v>18562</v>
      </c>
      <c r="AN585" s="6" t="s">
        <v>19657</v>
      </c>
      <c r="AO585" s="6" t="s">
        <v>19751</v>
      </c>
      <c r="AP585" s="6" t="s">
        <v>15173</v>
      </c>
      <c r="AQ585" s="6" t="s">
        <v>81</v>
      </c>
      <c r="AR585" s="6" t="s">
        <v>17406</v>
      </c>
      <c r="AS585" s="6" t="s">
        <v>17712</v>
      </c>
      <c r="AT585" s="6" t="s">
        <v>18444</v>
      </c>
      <c r="AU585" s="6" t="s">
        <v>18562</v>
      </c>
      <c r="AV585" s="6" t="s">
        <v>81</v>
      </c>
      <c r="AW585" s="6" t="s">
        <v>81</v>
      </c>
      <c r="AX585" s="6" t="s">
        <v>81</v>
      </c>
      <c r="AY585" s="6" t="s">
        <v>81</v>
      </c>
      <c r="AZ585" s="6" t="s">
        <v>81</v>
      </c>
      <c r="BA585" s="6" t="s">
        <v>81</v>
      </c>
      <c r="BB585" s="24" t="n">
        <v>43</v>
      </c>
      <c r="BC585" s="26"/>
      <c r="BD585" s="26"/>
      <c r="BE585" s="26"/>
      <c r="BF585" s="26"/>
      <c r="BG585" s="26"/>
      <c r="BH585" s="26"/>
      <c r="BI585" s="26"/>
      <c r="BJ585" s="26"/>
      <c r="BK585" s="26"/>
      <c r="BL585" s="26"/>
      <c r="BM585" s="26"/>
      <c r="BN585" s="26"/>
      <c r="BO585" s="26"/>
      <c r="BP585" s="16" t="n">
        <v>45616</v>
      </c>
      <c r="BQ585" s="28" t="str">
        <f>HYPERLINK("https://organic.ams.usda.gov/Integrity/Certificate.aspx?cid=70&amp;nopid=6432016640")</f>
        <v>https://organic.ams.usda.gov/Integrity/Certificate.aspx?cid=70&amp;nopid=6432016640</v>
      </c>
    </row>
    <row r="586">
      <c r="A586" t="s">
        <v>3</v>
      </c>
      <c r="B586" s="6" t="s">
        <v>12</v>
      </c>
      <c r="C586" s="6" t="s">
        <v>59</v>
      </c>
      <c r="D586" s="6" t="s">
        <v>105</v>
      </c>
      <c r="E586" s="10" t="s">
        <v>727</v>
      </c>
      <c r="F586" s="6" t="s">
        <v>3460</v>
      </c>
      <c r="G586" s="6" t="s">
        <v>81</v>
      </c>
      <c r="H586" s="6" t="s">
        <v>6422</v>
      </c>
      <c r="I586" s="6" t="s">
        <v>8748</v>
      </c>
      <c r="J586" s="6" t="s">
        <v>9233</v>
      </c>
      <c r="K586" s="6" t="s">
        <v>10886</v>
      </c>
      <c r="L586" s="16" t="n">
        <v>42277</v>
      </c>
      <c r="M586" s="16" t="n">
        <v>45717</v>
      </c>
      <c r="N586" s="6" t="s">
        <v>10886</v>
      </c>
      <c r="O586" s="16" t="n">
        <v>42277</v>
      </c>
      <c r="P586" s="6" t="s">
        <v>11247</v>
      </c>
      <c r="Q586" s="6" t="s">
        <v>81</v>
      </c>
      <c r="R586" s="6" t="s">
        <v>81</v>
      </c>
      <c r="S586" s="6" t="s">
        <v>10886</v>
      </c>
      <c r="T586" s="16" t="n">
        <v>42277</v>
      </c>
      <c r="U586" s="6" t="s">
        <v>13356</v>
      </c>
      <c r="V586" s="6" t="s">
        <v>81</v>
      </c>
      <c r="W586" s="6" t="s">
        <v>81</v>
      </c>
      <c r="X586" s="6" t="s">
        <v>81</v>
      </c>
      <c r="Y586" s="21" t="s">
        <v>81</v>
      </c>
      <c r="Z586" s="6" t="s">
        <v>81</v>
      </c>
      <c r="AA586" s="6" t="s">
        <v>81</v>
      </c>
      <c r="AB586" s="6" t="s">
        <v>81</v>
      </c>
      <c r="AC586" s="6" t="s">
        <v>81</v>
      </c>
      <c r="AD586" s="21" t="s">
        <v>81</v>
      </c>
      <c r="AE586" s="6" t="s">
        <v>81</v>
      </c>
      <c r="AF586" s="6" t="s">
        <v>81</v>
      </c>
      <c r="AG586" s="6" t="s">
        <v>81</v>
      </c>
      <c r="AH586" s="6" t="s">
        <v>15174</v>
      </c>
      <c r="AI586" s="6" t="s">
        <v>81</v>
      </c>
      <c r="AJ586" s="6" t="s">
        <v>17670</v>
      </c>
      <c r="AK586" s="6" t="s">
        <v>18380</v>
      </c>
      <c r="AL586" s="6" t="s">
        <v>18444</v>
      </c>
      <c r="AM586" s="6" t="s">
        <v>18837</v>
      </c>
      <c r="AN586" s="6" t="s">
        <v>19686</v>
      </c>
      <c r="AO586" s="6" t="s">
        <v>19817</v>
      </c>
      <c r="AP586" s="6" t="s">
        <v>15174</v>
      </c>
      <c r="AQ586" s="6" t="s">
        <v>81</v>
      </c>
      <c r="AR586" s="6" t="s">
        <v>17670</v>
      </c>
      <c r="AS586" s="6" t="s">
        <v>18380</v>
      </c>
      <c r="AT586" s="6" t="s">
        <v>18444</v>
      </c>
      <c r="AU586" s="6" t="s">
        <v>18837</v>
      </c>
      <c r="AV586" s="6" t="s">
        <v>81</v>
      </c>
      <c r="AW586" s="6" t="s">
        <v>81</v>
      </c>
      <c r="AX586" s="6" t="s">
        <v>21120</v>
      </c>
      <c r="AY586" s="6" t="s">
        <v>22780</v>
      </c>
      <c r="AZ586" s="6" t="s">
        <v>81</v>
      </c>
      <c r="BA586" s="6" t="s">
        <v>81</v>
      </c>
      <c r="BB586" s="24" t="n">
        <v>209</v>
      </c>
      <c r="BC586" s="26"/>
      <c r="BD586" s="26"/>
      <c r="BE586" s="26"/>
      <c r="BF586" s="26"/>
      <c r="BG586" s="26"/>
      <c r="BH586" s="26"/>
      <c r="BI586" s="26"/>
      <c r="BJ586" s="26"/>
      <c r="BK586" s="26"/>
      <c r="BL586" s="26"/>
      <c r="BM586" s="26"/>
      <c r="BN586" s="26"/>
      <c r="BO586" s="26"/>
      <c r="BP586" s="16" t="n">
        <v>45684</v>
      </c>
      <c r="BQ586" s="28" t="str">
        <f>HYPERLINK("https://organic.ams.usda.gov/Integrity/Certificate.aspx?cid=68&amp;nopid=8210002590")</f>
        <v>https://organic.ams.usda.gov/Integrity/Certificate.aspx?cid=68&amp;nopid=8210002590</v>
      </c>
    </row>
    <row r="587">
      <c r="A587" t="s">
        <v>3</v>
      </c>
      <c r="B587" s="6" t="s">
        <v>13</v>
      </c>
      <c r="C587" s="6" t="s">
        <v>60</v>
      </c>
      <c r="D587" s="6" t="s">
        <v>106</v>
      </c>
      <c r="E587" s="10" t="s">
        <v>728</v>
      </c>
      <c r="F587" s="6" t="s">
        <v>3461</v>
      </c>
      <c r="G587" s="6" t="s">
        <v>81</v>
      </c>
      <c r="H587" s="6" t="s">
        <v>6423</v>
      </c>
      <c r="I587" s="6" t="s">
        <v>8513</v>
      </c>
      <c r="J587" s="6" t="s">
        <v>9669</v>
      </c>
      <c r="K587" s="6" t="s">
        <v>10886</v>
      </c>
      <c r="L587" s="16" t="n">
        <v>40118</v>
      </c>
      <c r="M587" s="16" t="n">
        <v>45748</v>
      </c>
      <c r="N587" s="6" t="s">
        <v>10886</v>
      </c>
      <c r="O587" s="16" t="n">
        <v>40118</v>
      </c>
      <c r="P587" s="6" t="s">
        <v>11248</v>
      </c>
      <c r="Q587" s="6" t="s">
        <v>81</v>
      </c>
      <c r="R587" s="6" t="s">
        <v>12584</v>
      </c>
      <c r="S587" s="6" t="s">
        <v>10886</v>
      </c>
      <c r="T587" s="16" t="n">
        <v>40118</v>
      </c>
      <c r="U587" s="6" t="s">
        <v>13381</v>
      </c>
      <c r="V587" s="6" t="s">
        <v>81</v>
      </c>
      <c r="W587" s="6" t="s">
        <v>12584</v>
      </c>
      <c r="X587" s="6" t="s">
        <v>81</v>
      </c>
      <c r="Y587" s="21" t="s">
        <v>81</v>
      </c>
      <c r="Z587" s="6" t="s">
        <v>81</v>
      </c>
      <c r="AA587" s="6" t="s">
        <v>81</v>
      </c>
      <c r="AB587" s="6" t="s">
        <v>81</v>
      </c>
      <c r="AC587" s="6" t="s">
        <v>81</v>
      </c>
      <c r="AD587" s="21" t="s">
        <v>81</v>
      </c>
      <c r="AE587" s="6" t="s">
        <v>81</v>
      </c>
      <c r="AF587" s="6" t="s">
        <v>81</v>
      </c>
      <c r="AG587" s="6" t="s">
        <v>81</v>
      </c>
      <c r="AH587" s="6" t="s">
        <v>15175</v>
      </c>
      <c r="AI587" s="6" t="s">
        <v>81</v>
      </c>
      <c r="AJ587" s="6" t="s">
        <v>17324</v>
      </c>
      <c r="AK587" s="6" t="s">
        <v>18379</v>
      </c>
      <c r="AL587" s="6" t="s">
        <v>18444</v>
      </c>
      <c r="AM587" s="6" t="s">
        <v>18754</v>
      </c>
      <c r="AN587" s="6" t="s">
        <v>19637</v>
      </c>
      <c r="AO587" s="6" t="s">
        <v>19723</v>
      </c>
      <c r="AP587" s="6" t="s">
        <v>15175</v>
      </c>
      <c r="AQ587" s="6" t="s">
        <v>81</v>
      </c>
      <c r="AR587" s="6" t="s">
        <v>17324</v>
      </c>
      <c r="AS587" s="6" t="s">
        <v>18379</v>
      </c>
      <c r="AT587" s="6" t="s">
        <v>18444</v>
      </c>
      <c r="AU587" s="6" t="s">
        <v>18754</v>
      </c>
      <c r="AV587" s="6" t="s">
        <v>81</v>
      </c>
      <c r="AW587" s="6" t="s">
        <v>81</v>
      </c>
      <c r="AX587" s="6" t="s">
        <v>21121</v>
      </c>
      <c r="AY587" s="6" t="s">
        <v>81</v>
      </c>
      <c r="AZ587" s="6" t="s">
        <v>81</v>
      </c>
      <c r="BA587" s="6" t="s">
        <v>81</v>
      </c>
      <c r="BB587" s="24" t="n">
        <v>120</v>
      </c>
      <c r="BC587" s="26"/>
      <c r="BD587" s="26"/>
      <c r="BE587" s="26"/>
      <c r="BF587" s="26" t="s">
        <v>23900</v>
      </c>
      <c r="BG587" s="26"/>
      <c r="BH587" s="26"/>
      <c r="BI587" s="26"/>
      <c r="BJ587" s="26"/>
      <c r="BK587" s="26"/>
      <c r="BL587" s="26"/>
      <c r="BM587" s="26"/>
      <c r="BN587" s="26"/>
      <c r="BO587" s="26"/>
      <c r="BP587" s="16" t="n">
        <v>45663</v>
      </c>
      <c r="BQ587" s="28" t="str">
        <f>HYPERLINK("https://organic.ams.usda.gov/Integrity/Certificate.aspx?cid=72&amp;nopid=5870001623")</f>
        <v>https://organic.ams.usda.gov/Integrity/Certificate.aspx?cid=72&amp;nopid=5870001623</v>
      </c>
    </row>
    <row r="588">
      <c r="A588" t="s">
        <v>3</v>
      </c>
      <c r="B588" s="6" t="s">
        <v>8</v>
      </c>
      <c r="C588" s="6" t="s">
        <v>55</v>
      </c>
      <c r="D588" s="6" t="s">
        <v>101</v>
      </c>
      <c r="E588" s="10" t="s">
        <v>729</v>
      </c>
      <c r="F588" s="6" t="s">
        <v>3462</v>
      </c>
      <c r="G588" s="6" t="s">
        <v>81</v>
      </c>
      <c r="H588" s="6" t="s">
        <v>6424</v>
      </c>
      <c r="I588" s="6" t="s">
        <v>8513</v>
      </c>
      <c r="J588" s="6" t="s">
        <v>9671</v>
      </c>
      <c r="K588" s="6" t="s">
        <v>10886</v>
      </c>
      <c r="L588" s="16" t="n">
        <v>40779</v>
      </c>
      <c r="M588" s="16" t="n">
        <v>45689</v>
      </c>
      <c r="N588" s="6" t="s">
        <v>10886</v>
      </c>
      <c r="O588" s="16" t="n">
        <v>40779</v>
      </c>
      <c r="P588" s="6" t="s">
        <v>11249</v>
      </c>
      <c r="Q588" s="6" t="s">
        <v>81</v>
      </c>
      <c r="R588" s="6" t="s">
        <v>6424</v>
      </c>
      <c r="S588" s="6" t="s">
        <v>10886</v>
      </c>
      <c r="T588" s="16" t="n">
        <v>40779</v>
      </c>
      <c r="U588" s="6" t="s">
        <v>13286</v>
      </c>
      <c r="V588" s="6" t="s">
        <v>81</v>
      </c>
      <c r="W588" s="6" t="s">
        <v>6424</v>
      </c>
      <c r="X588" s="6" t="s">
        <v>81</v>
      </c>
      <c r="Y588" s="21" t="s">
        <v>81</v>
      </c>
      <c r="Z588" s="6" t="s">
        <v>81</v>
      </c>
      <c r="AA588" s="6" t="s">
        <v>81</v>
      </c>
      <c r="AB588" s="6" t="s">
        <v>81</v>
      </c>
      <c r="AC588" s="6" t="s">
        <v>81</v>
      </c>
      <c r="AD588" s="21" t="s">
        <v>81</v>
      </c>
      <c r="AE588" s="6" t="s">
        <v>81</v>
      </c>
      <c r="AF588" s="6" t="s">
        <v>81</v>
      </c>
      <c r="AG588" s="6" t="s">
        <v>81</v>
      </c>
      <c r="AH588" s="6" t="s">
        <v>15176</v>
      </c>
      <c r="AI588" s="6" t="s">
        <v>81</v>
      </c>
      <c r="AJ588" s="6" t="s">
        <v>17339</v>
      </c>
      <c r="AK588" s="6" t="s">
        <v>18377</v>
      </c>
      <c r="AL588" s="6" t="s">
        <v>18444</v>
      </c>
      <c r="AM588" s="6" t="s">
        <v>18493</v>
      </c>
      <c r="AN588" s="6" t="s">
        <v>7195</v>
      </c>
      <c r="AO588" s="6" t="s">
        <v>19737</v>
      </c>
      <c r="AP588" s="6" t="s">
        <v>81</v>
      </c>
      <c r="AQ588" s="6" t="s">
        <v>81</v>
      </c>
      <c r="AR588" s="6" t="s">
        <v>81</v>
      </c>
      <c r="AS588" s="6" t="s">
        <v>81</v>
      </c>
      <c r="AT588" s="6" t="s">
        <v>81</v>
      </c>
      <c r="AU588" s="6" t="s">
        <v>81</v>
      </c>
      <c r="AV588" s="6" t="s">
        <v>81</v>
      </c>
      <c r="AW588" s="6" t="s">
        <v>81</v>
      </c>
      <c r="AX588" s="6" t="s">
        <v>81</v>
      </c>
      <c r="AY588" s="6" t="s">
        <v>81</v>
      </c>
      <c r="AZ588" s="6" t="s">
        <v>81</v>
      </c>
      <c r="BA588" s="6" t="s">
        <v>23819</v>
      </c>
      <c r="BB588" s="24" t="n">
        <v>84</v>
      </c>
      <c r="BC588" s="26"/>
      <c r="BD588" s="26"/>
      <c r="BE588" s="26"/>
      <c r="BF588" s="26" t="s">
        <v>23900</v>
      </c>
      <c r="BG588" s="26"/>
      <c r="BH588" s="26"/>
      <c r="BI588" s="26"/>
      <c r="BJ588" s="26"/>
      <c r="BK588" s="26"/>
      <c r="BL588" s="26"/>
      <c r="BM588" s="26"/>
      <c r="BN588" s="26"/>
      <c r="BO588" s="26"/>
      <c r="BP588" s="16" t="n">
        <v>45727</v>
      </c>
      <c r="BQ588" s="28" t="str">
        <f>HYPERLINK("https://organic.ams.usda.gov/Integrity/Certificate.aspx?cid=45&amp;nopid=9950004523")</f>
        <v>https://organic.ams.usda.gov/Integrity/Certificate.aspx?cid=45&amp;nopid=9950004523</v>
      </c>
    </row>
    <row r="589">
      <c r="A589" t="s">
        <v>3</v>
      </c>
      <c r="B589" s="6" t="s">
        <v>29</v>
      </c>
      <c r="C589" s="6" t="s">
        <v>76</v>
      </c>
      <c r="D589" s="6" t="s">
        <v>122</v>
      </c>
      <c r="E589" s="10" t="s">
        <v>730</v>
      </c>
      <c r="F589" s="6" t="s">
        <v>3463</v>
      </c>
      <c r="G589" s="6" t="s">
        <v>5651</v>
      </c>
      <c r="H589" s="6" t="s">
        <v>6425</v>
      </c>
      <c r="I589" s="6" t="s">
        <v>8749</v>
      </c>
      <c r="J589" s="6" t="s">
        <v>9665</v>
      </c>
      <c r="K589" s="6" t="s">
        <v>10886</v>
      </c>
      <c r="L589" s="16" t="n">
        <v>41878</v>
      </c>
      <c r="M589" s="16" t="n">
        <v>45870</v>
      </c>
      <c r="N589" s="6" t="s">
        <v>10886</v>
      </c>
      <c r="O589" s="16" t="n">
        <v>41878</v>
      </c>
      <c r="P589" s="6" t="s">
        <v>11250</v>
      </c>
      <c r="Q589" s="6" t="s">
        <v>81</v>
      </c>
      <c r="R589" s="6" t="s">
        <v>12585</v>
      </c>
      <c r="S589" s="6" t="s">
        <v>10886</v>
      </c>
      <c r="T589" s="16" t="n">
        <v>41878</v>
      </c>
      <c r="U589" s="6" t="s">
        <v>13382</v>
      </c>
      <c r="V589" s="6" t="s">
        <v>81</v>
      </c>
      <c r="W589" s="6" t="s">
        <v>12585</v>
      </c>
      <c r="X589" s="6" t="s">
        <v>81</v>
      </c>
      <c r="Y589" s="21" t="s">
        <v>81</v>
      </c>
      <c r="Z589" s="6" t="s">
        <v>81</v>
      </c>
      <c r="AA589" s="6" t="s">
        <v>81</v>
      </c>
      <c r="AB589" s="6" t="s">
        <v>81</v>
      </c>
      <c r="AC589" s="6" t="s">
        <v>81</v>
      </c>
      <c r="AD589" s="21" t="s">
        <v>81</v>
      </c>
      <c r="AE589" s="6" t="s">
        <v>81</v>
      </c>
      <c r="AF589" s="6" t="s">
        <v>81</v>
      </c>
      <c r="AG589" s="6" t="s">
        <v>81</v>
      </c>
      <c r="AH589" s="6" t="s">
        <v>15177</v>
      </c>
      <c r="AI589" s="6" t="s">
        <v>81</v>
      </c>
      <c r="AJ589" s="6" t="s">
        <v>17324</v>
      </c>
      <c r="AK589" s="6" t="s">
        <v>18378</v>
      </c>
      <c r="AL589" s="6" t="s">
        <v>18444</v>
      </c>
      <c r="AM589" s="6" t="s">
        <v>18476</v>
      </c>
      <c r="AN589" s="6" t="s">
        <v>19640</v>
      </c>
      <c r="AO589" s="6" t="s">
        <v>19726</v>
      </c>
      <c r="AP589" s="6" t="s">
        <v>81</v>
      </c>
      <c r="AQ589" s="6" t="s">
        <v>81</v>
      </c>
      <c r="AR589" s="6" t="s">
        <v>81</v>
      </c>
      <c r="AS589" s="6" t="s">
        <v>81</v>
      </c>
      <c r="AT589" s="6" t="s">
        <v>81</v>
      </c>
      <c r="AU589" s="6" t="s">
        <v>81</v>
      </c>
      <c r="AV589" s="6" t="s">
        <v>81</v>
      </c>
      <c r="AW589" s="6" t="s">
        <v>81</v>
      </c>
      <c r="AX589" s="6" t="s">
        <v>21122</v>
      </c>
      <c r="AY589" s="6" t="s">
        <v>81</v>
      </c>
      <c r="AZ589" s="6" t="s">
        <v>81</v>
      </c>
      <c r="BA589" s="6" t="s">
        <v>81</v>
      </c>
      <c r="BB589" s="24" t="n">
        <v>90</v>
      </c>
      <c r="BC589" s="26"/>
      <c r="BD589" s="26"/>
      <c r="BE589" s="26"/>
      <c r="BF589" s="26" t="s">
        <v>23900</v>
      </c>
      <c r="BG589" s="26"/>
      <c r="BH589" s="26"/>
      <c r="BI589" s="26"/>
      <c r="BJ589" s="26"/>
      <c r="BK589" s="26"/>
      <c r="BL589" s="26"/>
      <c r="BM589" s="26"/>
      <c r="BN589" s="26"/>
      <c r="BO589" s="26"/>
      <c r="BP589" s="16" t="n">
        <v>45737</v>
      </c>
      <c r="BQ589" s="28" t="str">
        <f>HYPERLINK("https://organic.ams.usda.gov/Integrity/Certificate.aspx?cid=31&amp;nopid=3928971417")</f>
        <v>https://organic.ams.usda.gov/Integrity/Certificate.aspx?cid=31&amp;nopid=3928971417</v>
      </c>
    </row>
    <row r="590">
      <c r="A590" t="s">
        <v>3</v>
      </c>
      <c r="B590" s="6" t="s">
        <v>7</v>
      </c>
      <c r="C590" s="6" t="s">
        <v>54</v>
      </c>
      <c r="D590" s="6" t="s">
        <v>100</v>
      </c>
      <c r="E590" s="10" t="s">
        <v>731</v>
      </c>
      <c r="F590" s="6" t="s">
        <v>3464</v>
      </c>
      <c r="G590" s="6" t="s">
        <v>81</v>
      </c>
      <c r="H590" s="6" t="s">
        <v>6426</v>
      </c>
      <c r="I590" s="6" t="s">
        <v>8513</v>
      </c>
      <c r="J590" s="6" t="s">
        <v>9936</v>
      </c>
      <c r="K590" s="6" t="s">
        <v>10886</v>
      </c>
      <c r="L590" s="16" t="n">
        <v>45022</v>
      </c>
      <c r="M590" s="16" t="n">
        <v>45716</v>
      </c>
      <c r="N590" s="6" t="s">
        <v>10886</v>
      </c>
      <c r="O590" s="16" t="n">
        <v>45022</v>
      </c>
      <c r="P590" s="6" t="s">
        <v>11251</v>
      </c>
      <c r="Q590" s="6" t="s">
        <v>81</v>
      </c>
      <c r="R590" s="6" t="s">
        <v>81</v>
      </c>
      <c r="S590" s="6" t="s">
        <v>10886</v>
      </c>
      <c r="T590" s="16" t="n">
        <v>45022</v>
      </c>
      <c r="U590" s="6" t="s">
        <v>13169</v>
      </c>
      <c r="V590" s="6" t="s">
        <v>81</v>
      </c>
      <c r="W590" s="6" t="s">
        <v>81</v>
      </c>
      <c r="X590" s="6" t="s">
        <v>81</v>
      </c>
      <c r="Y590" s="21" t="s">
        <v>81</v>
      </c>
      <c r="Z590" s="6" t="s">
        <v>81</v>
      </c>
      <c r="AA590" s="6" t="s">
        <v>81</v>
      </c>
      <c r="AB590" s="6" t="s">
        <v>81</v>
      </c>
      <c r="AC590" s="6" t="s">
        <v>81</v>
      </c>
      <c r="AD590" s="21" t="s">
        <v>81</v>
      </c>
      <c r="AE590" s="6" t="s">
        <v>81</v>
      </c>
      <c r="AF590" s="6" t="s">
        <v>81</v>
      </c>
      <c r="AG590" s="6" t="s">
        <v>81</v>
      </c>
      <c r="AH590" s="6" t="s">
        <v>15178</v>
      </c>
      <c r="AI590" s="6" t="s">
        <v>81</v>
      </c>
      <c r="AJ590" s="6" t="s">
        <v>17482</v>
      </c>
      <c r="AK590" s="6" t="s">
        <v>17712</v>
      </c>
      <c r="AL590" s="6" t="s">
        <v>18444</v>
      </c>
      <c r="AM590" s="6" t="s">
        <v>18590</v>
      </c>
      <c r="AN590" s="6" t="s">
        <v>81</v>
      </c>
      <c r="AO590" s="6" t="s">
        <v>81</v>
      </c>
      <c r="AP590" s="6" t="s">
        <v>15178</v>
      </c>
      <c r="AQ590" s="6" t="s">
        <v>81</v>
      </c>
      <c r="AR590" s="6" t="s">
        <v>17482</v>
      </c>
      <c r="AS590" s="6" t="s">
        <v>17712</v>
      </c>
      <c r="AT590" s="6" t="s">
        <v>18444</v>
      </c>
      <c r="AU590" s="6" t="s">
        <v>18590</v>
      </c>
      <c r="AV590" s="6" t="s">
        <v>81</v>
      </c>
      <c r="AW590" s="6" t="s">
        <v>81</v>
      </c>
      <c r="AX590" s="6" t="s">
        <v>81</v>
      </c>
      <c r="AY590" s="6" t="s">
        <v>81</v>
      </c>
      <c r="AZ590" s="6" t="s">
        <v>81</v>
      </c>
      <c r="BA590" s="6" t="s">
        <v>81</v>
      </c>
      <c r="BB590" s="24" t="n">
        <v>58</v>
      </c>
      <c r="BC590" s="26"/>
      <c r="BD590" s="26"/>
      <c r="BE590" s="26"/>
      <c r="BF590" s="26" t="s">
        <v>23900</v>
      </c>
      <c r="BG590" s="26"/>
      <c r="BH590" s="26"/>
      <c r="BI590" s="26"/>
      <c r="BJ590" s="26"/>
      <c r="BK590" s="26"/>
      <c r="BL590" s="26"/>
      <c r="BM590" s="26"/>
      <c r="BN590" s="26"/>
      <c r="BO590" s="26"/>
      <c r="BP590" s="16" t="n">
        <v>45595</v>
      </c>
      <c r="BQ590" s="28" t="str">
        <f>HYPERLINK("https://organic.ams.usda.gov/Integrity/Certificate.aspx?cid=57&amp;nopid=3252023004")</f>
        <v>https://organic.ams.usda.gov/Integrity/Certificate.aspx?cid=57&amp;nopid=3252023004</v>
      </c>
    </row>
    <row r="591">
      <c r="A591" t="s">
        <v>3</v>
      </c>
      <c r="B591" s="6" t="s">
        <v>7</v>
      </c>
      <c r="C591" s="6" t="s">
        <v>54</v>
      </c>
      <c r="D591" s="6" t="s">
        <v>100</v>
      </c>
      <c r="E591" s="10" t="s">
        <v>732</v>
      </c>
      <c r="F591" s="6" t="s">
        <v>3465</v>
      </c>
      <c r="G591" s="6" t="s">
        <v>81</v>
      </c>
      <c r="H591" s="6" t="s">
        <v>6427</v>
      </c>
      <c r="I591" s="6" t="s">
        <v>8513</v>
      </c>
      <c r="J591" s="6" t="s">
        <v>9677</v>
      </c>
      <c r="K591" s="6" t="s">
        <v>10886</v>
      </c>
      <c r="L591" s="16" t="n">
        <v>41054</v>
      </c>
      <c r="M591" s="16" t="n">
        <v>45716</v>
      </c>
      <c r="N591" s="6" t="s">
        <v>10886</v>
      </c>
      <c r="O591" s="16" t="n">
        <v>41054</v>
      </c>
      <c r="P591" s="6" t="s">
        <v>11252</v>
      </c>
      <c r="Q591" s="6" t="s">
        <v>81</v>
      </c>
      <c r="R591" s="6" t="s">
        <v>81</v>
      </c>
      <c r="S591" s="6" t="s">
        <v>10886</v>
      </c>
      <c r="T591" s="16" t="n">
        <v>41054</v>
      </c>
      <c r="U591" s="6" t="s">
        <v>13160</v>
      </c>
      <c r="V591" s="6" t="s">
        <v>81</v>
      </c>
      <c r="W591" s="6" t="s">
        <v>81</v>
      </c>
      <c r="X591" s="6" t="s">
        <v>81</v>
      </c>
      <c r="Y591" s="21" t="s">
        <v>81</v>
      </c>
      <c r="Z591" s="6" t="s">
        <v>81</v>
      </c>
      <c r="AA591" s="6" t="s">
        <v>81</v>
      </c>
      <c r="AB591" s="6" t="s">
        <v>81</v>
      </c>
      <c r="AC591" s="6" t="s">
        <v>81</v>
      </c>
      <c r="AD591" s="21" t="s">
        <v>81</v>
      </c>
      <c r="AE591" s="6" t="s">
        <v>81</v>
      </c>
      <c r="AF591" s="6" t="s">
        <v>81</v>
      </c>
      <c r="AG591" s="6" t="s">
        <v>81</v>
      </c>
      <c r="AH591" s="6" t="s">
        <v>15179</v>
      </c>
      <c r="AI591" s="6" t="s">
        <v>81</v>
      </c>
      <c r="AJ591" s="6" t="s">
        <v>17341</v>
      </c>
      <c r="AK591" s="6" t="s">
        <v>17712</v>
      </c>
      <c r="AL591" s="6" t="s">
        <v>18444</v>
      </c>
      <c r="AM591" s="6" t="s">
        <v>18495</v>
      </c>
      <c r="AN591" s="6" t="s">
        <v>7195</v>
      </c>
      <c r="AO591" s="6" t="s">
        <v>19735</v>
      </c>
      <c r="AP591" s="6" t="s">
        <v>15179</v>
      </c>
      <c r="AQ591" s="6" t="s">
        <v>81</v>
      </c>
      <c r="AR591" s="6" t="s">
        <v>17341</v>
      </c>
      <c r="AS591" s="6" t="s">
        <v>17712</v>
      </c>
      <c r="AT591" s="6" t="s">
        <v>18444</v>
      </c>
      <c r="AU591" s="6" t="s">
        <v>18495</v>
      </c>
      <c r="AV591" s="6" t="s">
        <v>81</v>
      </c>
      <c r="AW591" s="6" t="s">
        <v>81</v>
      </c>
      <c r="AX591" s="6" t="s">
        <v>21123</v>
      </c>
      <c r="AY591" s="6" t="s">
        <v>81</v>
      </c>
      <c r="AZ591" s="6" t="s">
        <v>81</v>
      </c>
      <c r="BA591" s="6" t="s">
        <v>81</v>
      </c>
      <c r="BB591" s="24" t="n">
        <v>209</v>
      </c>
      <c r="BC591" s="26"/>
      <c r="BD591" s="26"/>
      <c r="BE591" s="26"/>
      <c r="BF591" s="26"/>
      <c r="BG591" s="26"/>
      <c r="BH591" s="26"/>
      <c r="BI591" s="26"/>
      <c r="BJ591" s="26"/>
      <c r="BK591" s="26"/>
      <c r="BL591" s="26"/>
      <c r="BM591" s="26"/>
      <c r="BN591" s="26"/>
      <c r="BO591" s="26"/>
      <c r="BP591" s="16" t="n">
        <v>45595</v>
      </c>
      <c r="BQ591" s="28" t="str">
        <f>HYPERLINK("https://organic.ams.usda.gov/Integrity/Certificate.aspx?cid=57&amp;nopid=3252012032")</f>
        <v>https://organic.ams.usda.gov/Integrity/Certificate.aspx?cid=57&amp;nopid=3252012032</v>
      </c>
    </row>
    <row r="592">
      <c r="A592" t="s">
        <v>3</v>
      </c>
      <c r="B592" s="6" t="s">
        <v>9</v>
      </c>
      <c r="C592" s="6" t="s">
        <v>56</v>
      </c>
      <c r="D592" s="6" t="s">
        <v>102</v>
      </c>
      <c r="E592" s="10" t="s">
        <v>733</v>
      </c>
      <c r="F592" s="6" t="s">
        <v>3466</v>
      </c>
      <c r="G592" s="6" t="s">
        <v>81</v>
      </c>
      <c r="H592" s="6" t="s">
        <v>6428</v>
      </c>
      <c r="I592" s="6" t="s">
        <v>8513</v>
      </c>
      <c r="J592" s="6" t="s">
        <v>9665</v>
      </c>
      <c r="K592" s="6" t="s">
        <v>10886</v>
      </c>
      <c r="L592" s="16" t="n">
        <v>42137</v>
      </c>
      <c r="M592" s="16" t="n">
        <v>46113</v>
      </c>
      <c r="N592" s="6" t="s">
        <v>10886</v>
      </c>
      <c r="O592" s="16" t="n">
        <v>42137</v>
      </c>
      <c r="P592" s="6" t="s">
        <v>11253</v>
      </c>
      <c r="Q592" s="6" t="s">
        <v>81</v>
      </c>
      <c r="R592" s="6" t="s">
        <v>12586</v>
      </c>
      <c r="S592" s="6" t="s">
        <v>10886</v>
      </c>
      <c r="T592" s="16" t="n">
        <v>42137</v>
      </c>
      <c r="U592" s="6" t="s">
        <v>13383</v>
      </c>
      <c r="V592" s="6" t="s">
        <v>81</v>
      </c>
      <c r="W592" s="6" t="s">
        <v>12586</v>
      </c>
      <c r="X592" s="6" t="s">
        <v>81</v>
      </c>
      <c r="Y592" s="21" t="s">
        <v>81</v>
      </c>
      <c r="Z592" s="6" t="s">
        <v>81</v>
      </c>
      <c r="AA592" s="6" t="s">
        <v>81</v>
      </c>
      <c r="AB592" s="6" t="s">
        <v>81</v>
      </c>
      <c r="AC592" s="6" t="s">
        <v>81</v>
      </c>
      <c r="AD592" s="21" t="s">
        <v>81</v>
      </c>
      <c r="AE592" s="6" t="s">
        <v>81</v>
      </c>
      <c r="AF592" s="6" t="s">
        <v>81</v>
      </c>
      <c r="AG592" s="6" t="s">
        <v>81</v>
      </c>
      <c r="AH592" s="6" t="s">
        <v>15180</v>
      </c>
      <c r="AI592" s="6" t="s">
        <v>81</v>
      </c>
      <c r="AJ592" s="6" t="s">
        <v>17377</v>
      </c>
      <c r="AK592" s="6" t="s">
        <v>18377</v>
      </c>
      <c r="AL592" s="6" t="s">
        <v>18444</v>
      </c>
      <c r="AM592" s="6" t="s">
        <v>18530</v>
      </c>
      <c r="AN592" s="6" t="s">
        <v>19634</v>
      </c>
      <c r="AO592" s="6" t="s">
        <v>19764</v>
      </c>
      <c r="AP592" s="6" t="s">
        <v>81</v>
      </c>
      <c r="AQ592" s="6" t="s">
        <v>81</v>
      </c>
      <c r="AR592" s="6" t="s">
        <v>81</v>
      </c>
      <c r="AS592" s="6" t="s">
        <v>81</v>
      </c>
      <c r="AT592" s="6" t="s">
        <v>81</v>
      </c>
      <c r="AU592" s="6" t="s">
        <v>81</v>
      </c>
      <c r="AV592" s="6" t="s">
        <v>81</v>
      </c>
      <c r="AW592" s="6" t="s">
        <v>81</v>
      </c>
      <c r="AX592" s="6" t="s">
        <v>81</v>
      </c>
      <c r="AY592" s="6" t="s">
        <v>81</v>
      </c>
      <c r="AZ592" s="6" t="s">
        <v>81</v>
      </c>
      <c r="BA592" s="6" t="s">
        <v>81</v>
      </c>
      <c r="BB592" s="24" t="n">
        <v>144</v>
      </c>
      <c r="BC592" s="26"/>
      <c r="BD592" s="26"/>
      <c r="BE592" s="26"/>
      <c r="BF592" s="26"/>
      <c r="BG592" s="26"/>
      <c r="BH592" s="26"/>
      <c r="BI592" s="26"/>
      <c r="BJ592" s="26"/>
      <c r="BK592" s="26"/>
      <c r="BL592" s="26"/>
      <c r="BM592" s="26"/>
      <c r="BN592" s="26"/>
      <c r="BO592" s="26"/>
      <c r="BP592" s="16" t="n">
        <v>45738</v>
      </c>
      <c r="BQ592" s="28" t="str">
        <f>HYPERLINK("https://organic.ams.usda.gov/Integrity/Certificate.aspx?cid=52&amp;nopid=8431500947")</f>
        <v>https://organic.ams.usda.gov/Integrity/Certificate.aspx?cid=52&amp;nopid=8431500947</v>
      </c>
    </row>
    <row r="593">
      <c r="A593" t="s">
        <v>3</v>
      </c>
      <c r="B593" s="6" t="s">
        <v>29</v>
      </c>
      <c r="C593" s="6" t="s">
        <v>76</v>
      </c>
      <c r="D593" s="6" t="s">
        <v>122</v>
      </c>
      <c r="E593" s="10" t="s">
        <v>734</v>
      </c>
      <c r="F593" s="6" t="s">
        <v>3467</v>
      </c>
      <c r="G593" s="6" t="s">
        <v>81</v>
      </c>
      <c r="H593" s="6" t="s">
        <v>6429</v>
      </c>
      <c r="I593" s="6" t="s">
        <v>8750</v>
      </c>
      <c r="J593" s="6" t="s">
        <v>9665</v>
      </c>
      <c r="K593" s="6" t="s">
        <v>10886</v>
      </c>
      <c r="L593" s="16" t="n">
        <v>38887</v>
      </c>
      <c r="M593" s="16" t="n">
        <v>45870</v>
      </c>
      <c r="N593" s="6" t="s">
        <v>10886</v>
      </c>
      <c r="O593" s="16" t="n">
        <v>38887</v>
      </c>
      <c r="P593" s="6" t="s">
        <v>11254</v>
      </c>
      <c r="Q593" s="6" t="s">
        <v>81</v>
      </c>
      <c r="R593" s="6" t="s">
        <v>12587</v>
      </c>
      <c r="S593" s="6" t="s">
        <v>10886</v>
      </c>
      <c r="T593" s="16" t="n">
        <v>38887</v>
      </c>
      <c r="U593" s="6" t="s">
        <v>13384</v>
      </c>
      <c r="V593" s="6" t="s">
        <v>81</v>
      </c>
      <c r="W593" s="6" t="s">
        <v>12587</v>
      </c>
      <c r="X593" s="6" t="s">
        <v>81</v>
      </c>
      <c r="Y593" s="21" t="s">
        <v>81</v>
      </c>
      <c r="Z593" s="6" t="s">
        <v>81</v>
      </c>
      <c r="AA593" s="6" t="s">
        <v>81</v>
      </c>
      <c r="AB593" s="6" t="s">
        <v>81</v>
      </c>
      <c r="AC593" s="6" t="s">
        <v>81</v>
      </c>
      <c r="AD593" s="21" t="s">
        <v>81</v>
      </c>
      <c r="AE593" s="6" t="s">
        <v>81</v>
      </c>
      <c r="AF593" s="6" t="s">
        <v>81</v>
      </c>
      <c r="AG593" s="6" t="s">
        <v>81</v>
      </c>
      <c r="AH593" s="6" t="s">
        <v>15181</v>
      </c>
      <c r="AI593" s="6" t="s">
        <v>81</v>
      </c>
      <c r="AJ593" s="6" t="s">
        <v>17324</v>
      </c>
      <c r="AK593" s="6" t="s">
        <v>18378</v>
      </c>
      <c r="AL593" s="6" t="s">
        <v>18444</v>
      </c>
      <c r="AM593" s="6" t="s">
        <v>18476</v>
      </c>
      <c r="AN593" s="6" t="s">
        <v>19640</v>
      </c>
      <c r="AO593" s="6" t="s">
        <v>19726</v>
      </c>
      <c r="AP593" s="6" t="s">
        <v>81</v>
      </c>
      <c r="AQ593" s="6" t="s">
        <v>81</v>
      </c>
      <c r="AR593" s="6" t="s">
        <v>81</v>
      </c>
      <c r="AS593" s="6" t="s">
        <v>81</v>
      </c>
      <c r="AT593" s="6" t="s">
        <v>81</v>
      </c>
      <c r="AU593" s="6" t="s">
        <v>81</v>
      </c>
      <c r="AV593" s="6" t="s">
        <v>81</v>
      </c>
      <c r="AW593" s="6" t="s">
        <v>81</v>
      </c>
      <c r="AX593" s="6" t="s">
        <v>21124</v>
      </c>
      <c r="AY593" s="6" t="s">
        <v>81</v>
      </c>
      <c r="AZ593" s="6" t="s">
        <v>81</v>
      </c>
      <c r="BA593" s="6" t="s">
        <v>81</v>
      </c>
      <c r="BB593" s="24" t="n">
        <v>103</v>
      </c>
      <c r="BC593" s="26"/>
      <c r="BD593" s="26"/>
      <c r="BE593" s="26"/>
      <c r="BF593" s="26" t="s">
        <v>23900</v>
      </c>
      <c r="BG593" s="26"/>
      <c r="BH593" s="26"/>
      <c r="BI593" s="26"/>
      <c r="BJ593" s="26"/>
      <c r="BK593" s="26"/>
      <c r="BL593" s="26"/>
      <c r="BM593" s="26"/>
      <c r="BN593" s="26"/>
      <c r="BO593" s="26"/>
      <c r="BP593" s="16" t="n">
        <v>45737</v>
      </c>
      <c r="BQ593" s="28" t="str">
        <f>HYPERLINK("https://organic.ams.usda.gov/Integrity/Certificate.aspx?cid=31&amp;nopid=3920897545")</f>
        <v>https://organic.ams.usda.gov/Integrity/Certificate.aspx?cid=31&amp;nopid=3920897545</v>
      </c>
    </row>
    <row r="594">
      <c r="A594" t="s">
        <v>3</v>
      </c>
      <c r="B594" s="6" t="s">
        <v>7</v>
      </c>
      <c r="C594" s="6" t="s">
        <v>54</v>
      </c>
      <c r="D594" s="6" t="s">
        <v>100</v>
      </c>
      <c r="E594" s="10" t="s">
        <v>735</v>
      </c>
      <c r="F594" s="6" t="s">
        <v>3468</v>
      </c>
      <c r="G594" s="6" t="s">
        <v>81</v>
      </c>
      <c r="H594" s="6" t="s">
        <v>6430</v>
      </c>
      <c r="I594" s="6" t="s">
        <v>8513</v>
      </c>
      <c r="J594" s="6" t="s">
        <v>9727</v>
      </c>
      <c r="K594" s="6" t="s">
        <v>10886</v>
      </c>
      <c r="L594" s="16" t="n">
        <v>45533</v>
      </c>
      <c r="M594" s="16" t="n">
        <v>45716</v>
      </c>
      <c r="N594" s="6" t="s">
        <v>10886</v>
      </c>
      <c r="O594" s="16" t="n">
        <v>45532</v>
      </c>
      <c r="P594" s="6" t="s">
        <v>10944</v>
      </c>
      <c r="Q594" s="6" t="s">
        <v>81</v>
      </c>
      <c r="R594" s="6" t="s">
        <v>81</v>
      </c>
      <c r="S594" s="6" t="s">
        <v>10886</v>
      </c>
      <c r="T594" s="16" t="n">
        <v>45583</v>
      </c>
      <c r="U594" s="6" t="s">
        <v>13385</v>
      </c>
      <c r="V594" s="6" t="s">
        <v>81</v>
      </c>
      <c r="W594" s="6" t="s">
        <v>81</v>
      </c>
      <c r="X594" s="6" t="s">
        <v>81</v>
      </c>
      <c r="Y594" s="21" t="s">
        <v>81</v>
      </c>
      <c r="Z594" s="6" t="s">
        <v>81</v>
      </c>
      <c r="AA594" s="6" t="s">
        <v>81</v>
      </c>
      <c r="AB594" s="6" t="s">
        <v>81</v>
      </c>
      <c r="AC594" s="6" t="s">
        <v>81</v>
      </c>
      <c r="AD594" s="21" t="s">
        <v>81</v>
      </c>
      <c r="AE594" s="6" t="s">
        <v>81</v>
      </c>
      <c r="AF594" s="6" t="s">
        <v>81</v>
      </c>
      <c r="AG594" s="6" t="s">
        <v>81</v>
      </c>
      <c r="AH594" s="6" t="s">
        <v>15182</v>
      </c>
      <c r="AI594" s="6" t="s">
        <v>81</v>
      </c>
      <c r="AJ594" s="6" t="s">
        <v>17671</v>
      </c>
      <c r="AK594" s="6" t="s">
        <v>17712</v>
      </c>
      <c r="AL594" s="6" t="s">
        <v>18444</v>
      </c>
      <c r="AM594" s="6" t="s">
        <v>18838</v>
      </c>
      <c r="AN594" s="6" t="s">
        <v>81</v>
      </c>
      <c r="AO594" s="6" t="s">
        <v>81</v>
      </c>
      <c r="AP594" s="6" t="s">
        <v>15182</v>
      </c>
      <c r="AQ594" s="6" t="s">
        <v>81</v>
      </c>
      <c r="AR594" s="6" t="s">
        <v>17671</v>
      </c>
      <c r="AS594" s="6" t="s">
        <v>17712</v>
      </c>
      <c r="AT594" s="6" t="s">
        <v>18444</v>
      </c>
      <c r="AU594" s="6" t="s">
        <v>18838</v>
      </c>
      <c r="AV594" s="6" t="s">
        <v>81</v>
      </c>
      <c r="AW594" s="6" t="s">
        <v>81</v>
      </c>
      <c r="AX594" s="6" t="s">
        <v>81</v>
      </c>
      <c r="AY594" s="6" t="s">
        <v>81</v>
      </c>
      <c r="AZ594" s="6" t="s">
        <v>81</v>
      </c>
      <c r="BA594" s="6" t="s">
        <v>81</v>
      </c>
      <c r="BB594" s="24" t="n">
        <v>105</v>
      </c>
      <c r="BC594" s="26"/>
      <c r="BD594" s="26"/>
      <c r="BE594" s="26"/>
      <c r="BF594" s="26" t="s">
        <v>23900</v>
      </c>
      <c r="BG594" s="26"/>
      <c r="BH594" s="26"/>
      <c r="BI594" s="26"/>
      <c r="BJ594" s="26"/>
      <c r="BK594" s="26"/>
      <c r="BL594" s="26"/>
      <c r="BM594" s="26"/>
      <c r="BN594" s="26"/>
      <c r="BO594" s="26"/>
      <c r="BP594" s="16" t="n">
        <v>45595</v>
      </c>
      <c r="BQ594" s="28" t="str">
        <f>HYPERLINK("https://organic.ams.usda.gov/Integrity/Certificate.aspx?cid=57&amp;nopid=3252024045")</f>
        <v>https://organic.ams.usda.gov/Integrity/Certificate.aspx?cid=57&amp;nopid=3252024045</v>
      </c>
    </row>
    <row r="595">
      <c r="A595" t="s">
        <v>3</v>
      </c>
      <c r="B595" s="6" t="s">
        <v>13</v>
      </c>
      <c r="C595" s="6" t="s">
        <v>60</v>
      </c>
      <c r="D595" s="6" t="s">
        <v>106</v>
      </c>
      <c r="E595" s="10" t="s">
        <v>736</v>
      </c>
      <c r="F595" s="6" t="s">
        <v>3469</v>
      </c>
      <c r="G595" s="6" t="s">
        <v>81</v>
      </c>
      <c r="H595" s="6" t="s">
        <v>6431</v>
      </c>
      <c r="I595" s="6" t="s">
        <v>8751</v>
      </c>
      <c r="J595" s="6" t="s">
        <v>9665</v>
      </c>
      <c r="K595" s="6" t="s">
        <v>10886</v>
      </c>
      <c r="L595" s="16" t="n">
        <v>43829</v>
      </c>
      <c r="M595" s="16" t="n">
        <v>46113</v>
      </c>
      <c r="N595" s="6" t="s">
        <v>10886</v>
      </c>
      <c r="O595" s="16" t="n">
        <v>43829</v>
      </c>
      <c r="P595" s="6" t="s">
        <v>11255</v>
      </c>
      <c r="Q595" s="6" t="s">
        <v>81</v>
      </c>
      <c r="R595" s="6" t="s">
        <v>12588</v>
      </c>
      <c r="S595" s="6" t="s">
        <v>10886</v>
      </c>
      <c r="T595" s="16" t="n">
        <v>44957</v>
      </c>
      <c r="U595" s="6" t="s">
        <v>13386</v>
      </c>
      <c r="V595" s="6" t="s">
        <v>81</v>
      </c>
      <c r="W595" s="6" t="s">
        <v>12588</v>
      </c>
      <c r="X595" s="6" t="s">
        <v>81</v>
      </c>
      <c r="Y595" s="21" t="s">
        <v>81</v>
      </c>
      <c r="Z595" s="6" t="s">
        <v>81</v>
      </c>
      <c r="AA595" s="6" t="s">
        <v>81</v>
      </c>
      <c r="AB595" s="6" t="s">
        <v>81</v>
      </c>
      <c r="AC595" s="6" t="s">
        <v>81</v>
      </c>
      <c r="AD595" s="21" t="s">
        <v>81</v>
      </c>
      <c r="AE595" s="6" t="s">
        <v>81</v>
      </c>
      <c r="AF595" s="6" t="s">
        <v>81</v>
      </c>
      <c r="AG595" s="6" t="s">
        <v>81</v>
      </c>
      <c r="AH595" s="6" t="s">
        <v>15183</v>
      </c>
      <c r="AI595" s="6" t="s">
        <v>81</v>
      </c>
      <c r="AJ595" s="6" t="s">
        <v>17635</v>
      </c>
      <c r="AK595" s="6" t="s">
        <v>18379</v>
      </c>
      <c r="AL595" s="6" t="s">
        <v>18444</v>
      </c>
      <c r="AM595" s="6" t="s">
        <v>18804</v>
      </c>
      <c r="AN595" s="6" t="s">
        <v>19637</v>
      </c>
      <c r="AO595" s="6" t="s">
        <v>19723</v>
      </c>
      <c r="AP595" s="6" t="s">
        <v>15183</v>
      </c>
      <c r="AQ595" s="6" t="s">
        <v>81</v>
      </c>
      <c r="AR595" s="6" t="s">
        <v>17635</v>
      </c>
      <c r="AS595" s="6" t="s">
        <v>18379</v>
      </c>
      <c r="AT595" s="6" t="s">
        <v>18444</v>
      </c>
      <c r="AU595" s="6" t="s">
        <v>18804</v>
      </c>
      <c r="AV595" s="6" t="s">
        <v>81</v>
      </c>
      <c r="AW595" s="6" t="s">
        <v>81</v>
      </c>
      <c r="AX595" s="6" t="s">
        <v>21125</v>
      </c>
      <c r="AY595" s="6" t="s">
        <v>81</v>
      </c>
      <c r="AZ595" s="6" t="s">
        <v>81</v>
      </c>
      <c r="BA595" s="6" t="s">
        <v>81</v>
      </c>
      <c r="BB595" s="24" t="n">
        <v>147</v>
      </c>
      <c r="BC595" s="26"/>
      <c r="BD595" s="26"/>
      <c r="BE595" s="26"/>
      <c r="BF595" s="26" t="s">
        <v>23900</v>
      </c>
      <c r="BG595" s="26"/>
      <c r="BH595" s="26"/>
      <c r="BI595" s="26"/>
      <c r="BJ595" s="26"/>
      <c r="BK595" s="26"/>
      <c r="BL595" s="26"/>
      <c r="BM595" s="26"/>
      <c r="BN595" s="26"/>
      <c r="BO595" s="26"/>
      <c r="BP595" s="16" t="n">
        <v>45730</v>
      </c>
      <c r="BQ595" s="28" t="str">
        <f>HYPERLINK("https://organic.ams.usda.gov/Integrity/Certificate.aspx?cid=72&amp;nopid=5879235433")</f>
        <v>https://organic.ams.usda.gov/Integrity/Certificate.aspx?cid=72&amp;nopid=5879235433</v>
      </c>
    </row>
    <row r="596">
      <c r="A596" t="s">
        <v>3</v>
      </c>
      <c r="B596" s="6" t="s">
        <v>15</v>
      </c>
      <c r="C596" s="6" t="s">
        <v>62</v>
      </c>
      <c r="D596" s="6" t="s">
        <v>108</v>
      </c>
      <c r="E596" s="10" t="s">
        <v>737</v>
      </c>
      <c r="F596" s="6" t="s">
        <v>3470</v>
      </c>
      <c r="G596" s="6" t="s">
        <v>5652</v>
      </c>
      <c r="H596" s="6" t="s">
        <v>6432</v>
      </c>
      <c r="I596" s="6" t="s">
        <v>8752</v>
      </c>
      <c r="J596" s="6" t="s">
        <v>9975</v>
      </c>
      <c r="K596" s="6" t="s">
        <v>10886</v>
      </c>
      <c r="L596" s="16" t="n">
        <v>38966</v>
      </c>
      <c r="M596" s="16" t="n">
        <v>45792</v>
      </c>
      <c r="N596" s="6" t="s">
        <v>10886</v>
      </c>
      <c r="O596" s="16" t="n">
        <v>38966</v>
      </c>
      <c r="P596" s="6" t="s">
        <v>11256</v>
      </c>
      <c r="Q596" s="6" t="s">
        <v>81</v>
      </c>
      <c r="R596" s="6" t="s">
        <v>81</v>
      </c>
      <c r="S596" s="6" t="s">
        <v>10886</v>
      </c>
      <c r="T596" s="16" t="n">
        <v>38966</v>
      </c>
      <c r="U596" s="6" t="s">
        <v>13387</v>
      </c>
      <c r="V596" s="6" t="s">
        <v>81</v>
      </c>
      <c r="W596" s="6" t="s">
        <v>81</v>
      </c>
      <c r="X596" s="6" t="s">
        <v>81</v>
      </c>
      <c r="Y596" s="21" t="s">
        <v>81</v>
      </c>
      <c r="Z596" s="6" t="s">
        <v>81</v>
      </c>
      <c r="AA596" s="6" t="s">
        <v>81</v>
      </c>
      <c r="AB596" s="6" t="s">
        <v>81</v>
      </c>
      <c r="AC596" s="6" t="s">
        <v>81</v>
      </c>
      <c r="AD596" s="21" t="s">
        <v>81</v>
      </c>
      <c r="AE596" s="6" t="s">
        <v>81</v>
      </c>
      <c r="AF596" s="6" t="s">
        <v>81</v>
      </c>
      <c r="AG596" s="6" t="s">
        <v>81</v>
      </c>
      <c r="AH596" s="6" t="s">
        <v>15184</v>
      </c>
      <c r="AI596" s="6" t="s">
        <v>81</v>
      </c>
      <c r="AJ596" s="6" t="s">
        <v>17672</v>
      </c>
      <c r="AK596" s="6" t="s">
        <v>18378</v>
      </c>
      <c r="AL596" s="6" t="s">
        <v>18444</v>
      </c>
      <c r="AM596" s="6" t="s">
        <v>18839</v>
      </c>
      <c r="AN596" s="6" t="s">
        <v>19692</v>
      </c>
      <c r="AO596" s="6" t="s">
        <v>19895</v>
      </c>
      <c r="AP596" s="6" t="s">
        <v>15184</v>
      </c>
      <c r="AQ596" s="6" t="s">
        <v>81</v>
      </c>
      <c r="AR596" s="6" t="s">
        <v>17672</v>
      </c>
      <c r="AS596" s="6" t="s">
        <v>18378</v>
      </c>
      <c r="AT596" s="6" t="s">
        <v>18444</v>
      </c>
      <c r="AU596" s="6" t="s">
        <v>18839</v>
      </c>
      <c r="AV596" s="6" t="s">
        <v>81</v>
      </c>
      <c r="AW596" s="6" t="s">
        <v>81</v>
      </c>
      <c r="AX596" s="6" t="s">
        <v>21126</v>
      </c>
      <c r="AY596" s="6" t="s">
        <v>22781</v>
      </c>
      <c r="AZ596" s="6" t="s">
        <v>81</v>
      </c>
      <c r="BA596" s="6" t="s">
        <v>81</v>
      </c>
      <c r="BB596" s="24" t="n">
        <v>224</v>
      </c>
      <c r="BC596" s="26"/>
      <c r="BD596" s="26"/>
      <c r="BE596" s="26"/>
      <c r="BF596" s="26" t="s">
        <v>23900</v>
      </c>
      <c r="BG596" s="26"/>
      <c r="BH596" s="26"/>
      <c r="BI596" s="26"/>
      <c r="BJ596" s="26"/>
      <c r="BK596" s="26" t="s">
        <v>23900</v>
      </c>
      <c r="BL596" s="26"/>
      <c r="BM596" s="26"/>
      <c r="BN596" s="26"/>
      <c r="BO596" s="26"/>
      <c r="BP596" s="16" t="n">
        <v>45737</v>
      </c>
      <c r="BQ596" s="28" t="str">
        <f>HYPERLINK("https://organic.ams.usda.gov/Integrity/Certificate.aspx?cid=58&amp;nopid=1600001088")</f>
        <v>https://organic.ams.usda.gov/Integrity/Certificate.aspx?cid=58&amp;nopid=1600001088</v>
      </c>
    </row>
    <row r="597">
      <c r="A597" t="s">
        <v>3</v>
      </c>
      <c r="B597" s="6" t="s">
        <v>10</v>
      </c>
      <c r="C597" s="6" t="s">
        <v>57</v>
      </c>
      <c r="D597" s="6" t="s">
        <v>103</v>
      </c>
      <c r="E597" s="10" t="s">
        <v>738</v>
      </c>
      <c r="F597" s="6" t="s">
        <v>3471</v>
      </c>
      <c r="G597" s="6" t="s">
        <v>81</v>
      </c>
      <c r="H597" s="6" t="s">
        <v>6433</v>
      </c>
      <c r="I597" s="6" t="s">
        <v>8753</v>
      </c>
      <c r="J597" s="6" t="s">
        <v>9666</v>
      </c>
      <c r="K597" s="6" t="s">
        <v>10886</v>
      </c>
      <c r="L597" s="16" t="n">
        <v>41436</v>
      </c>
      <c r="M597" s="16" t="n">
        <v>45748</v>
      </c>
      <c r="N597" s="6" t="s">
        <v>10886</v>
      </c>
      <c r="O597" s="16" t="n">
        <v>41436</v>
      </c>
      <c r="P597" s="6" t="s">
        <v>11257</v>
      </c>
      <c r="Q597" s="6" t="s">
        <v>81</v>
      </c>
      <c r="R597" s="6" t="s">
        <v>12589</v>
      </c>
      <c r="S597" s="6" t="s">
        <v>10886</v>
      </c>
      <c r="T597" s="16" t="n">
        <v>41436</v>
      </c>
      <c r="U597" s="6" t="s">
        <v>13163</v>
      </c>
      <c r="V597" s="6" t="s">
        <v>81</v>
      </c>
      <c r="W597" s="6" t="s">
        <v>81</v>
      </c>
      <c r="X597" s="6" t="s">
        <v>81</v>
      </c>
      <c r="Y597" s="21" t="s">
        <v>81</v>
      </c>
      <c r="Z597" s="6" t="s">
        <v>81</v>
      </c>
      <c r="AA597" s="6" t="s">
        <v>81</v>
      </c>
      <c r="AB597" s="6" t="s">
        <v>81</v>
      </c>
      <c r="AC597" s="6" t="s">
        <v>81</v>
      </c>
      <c r="AD597" s="21" t="s">
        <v>81</v>
      </c>
      <c r="AE597" s="6" t="s">
        <v>81</v>
      </c>
      <c r="AF597" s="6" t="s">
        <v>81</v>
      </c>
      <c r="AG597" s="6" t="s">
        <v>81</v>
      </c>
      <c r="AH597" s="6" t="s">
        <v>15185</v>
      </c>
      <c r="AI597" s="6" t="s">
        <v>81</v>
      </c>
      <c r="AJ597" s="6" t="s">
        <v>17381</v>
      </c>
      <c r="AK597" s="6" t="s">
        <v>18379</v>
      </c>
      <c r="AL597" s="6" t="s">
        <v>18444</v>
      </c>
      <c r="AM597" s="6" t="s">
        <v>18534</v>
      </c>
      <c r="AN597" s="6" t="s">
        <v>19654</v>
      </c>
      <c r="AO597" s="6" t="s">
        <v>19765</v>
      </c>
      <c r="AP597" s="6" t="s">
        <v>15185</v>
      </c>
      <c r="AQ597" s="6" t="s">
        <v>81</v>
      </c>
      <c r="AR597" s="6" t="s">
        <v>17381</v>
      </c>
      <c r="AS597" s="6" t="s">
        <v>18379</v>
      </c>
      <c r="AT597" s="6" t="s">
        <v>18444</v>
      </c>
      <c r="AU597" s="6" t="s">
        <v>18534</v>
      </c>
      <c r="AV597" s="6" t="s">
        <v>81</v>
      </c>
      <c r="AW597" s="6" t="s">
        <v>81</v>
      </c>
      <c r="AX597" s="6" t="s">
        <v>21127</v>
      </c>
      <c r="AY597" s="6" t="s">
        <v>81</v>
      </c>
      <c r="AZ597" s="6" t="s">
        <v>81</v>
      </c>
      <c r="BA597" s="6" t="s">
        <v>81</v>
      </c>
      <c r="BB597" s="24" t="n">
        <v>144</v>
      </c>
      <c r="BC597" s="26"/>
      <c r="BD597" s="26"/>
      <c r="BE597" s="26"/>
      <c r="BF597" s="26"/>
      <c r="BG597" s="26"/>
      <c r="BH597" s="26"/>
      <c r="BI597" s="26"/>
      <c r="BJ597" s="26"/>
      <c r="BK597" s="26"/>
      <c r="BL597" s="26"/>
      <c r="BM597" s="26"/>
      <c r="BN597" s="26"/>
      <c r="BO597" s="26"/>
      <c r="BP597" s="16" t="n">
        <v>45730</v>
      </c>
      <c r="BQ597" s="28" t="str">
        <f>HYPERLINK("https://organic.ams.usda.gov/Integrity/Certificate.aspx?cid=90&amp;nopid=7170210342")</f>
        <v>https://organic.ams.usda.gov/Integrity/Certificate.aspx?cid=90&amp;nopid=7170210342</v>
      </c>
    </row>
    <row r="598">
      <c r="A598" t="s">
        <v>3</v>
      </c>
      <c r="B598" s="6" t="s">
        <v>10</v>
      </c>
      <c r="C598" s="6" t="s">
        <v>57</v>
      </c>
      <c r="D598" s="6" t="s">
        <v>103</v>
      </c>
      <c r="E598" s="10" t="s">
        <v>739</v>
      </c>
      <c r="F598" s="6" t="s">
        <v>3472</v>
      </c>
      <c r="G598" s="6" t="s">
        <v>81</v>
      </c>
      <c r="H598" s="6" t="s">
        <v>6434</v>
      </c>
      <c r="I598" s="6" t="s">
        <v>8752</v>
      </c>
      <c r="J598" s="6" t="s">
        <v>9669</v>
      </c>
      <c r="K598" s="6" t="s">
        <v>10886</v>
      </c>
      <c r="L598" s="16" t="n">
        <v>44029</v>
      </c>
      <c r="M598" s="16" t="n">
        <v>45748</v>
      </c>
      <c r="N598" s="6" t="s">
        <v>10886</v>
      </c>
      <c r="O598" s="16" t="n">
        <v>44029</v>
      </c>
      <c r="P598" s="6" t="s">
        <v>11258</v>
      </c>
      <c r="Q598" s="6" t="s">
        <v>81</v>
      </c>
      <c r="R598" s="6" t="s">
        <v>12590</v>
      </c>
      <c r="S598" s="6" t="s">
        <v>10886</v>
      </c>
      <c r="T598" s="16" t="n">
        <v>44055</v>
      </c>
      <c r="U598" s="6" t="s">
        <v>13163</v>
      </c>
      <c r="V598" s="6" t="s">
        <v>81</v>
      </c>
      <c r="W598" s="6" t="s">
        <v>81</v>
      </c>
      <c r="X598" s="6" t="s">
        <v>81</v>
      </c>
      <c r="Y598" s="21" t="s">
        <v>81</v>
      </c>
      <c r="Z598" s="6" t="s">
        <v>81</v>
      </c>
      <c r="AA598" s="6" t="s">
        <v>81</v>
      </c>
      <c r="AB598" s="6" t="s">
        <v>81</v>
      </c>
      <c r="AC598" s="6" t="s">
        <v>81</v>
      </c>
      <c r="AD598" s="21" t="s">
        <v>81</v>
      </c>
      <c r="AE598" s="6" t="s">
        <v>81</v>
      </c>
      <c r="AF598" s="6" t="s">
        <v>81</v>
      </c>
      <c r="AG598" s="6" t="s">
        <v>81</v>
      </c>
      <c r="AH598" s="6" t="s">
        <v>15186</v>
      </c>
      <c r="AI598" s="6" t="s">
        <v>81</v>
      </c>
      <c r="AJ598" s="6" t="s">
        <v>17315</v>
      </c>
      <c r="AK598" s="6" t="s">
        <v>18379</v>
      </c>
      <c r="AL598" s="6" t="s">
        <v>18444</v>
      </c>
      <c r="AM598" s="6" t="s">
        <v>18467</v>
      </c>
      <c r="AN598" s="6" t="s">
        <v>19637</v>
      </c>
      <c r="AO598" s="6" t="s">
        <v>19723</v>
      </c>
      <c r="AP598" s="6" t="s">
        <v>15186</v>
      </c>
      <c r="AQ598" s="6" t="s">
        <v>81</v>
      </c>
      <c r="AR598" s="6" t="s">
        <v>17315</v>
      </c>
      <c r="AS598" s="6" t="s">
        <v>18379</v>
      </c>
      <c r="AT598" s="6" t="s">
        <v>18444</v>
      </c>
      <c r="AU598" s="6" t="s">
        <v>18467</v>
      </c>
      <c r="AV598" s="6" t="s">
        <v>81</v>
      </c>
      <c r="AW598" s="6" t="s">
        <v>81</v>
      </c>
      <c r="AX598" s="6" t="s">
        <v>21128</v>
      </c>
      <c r="AY598" s="6" t="s">
        <v>81</v>
      </c>
      <c r="AZ598" s="6" t="s">
        <v>81</v>
      </c>
      <c r="BA598" s="6" t="s">
        <v>81</v>
      </c>
      <c r="BB598" s="24" t="n">
        <v>100</v>
      </c>
      <c r="BC598" s="26"/>
      <c r="BD598" s="26"/>
      <c r="BE598" s="26"/>
      <c r="BF598" s="26"/>
      <c r="BG598" s="26"/>
      <c r="BH598" s="26"/>
      <c r="BI598" s="26"/>
      <c r="BJ598" s="26"/>
      <c r="BK598" s="26"/>
      <c r="BL598" s="26"/>
      <c r="BM598" s="26"/>
      <c r="BN598" s="26"/>
      <c r="BO598" s="26"/>
      <c r="BP598" s="16" t="n">
        <v>45730</v>
      </c>
      <c r="BQ598" s="28" t="str">
        <f>HYPERLINK("https://organic.ams.usda.gov/Integrity/Certificate.aspx?cid=90&amp;nopid=7170020156")</f>
        <v>https://organic.ams.usda.gov/Integrity/Certificate.aspx?cid=90&amp;nopid=7170020156</v>
      </c>
    </row>
    <row r="599">
      <c r="A599" t="s">
        <v>3</v>
      </c>
      <c r="B599" s="6" t="s">
        <v>12</v>
      </c>
      <c r="C599" s="6" t="s">
        <v>59</v>
      </c>
      <c r="D599" s="6" t="s">
        <v>105</v>
      </c>
      <c r="E599" s="10" t="s">
        <v>740</v>
      </c>
      <c r="F599" s="6" t="s">
        <v>3473</v>
      </c>
      <c r="G599" s="6" t="s">
        <v>81</v>
      </c>
      <c r="H599" s="6" t="s">
        <v>6435</v>
      </c>
      <c r="I599" s="6" t="s">
        <v>8754</v>
      </c>
      <c r="J599" s="6" t="s">
        <v>9759</v>
      </c>
      <c r="K599" s="6" t="s">
        <v>10886</v>
      </c>
      <c r="L599" s="16" t="n">
        <v>43683</v>
      </c>
      <c r="M599" s="16" t="n">
        <v>45717</v>
      </c>
      <c r="N599" s="6" t="s">
        <v>10886</v>
      </c>
      <c r="O599" s="16" t="n">
        <v>43683</v>
      </c>
      <c r="P599" s="6" t="s">
        <v>11259</v>
      </c>
      <c r="Q599" s="6" t="s">
        <v>81</v>
      </c>
      <c r="R599" s="6" t="s">
        <v>81</v>
      </c>
      <c r="S599" s="6" t="s">
        <v>10886</v>
      </c>
      <c r="T599" s="16" t="n">
        <v>45212</v>
      </c>
      <c r="U599" s="6" t="s">
        <v>13183</v>
      </c>
      <c r="V599" s="6" t="s">
        <v>81</v>
      </c>
      <c r="W599" s="6" t="s">
        <v>81</v>
      </c>
      <c r="X599" s="6" t="s">
        <v>81</v>
      </c>
      <c r="Y599" s="21" t="s">
        <v>81</v>
      </c>
      <c r="Z599" s="6" t="s">
        <v>81</v>
      </c>
      <c r="AA599" s="6" t="s">
        <v>81</v>
      </c>
      <c r="AB599" s="6" t="s">
        <v>81</v>
      </c>
      <c r="AC599" s="6" t="s">
        <v>81</v>
      </c>
      <c r="AD599" s="21" t="s">
        <v>81</v>
      </c>
      <c r="AE599" s="6" t="s">
        <v>81</v>
      </c>
      <c r="AF599" s="6" t="s">
        <v>81</v>
      </c>
      <c r="AG599" s="6" t="s">
        <v>81</v>
      </c>
      <c r="AH599" s="6" t="s">
        <v>15187</v>
      </c>
      <c r="AI599" s="6" t="s">
        <v>81</v>
      </c>
      <c r="AJ599" s="6" t="s">
        <v>17311</v>
      </c>
      <c r="AK599" s="6" t="s">
        <v>17712</v>
      </c>
      <c r="AL599" s="6" t="s">
        <v>18444</v>
      </c>
      <c r="AM599" s="6" t="s">
        <v>18463</v>
      </c>
      <c r="AN599" s="6" t="s">
        <v>19634</v>
      </c>
      <c r="AO599" s="6" t="s">
        <v>19719</v>
      </c>
      <c r="AP599" s="6" t="s">
        <v>15187</v>
      </c>
      <c r="AQ599" s="6" t="s">
        <v>81</v>
      </c>
      <c r="AR599" s="6" t="s">
        <v>17311</v>
      </c>
      <c r="AS599" s="6" t="s">
        <v>17712</v>
      </c>
      <c r="AT599" s="6" t="s">
        <v>18444</v>
      </c>
      <c r="AU599" s="6" t="s">
        <v>18463</v>
      </c>
      <c r="AV599" s="6" t="s">
        <v>81</v>
      </c>
      <c r="AW599" s="6" t="s">
        <v>81</v>
      </c>
      <c r="AX599" s="6" t="s">
        <v>21129</v>
      </c>
      <c r="AY599" s="6" t="s">
        <v>81</v>
      </c>
      <c r="AZ599" s="6" t="s">
        <v>81</v>
      </c>
      <c r="BA599" s="6" t="s">
        <v>81</v>
      </c>
      <c r="BB599" s="24" t="n">
        <v>259</v>
      </c>
      <c r="BC599" s="26"/>
      <c r="BD599" s="26"/>
      <c r="BE599" s="26"/>
      <c r="BF599" s="26"/>
      <c r="BG599" s="26"/>
      <c r="BH599" s="26"/>
      <c r="BI599" s="26"/>
      <c r="BJ599" s="26"/>
      <c r="BK599" s="26"/>
      <c r="BL599" s="26"/>
      <c r="BM599" s="26"/>
      <c r="BN599" s="26"/>
      <c r="BO599" s="26"/>
      <c r="BP599" s="16" t="n">
        <v>45684</v>
      </c>
      <c r="BQ599" s="28" t="str">
        <f>HYPERLINK("https://organic.ams.usda.gov/Integrity/Certificate.aspx?cid=68&amp;nopid=8210005003")</f>
        <v>https://organic.ams.usda.gov/Integrity/Certificate.aspx?cid=68&amp;nopid=8210005003</v>
      </c>
    </row>
    <row r="600">
      <c r="A600" t="s">
        <v>3</v>
      </c>
      <c r="B600" s="6" t="s">
        <v>7</v>
      </c>
      <c r="C600" s="6" t="s">
        <v>54</v>
      </c>
      <c r="D600" s="6" t="s">
        <v>100</v>
      </c>
      <c r="E600" s="10" t="s">
        <v>741</v>
      </c>
      <c r="F600" s="6" t="s">
        <v>3474</v>
      </c>
      <c r="G600" s="6" t="s">
        <v>81</v>
      </c>
      <c r="H600" s="6" t="s">
        <v>6436</v>
      </c>
      <c r="I600" s="6" t="s">
        <v>8513</v>
      </c>
      <c r="J600" s="6" t="s">
        <v>9669</v>
      </c>
      <c r="K600" s="6" t="s">
        <v>10886</v>
      </c>
      <c r="L600" s="16" t="n">
        <v>43455</v>
      </c>
      <c r="M600" s="16" t="n">
        <v>45716</v>
      </c>
      <c r="N600" s="6" t="s">
        <v>10886</v>
      </c>
      <c r="O600" s="16" t="n">
        <v>43455</v>
      </c>
      <c r="P600" s="6" t="s">
        <v>10934</v>
      </c>
      <c r="Q600" s="6" t="s">
        <v>81</v>
      </c>
      <c r="R600" s="6" t="s">
        <v>81</v>
      </c>
      <c r="S600" s="6" t="s">
        <v>10886</v>
      </c>
      <c r="T600" s="16" t="n">
        <v>43479</v>
      </c>
      <c r="U600" s="6" t="s">
        <v>13169</v>
      </c>
      <c r="V600" s="6" t="s">
        <v>81</v>
      </c>
      <c r="W600" s="6" t="s">
        <v>81</v>
      </c>
      <c r="X600" s="6" t="s">
        <v>81</v>
      </c>
      <c r="Y600" s="21" t="s">
        <v>81</v>
      </c>
      <c r="Z600" s="6" t="s">
        <v>81</v>
      </c>
      <c r="AA600" s="6" t="s">
        <v>81</v>
      </c>
      <c r="AB600" s="6" t="s">
        <v>81</v>
      </c>
      <c r="AC600" s="6" t="s">
        <v>81</v>
      </c>
      <c r="AD600" s="21" t="s">
        <v>81</v>
      </c>
      <c r="AE600" s="6" t="s">
        <v>81</v>
      </c>
      <c r="AF600" s="6" t="s">
        <v>81</v>
      </c>
      <c r="AG600" s="6" t="s">
        <v>81</v>
      </c>
      <c r="AH600" s="6" t="s">
        <v>15188</v>
      </c>
      <c r="AI600" s="6" t="s">
        <v>81</v>
      </c>
      <c r="AJ600" s="6" t="s">
        <v>17673</v>
      </c>
      <c r="AK600" s="6" t="s">
        <v>17712</v>
      </c>
      <c r="AL600" s="6" t="s">
        <v>18444</v>
      </c>
      <c r="AM600" s="6" t="s">
        <v>18840</v>
      </c>
      <c r="AN600" s="6" t="s">
        <v>19643</v>
      </c>
      <c r="AO600" s="6" t="s">
        <v>19766</v>
      </c>
      <c r="AP600" s="6" t="s">
        <v>15188</v>
      </c>
      <c r="AQ600" s="6" t="s">
        <v>81</v>
      </c>
      <c r="AR600" s="6" t="s">
        <v>17673</v>
      </c>
      <c r="AS600" s="6" t="s">
        <v>17712</v>
      </c>
      <c r="AT600" s="6" t="s">
        <v>18444</v>
      </c>
      <c r="AU600" s="6" t="s">
        <v>18840</v>
      </c>
      <c r="AV600" s="6" t="s">
        <v>81</v>
      </c>
      <c r="AW600" s="6" t="s">
        <v>81</v>
      </c>
      <c r="AX600" s="6" t="s">
        <v>81</v>
      </c>
      <c r="AY600" s="6" t="s">
        <v>81</v>
      </c>
      <c r="AZ600" s="6" t="s">
        <v>81</v>
      </c>
      <c r="BA600" s="6" t="s">
        <v>81</v>
      </c>
      <c r="BB600" s="24" t="n">
        <v>67</v>
      </c>
      <c r="BC600" s="26"/>
      <c r="BD600" s="26"/>
      <c r="BE600" s="26"/>
      <c r="BF600" s="26" t="s">
        <v>23900</v>
      </c>
      <c r="BG600" s="26"/>
      <c r="BH600" s="26"/>
      <c r="BI600" s="26"/>
      <c r="BJ600" s="26"/>
      <c r="BK600" s="26"/>
      <c r="BL600" s="26"/>
      <c r="BM600" s="26"/>
      <c r="BN600" s="26"/>
      <c r="BO600" s="26"/>
      <c r="BP600" s="16" t="n">
        <v>45721</v>
      </c>
      <c r="BQ600" s="28" t="str">
        <f>HYPERLINK("https://organic.ams.usda.gov/Integrity/Certificate.aspx?cid=57&amp;nopid=3252018088")</f>
        <v>https://organic.ams.usda.gov/Integrity/Certificate.aspx?cid=57&amp;nopid=3252018088</v>
      </c>
    </row>
    <row r="601">
      <c r="A601" t="s">
        <v>3</v>
      </c>
      <c r="B601" s="6" t="s">
        <v>12</v>
      </c>
      <c r="C601" s="6" t="s">
        <v>59</v>
      </c>
      <c r="D601" s="6" t="s">
        <v>105</v>
      </c>
      <c r="E601" s="10" t="s">
        <v>742</v>
      </c>
      <c r="F601" s="6" t="s">
        <v>3474</v>
      </c>
      <c r="G601" s="6" t="s">
        <v>81</v>
      </c>
      <c r="H601" s="6" t="s">
        <v>6437</v>
      </c>
      <c r="I601" s="6" t="s">
        <v>8755</v>
      </c>
      <c r="J601" s="6" t="s">
        <v>9669</v>
      </c>
      <c r="K601" s="6" t="s">
        <v>10886</v>
      </c>
      <c r="L601" s="16" t="n">
        <v>43649</v>
      </c>
      <c r="M601" s="16" t="n">
        <v>45717</v>
      </c>
      <c r="N601" s="6" t="s">
        <v>10886</v>
      </c>
      <c r="O601" s="16" t="n">
        <v>43649</v>
      </c>
      <c r="P601" s="6" t="s">
        <v>11260</v>
      </c>
      <c r="Q601" s="6" t="s">
        <v>81</v>
      </c>
      <c r="R601" s="6" t="s">
        <v>81</v>
      </c>
      <c r="S601" s="6" t="s">
        <v>10886</v>
      </c>
      <c r="T601" s="16" t="n">
        <v>43649</v>
      </c>
      <c r="U601" s="6" t="s">
        <v>13262</v>
      </c>
      <c r="V601" s="6" t="s">
        <v>81</v>
      </c>
      <c r="W601" s="6" t="s">
        <v>81</v>
      </c>
      <c r="X601" s="6" t="s">
        <v>81</v>
      </c>
      <c r="Y601" s="21" t="s">
        <v>81</v>
      </c>
      <c r="Z601" s="6" t="s">
        <v>81</v>
      </c>
      <c r="AA601" s="6" t="s">
        <v>81</v>
      </c>
      <c r="AB601" s="6" t="s">
        <v>81</v>
      </c>
      <c r="AC601" s="6" t="s">
        <v>81</v>
      </c>
      <c r="AD601" s="21" t="s">
        <v>81</v>
      </c>
      <c r="AE601" s="6" t="s">
        <v>81</v>
      </c>
      <c r="AF601" s="6" t="s">
        <v>81</v>
      </c>
      <c r="AG601" s="6" t="s">
        <v>81</v>
      </c>
      <c r="AH601" s="6" t="s">
        <v>15189</v>
      </c>
      <c r="AI601" s="6" t="s">
        <v>81</v>
      </c>
      <c r="AJ601" s="6" t="s">
        <v>17341</v>
      </c>
      <c r="AK601" s="6" t="s">
        <v>17712</v>
      </c>
      <c r="AL601" s="6" t="s">
        <v>18444</v>
      </c>
      <c r="AM601" s="6" t="s">
        <v>18495</v>
      </c>
      <c r="AN601" s="6" t="s">
        <v>19649</v>
      </c>
      <c r="AO601" s="6" t="s">
        <v>19738</v>
      </c>
      <c r="AP601" s="6" t="s">
        <v>15189</v>
      </c>
      <c r="AQ601" s="6" t="s">
        <v>81</v>
      </c>
      <c r="AR601" s="6" t="s">
        <v>17341</v>
      </c>
      <c r="AS601" s="6" t="s">
        <v>17712</v>
      </c>
      <c r="AT601" s="6" t="s">
        <v>18444</v>
      </c>
      <c r="AU601" s="6" t="s">
        <v>18495</v>
      </c>
      <c r="AV601" s="6" t="s">
        <v>81</v>
      </c>
      <c r="AW601" s="6" t="s">
        <v>81</v>
      </c>
      <c r="AX601" s="6" t="s">
        <v>81</v>
      </c>
      <c r="AY601" s="6" t="s">
        <v>81</v>
      </c>
      <c r="AZ601" s="6" t="s">
        <v>81</v>
      </c>
      <c r="BA601" s="6" t="s">
        <v>81</v>
      </c>
      <c r="BB601" s="24" t="n">
        <v>130</v>
      </c>
      <c r="BC601" s="26"/>
      <c r="BD601" s="26"/>
      <c r="BE601" s="26"/>
      <c r="BF601" s="26"/>
      <c r="BG601" s="26"/>
      <c r="BH601" s="26"/>
      <c r="BI601" s="26"/>
      <c r="BJ601" s="26"/>
      <c r="BK601" s="26"/>
      <c r="BL601" s="26"/>
      <c r="BM601" s="26"/>
      <c r="BN601" s="26"/>
      <c r="BO601" s="26"/>
      <c r="BP601" s="16" t="n">
        <v>45708</v>
      </c>
      <c r="BQ601" s="28" t="str">
        <f>HYPERLINK("https://organic.ams.usda.gov/Integrity/Certificate.aspx?cid=68&amp;nopid=8210006636")</f>
        <v>https://organic.ams.usda.gov/Integrity/Certificate.aspx?cid=68&amp;nopid=8210006636</v>
      </c>
    </row>
    <row r="602">
      <c r="A602" t="s">
        <v>3</v>
      </c>
      <c r="B602" s="6" t="s">
        <v>7</v>
      </c>
      <c r="C602" s="6" t="s">
        <v>54</v>
      </c>
      <c r="D602" s="6" t="s">
        <v>100</v>
      </c>
      <c r="E602" s="10" t="s">
        <v>743</v>
      </c>
      <c r="F602" s="6" t="s">
        <v>3475</v>
      </c>
      <c r="G602" s="6" t="s">
        <v>81</v>
      </c>
      <c r="H602" s="6" t="s">
        <v>6438</v>
      </c>
      <c r="I602" s="6" t="s">
        <v>8513</v>
      </c>
      <c r="J602" s="6" t="s">
        <v>9671</v>
      </c>
      <c r="K602" s="6" t="s">
        <v>10886</v>
      </c>
      <c r="L602" s="16" t="n">
        <v>41932</v>
      </c>
      <c r="M602" s="16" t="n">
        <v>45716</v>
      </c>
      <c r="N602" s="6" t="s">
        <v>10886</v>
      </c>
      <c r="O602" s="16" t="n">
        <v>41932</v>
      </c>
      <c r="P602" s="6" t="s">
        <v>11261</v>
      </c>
      <c r="Q602" s="6" t="s">
        <v>81</v>
      </c>
      <c r="R602" s="6" t="s">
        <v>81</v>
      </c>
      <c r="S602" s="6" t="s">
        <v>10886</v>
      </c>
      <c r="T602" s="16" t="n">
        <v>42092</v>
      </c>
      <c r="U602" s="6" t="s">
        <v>13169</v>
      </c>
      <c r="V602" s="6" t="s">
        <v>81</v>
      </c>
      <c r="W602" s="6" t="s">
        <v>81</v>
      </c>
      <c r="X602" s="6" t="s">
        <v>81</v>
      </c>
      <c r="Y602" s="21" t="s">
        <v>81</v>
      </c>
      <c r="Z602" s="6" t="s">
        <v>81</v>
      </c>
      <c r="AA602" s="6" t="s">
        <v>81</v>
      </c>
      <c r="AB602" s="6" t="s">
        <v>81</v>
      </c>
      <c r="AC602" s="6" t="s">
        <v>81</v>
      </c>
      <c r="AD602" s="21" t="s">
        <v>81</v>
      </c>
      <c r="AE602" s="6" t="s">
        <v>81</v>
      </c>
      <c r="AF602" s="6" t="s">
        <v>81</v>
      </c>
      <c r="AG602" s="6" t="s">
        <v>81</v>
      </c>
      <c r="AH602" s="6" t="s">
        <v>15190</v>
      </c>
      <c r="AI602" s="6" t="s">
        <v>81</v>
      </c>
      <c r="AJ602" s="6" t="s">
        <v>17321</v>
      </c>
      <c r="AK602" s="6" t="s">
        <v>17712</v>
      </c>
      <c r="AL602" s="6" t="s">
        <v>18444</v>
      </c>
      <c r="AM602" s="6" t="s">
        <v>18473</v>
      </c>
      <c r="AN602" s="6" t="s">
        <v>19642</v>
      </c>
      <c r="AO602" s="6" t="s">
        <v>19728</v>
      </c>
      <c r="AP602" s="6" t="s">
        <v>15190</v>
      </c>
      <c r="AQ602" s="6" t="s">
        <v>81</v>
      </c>
      <c r="AR602" s="6" t="s">
        <v>17321</v>
      </c>
      <c r="AS602" s="6" t="s">
        <v>17712</v>
      </c>
      <c r="AT602" s="6" t="s">
        <v>18444</v>
      </c>
      <c r="AU602" s="6" t="s">
        <v>18473</v>
      </c>
      <c r="AV602" s="6" t="s">
        <v>81</v>
      </c>
      <c r="AW602" s="6" t="s">
        <v>81</v>
      </c>
      <c r="AX602" s="6" t="s">
        <v>81</v>
      </c>
      <c r="AY602" s="6" t="s">
        <v>81</v>
      </c>
      <c r="AZ602" s="6" t="s">
        <v>81</v>
      </c>
      <c r="BA602" s="6" t="s">
        <v>81</v>
      </c>
      <c r="BB602" s="24" t="n">
        <v>122</v>
      </c>
      <c r="BC602" s="26"/>
      <c r="BD602" s="26"/>
      <c r="BE602" s="26"/>
      <c r="BF602" s="26" t="s">
        <v>23900</v>
      </c>
      <c r="BG602" s="26"/>
      <c r="BH602" s="26"/>
      <c r="BI602" s="26"/>
      <c r="BJ602" s="26"/>
      <c r="BK602" s="26"/>
      <c r="BL602" s="26"/>
      <c r="BM602" s="26"/>
      <c r="BN602" s="26"/>
      <c r="BO602" s="26"/>
      <c r="BP602" s="16" t="n">
        <v>45679</v>
      </c>
      <c r="BQ602" s="28" t="str">
        <f>HYPERLINK("https://organic.ams.usda.gov/Integrity/Certificate.aspx?cid=57&amp;nopid=3252014071")</f>
        <v>https://organic.ams.usda.gov/Integrity/Certificate.aspx?cid=57&amp;nopid=3252014071</v>
      </c>
    </row>
    <row r="603">
      <c r="A603" t="s">
        <v>3</v>
      </c>
      <c r="B603" s="6" t="s">
        <v>12</v>
      </c>
      <c r="C603" s="6" t="s">
        <v>59</v>
      </c>
      <c r="D603" s="6" t="s">
        <v>105</v>
      </c>
      <c r="E603" s="10" t="s">
        <v>744</v>
      </c>
      <c r="F603" s="6" t="s">
        <v>3475</v>
      </c>
      <c r="G603" s="6" t="s">
        <v>81</v>
      </c>
      <c r="H603" s="6" t="s">
        <v>6439</v>
      </c>
      <c r="I603" s="6" t="s">
        <v>8755</v>
      </c>
      <c r="J603" s="6" t="s">
        <v>9671</v>
      </c>
      <c r="K603" s="6" t="s">
        <v>10886</v>
      </c>
      <c r="L603" s="16" t="n">
        <v>43419</v>
      </c>
      <c r="M603" s="16" t="n">
        <v>45717</v>
      </c>
      <c r="N603" s="6" t="s">
        <v>10886</v>
      </c>
      <c r="O603" s="16" t="n">
        <v>43419</v>
      </c>
      <c r="P603" s="6" t="s">
        <v>11262</v>
      </c>
      <c r="Q603" s="6" t="s">
        <v>81</v>
      </c>
      <c r="R603" s="6" t="s">
        <v>81</v>
      </c>
      <c r="S603" s="6" t="s">
        <v>10886</v>
      </c>
      <c r="T603" s="16" t="n">
        <v>43419</v>
      </c>
      <c r="U603" s="6" t="s">
        <v>13209</v>
      </c>
      <c r="V603" s="6" t="s">
        <v>81</v>
      </c>
      <c r="W603" s="6" t="s">
        <v>81</v>
      </c>
      <c r="X603" s="6" t="s">
        <v>81</v>
      </c>
      <c r="Y603" s="21" t="s">
        <v>81</v>
      </c>
      <c r="Z603" s="6" t="s">
        <v>81</v>
      </c>
      <c r="AA603" s="6" t="s">
        <v>81</v>
      </c>
      <c r="AB603" s="6" t="s">
        <v>81</v>
      </c>
      <c r="AC603" s="6" t="s">
        <v>81</v>
      </c>
      <c r="AD603" s="21" t="s">
        <v>81</v>
      </c>
      <c r="AE603" s="6" t="s">
        <v>81</v>
      </c>
      <c r="AF603" s="6" t="s">
        <v>81</v>
      </c>
      <c r="AG603" s="6" t="s">
        <v>81</v>
      </c>
      <c r="AH603" s="6" t="s">
        <v>15191</v>
      </c>
      <c r="AI603" s="6" t="s">
        <v>81</v>
      </c>
      <c r="AJ603" s="6" t="s">
        <v>17491</v>
      </c>
      <c r="AK603" s="6" t="s">
        <v>18380</v>
      </c>
      <c r="AL603" s="6" t="s">
        <v>18444</v>
      </c>
      <c r="AM603" s="6" t="s">
        <v>18651</v>
      </c>
      <c r="AN603" s="6" t="s">
        <v>19665</v>
      </c>
      <c r="AO603" s="6" t="s">
        <v>19755</v>
      </c>
      <c r="AP603" s="6" t="s">
        <v>15191</v>
      </c>
      <c r="AQ603" s="6" t="s">
        <v>81</v>
      </c>
      <c r="AR603" s="6" t="s">
        <v>17491</v>
      </c>
      <c r="AS603" s="6" t="s">
        <v>18380</v>
      </c>
      <c r="AT603" s="6" t="s">
        <v>18444</v>
      </c>
      <c r="AU603" s="6" t="s">
        <v>18651</v>
      </c>
      <c r="AV603" s="6" t="s">
        <v>81</v>
      </c>
      <c r="AW603" s="6" t="s">
        <v>81</v>
      </c>
      <c r="AX603" s="6" t="s">
        <v>21130</v>
      </c>
      <c r="AY603" s="6" t="s">
        <v>81</v>
      </c>
      <c r="AZ603" s="6" t="s">
        <v>81</v>
      </c>
      <c r="BA603" s="6" t="s">
        <v>81</v>
      </c>
      <c r="BB603" s="24" t="n">
        <v>60</v>
      </c>
      <c r="BC603" s="26"/>
      <c r="BD603" s="26"/>
      <c r="BE603" s="26"/>
      <c r="BF603" s="26"/>
      <c r="BG603" s="26"/>
      <c r="BH603" s="26"/>
      <c r="BI603" s="26"/>
      <c r="BJ603" s="26"/>
      <c r="BK603" s="26"/>
      <c r="BL603" s="26"/>
      <c r="BM603" s="26"/>
      <c r="BN603" s="26"/>
      <c r="BO603" s="26"/>
      <c r="BP603" s="16" t="n">
        <v>45684</v>
      </c>
      <c r="BQ603" s="28" t="str">
        <f>HYPERLINK("https://organic.ams.usda.gov/Integrity/Certificate.aspx?cid=68&amp;nopid=8210006164")</f>
        <v>https://organic.ams.usda.gov/Integrity/Certificate.aspx?cid=68&amp;nopid=8210006164</v>
      </c>
    </row>
    <row r="604">
      <c r="A604" t="s">
        <v>3</v>
      </c>
      <c r="B604" s="6" t="s">
        <v>11</v>
      </c>
      <c r="C604" s="6" t="s">
        <v>58</v>
      </c>
      <c r="D604" s="6" t="s">
        <v>104</v>
      </c>
      <c r="E604" s="10" t="s">
        <v>745</v>
      </c>
      <c r="F604" s="6" t="s">
        <v>3476</v>
      </c>
      <c r="G604" s="6" t="s">
        <v>81</v>
      </c>
      <c r="H604" s="6" t="s">
        <v>81</v>
      </c>
      <c r="I604" s="6" t="s">
        <v>8513</v>
      </c>
      <c r="J604" s="6" t="s">
        <v>9976</v>
      </c>
      <c r="K604" s="6" t="s">
        <v>10886</v>
      </c>
      <c r="L604" s="16" t="n">
        <v>42710</v>
      </c>
      <c r="M604" s="16" t="n">
        <v>45383</v>
      </c>
      <c r="N604" s="6" t="s">
        <v>10886</v>
      </c>
      <c r="O604" s="16" t="n">
        <v>42710</v>
      </c>
      <c r="P604" s="6" t="s">
        <v>11263</v>
      </c>
      <c r="Q604" s="6" t="s">
        <v>81</v>
      </c>
      <c r="R604" s="6" t="s">
        <v>81</v>
      </c>
      <c r="S604" s="6" t="s">
        <v>10886</v>
      </c>
      <c r="T604" s="16" t="n">
        <v>42710</v>
      </c>
      <c r="U604" s="6" t="s">
        <v>13388</v>
      </c>
      <c r="V604" s="6" t="s">
        <v>81</v>
      </c>
      <c r="W604" s="6" t="s">
        <v>81</v>
      </c>
      <c r="X604" s="6" t="s">
        <v>81</v>
      </c>
      <c r="Y604" s="21" t="s">
        <v>81</v>
      </c>
      <c r="Z604" s="6" t="s">
        <v>81</v>
      </c>
      <c r="AA604" s="6" t="s">
        <v>81</v>
      </c>
      <c r="AB604" s="6" t="s">
        <v>81</v>
      </c>
      <c r="AC604" s="6" t="s">
        <v>81</v>
      </c>
      <c r="AD604" s="21" t="s">
        <v>81</v>
      </c>
      <c r="AE604" s="6" t="s">
        <v>81</v>
      </c>
      <c r="AF604" s="6" t="s">
        <v>81</v>
      </c>
      <c r="AG604" s="6" t="s">
        <v>81</v>
      </c>
      <c r="AH604" s="6" t="s">
        <v>15192</v>
      </c>
      <c r="AI604" s="6" t="s">
        <v>81</v>
      </c>
      <c r="AJ604" s="6" t="s">
        <v>17366</v>
      </c>
      <c r="AK604" s="6" t="s">
        <v>18381</v>
      </c>
      <c r="AL604" s="6" t="s">
        <v>18444</v>
      </c>
      <c r="AM604" s="6" t="s">
        <v>18518</v>
      </c>
      <c r="AN604" s="6" t="s">
        <v>19676</v>
      </c>
      <c r="AO604" s="6" t="s">
        <v>19797</v>
      </c>
      <c r="AP604" s="6" t="s">
        <v>15192</v>
      </c>
      <c r="AQ604" s="6" t="s">
        <v>81</v>
      </c>
      <c r="AR604" s="6" t="s">
        <v>17366</v>
      </c>
      <c r="AS604" s="6" t="s">
        <v>18381</v>
      </c>
      <c r="AT604" s="6" t="s">
        <v>18444</v>
      </c>
      <c r="AU604" s="6" t="s">
        <v>18518</v>
      </c>
      <c r="AV604" s="6" t="s">
        <v>81</v>
      </c>
      <c r="AW604" s="6" t="s">
        <v>81</v>
      </c>
      <c r="AX604" s="6" t="s">
        <v>21131</v>
      </c>
      <c r="AY604" s="6" t="s">
        <v>81</v>
      </c>
      <c r="AZ604" s="6" t="s">
        <v>81</v>
      </c>
      <c r="BA604" s="6" t="s">
        <v>23825</v>
      </c>
      <c r="BB604" s="24" t="n">
        <v>46</v>
      </c>
      <c r="BC604" s="26"/>
      <c r="BD604" s="26"/>
      <c r="BE604" s="26"/>
      <c r="BF604" s="26"/>
      <c r="BG604" s="26"/>
      <c r="BH604" s="26"/>
      <c r="BI604" s="26"/>
      <c r="BJ604" s="26"/>
      <c r="BK604" s="26"/>
      <c r="BL604" s="26"/>
      <c r="BM604" s="26"/>
      <c r="BN604" s="26"/>
      <c r="BO604" s="26"/>
      <c r="BP604" s="16" t="n">
        <v>45442</v>
      </c>
      <c r="BQ604" s="28" t="str">
        <f>HYPERLINK("https://organic.ams.usda.gov/Integrity/Certificate.aspx?cid=46&amp;nopid=3671600137")</f>
        <v>https://organic.ams.usda.gov/Integrity/Certificate.aspx?cid=46&amp;nopid=3671600137</v>
      </c>
    </row>
    <row r="605">
      <c r="A605" t="s">
        <v>3</v>
      </c>
      <c r="B605" s="6" t="s">
        <v>7</v>
      </c>
      <c r="C605" s="6" t="s">
        <v>54</v>
      </c>
      <c r="D605" s="6" t="s">
        <v>100</v>
      </c>
      <c r="E605" s="10" t="s">
        <v>746</v>
      </c>
      <c r="F605" s="6" t="s">
        <v>3477</v>
      </c>
      <c r="G605" s="6" t="s">
        <v>81</v>
      </c>
      <c r="H605" s="6" t="s">
        <v>6440</v>
      </c>
      <c r="I605" s="6" t="s">
        <v>8513</v>
      </c>
      <c r="J605" s="6" t="s">
        <v>9936</v>
      </c>
      <c r="K605" s="6" t="s">
        <v>10886</v>
      </c>
      <c r="L605" s="16" t="n">
        <v>42641</v>
      </c>
      <c r="M605" s="16" t="n">
        <v>45716</v>
      </c>
      <c r="N605" s="6" t="s">
        <v>10886</v>
      </c>
      <c r="O605" s="16" t="n">
        <v>42641</v>
      </c>
      <c r="P605" s="6" t="s">
        <v>11264</v>
      </c>
      <c r="Q605" s="6" t="s">
        <v>81</v>
      </c>
      <c r="R605" s="6" t="s">
        <v>81</v>
      </c>
      <c r="S605" s="6" t="s">
        <v>10886</v>
      </c>
      <c r="T605" s="16" t="n">
        <v>42870</v>
      </c>
      <c r="U605" s="6" t="s">
        <v>13169</v>
      </c>
      <c r="V605" s="6" t="s">
        <v>81</v>
      </c>
      <c r="W605" s="6" t="s">
        <v>81</v>
      </c>
      <c r="X605" s="6" t="s">
        <v>81</v>
      </c>
      <c r="Y605" s="21" t="s">
        <v>81</v>
      </c>
      <c r="Z605" s="6" t="s">
        <v>81</v>
      </c>
      <c r="AA605" s="6" t="s">
        <v>81</v>
      </c>
      <c r="AB605" s="6" t="s">
        <v>81</v>
      </c>
      <c r="AC605" s="6" t="s">
        <v>81</v>
      </c>
      <c r="AD605" s="21" t="s">
        <v>81</v>
      </c>
      <c r="AE605" s="6" t="s">
        <v>81</v>
      </c>
      <c r="AF605" s="6" t="s">
        <v>81</v>
      </c>
      <c r="AG605" s="6" t="s">
        <v>81</v>
      </c>
      <c r="AH605" s="6" t="s">
        <v>15193</v>
      </c>
      <c r="AI605" s="6" t="s">
        <v>81</v>
      </c>
      <c r="AJ605" s="6" t="s">
        <v>17393</v>
      </c>
      <c r="AK605" s="6" t="s">
        <v>17712</v>
      </c>
      <c r="AL605" s="6" t="s">
        <v>18444</v>
      </c>
      <c r="AM605" s="6" t="s">
        <v>18549</v>
      </c>
      <c r="AN605" s="6" t="s">
        <v>19643</v>
      </c>
      <c r="AO605" s="6" t="s">
        <v>19766</v>
      </c>
      <c r="AP605" s="6" t="s">
        <v>15193</v>
      </c>
      <c r="AQ605" s="6" t="s">
        <v>81</v>
      </c>
      <c r="AR605" s="6" t="s">
        <v>17393</v>
      </c>
      <c r="AS605" s="6" t="s">
        <v>17712</v>
      </c>
      <c r="AT605" s="6" t="s">
        <v>18444</v>
      </c>
      <c r="AU605" s="6" t="s">
        <v>18549</v>
      </c>
      <c r="AV605" s="6" t="s">
        <v>81</v>
      </c>
      <c r="AW605" s="6" t="s">
        <v>81</v>
      </c>
      <c r="AX605" s="6" t="s">
        <v>81</v>
      </c>
      <c r="AY605" s="6" t="s">
        <v>81</v>
      </c>
      <c r="AZ605" s="6" t="s">
        <v>81</v>
      </c>
      <c r="BA605" s="6" t="s">
        <v>81</v>
      </c>
      <c r="BB605" s="24" t="n">
        <v>164</v>
      </c>
      <c r="BC605" s="26"/>
      <c r="BD605" s="26"/>
      <c r="BE605" s="26"/>
      <c r="BF605" s="26"/>
      <c r="BG605" s="26"/>
      <c r="BH605" s="26"/>
      <c r="BI605" s="26"/>
      <c r="BJ605" s="26"/>
      <c r="BK605" s="26"/>
      <c r="BL605" s="26"/>
      <c r="BM605" s="26"/>
      <c r="BN605" s="26"/>
      <c r="BO605" s="26"/>
      <c r="BP605" s="16" t="n">
        <v>45595</v>
      </c>
      <c r="BQ605" s="28" t="str">
        <f>HYPERLINK("https://organic.ams.usda.gov/Integrity/Certificate.aspx?cid=57&amp;nopid=3252016150")</f>
        <v>https://organic.ams.usda.gov/Integrity/Certificate.aspx?cid=57&amp;nopid=3252016150</v>
      </c>
    </row>
    <row r="606">
      <c r="A606" t="s">
        <v>3</v>
      </c>
      <c r="B606" s="6" t="s">
        <v>8</v>
      </c>
      <c r="C606" s="6" t="s">
        <v>55</v>
      </c>
      <c r="D606" s="6" t="s">
        <v>101</v>
      </c>
      <c r="E606" s="10" t="s">
        <v>747</v>
      </c>
      <c r="F606" s="6" t="s">
        <v>3478</v>
      </c>
      <c r="G606" s="6" t="s">
        <v>81</v>
      </c>
      <c r="H606" s="6" t="s">
        <v>6441</v>
      </c>
      <c r="I606" s="6" t="s">
        <v>8513</v>
      </c>
      <c r="J606" s="6" t="s">
        <v>9671</v>
      </c>
      <c r="K606" s="6" t="s">
        <v>10886</v>
      </c>
      <c r="L606" s="16" t="n">
        <v>42108</v>
      </c>
      <c r="M606" s="16" t="n">
        <v>45748</v>
      </c>
      <c r="N606" s="6" t="s">
        <v>10886</v>
      </c>
      <c r="O606" s="16" t="n">
        <v>42108</v>
      </c>
      <c r="P606" s="6" t="s">
        <v>11265</v>
      </c>
      <c r="Q606" s="6" t="s">
        <v>81</v>
      </c>
      <c r="R606" s="6" t="s">
        <v>6441</v>
      </c>
      <c r="S606" s="6" t="s">
        <v>10886</v>
      </c>
      <c r="T606" s="16" t="n">
        <v>42108</v>
      </c>
      <c r="U606" s="6" t="s">
        <v>13265</v>
      </c>
      <c r="V606" s="6" t="s">
        <v>81</v>
      </c>
      <c r="W606" s="6" t="s">
        <v>6441</v>
      </c>
      <c r="X606" s="6" t="s">
        <v>81</v>
      </c>
      <c r="Y606" s="21" t="s">
        <v>81</v>
      </c>
      <c r="Z606" s="6" t="s">
        <v>81</v>
      </c>
      <c r="AA606" s="6" t="s">
        <v>81</v>
      </c>
      <c r="AB606" s="6" t="s">
        <v>81</v>
      </c>
      <c r="AC606" s="6" t="s">
        <v>81</v>
      </c>
      <c r="AD606" s="21" t="s">
        <v>81</v>
      </c>
      <c r="AE606" s="6" t="s">
        <v>81</v>
      </c>
      <c r="AF606" s="6" t="s">
        <v>81</v>
      </c>
      <c r="AG606" s="6" t="s">
        <v>81</v>
      </c>
      <c r="AH606" s="6" t="s">
        <v>15194</v>
      </c>
      <c r="AI606" s="6" t="s">
        <v>81</v>
      </c>
      <c r="AJ606" s="6" t="s">
        <v>17418</v>
      </c>
      <c r="AK606" s="6" t="s">
        <v>18379</v>
      </c>
      <c r="AL606" s="6" t="s">
        <v>18444</v>
      </c>
      <c r="AM606" s="6" t="s">
        <v>18575</v>
      </c>
      <c r="AN606" s="6" t="s">
        <v>19671</v>
      </c>
      <c r="AO606" s="6" t="s">
        <v>19784</v>
      </c>
      <c r="AP606" s="6" t="s">
        <v>81</v>
      </c>
      <c r="AQ606" s="6" t="s">
        <v>81</v>
      </c>
      <c r="AR606" s="6" t="s">
        <v>81</v>
      </c>
      <c r="AS606" s="6" t="s">
        <v>81</v>
      </c>
      <c r="AT606" s="6" t="s">
        <v>81</v>
      </c>
      <c r="AU606" s="6" t="s">
        <v>81</v>
      </c>
      <c r="AV606" s="6" t="s">
        <v>81</v>
      </c>
      <c r="AW606" s="6" t="s">
        <v>81</v>
      </c>
      <c r="AX606" s="6" t="s">
        <v>81</v>
      </c>
      <c r="AY606" s="6" t="s">
        <v>81</v>
      </c>
      <c r="AZ606" s="6" t="s">
        <v>81</v>
      </c>
      <c r="BA606" s="6" t="s">
        <v>23824</v>
      </c>
      <c r="BB606" s="24" t="n">
        <v>94</v>
      </c>
      <c r="BC606" s="26"/>
      <c r="BD606" s="26"/>
      <c r="BE606" s="26"/>
      <c r="BF606" s="26" t="s">
        <v>23900</v>
      </c>
      <c r="BG606" s="26"/>
      <c r="BH606" s="26"/>
      <c r="BI606" s="26"/>
      <c r="BJ606" s="26"/>
      <c r="BK606" s="26"/>
      <c r="BL606" s="26"/>
      <c r="BM606" s="26"/>
      <c r="BN606" s="26"/>
      <c r="BO606" s="26"/>
      <c r="BP606" s="16" t="n">
        <v>45646</v>
      </c>
      <c r="BQ606" s="28" t="str">
        <f>HYPERLINK("https://organic.ams.usda.gov/Integrity/Certificate.aspx?cid=45&amp;nopid=9950008335")</f>
        <v>https://organic.ams.usda.gov/Integrity/Certificate.aspx?cid=45&amp;nopid=9950008335</v>
      </c>
    </row>
    <row r="607">
      <c r="A607" t="s">
        <v>3</v>
      </c>
      <c r="B607" s="6" t="s">
        <v>9</v>
      </c>
      <c r="C607" s="6" t="s">
        <v>56</v>
      </c>
      <c r="D607" s="6" t="s">
        <v>102</v>
      </c>
      <c r="E607" s="10" t="s">
        <v>748</v>
      </c>
      <c r="F607" s="6" t="s">
        <v>3478</v>
      </c>
      <c r="G607" s="6" t="s">
        <v>81</v>
      </c>
      <c r="H607" s="6" t="s">
        <v>6442</v>
      </c>
      <c r="I607" s="6" t="s">
        <v>8513</v>
      </c>
      <c r="J607" s="6" t="s">
        <v>9671</v>
      </c>
      <c r="K607" s="6" t="s">
        <v>10886</v>
      </c>
      <c r="L607" s="16" t="n">
        <v>44733</v>
      </c>
      <c r="M607" s="16" t="n">
        <v>46113</v>
      </c>
      <c r="N607" s="6" t="s">
        <v>10886</v>
      </c>
      <c r="O607" s="16" t="n">
        <v>44733</v>
      </c>
      <c r="P607" s="6" t="s">
        <v>10907</v>
      </c>
      <c r="Q607" s="6" t="s">
        <v>81</v>
      </c>
      <c r="R607" s="6" t="s">
        <v>12591</v>
      </c>
      <c r="S607" s="6" t="s">
        <v>10886</v>
      </c>
      <c r="T607" s="16" t="n">
        <v>44733</v>
      </c>
      <c r="U607" s="6" t="s">
        <v>13389</v>
      </c>
      <c r="V607" s="6" t="s">
        <v>81</v>
      </c>
      <c r="W607" s="6" t="s">
        <v>12591</v>
      </c>
      <c r="X607" s="6" t="s">
        <v>81</v>
      </c>
      <c r="Y607" s="21" t="s">
        <v>81</v>
      </c>
      <c r="Z607" s="6" t="s">
        <v>81</v>
      </c>
      <c r="AA607" s="6" t="s">
        <v>81</v>
      </c>
      <c r="AB607" s="6" t="s">
        <v>81</v>
      </c>
      <c r="AC607" s="6" t="s">
        <v>81</v>
      </c>
      <c r="AD607" s="21" t="s">
        <v>81</v>
      </c>
      <c r="AE607" s="6" t="s">
        <v>81</v>
      </c>
      <c r="AF607" s="6" t="s">
        <v>81</v>
      </c>
      <c r="AG607" s="6" t="s">
        <v>81</v>
      </c>
      <c r="AH607" s="6" t="s">
        <v>15195</v>
      </c>
      <c r="AI607" s="6" t="s">
        <v>81</v>
      </c>
      <c r="AJ607" s="6" t="s">
        <v>17329</v>
      </c>
      <c r="AK607" s="6" t="s">
        <v>18380</v>
      </c>
      <c r="AL607" s="6" t="s">
        <v>18444</v>
      </c>
      <c r="AM607" s="6" t="s">
        <v>18481</v>
      </c>
      <c r="AN607" s="6" t="s">
        <v>19639</v>
      </c>
      <c r="AO607" s="6" t="s">
        <v>19725</v>
      </c>
      <c r="AP607" s="6" t="s">
        <v>81</v>
      </c>
      <c r="AQ607" s="6" t="s">
        <v>81</v>
      </c>
      <c r="AR607" s="6" t="s">
        <v>81</v>
      </c>
      <c r="AS607" s="6" t="s">
        <v>81</v>
      </c>
      <c r="AT607" s="6" t="s">
        <v>81</v>
      </c>
      <c r="AU607" s="6" t="s">
        <v>81</v>
      </c>
      <c r="AV607" s="6" t="s">
        <v>81</v>
      </c>
      <c r="AW607" s="6" t="s">
        <v>81</v>
      </c>
      <c r="AX607" s="6" t="s">
        <v>21132</v>
      </c>
      <c r="AY607" s="6" t="s">
        <v>81</v>
      </c>
      <c r="AZ607" s="6" t="s">
        <v>81</v>
      </c>
      <c r="BA607" s="6" t="s">
        <v>81</v>
      </c>
      <c r="BB607" s="24" t="n">
        <v>58</v>
      </c>
      <c r="BC607" s="26"/>
      <c r="BD607" s="26"/>
      <c r="BE607" s="26"/>
      <c r="BF607" s="26"/>
      <c r="BG607" s="26"/>
      <c r="BH607" s="26"/>
      <c r="BI607" s="26"/>
      <c r="BJ607" s="26"/>
      <c r="BK607" s="26"/>
      <c r="BL607" s="26"/>
      <c r="BM607" s="26"/>
      <c r="BN607" s="26"/>
      <c r="BO607" s="26"/>
      <c r="BP607" s="16" t="n">
        <v>45738</v>
      </c>
      <c r="BQ607" s="28" t="str">
        <f>HYPERLINK("https://organic.ams.usda.gov/Integrity/Certificate.aspx?cid=52&amp;nopid=8432102028")</f>
        <v>https://organic.ams.usda.gov/Integrity/Certificate.aspx?cid=52&amp;nopid=8432102028</v>
      </c>
    </row>
    <row r="608">
      <c r="A608" t="s">
        <v>3</v>
      </c>
      <c r="B608" s="6" t="s">
        <v>10</v>
      </c>
      <c r="C608" s="6" t="s">
        <v>57</v>
      </c>
      <c r="D608" s="6" t="s">
        <v>103</v>
      </c>
      <c r="E608" s="10" t="s">
        <v>749</v>
      </c>
      <c r="F608" s="6" t="s">
        <v>3479</v>
      </c>
      <c r="G608" s="6" t="s">
        <v>81</v>
      </c>
      <c r="H608" s="6" t="s">
        <v>6443</v>
      </c>
      <c r="I608" s="6" t="s">
        <v>8513</v>
      </c>
      <c r="J608" s="6" t="s">
        <v>9671</v>
      </c>
      <c r="K608" s="6" t="s">
        <v>10886</v>
      </c>
      <c r="L608" s="16" t="n">
        <v>44498</v>
      </c>
      <c r="M608" s="16" t="n">
        <v>45748</v>
      </c>
      <c r="N608" s="6" t="s">
        <v>10886</v>
      </c>
      <c r="O608" s="16" t="n">
        <v>44498</v>
      </c>
      <c r="P608" s="6" t="s">
        <v>11266</v>
      </c>
      <c r="Q608" s="6" t="s">
        <v>81</v>
      </c>
      <c r="R608" s="6" t="s">
        <v>12592</v>
      </c>
      <c r="S608" s="6" t="s">
        <v>10886</v>
      </c>
      <c r="T608" s="16" t="n">
        <v>44498</v>
      </c>
      <c r="U608" s="6" t="s">
        <v>13163</v>
      </c>
      <c r="V608" s="6" t="s">
        <v>81</v>
      </c>
      <c r="W608" s="6" t="s">
        <v>81</v>
      </c>
      <c r="X608" s="6" t="s">
        <v>81</v>
      </c>
      <c r="Y608" s="21" t="s">
        <v>81</v>
      </c>
      <c r="Z608" s="6" t="s">
        <v>81</v>
      </c>
      <c r="AA608" s="6" t="s">
        <v>81</v>
      </c>
      <c r="AB608" s="6" t="s">
        <v>81</v>
      </c>
      <c r="AC608" s="6" t="s">
        <v>81</v>
      </c>
      <c r="AD608" s="21" t="s">
        <v>81</v>
      </c>
      <c r="AE608" s="6" t="s">
        <v>81</v>
      </c>
      <c r="AF608" s="6" t="s">
        <v>81</v>
      </c>
      <c r="AG608" s="6" t="s">
        <v>81</v>
      </c>
      <c r="AH608" s="6" t="s">
        <v>15196</v>
      </c>
      <c r="AI608" s="6" t="s">
        <v>81</v>
      </c>
      <c r="AJ608" s="6" t="s">
        <v>17639</v>
      </c>
      <c r="AK608" s="6" t="s">
        <v>18379</v>
      </c>
      <c r="AL608" s="6" t="s">
        <v>18444</v>
      </c>
      <c r="AM608" s="6" t="s">
        <v>18808</v>
      </c>
      <c r="AN608" s="6" t="s">
        <v>19671</v>
      </c>
      <c r="AO608" s="6" t="s">
        <v>19784</v>
      </c>
      <c r="AP608" s="6" t="s">
        <v>15196</v>
      </c>
      <c r="AQ608" s="6" t="s">
        <v>81</v>
      </c>
      <c r="AR608" s="6" t="s">
        <v>17639</v>
      </c>
      <c r="AS608" s="6" t="s">
        <v>18379</v>
      </c>
      <c r="AT608" s="6" t="s">
        <v>18444</v>
      </c>
      <c r="AU608" s="6" t="s">
        <v>18808</v>
      </c>
      <c r="AV608" s="6" t="s">
        <v>81</v>
      </c>
      <c r="AW608" s="6" t="s">
        <v>81</v>
      </c>
      <c r="AX608" s="6" t="s">
        <v>21133</v>
      </c>
      <c r="AY608" s="6" t="s">
        <v>81</v>
      </c>
      <c r="AZ608" s="6" t="s">
        <v>81</v>
      </c>
      <c r="BA608" s="6" t="s">
        <v>81</v>
      </c>
      <c r="BB608" s="24" t="n">
        <v>83</v>
      </c>
      <c r="BC608" s="26"/>
      <c r="BD608" s="26"/>
      <c r="BE608" s="26"/>
      <c r="BF608" s="26"/>
      <c r="BG608" s="26"/>
      <c r="BH608" s="26"/>
      <c r="BI608" s="26"/>
      <c r="BJ608" s="26"/>
      <c r="BK608" s="26"/>
      <c r="BL608" s="26"/>
      <c r="BM608" s="26"/>
      <c r="BN608" s="26"/>
      <c r="BO608" s="26"/>
      <c r="BP608" s="16" t="n">
        <v>45730</v>
      </c>
      <c r="BQ608" s="28" t="str">
        <f>HYPERLINK("https://organic.ams.usda.gov/Integrity/Certificate.aspx?cid=90&amp;nopid=7170210416")</f>
        <v>https://organic.ams.usda.gov/Integrity/Certificate.aspx?cid=90&amp;nopid=7170210416</v>
      </c>
    </row>
    <row r="609">
      <c r="A609" t="s">
        <v>3</v>
      </c>
      <c r="B609" s="6" t="s">
        <v>9</v>
      </c>
      <c r="C609" s="6" t="s">
        <v>56</v>
      </c>
      <c r="D609" s="6" t="s">
        <v>102</v>
      </c>
      <c r="E609" s="10" t="s">
        <v>750</v>
      </c>
      <c r="F609" s="6" t="s">
        <v>3480</v>
      </c>
      <c r="G609" s="6" t="s">
        <v>81</v>
      </c>
      <c r="H609" s="6" t="s">
        <v>6444</v>
      </c>
      <c r="I609" s="6" t="s">
        <v>8513</v>
      </c>
      <c r="J609" s="6" t="s">
        <v>9729</v>
      </c>
      <c r="K609" s="6" t="s">
        <v>10886</v>
      </c>
      <c r="L609" s="16" t="n">
        <v>42222</v>
      </c>
      <c r="M609" s="16" t="n">
        <v>46113</v>
      </c>
      <c r="N609" s="6" t="s">
        <v>10886</v>
      </c>
      <c r="O609" s="16" t="n">
        <v>42222</v>
      </c>
      <c r="P609" s="6" t="s">
        <v>11267</v>
      </c>
      <c r="Q609" s="6" t="s">
        <v>81</v>
      </c>
      <c r="R609" s="6" t="s">
        <v>12593</v>
      </c>
      <c r="S609" s="6" t="s">
        <v>10886</v>
      </c>
      <c r="T609" s="16" t="n">
        <v>42222</v>
      </c>
      <c r="U609" s="6" t="s">
        <v>13162</v>
      </c>
      <c r="V609" s="6" t="s">
        <v>81</v>
      </c>
      <c r="W609" s="6" t="s">
        <v>12593</v>
      </c>
      <c r="X609" s="6" t="s">
        <v>81</v>
      </c>
      <c r="Y609" s="21" t="s">
        <v>81</v>
      </c>
      <c r="Z609" s="6" t="s">
        <v>81</v>
      </c>
      <c r="AA609" s="6" t="s">
        <v>81</v>
      </c>
      <c r="AB609" s="6" t="s">
        <v>81</v>
      </c>
      <c r="AC609" s="6" t="s">
        <v>10886</v>
      </c>
      <c r="AD609" s="16" t="n">
        <v>42222</v>
      </c>
      <c r="AE609" s="6" t="s">
        <v>81</v>
      </c>
      <c r="AF609" s="6" t="s">
        <v>81</v>
      </c>
      <c r="AG609" s="6" t="s">
        <v>81</v>
      </c>
      <c r="AH609" s="6" t="s">
        <v>15197</v>
      </c>
      <c r="AI609" s="6" t="s">
        <v>81</v>
      </c>
      <c r="AJ609" s="6" t="s">
        <v>17643</v>
      </c>
      <c r="AK609" s="6" t="s">
        <v>18377</v>
      </c>
      <c r="AL609" s="6" t="s">
        <v>18444</v>
      </c>
      <c r="AM609" s="6" t="s">
        <v>18812</v>
      </c>
      <c r="AN609" s="6" t="s">
        <v>19646</v>
      </c>
      <c r="AO609" s="6" t="s">
        <v>19733</v>
      </c>
      <c r="AP609" s="6" t="s">
        <v>81</v>
      </c>
      <c r="AQ609" s="6" t="s">
        <v>81</v>
      </c>
      <c r="AR609" s="6" t="s">
        <v>81</v>
      </c>
      <c r="AS609" s="6" t="s">
        <v>81</v>
      </c>
      <c r="AT609" s="6" t="s">
        <v>81</v>
      </c>
      <c r="AU609" s="6" t="s">
        <v>81</v>
      </c>
      <c r="AV609" s="6" t="s">
        <v>81</v>
      </c>
      <c r="AW609" s="6" t="s">
        <v>81</v>
      </c>
      <c r="AX609" s="6" t="s">
        <v>81</v>
      </c>
      <c r="AY609" s="6" t="s">
        <v>81</v>
      </c>
      <c r="AZ609" s="6" t="s">
        <v>81</v>
      </c>
      <c r="BA609" s="6" t="s">
        <v>81</v>
      </c>
      <c r="BB609" s="24" t="n">
        <v>124</v>
      </c>
      <c r="BC609" s="26"/>
      <c r="BD609" s="26"/>
      <c r="BE609" s="26"/>
      <c r="BF609" s="26"/>
      <c r="BG609" s="26"/>
      <c r="BH609" s="26"/>
      <c r="BI609" s="26"/>
      <c r="BJ609" s="26"/>
      <c r="BK609" s="26"/>
      <c r="BL609" s="26"/>
      <c r="BM609" s="26"/>
      <c r="BN609" s="26"/>
      <c r="BO609" s="26"/>
      <c r="BP609" s="16" t="n">
        <v>45738</v>
      </c>
      <c r="BQ609" s="28" t="str">
        <f>HYPERLINK("https://organic.ams.usda.gov/Integrity/Certificate.aspx?cid=52&amp;nopid=8431501090")</f>
        <v>https://organic.ams.usda.gov/Integrity/Certificate.aspx?cid=52&amp;nopid=8431501090</v>
      </c>
    </row>
    <row r="610">
      <c r="A610" t="s">
        <v>3</v>
      </c>
      <c r="B610" s="6" t="s">
        <v>13</v>
      </c>
      <c r="C610" s="6" t="s">
        <v>60</v>
      </c>
      <c r="D610" s="6" t="s">
        <v>106</v>
      </c>
      <c r="E610" s="10" t="s">
        <v>751</v>
      </c>
      <c r="F610" s="6" t="s">
        <v>3481</v>
      </c>
      <c r="G610" s="6" t="s">
        <v>81</v>
      </c>
      <c r="H610" s="6" t="s">
        <v>6445</v>
      </c>
      <c r="I610" s="6" t="s">
        <v>8513</v>
      </c>
      <c r="J610" s="6" t="s">
        <v>9666</v>
      </c>
      <c r="K610" s="6" t="s">
        <v>10886</v>
      </c>
      <c r="L610" s="16" t="n">
        <v>41408</v>
      </c>
      <c r="M610" s="16" t="n">
        <v>45748</v>
      </c>
      <c r="N610" s="6" t="s">
        <v>10886</v>
      </c>
      <c r="O610" s="16" t="n">
        <v>41408</v>
      </c>
      <c r="P610" s="6" t="s">
        <v>11268</v>
      </c>
      <c r="Q610" s="6" t="s">
        <v>81</v>
      </c>
      <c r="R610" s="6" t="s">
        <v>12594</v>
      </c>
      <c r="S610" s="6" t="s">
        <v>10886</v>
      </c>
      <c r="T610" s="16" t="n">
        <v>41558</v>
      </c>
      <c r="U610" s="6" t="s">
        <v>13390</v>
      </c>
      <c r="V610" s="6" t="s">
        <v>81</v>
      </c>
      <c r="W610" s="6" t="s">
        <v>12594</v>
      </c>
      <c r="X610" s="6" t="s">
        <v>81</v>
      </c>
      <c r="Y610" s="21" t="s">
        <v>81</v>
      </c>
      <c r="Z610" s="6" t="s">
        <v>81</v>
      </c>
      <c r="AA610" s="6" t="s">
        <v>81</v>
      </c>
      <c r="AB610" s="6" t="s">
        <v>81</v>
      </c>
      <c r="AC610" s="6" t="s">
        <v>81</v>
      </c>
      <c r="AD610" s="21" t="s">
        <v>81</v>
      </c>
      <c r="AE610" s="6" t="s">
        <v>81</v>
      </c>
      <c r="AF610" s="6" t="s">
        <v>81</v>
      </c>
      <c r="AG610" s="6" t="s">
        <v>81</v>
      </c>
      <c r="AH610" s="6" t="s">
        <v>15198</v>
      </c>
      <c r="AI610" s="6" t="s">
        <v>81</v>
      </c>
      <c r="AJ610" s="6" t="s">
        <v>17391</v>
      </c>
      <c r="AK610" s="6" t="s">
        <v>18379</v>
      </c>
      <c r="AL610" s="6" t="s">
        <v>18444</v>
      </c>
      <c r="AM610" s="6" t="s">
        <v>18467</v>
      </c>
      <c r="AN610" s="6" t="s">
        <v>19637</v>
      </c>
      <c r="AO610" s="6" t="s">
        <v>19723</v>
      </c>
      <c r="AP610" s="6" t="s">
        <v>15198</v>
      </c>
      <c r="AQ610" s="6" t="s">
        <v>81</v>
      </c>
      <c r="AR610" s="6" t="s">
        <v>17391</v>
      </c>
      <c r="AS610" s="6" t="s">
        <v>18379</v>
      </c>
      <c r="AT610" s="6" t="s">
        <v>18444</v>
      </c>
      <c r="AU610" s="6" t="s">
        <v>18467</v>
      </c>
      <c r="AV610" s="6" t="s">
        <v>81</v>
      </c>
      <c r="AW610" s="6" t="s">
        <v>81</v>
      </c>
      <c r="AX610" s="6" t="s">
        <v>21134</v>
      </c>
      <c r="AY610" s="6" t="s">
        <v>81</v>
      </c>
      <c r="AZ610" s="6" t="s">
        <v>81</v>
      </c>
      <c r="BA610" s="6" t="s">
        <v>81</v>
      </c>
      <c r="BB610" s="24" t="n">
        <v>120</v>
      </c>
      <c r="BC610" s="26"/>
      <c r="BD610" s="26"/>
      <c r="BE610" s="26"/>
      <c r="BF610" s="26" t="s">
        <v>23900</v>
      </c>
      <c r="BG610" s="26"/>
      <c r="BH610" s="26"/>
      <c r="BI610" s="26"/>
      <c r="BJ610" s="26"/>
      <c r="BK610" s="26"/>
      <c r="BL610" s="26"/>
      <c r="BM610" s="26"/>
      <c r="BN610" s="26"/>
      <c r="BO610" s="26"/>
      <c r="BP610" s="16" t="n">
        <v>45663</v>
      </c>
      <c r="BQ610" s="28" t="str">
        <f>HYPERLINK("https://organic.ams.usda.gov/Integrity/Certificate.aspx?cid=72&amp;nopid=5870001600")</f>
        <v>https://organic.ams.usda.gov/Integrity/Certificate.aspx?cid=72&amp;nopid=5870001600</v>
      </c>
    </row>
    <row r="611">
      <c r="A611" t="s">
        <v>3</v>
      </c>
      <c r="B611" s="6" t="s">
        <v>12</v>
      </c>
      <c r="C611" s="6" t="s">
        <v>59</v>
      </c>
      <c r="D611" s="6" t="s">
        <v>105</v>
      </c>
      <c r="E611" s="10" t="s">
        <v>752</v>
      </c>
      <c r="F611" s="6" t="s">
        <v>3482</v>
      </c>
      <c r="G611" s="6" t="s">
        <v>81</v>
      </c>
      <c r="H611" s="6" t="s">
        <v>6446</v>
      </c>
      <c r="I611" s="6" t="s">
        <v>8756</v>
      </c>
      <c r="J611" s="6" t="s">
        <v>9683</v>
      </c>
      <c r="K611" s="6" t="s">
        <v>10886</v>
      </c>
      <c r="L611" s="16" t="n">
        <v>39784</v>
      </c>
      <c r="M611" s="16" t="n">
        <v>45717</v>
      </c>
      <c r="N611" s="6" t="s">
        <v>10886</v>
      </c>
      <c r="O611" s="16" t="n">
        <v>39784</v>
      </c>
      <c r="P611" s="6" t="s">
        <v>11269</v>
      </c>
      <c r="Q611" s="6" t="s">
        <v>81</v>
      </c>
      <c r="R611" s="6" t="s">
        <v>81</v>
      </c>
      <c r="S611" s="6" t="s">
        <v>10886</v>
      </c>
      <c r="T611" s="16" t="n">
        <v>39784</v>
      </c>
      <c r="U611" s="6" t="s">
        <v>13166</v>
      </c>
      <c r="V611" s="6" t="s">
        <v>81</v>
      </c>
      <c r="W611" s="6" t="s">
        <v>81</v>
      </c>
      <c r="X611" s="6" t="s">
        <v>81</v>
      </c>
      <c r="Y611" s="21" t="s">
        <v>81</v>
      </c>
      <c r="Z611" s="6" t="s">
        <v>81</v>
      </c>
      <c r="AA611" s="6" t="s">
        <v>81</v>
      </c>
      <c r="AB611" s="6" t="s">
        <v>81</v>
      </c>
      <c r="AC611" s="6" t="s">
        <v>81</v>
      </c>
      <c r="AD611" s="21" t="s">
        <v>81</v>
      </c>
      <c r="AE611" s="6" t="s">
        <v>81</v>
      </c>
      <c r="AF611" s="6" t="s">
        <v>81</v>
      </c>
      <c r="AG611" s="6" t="s">
        <v>81</v>
      </c>
      <c r="AH611" s="6" t="s">
        <v>15199</v>
      </c>
      <c r="AI611" s="6" t="s">
        <v>81</v>
      </c>
      <c r="AJ611" s="6" t="s">
        <v>17674</v>
      </c>
      <c r="AK611" s="6" t="s">
        <v>18380</v>
      </c>
      <c r="AL611" s="6" t="s">
        <v>18444</v>
      </c>
      <c r="AM611" s="6" t="s">
        <v>18841</v>
      </c>
      <c r="AN611" s="6" t="s">
        <v>19693</v>
      </c>
      <c r="AO611" s="6" t="s">
        <v>19896</v>
      </c>
      <c r="AP611" s="6" t="s">
        <v>15199</v>
      </c>
      <c r="AQ611" s="6" t="s">
        <v>81</v>
      </c>
      <c r="AR611" s="6" t="s">
        <v>17674</v>
      </c>
      <c r="AS611" s="6" t="s">
        <v>18380</v>
      </c>
      <c r="AT611" s="6" t="s">
        <v>18444</v>
      </c>
      <c r="AU611" s="6" t="s">
        <v>18841</v>
      </c>
      <c r="AV611" s="6" t="s">
        <v>81</v>
      </c>
      <c r="AW611" s="6" t="s">
        <v>81</v>
      </c>
      <c r="AX611" s="6" t="s">
        <v>81</v>
      </c>
      <c r="AY611" s="6" t="s">
        <v>81</v>
      </c>
      <c r="AZ611" s="6" t="s">
        <v>81</v>
      </c>
      <c r="BA611" s="6" t="s">
        <v>81</v>
      </c>
      <c r="BB611" s="24" t="n">
        <v>99</v>
      </c>
      <c r="BC611" s="26"/>
      <c r="BD611" s="26"/>
      <c r="BE611" s="26"/>
      <c r="BF611" s="26"/>
      <c r="BG611" s="26"/>
      <c r="BH611" s="26"/>
      <c r="BI611" s="26"/>
      <c r="BJ611" s="26"/>
      <c r="BK611" s="26"/>
      <c r="BL611" s="26"/>
      <c r="BM611" s="26"/>
      <c r="BN611" s="26"/>
      <c r="BO611" s="26"/>
      <c r="BP611" s="16" t="n">
        <v>45684</v>
      </c>
      <c r="BQ611" s="28" t="str">
        <f>HYPERLINK("https://organic.ams.usda.gov/Integrity/Certificate.aspx?cid=68&amp;nopid=8210002603")</f>
        <v>https://organic.ams.usda.gov/Integrity/Certificate.aspx?cid=68&amp;nopid=8210002603</v>
      </c>
    </row>
    <row r="612">
      <c r="A612" t="s">
        <v>3</v>
      </c>
      <c r="B612" s="6" t="s">
        <v>9</v>
      </c>
      <c r="C612" s="6" t="s">
        <v>56</v>
      </c>
      <c r="D612" s="6" t="s">
        <v>102</v>
      </c>
      <c r="E612" s="10" t="s">
        <v>753</v>
      </c>
      <c r="F612" s="6" t="s">
        <v>3483</v>
      </c>
      <c r="G612" s="6" t="s">
        <v>81</v>
      </c>
      <c r="H612" s="6" t="s">
        <v>6447</v>
      </c>
      <c r="I612" s="6" t="s">
        <v>8513</v>
      </c>
      <c r="J612" s="6" t="s">
        <v>9666</v>
      </c>
      <c r="K612" s="6" t="s">
        <v>10886</v>
      </c>
      <c r="L612" s="16" t="n">
        <v>41541</v>
      </c>
      <c r="M612" s="16" t="n">
        <v>46113</v>
      </c>
      <c r="N612" s="6" t="s">
        <v>10886</v>
      </c>
      <c r="O612" s="16" t="n">
        <v>41541</v>
      </c>
      <c r="P612" s="6" t="s">
        <v>10922</v>
      </c>
      <c r="Q612" s="6" t="s">
        <v>81</v>
      </c>
      <c r="R612" s="6" t="s">
        <v>12595</v>
      </c>
      <c r="S612" s="6" t="s">
        <v>10886</v>
      </c>
      <c r="T612" s="16" t="n">
        <v>41541</v>
      </c>
      <c r="U612" s="6" t="s">
        <v>13176</v>
      </c>
      <c r="V612" s="6" t="s">
        <v>81</v>
      </c>
      <c r="W612" s="6" t="s">
        <v>12595</v>
      </c>
      <c r="X612" s="6" t="s">
        <v>81</v>
      </c>
      <c r="Y612" s="21" t="s">
        <v>81</v>
      </c>
      <c r="Z612" s="6" t="s">
        <v>81</v>
      </c>
      <c r="AA612" s="6" t="s">
        <v>81</v>
      </c>
      <c r="AB612" s="6" t="s">
        <v>81</v>
      </c>
      <c r="AC612" s="6" t="s">
        <v>81</v>
      </c>
      <c r="AD612" s="21" t="s">
        <v>81</v>
      </c>
      <c r="AE612" s="6" t="s">
        <v>81</v>
      </c>
      <c r="AF612" s="6" t="s">
        <v>81</v>
      </c>
      <c r="AG612" s="6" t="s">
        <v>81</v>
      </c>
      <c r="AH612" s="6" t="s">
        <v>15200</v>
      </c>
      <c r="AI612" s="6" t="s">
        <v>81</v>
      </c>
      <c r="AJ612" s="6" t="s">
        <v>17675</v>
      </c>
      <c r="AK612" s="6" t="s">
        <v>17712</v>
      </c>
      <c r="AL612" s="6" t="s">
        <v>18444</v>
      </c>
      <c r="AM612" s="6" t="s">
        <v>7231</v>
      </c>
      <c r="AN612" s="6" t="s">
        <v>7450</v>
      </c>
      <c r="AO612" s="6" t="s">
        <v>19897</v>
      </c>
      <c r="AP612" s="6" t="s">
        <v>81</v>
      </c>
      <c r="AQ612" s="6" t="s">
        <v>81</v>
      </c>
      <c r="AR612" s="6" t="s">
        <v>81</v>
      </c>
      <c r="AS612" s="6" t="s">
        <v>81</v>
      </c>
      <c r="AT612" s="6" t="s">
        <v>81</v>
      </c>
      <c r="AU612" s="6" t="s">
        <v>81</v>
      </c>
      <c r="AV612" s="6" t="s">
        <v>81</v>
      </c>
      <c r="AW612" s="6" t="s">
        <v>81</v>
      </c>
      <c r="AX612" s="6" t="s">
        <v>21135</v>
      </c>
      <c r="AY612" s="6" t="s">
        <v>81</v>
      </c>
      <c r="AZ612" s="6" t="s">
        <v>81</v>
      </c>
      <c r="BA612" s="6" t="s">
        <v>81</v>
      </c>
      <c r="BB612" s="24" t="n">
        <v>248</v>
      </c>
      <c r="BC612" s="26"/>
      <c r="BD612" s="26"/>
      <c r="BE612" s="26"/>
      <c r="BF612" s="26"/>
      <c r="BG612" s="26"/>
      <c r="BH612" s="26"/>
      <c r="BI612" s="26"/>
      <c r="BJ612" s="26"/>
      <c r="BK612" s="26"/>
      <c r="BL612" s="26"/>
      <c r="BM612" s="26"/>
      <c r="BN612" s="26"/>
      <c r="BO612" s="26"/>
      <c r="BP612" s="16" t="n">
        <v>45738</v>
      </c>
      <c r="BQ612" s="28" t="str">
        <f>HYPERLINK("https://organic.ams.usda.gov/Integrity/Certificate.aspx?cid=52&amp;nopid=8431300562")</f>
        <v>https://organic.ams.usda.gov/Integrity/Certificate.aspx?cid=52&amp;nopid=8431300562</v>
      </c>
    </row>
    <row r="613">
      <c r="A613" t="s">
        <v>3</v>
      </c>
      <c r="B613" s="6" t="s">
        <v>12</v>
      </c>
      <c r="C613" s="6" t="s">
        <v>59</v>
      </c>
      <c r="D613" s="6" t="s">
        <v>105</v>
      </c>
      <c r="E613" s="10" t="s">
        <v>754</v>
      </c>
      <c r="F613" s="6" t="s">
        <v>3484</v>
      </c>
      <c r="G613" s="6" t="s">
        <v>81</v>
      </c>
      <c r="H613" s="6" t="s">
        <v>6448</v>
      </c>
      <c r="I613" s="6" t="s">
        <v>8513</v>
      </c>
      <c r="J613" s="6" t="s">
        <v>9906</v>
      </c>
      <c r="K613" s="6" t="s">
        <v>10886</v>
      </c>
      <c r="L613" s="16" t="n">
        <v>37550</v>
      </c>
      <c r="M613" s="16" t="n">
        <v>45717</v>
      </c>
      <c r="N613" s="6" t="s">
        <v>10886</v>
      </c>
      <c r="O613" s="16" t="n">
        <v>37550</v>
      </c>
      <c r="P613" s="6" t="s">
        <v>11270</v>
      </c>
      <c r="Q613" s="6" t="s">
        <v>81</v>
      </c>
      <c r="R613" s="6" t="s">
        <v>81</v>
      </c>
      <c r="S613" s="6" t="s">
        <v>10886</v>
      </c>
      <c r="T613" s="16" t="n">
        <v>37550</v>
      </c>
      <c r="U613" s="6" t="s">
        <v>13183</v>
      </c>
      <c r="V613" s="6" t="s">
        <v>81</v>
      </c>
      <c r="W613" s="6" t="s">
        <v>81</v>
      </c>
      <c r="X613" s="6" t="s">
        <v>81</v>
      </c>
      <c r="Y613" s="21" t="s">
        <v>81</v>
      </c>
      <c r="Z613" s="6" t="s">
        <v>81</v>
      </c>
      <c r="AA613" s="6" t="s">
        <v>81</v>
      </c>
      <c r="AB613" s="6" t="s">
        <v>81</v>
      </c>
      <c r="AC613" s="6" t="s">
        <v>81</v>
      </c>
      <c r="AD613" s="21" t="s">
        <v>81</v>
      </c>
      <c r="AE613" s="6" t="s">
        <v>81</v>
      </c>
      <c r="AF613" s="6" t="s">
        <v>81</v>
      </c>
      <c r="AG613" s="6" t="s">
        <v>81</v>
      </c>
      <c r="AH613" s="6" t="s">
        <v>15201</v>
      </c>
      <c r="AI613" s="6" t="s">
        <v>81</v>
      </c>
      <c r="AJ613" s="6" t="s">
        <v>17411</v>
      </c>
      <c r="AK613" s="6" t="s">
        <v>18380</v>
      </c>
      <c r="AL613" s="6" t="s">
        <v>18444</v>
      </c>
      <c r="AM613" s="6" t="s">
        <v>18567</v>
      </c>
      <c r="AN613" s="6" t="s">
        <v>19639</v>
      </c>
      <c r="AO613" s="6" t="s">
        <v>19725</v>
      </c>
      <c r="AP613" s="6" t="s">
        <v>15201</v>
      </c>
      <c r="AQ613" s="6" t="s">
        <v>81</v>
      </c>
      <c r="AR613" s="6" t="s">
        <v>17411</v>
      </c>
      <c r="AS613" s="6" t="s">
        <v>18380</v>
      </c>
      <c r="AT613" s="6" t="s">
        <v>18444</v>
      </c>
      <c r="AU613" s="6" t="s">
        <v>18567</v>
      </c>
      <c r="AV613" s="6" t="s">
        <v>81</v>
      </c>
      <c r="AW613" s="6" t="s">
        <v>81</v>
      </c>
      <c r="AX613" s="6" t="s">
        <v>21136</v>
      </c>
      <c r="AY613" s="6" t="s">
        <v>81</v>
      </c>
      <c r="AZ613" s="6" t="s">
        <v>81</v>
      </c>
      <c r="BA613" s="6" t="s">
        <v>81</v>
      </c>
      <c r="BB613" s="24" t="n">
        <v>92</v>
      </c>
      <c r="BC613" s="26"/>
      <c r="BD613" s="26"/>
      <c r="BE613" s="26"/>
      <c r="BF613" s="26"/>
      <c r="BG613" s="26"/>
      <c r="BH613" s="26"/>
      <c r="BI613" s="26"/>
      <c r="BJ613" s="26"/>
      <c r="BK613" s="26"/>
      <c r="BL613" s="26"/>
      <c r="BM613" s="26"/>
      <c r="BN613" s="26"/>
      <c r="BO613" s="26"/>
      <c r="BP613" s="16" t="n">
        <v>45684</v>
      </c>
      <c r="BQ613" s="28" t="str">
        <f>HYPERLINK("https://organic.ams.usda.gov/Integrity/Certificate.aspx?cid=68&amp;nopid=8210003498")</f>
        <v>https://organic.ams.usda.gov/Integrity/Certificate.aspx?cid=68&amp;nopid=8210003498</v>
      </c>
    </row>
    <row r="614">
      <c r="A614" t="s">
        <v>3</v>
      </c>
      <c r="B614" s="6" t="s">
        <v>9</v>
      </c>
      <c r="C614" s="6" t="s">
        <v>56</v>
      </c>
      <c r="D614" s="6" t="s">
        <v>102</v>
      </c>
      <c r="E614" s="10" t="s">
        <v>755</v>
      </c>
      <c r="F614" s="6" t="s">
        <v>3485</v>
      </c>
      <c r="G614" s="6" t="s">
        <v>81</v>
      </c>
      <c r="H614" s="6" t="s">
        <v>6449</v>
      </c>
      <c r="I614" s="6" t="s">
        <v>8513</v>
      </c>
      <c r="J614" s="6" t="s">
        <v>9730</v>
      </c>
      <c r="K614" s="6" t="s">
        <v>10886</v>
      </c>
      <c r="L614" s="16" t="n">
        <v>43761</v>
      </c>
      <c r="M614" s="16" t="n">
        <v>45748</v>
      </c>
      <c r="N614" s="6" t="s">
        <v>10886</v>
      </c>
      <c r="O614" s="16" t="n">
        <v>43761</v>
      </c>
      <c r="P614" s="6" t="s">
        <v>10907</v>
      </c>
      <c r="Q614" s="6" t="s">
        <v>81</v>
      </c>
      <c r="R614" s="6" t="s">
        <v>12596</v>
      </c>
      <c r="S614" s="6" t="s">
        <v>10886</v>
      </c>
      <c r="T614" s="16" t="n">
        <v>43761</v>
      </c>
      <c r="U614" s="6" t="s">
        <v>13168</v>
      </c>
      <c r="V614" s="6" t="s">
        <v>81</v>
      </c>
      <c r="W614" s="6" t="s">
        <v>12596</v>
      </c>
      <c r="X614" s="6" t="s">
        <v>81</v>
      </c>
      <c r="Y614" s="21" t="s">
        <v>81</v>
      </c>
      <c r="Z614" s="6" t="s">
        <v>81</v>
      </c>
      <c r="AA614" s="6" t="s">
        <v>81</v>
      </c>
      <c r="AB614" s="6" t="s">
        <v>81</v>
      </c>
      <c r="AC614" s="6" t="s">
        <v>81</v>
      </c>
      <c r="AD614" s="21" t="s">
        <v>81</v>
      </c>
      <c r="AE614" s="6" t="s">
        <v>81</v>
      </c>
      <c r="AF614" s="6" t="s">
        <v>81</v>
      </c>
      <c r="AG614" s="6" t="s">
        <v>81</v>
      </c>
      <c r="AH614" s="6" t="s">
        <v>15202</v>
      </c>
      <c r="AI614" s="6" t="s">
        <v>81</v>
      </c>
      <c r="AJ614" s="6" t="s">
        <v>17390</v>
      </c>
      <c r="AK614" s="6" t="s">
        <v>18380</v>
      </c>
      <c r="AL614" s="6" t="s">
        <v>18444</v>
      </c>
      <c r="AM614" s="6" t="s">
        <v>18545</v>
      </c>
      <c r="AN614" s="6" t="s">
        <v>19639</v>
      </c>
      <c r="AO614" s="6" t="s">
        <v>19725</v>
      </c>
      <c r="AP614" s="6" t="s">
        <v>81</v>
      </c>
      <c r="AQ614" s="6" t="s">
        <v>81</v>
      </c>
      <c r="AR614" s="6" t="s">
        <v>81</v>
      </c>
      <c r="AS614" s="6" t="s">
        <v>81</v>
      </c>
      <c r="AT614" s="6" t="s">
        <v>81</v>
      </c>
      <c r="AU614" s="6" t="s">
        <v>81</v>
      </c>
      <c r="AV614" s="6" t="s">
        <v>81</v>
      </c>
      <c r="AW614" s="6" t="s">
        <v>81</v>
      </c>
      <c r="AX614" s="6" t="s">
        <v>21137</v>
      </c>
      <c r="AY614" s="6" t="s">
        <v>81</v>
      </c>
      <c r="AZ614" s="6" t="s">
        <v>81</v>
      </c>
      <c r="BA614" s="6" t="s">
        <v>81</v>
      </c>
      <c r="BB614" s="24" t="n">
        <v>63</v>
      </c>
      <c r="BC614" s="26"/>
      <c r="BD614" s="26"/>
      <c r="BE614" s="26"/>
      <c r="BF614" s="26"/>
      <c r="BG614" s="26"/>
      <c r="BH614" s="26"/>
      <c r="BI614" s="26"/>
      <c r="BJ614" s="26"/>
      <c r="BK614" s="26"/>
      <c r="BL614" s="26"/>
      <c r="BM614" s="26"/>
      <c r="BN614" s="26"/>
      <c r="BO614" s="26"/>
      <c r="BP614" s="16" t="n">
        <v>45738</v>
      </c>
      <c r="BQ614" s="28" t="str">
        <f>HYPERLINK("https://organic.ams.usda.gov/Integrity/Certificate.aspx?cid=52&amp;nopid=8431901719")</f>
        <v>https://organic.ams.usda.gov/Integrity/Certificate.aspx?cid=52&amp;nopid=8431901719</v>
      </c>
    </row>
    <row r="615">
      <c r="A615" t="s">
        <v>3</v>
      </c>
      <c r="B615" s="6" t="s">
        <v>16</v>
      </c>
      <c r="C615" s="6" t="s">
        <v>63</v>
      </c>
      <c r="D615" s="6" t="s">
        <v>109</v>
      </c>
      <c r="E615" s="10" t="s">
        <v>756</v>
      </c>
      <c r="F615" s="6" t="s">
        <v>3486</v>
      </c>
      <c r="G615" s="6" t="s">
        <v>81</v>
      </c>
      <c r="H615" s="6" t="s">
        <v>6008</v>
      </c>
      <c r="I615" s="6" t="s">
        <v>8520</v>
      </c>
      <c r="J615" s="6" t="s">
        <v>9977</v>
      </c>
      <c r="K615" s="6" t="s">
        <v>10886</v>
      </c>
      <c r="L615" s="16" t="n">
        <v>45359</v>
      </c>
      <c r="M615" s="16" t="n">
        <v>46037</v>
      </c>
      <c r="N615" s="6" t="s">
        <v>10886</v>
      </c>
      <c r="O615" s="16" t="n">
        <v>45359</v>
      </c>
      <c r="P615" s="6" t="s">
        <v>11271</v>
      </c>
      <c r="Q615" s="6" t="s">
        <v>81</v>
      </c>
      <c r="R615" s="6" t="s">
        <v>81</v>
      </c>
      <c r="S615" s="6" t="s">
        <v>10886</v>
      </c>
      <c r="T615" s="16" t="n">
        <v>45656</v>
      </c>
      <c r="U615" s="6" t="s">
        <v>13391</v>
      </c>
      <c r="V615" s="6" t="s">
        <v>81</v>
      </c>
      <c r="W615" s="6" t="s">
        <v>81</v>
      </c>
      <c r="X615" s="6" t="s">
        <v>81</v>
      </c>
      <c r="Y615" s="21" t="s">
        <v>81</v>
      </c>
      <c r="Z615" s="6" t="s">
        <v>81</v>
      </c>
      <c r="AA615" s="6" t="s">
        <v>81</v>
      </c>
      <c r="AB615" s="6" t="s">
        <v>81</v>
      </c>
      <c r="AC615" s="6" t="s">
        <v>10886</v>
      </c>
      <c r="AD615" s="16" t="n">
        <v>45359</v>
      </c>
      <c r="AE615" s="6" t="s">
        <v>14134</v>
      </c>
      <c r="AF615" s="6" t="s">
        <v>81</v>
      </c>
      <c r="AG615" s="6" t="s">
        <v>81</v>
      </c>
      <c r="AH615" s="6" t="s">
        <v>15203</v>
      </c>
      <c r="AI615" s="6" t="s">
        <v>81</v>
      </c>
      <c r="AJ615" s="6" t="s">
        <v>17676</v>
      </c>
      <c r="AK615" s="6" t="s">
        <v>18383</v>
      </c>
      <c r="AL615" s="6" t="s">
        <v>18444</v>
      </c>
      <c r="AM615" s="6" t="s">
        <v>18842</v>
      </c>
      <c r="AN615" s="6" t="s">
        <v>81</v>
      </c>
      <c r="AO615" s="6" t="s">
        <v>81</v>
      </c>
      <c r="AP615" s="6" t="s">
        <v>20177</v>
      </c>
      <c r="AQ615" s="6" t="s">
        <v>81</v>
      </c>
      <c r="AR615" s="6" t="s">
        <v>17676</v>
      </c>
      <c r="AS615" s="6" t="s">
        <v>18383</v>
      </c>
      <c r="AT615" s="6" t="s">
        <v>18444</v>
      </c>
      <c r="AU615" s="6" t="s">
        <v>18842</v>
      </c>
      <c r="AV615" s="6" t="s">
        <v>81</v>
      </c>
      <c r="AW615" s="6" t="s">
        <v>81</v>
      </c>
      <c r="AX615" s="6" t="s">
        <v>21138</v>
      </c>
      <c r="AY615" s="6" t="s">
        <v>81</v>
      </c>
      <c r="AZ615" s="6" t="s">
        <v>23632</v>
      </c>
      <c r="BA615" s="6" t="s">
        <v>81</v>
      </c>
      <c r="BB615" s="24" t="n">
        <v>399</v>
      </c>
      <c r="BC615" s="26"/>
      <c r="BD615" s="26"/>
      <c r="BE615" s="26"/>
      <c r="BF615" s="26"/>
      <c r="BG615" s="26"/>
      <c r="BH615" s="26"/>
      <c r="BI615" s="26"/>
      <c r="BJ615" s="26"/>
      <c r="BK615" s="26"/>
      <c r="BL615" s="26"/>
      <c r="BM615" s="26"/>
      <c r="BN615" s="26"/>
      <c r="BO615" s="26"/>
      <c r="BP615" s="16" t="n">
        <v>45701</v>
      </c>
      <c r="BQ615" s="28" t="str">
        <f>HYPERLINK("https://organic.ams.usda.gov/Integrity/Certificate.aspx?cid=81&amp;nopid=4212024011")</f>
        <v>https://organic.ams.usda.gov/Integrity/Certificate.aspx?cid=81&amp;nopid=4212024011</v>
      </c>
    </row>
    <row r="616">
      <c r="A616" t="s">
        <v>3</v>
      </c>
      <c r="B616" s="6" t="s">
        <v>25</v>
      </c>
      <c r="C616" s="6" t="s">
        <v>72</v>
      </c>
      <c r="D616" s="6" t="s">
        <v>118</v>
      </c>
      <c r="E616" s="10" t="s">
        <v>757</v>
      </c>
      <c r="F616" s="6" t="s">
        <v>3487</v>
      </c>
      <c r="G616" s="6" t="s">
        <v>81</v>
      </c>
      <c r="H616" s="6" t="s">
        <v>6450</v>
      </c>
      <c r="I616" s="6" t="s">
        <v>8513</v>
      </c>
      <c r="J616" s="6" t="s">
        <v>9978</v>
      </c>
      <c r="K616" s="6" t="s">
        <v>10886</v>
      </c>
      <c r="L616" s="16" t="n">
        <v>39643</v>
      </c>
      <c r="M616" s="16" t="n">
        <v>46023</v>
      </c>
      <c r="N616" s="6" t="s">
        <v>81</v>
      </c>
      <c r="O616" s="21" t="s">
        <v>81</v>
      </c>
      <c r="P616" s="6" t="s">
        <v>81</v>
      </c>
      <c r="Q616" s="6" t="s">
        <v>81</v>
      </c>
      <c r="R616" s="6" t="s">
        <v>81</v>
      </c>
      <c r="S616" s="6" t="s">
        <v>81</v>
      </c>
      <c r="T616" s="21" t="s">
        <v>81</v>
      </c>
      <c r="U616" s="6" t="s">
        <v>81</v>
      </c>
      <c r="V616" s="6" t="s">
        <v>81</v>
      </c>
      <c r="W616" s="6" t="s">
        <v>81</v>
      </c>
      <c r="X616" s="6" t="s">
        <v>81</v>
      </c>
      <c r="Y616" s="21" t="s">
        <v>81</v>
      </c>
      <c r="Z616" s="6" t="s">
        <v>81</v>
      </c>
      <c r="AA616" s="6" t="s">
        <v>81</v>
      </c>
      <c r="AB616" s="6" t="s">
        <v>81</v>
      </c>
      <c r="AC616" s="6" t="s">
        <v>10886</v>
      </c>
      <c r="AD616" s="16" t="n">
        <v>39643</v>
      </c>
      <c r="AE616" s="6" t="s">
        <v>14135</v>
      </c>
      <c r="AF616" s="6" t="s">
        <v>81</v>
      </c>
      <c r="AG616" s="6" t="s">
        <v>81</v>
      </c>
      <c r="AH616" s="6" t="s">
        <v>15204</v>
      </c>
      <c r="AI616" s="6" t="s">
        <v>81</v>
      </c>
      <c r="AJ616" s="6" t="s">
        <v>17677</v>
      </c>
      <c r="AK616" s="6" t="s">
        <v>18386</v>
      </c>
      <c r="AL616" s="6" t="s">
        <v>18444</v>
      </c>
      <c r="AM616" s="6" t="s">
        <v>18843</v>
      </c>
      <c r="AN616" s="6" t="s">
        <v>19655</v>
      </c>
      <c r="AO616" s="6" t="s">
        <v>19759</v>
      </c>
      <c r="AP616" s="6" t="s">
        <v>15204</v>
      </c>
      <c r="AQ616" s="6" t="s">
        <v>81</v>
      </c>
      <c r="AR616" s="6" t="s">
        <v>17677</v>
      </c>
      <c r="AS616" s="6" t="s">
        <v>18386</v>
      </c>
      <c r="AT616" s="6" t="s">
        <v>18444</v>
      </c>
      <c r="AU616" s="6" t="s">
        <v>18843</v>
      </c>
      <c r="AV616" s="6" t="s">
        <v>81</v>
      </c>
      <c r="AW616" s="6" t="s">
        <v>81</v>
      </c>
      <c r="AX616" s="6" t="s">
        <v>21139</v>
      </c>
      <c r="AY616" s="6" t="s">
        <v>22782</v>
      </c>
      <c r="AZ616" s="6" t="s">
        <v>23633</v>
      </c>
      <c r="BA616" s="6" t="s">
        <v>23850</v>
      </c>
      <c r="BB616" s="6" t="s">
        <v>81</v>
      </c>
      <c r="BC616" s="26"/>
      <c r="BD616" s="26"/>
      <c r="BE616" s="26" t="s">
        <v>23900</v>
      </c>
      <c r="BF616" s="26"/>
      <c r="BG616" s="26"/>
      <c r="BH616" s="26"/>
      <c r="BI616" s="26"/>
      <c r="BJ616" s="26"/>
      <c r="BK616" s="26"/>
      <c r="BL616" s="26"/>
      <c r="BM616" s="26"/>
      <c r="BN616" s="26"/>
      <c r="BO616" s="26"/>
      <c r="BP616" s="16" t="n">
        <v>45707</v>
      </c>
      <c r="BQ616" s="28" t="str">
        <f>HYPERLINK("https://organic.ams.usda.gov/Integrity/Certificate.aspx?cid=15&amp;nopid=5561002450")</f>
        <v>https://organic.ams.usda.gov/Integrity/Certificate.aspx?cid=15&amp;nopid=5561002450</v>
      </c>
    </row>
    <row r="617">
      <c r="A617" t="s">
        <v>3</v>
      </c>
      <c r="B617" s="6" t="s">
        <v>8</v>
      </c>
      <c r="C617" s="6" t="s">
        <v>55</v>
      </c>
      <c r="D617" s="6" t="s">
        <v>101</v>
      </c>
      <c r="E617" s="10" t="s">
        <v>758</v>
      </c>
      <c r="F617" s="6" t="s">
        <v>3488</v>
      </c>
      <c r="G617" s="6" t="s">
        <v>81</v>
      </c>
      <c r="H617" s="6" t="s">
        <v>6451</v>
      </c>
      <c r="I617" s="6" t="s">
        <v>8757</v>
      </c>
      <c r="J617" s="6" t="s">
        <v>9668</v>
      </c>
      <c r="K617" s="6" t="s">
        <v>10886</v>
      </c>
      <c r="L617" s="16" t="n">
        <v>39080</v>
      </c>
      <c r="M617" s="16" t="n">
        <v>45689</v>
      </c>
      <c r="N617" s="6" t="s">
        <v>10886</v>
      </c>
      <c r="O617" s="16" t="n">
        <v>39080</v>
      </c>
      <c r="P617" s="6" t="s">
        <v>11272</v>
      </c>
      <c r="Q617" s="6" t="s">
        <v>81</v>
      </c>
      <c r="R617" s="6" t="s">
        <v>6451</v>
      </c>
      <c r="S617" s="6" t="s">
        <v>10886</v>
      </c>
      <c r="T617" s="16" t="n">
        <v>44094</v>
      </c>
      <c r="U617" s="6" t="s">
        <v>13221</v>
      </c>
      <c r="V617" s="6" t="s">
        <v>81</v>
      </c>
      <c r="W617" s="6" t="s">
        <v>6451</v>
      </c>
      <c r="X617" s="6" t="s">
        <v>81</v>
      </c>
      <c r="Y617" s="21" t="s">
        <v>81</v>
      </c>
      <c r="Z617" s="6" t="s">
        <v>81</v>
      </c>
      <c r="AA617" s="6" t="s">
        <v>81</v>
      </c>
      <c r="AB617" s="6" t="s">
        <v>81</v>
      </c>
      <c r="AC617" s="6" t="s">
        <v>10886</v>
      </c>
      <c r="AD617" s="16" t="n">
        <v>43034</v>
      </c>
      <c r="AE617" s="6" t="s">
        <v>14136</v>
      </c>
      <c r="AF617" s="6" t="s">
        <v>81</v>
      </c>
      <c r="AG617" s="6" t="s">
        <v>6451</v>
      </c>
      <c r="AH617" s="6" t="s">
        <v>15205</v>
      </c>
      <c r="AI617" s="6" t="s">
        <v>81</v>
      </c>
      <c r="AJ617" s="6" t="s">
        <v>17339</v>
      </c>
      <c r="AK617" s="6" t="s">
        <v>18377</v>
      </c>
      <c r="AL617" s="6" t="s">
        <v>18444</v>
      </c>
      <c r="AM617" s="6" t="s">
        <v>18493</v>
      </c>
      <c r="AN617" s="6" t="s">
        <v>7195</v>
      </c>
      <c r="AO617" s="6" t="s">
        <v>19737</v>
      </c>
      <c r="AP617" s="6" t="s">
        <v>81</v>
      </c>
      <c r="AQ617" s="6" t="s">
        <v>81</v>
      </c>
      <c r="AR617" s="6" t="s">
        <v>81</v>
      </c>
      <c r="AS617" s="6" t="s">
        <v>81</v>
      </c>
      <c r="AT617" s="6" t="s">
        <v>81</v>
      </c>
      <c r="AU617" s="6" t="s">
        <v>81</v>
      </c>
      <c r="AV617" s="6" t="s">
        <v>81</v>
      </c>
      <c r="AW617" s="6" t="s">
        <v>81</v>
      </c>
      <c r="AX617" s="6" t="s">
        <v>81</v>
      </c>
      <c r="AY617" s="6" t="s">
        <v>81</v>
      </c>
      <c r="AZ617" s="6" t="s">
        <v>81</v>
      </c>
      <c r="BA617" s="6" t="s">
        <v>23824</v>
      </c>
      <c r="BB617" s="24" t="n">
        <v>142</v>
      </c>
      <c r="BC617" s="26"/>
      <c r="BD617" s="26"/>
      <c r="BE617" s="26"/>
      <c r="BF617" s="26" t="s">
        <v>23900</v>
      </c>
      <c r="BG617" s="26" t="s">
        <v>23900</v>
      </c>
      <c r="BH617" s="26"/>
      <c r="BI617" s="26"/>
      <c r="BJ617" s="26"/>
      <c r="BK617" s="26"/>
      <c r="BL617" s="26"/>
      <c r="BM617" s="26"/>
      <c r="BN617" s="26"/>
      <c r="BO617" s="26"/>
      <c r="BP617" s="16" t="n">
        <v>45727</v>
      </c>
      <c r="BQ617" s="28" t="str">
        <f>HYPERLINK("https://organic.ams.usda.gov/Integrity/Certificate.aspx?cid=45&amp;nopid=9950002400")</f>
        <v>https://organic.ams.usda.gov/Integrity/Certificate.aspx?cid=45&amp;nopid=9950002400</v>
      </c>
    </row>
    <row r="618">
      <c r="A618" t="s">
        <v>3</v>
      </c>
      <c r="B618" s="6" t="s">
        <v>8</v>
      </c>
      <c r="C618" s="6" t="s">
        <v>55</v>
      </c>
      <c r="D618" s="6" t="s">
        <v>101</v>
      </c>
      <c r="E618" s="10" t="s">
        <v>759</v>
      </c>
      <c r="F618" s="6" t="s">
        <v>3489</v>
      </c>
      <c r="G618" s="6" t="s">
        <v>81</v>
      </c>
      <c r="H618" s="6" t="s">
        <v>6452</v>
      </c>
      <c r="I618" s="6" t="s">
        <v>8637</v>
      </c>
      <c r="J618" s="6" t="s">
        <v>9979</v>
      </c>
      <c r="K618" s="6" t="s">
        <v>10886</v>
      </c>
      <c r="L618" s="16" t="n">
        <v>37454</v>
      </c>
      <c r="M618" s="16" t="n">
        <v>45689</v>
      </c>
      <c r="N618" s="6" t="s">
        <v>10886</v>
      </c>
      <c r="O618" s="16" t="n">
        <v>37454</v>
      </c>
      <c r="P618" s="6" t="s">
        <v>11273</v>
      </c>
      <c r="Q618" s="6" t="s">
        <v>81</v>
      </c>
      <c r="R618" s="6" t="s">
        <v>6452</v>
      </c>
      <c r="S618" s="6" t="s">
        <v>10886</v>
      </c>
      <c r="T618" s="16" t="n">
        <v>37454</v>
      </c>
      <c r="U618" s="6" t="s">
        <v>13392</v>
      </c>
      <c r="V618" s="6" t="s">
        <v>81</v>
      </c>
      <c r="W618" s="6" t="s">
        <v>6452</v>
      </c>
      <c r="X618" s="6" t="s">
        <v>81</v>
      </c>
      <c r="Y618" s="21" t="s">
        <v>81</v>
      </c>
      <c r="Z618" s="6" t="s">
        <v>81</v>
      </c>
      <c r="AA618" s="6" t="s">
        <v>81</v>
      </c>
      <c r="AB618" s="6" t="s">
        <v>81</v>
      </c>
      <c r="AC618" s="6" t="s">
        <v>81</v>
      </c>
      <c r="AD618" s="21" t="s">
        <v>81</v>
      </c>
      <c r="AE618" s="6" t="s">
        <v>81</v>
      </c>
      <c r="AF618" s="6" t="s">
        <v>81</v>
      </c>
      <c r="AG618" s="6" t="s">
        <v>81</v>
      </c>
      <c r="AH618" s="6" t="s">
        <v>15206</v>
      </c>
      <c r="AI618" s="6" t="s">
        <v>81</v>
      </c>
      <c r="AJ618" s="6" t="s">
        <v>17678</v>
      </c>
      <c r="AK618" s="6" t="s">
        <v>18377</v>
      </c>
      <c r="AL618" s="6" t="s">
        <v>18444</v>
      </c>
      <c r="AM618" s="6" t="s">
        <v>18844</v>
      </c>
      <c r="AN618" s="6" t="s">
        <v>19665</v>
      </c>
      <c r="AO618" s="6" t="s">
        <v>19898</v>
      </c>
      <c r="AP618" s="6" t="s">
        <v>81</v>
      </c>
      <c r="AQ618" s="6" t="s">
        <v>81</v>
      </c>
      <c r="AR618" s="6" t="s">
        <v>81</v>
      </c>
      <c r="AS618" s="6" t="s">
        <v>81</v>
      </c>
      <c r="AT618" s="6" t="s">
        <v>81</v>
      </c>
      <c r="AU618" s="6" t="s">
        <v>81</v>
      </c>
      <c r="AV618" s="6" t="s">
        <v>81</v>
      </c>
      <c r="AW618" s="6" t="s">
        <v>81</v>
      </c>
      <c r="AX618" s="6" t="s">
        <v>81</v>
      </c>
      <c r="AY618" s="6" t="s">
        <v>22783</v>
      </c>
      <c r="AZ618" s="6" t="s">
        <v>81</v>
      </c>
      <c r="BA618" s="6" t="s">
        <v>23819</v>
      </c>
      <c r="BB618" s="24" t="n">
        <v>316</v>
      </c>
      <c r="BC618" s="26"/>
      <c r="BD618" s="26"/>
      <c r="BE618" s="26"/>
      <c r="BF618" s="26" t="s">
        <v>23900</v>
      </c>
      <c r="BG618" s="26"/>
      <c r="BH618" s="26"/>
      <c r="BI618" s="26"/>
      <c r="BJ618" s="26"/>
      <c r="BK618" s="26"/>
      <c r="BL618" s="26"/>
      <c r="BM618" s="26"/>
      <c r="BN618" s="26"/>
      <c r="BO618" s="26"/>
      <c r="BP618" s="16" t="n">
        <v>45712</v>
      </c>
      <c r="BQ618" s="28" t="str">
        <f>HYPERLINK("https://organic.ams.usda.gov/Integrity/Certificate.aspx?cid=45&amp;nopid=9950000956")</f>
        <v>https://organic.ams.usda.gov/Integrity/Certificate.aspx?cid=45&amp;nopid=9950000956</v>
      </c>
    </row>
    <row r="619">
      <c r="A619" t="s">
        <v>3</v>
      </c>
      <c r="B619" s="6" t="s">
        <v>7</v>
      </c>
      <c r="C619" s="6" t="s">
        <v>54</v>
      </c>
      <c r="D619" s="6" t="s">
        <v>100</v>
      </c>
      <c r="E619" s="10" t="s">
        <v>760</v>
      </c>
      <c r="F619" s="6" t="s">
        <v>3490</v>
      </c>
      <c r="G619" s="6" t="s">
        <v>81</v>
      </c>
      <c r="H619" s="6" t="s">
        <v>6453</v>
      </c>
      <c r="I619" s="6" t="s">
        <v>8419</v>
      </c>
      <c r="J619" s="6" t="s">
        <v>9980</v>
      </c>
      <c r="K619" s="6" t="s">
        <v>10886</v>
      </c>
      <c r="L619" s="16" t="n">
        <v>39606</v>
      </c>
      <c r="M619" s="16" t="n">
        <v>45716</v>
      </c>
      <c r="N619" s="6" t="s">
        <v>10886</v>
      </c>
      <c r="O619" s="16" t="n">
        <v>39606</v>
      </c>
      <c r="P619" s="6" t="s">
        <v>11274</v>
      </c>
      <c r="Q619" s="6" t="s">
        <v>81</v>
      </c>
      <c r="R619" s="6" t="s">
        <v>81</v>
      </c>
      <c r="S619" s="6" t="s">
        <v>10886</v>
      </c>
      <c r="T619" s="16" t="n">
        <v>39802</v>
      </c>
      <c r="U619" s="6" t="s">
        <v>13393</v>
      </c>
      <c r="V619" s="6" t="s">
        <v>81</v>
      </c>
      <c r="W619" s="6" t="s">
        <v>81</v>
      </c>
      <c r="X619" s="6" t="s">
        <v>81</v>
      </c>
      <c r="Y619" s="21" t="s">
        <v>81</v>
      </c>
      <c r="Z619" s="6" t="s">
        <v>81</v>
      </c>
      <c r="AA619" s="6" t="s">
        <v>81</v>
      </c>
      <c r="AB619" s="6" t="s">
        <v>81</v>
      </c>
      <c r="AC619" s="6" t="s">
        <v>81</v>
      </c>
      <c r="AD619" s="21" t="s">
        <v>81</v>
      </c>
      <c r="AE619" s="6" t="s">
        <v>81</v>
      </c>
      <c r="AF619" s="6" t="s">
        <v>81</v>
      </c>
      <c r="AG619" s="6" t="s">
        <v>81</v>
      </c>
      <c r="AH619" s="6" t="s">
        <v>15207</v>
      </c>
      <c r="AI619" s="6" t="s">
        <v>81</v>
      </c>
      <c r="AJ619" s="6" t="s">
        <v>17679</v>
      </c>
      <c r="AK619" s="6" t="s">
        <v>17712</v>
      </c>
      <c r="AL619" s="6" t="s">
        <v>18444</v>
      </c>
      <c r="AM619" s="6" t="s">
        <v>18845</v>
      </c>
      <c r="AN619" s="6" t="s">
        <v>7450</v>
      </c>
      <c r="AO619" s="6" t="s">
        <v>19897</v>
      </c>
      <c r="AP619" s="6" t="s">
        <v>15207</v>
      </c>
      <c r="AQ619" s="6" t="s">
        <v>81</v>
      </c>
      <c r="AR619" s="6" t="s">
        <v>17679</v>
      </c>
      <c r="AS619" s="6" t="s">
        <v>17712</v>
      </c>
      <c r="AT619" s="6" t="s">
        <v>18444</v>
      </c>
      <c r="AU619" s="6" t="s">
        <v>18845</v>
      </c>
      <c r="AV619" s="6" t="s">
        <v>81</v>
      </c>
      <c r="AW619" s="6" t="s">
        <v>81</v>
      </c>
      <c r="AX619" s="6" t="s">
        <v>21140</v>
      </c>
      <c r="AY619" s="6" t="s">
        <v>81</v>
      </c>
      <c r="AZ619" s="6" t="s">
        <v>81</v>
      </c>
      <c r="BA619" s="6" t="s">
        <v>81</v>
      </c>
      <c r="BB619" s="24" t="n">
        <v>1011</v>
      </c>
      <c r="BC619" s="26"/>
      <c r="BD619" s="26"/>
      <c r="BE619" s="26"/>
      <c r="BF619" s="26" t="s">
        <v>23900</v>
      </c>
      <c r="BG619" s="26"/>
      <c r="BH619" s="26"/>
      <c r="BI619" s="26"/>
      <c r="BJ619" s="26"/>
      <c r="BK619" s="26"/>
      <c r="BL619" s="26"/>
      <c r="BM619" s="26"/>
      <c r="BN619" s="26"/>
      <c r="BO619" s="26"/>
      <c r="BP619" s="16" t="n">
        <v>45595</v>
      </c>
      <c r="BQ619" s="28" t="str">
        <f>HYPERLINK("https://organic.ams.usda.gov/Integrity/Certificate.aspx?cid=57&amp;nopid=3252008012")</f>
        <v>https://organic.ams.usda.gov/Integrity/Certificate.aspx?cid=57&amp;nopid=3252008012</v>
      </c>
    </row>
    <row r="620">
      <c r="A620" t="s">
        <v>3</v>
      </c>
      <c r="B620" s="6" t="s">
        <v>10</v>
      </c>
      <c r="C620" s="6" t="s">
        <v>57</v>
      </c>
      <c r="D620" s="6" t="s">
        <v>103</v>
      </c>
      <c r="E620" s="10" t="s">
        <v>761</v>
      </c>
      <c r="F620" s="6" t="s">
        <v>3491</v>
      </c>
      <c r="G620" s="6" t="s">
        <v>81</v>
      </c>
      <c r="H620" s="6" t="s">
        <v>6454</v>
      </c>
      <c r="I620" s="6" t="s">
        <v>8758</v>
      </c>
      <c r="J620" s="6" t="s">
        <v>9665</v>
      </c>
      <c r="K620" s="6" t="s">
        <v>10886</v>
      </c>
      <c r="L620" s="16" t="n">
        <v>39276</v>
      </c>
      <c r="M620" s="16" t="n">
        <v>45748</v>
      </c>
      <c r="N620" s="6" t="s">
        <v>10886</v>
      </c>
      <c r="O620" s="16" t="n">
        <v>39276</v>
      </c>
      <c r="P620" s="6" t="s">
        <v>10925</v>
      </c>
      <c r="Q620" s="6" t="s">
        <v>81</v>
      </c>
      <c r="R620" s="6" t="s">
        <v>12597</v>
      </c>
      <c r="S620" s="6" t="s">
        <v>10886</v>
      </c>
      <c r="T620" s="16" t="n">
        <v>39276</v>
      </c>
      <c r="U620" s="6" t="s">
        <v>13163</v>
      </c>
      <c r="V620" s="6" t="s">
        <v>81</v>
      </c>
      <c r="W620" s="6" t="s">
        <v>81</v>
      </c>
      <c r="X620" s="6" t="s">
        <v>81</v>
      </c>
      <c r="Y620" s="21" t="s">
        <v>81</v>
      </c>
      <c r="Z620" s="6" t="s">
        <v>81</v>
      </c>
      <c r="AA620" s="6" t="s">
        <v>81</v>
      </c>
      <c r="AB620" s="6" t="s">
        <v>81</v>
      </c>
      <c r="AC620" s="6" t="s">
        <v>81</v>
      </c>
      <c r="AD620" s="21" t="s">
        <v>81</v>
      </c>
      <c r="AE620" s="6" t="s">
        <v>81</v>
      </c>
      <c r="AF620" s="6" t="s">
        <v>81</v>
      </c>
      <c r="AG620" s="6" t="s">
        <v>81</v>
      </c>
      <c r="AH620" s="6" t="s">
        <v>15208</v>
      </c>
      <c r="AI620" s="6" t="s">
        <v>81</v>
      </c>
      <c r="AJ620" s="6" t="s">
        <v>17645</v>
      </c>
      <c r="AK620" s="6" t="s">
        <v>18379</v>
      </c>
      <c r="AL620" s="6" t="s">
        <v>18444</v>
      </c>
      <c r="AM620" s="6" t="s">
        <v>18814</v>
      </c>
      <c r="AN620" s="6" t="s">
        <v>19654</v>
      </c>
      <c r="AO620" s="6" t="s">
        <v>19765</v>
      </c>
      <c r="AP620" s="6" t="s">
        <v>15208</v>
      </c>
      <c r="AQ620" s="6" t="s">
        <v>81</v>
      </c>
      <c r="AR620" s="6" t="s">
        <v>17645</v>
      </c>
      <c r="AS620" s="6" t="s">
        <v>18379</v>
      </c>
      <c r="AT620" s="6" t="s">
        <v>18444</v>
      </c>
      <c r="AU620" s="6" t="s">
        <v>18814</v>
      </c>
      <c r="AV620" s="6" t="s">
        <v>81</v>
      </c>
      <c r="AW620" s="6" t="s">
        <v>81</v>
      </c>
      <c r="AX620" s="6" t="s">
        <v>21141</v>
      </c>
      <c r="AY620" s="6" t="s">
        <v>81</v>
      </c>
      <c r="AZ620" s="6" t="s">
        <v>81</v>
      </c>
      <c r="BA620" s="6" t="s">
        <v>81</v>
      </c>
      <c r="BB620" s="24" t="n">
        <v>90</v>
      </c>
      <c r="BC620" s="26"/>
      <c r="BD620" s="26"/>
      <c r="BE620" s="26"/>
      <c r="BF620" s="26"/>
      <c r="BG620" s="26"/>
      <c r="BH620" s="26"/>
      <c r="BI620" s="26"/>
      <c r="BJ620" s="26"/>
      <c r="BK620" s="26"/>
      <c r="BL620" s="26"/>
      <c r="BM620" s="26"/>
      <c r="BN620" s="26"/>
      <c r="BO620" s="26"/>
      <c r="BP620" s="16" t="n">
        <v>45730</v>
      </c>
      <c r="BQ620" s="28" t="str">
        <f>HYPERLINK("https://organic.ams.usda.gov/Integrity/Certificate.aspx?cid=90&amp;nopid=7170210327")</f>
        <v>https://organic.ams.usda.gov/Integrity/Certificate.aspx?cid=90&amp;nopid=7170210327</v>
      </c>
    </row>
    <row r="621">
      <c r="A621" t="s">
        <v>3</v>
      </c>
      <c r="B621" s="6" t="s">
        <v>9</v>
      </c>
      <c r="C621" s="6" t="s">
        <v>56</v>
      </c>
      <c r="D621" s="6" t="s">
        <v>102</v>
      </c>
      <c r="E621" s="10" t="s">
        <v>762</v>
      </c>
      <c r="F621" s="6" t="s">
        <v>3492</v>
      </c>
      <c r="G621" s="6" t="s">
        <v>81</v>
      </c>
      <c r="H621" s="6" t="s">
        <v>6455</v>
      </c>
      <c r="I621" s="6" t="s">
        <v>8759</v>
      </c>
      <c r="J621" s="6" t="s">
        <v>9666</v>
      </c>
      <c r="K621" s="6" t="s">
        <v>10886</v>
      </c>
      <c r="L621" s="16" t="n">
        <v>43385</v>
      </c>
      <c r="M621" s="16" t="n">
        <v>46113</v>
      </c>
      <c r="N621" s="6" t="s">
        <v>10886</v>
      </c>
      <c r="O621" s="16" t="n">
        <v>43385</v>
      </c>
      <c r="P621" s="6" t="s">
        <v>10907</v>
      </c>
      <c r="Q621" s="6" t="s">
        <v>81</v>
      </c>
      <c r="R621" s="6" t="s">
        <v>12598</v>
      </c>
      <c r="S621" s="6" t="s">
        <v>10886</v>
      </c>
      <c r="T621" s="16" t="n">
        <v>43385</v>
      </c>
      <c r="U621" s="6" t="s">
        <v>13176</v>
      </c>
      <c r="V621" s="6" t="s">
        <v>81</v>
      </c>
      <c r="W621" s="6" t="s">
        <v>12598</v>
      </c>
      <c r="X621" s="6" t="s">
        <v>81</v>
      </c>
      <c r="Y621" s="21" t="s">
        <v>81</v>
      </c>
      <c r="Z621" s="6" t="s">
        <v>81</v>
      </c>
      <c r="AA621" s="6" t="s">
        <v>81</v>
      </c>
      <c r="AB621" s="6" t="s">
        <v>81</v>
      </c>
      <c r="AC621" s="6" t="s">
        <v>81</v>
      </c>
      <c r="AD621" s="21" t="s">
        <v>81</v>
      </c>
      <c r="AE621" s="6" t="s">
        <v>81</v>
      </c>
      <c r="AF621" s="6" t="s">
        <v>81</v>
      </c>
      <c r="AG621" s="6" t="s">
        <v>81</v>
      </c>
      <c r="AH621" s="6" t="s">
        <v>15209</v>
      </c>
      <c r="AI621" s="6" t="s">
        <v>81</v>
      </c>
      <c r="AJ621" s="6" t="s">
        <v>17381</v>
      </c>
      <c r="AK621" s="6" t="s">
        <v>18379</v>
      </c>
      <c r="AL621" s="6" t="s">
        <v>18444</v>
      </c>
      <c r="AM621" s="6" t="s">
        <v>18534</v>
      </c>
      <c r="AN621" s="6" t="s">
        <v>19654</v>
      </c>
      <c r="AO621" s="6" t="s">
        <v>19765</v>
      </c>
      <c r="AP621" s="6" t="s">
        <v>81</v>
      </c>
      <c r="AQ621" s="6" t="s">
        <v>81</v>
      </c>
      <c r="AR621" s="6" t="s">
        <v>81</v>
      </c>
      <c r="AS621" s="6" t="s">
        <v>81</v>
      </c>
      <c r="AT621" s="6" t="s">
        <v>81</v>
      </c>
      <c r="AU621" s="6" t="s">
        <v>81</v>
      </c>
      <c r="AV621" s="6" t="s">
        <v>81</v>
      </c>
      <c r="AW621" s="6" t="s">
        <v>81</v>
      </c>
      <c r="AX621" s="6" t="s">
        <v>21142</v>
      </c>
      <c r="AY621" s="6" t="s">
        <v>81</v>
      </c>
      <c r="AZ621" s="6" t="s">
        <v>81</v>
      </c>
      <c r="BA621" s="6" t="s">
        <v>81</v>
      </c>
      <c r="BB621" s="24" t="n">
        <v>121</v>
      </c>
      <c r="BC621" s="26"/>
      <c r="BD621" s="26"/>
      <c r="BE621" s="26"/>
      <c r="BF621" s="26"/>
      <c r="BG621" s="26"/>
      <c r="BH621" s="26"/>
      <c r="BI621" s="26"/>
      <c r="BJ621" s="26"/>
      <c r="BK621" s="26"/>
      <c r="BL621" s="26"/>
      <c r="BM621" s="26"/>
      <c r="BN621" s="26"/>
      <c r="BO621" s="26"/>
      <c r="BP621" s="16" t="n">
        <v>45738</v>
      </c>
      <c r="BQ621" s="28" t="str">
        <f>HYPERLINK("https://organic.ams.usda.gov/Integrity/Certificate.aspx?cid=52&amp;nopid=8431801526")</f>
        <v>https://organic.ams.usda.gov/Integrity/Certificate.aspx?cid=52&amp;nopid=8431801526</v>
      </c>
    </row>
    <row r="622">
      <c r="A622" t="s">
        <v>3</v>
      </c>
      <c r="B622" s="6" t="s">
        <v>38</v>
      </c>
      <c r="C622" s="6" t="s">
        <v>85</v>
      </c>
      <c r="D622" s="6" t="s">
        <v>130</v>
      </c>
      <c r="E622" s="10" t="s">
        <v>763</v>
      </c>
      <c r="F622" s="6" t="s">
        <v>3493</v>
      </c>
      <c r="G622" s="6" t="s">
        <v>81</v>
      </c>
      <c r="H622" s="6" t="s">
        <v>6456</v>
      </c>
      <c r="I622" s="6" t="s">
        <v>8760</v>
      </c>
      <c r="J622" s="6" t="s">
        <v>9981</v>
      </c>
      <c r="K622" s="6" t="s">
        <v>10886</v>
      </c>
      <c r="L622" s="16" t="n">
        <v>40242</v>
      </c>
      <c r="M622" s="16" t="n">
        <v>45778</v>
      </c>
      <c r="N622" s="6" t="s">
        <v>10886</v>
      </c>
      <c r="O622" s="16" t="n">
        <v>40242</v>
      </c>
      <c r="P622" s="6" t="s">
        <v>11275</v>
      </c>
      <c r="Q622" s="6" t="s">
        <v>81</v>
      </c>
      <c r="R622" s="6" t="s">
        <v>81</v>
      </c>
      <c r="S622" s="6" t="s">
        <v>10886</v>
      </c>
      <c r="T622" s="16" t="n">
        <v>40242</v>
      </c>
      <c r="U622" s="6" t="s">
        <v>13394</v>
      </c>
      <c r="V622" s="6" t="s">
        <v>81</v>
      </c>
      <c r="W622" s="6" t="s">
        <v>81</v>
      </c>
      <c r="X622" s="6" t="s">
        <v>81</v>
      </c>
      <c r="Y622" s="21" t="s">
        <v>81</v>
      </c>
      <c r="Z622" s="6" t="s">
        <v>81</v>
      </c>
      <c r="AA622" s="6" t="s">
        <v>81</v>
      </c>
      <c r="AB622" s="6" t="s">
        <v>81</v>
      </c>
      <c r="AC622" s="6" t="s">
        <v>81</v>
      </c>
      <c r="AD622" s="21" t="s">
        <v>81</v>
      </c>
      <c r="AE622" s="6" t="s">
        <v>81</v>
      </c>
      <c r="AF622" s="6" t="s">
        <v>81</v>
      </c>
      <c r="AG622" s="6" t="s">
        <v>81</v>
      </c>
      <c r="AH622" s="6" t="s">
        <v>15210</v>
      </c>
      <c r="AI622" s="6" t="s">
        <v>81</v>
      </c>
      <c r="AJ622" s="6" t="s">
        <v>17680</v>
      </c>
      <c r="AK622" s="6" t="s">
        <v>18412</v>
      </c>
      <c r="AL622" s="6" t="s">
        <v>18444</v>
      </c>
      <c r="AM622" s="6" t="s">
        <v>18846</v>
      </c>
      <c r="AN622" s="6" t="s">
        <v>19659</v>
      </c>
      <c r="AO622" s="6" t="s">
        <v>19899</v>
      </c>
      <c r="AP622" s="6" t="s">
        <v>15210</v>
      </c>
      <c r="AQ622" s="6" t="s">
        <v>81</v>
      </c>
      <c r="AR622" s="6" t="s">
        <v>17680</v>
      </c>
      <c r="AS622" s="6" t="s">
        <v>18412</v>
      </c>
      <c r="AT622" s="6" t="s">
        <v>18444</v>
      </c>
      <c r="AU622" s="6" t="s">
        <v>18846</v>
      </c>
      <c r="AV622" s="6" t="s">
        <v>19659</v>
      </c>
      <c r="AW622" s="6" t="s">
        <v>19899</v>
      </c>
      <c r="AX622" s="6" t="s">
        <v>21143</v>
      </c>
      <c r="AY622" s="6" t="s">
        <v>22784</v>
      </c>
      <c r="AZ622" s="6" t="s">
        <v>81</v>
      </c>
      <c r="BA622" s="6" t="s">
        <v>81</v>
      </c>
      <c r="BB622" s="24" t="n">
        <v>281</v>
      </c>
      <c r="BC622" s="26"/>
      <c r="BD622" s="26"/>
      <c r="BE622" s="26"/>
      <c r="BF622" s="26"/>
      <c r="BG622" s="26"/>
      <c r="BH622" s="26"/>
      <c r="BI622" s="26"/>
      <c r="BJ622" s="26"/>
      <c r="BK622" s="26"/>
      <c r="BL622" s="26"/>
      <c r="BM622" s="26"/>
      <c r="BN622" s="26"/>
      <c r="BO622" s="26"/>
      <c r="BP622" s="16" t="n">
        <v>45653</v>
      </c>
      <c r="BQ622" s="28" t="str">
        <f>HYPERLINK("https://organic.ams.usda.gov/Integrity/Certificate.aspx?cid=33&amp;nopid=2170024753")</f>
        <v>https://organic.ams.usda.gov/Integrity/Certificate.aspx?cid=33&amp;nopid=2170024753</v>
      </c>
    </row>
    <row r="623">
      <c r="A623" t="s">
        <v>3</v>
      </c>
      <c r="B623" s="6" t="s">
        <v>8</v>
      </c>
      <c r="C623" s="6" t="s">
        <v>55</v>
      </c>
      <c r="D623" s="6" t="s">
        <v>101</v>
      </c>
      <c r="E623" s="10" t="s">
        <v>764</v>
      </c>
      <c r="F623" s="6" t="s">
        <v>3494</v>
      </c>
      <c r="G623" s="6" t="s">
        <v>81</v>
      </c>
      <c r="H623" s="6" t="s">
        <v>6457</v>
      </c>
      <c r="I623" s="6" t="s">
        <v>8576</v>
      </c>
      <c r="J623" s="6" t="s">
        <v>9982</v>
      </c>
      <c r="K623" s="6" t="s">
        <v>10886</v>
      </c>
      <c r="L623" s="16" t="n">
        <v>42458</v>
      </c>
      <c r="M623" s="16" t="n">
        <v>45748</v>
      </c>
      <c r="N623" s="6" t="s">
        <v>10886</v>
      </c>
      <c r="O623" s="16" t="n">
        <v>42458</v>
      </c>
      <c r="P623" s="6" t="s">
        <v>11276</v>
      </c>
      <c r="Q623" s="6" t="s">
        <v>81</v>
      </c>
      <c r="R623" s="6" t="s">
        <v>6457</v>
      </c>
      <c r="S623" s="6" t="s">
        <v>10886</v>
      </c>
      <c r="T623" s="16" t="n">
        <v>42458</v>
      </c>
      <c r="U623" s="6" t="s">
        <v>13179</v>
      </c>
      <c r="V623" s="6" t="s">
        <v>81</v>
      </c>
      <c r="W623" s="6" t="s">
        <v>6457</v>
      </c>
      <c r="X623" s="6" t="s">
        <v>81</v>
      </c>
      <c r="Y623" s="21" t="s">
        <v>81</v>
      </c>
      <c r="Z623" s="6" t="s">
        <v>81</v>
      </c>
      <c r="AA623" s="6" t="s">
        <v>81</v>
      </c>
      <c r="AB623" s="6" t="s">
        <v>81</v>
      </c>
      <c r="AC623" s="6" t="s">
        <v>81</v>
      </c>
      <c r="AD623" s="21" t="s">
        <v>81</v>
      </c>
      <c r="AE623" s="6" t="s">
        <v>81</v>
      </c>
      <c r="AF623" s="6" t="s">
        <v>81</v>
      </c>
      <c r="AG623" s="6" t="s">
        <v>81</v>
      </c>
      <c r="AH623" s="6" t="s">
        <v>15211</v>
      </c>
      <c r="AI623" s="6" t="s">
        <v>81</v>
      </c>
      <c r="AJ623" s="6" t="s">
        <v>17681</v>
      </c>
      <c r="AK623" s="6" t="s">
        <v>18377</v>
      </c>
      <c r="AL623" s="6" t="s">
        <v>18444</v>
      </c>
      <c r="AM623" s="6" t="s">
        <v>18847</v>
      </c>
      <c r="AN623" s="6" t="s">
        <v>19638</v>
      </c>
      <c r="AO623" s="6" t="s">
        <v>19724</v>
      </c>
      <c r="AP623" s="6" t="s">
        <v>20178</v>
      </c>
      <c r="AQ623" s="6" t="s">
        <v>81</v>
      </c>
      <c r="AR623" s="6" t="s">
        <v>17542</v>
      </c>
      <c r="AS623" s="6" t="s">
        <v>18377</v>
      </c>
      <c r="AT623" s="6" t="s">
        <v>18444</v>
      </c>
      <c r="AU623" s="6" t="s">
        <v>18795</v>
      </c>
      <c r="AV623" s="6" t="s">
        <v>81</v>
      </c>
      <c r="AW623" s="6" t="s">
        <v>81</v>
      </c>
      <c r="AX623" s="6" t="s">
        <v>21144</v>
      </c>
      <c r="AY623" s="6" t="s">
        <v>22785</v>
      </c>
      <c r="AZ623" s="6" t="s">
        <v>81</v>
      </c>
      <c r="BA623" s="6" t="s">
        <v>23819</v>
      </c>
      <c r="BB623" s="24" t="n">
        <v>316</v>
      </c>
      <c r="BC623" s="26"/>
      <c r="BD623" s="26"/>
      <c r="BE623" s="26"/>
      <c r="BF623" s="26" t="s">
        <v>23900</v>
      </c>
      <c r="BG623" s="26"/>
      <c r="BH623" s="26"/>
      <c r="BI623" s="26"/>
      <c r="BJ623" s="26"/>
      <c r="BK623" s="26"/>
      <c r="BL623" s="26"/>
      <c r="BM623" s="26"/>
      <c r="BN623" s="26"/>
      <c r="BO623" s="26"/>
      <c r="BP623" s="16" t="n">
        <v>45628</v>
      </c>
      <c r="BQ623" s="28" t="str">
        <f>HYPERLINK("https://organic.ams.usda.gov/Integrity/Certificate.aspx?cid=45&amp;nopid=9950009072")</f>
        <v>https://organic.ams.usda.gov/Integrity/Certificate.aspx?cid=45&amp;nopid=9950009072</v>
      </c>
    </row>
    <row r="624">
      <c r="A624" t="s">
        <v>3</v>
      </c>
      <c r="B624" s="6" t="s">
        <v>29</v>
      </c>
      <c r="C624" s="6" t="s">
        <v>76</v>
      </c>
      <c r="D624" s="6" t="s">
        <v>122</v>
      </c>
      <c r="E624" s="10" t="s">
        <v>765</v>
      </c>
      <c r="F624" s="6" t="s">
        <v>3495</v>
      </c>
      <c r="G624" s="6" t="s">
        <v>81</v>
      </c>
      <c r="H624" s="6" t="s">
        <v>6458</v>
      </c>
      <c r="I624" s="6" t="s">
        <v>8761</v>
      </c>
      <c r="J624" s="6" t="s">
        <v>9983</v>
      </c>
      <c r="K624" s="6" t="s">
        <v>10886</v>
      </c>
      <c r="L624" s="16" t="n">
        <v>37529</v>
      </c>
      <c r="M624" s="16" t="n">
        <v>45870</v>
      </c>
      <c r="N624" s="6" t="s">
        <v>10886</v>
      </c>
      <c r="O624" s="16" t="n">
        <v>37529</v>
      </c>
      <c r="P624" s="6" t="s">
        <v>11277</v>
      </c>
      <c r="Q624" s="6" t="s">
        <v>81</v>
      </c>
      <c r="R624" s="6" t="s">
        <v>12599</v>
      </c>
      <c r="S624" s="6" t="s">
        <v>10886</v>
      </c>
      <c r="T624" s="16" t="n">
        <v>37529</v>
      </c>
      <c r="U624" s="6" t="s">
        <v>13395</v>
      </c>
      <c r="V624" s="6" t="s">
        <v>81</v>
      </c>
      <c r="W624" s="6" t="s">
        <v>12599</v>
      </c>
      <c r="X624" s="6" t="s">
        <v>81</v>
      </c>
      <c r="Y624" s="21" t="s">
        <v>81</v>
      </c>
      <c r="Z624" s="6" t="s">
        <v>81</v>
      </c>
      <c r="AA624" s="6" t="s">
        <v>81</v>
      </c>
      <c r="AB624" s="6" t="s">
        <v>81</v>
      </c>
      <c r="AC624" s="6" t="s">
        <v>81</v>
      </c>
      <c r="AD624" s="21" t="s">
        <v>81</v>
      </c>
      <c r="AE624" s="6" t="s">
        <v>81</v>
      </c>
      <c r="AF624" s="6" t="s">
        <v>81</v>
      </c>
      <c r="AG624" s="6" t="s">
        <v>81</v>
      </c>
      <c r="AH624" s="6" t="s">
        <v>15212</v>
      </c>
      <c r="AI624" s="6" t="s">
        <v>81</v>
      </c>
      <c r="AJ624" s="6" t="s">
        <v>17682</v>
      </c>
      <c r="AK624" s="6" t="s">
        <v>17712</v>
      </c>
      <c r="AL624" s="6" t="s">
        <v>18444</v>
      </c>
      <c r="AM624" s="6" t="s">
        <v>18848</v>
      </c>
      <c r="AN624" s="6" t="s">
        <v>19683</v>
      </c>
      <c r="AO624" s="6" t="s">
        <v>19868</v>
      </c>
      <c r="AP624" s="6" t="s">
        <v>81</v>
      </c>
      <c r="AQ624" s="6" t="s">
        <v>81</v>
      </c>
      <c r="AR624" s="6" t="s">
        <v>81</v>
      </c>
      <c r="AS624" s="6" t="s">
        <v>81</v>
      </c>
      <c r="AT624" s="6" t="s">
        <v>81</v>
      </c>
      <c r="AU624" s="6" t="s">
        <v>81</v>
      </c>
      <c r="AV624" s="6" t="s">
        <v>81</v>
      </c>
      <c r="AW624" s="6" t="s">
        <v>81</v>
      </c>
      <c r="AX624" s="6" t="s">
        <v>21145</v>
      </c>
      <c r="AY624" s="6" t="s">
        <v>81</v>
      </c>
      <c r="AZ624" s="6" t="s">
        <v>81</v>
      </c>
      <c r="BA624" s="6" t="s">
        <v>23851</v>
      </c>
      <c r="BB624" s="24" t="n">
        <v>835</v>
      </c>
      <c r="BC624" s="26"/>
      <c r="BD624" s="26"/>
      <c r="BE624" s="26"/>
      <c r="BF624" s="26" t="s">
        <v>23900</v>
      </c>
      <c r="BG624" s="26"/>
      <c r="BH624" s="26"/>
      <c r="BI624" s="26"/>
      <c r="BJ624" s="26"/>
      <c r="BK624" s="26"/>
      <c r="BL624" s="26"/>
      <c r="BM624" s="26"/>
      <c r="BN624" s="26"/>
      <c r="BO624" s="26"/>
      <c r="BP624" s="16" t="n">
        <v>45737</v>
      </c>
      <c r="BQ624" s="28" t="str">
        <f>HYPERLINK("https://organic.ams.usda.gov/Integrity/Certificate.aspx?cid=31&amp;nopid=3920897204")</f>
        <v>https://organic.ams.usda.gov/Integrity/Certificate.aspx?cid=31&amp;nopid=3920897204</v>
      </c>
    </row>
    <row r="625">
      <c r="A625" t="s">
        <v>3</v>
      </c>
      <c r="B625" s="6" t="s">
        <v>25</v>
      </c>
      <c r="C625" s="6" t="s">
        <v>72</v>
      </c>
      <c r="D625" s="6" t="s">
        <v>118</v>
      </c>
      <c r="E625" s="10" t="s">
        <v>766</v>
      </c>
      <c r="F625" s="6" t="s">
        <v>3496</v>
      </c>
      <c r="G625" s="6" t="s">
        <v>81</v>
      </c>
      <c r="H625" s="6" t="s">
        <v>6459</v>
      </c>
      <c r="I625" s="6" t="s">
        <v>8762</v>
      </c>
      <c r="J625" s="6" t="s">
        <v>9984</v>
      </c>
      <c r="K625" s="6" t="s">
        <v>10886</v>
      </c>
      <c r="L625" s="16" t="n">
        <v>38055</v>
      </c>
      <c r="M625" s="16" t="n">
        <v>46023</v>
      </c>
      <c r="N625" s="6" t="s">
        <v>10886</v>
      </c>
      <c r="O625" s="16" t="n">
        <v>38055</v>
      </c>
      <c r="P625" s="6" t="s">
        <v>11278</v>
      </c>
      <c r="Q625" s="6" t="s">
        <v>81</v>
      </c>
      <c r="R625" s="6" t="s">
        <v>81</v>
      </c>
      <c r="S625" s="6" t="s">
        <v>10886</v>
      </c>
      <c r="T625" s="16" t="n">
        <v>38055</v>
      </c>
      <c r="U625" s="6" t="s">
        <v>13396</v>
      </c>
      <c r="V625" s="6" t="s">
        <v>81</v>
      </c>
      <c r="W625" s="6" t="s">
        <v>81</v>
      </c>
      <c r="X625" s="6" t="s">
        <v>81</v>
      </c>
      <c r="Y625" s="21" t="s">
        <v>81</v>
      </c>
      <c r="Z625" s="6" t="s">
        <v>81</v>
      </c>
      <c r="AA625" s="6" t="s">
        <v>81</v>
      </c>
      <c r="AB625" s="6" t="s">
        <v>81</v>
      </c>
      <c r="AC625" s="6" t="s">
        <v>81</v>
      </c>
      <c r="AD625" s="21" t="s">
        <v>81</v>
      </c>
      <c r="AE625" s="6" t="s">
        <v>81</v>
      </c>
      <c r="AF625" s="6" t="s">
        <v>81</v>
      </c>
      <c r="AG625" s="6" t="s">
        <v>81</v>
      </c>
      <c r="AH625" s="6" t="s">
        <v>15213</v>
      </c>
      <c r="AI625" s="6" t="s">
        <v>81</v>
      </c>
      <c r="AJ625" s="6" t="s">
        <v>17683</v>
      </c>
      <c r="AK625" s="6" t="s">
        <v>18386</v>
      </c>
      <c r="AL625" s="6" t="s">
        <v>18444</v>
      </c>
      <c r="AM625" s="6" t="s">
        <v>18849</v>
      </c>
      <c r="AN625" s="6" t="s">
        <v>19685</v>
      </c>
      <c r="AO625" s="6" t="s">
        <v>19900</v>
      </c>
      <c r="AP625" s="6" t="s">
        <v>20179</v>
      </c>
      <c r="AQ625" s="6" t="s">
        <v>81</v>
      </c>
      <c r="AR625" s="6" t="s">
        <v>20517</v>
      </c>
      <c r="AS625" s="6" t="s">
        <v>18386</v>
      </c>
      <c r="AT625" s="6" t="s">
        <v>18444</v>
      </c>
      <c r="AU625" s="6" t="s">
        <v>20630</v>
      </c>
      <c r="AV625" s="6" t="s">
        <v>81</v>
      </c>
      <c r="AW625" s="6" t="s">
        <v>81</v>
      </c>
      <c r="AX625" s="6" t="s">
        <v>21146</v>
      </c>
      <c r="AY625" s="6" t="s">
        <v>22786</v>
      </c>
      <c r="AZ625" s="6" t="s">
        <v>81</v>
      </c>
      <c r="BA625" s="6" t="s">
        <v>23852</v>
      </c>
      <c r="BB625" s="24" t="n">
        <v>305</v>
      </c>
      <c r="BC625" s="26"/>
      <c r="BD625" s="26"/>
      <c r="BE625" s="26"/>
      <c r="BF625" s="26"/>
      <c r="BG625" s="26"/>
      <c r="BH625" s="26"/>
      <c r="BI625" s="26"/>
      <c r="BJ625" s="26"/>
      <c r="BK625" s="26"/>
      <c r="BL625" s="26"/>
      <c r="BM625" s="26"/>
      <c r="BN625" s="26"/>
      <c r="BO625" s="26"/>
      <c r="BP625" s="16" t="n">
        <v>45688</v>
      </c>
      <c r="BQ625" s="28" t="str">
        <f>HYPERLINK("https://organic.ams.usda.gov/Integrity/Certificate.aspx?cid=15&amp;nopid=5561001526")</f>
        <v>https://organic.ams.usda.gov/Integrity/Certificate.aspx?cid=15&amp;nopid=5561001526</v>
      </c>
    </row>
    <row r="626">
      <c r="A626" t="s">
        <v>3</v>
      </c>
      <c r="B626" s="6" t="s">
        <v>13</v>
      </c>
      <c r="C626" s="6" t="s">
        <v>60</v>
      </c>
      <c r="D626" s="6" t="s">
        <v>106</v>
      </c>
      <c r="E626" s="10" t="s">
        <v>767</v>
      </c>
      <c r="F626" s="6" t="s">
        <v>3497</v>
      </c>
      <c r="G626" s="6" t="s">
        <v>81</v>
      </c>
      <c r="H626" s="6" t="s">
        <v>6460</v>
      </c>
      <c r="I626" s="6" t="s">
        <v>8763</v>
      </c>
      <c r="J626" s="6" t="s">
        <v>9985</v>
      </c>
      <c r="K626" s="6" t="s">
        <v>10886</v>
      </c>
      <c r="L626" s="16" t="n">
        <v>45609</v>
      </c>
      <c r="M626" s="16" t="n">
        <v>45839</v>
      </c>
      <c r="N626" s="6" t="s">
        <v>81</v>
      </c>
      <c r="O626" s="21" t="s">
        <v>81</v>
      </c>
      <c r="P626" s="6" t="s">
        <v>81</v>
      </c>
      <c r="Q626" s="6" t="s">
        <v>81</v>
      </c>
      <c r="R626" s="6" t="s">
        <v>81</v>
      </c>
      <c r="S626" s="6" t="s">
        <v>81</v>
      </c>
      <c r="T626" s="21" t="s">
        <v>81</v>
      </c>
      <c r="U626" s="6" t="s">
        <v>81</v>
      </c>
      <c r="V626" s="6" t="s">
        <v>81</v>
      </c>
      <c r="W626" s="6" t="s">
        <v>81</v>
      </c>
      <c r="X626" s="6" t="s">
        <v>81</v>
      </c>
      <c r="Y626" s="21" t="s">
        <v>81</v>
      </c>
      <c r="Z626" s="6" t="s">
        <v>81</v>
      </c>
      <c r="AA626" s="6" t="s">
        <v>81</v>
      </c>
      <c r="AB626" s="6" t="s">
        <v>81</v>
      </c>
      <c r="AC626" s="6" t="s">
        <v>10886</v>
      </c>
      <c r="AD626" s="16" t="n">
        <v>45609</v>
      </c>
      <c r="AE626" s="6" t="s">
        <v>14137</v>
      </c>
      <c r="AF626" s="6" t="s">
        <v>81</v>
      </c>
      <c r="AG626" s="6" t="s">
        <v>14537</v>
      </c>
      <c r="AH626" s="6" t="s">
        <v>15214</v>
      </c>
      <c r="AI626" s="6" t="s">
        <v>17281</v>
      </c>
      <c r="AJ626" s="6" t="s">
        <v>17684</v>
      </c>
      <c r="AK626" s="6" t="s">
        <v>18389</v>
      </c>
      <c r="AL626" s="6" t="s">
        <v>18444</v>
      </c>
      <c r="AM626" s="6" t="s">
        <v>18850</v>
      </c>
      <c r="AN626" s="6" t="s">
        <v>81</v>
      </c>
      <c r="AO626" s="6" t="s">
        <v>81</v>
      </c>
      <c r="AP626" s="6" t="s">
        <v>15214</v>
      </c>
      <c r="AQ626" s="6" t="s">
        <v>17281</v>
      </c>
      <c r="AR626" s="6" t="s">
        <v>17684</v>
      </c>
      <c r="AS626" s="6" t="s">
        <v>18389</v>
      </c>
      <c r="AT626" s="6" t="s">
        <v>18444</v>
      </c>
      <c r="AU626" s="6" t="s">
        <v>18850</v>
      </c>
      <c r="AV626" s="6" t="s">
        <v>81</v>
      </c>
      <c r="AW626" s="6" t="s">
        <v>81</v>
      </c>
      <c r="AX626" s="6" t="s">
        <v>21147</v>
      </c>
      <c r="AY626" s="6" t="s">
        <v>22787</v>
      </c>
      <c r="AZ626" s="6" t="s">
        <v>23634</v>
      </c>
      <c r="BA626" s="6" t="s">
        <v>81</v>
      </c>
      <c r="BB626" s="6" t="s">
        <v>81</v>
      </c>
      <c r="BC626" s="26"/>
      <c r="BD626" s="26"/>
      <c r="BE626" s="26"/>
      <c r="BF626" s="26"/>
      <c r="BG626" s="26" t="s">
        <v>23900</v>
      </c>
      <c r="BH626" s="26"/>
      <c r="BI626" s="26"/>
      <c r="BJ626" s="26"/>
      <c r="BK626" s="26"/>
      <c r="BL626" s="26"/>
      <c r="BM626" s="26"/>
      <c r="BN626" s="26"/>
      <c r="BO626" s="26"/>
      <c r="BP626" s="16" t="n">
        <v>45702</v>
      </c>
      <c r="BQ626" s="28" t="str">
        <f>HYPERLINK("https://organic.ams.usda.gov/Integrity/Certificate.aspx?cid=72&amp;nopid=5870107370")</f>
        <v>https://organic.ams.usda.gov/Integrity/Certificate.aspx?cid=72&amp;nopid=5870107370</v>
      </c>
    </row>
    <row r="627">
      <c r="A627" t="s">
        <v>3</v>
      </c>
      <c r="B627" s="6" t="s">
        <v>8</v>
      </c>
      <c r="C627" s="6" t="s">
        <v>55</v>
      </c>
      <c r="D627" s="6" t="s">
        <v>101</v>
      </c>
      <c r="E627" s="10" t="s">
        <v>768</v>
      </c>
      <c r="F627" s="6" t="s">
        <v>3498</v>
      </c>
      <c r="G627" s="6" t="s">
        <v>5653</v>
      </c>
      <c r="H627" s="6" t="s">
        <v>6461</v>
      </c>
      <c r="I627" s="6" t="s">
        <v>8764</v>
      </c>
      <c r="J627" s="6" t="s">
        <v>9986</v>
      </c>
      <c r="K627" s="6" t="s">
        <v>10886</v>
      </c>
      <c r="L627" s="16" t="n">
        <v>41305</v>
      </c>
      <c r="M627" s="16" t="n">
        <v>45383</v>
      </c>
      <c r="N627" s="6" t="s">
        <v>10886</v>
      </c>
      <c r="O627" s="16" t="n">
        <v>41305</v>
      </c>
      <c r="P627" s="6" t="s">
        <v>11279</v>
      </c>
      <c r="Q627" s="6" t="s">
        <v>81</v>
      </c>
      <c r="R627" s="6" t="s">
        <v>6461</v>
      </c>
      <c r="S627" s="6" t="s">
        <v>10886</v>
      </c>
      <c r="T627" s="16" t="n">
        <v>41305</v>
      </c>
      <c r="U627" s="6" t="s">
        <v>13221</v>
      </c>
      <c r="V627" s="6" t="s">
        <v>81</v>
      </c>
      <c r="W627" s="6" t="s">
        <v>6461</v>
      </c>
      <c r="X627" s="6" t="s">
        <v>81</v>
      </c>
      <c r="Y627" s="21" t="s">
        <v>81</v>
      </c>
      <c r="Z627" s="6" t="s">
        <v>81</v>
      </c>
      <c r="AA627" s="6" t="s">
        <v>81</v>
      </c>
      <c r="AB627" s="6" t="s">
        <v>81</v>
      </c>
      <c r="AC627" s="6" t="s">
        <v>81</v>
      </c>
      <c r="AD627" s="21" t="s">
        <v>81</v>
      </c>
      <c r="AE627" s="6" t="s">
        <v>81</v>
      </c>
      <c r="AF627" s="6" t="s">
        <v>81</v>
      </c>
      <c r="AG627" s="6" t="s">
        <v>81</v>
      </c>
      <c r="AH627" s="6" t="s">
        <v>15215</v>
      </c>
      <c r="AI627" s="6" t="s">
        <v>81</v>
      </c>
      <c r="AJ627" s="6" t="s">
        <v>17685</v>
      </c>
      <c r="AK627" s="6" t="s">
        <v>18391</v>
      </c>
      <c r="AL627" s="6" t="s">
        <v>18444</v>
      </c>
      <c r="AM627" s="6" t="s">
        <v>18851</v>
      </c>
      <c r="AN627" s="6" t="s">
        <v>19678</v>
      </c>
      <c r="AO627" s="6" t="s">
        <v>19901</v>
      </c>
      <c r="AP627" s="6" t="s">
        <v>81</v>
      </c>
      <c r="AQ627" s="6" t="s">
        <v>81</v>
      </c>
      <c r="AR627" s="6" t="s">
        <v>81</v>
      </c>
      <c r="AS627" s="6" t="s">
        <v>81</v>
      </c>
      <c r="AT627" s="6" t="s">
        <v>81</v>
      </c>
      <c r="AU627" s="6" t="s">
        <v>81</v>
      </c>
      <c r="AV627" s="6" t="s">
        <v>81</v>
      </c>
      <c r="AW627" s="6" t="s">
        <v>81</v>
      </c>
      <c r="AX627" s="6" t="s">
        <v>81</v>
      </c>
      <c r="AY627" s="6" t="s">
        <v>22788</v>
      </c>
      <c r="AZ627" s="6" t="s">
        <v>81</v>
      </c>
      <c r="BA627" s="6" t="s">
        <v>23824</v>
      </c>
      <c r="BB627" s="24" t="n">
        <v>1642</v>
      </c>
      <c r="BC627" s="26"/>
      <c r="BD627" s="26"/>
      <c r="BE627" s="26"/>
      <c r="BF627" s="26" t="s">
        <v>23900</v>
      </c>
      <c r="BG627" s="26"/>
      <c r="BH627" s="26"/>
      <c r="BI627" s="26"/>
      <c r="BJ627" s="26"/>
      <c r="BK627" s="26"/>
      <c r="BL627" s="26"/>
      <c r="BM627" s="26"/>
      <c r="BN627" s="26"/>
      <c r="BO627" s="26"/>
      <c r="BP627" s="16" t="n">
        <v>45418</v>
      </c>
      <c r="BQ627" s="28" t="str">
        <f>HYPERLINK("https://organic.ams.usda.gov/Integrity/Certificate.aspx?cid=45&amp;nopid=9950004935")</f>
        <v>https://organic.ams.usda.gov/Integrity/Certificate.aspx?cid=45&amp;nopid=9950004935</v>
      </c>
    </row>
    <row r="628">
      <c r="A628" t="s">
        <v>3</v>
      </c>
      <c r="B628" s="6" t="s">
        <v>25</v>
      </c>
      <c r="C628" s="6" t="s">
        <v>72</v>
      </c>
      <c r="D628" s="6" t="s">
        <v>118</v>
      </c>
      <c r="E628" s="10" t="s">
        <v>769</v>
      </c>
      <c r="F628" s="6" t="s">
        <v>3499</v>
      </c>
      <c r="G628" s="6" t="s">
        <v>81</v>
      </c>
      <c r="H628" s="6" t="s">
        <v>6462</v>
      </c>
      <c r="I628" s="6" t="s">
        <v>8765</v>
      </c>
      <c r="J628" s="6" t="s">
        <v>9987</v>
      </c>
      <c r="K628" s="6" t="s">
        <v>10886</v>
      </c>
      <c r="L628" s="16" t="n">
        <v>39522</v>
      </c>
      <c r="M628" s="16" t="n">
        <v>46023</v>
      </c>
      <c r="N628" s="6" t="s">
        <v>10886</v>
      </c>
      <c r="O628" s="16" t="n">
        <v>39522</v>
      </c>
      <c r="P628" s="6" t="s">
        <v>11280</v>
      </c>
      <c r="Q628" s="6" t="s">
        <v>81</v>
      </c>
      <c r="R628" s="6" t="s">
        <v>81</v>
      </c>
      <c r="S628" s="6" t="s">
        <v>10886</v>
      </c>
      <c r="T628" s="16" t="n">
        <v>39522</v>
      </c>
      <c r="U628" s="6" t="s">
        <v>13397</v>
      </c>
      <c r="V628" s="6" t="s">
        <v>81</v>
      </c>
      <c r="W628" s="6" t="s">
        <v>81</v>
      </c>
      <c r="X628" s="6" t="s">
        <v>81</v>
      </c>
      <c r="Y628" s="21" t="s">
        <v>81</v>
      </c>
      <c r="Z628" s="6" t="s">
        <v>81</v>
      </c>
      <c r="AA628" s="6" t="s">
        <v>81</v>
      </c>
      <c r="AB628" s="6" t="s">
        <v>81</v>
      </c>
      <c r="AC628" s="6" t="s">
        <v>10886</v>
      </c>
      <c r="AD628" s="16" t="n">
        <v>44733</v>
      </c>
      <c r="AE628" s="6" t="s">
        <v>14081</v>
      </c>
      <c r="AF628" s="6" t="s">
        <v>81</v>
      </c>
      <c r="AG628" s="6" t="s">
        <v>81</v>
      </c>
      <c r="AH628" s="6" t="s">
        <v>15216</v>
      </c>
      <c r="AI628" s="6" t="s">
        <v>81</v>
      </c>
      <c r="AJ628" s="6" t="s">
        <v>17506</v>
      </c>
      <c r="AK628" s="6" t="s">
        <v>18386</v>
      </c>
      <c r="AL628" s="6" t="s">
        <v>18444</v>
      </c>
      <c r="AM628" s="6" t="s">
        <v>18667</v>
      </c>
      <c r="AN628" s="6" t="s">
        <v>19651</v>
      </c>
      <c r="AO628" s="6" t="s">
        <v>19864</v>
      </c>
      <c r="AP628" s="6" t="s">
        <v>20180</v>
      </c>
      <c r="AQ628" s="6" t="s">
        <v>81</v>
      </c>
      <c r="AR628" s="6" t="s">
        <v>17506</v>
      </c>
      <c r="AS628" s="6" t="s">
        <v>18386</v>
      </c>
      <c r="AT628" s="6" t="s">
        <v>18444</v>
      </c>
      <c r="AU628" s="6" t="s">
        <v>18667</v>
      </c>
      <c r="AV628" s="6" t="s">
        <v>81</v>
      </c>
      <c r="AW628" s="6" t="s">
        <v>81</v>
      </c>
      <c r="AX628" s="6" t="s">
        <v>21148</v>
      </c>
      <c r="AY628" s="6" t="s">
        <v>22789</v>
      </c>
      <c r="AZ628" s="6" t="s">
        <v>81</v>
      </c>
      <c r="BA628" s="6" t="s">
        <v>23827</v>
      </c>
      <c r="BB628" s="24" t="n">
        <v>1190</v>
      </c>
      <c r="BC628" s="26"/>
      <c r="BD628" s="26"/>
      <c r="BE628" s="26"/>
      <c r="BF628" s="26" t="s">
        <v>23900</v>
      </c>
      <c r="BG628" s="26"/>
      <c r="BH628" s="26"/>
      <c r="BI628" s="26"/>
      <c r="BJ628" s="26"/>
      <c r="BK628" s="26"/>
      <c r="BL628" s="26"/>
      <c r="BM628" s="26"/>
      <c r="BN628" s="26"/>
      <c r="BO628" s="26"/>
      <c r="BP628" s="16" t="n">
        <v>45667</v>
      </c>
      <c r="BQ628" s="28" t="str">
        <f>HYPERLINK("https://organic.ams.usda.gov/Integrity/Certificate.aspx?cid=15&amp;nopid=5561000985")</f>
        <v>https://organic.ams.usda.gov/Integrity/Certificate.aspx?cid=15&amp;nopid=5561000985</v>
      </c>
    </row>
    <row r="629">
      <c r="A629" t="s">
        <v>3</v>
      </c>
      <c r="B629" s="6" t="s">
        <v>9</v>
      </c>
      <c r="C629" s="6" t="s">
        <v>56</v>
      </c>
      <c r="D629" s="6" t="s">
        <v>102</v>
      </c>
      <c r="E629" s="10" t="s">
        <v>770</v>
      </c>
      <c r="F629" s="6" t="s">
        <v>3500</v>
      </c>
      <c r="G629" s="6" t="s">
        <v>81</v>
      </c>
      <c r="H629" s="6" t="s">
        <v>6463</v>
      </c>
      <c r="I629" s="6" t="s">
        <v>8766</v>
      </c>
      <c r="J629" s="6" t="s">
        <v>9742</v>
      </c>
      <c r="K629" s="6" t="s">
        <v>10886</v>
      </c>
      <c r="L629" s="16" t="n">
        <v>41963</v>
      </c>
      <c r="M629" s="16" t="n">
        <v>45748</v>
      </c>
      <c r="N629" s="6" t="s">
        <v>10886</v>
      </c>
      <c r="O629" s="16" t="n">
        <v>41963</v>
      </c>
      <c r="P629" s="6" t="s">
        <v>11281</v>
      </c>
      <c r="Q629" s="6" t="s">
        <v>81</v>
      </c>
      <c r="R629" s="6" t="s">
        <v>12600</v>
      </c>
      <c r="S629" s="6" t="s">
        <v>10886</v>
      </c>
      <c r="T629" s="16" t="n">
        <v>41963</v>
      </c>
      <c r="U629" s="6" t="s">
        <v>13168</v>
      </c>
      <c r="V629" s="6" t="s">
        <v>81</v>
      </c>
      <c r="W629" s="6" t="s">
        <v>12600</v>
      </c>
      <c r="X629" s="6" t="s">
        <v>81</v>
      </c>
      <c r="Y629" s="21" t="s">
        <v>81</v>
      </c>
      <c r="Z629" s="6" t="s">
        <v>81</v>
      </c>
      <c r="AA629" s="6" t="s">
        <v>81</v>
      </c>
      <c r="AB629" s="6" t="s">
        <v>81</v>
      </c>
      <c r="AC629" s="6" t="s">
        <v>81</v>
      </c>
      <c r="AD629" s="21" t="s">
        <v>81</v>
      </c>
      <c r="AE629" s="6" t="s">
        <v>81</v>
      </c>
      <c r="AF629" s="6" t="s">
        <v>81</v>
      </c>
      <c r="AG629" s="6" t="s">
        <v>81</v>
      </c>
      <c r="AH629" s="6" t="s">
        <v>15217</v>
      </c>
      <c r="AI629" s="6" t="s">
        <v>81</v>
      </c>
      <c r="AJ629" s="6" t="s">
        <v>17381</v>
      </c>
      <c r="AK629" s="6" t="s">
        <v>18379</v>
      </c>
      <c r="AL629" s="6" t="s">
        <v>18444</v>
      </c>
      <c r="AM629" s="6" t="s">
        <v>18534</v>
      </c>
      <c r="AN629" s="6" t="s">
        <v>19654</v>
      </c>
      <c r="AO629" s="6" t="s">
        <v>19765</v>
      </c>
      <c r="AP629" s="6" t="s">
        <v>81</v>
      </c>
      <c r="AQ629" s="6" t="s">
        <v>81</v>
      </c>
      <c r="AR629" s="6" t="s">
        <v>81</v>
      </c>
      <c r="AS629" s="6" t="s">
        <v>81</v>
      </c>
      <c r="AT629" s="6" t="s">
        <v>81</v>
      </c>
      <c r="AU629" s="6" t="s">
        <v>81</v>
      </c>
      <c r="AV629" s="6" t="s">
        <v>81</v>
      </c>
      <c r="AW629" s="6" t="s">
        <v>81</v>
      </c>
      <c r="AX629" s="6" t="s">
        <v>81</v>
      </c>
      <c r="AY629" s="6" t="s">
        <v>81</v>
      </c>
      <c r="AZ629" s="6" t="s">
        <v>81</v>
      </c>
      <c r="BA629" s="6" t="s">
        <v>81</v>
      </c>
      <c r="BB629" s="24" t="n">
        <v>84</v>
      </c>
      <c r="BC629" s="26"/>
      <c r="BD629" s="26"/>
      <c r="BE629" s="26"/>
      <c r="BF629" s="26"/>
      <c r="BG629" s="26"/>
      <c r="BH629" s="26"/>
      <c r="BI629" s="26"/>
      <c r="BJ629" s="26"/>
      <c r="BK629" s="26"/>
      <c r="BL629" s="26"/>
      <c r="BM629" s="26"/>
      <c r="BN629" s="26"/>
      <c r="BO629" s="26"/>
      <c r="BP629" s="16" t="n">
        <v>45738</v>
      </c>
      <c r="BQ629" s="28" t="str">
        <f>HYPERLINK("https://organic.ams.usda.gov/Integrity/Certificate.aspx?cid=52&amp;nopid=8431400879")</f>
        <v>https://organic.ams.usda.gov/Integrity/Certificate.aspx?cid=52&amp;nopid=8431400879</v>
      </c>
    </row>
    <row r="630">
      <c r="A630" t="s">
        <v>3</v>
      </c>
      <c r="B630" s="6" t="s">
        <v>10</v>
      </c>
      <c r="C630" s="6" t="s">
        <v>57</v>
      </c>
      <c r="D630" s="6" t="s">
        <v>103</v>
      </c>
      <c r="E630" s="10" t="s">
        <v>771</v>
      </c>
      <c r="F630" s="6" t="s">
        <v>3501</v>
      </c>
      <c r="G630" s="6" t="s">
        <v>81</v>
      </c>
      <c r="H630" s="6" t="s">
        <v>6464</v>
      </c>
      <c r="I630" s="6" t="s">
        <v>8767</v>
      </c>
      <c r="J630" s="6" t="s">
        <v>9666</v>
      </c>
      <c r="K630" s="6" t="s">
        <v>10886</v>
      </c>
      <c r="L630" s="16" t="n">
        <v>42200</v>
      </c>
      <c r="M630" s="16" t="n">
        <v>45748</v>
      </c>
      <c r="N630" s="6" t="s">
        <v>10886</v>
      </c>
      <c r="O630" s="16" t="n">
        <v>42200</v>
      </c>
      <c r="P630" s="6" t="s">
        <v>11282</v>
      </c>
      <c r="Q630" s="6" t="s">
        <v>81</v>
      </c>
      <c r="R630" s="6" t="s">
        <v>12601</v>
      </c>
      <c r="S630" s="6" t="s">
        <v>10886</v>
      </c>
      <c r="T630" s="16" t="n">
        <v>42200</v>
      </c>
      <c r="U630" s="6" t="s">
        <v>13163</v>
      </c>
      <c r="V630" s="6" t="s">
        <v>81</v>
      </c>
      <c r="W630" s="6" t="s">
        <v>81</v>
      </c>
      <c r="X630" s="6" t="s">
        <v>81</v>
      </c>
      <c r="Y630" s="21" t="s">
        <v>81</v>
      </c>
      <c r="Z630" s="6" t="s">
        <v>81</v>
      </c>
      <c r="AA630" s="6" t="s">
        <v>81</v>
      </c>
      <c r="AB630" s="6" t="s">
        <v>81</v>
      </c>
      <c r="AC630" s="6" t="s">
        <v>81</v>
      </c>
      <c r="AD630" s="21" t="s">
        <v>81</v>
      </c>
      <c r="AE630" s="6" t="s">
        <v>81</v>
      </c>
      <c r="AF630" s="6" t="s">
        <v>81</v>
      </c>
      <c r="AG630" s="6" t="s">
        <v>81</v>
      </c>
      <c r="AH630" s="6" t="s">
        <v>15218</v>
      </c>
      <c r="AI630" s="6" t="s">
        <v>81</v>
      </c>
      <c r="AJ630" s="6" t="s">
        <v>17315</v>
      </c>
      <c r="AK630" s="6" t="s">
        <v>18379</v>
      </c>
      <c r="AL630" s="6" t="s">
        <v>18444</v>
      </c>
      <c r="AM630" s="6" t="s">
        <v>18467</v>
      </c>
      <c r="AN630" s="6" t="s">
        <v>19637</v>
      </c>
      <c r="AO630" s="6" t="s">
        <v>19723</v>
      </c>
      <c r="AP630" s="6" t="s">
        <v>15218</v>
      </c>
      <c r="AQ630" s="6" t="s">
        <v>81</v>
      </c>
      <c r="AR630" s="6" t="s">
        <v>17315</v>
      </c>
      <c r="AS630" s="6" t="s">
        <v>18379</v>
      </c>
      <c r="AT630" s="6" t="s">
        <v>18444</v>
      </c>
      <c r="AU630" s="6" t="s">
        <v>18467</v>
      </c>
      <c r="AV630" s="6" t="s">
        <v>81</v>
      </c>
      <c r="AW630" s="6" t="s">
        <v>81</v>
      </c>
      <c r="AX630" s="6" t="s">
        <v>21149</v>
      </c>
      <c r="AY630" s="6" t="s">
        <v>81</v>
      </c>
      <c r="AZ630" s="6" t="s">
        <v>81</v>
      </c>
      <c r="BA630" s="6" t="s">
        <v>81</v>
      </c>
      <c r="BB630" s="24" t="n">
        <v>112</v>
      </c>
      <c r="BC630" s="26"/>
      <c r="BD630" s="26"/>
      <c r="BE630" s="26"/>
      <c r="BF630" s="26"/>
      <c r="BG630" s="26"/>
      <c r="BH630" s="26"/>
      <c r="BI630" s="26"/>
      <c r="BJ630" s="26"/>
      <c r="BK630" s="26"/>
      <c r="BL630" s="26"/>
      <c r="BM630" s="26"/>
      <c r="BN630" s="26"/>
      <c r="BO630" s="26"/>
      <c r="BP630" s="16" t="n">
        <v>45730</v>
      </c>
      <c r="BQ630" s="28" t="str">
        <f>HYPERLINK("https://organic.ams.usda.gov/Integrity/Certificate.aspx?cid=90&amp;nopid=7170020094")</f>
        <v>https://organic.ams.usda.gov/Integrity/Certificate.aspx?cid=90&amp;nopid=7170020094</v>
      </c>
    </row>
    <row r="631">
      <c r="A631" t="s">
        <v>3</v>
      </c>
      <c r="B631" s="6" t="s">
        <v>13</v>
      </c>
      <c r="C631" s="6" t="s">
        <v>60</v>
      </c>
      <c r="D631" s="6" t="s">
        <v>106</v>
      </c>
      <c r="E631" s="10" t="s">
        <v>772</v>
      </c>
      <c r="F631" s="6" t="s">
        <v>3502</v>
      </c>
      <c r="G631" s="6" t="s">
        <v>5654</v>
      </c>
      <c r="H631" s="6" t="s">
        <v>6465</v>
      </c>
      <c r="I631" s="6" t="s">
        <v>8768</v>
      </c>
      <c r="J631" s="6" t="s">
        <v>9988</v>
      </c>
      <c r="K631" s="6" t="s">
        <v>10886</v>
      </c>
      <c r="L631" s="16" t="n">
        <v>41753</v>
      </c>
      <c r="M631" s="16" t="n">
        <v>45748</v>
      </c>
      <c r="N631" s="6" t="s">
        <v>10886</v>
      </c>
      <c r="O631" s="16" t="n">
        <v>41753</v>
      </c>
      <c r="P631" s="6" t="s">
        <v>11283</v>
      </c>
      <c r="Q631" s="6" t="s">
        <v>81</v>
      </c>
      <c r="R631" s="6" t="s">
        <v>12602</v>
      </c>
      <c r="S631" s="6" t="s">
        <v>10886</v>
      </c>
      <c r="T631" s="16" t="n">
        <v>41753</v>
      </c>
      <c r="U631" s="6" t="s">
        <v>13398</v>
      </c>
      <c r="V631" s="6" t="s">
        <v>81</v>
      </c>
      <c r="W631" s="6" t="s">
        <v>12602</v>
      </c>
      <c r="X631" s="6" t="s">
        <v>81</v>
      </c>
      <c r="Y631" s="21" t="s">
        <v>81</v>
      </c>
      <c r="Z631" s="6" t="s">
        <v>81</v>
      </c>
      <c r="AA631" s="6" t="s">
        <v>81</v>
      </c>
      <c r="AB631" s="6" t="s">
        <v>81</v>
      </c>
      <c r="AC631" s="6" t="s">
        <v>81</v>
      </c>
      <c r="AD631" s="21" t="s">
        <v>81</v>
      </c>
      <c r="AE631" s="6" t="s">
        <v>81</v>
      </c>
      <c r="AF631" s="6" t="s">
        <v>81</v>
      </c>
      <c r="AG631" s="6" t="s">
        <v>81</v>
      </c>
      <c r="AH631" s="6" t="s">
        <v>15219</v>
      </c>
      <c r="AI631" s="6" t="s">
        <v>81</v>
      </c>
      <c r="AJ631" s="6" t="s">
        <v>17686</v>
      </c>
      <c r="AK631" s="6" t="s">
        <v>18379</v>
      </c>
      <c r="AL631" s="6" t="s">
        <v>18444</v>
      </c>
      <c r="AM631" s="6" t="s">
        <v>18852</v>
      </c>
      <c r="AN631" s="6" t="s">
        <v>6817</v>
      </c>
      <c r="AO631" s="6" t="s">
        <v>19902</v>
      </c>
      <c r="AP631" s="6" t="s">
        <v>15219</v>
      </c>
      <c r="AQ631" s="6" t="s">
        <v>81</v>
      </c>
      <c r="AR631" s="6" t="s">
        <v>17686</v>
      </c>
      <c r="AS631" s="6" t="s">
        <v>18379</v>
      </c>
      <c r="AT631" s="6" t="s">
        <v>18444</v>
      </c>
      <c r="AU631" s="6" t="s">
        <v>18852</v>
      </c>
      <c r="AV631" s="6" t="s">
        <v>81</v>
      </c>
      <c r="AW631" s="6" t="s">
        <v>81</v>
      </c>
      <c r="AX631" s="6" t="s">
        <v>21150</v>
      </c>
      <c r="AY631" s="6" t="s">
        <v>81</v>
      </c>
      <c r="AZ631" s="6" t="s">
        <v>81</v>
      </c>
      <c r="BA631" s="6" t="s">
        <v>23853</v>
      </c>
      <c r="BB631" s="24" t="n">
        <v>415</v>
      </c>
      <c r="BC631" s="26"/>
      <c r="BD631" s="26"/>
      <c r="BE631" s="26"/>
      <c r="BF631" s="26" t="s">
        <v>23900</v>
      </c>
      <c r="BG631" s="26"/>
      <c r="BH631" s="26"/>
      <c r="BI631" s="26"/>
      <c r="BJ631" s="26"/>
      <c r="BK631" s="26"/>
      <c r="BL631" s="26"/>
      <c r="BM631" s="26"/>
      <c r="BN631" s="26"/>
      <c r="BO631" s="26"/>
      <c r="BP631" s="16" t="n">
        <v>45663</v>
      </c>
      <c r="BQ631" s="28" t="str">
        <f>HYPERLINK("https://organic.ams.usda.gov/Integrity/Certificate.aspx?cid=72&amp;nopid=5870001617")</f>
        <v>https://organic.ams.usda.gov/Integrity/Certificate.aspx?cid=72&amp;nopid=5870001617</v>
      </c>
    </row>
    <row r="632">
      <c r="A632" t="s">
        <v>3</v>
      </c>
      <c r="B632" s="6" t="s">
        <v>12</v>
      </c>
      <c r="C632" s="6" t="s">
        <v>59</v>
      </c>
      <c r="D632" s="6" t="s">
        <v>105</v>
      </c>
      <c r="E632" s="10" t="s">
        <v>773</v>
      </c>
      <c r="F632" s="6" t="s">
        <v>3503</v>
      </c>
      <c r="G632" s="6" t="s">
        <v>81</v>
      </c>
      <c r="H632" s="6" t="s">
        <v>6466</v>
      </c>
      <c r="I632" s="6" t="s">
        <v>8769</v>
      </c>
      <c r="J632" s="6" t="s">
        <v>9759</v>
      </c>
      <c r="K632" s="6" t="s">
        <v>10886</v>
      </c>
      <c r="L632" s="16" t="n">
        <v>44893</v>
      </c>
      <c r="M632" s="16" t="n">
        <v>45717</v>
      </c>
      <c r="N632" s="6" t="s">
        <v>10886</v>
      </c>
      <c r="O632" s="16" t="n">
        <v>44893</v>
      </c>
      <c r="P632" s="6" t="s">
        <v>11284</v>
      </c>
      <c r="Q632" s="6" t="s">
        <v>81</v>
      </c>
      <c r="R632" s="6" t="s">
        <v>81</v>
      </c>
      <c r="S632" s="6" t="s">
        <v>10886</v>
      </c>
      <c r="T632" s="16" t="n">
        <v>44985</v>
      </c>
      <c r="U632" s="6" t="s">
        <v>13399</v>
      </c>
      <c r="V632" s="6" t="s">
        <v>81</v>
      </c>
      <c r="W632" s="6" t="s">
        <v>81</v>
      </c>
      <c r="X632" s="6" t="s">
        <v>81</v>
      </c>
      <c r="Y632" s="21" t="s">
        <v>81</v>
      </c>
      <c r="Z632" s="6" t="s">
        <v>81</v>
      </c>
      <c r="AA632" s="6" t="s">
        <v>81</v>
      </c>
      <c r="AB632" s="6" t="s">
        <v>81</v>
      </c>
      <c r="AC632" s="6" t="s">
        <v>81</v>
      </c>
      <c r="AD632" s="21" t="s">
        <v>81</v>
      </c>
      <c r="AE632" s="6" t="s">
        <v>81</v>
      </c>
      <c r="AF632" s="6" t="s">
        <v>81</v>
      </c>
      <c r="AG632" s="6" t="s">
        <v>81</v>
      </c>
      <c r="AH632" s="6" t="s">
        <v>15220</v>
      </c>
      <c r="AI632" s="6" t="s">
        <v>81</v>
      </c>
      <c r="AJ632" s="6" t="s">
        <v>17625</v>
      </c>
      <c r="AK632" s="6" t="s">
        <v>17712</v>
      </c>
      <c r="AL632" s="6" t="s">
        <v>18444</v>
      </c>
      <c r="AM632" s="6" t="s">
        <v>18792</v>
      </c>
      <c r="AN632" s="6" t="s">
        <v>7195</v>
      </c>
      <c r="AO632" s="6" t="s">
        <v>19735</v>
      </c>
      <c r="AP632" s="6" t="s">
        <v>15220</v>
      </c>
      <c r="AQ632" s="6" t="s">
        <v>81</v>
      </c>
      <c r="AR632" s="6" t="s">
        <v>17625</v>
      </c>
      <c r="AS632" s="6" t="s">
        <v>17712</v>
      </c>
      <c r="AT632" s="6" t="s">
        <v>18444</v>
      </c>
      <c r="AU632" s="6" t="s">
        <v>18792</v>
      </c>
      <c r="AV632" s="6" t="s">
        <v>81</v>
      </c>
      <c r="AW632" s="6" t="s">
        <v>81</v>
      </c>
      <c r="AX632" s="6" t="s">
        <v>81</v>
      </c>
      <c r="AY632" s="6" t="s">
        <v>81</v>
      </c>
      <c r="AZ632" s="6" t="s">
        <v>81</v>
      </c>
      <c r="BA632" s="6" t="s">
        <v>81</v>
      </c>
      <c r="BB632" s="24" t="n">
        <v>186</v>
      </c>
      <c r="BC632" s="26"/>
      <c r="BD632" s="26"/>
      <c r="BE632" s="26"/>
      <c r="BF632" s="26"/>
      <c r="BG632" s="26"/>
      <c r="BH632" s="26"/>
      <c r="BI632" s="26"/>
      <c r="BJ632" s="26"/>
      <c r="BK632" s="26"/>
      <c r="BL632" s="26"/>
      <c r="BM632" s="26"/>
      <c r="BN632" s="26"/>
      <c r="BO632" s="26"/>
      <c r="BP632" s="16" t="n">
        <v>45684</v>
      </c>
      <c r="BQ632" s="28" t="str">
        <f>HYPERLINK("https://organic.ams.usda.gov/Integrity/Certificate.aspx?cid=68&amp;nopid=8210008575")</f>
        <v>https://organic.ams.usda.gov/Integrity/Certificate.aspx?cid=68&amp;nopid=8210008575</v>
      </c>
    </row>
    <row r="633">
      <c r="A633" t="s">
        <v>3</v>
      </c>
      <c r="B633" s="6" t="s">
        <v>30</v>
      </c>
      <c r="C633" s="6" t="s">
        <v>77</v>
      </c>
      <c r="D633" s="6" t="s">
        <v>123</v>
      </c>
      <c r="E633" s="10" t="s">
        <v>774</v>
      </c>
      <c r="F633" s="6" t="s">
        <v>3504</v>
      </c>
      <c r="G633" s="6" t="s">
        <v>81</v>
      </c>
      <c r="H633" s="6" t="s">
        <v>6467</v>
      </c>
      <c r="I633" s="6" t="s">
        <v>81</v>
      </c>
      <c r="J633" s="6" t="s">
        <v>9759</v>
      </c>
      <c r="K633" s="6" t="s">
        <v>10886</v>
      </c>
      <c r="L633" s="16" t="n">
        <v>43762</v>
      </c>
      <c r="M633" s="16" t="n">
        <v>45747</v>
      </c>
      <c r="N633" s="6" t="s">
        <v>10886</v>
      </c>
      <c r="O633" s="16" t="n">
        <v>43762</v>
      </c>
      <c r="P633" s="6" t="s">
        <v>11285</v>
      </c>
      <c r="Q633" s="6" t="s">
        <v>81</v>
      </c>
      <c r="R633" s="6" t="s">
        <v>81</v>
      </c>
      <c r="S633" s="6" t="s">
        <v>10886</v>
      </c>
      <c r="T633" s="16" t="n">
        <v>43762</v>
      </c>
      <c r="U633" s="6" t="s">
        <v>13400</v>
      </c>
      <c r="V633" s="6" t="s">
        <v>81</v>
      </c>
      <c r="W633" s="6" t="s">
        <v>81</v>
      </c>
      <c r="X633" s="6" t="s">
        <v>81</v>
      </c>
      <c r="Y633" s="21" t="s">
        <v>81</v>
      </c>
      <c r="Z633" s="6" t="s">
        <v>81</v>
      </c>
      <c r="AA633" s="6" t="s">
        <v>81</v>
      </c>
      <c r="AB633" s="6" t="s">
        <v>81</v>
      </c>
      <c r="AC633" s="6" t="s">
        <v>81</v>
      </c>
      <c r="AD633" s="21" t="s">
        <v>81</v>
      </c>
      <c r="AE633" s="6" t="s">
        <v>81</v>
      </c>
      <c r="AF633" s="6" t="s">
        <v>81</v>
      </c>
      <c r="AG633" s="6" t="s">
        <v>81</v>
      </c>
      <c r="AH633" s="6" t="s">
        <v>15221</v>
      </c>
      <c r="AI633" s="6" t="s">
        <v>81</v>
      </c>
      <c r="AJ633" s="6" t="s">
        <v>17687</v>
      </c>
      <c r="AK633" s="6" t="s">
        <v>17712</v>
      </c>
      <c r="AL633" s="6" t="s">
        <v>18444</v>
      </c>
      <c r="AM633" s="6" t="s">
        <v>18853</v>
      </c>
      <c r="AN633" s="6" t="s">
        <v>19634</v>
      </c>
      <c r="AO633" s="6" t="s">
        <v>19719</v>
      </c>
      <c r="AP633" s="6" t="s">
        <v>15221</v>
      </c>
      <c r="AQ633" s="6" t="s">
        <v>81</v>
      </c>
      <c r="AR633" s="6" t="s">
        <v>17687</v>
      </c>
      <c r="AS633" s="6" t="s">
        <v>17712</v>
      </c>
      <c r="AT633" s="6" t="s">
        <v>18444</v>
      </c>
      <c r="AU633" s="6" t="s">
        <v>18853</v>
      </c>
      <c r="AV633" s="6" t="s">
        <v>81</v>
      </c>
      <c r="AW633" s="6" t="s">
        <v>81</v>
      </c>
      <c r="AX633" s="6" t="s">
        <v>81</v>
      </c>
      <c r="AY633" s="6" t="s">
        <v>81</v>
      </c>
      <c r="AZ633" s="6" t="s">
        <v>81</v>
      </c>
      <c r="BA633" s="6" t="s">
        <v>81</v>
      </c>
      <c r="BB633" s="24" t="n">
        <v>108</v>
      </c>
      <c r="BC633" s="26"/>
      <c r="BD633" s="26"/>
      <c r="BE633" s="26"/>
      <c r="BF633" s="26"/>
      <c r="BG633" s="26"/>
      <c r="BH633" s="26"/>
      <c r="BI633" s="26"/>
      <c r="BJ633" s="26"/>
      <c r="BK633" s="26"/>
      <c r="BL633" s="26"/>
      <c r="BM633" s="26"/>
      <c r="BN633" s="26"/>
      <c r="BO633" s="26"/>
      <c r="BP633" s="16" t="n">
        <v>45559</v>
      </c>
      <c r="BQ633" s="28" t="str">
        <f>HYPERLINK("https://organic.ams.usda.gov/Integrity/Certificate.aspx?cid=70&amp;nopid=6431915530")</f>
        <v>https://organic.ams.usda.gov/Integrity/Certificate.aspx?cid=70&amp;nopid=6431915530</v>
      </c>
    </row>
    <row r="634">
      <c r="A634" t="s">
        <v>3</v>
      </c>
      <c r="B634" s="6" t="s">
        <v>12</v>
      </c>
      <c r="C634" s="6" t="s">
        <v>59</v>
      </c>
      <c r="D634" s="6" t="s">
        <v>105</v>
      </c>
      <c r="E634" s="10" t="s">
        <v>775</v>
      </c>
      <c r="F634" s="6" t="s">
        <v>3505</v>
      </c>
      <c r="G634" s="6" t="s">
        <v>81</v>
      </c>
      <c r="H634" s="6" t="s">
        <v>6468</v>
      </c>
      <c r="I634" s="6" t="s">
        <v>8507</v>
      </c>
      <c r="J634" s="6" t="s">
        <v>9989</v>
      </c>
      <c r="K634" s="6" t="s">
        <v>10886</v>
      </c>
      <c r="L634" s="16" t="n">
        <v>45062</v>
      </c>
      <c r="M634" s="16" t="n">
        <v>45717</v>
      </c>
      <c r="N634" s="6" t="s">
        <v>10886</v>
      </c>
      <c r="O634" s="16" t="n">
        <v>45062</v>
      </c>
      <c r="P634" s="6" t="s">
        <v>10910</v>
      </c>
      <c r="Q634" s="6" t="s">
        <v>81</v>
      </c>
      <c r="R634" s="6" t="s">
        <v>81</v>
      </c>
      <c r="S634" s="6" t="s">
        <v>10886</v>
      </c>
      <c r="T634" s="16" t="n">
        <v>45169</v>
      </c>
      <c r="U634" s="6" t="s">
        <v>13241</v>
      </c>
      <c r="V634" s="6" t="s">
        <v>81</v>
      </c>
      <c r="W634" s="6" t="s">
        <v>81</v>
      </c>
      <c r="X634" s="6" t="s">
        <v>81</v>
      </c>
      <c r="Y634" s="21" t="s">
        <v>81</v>
      </c>
      <c r="Z634" s="6" t="s">
        <v>81</v>
      </c>
      <c r="AA634" s="6" t="s">
        <v>81</v>
      </c>
      <c r="AB634" s="6" t="s">
        <v>81</v>
      </c>
      <c r="AC634" s="6" t="s">
        <v>81</v>
      </c>
      <c r="AD634" s="21" t="s">
        <v>81</v>
      </c>
      <c r="AE634" s="6" t="s">
        <v>81</v>
      </c>
      <c r="AF634" s="6" t="s">
        <v>81</v>
      </c>
      <c r="AG634" s="6" t="s">
        <v>81</v>
      </c>
      <c r="AH634" s="6" t="s">
        <v>15222</v>
      </c>
      <c r="AI634" s="6" t="s">
        <v>81</v>
      </c>
      <c r="AJ634" s="6" t="s">
        <v>10590</v>
      </c>
      <c r="AK634" s="6" t="s">
        <v>17712</v>
      </c>
      <c r="AL634" s="6" t="s">
        <v>18444</v>
      </c>
      <c r="AM634" s="6" t="s">
        <v>18628</v>
      </c>
      <c r="AN634" s="6" t="s">
        <v>19670</v>
      </c>
      <c r="AO634" s="6" t="s">
        <v>19782</v>
      </c>
      <c r="AP634" s="6" t="s">
        <v>15222</v>
      </c>
      <c r="AQ634" s="6" t="s">
        <v>81</v>
      </c>
      <c r="AR634" s="6" t="s">
        <v>10590</v>
      </c>
      <c r="AS634" s="6" t="s">
        <v>17712</v>
      </c>
      <c r="AT634" s="6" t="s">
        <v>18444</v>
      </c>
      <c r="AU634" s="6" t="s">
        <v>18628</v>
      </c>
      <c r="AV634" s="6" t="s">
        <v>81</v>
      </c>
      <c r="AW634" s="6" t="s">
        <v>81</v>
      </c>
      <c r="AX634" s="6" t="s">
        <v>21151</v>
      </c>
      <c r="AY634" s="6" t="s">
        <v>22790</v>
      </c>
      <c r="AZ634" s="6" t="s">
        <v>81</v>
      </c>
      <c r="BA634" s="6" t="s">
        <v>81</v>
      </c>
      <c r="BB634" s="24" t="n">
        <v>325</v>
      </c>
      <c r="BC634" s="26"/>
      <c r="BD634" s="26"/>
      <c r="BE634" s="26"/>
      <c r="BF634" s="26"/>
      <c r="BG634" s="26"/>
      <c r="BH634" s="26"/>
      <c r="BI634" s="26"/>
      <c r="BJ634" s="26"/>
      <c r="BK634" s="26"/>
      <c r="BL634" s="26"/>
      <c r="BM634" s="26"/>
      <c r="BN634" s="26"/>
      <c r="BO634" s="26"/>
      <c r="BP634" s="16" t="n">
        <v>45684</v>
      </c>
      <c r="BQ634" s="28" t="str">
        <f>HYPERLINK("https://organic.ams.usda.gov/Integrity/Certificate.aspx?cid=68&amp;nopid=8210008835")</f>
        <v>https://organic.ams.usda.gov/Integrity/Certificate.aspx?cid=68&amp;nopid=8210008835</v>
      </c>
    </row>
    <row r="635">
      <c r="A635" t="s">
        <v>3</v>
      </c>
      <c r="B635" s="6" t="s">
        <v>25</v>
      </c>
      <c r="C635" s="6" t="s">
        <v>72</v>
      </c>
      <c r="D635" s="6" t="s">
        <v>118</v>
      </c>
      <c r="E635" s="10" t="s">
        <v>776</v>
      </c>
      <c r="F635" s="6" t="s">
        <v>3506</v>
      </c>
      <c r="G635" s="6" t="s">
        <v>5655</v>
      </c>
      <c r="H635" s="6" t="s">
        <v>6469</v>
      </c>
      <c r="I635" s="6" t="s">
        <v>8770</v>
      </c>
      <c r="J635" s="6" t="s">
        <v>9990</v>
      </c>
      <c r="K635" s="6" t="s">
        <v>10886</v>
      </c>
      <c r="L635" s="16" t="n">
        <v>44945</v>
      </c>
      <c r="M635" s="16" t="n">
        <v>46023</v>
      </c>
      <c r="N635" s="6" t="s">
        <v>10886</v>
      </c>
      <c r="O635" s="16" t="n">
        <v>44945</v>
      </c>
      <c r="P635" s="6" t="s">
        <v>11076</v>
      </c>
      <c r="Q635" s="6" t="s">
        <v>81</v>
      </c>
      <c r="R635" s="6" t="s">
        <v>81</v>
      </c>
      <c r="S635" s="6" t="s">
        <v>10886</v>
      </c>
      <c r="T635" s="16" t="n">
        <v>44945</v>
      </c>
      <c r="U635" s="6" t="s">
        <v>13401</v>
      </c>
      <c r="V635" s="6" t="s">
        <v>81</v>
      </c>
      <c r="W635" s="6" t="s">
        <v>81</v>
      </c>
      <c r="X635" s="6" t="s">
        <v>81</v>
      </c>
      <c r="Y635" s="21" t="s">
        <v>81</v>
      </c>
      <c r="Z635" s="6" t="s">
        <v>81</v>
      </c>
      <c r="AA635" s="6" t="s">
        <v>81</v>
      </c>
      <c r="AB635" s="6" t="s">
        <v>81</v>
      </c>
      <c r="AC635" s="6" t="s">
        <v>10886</v>
      </c>
      <c r="AD635" s="16" t="n">
        <v>44945</v>
      </c>
      <c r="AE635" s="6" t="s">
        <v>14081</v>
      </c>
      <c r="AF635" s="6" t="s">
        <v>81</v>
      </c>
      <c r="AG635" s="6" t="s">
        <v>81</v>
      </c>
      <c r="AH635" s="6" t="s">
        <v>15223</v>
      </c>
      <c r="AI635" s="6" t="s">
        <v>81</v>
      </c>
      <c r="AJ635" s="6" t="s">
        <v>17561</v>
      </c>
      <c r="AK635" s="6" t="s">
        <v>18386</v>
      </c>
      <c r="AL635" s="6" t="s">
        <v>18444</v>
      </c>
      <c r="AM635" s="6" t="s">
        <v>18725</v>
      </c>
      <c r="AN635" s="6" t="s">
        <v>81</v>
      </c>
      <c r="AO635" s="6" t="s">
        <v>81</v>
      </c>
      <c r="AP635" s="6" t="s">
        <v>15223</v>
      </c>
      <c r="AQ635" s="6" t="s">
        <v>81</v>
      </c>
      <c r="AR635" s="6" t="s">
        <v>17561</v>
      </c>
      <c r="AS635" s="6" t="s">
        <v>18386</v>
      </c>
      <c r="AT635" s="6" t="s">
        <v>18444</v>
      </c>
      <c r="AU635" s="6" t="s">
        <v>18725</v>
      </c>
      <c r="AV635" s="6" t="s">
        <v>19672</v>
      </c>
      <c r="AW635" s="6" t="s">
        <v>19787</v>
      </c>
      <c r="AX635" s="6" t="s">
        <v>21152</v>
      </c>
      <c r="AY635" s="6" t="s">
        <v>22791</v>
      </c>
      <c r="AZ635" s="6" t="s">
        <v>23635</v>
      </c>
      <c r="BA635" s="6" t="s">
        <v>81</v>
      </c>
      <c r="BB635" s="24" t="n">
        <v>1020</v>
      </c>
      <c r="BC635" s="26"/>
      <c r="BD635" s="26"/>
      <c r="BE635" s="26"/>
      <c r="BF635" s="26"/>
      <c r="BG635" s="26"/>
      <c r="BH635" s="26"/>
      <c r="BI635" s="26"/>
      <c r="BJ635" s="26"/>
      <c r="BK635" s="26"/>
      <c r="BL635" s="26"/>
      <c r="BM635" s="26"/>
      <c r="BN635" s="26"/>
      <c r="BO635" s="26"/>
      <c r="BP635" s="16" t="n">
        <v>45667</v>
      </c>
      <c r="BQ635" s="28" t="str">
        <f>HYPERLINK("https://organic.ams.usda.gov/Integrity/Certificate.aspx?cid=15&amp;nopid=5561007548")</f>
        <v>https://organic.ams.usda.gov/Integrity/Certificate.aspx?cid=15&amp;nopid=5561007548</v>
      </c>
    </row>
    <row r="636">
      <c r="A636" t="s">
        <v>3</v>
      </c>
      <c r="B636" s="6" t="s">
        <v>30</v>
      </c>
      <c r="C636" s="6" t="s">
        <v>77</v>
      </c>
      <c r="D636" s="6" t="s">
        <v>123</v>
      </c>
      <c r="E636" s="10" t="s">
        <v>777</v>
      </c>
      <c r="F636" s="6" t="s">
        <v>3507</v>
      </c>
      <c r="G636" s="6" t="s">
        <v>81</v>
      </c>
      <c r="H636" s="6" t="s">
        <v>6470</v>
      </c>
      <c r="I636" s="6" t="s">
        <v>8771</v>
      </c>
      <c r="J636" s="6" t="s">
        <v>9907</v>
      </c>
      <c r="K636" s="6" t="s">
        <v>10886</v>
      </c>
      <c r="L636" s="16" t="n">
        <v>37684</v>
      </c>
      <c r="M636" s="16" t="n">
        <v>45747</v>
      </c>
      <c r="N636" s="6" t="s">
        <v>10886</v>
      </c>
      <c r="O636" s="16" t="n">
        <v>37684</v>
      </c>
      <c r="P636" s="6" t="s">
        <v>10922</v>
      </c>
      <c r="Q636" s="6" t="s">
        <v>81</v>
      </c>
      <c r="R636" s="6" t="s">
        <v>6470</v>
      </c>
      <c r="S636" s="6" t="s">
        <v>10886</v>
      </c>
      <c r="T636" s="16" t="n">
        <v>37684</v>
      </c>
      <c r="U636" s="6" t="s">
        <v>13216</v>
      </c>
      <c r="V636" s="6" t="s">
        <v>81</v>
      </c>
      <c r="W636" s="6" t="s">
        <v>6470</v>
      </c>
      <c r="X636" s="6" t="s">
        <v>81</v>
      </c>
      <c r="Y636" s="21" t="s">
        <v>81</v>
      </c>
      <c r="Z636" s="6" t="s">
        <v>81</v>
      </c>
      <c r="AA636" s="6" t="s">
        <v>81</v>
      </c>
      <c r="AB636" s="6" t="s">
        <v>81</v>
      </c>
      <c r="AC636" s="6" t="s">
        <v>81</v>
      </c>
      <c r="AD636" s="21" t="s">
        <v>81</v>
      </c>
      <c r="AE636" s="6" t="s">
        <v>81</v>
      </c>
      <c r="AF636" s="6" t="s">
        <v>81</v>
      </c>
      <c r="AG636" s="6" t="s">
        <v>81</v>
      </c>
      <c r="AH636" s="6" t="s">
        <v>15224</v>
      </c>
      <c r="AI636" s="6" t="s">
        <v>81</v>
      </c>
      <c r="AJ636" s="6" t="s">
        <v>10590</v>
      </c>
      <c r="AK636" s="6" t="s">
        <v>17712</v>
      </c>
      <c r="AL636" s="6" t="s">
        <v>18444</v>
      </c>
      <c r="AM636" s="6" t="s">
        <v>18628</v>
      </c>
      <c r="AN636" s="6" t="s">
        <v>19670</v>
      </c>
      <c r="AO636" s="6" t="s">
        <v>19782</v>
      </c>
      <c r="AP636" s="6" t="s">
        <v>15224</v>
      </c>
      <c r="AQ636" s="6" t="s">
        <v>81</v>
      </c>
      <c r="AR636" s="6" t="s">
        <v>10590</v>
      </c>
      <c r="AS636" s="6" t="s">
        <v>17712</v>
      </c>
      <c r="AT636" s="6" t="s">
        <v>18444</v>
      </c>
      <c r="AU636" s="6" t="s">
        <v>18628</v>
      </c>
      <c r="AV636" s="6" t="s">
        <v>81</v>
      </c>
      <c r="AW636" s="6" t="s">
        <v>81</v>
      </c>
      <c r="AX636" s="6" t="s">
        <v>21153</v>
      </c>
      <c r="AY636" s="6" t="s">
        <v>81</v>
      </c>
      <c r="AZ636" s="6" t="s">
        <v>81</v>
      </c>
      <c r="BA636" s="6" t="s">
        <v>81</v>
      </c>
      <c r="BB636" s="24" t="n">
        <v>985</v>
      </c>
      <c r="BC636" s="26"/>
      <c r="BD636" s="26"/>
      <c r="BE636" s="26"/>
      <c r="BF636" s="26"/>
      <c r="BG636" s="26"/>
      <c r="BH636" s="26"/>
      <c r="BI636" s="26"/>
      <c r="BJ636" s="26"/>
      <c r="BK636" s="26"/>
      <c r="BL636" s="26"/>
      <c r="BM636" s="26"/>
      <c r="BN636" s="26"/>
      <c r="BO636" s="26"/>
      <c r="BP636" s="16" t="n">
        <v>45538</v>
      </c>
      <c r="BQ636" s="28" t="str">
        <f>HYPERLINK("https://organic.ams.usda.gov/Integrity/Certificate.aspx?cid=70&amp;nopid=6430311000")</f>
        <v>https://organic.ams.usda.gov/Integrity/Certificate.aspx?cid=70&amp;nopid=6430311000</v>
      </c>
    </row>
    <row r="637">
      <c r="A637" t="s">
        <v>3</v>
      </c>
      <c r="B637" s="6" t="s">
        <v>13</v>
      </c>
      <c r="C637" s="6" t="s">
        <v>60</v>
      </c>
      <c r="D637" s="6" t="s">
        <v>106</v>
      </c>
      <c r="E637" s="10" t="s">
        <v>778</v>
      </c>
      <c r="F637" s="6" t="s">
        <v>3508</v>
      </c>
      <c r="G637" s="6" t="s">
        <v>81</v>
      </c>
      <c r="H637" s="6" t="s">
        <v>6471</v>
      </c>
      <c r="I637" s="6" t="s">
        <v>8772</v>
      </c>
      <c r="J637" s="6" t="s">
        <v>9665</v>
      </c>
      <c r="K637" s="6" t="s">
        <v>10886</v>
      </c>
      <c r="L637" s="16" t="n">
        <v>44540</v>
      </c>
      <c r="M637" s="16" t="n">
        <v>46024</v>
      </c>
      <c r="N637" s="6" t="s">
        <v>10886</v>
      </c>
      <c r="O637" s="16" t="n">
        <v>44540</v>
      </c>
      <c r="P637" s="6" t="s">
        <v>11286</v>
      </c>
      <c r="Q637" s="6" t="s">
        <v>81</v>
      </c>
      <c r="R637" s="6" t="s">
        <v>12603</v>
      </c>
      <c r="S637" s="6" t="s">
        <v>10886</v>
      </c>
      <c r="T637" s="16" t="n">
        <v>44540</v>
      </c>
      <c r="U637" s="6" t="s">
        <v>13402</v>
      </c>
      <c r="V637" s="6" t="s">
        <v>81</v>
      </c>
      <c r="W637" s="6" t="s">
        <v>12603</v>
      </c>
      <c r="X637" s="6" t="s">
        <v>81</v>
      </c>
      <c r="Y637" s="21" t="s">
        <v>81</v>
      </c>
      <c r="Z637" s="6" t="s">
        <v>81</v>
      </c>
      <c r="AA637" s="6" t="s">
        <v>81</v>
      </c>
      <c r="AB637" s="6" t="s">
        <v>81</v>
      </c>
      <c r="AC637" s="6" t="s">
        <v>81</v>
      </c>
      <c r="AD637" s="21" t="s">
        <v>81</v>
      </c>
      <c r="AE637" s="6" t="s">
        <v>81</v>
      </c>
      <c r="AF637" s="6" t="s">
        <v>81</v>
      </c>
      <c r="AG637" s="6" t="s">
        <v>81</v>
      </c>
      <c r="AH637" s="6" t="s">
        <v>15225</v>
      </c>
      <c r="AI637" s="6" t="s">
        <v>81</v>
      </c>
      <c r="AJ637" s="6" t="s">
        <v>17426</v>
      </c>
      <c r="AK637" s="6" t="s">
        <v>18384</v>
      </c>
      <c r="AL637" s="6" t="s">
        <v>18444</v>
      </c>
      <c r="AM637" s="6" t="s">
        <v>18583</v>
      </c>
      <c r="AN637" s="6" t="s">
        <v>19690</v>
      </c>
      <c r="AO637" s="6" t="s">
        <v>19852</v>
      </c>
      <c r="AP637" s="6" t="s">
        <v>15225</v>
      </c>
      <c r="AQ637" s="6" t="s">
        <v>81</v>
      </c>
      <c r="AR637" s="6" t="s">
        <v>17426</v>
      </c>
      <c r="AS637" s="6" t="s">
        <v>18384</v>
      </c>
      <c r="AT637" s="6" t="s">
        <v>18444</v>
      </c>
      <c r="AU637" s="6" t="s">
        <v>18583</v>
      </c>
      <c r="AV637" s="6" t="s">
        <v>81</v>
      </c>
      <c r="AW637" s="6" t="s">
        <v>81</v>
      </c>
      <c r="AX637" s="6" t="s">
        <v>21154</v>
      </c>
      <c r="AY637" s="6" t="s">
        <v>81</v>
      </c>
      <c r="AZ637" s="6" t="s">
        <v>81</v>
      </c>
      <c r="BA637" s="6" t="s">
        <v>81</v>
      </c>
      <c r="BB637" s="24" t="n">
        <v>258</v>
      </c>
      <c r="BC637" s="26"/>
      <c r="BD637" s="26"/>
      <c r="BE637" s="26"/>
      <c r="BF637" s="26" t="s">
        <v>23900</v>
      </c>
      <c r="BG637" s="26"/>
      <c r="BH637" s="26"/>
      <c r="BI637" s="26"/>
      <c r="BJ637" s="26"/>
      <c r="BK637" s="26"/>
      <c r="BL637" s="26"/>
      <c r="BM637" s="26"/>
      <c r="BN637" s="26"/>
      <c r="BO637" s="26"/>
      <c r="BP637" s="16" t="n">
        <v>45663</v>
      </c>
      <c r="BQ637" s="28" t="str">
        <f>HYPERLINK("https://organic.ams.usda.gov/Integrity/Certificate.aspx?cid=72&amp;nopid=5876224534")</f>
        <v>https://organic.ams.usda.gov/Integrity/Certificate.aspx?cid=72&amp;nopid=5876224534</v>
      </c>
    </row>
    <row r="638">
      <c r="A638" t="s">
        <v>3</v>
      </c>
      <c r="B638" s="6" t="s">
        <v>11</v>
      </c>
      <c r="C638" s="6" t="s">
        <v>58</v>
      </c>
      <c r="D638" s="6" t="s">
        <v>104</v>
      </c>
      <c r="E638" s="10" t="s">
        <v>779</v>
      </c>
      <c r="F638" s="6" t="s">
        <v>3509</v>
      </c>
      <c r="G638" s="6" t="s">
        <v>81</v>
      </c>
      <c r="H638" s="6" t="s">
        <v>81</v>
      </c>
      <c r="I638" s="6" t="s">
        <v>8772</v>
      </c>
      <c r="J638" s="6" t="s">
        <v>9991</v>
      </c>
      <c r="K638" s="6" t="s">
        <v>10886</v>
      </c>
      <c r="L638" s="16" t="n">
        <v>42955</v>
      </c>
      <c r="M638" s="16" t="n">
        <v>45383</v>
      </c>
      <c r="N638" s="6" t="s">
        <v>10886</v>
      </c>
      <c r="O638" s="16" t="n">
        <v>42955</v>
      </c>
      <c r="P638" s="6" t="s">
        <v>11287</v>
      </c>
      <c r="Q638" s="6" t="s">
        <v>81</v>
      </c>
      <c r="R638" s="6" t="s">
        <v>81</v>
      </c>
      <c r="S638" s="6" t="s">
        <v>10886</v>
      </c>
      <c r="T638" s="16" t="n">
        <v>42955</v>
      </c>
      <c r="U638" s="6" t="s">
        <v>13403</v>
      </c>
      <c r="V638" s="6" t="s">
        <v>81</v>
      </c>
      <c r="W638" s="6" t="s">
        <v>81</v>
      </c>
      <c r="X638" s="6" t="s">
        <v>81</v>
      </c>
      <c r="Y638" s="21" t="s">
        <v>81</v>
      </c>
      <c r="Z638" s="6" t="s">
        <v>81</v>
      </c>
      <c r="AA638" s="6" t="s">
        <v>81</v>
      </c>
      <c r="AB638" s="6" t="s">
        <v>81</v>
      </c>
      <c r="AC638" s="6" t="s">
        <v>81</v>
      </c>
      <c r="AD638" s="21" t="s">
        <v>81</v>
      </c>
      <c r="AE638" s="6" t="s">
        <v>81</v>
      </c>
      <c r="AF638" s="6" t="s">
        <v>81</v>
      </c>
      <c r="AG638" s="6" t="s">
        <v>81</v>
      </c>
      <c r="AH638" s="6" t="s">
        <v>15226</v>
      </c>
      <c r="AI638" s="6" t="s">
        <v>81</v>
      </c>
      <c r="AJ638" s="6" t="s">
        <v>17688</v>
      </c>
      <c r="AK638" s="6" t="s">
        <v>18381</v>
      </c>
      <c r="AL638" s="6" t="s">
        <v>18444</v>
      </c>
      <c r="AM638" s="6" t="s">
        <v>18854</v>
      </c>
      <c r="AN638" s="6" t="s">
        <v>19681</v>
      </c>
      <c r="AO638" s="6" t="s">
        <v>19903</v>
      </c>
      <c r="AP638" s="6" t="s">
        <v>15226</v>
      </c>
      <c r="AQ638" s="6" t="s">
        <v>81</v>
      </c>
      <c r="AR638" s="6" t="s">
        <v>17688</v>
      </c>
      <c r="AS638" s="6" t="s">
        <v>18381</v>
      </c>
      <c r="AT638" s="6" t="s">
        <v>18444</v>
      </c>
      <c r="AU638" s="6" t="s">
        <v>18854</v>
      </c>
      <c r="AV638" s="6" t="s">
        <v>81</v>
      </c>
      <c r="AW638" s="6" t="s">
        <v>81</v>
      </c>
      <c r="AX638" s="6" t="s">
        <v>81</v>
      </c>
      <c r="AY638" s="6" t="s">
        <v>81</v>
      </c>
      <c r="AZ638" s="6" t="s">
        <v>81</v>
      </c>
      <c r="BA638" s="6" t="s">
        <v>23825</v>
      </c>
      <c r="BB638" s="24" t="n">
        <v>204</v>
      </c>
      <c r="BC638" s="26"/>
      <c r="BD638" s="26"/>
      <c r="BE638" s="26"/>
      <c r="BF638" s="26"/>
      <c r="BG638" s="26"/>
      <c r="BH638" s="26"/>
      <c r="BI638" s="26"/>
      <c r="BJ638" s="26"/>
      <c r="BK638" s="26"/>
      <c r="BL638" s="26"/>
      <c r="BM638" s="26"/>
      <c r="BN638" s="26"/>
      <c r="BO638" s="26"/>
      <c r="BP638" s="16" t="n">
        <v>45442</v>
      </c>
      <c r="BQ638" s="28" t="str">
        <f>HYPERLINK("https://organic.ams.usda.gov/Integrity/Certificate.aspx?cid=46&amp;nopid=3671700041")</f>
        <v>https://organic.ams.usda.gov/Integrity/Certificate.aspx?cid=46&amp;nopid=3671700041</v>
      </c>
    </row>
    <row r="639">
      <c r="A639" t="s">
        <v>3</v>
      </c>
      <c r="B639" s="6" t="s">
        <v>8</v>
      </c>
      <c r="C639" s="6" t="s">
        <v>55</v>
      </c>
      <c r="D639" s="6" t="s">
        <v>101</v>
      </c>
      <c r="E639" s="10" t="s">
        <v>780</v>
      </c>
      <c r="F639" s="6" t="s">
        <v>3510</v>
      </c>
      <c r="G639" s="6" t="s">
        <v>81</v>
      </c>
      <c r="H639" s="6" t="s">
        <v>6472</v>
      </c>
      <c r="I639" s="6" t="s">
        <v>8772</v>
      </c>
      <c r="J639" s="6" t="s">
        <v>9992</v>
      </c>
      <c r="K639" s="6" t="s">
        <v>10886</v>
      </c>
      <c r="L639" s="16" t="n">
        <v>38138</v>
      </c>
      <c r="M639" s="16" t="n">
        <v>45748</v>
      </c>
      <c r="N639" s="6" t="s">
        <v>10886</v>
      </c>
      <c r="O639" s="16" t="n">
        <v>38138</v>
      </c>
      <c r="P639" s="6" t="s">
        <v>11288</v>
      </c>
      <c r="Q639" s="6" t="s">
        <v>81</v>
      </c>
      <c r="R639" s="6" t="s">
        <v>6472</v>
      </c>
      <c r="S639" s="6" t="s">
        <v>10886</v>
      </c>
      <c r="T639" s="16" t="n">
        <v>38138</v>
      </c>
      <c r="U639" s="6" t="s">
        <v>13179</v>
      </c>
      <c r="V639" s="6" t="s">
        <v>81</v>
      </c>
      <c r="W639" s="6" t="s">
        <v>6472</v>
      </c>
      <c r="X639" s="6" t="s">
        <v>81</v>
      </c>
      <c r="Y639" s="21" t="s">
        <v>81</v>
      </c>
      <c r="Z639" s="6" t="s">
        <v>81</v>
      </c>
      <c r="AA639" s="6" t="s">
        <v>81</v>
      </c>
      <c r="AB639" s="6" t="s">
        <v>81</v>
      </c>
      <c r="AC639" s="6" t="s">
        <v>81</v>
      </c>
      <c r="AD639" s="21" t="s">
        <v>81</v>
      </c>
      <c r="AE639" s="6" t="s">
        <v>81</v>
      </c>
      <c r="AF639" s="6" t="s">
        <v>81</v>
      </c>
      <c r="AG639" s="6" t="s">
        <v>81</v>
      </c>
      <c r="AH639" s="6" t="s">
        <v>15227</v>
      </c>
      <c r="AI639" s="6" t="s">
        <v>81</v>
      </c>
      <c r="AJ639" s="6" t="s">
        <v>17689</v>
      </c>
      <c r="AK639" s="6" t="s">
        <v>18377</v>
      </c>
      <c r="AL639" s="6" t="s">
        <v>18444</v>
      </c>
      <c r="AM639" s="6" t="s">
        <v>18855</v>
      </c>
      <c r="AN639" s="6" t="s">
        <v>19653</v>
      </c>
      <c r="AO639" s="6" t="s">
        <v>19838</v>
      </c>
      <c r="AP639" s="6" t="s">
        <v>81</v>
      </c>
      <c r="AQ639" s="6" t="s">
        <v>81</v>
      </c>
      <c r="AR639" s="6" t="s">
        <v>81</v>
      </c>
      <c r="AS639" s="6" t="s">
        <v>81</v>
      </c>
      <c r="AT639" s="6" t="s">
        <v>81</v>
      </c>
      <c r="AU639" s="6" t="s">
        <v>81</v>
      </c>
      <c r="AV639" s="6" t="s">
        <v>81</v>
      </c>
      <c r="AW639" s="6" t="s">
        <v>81</v>
      </c>
      <c r="AX639" s="6" t="s">
        <v>81</v>
      </c>
      <c r="AY639" s="6" t="s">
        <v>22792</v>
      </c>
      <c r="AZ639" s="6" t="s">
        <v>81</v>
      </c>
      <c r="BA639" s="6" t="s">
        <v>23819</v>
      </c>
      <c r="BB639" s="24" t="n">
        <v>323</v>
      </c>
      <c r="BC639" s="26"/>
      <c r="BD639" s="26"/>
      <c r="BE639" s="26"/>
      <c r="BF639" s="26" t="s">
        <v>23900</v>
      </c>
      <c r="BG639" s="26"/>
      <c r="BH639" s="26"/>
      <c r="BI639" s="26"/>
      <c r="BJ639" s="26"/>
      <c r="BK639" s="26"/>
      <c r="BL639" s="26"/>
      <c r="BM639" s="26"/>
      <c r="BN639" s="26"/>
      <c r="BO639" s="26"/>
      <c r="BP639" s="16" t="n">
        <v>45614</v>
      </c>
      <c r="BQ639" s="28" t="str">
        <f>HYPERLINK("https://organic.ams.usda.gov/Integrity/Certificate.aspx?cid=45&amp;nopid=9950001515")</f>
        <v>https://organic.ams.usda.gov/Integrity/Certificate.aspx?cid=45&amp;nopid=9950001515</v>
      </c>
    </row>
    <row r="640">
      <c r="A640" t="s">
        <v>3</v>
      </c>
      <c r="B640" s="6" t="s">
        <v>9</v>
      </c>
      <c r="C640" s="6" t="s">
        <v>56</v>
      </c>
      <c r="D640" s="6" t="s">
        <v>102</v>
      </c>
      <c r="E640" s="10" t="s">
        <v>781</v>
      </c>
      <c r="F640" s="6" t="s">
        <v>3511</v>
      </c>
      <c r="G640" s="6" t="s">
        <v>81</v>
      </c>
      <c r="H640" s="6" t="s">
        <v>6473</v>
      </c>
      <c r="I640" s="6" t="s">
        <v>8772</v>
      </c>
      <c r="J640" s="6" t="s">
        <v>9993</v>
      </c>
      <c r="K640" s="6" t="s">
        <v>10886</v>
      </c>
      <c r="L640" s="16" t="n">
        <v>43360</v>
      </c>
      <c r="M640" s="16" t="n">
        <v>45748</v>
      </c>
      <c r="N640" s="6" t="s">
        <v>10886</v>
      </c>
      <c r="O640" s="16" t="n">
        <v>43360</v>
      </c>
      <c r="P640" s="6" t="s">
        <v>81</v>
      </c>
      <c r="Q640" s="6" t="s">
        <v>81</v>
      </c>
      <c r="R640" s="6" t="s">
        <v>81</v>
      </c>
      <c r="S640" s="6" t="s">
        <v>10886</v>
      </c>
      <c r="T640" s="16" t="n">
        <v>43360</v>
      </c>
      <c r="U640" s="6" t="s">
        <v>13176</v>
      </c>
      <c r="V640" s="6" t="s">
        <v>81</v>
      </c>
      <c r="W640" s="6" t="s">
        <v>13973</v>
      </c>
      <c r="X640" s="6" t="s">
        <v>81</v>
      </c>
      <c r="Y640" s="21" t="s">
        <v>81</v>
      </c>
      <c r="Z640" s="6" t="s">
        <v>81</v>
      </c>
      <c r="AA640" s="6" t="s">
        <v>81</v>
      </c>
      <c r="AB640" s="6" t="s">
        <v>81</v>
      </c>
      <c r="AC640" s="6" t="s">
        <v>81</v>
      </c>
      <c r="AD640" s="21" t="s">
        <v>81</v>
      </c>
      <c r="AE640" s="6" t="s">
        <v>81</v>
      </c>
      <c r="AF640" s="6" t="s">
        <v>81</v>
      </c>
      <c r="AG640" s="6" t="s">
        <v>81</v>
      </c>
      <c r="AH640" s="6" t="s">
        <v>15228</v>
      </c>
      <c r="AI640" s="6" t="s">
        <v>81</v>
      </c>
      <c r="AJ640" s="6" t="s">
        <v>17690</v>
      </c>
      <c r="AK640" s="6" t="s">
        <v>18377</v>
      </c>
      <c r="AL640" s="6" t="s">
        <v>18444</v>
      </c>
      <c r="AM640" s="6" t="s">
        <v>18856</v>
      </c>
      <c r="AN640" s="6" t="s">
        <v>19690</v>
      </c>
      <c r="AO640" s="6" t="s">
        <v>19849</v>
      </c>
      <c r="AP640" s="6" t="s">
        <v>81</v>
      </c>
      <c r="AQ640" s="6" t="s">
        <v>81</v>
      </c>
      <c r="AR640" s="6" t="s">
        <v>81</v>
      </c>
      <c r="AS640" s="6" t="s">
        <v>81</v>
      </c>
      <c r="AT640" s="6" t="s">
        <v>81</v>
      </c>
      <c r="AU640" s="6" t="s">
        <v>81</v>
      </c>
      <c r="AV640" s="6" t="s">
        <v>81</v>
      </c>
      <c r="AW640" s="6" t="s">
        <v>81</v>
      </c>
      <c r="AX640" s="6" t="s">
        <v>21155</v>
      </c>
      <c r="AY640" s="6" t="s">
        <v>22793</v>
      </c>
      <c r="AZ640" s="6" t="s">
        <v>81</v>
      </c>
      <c r="BA640" s="6" t="s">
        <v>81</v>
      </c>
      <c r="BB640" s="24" t="n">
        <v>514</v>
      </c>
      <c r="BC640" s="26"/>
      <c r="BD640" s="26"/>
      <c r="BE640" s="26"/>
      <c r="BF640" s="26"/>
      <c r="BG640" s="26"/>
      <c r="BH640" s="26"/>
      <c r="BI640" s="26"/>
      <c r="BJ640" s="26"/>
      <c r="BK640" s="26"/>
      <c r="BL640" s="26"/>
      <c r="BM640" s="26"/>
      <c r="BN640" s="26"/>
      <c r="BO640" s="26"/>
      <c r="BP640" s="16" t="n">
        <v>45738</v>
      </c>
      <c r="BQ640" s="28" t="str">
        <f>HYPERLINK("https://organic.ams.usda.gov/Integrity/Certificate.aspx?cid=52&amp;nopid=8431801494")</f>
        <v>https://organic.ams.usda.gov/Integrity/Certificate.aspx?cid=52&amp;nopid=8431801494</v>
      </c>
    </row>
    <row r="641">
      <c r="A641" t="s">
        <v>3</v>
      </c>
      <c r="B641" s="6" t="s">
        <v>10</v>
      </c>
      <c r="C641" s="6" t="s">
        <v>57</v>
      </c>
      <c r="D641" s="6" t="s">
        <v>103</v>
      </c>
      <c r="E641" s="10" t="s">
        <v>782</v>
      </c>
      <c r="F641" s="6" t="s">
        <v>3512</v>
      </c>
      <c r="G641" s="6" t="s">
        <v>81</v>
      </c>
      <c r="H641" s="6" t="s">
        <v>6474</v>
      </c>
      <c r="I641" s="6" t="s">
        <v>8773</v>
      </c>
      <c r="J641" s="6" t="s">
        <v>9734</v>
      </c>
      <c r="K641" s="6" t="s">
        <v>10886</v>
      </c>
      <c r="L641" s="16" t="n">
        <v>41276</v>
      </c>
      <c r="M641" s="16" t="n">
        <v>45748</v>
      </c>
      <c r="N641" s="6" t="s">
        <v>10886</v>
      </c>
      <c r="O641" s="16" t="n">
        <v>41276</v>
      </c>
      <c r="P641" s="6" t="s">
        <v>11289</v>
      </c>
      <c r="Q641" s="6" t="s">
        <v>81</v>
      </c>
      <c r="R641" s="6" t="s">
        <v>12604</v>
      </c>
      <c r="S641" s="6" t="s">
        <v>10886</v>
      </c>
      <c r="T641" s="16" t="n">
        <v>41276</v>
      </c>
      <c r="U641" s="6" t="s">
        <v>13163</v>
      </c>
      <c r="V641" s="6" t="s">
        <v>81</v>
      </c>
      <c r="W641" s="6" t="s">
        <v>81</v>
      </c>
      <c r="X641" s="6" t="s">
        <v>81</v>
      </c>
      <c r="Y641" s="21" t="s">
        <v>81</v>
      </c>
      <c r="Z641" s="6" t="s">
        <v>81</v>
      </c>
      <c r="AA641" s="6" t="s">
        <v>81</v>
      </c>
      <c r="AB641" s="6" t="s">
        <v>81</v>
      </c>
      <c r="AC641" s="6" t="s">
        <v>81</v>
      </c>
      <c r="AD641" s="21" t="s">
        <v>81</v>
      </c>
      <c r="AE641" s="6" t="s">
        <v>81</v>
      </c>
      <c r="AF641" s="6" t="s">
        <v>81</v>
      </c>
      <c r="AG641" s="6" t="s">
        <v>81</v>
      </c>
      <c r="AH641" s="6" t="s">
        <v>15229</v>
      </c>
      <c r="AI641" s="6" t="s">
        <v>81</v>
      </c>
      <c r="AJ641" s="6" t="s">
        <v>17392</v>
      </c>
      <c r="AK641" s="6" t="s">
        <v>18379</v>
      </c>
      <c r="AL641" s="6" t="s">
        <v>18444</v>
      </c>
      <c r="AM641" s="6" t="s">
        <v>18548</v>
      </c>
      <c r="AN641" s="6" t="s">
        <v>19637</v>
      </c>
      <c r="AO641" s="6" t="s">
        <v>19723</v>
      </c>
      <c r="AP641" s="6" t="s">
        <v>15229</v>
      </c>
      <c r="AQ641" s="6" t="s">
        <v>81</v>
      </c>
      <c r="AR641" s="6" t="s">
        <v>17392</v>
      </c>
      <c r="AS641" s="6" t="s">
        <v>18379</v>
      </c>
      <c r="AT641" s="6" t="s">
        <v>18444</v>
      </c>
      <c r="AU641" s="6" t="s">
        <v>18548</v>
      </c>
      <c r="AV641" s="6" t="s">
        <v>81</v>
      </c>
      <c r="AW641" s="6" t="s">
        <v>81</v>
      </c>
      <c r="AX641" s="6" t="s">
        <v>21156</v>
      </c>
      <c r="AY641" s="6" t="s">
        <v>81</v>
      </c>
      <c r="AZ641" s="6" t="s">
        <v>81</v>
      </c>
      <c r="BA641" s="6" t="s">
        <v>81</v>
      </c>
      <c r="BB641" s="24" t="n">
        <v>80</v>
      </c>
      <c r="BC641" s="26"/>
      <c r="BD641" s="26"/>
      <c r="BE641" s="26"/>
      <c r="BF641" s="26"/>
      <c r="BG641" s="26"/>
      <c r="BH641" s="26"/>
      <c r="BI641" s="26"/>
      <c r="BJ641" s="26"/>
      <c r="BK641" s="26"/>
      <c r="BL641" s="26"/>
      <c r="BM641" s="26"/>
      <c r="BN641" s="26"/>
      <c r="BO641" s="26"/>
      <c r="BP641" s="16" t="n">
        <v>45730</v>
      </c>
      <c r="BQ641" s="28" t="str">
        <f>HYPERLINK("https://organic.ams.usda.gov/Integrity/Certificate.aspx?cid=90&amp;nopid=7170020268")</f>
        <v>https://organic.ams.usda.gov/Integrity/Certificate.aspx?cid=90&amp;nopid=7170020268</v>
      </c>
    </row>
    <row r="642">
      <c r="A642" t="s">
        <v>3</v>
      </c>
      <c r="B642" s="6" t="s">
        <v>10</v>
      </c>
      <c r="C642" s="6" t="s">
        <v>57</v>
      </c>
      <c r="D642" s="6" t="s">
        <v>103</v>
      </c>
      <c r="E642" s="10" t="s">
        <v>783</v>
      </c>
      <c r="F642" s="6" t="s">
        <v>3513</v>
      </c>
      <c r="G642" s="6" t="s">
        <v>81</v>
      </c>
      <c r="H642" s="6" t="s">
        <v>6475</v>
      </c>
      <c r="I642" s="6" t="s">
        <v>8772</v>
      </c>
      <c r="J642" s="6" t="s">
        <v>9666</v>
      </c>
      <c r="K642" s="6" t="s">
        <v>10886</v>
      </c>
      <c r="L642" s="16" t="n">
        <v>41430</v>
      </c>
      <c r="M642" s="16" t="n">
        <v>45748</v>
      </c>
      <c r="N642" s="6" t="s">
        <v>10886</v>
      </c>
      <c r="O642" s="16" t="n">
        <v>41430</v>
      </c>
      <c r="P642" s="6" t="s">
        <v>11036</v>
      </c>
      <c r="Q642" s="6" t="s">
        <v>81</v>
      </c>
      <c r="R642" s="6" t="s">
        <v>12605</v>
      </c>
      <c r="S642" s="6" t="s">
        <v>10886</v>
      </c>
      <c r="T642" s="16" t="n">
        <v>41430</v>
      </c>
      <c r="U642" s="6" t="s">
        <v>13164</v>
      </c>
      <c r="V642" s="6" t="s">
        <v>81</v>
      </c>
      <c r="W642" s="6" t="s">
        <v>81</v>
      </c>
      <c r="X642" s="6" t="s">
        <v>81</v>
      </c>
      <c r="Y642" s="21" t="s">
        <v>81</v>
      </c>
      <c r="Z642" s="6" t="s">
        <v>81</v>
      </c>
      <c r="AA642" s="6" t="s">
        <v>81</v>
      </c>
      <c r="AB642" s="6" t="s">
        <v>81</v>
      </c>
      <c r="AC642" s="6" t="s">
        <v>81</v>
      </c>
      <c r="AD642" s="21" t="s">
        <v>81</v>
      </c>
      <c r="AE642" s="6" t="s">
        <v>81</v>
      </c>
      <c r="AF642" s="6" t="s">
        <v>81</v>
      </c>
      <c r="AG642" s="6" t="s">
        <v>81</v>
      </c>
      <c r="AH642" s="6" t="s">
        <v>15230</v>
      </c>
      <c r="AI642" s="6" t="s">
        <v>81</v>
      </c>
      <c r="AJ642" s="6" t="s">
        <v>17315</v>
      </c>
      <c r="AK642" s="6" t="s">
        <v>18379</v>
      </c>
      <c r="AL642" s="6" t="s">
        <v>18444</v>
      </c>
      <c r="AM642" s="6" t="s">
        <v>18467</v>
      </c>
      <c r="AN642" s="6" t="s">
        <v>19637</v>
      </c>
      <c r="AO642" s="6" t="s">
        <v>19723</v>
      </c>
      <c r="AP642" s="6" t="s">
        <v>15230</v>
      </c>
      <c r="AQ642" s="6" t="s">
        <v>81</v>
      </c>
      <c r="AR642" s="6" t="s">
        <v>17315</v>
      </c>
      <c r="AS642" s="6" t="s">
        <v>18379</v>
      </c>
      <c r="AT642" s="6" t="s">
        <v>18444</v>
      </c>
      <c r="AU642" s="6" t="s">
        <v>18467</v>
      </c>
      <c r="AV642" s="6" t="s">
        <v>81</v>
      </c>
      <c r="AW642" s="6" t="s">
        <v>81</v>
      </c>
      <c r="AX642" s="6" t="s">
        <v>21157</v>
      </c>
      <c r="AY642" s="6" t="s">
        <v>81</v>
      </c>
      <c r="AZ642" s="6" t="s">
        <v>81</v>
      </c>
      <c r="BA642" s="6" t="s">
        <v>81</v>
      </c>
      <c r="BB642" s="24" t="n">
        <v>57</v>
      </c>
      <c r="BC642" s="26"/>
      <c r="BD642" s="26"/>
      <c r="BE642" s="26"/>
      <c r="BF642" s="26"/>
      <c r="BG642" s="26"/>
      <c r="BH642" s="26"/>
      <c r="BI642" s="26"/>
      <c r="BJ642" s="26"/>
      <c r="BK642" s="26"/>
      <c r="BL642" s="26"/>
      <c r="BM642" s="26"/>
      <c r="BN642" s="26"/>
      <c r="BO642" s="26"/>
      <c r="BP642" s="16" t="n">
        <v>45730</v>
      </c>
      <c r="BQ642" s="28" t="str">
        <f>HYPERLINK("https://organic.ams.usda.gov/Integrity/Certificate.aspx?cid=90&amp;nopid=7170230678")</f>
        <v>https://organic.ams.usda.gov/Integrity/Certificate.aspx?cid=90&amp;nopid=7170230678</v>
      </c>
    </row>
    <row r="643">
      <c r="A643" t="s">
        <v>3</v>
      </c>
      <c r="B643" s="6" t="s">
        <v>11</v>
      </c>
      <c r="C643" s="6" t="s">
        <v>58</v>
      </c>
      <c r="D643" s="6" t="s">
        <v>104</v>
      </c>
      <c r="E643" s="10" t="s">
        <v>784</v>
      </c>
      <c r="F643" s="6" t="s">
        <v>3514</v>
      </c>
      <c r="G643" s="6" t="s">
        <v>81</v>
      </c>
      <c r="H643" s="6" t="s">
        <v>81</v>
      </c>
      <c r="I643" s="6" t="s">
        <v>8774</v>
      </c>
      <c r="J643" s="6" t="s">
        <v>9994</v>
      </c>
      <c r="K643" s="6" t="s">
        <v>10886</v>
      </c>
      <c r="L643" s="16" t="n">
        <v>45413</v>
      </c>
      <c r="M643" s="16" t="n">
        <v>45748</v>
      </c>
      <c r="N643" s="6" t="s">
        <v>10886</v>
      </c>
      <c r="O643" s="16" t="n">
        <v>45413</v>
      </c>
      <c r="P643" s="6" t="s">
        <v>11290</v>
      </c>
      <c r="Q643" s="6" t="s">
        <v>81</v>
      </c>
      <c r="R643" s="6" t="s">
        <v>81</v>
      </c>
      <c r="S643" s="6" t="s">
        <v>10886</v>
      </c>
      <c r="T643" s="16" t="n">
        <v>45413</v>
      </c>
      <c r="U643" s="6" t="s">
        <v>13404</v>
      </c>
      <c r="V643" s="6" t="s">
        <v>81</v>
      </c>
      <c r="W643" s="6" t="s">
        <v>81</v>
      </c>
      <c r="X643" s="6" t="s">
        <v>81</v>
      </c>
      <c r="Y643" s="21" t="s">
        <v>81</v>
      </c>
      <c r="Z643" s="6" t="s">
        <v>81</v>
      </c>
      <c r="AA643" s="6" t="s">
        <v>81</v>
      </c>
      <c r="AB643" s="6" t="s">
        <v>81</v>
      </c>
      <c r="AC643" s="6" t="s">
        <v>81</v>
      </c>
      <c r="AD643" s="21" t="s">
        <v>81</v>
      </c>
      <c r="AE643" s="6" t="s">
        <v>81</v>
      </c>
      <c r="AF643" s="6" t="s">
        <v>81</v>
      </c>
      <c r="AG643" s="6" t="s">
        <v>81</v>
      </c>
      <c r="AH643" s="6" t="s">
        <v>15231</v>
      </c>
      <c r="AI643" s="6" t="s">
        <v>81</v>
      </c>
      <c r="AJ643" s="6" t="s">
        <v>17691</v>
      </c>
      <c r="AK643" s="6" t="s">
        <v>18381</v>
      </c>
      <c r="AL643" s="6" t="s">
        <v>18444</v>
      </c>
      <c r="AM643" s="6" t="s">
        <v>18857</v>
      </c>
      <c r="AN643" s="6" t="s">
        <v>81</v>
      </c>
      <c r="AO643" s="6" t="s">
        <v>81</v>
      </c>
      <c r="AP643" s="6" t="s">
        <v>15231</v>
      </c>
      <c r="AQ643" s="6" t="s">
        <v>81</v>
      </c>
      <c r="AR643" s="6" t="s">
        <v>17691</v>
      </c>
      <c r="AS643" s="6" t="s">
        <v>18381</v>
      </c>
      <c r="AT643" s="6" t="s">
        <v>18444</v>
      </c>
      <c r="AU643" s="6" t="s">
        <v>18857</v>
      </c>
      <c r="AV643" s="6" t="s">
        <v>81</v>
      </c>
      <c r="AW643" s="6" t="s">
        <v>81</v>
      </c>
      <c r="AX643" s="6" t="s">
        <v>81</v>
      </c>
      <c r="AY643" s="6" t="s">
        <v>81</v>
      </c>
      <c r="AZ643" s="6" t="s">
        <v>81</v>
      </c>
      <c r="BA643" s="6" t="s">
        <v>23825</v>
      </c>
      <c r="BB643" s="24" t="n">
        <v>200</v>
      </c>
      <c r="BC643" s="26"/>
      <c r="BD643" s="26"/>
      <c r="BE643" s="26"/>
      <c r="BF643" s="26"/>
      <c r="BG643" s="26"/>
      <c r="BH643" s="26"/>
      <c r="BI643" s="26"/>
      <c r="BJ643" s="26"/>
      <c r="BK643" s="26"/>
      <c r="BL643" s="26"/>
      <c r="BM643" s="26"/>
      <c r="BN643" s="26"/>
      <c r="BO643" s="26"/>
      <c r="BP643" s="16" t="n">
        <v>45413</v>
      </c>
      <c r="BQ643" s="28" t="str">
        <f>HYPERLINK("https://organic.ams.usda.gov/Integrity/Certificate.aspx?cid=46&amp;nopid=3672400018")</f>
        <v>https://organic.ams.usda.gov/Integrity/Certificate.aspx?cid=46&amp;nopid=3672400018</v>
      </c>
    </row>
    <row r="644">
      <c r="A644" t="s">
        <v>3</v>
      </c>
      <c r="B644" s="6" t="s">
        <v>7</v>
      </c>
      <c r="C644" s="6" t="s">
        <v>54</v>
      </c>
      <c r="D644" s="6" t="s">
        <v>100</v>
      </c>
      <c r="E644" s="10" t="s">
        <v>785</v>
      </c>
      <c r="F644" s="6" t="s">
        <v>3515</v>
      </c>
      <c r="G644" s="6" t="s">
        <v>81</v>
      </c>
      <c r="H644" s="6" t="s">
        <v>6476</v>
      </c>
      <c r="I644" s="6" t="s">
        <v>8775</v>
      </c>
      <c r="J644" s="6" t="s">
        <v>9995</v>
      </c>
      <c r="K644" s="6" t="s">
        <v>10886</v>
      </c>
      <c r="L644" s="16" t="n">
        <v>45560</v>
      </c>
      <c r="M644" s="16" t="n">
        <v>45716</v>
      </c>
      <c r="N644" s="6" t="s">
        <v>10886</v>
      </c>
      <c r="O644" s="16" t="n">
        <v>45560</v>
      </c>
      <c r="P644" s="6" t="s">
        <v>10910</v>
      </c>
      <c r="Q644" s="6" t="s">
        <v>81</v>
      </c>
      <c r="R644" s="6" t="s">
        <v>81</v>
      </c>
      <c r="S644" s="6" t="s">
        <v>10886</v>
      </c>
      <c r="T644" s="16" t="n">
        <v>45603</v>
      </c>
      <c r="U644" s="6" t="s">
        <v>13188</v>
      </c>
      <c r="V644" s="6" t="s">
        <v>81</v>
      </c>
      <c r="W644" s="6" t="s">
        <v>81</v>
      </c>
      <c r="X644" s="6" t="s">
        <v>81</v>
      </c>
      <c r="Y644" s="21" t="s">
        <v>81</v>
      </c>
      <c r="Z644" s="6" t="s">
        <v>81</v>
      </c>
      <c r="AA644" s="6" t="s">
        <v>81</v>
      </c>
      <c r="AB644" s="6" t="s">
        <v>81</v>
      </c>
      <c r="AC644" s="6" t="s">
        <v>81</v>
      </c>
      <c r="AD644" s="21" t="s">
        <v>81</v>
      </c>
      <c r="AE644" s="6" t="s">
        <v>81</v>
      </c>
      <c r="AF644" s="6" t="s">
        <v>81</v>
      </c>
      <c r="AG644" s="6" t="s">
        <v>81</v>
      </c>
      <c r="AH644" s="6" t="s">
        <v>15232</v>
      </c>
      <c r="AI644" s="6" t="s">
        <v>81</v>
      </c>
      <c r="AJ644" s="6" t="s">
        <v>17531</v>
      </c>
      <c r="AK644" s="6" t="s">
        <v>17712</v>
      </c>
      <c r="AL644" s="6" t="s">
        <v>18444</v>
      </c>
      <c r="AM644" s="6" t="s">
        <v>18694</v>
      </c>
      <c r="AN644" s="6" t="s">
        <v>81</v>
      </c>
      <c r="AO644" s="6" t="s">
        <v>81</v>
      </c>
      <c r="AP644" s="6" t="s">
        <v>15232</v>
      </c>
      <c r="AQ644" s="6" t="s">
        <v>81</v>
      </c>
      <c r="AR644" s="6" t="s">
        <v>17531</v>
      </c>
      <c r="AS644" s="6" t="s">
        <v>17712</v>
      </c>
      <c r="AT644" s="6" t="s">
        <v>18444</v>
      </c>
      <c r="AU644" s="6" t="s">
        <v>18694</v>
      </c>
      <c r="AV644" s="6" t="s">
        <v>81</v>
      </c>
      <c r="AW644" s="6" t="s">
        <v>81</v>
      </c>
      <c r="AX644" s="6" t="s">
        <v>21158</v>
      </c>
      <c r="AY644" s="6" t="s">
        <v>81</v>
      </c>
      <c r="AZ644" s="6" t="s">
        <v>81</v>
      </c>
      <c r="BA644" s="6" t="s">
        <v>81</v>
      </c>
      <c r="BB644" s="24" t="n">
        <v>174</v>
      </c>
      <c r="BC644" s="26"/>
      <c r="BD644" s="26"/>
      <c r="BE644" s="26"/>
      <c r="BF644" s="26" t="s">
        <v>23900</v>
      </c>
      <c r="BG644" s="26"/>
      <c r="BH644" s="26"/>
      <c r="BI644" s="26"/>
      <c r="BJ644" s="26"/>
      <c r="BK644" s="26"/>
      <c r="BL644" s="26"/>
      <c r="BM644" s="26"/>
      <c r="BN644" s="26"/>
      <c r="BO644" s="26"/>
      <c r="BP644" s="16" t="n">
        <v>45604</v>
      </c>
      <c r="BQ644" s="28" t="str">
        <f>HYPERLINK("https://organic.ams.usda.gov/Integrity/Certificate.aspx?cid=57&amp;nopid=3252024119")</f>
        <v>https://organic.ams.usda.gov/Integrity/Certificate.aspx?cid=57&amp;nopid=3252024119</v>
      </c>
    </row>
    <row r="645">
      <c r="A645" t="s">
        <v>3</v>
      </c>
      <c r="B645" s="6" t="s">
        <v>8</v>
      </c>
      <c r="C645" s="6" t="s">
        <v>55</v>
      </c>
      <c r="D645" s="6" t="s">
        <v>101</v>
      </c>
      <c r="E645" s="10" t="s">
        <v>786</v>
      </c>
      <c r="F645" s="6" t="s">
        <v>3516</v>
      </c>
      <c r="G645" s="6" t="s">
        <v>81</v>
      </c>
      <c r="H645" s="6" t="s">
        <v>6477</v>
      </c>
      <c r="I645" s="6" t="s">
        <v>8776</v>
      </c>
      <c r="J645" s="6" t="s">
        <v>9996</v>
      </c>
      <c r="K645" s="6" t="s">
        <v>10886</v>
      </c>
      <c r="L645" s="16" t="n">
        <v>38545</v>
      </c>
      <c r="M645" s="16" t="n">
        <v>45383</v>
      </c>
      <c r="N645" s="6" t="s">
        <v>10886</v>
      </c>
      <c r="O645" s="16" t="n">
        <v>38545</v>
      </c>
      <c r="P645" s="6" t="s">
        <v>11291</v>
      </c>
      <c r="Q645" s="6" t="s">
        <v>81</v>
      </c>
      <c r="R645" s="6" t="s">
        <v>6477</v>
      </c>
      <c r="S645" s="6" t="s">
        <v>10886</v>
      </c>
      <c r="T645" s="16" t="n">
        <v>38545</v>
      </c>
      <c r="U645" s="6" t="s">
        <v>13173</v>
      </c>
      <c r="V645" s="6" t="s">
        <v>81</v>
      </c>
      <c r="W645" s="6" t="s">
        <v>6477</v>
      </c>
      <c r="X645" s="6" t="s">
        <v>81</v>
      </c>
      <c r="Y645" s="21" t="s">
        <v>81</v>
      </c>
      <c r="Z645" s="6" t="s">
        <v>81</v>
      </c>
      <c r="AA645" s="6" t="s">
        <v>81</v>
      </c>
      <c r="AB645" s="6" t="s">
        <v>81</v>
      </c>
      <c r="AC645" s="6" t="s">
        <v>81</v>
      </c>
      <c r="AD645" s="21" t="s">
        <v>81</v>
      </c>
      <c r="AE645" s="6" t="s">
        <v>81</v>
      </c>
      <c r="AF645" s="6" t="s">
        <v>81</v>
      </c>
      <c r="AG645" s="6" t="s">
        <v>81</v>
      </c>
      <c r="AH645" s="6" t="s">
        <v>15233</v>
      </c>
      <c r="AI645" s="6" t="s">
        <v>81</v>
      </c>
      <c r="AJ645" s="6" t="s">
        <v>17692</v>
      </c>
      <c r="AK645" s="6" t="s">
        <v>18381</v>
      </c>
      <c r="AL645" s="6" t="s">
        <v>18444</v>
      </c>
      <c r="AM645" s="6" t="s">
        <v>18858</v>
      </c>
      <c r="AN645" s="6" t="s">
        <v>19656</v>
      </c>
      <c r="AO645" s="6" t="s">
        <v>19750</v>
      </c>
      <c r="AP645" s="6" t="s">
        <v>81</v>
      </c>
      <c r="AQ645" s="6" t="s">
        <v>81</v>
      </c>
      <c r="AR645" s="6" t="s">
        <v>81</v>
      </c>
      <c r="AS645" s="6" t="s">
        <v>81</v>
      </c>
      <c r="AT645" s="6" t="s">
        <v>81</v>
      </c>
      <c r="AU645" s="6" t="s">
        <v>81</v>
      </c>
      <c r="AV645" s="6" t="s">
        <v>81</v>
      </c>
      <c r="AW645" s="6" t="s">
        <v>81</v>
      </c>
      <c r="AX645" s="6" t="s">
        <v>21159</v>
      </c>
      <c r="AY645" s="6" t="s">
        <v>22794</v>
      </c>
      <c r="AZ645" s="6" t="s">
        <v>23636</v>
      </c>
      <c r="BA645" s="6" t="s">
        <v>23819</v>
      </c>
      <c r="BB645" s="24" t="n">
        <v>298</v>
      </c>
      <c r="BC645" s="26"/>
      <c r="BD645" s="26"/>
      <c r="BE645" s="26"/>
      <c r="BF645" s="26" t="s">
        <v>23900</v>
      </c>
      <c r="BG645" s="26"/>
      <c r="BH645" s="26"/>
      <c r="BI645" s="26"/>
      <c r="BJ645" s="26"/>
      <c r="BK645" s="26"/>
      <c r="BL645" s="26"/>
      <c r="BM645" s="26"/>
      <c r="BN645" s="26"/>
      <c r="BO645" s="26"/>
      <c r="BP645" s="16" t="n">
        <v>45437</v>
      </c>
      <c r="BQ645" s="28" t="str">
        <f>HYPERLINK("https://organic.ams.usda.gov/Integrity/Certificate.aspx?cid=45&amp;nopid=9950001818")</f>
        <v>https://organic.ams.usda.gov/Integrity/Certificate.aspx?cid=45&amp;nopid=9950001818</v>
      </c>
    </row>
    <row r="646">
      <c r="A646" t="s">
        <v>3</v>
      </c>
      <c r="B646" s="6" t="s">
        <v>12</v>
      </c>
      <c r="C646" s="6" t="s">
        <v>59</v>
      </c>
      <c r="D646" s="6" t="s">
        <v>105</v>
      </c>
      <c r="E646" s="10" t="s">
        <v>787</v>
      </c>
      <c r="F646" s="6" t="s">
        <v>3517</v>
      </c>
      <c r="G646" s="6" t="s">
        <v>81</v>
      </c>
      <c r="H646" s="6" t="s">
        <v>6478</v>
      </c>
      <c r="I646" s="6" t="s">
        <v>8777</v>
      </c>
      <c r="J646" s="6" t="s">
        <v>9997</v>
      </c>
      <c r="K646" s="6" t="s">
        <v>10886</v>
      </c>
      <c r="L646" s="16" t="n">
        <v>42096</v>
      </c>
      <c r="M646" s="16" t="n">
        <v>45717</v>
      </c>
      <c r="N646" s="6" t="s">
        <v>10886</v>
      </c>
      <c r="O646" s="16" t="n">
        <v>42096</v>
      </c>
      <c r="P646" s="6" t="s">
        <v>11292</v>
      </c>
      <c r="Q646" s="6" t="s">
        <v>81</v>
      </c>
      <c r="R646" s="6" t="s">
        <v>81</v>
      </c>
      <c r="S646" s="6" t="s">
        <v>10886</v>
      </c>
      <c r="T646" s="16" t="n">
        <v>42096</v>
      </c>
      <c r="U646" s="6" t="s">
        <v>13405</v>
      </c>
      <c r="V646" s="6" t="s">
        <v>81</v>
      </c>
      <c r="W646" s="6" t="s">
        <v>81</v>
      </c>
      <c r="X646" s="6" t="s">
        <v>81</v>
      </c>
      <c r="Y646" s="21" t="s">
        <v>81</v>
      </c>
      <c r="Z646" s="6" t="s">
        <v>81</v>
      </c>
      <c r="AA646" s="6" t="s">
        <v>81</v>
      </c>
      <c r="AB646" s="6" t="s">
        <v>81</v>
      </c>
      <c r="AC646" s="6" t="s">
        <v>81</v>
      </c>
      <c r="AD646" s="21" t="s">
        <v>81</v>
      </c>
      <c r="AE646" s="6" t="s">
        <v>81</v>
      </c>
      <c r="AF646" s="6" t="s">
        <v>81</v>
      </c>
      <c r="AG646" s="6" t="s">
        <v>81</v>
      </c>
      <c r="AH646" s="6" t="s">
        <v>15234</v>
      </c>
      <c r="AI646" s="6" t="s">
        <v>81</v>
      </c>
      <c r="AJ646" s="6" t="s">
        <v>17693</v>
      </c>
      <c r="AK646" s="6" t="s">
        <v>18380</v>
      </c>
      <c r="AL646" s="6" t="s">
        <v>18444</v>
      </c>
      <c r="AM646" s="6" t="s">
        <v>18859</v>
      </c>
      <c r="AN646" s="6" t="s">
        <v>19637</v>
      </c>
      <c r="AO646" s="6" t="s">
        <v>19904</v>
      </c>
      <c r="AP646" s="6" t="s">
        <v>15234</v>
      </c>
      <c r="AQ646" s="6" t="s">
        <v>81</v>
      </c>
      <c r="AR646" s="6" t="s">
        <v>17693</v>
      </c>
      <c r="AS646" s="6" t="s">
        <v>18380</v>
      </c>
      <c r="AT646" s="6" t="s">
        <v>18444</v>
      </c>
      <c r="AU646" s="6" t="s">
        <v>18859</v>
      </c>
      <c r="AV646" s="6" t="s">
        <v>81</v>
      </c>
      <c r="AW646" s="6" t="s">
        <v>81</v>
      </c>
      <c r="AX646" s="6" t="s">
        <v>21160</v>
      </c>
      <c r="AY646" s="6" t="s">
        <v>81</v>
      </c>
      <c r="AZ646" s="6" t="s">
        <v>81</v>
      </c>
      <c r="BA646" s="6" t="s">
        <v>81</v>
      </c>
      <c r="BB646" s="24" t="n">
        <v>163</v>
      </c>
      <c r="BC646" s="26"/>
      <c r="BD646" s="26"/>
      <c r="BE646" s="26"/>
      <c r="BF646" s="26"/>
      <c r="BG646" s="26"/>
      <c r="BH646" s="26"/>
      <c r="BI646" s="26"/>
      <c r="BJ646" s="26"/>
      <c r="BK646" s="26"/>
      <c r="BL646" s="26"/>
      <c r="BM646" s="26"/>
      <c r="BN646" s="26"/>
      <c r="BO646" s="26"/>
      <c r="BP646" s="16" t="n">
        <v>45684</v>
      </c>
      <c r="BQ646" s="28" t="str">
        <f>HYPERLINK("https://organic.ams.usda.gov/Integrity/Certificate.aspx?cid=68&amp;nopid=8210002616")</f>
        <v>https://organic.ams.usda.gov/Integrity/Certificate.aspx?cid=68&amp;nopid=8210002616</v>
      </c>
    </row>
    <row r="647">
      <c r="A647" t="s">
        <v>3</v>
      </c>
      <c r="B647" s="6" t="s">
        <v>8</v>
      </c>
      <c r="C647" s="6" t="s">
        <v>55</v>
      </c>
      <c r="D647" s="6" t="s">
        <v>101</v>
      </c>
      <c r="E647" s="10" t="s">
        <v>788</v>
      </c>
      <c r="F647" s="6" t="s">
        <v>3518</v>
      </c>
      <c r="G647" s="6" t="s">
        <v>81</v>
      </c>
      <c r="H647" s="6" t="s">
        <v>6479</v>
      </c>
      <c r="I647" s="6" t="s">
        <v>8778</v>
      </c>
      <c r="J647" s="6" t="s">
        <v>9998</v>
      </c>
      <c r="K647" s="6" t="s">
        <v>10886</v>
      </c>
      <c r="L647" s="16" t="n">
        <v>40324</v>
      </c>
      <c r="M647" s="16" t="n">
        <v>45689</v>
      </c>
      <c r="N647" s="6" t="s">
        <v>10886</v>
      </c>
      <c r="O647" s="16" t="n">
        <v>40324</v>
      </c>
      <c r="P647" s="6" t="s">
        <v>11293</v>
      </c>
      <c r="Q647" s="6" t="s">
        <v>81</v>
      </c>
      <c r="R647" s="6" t="s">
        <v>6479</v>
      </c>
      <c r="S647" s="6" t="s">
        <v>10886</v>
      </c>
      <c r="T647" s="16" t="n">
        <v>40324</v>
      </c>
      <c r="U647" s="6" t="s">
        <v>13406</v>
      </c>
      <c r="V647" s="6" t="s">
        <v>81</v>
      </c>
      <c r="W647" s="6" t="s">
        <v>6479</v>
      </c>
      <c r="X647" s="6" t="s">
        <v>81</v>
      </c>
      <c r="Y647" s="21" t="s">
        <v>81</v>
      </c>
      <c r="Z647" s="6" t="s">
        <v>81</v>
      </c>
      <c r="AA647" s="6" t="s">
        <v>81</v>
      </c>
      <c r="AB647" s="6" t="s">
        <v>81</v>
      </c>
      <c r="AC647" s="6" t="s">
        <v>81</v>
      </c>
      <c r="AD647" s="21" t="s">
        <v>81</v>
      </c>
      <c r="AE647" s="6" t="s">
        <v>81</v>
      </c>
      <c r="AF647" s="6" t="s">
        <v>81</v>
      </c>
      <c r="AG647" s="6" t="s">
        <v>81</v>
      </c>
      <c r="AH647" s="6" t="s">
        <v>15235</v>
      </c>
      <c r="AI647" s="6" t="s">
        <v>81</v>
      </c>
      <c r="AJ647" s="6" t="s">
        <v>17694</v>
      </c>
      <c r="AK647" s="6" t="s">
        <v>18377</v>
      </c>
      <c r="AL647" s="6" t="s">
        <v>18444</v>
      </c>
      <c r="AM647" s="6" t="s">
        <v>18860</v>
      </c>
      <c r="AN647" s="6" t="s">
        <v>6842</v>
      </c>
      <c r="AO647" s="6" t="s">
        <v>19788</v>
      </c>
      <c r="AP647" s="6" t="s">
        <v>81</v>
      </c>
      <c r="AQ647" s="6" t="s">
        <v>81</v>
      </c>
      <c r="AR647" s="6" t="s">
        <v>81</v>
      </c>
      <c r="AS647" s="6" t="s">
        <v>81</v>
      </c>
      <c r="AT647" s="6" t="s">
        <v>81</v>
      </c>
      <c r="AU647" s="6" t="s">
        <v>81</v>
      </c>
      <c r="AV647" s="6" t="s">
        <v>81</v>
      </c>
      <c r="AW647" s="6" t="s">
        <v>81</v>
      </c>
      <c r="AX647" s="6" t="s">
        <v>21161</v>
      </c>
      <c r="AY647" s="6" t="s">
        <v>22795</v>
      </c>
      <c r="AZ647" s="6" t="s">
        <v>23637</v>
      </c>
      <c r="BA647" s="6" t="s">
        <v>23819</v>
      </c>
      <c r="BB647" s="24" t="n">
        <v>117</v>
      </c>
      <c r="BC647" s="26"/>
      <c r="BD647" s="26"/>
      <c r="BE647" s="26"/>
      <c r="BF647" s="26"/>
      <c r="BG647" s="26"/>
      <c r="BH647" s="26"/>
      <c r="BI647" s="26"/>
      <c r="BJ647" s="26"/>
      <c r="BK647" s="26"/>
      <c r="BL647" s="26"/>
      <c r="BM647" s="26"/>
      <c r="BN647" s="26"/>
      <c r="BO647" s="26"/>
      <c r="BP647" s="16" t="n">
        <v>45700</v>
      </c>
      <c r="BQ647" s="28" t="str">
        <f>HYPERLINK("https://organic.ams.usda.gov/Integrity/Certificate.aspx?cid=45&amp;nopid=9950003959")</f>
        <v>https://organic.ams.usda.gov/Integrity/Certificate.aspx?cid=45&amp;nopid=9950003959</v>
      </c>
    </row>
    <row r="648">
      <c r="A648" t="s">
        <v>3</v>
      </c>
      <c r="B648" s="6" t="s">
        <v>10</v>
      </c>
      <c r="C648" s="6" t="s">
        <v>57</v>
      </c>
      <c r="D648" s="6" t="s">
        <v>103</v>
      </c>
      <c r="E648" s="10" t="s">
        <v>789</v>
      </c>
      <c r="F648" s="6" t="s">
        <v>3519</v>
      </c>
      <c r="G648" s="6" t="s">
        <v>81</v>
      </c>
      <c r="H648" s="6" t="s">
        <v>6480</v>
      </c>
      <c r="I648" s="6" t="s">
        <v>8779</v>
      </c>
      <c r="J648" s="6" t="s">
        <v>9666</v>
      </c>
      <c r="K648" s="6" t="s">
        <v>10886</v>
      </c>
      <c r="L648" s="16" t="n">
        <v>41501</v>
      </c>
      <c r="M648" s="16" t="n">
        <v>45748</v>
      </c>
      <c r="N648" s="6" t="s">
        <v>10886</v>
      </c>
      <c r="O648" s="16" t="n">
        <v>41501</v>
      </c>
      <c r="P648" s="6" t="s">
        <v>11294</v>
      </c>
      <c r="Q648" s="6" t="s">
        <v>81</v>
      </c>
      <c r="R648" s="6" t="s">
        <v>12606</v>
      </c>
      <c r="S648" s="6" t="s">
        <v>10886</v>
      </c>
      <c r="T648" s="16" t="n">
        <v>41501</v>
      </c>
      <c r="U648" s="6" t="s">
        <v>13163</v>
      </c>
      <c r="V648" s="6" t="s">
        <v>81</v>
      </c>
      <c r="W648" s="6" t="s">
        <v>81</v>
      </c>
      <c r="X648" s="6" t="s">
        <v>81</v>
      </c>
      <c r="Y648" s="21" t="s">
        <v>81</v>
      </c>
      <c r="Z648" s="6" t="s">
        <v>81</v>
      </c>
      <c r="AA648" s="6" t="s">
        <v>81</v>
      </c>
      <c r="AB648" s="6" t="s">
        <v>81</v>
      </c>
      <c r="AC648" s="6" t="s">
        <v>81</v>
      </c>
      <c r="AD648" s="21" t="s">
        <v>81</v>
      </c>
      <c r="AE648" s="6" t="s">
        <v>81</v>
      </c>
      <c r="AF648" s="6" t="s">
        <v>81</v>
      </c>
      <c r="AG648" s="6" t="s">
        <v>81</v>
      </c>
      <c r="AH648" s="6" t="s">
        <v>15236</v>
      </c>
      <c r="AI648" s="6" t="s">
        <v>81</v>
      </c>
      <c r="AJ648" s="6" t="s">
        <v>17392</v>
      </c>
      <c r="AK648" s="6" t="s">
        <v>18379</v>
      </c>
      <c r="AL648" s="6" t="s">
        <v>18444</v>
      </c>
      <c r="AM648" s="6" t="s">
        <v>18548</v>
      </c>
      <c r="AN648" s="6" t="s">
        <v>19637</v>
      </c>
      <c r="AO648" s="6" t="s">
        <v>19723</v>
      </c>
      <c r="AP648" s="6" t="s">
        <v>15236</v>
      </c>
      <c r="AQ648" s="6" t="s">
        <v>81</v>
      </c>
      <c r="AR648" s="6" t="s">
        <v>17392</v>
      </c>
      <c r="AS648" s="6" t="s">
        <v>18379</v>
      </c>
      <c r="AT648" s="6" t="s">
        <v>18444</v>
      </c>
      <c r="AU648" s="6" t="s">
        <v>18548</v>
      </c>
      <c r="AV648" s="6" t="s">
        <v>81</v>
      </c>
      <c r="AW648" s="6" t="s">
        <v>81</v>
      </c>
      <c r="AX648" s="6" t="s">
        <v>21162</v>
      </c>
      <c r="AY648" s="6" t="s">
        <v>81</v>
      </c>
      <c r="AZ648" s="6" t="s">
        <v>81</v>
      </c>
      <c r="BA648" s="6" t="s">
        <v>81</v>
      </c>
      <c r="BB648" s="24" t="n">
        <v>149</v>
      </c>
      <c r="BC648" s="26"/>
      <c r="BD648" s="26"/>
      <c r="BE648" s="26"/>
      <c r="BF648" s="26"/>
      <c r="BG648" s="26"/>
      <c r="BH648" s="26"/>
      <c r="BI648" s="26"/>
      <c r="BJ648" s="26"/>
      <c r="BK648" s="26"/>
      <c r="BL648" s="26"/>
      <c r="BM648" s="26"/>
      <c r="BN648" s="26"/>
      <c r="BO648" s="26"/>
      <c r="BP648" s="16" t="n">
        <v>45730</v>
      </c>
      <c r="BQ648" s="28" t="str">
        <f>HYPERLINK("https://organic.ams.usda.gov/Integrity/Certificate.aspx?cid=90&amp;nopid=7170019001")</f>
        <v>https://organic.ams.usda.gov/Integrity/Certificate.aspx?cid=90&amp;nopid=7170019001</v>
      </c>
    </row>
    <row r="649">
      <c r="A649" t="s">
        <v>3</v>
      </c>
      <c r="B649" s="6" t="s">
        <v>10</v>
      </c>
      <c r="C649" s="6" t="s">
        <v>57</v>
      </c>
      <c r="D649" s="6" t="s">
        <v>103</v>
      </c>
      <c r="E649" s="10" t="s">
        <v>790</v>
      </c>
      <c r="F649" s="6" t="s">
        <v>3520</v>
      </c>
      <c r="G649" s="6" t="s">
        <v>81</v>
      </c>
      <c r="H649" s="6" t="s">
        <v>6481</v>
      </c>
      <c r="I649" s="6" t="s">
        <v>8780</v>
      </c>
      <c r="J649" s="6" t="s">
        <v>9899</v>
      </c>
      <c r="K649" s="6" t="s">
        <v>10886</v>
      </c>
      <c r="L649" s="16" t="n">
        <v>45156</v>
      </c>
      <c r="M649" s="16" t="n">
        <v>45748</v>
      </c>
      <c r="N649" s="6" t="s">
        <v>10886</v>
      </c>
      <c r="O649" s="16" t="n">
        <v>45156</v>
      </c>
      <c r="P649" s="6" t="s">
        <v>11295</v>
      </c>
      <c r="Q649" s="6" t="s">
        <v>81</v>
      </c>
      <c r="R649" s="6" t="s">
        <v>12607</v>
      </c>
      <c r="S649" s="6" t="s">
        <v>10886</v>
      </c>
      <c r="T649" s="16" t="n">
        <v>45317</v>
      </c>
      <c r="U649" s="6" t="s">
        <v>13163</v>
      </c>
      <c r="V649" s="6" t="s">
        <v>81</v>
      </c>
      <c r="W649" s="6" t="s">
        <v>81</v>
      </c>
      <c r="X649" s="6" t="s">
        <v>81</v>
      </c>
      <c r="Y649" s="21" t="s">
        <v>81</v>
      </c>
      <c r="Z649" s="6" t="s">
        <v>81</v>
      </c>
      <c r="AA649" s="6" t="s">
        <v>81</v>
      </c>
      <c r="AB649" s="6" t="s">
        <v>81</v>
      </c>
      <c r="AC649" s="6" t="s">
        <v>81</v>
      </c>
      <c r="AD649" s="21" t="s">
        <v>81</v>
      </c>
      <c r="AE649" s="6" t="s">
        <v>81</v>
      </c>
      <c r="AF649" s="6" t="s">
        <v>81</v>
      </c>
      <c r="AG649" s="6" t="s">
        <v>81</v>
      </c>
      <c r="AH649" s="6" t="s">
        <v>15237</v>
      </c>
      <c r="AI649" s="6" t="s">
        <v>81</v>
      </c>
      <c r="AJ649" s="6" t="s">
        <v>17315</v>
      </c>
      <c r="AK649" s="6" t="s">
        <v>18379</v>
      </c>
      <c r="AL649" s="6" t="s">
        <v>18444</v>
      </c>
      <c r="AM649" s="6" t="s">
        <v>18467</v>
      </c>
      <c r="AN649" s="6" t="s">
        <v>19637</v>
      </c>
      <c r="AO649" s="6" t="s">
        <v>19723</v>
      </c>
      <c r="AP649" s="6" t="s">
        <v>15237</v>
      </c>
      <c r="AQ649" s="6" t="s">
        <v>81</v>
      </c>
      <c r="AR649" s="6" t="s">
        <v>17315</v>
      </c>
      <c r="AS649" s="6" t="s">
        <v>18379</v>
      </c>
      <c r="AT649" s="6" t="s">
        <v>18444</v>
      </c>
      <c r="AU649" s="6" t="s">
        <v>18467</v>
      </c>
      <c r="AV649" s="6" t="s">
        <v>81</v>
      </c>
      <c r="AW649" s="6" t="s">
        <v>81</v>
      </c>
      <c r="AX649" s="6" t="s">
        <v>21163</v>
      </c>
      <c r="AY649" s="6" t="s">
        <v>81</v>
      </c>
      <c r="AZ649" s="6" t="s">
        <v>81</v>
      </c>
      <c r="BA649" s="6" t="s">
        <v>81</v>
      </c>
      <c r="BB649" s="24" t="n">
        <v>239</v>
      </c>
      <c r="BC649" s="26"/>
      <c r="BD649" s="26"/>
      <c r="BE649" s="26"/>
      <c r="BF649" s="26"/>
      <c r="BG649" s="26"/>
      <c r="BH649" s="26"/>
      <c r="BI649" s="26"/>
      <c r="BJ649" s="26"/>
      <c r="BK649" s="26"/>
      <c r="BL649" s="26"/>
      <c r="BM649" s="26"/>
      <c r="BN649" s="26"/>
      <c r="BO649" s="26"/>
      <c r="BP649" s="16" t="n">
        <v>45730</v>
      </c>
      <c r="BQ649" s="28" t="str">
        <f>HYPERLINK("https://organic.ams.usda.gov/Integrity/Certificate.aspx?cid=90&amp;nopid=7170230688")</f>
        <v>https://organic.ams.usda.gov/Integrity/Certificate.aspx?cid=90&amp;nopid=7170230688</v>
      </c>
    </row>
    <row r="650">
      <c r="A650" t="s">
        <v>3</v>
      </c>
      <c r="B650" s="6" t="s">
        <v>12</v>
      </c>
      <c r="C650" s="6" t="s">
        <v>59</v>
      </c>
      <c r="D650" s="6" t="s">
        <v>105</v>
      </c>
      <c r="E650" s="10" t="s">
        <v>791</v>
      </c>
      <c r="F650" s="6" t="s">
        <v>3521</v>
      </c>
      <c r="G650" s="6" t="s">
        <v>81</v>
      </c>
      <c r="H650" s="6" t="s">
        <v>6482</v>
      </c>
      <c r="I650" s="6" t="s">
        <v>8781</v>
      </c>
      <c r="J650" s="6" t="s">
        <v>9666</v>
      </c>
      <c r="K650" s="6" t="s">
        <v>10886</v>
      </c>
      <c r="L650" s="16" t="n">
        <v>43959</v>
      </c>
      <c r="M650" s="16" t="n">
        <v>45717</v>
      </c>
      <c r="N650" s="6" t="s">
        <v>10886</v>
      </c>
      <c r="O650" s="16" t="n">
        <v>43959</v>
      </c>
      <c r="P650" s="6" t="s">
        <v>10997</v>
      </c>
      <c r="Q650" s="6" t="s">
        <v>81</v>
      </c>
      <c r="R650" s="6" t="s">
        <v>81</v>
      </c>
      <c r="S650" s="6" t="s">
        <v>10886</v>
      </c>
      <c r="T650" s="16" t="n">
        <v>43959</v>
      </c>
      <c r="U650" s="6" t="s">
        <v>13405</v>
      </c>
      <c r="V650" s="6" t="s">
        <v>81</v>
      </c>
      <c r="W650" s="6" t="s">
        <v>81</v>
      </c>
      <c r="X650" s="6" t="s">
        <v>81</v>
      </c>
      <c r="Y650" s="21" t="s">
        <v>81</v>
      </c>
      <c r="Z650" s="6" t="s">
        <v>81</v>
      </c>
      <c r="AA650" s="6" t="s">
        <v>81</v>
      </c>
      <c r="AB650" s="6" t="s">
        <v>81</v>
      </c>
      <c r="AC650" s="6" t="s">
        <v>81</v>
      </c>
      <c r="AD650" s="21" t="s">
        <v>81</v>
      </c>
      <c r="AE650" s="6" t="s">
        <v>81</v>
      </c>
      <c r="AF650" s="6" t="s">
        <v>81</v>
      </c>
      <c r="AG650" s="6" t="s">
        <v>81</v>
      </c>
      <c r="AH650" s="6" t="s">
        <v>15238</v>
      </c>
      <c r="AI650" s="6" t="s">
        <v>81</v>
      </c>
      <c r="AJ650" s="6" t="s">
        <v>17695</v>
      </c>
      <c r="AK650" s="6" t="s">
        <v>17712</v>
      </c>
      <c r="AL650" s="6" t="s">
        <v>18444</v>
      </c>
      <c r="AM650" s="6" t="s">
        <v>18861</v>
      </c>
      <c r="AN650" s="6" t="s">
        <v>19652</v>
      </c>
      <c r="AO650" s="6" t="s">
        <v>19742</v>
      </c>
      <c r="AP650" s="6" t="s">
        <v>15238</v>
      </c>
      <c r="AQ650" s="6" t="s">
        <v>81</v>
      </c>
      <c r="AR650" s="6" t="s">
        <v>17695</v>
      </c>
      <c r="AS650" s="6" t="s">
        <v>17712</v>
      </c>
      <c r="AT650" s="6" t="s">
        <v>18444</v>
      </c>
      <c r="AU650" s="6" t="s">
        <v>18861</v>
      </c>
      <c r="AV650" s="6" t="s">
        <v>81</v>
      </c>
      <c r="AW650" s="6" t="s">
        <v>81</v>
      </c>
      <c r="AX650" s="6" t="s">
        <v>81</v>
      </c>
      <c r="AY650" s="6" t="s">
        <v>81</v>
      </c>
      <c r="AZ650" s="6" t="s">
        <v>81</v>
      </c>
      <c r="BA650" s="6" t="s">
        <v>81</v>
      </c>
      <c r="BB650" s="24" t="n">
        <v>98</v>
      </c>
      <c r="BC650" s="26"/>
      <c r="BD650" s="26"/>
      <c r="BE650" s="26"/>
      <c r="BF650" s="26"/>
      <c r="BG650" s="26"/>
      <c r="BH650" s="26"/>
      <c r="BI650" s="26"/>
      <c r="BJ650" s="26"/>
      <c r="BK650" s="26"/>
      <c r="BL650" s="26"/>
      <c r="BM650" s="26"/>
      <c r="BN650" s="26"/>
      <c r="BO650" s="26"/>
      <c r="BP650" s="16" t="n">
        <v>45684</v>
      </c>
      <c r="BQ650" s="28" t="str">
        <f>HYPERLINK("https://organic.ams.usda.gov/Integrity/Certificate.aspx?cid=68&amp;nopid=8210007326")</f>
        <v>https://organic.ams.usda.gov/Integrity/Certificate.aspx?cid=68&amp;nopid=8210007326</v>
      </c>
    </row>
    <row r="651">
      <c r="A651" t="s">
        <v>3</v>
      </c>
      <c r="B651" s="6" t="s">
        <v>10</v>
      </c>
      <c r="C651" s="6" t="s">
        <v>57</v>
      </c>
      <c r="D651" s="6" t="s">
        <v>103</v>
      </c>
      <c r="E651" s="10" t="s">
        <v>792</v>
      </c>
      <c r="F651" s="6" t="s">
        <v>3522</v>
      </c>
      <c r="G651" s="6" t="s">
        <v>81</v>
      </c>
      <c r="H651" s="6" t="s">
        <v>6483</v>
      </c>
      <c r="I651" s="6" t="s">
        <v>8782</v>
      </c>
      <c r="J651" s="6" t="s">
        <v>9665</v>
      </c>
      <c r="K651" s="6" t="s">
        <v>10886</v>
      </c>
      <c r="L651" s="16" t="n">
        <v>44930</v>
      </c>
      <c r="M651" s="16" t="n">
        <v>45748</v>
      </c>
      <c r="N651" s="6" t="s">
        <v>10886</v>
      </c>
      <c r="O651" s="16" t="n">
        <v>44930</v>
      </c>
      <c r="P651" s="6" t="s">
        <v>10925</v>
      </c>
      <c r="Q651" s="6" t="s">
        <v>81</v>
      </c>
      <c r="R651" s="6" t="s">
        <v>12608</v>
      </c>
      <c r="S651" s="6" t="s">
        <v>10886</v>
      </c>
      <c r="T651" s="16" t="n">
        <v>44930</v>
      </c>
      <c r="U651" s="6" t="s">
        <v>13163</v>
      </c>
      <c r="V651" s="6" t="s">
        <v>81</v>
      </c>
      <c r="W651" s="6" t="s">
        <v>81</v>
      </c>
      <c r="X651" s="6" t="s">
        <v>81</v>
      </c>
      <c r="Y651" s="21" t="s">
        <v>81</v>
      </c>
      <c r="Z651" s="6" t="s">
        <v>81</v>
      </c>
      <c r="AA651" s="6" t="s">
        <v>81</v>
      </c>
      <c r="AB651" s="6" t="s">
        <v>81</v>
      </c>
      <c r="AC651" s="6" t="s">
        <v>81</v>
      </c>
      <c r="AD651" s="21" t="s">
        <v>81</v>
      </c>
      <c r="AE651" s="6" t="s">
        <v>81</v>
      </c>
      <c r="AF651" s="6" t="s">
        <v>81</v>
      </c>
      <c r="AG651" s="6" t="s">
        <v>81</v>
      </c>
      <c r="AH651" s="6" t="s">
        <v>15239</v>
      </c>
      <c r="AI651" s="6" t="s">
        <v>81</v>
      </c>
      <c r="AJ651" s="6" t="s">
        <v>17635</v>
      </c>
      <c r="AK651" s="6" t="s">
        <v>18379</v>
      </c>
      <c r="AL651" s="6" t="s">
        <v>18444</v>
      </c>
      <c r="AM651" s="6" t="s">
        <v>18804</v>
      </c>
      <c r="AN651" s="6" t="s">
        <v>19637</v>
      </c>
      <c r="AO651" s="6" t="s">
        <v>19723</v>
      </c>
      <c r="AP651" s="6" t="s">
        <v>15239</v>
      </c>
      <c r="AQ651" s="6" t="s">
        <v>81</v>
      </c>
      <c r="AR651" s="6" t="s">
        <v>17635</v>
      </c>
      <c r="AS651" s="6" t="s">
        <v>18379</v>
      </c>
      <c r="AT651" s="6" t="s">
        <v>18444</v>
      </c>
      <c r="AU651" s="6" t="s">
        <v>18804</v>
      </c>
      <c r="AV651" s="6" t="s">
        <v>81</v>
      </c>
      <c r="AW651" s="6" t="s">
        <v>81</v>
      </c>
      <c r="AX651" s="6" t="s">
        <v>21164</v>
      </c>
      <c r="AY651" s="6" t="s">
        <v>81</v>
      </c>
      <c r="AZ651" s="6" t="s">
        <v>81</v>
      </c>
      <c r="BA651" s="6" t="s">
        <v>81</v>
      </c>
      <c r="BB651" s="24" t="n">
        <v>110</v>
      </c>
      <c r="BC651" s="26"/>
      <c r="BD651" s="26"/>
      <c r="BE651" s="26"/>
      <c r="BF651" s="26"/>
      <c r="BG651" s="26"/>
      <c r="BH651" s="26"/>
      <c r="BI651" s="26"/>
      <c r="BJ651" s="26"/>
      <c r="BK651" s="26"/>
      <c r="BL651" s="26"/>
      <c r="BM651" s="26"/>
      <c r="BN651" s="26"/>
      <c r="BO651" s="26"/>
      <c r="BP651" s="16" t="n">
        <v>45730</v>
      </c>
      <c r="BQ651" s="28" t="str">
        <f>HYPERLINK("https://organic.ams.usda.gov/Integrity/Certificate.aspx?cid=90&amp;nopid=7170220608")</f>
        <v>https://organic.ams.usda.gov/Integrity/Certificate.aspx?cid=90&amp;nopid=7170220608</v>
      </c>
    </row>
    <row r="652">
      <c r="A652" t="s">
        <v>3</v>
      </c>
      <c r="B652" s="6" t="s">
        <v>9</v>
      </c>
      <c r="C652" s="6" t="s">
        <v>56</v>
      </c>
      <c r="D652" s="6" t="s">
        <v>102</v>
      </c>
      <c r="E652" s="10" t="s">
        <v>793</v>
      </c>
      <c r="F652" s="6" t="s">
        <v>3523</v>
      </c>
      <c r="G652" s="6" t="s">
        <v>81</v>
      </c>
      <c r="H652" s="6" t="s">
        <v>6484</v>
      </c>
      <c r="I652" s="6" t="s">
        <v>8783</v>
      </c>
      <c r="J652" s="6" t="s">
        <v>9999</v>
      </c>
      <c r="K652" s="6" t="s">
        <v>10886</v>
      </c>
      <c r="L652" s="16" t="n">
        <v>41599</v>
      </c>
      <c r="M652" s="16" t="n">
        <v>45748</v>
      </c>
      <c r="N652" s="6" t="s">
        <v>10886</v>
      </c>
      <c r="O652" s="16" t="n">
        <v>41599</v>
      </c>
      <c r="P652" s="6" t="s">
        <v>11001</v>
      </c>
      <c r="Q652" s="6" t="s">
        <v>81</v>
      </c>
      <c r="R652" s="6" t="s">
        <v>12609</v>
      </c>
      <c r="S652" s="6" t="s">
        <v>10886</v>
      </c>
      <c r="T652" s="16" t="n">
        <v>41599</v>
      </c>
      <c r="U652" s="6" t="s">
        <v>13162</v>
      </c>
      <c r="V652" s="6" t="s">
        <v>81</v>
      </c>
      <c r="W652" s="6" t="s">
        <v>12609</v>
      </c>
      <c r="X652" s="6" t="s">
        <v>81</v>
      </c>
      <c r="Y652" s="21" t="s">
        <v>81</v>
      </c>
      <c r="Z652" s="6" t="s">
        <v>81</v>
      </c>
      <c r="AA652" s="6" t="s">
        <v>81</v>
      </c>
      <c r="AB652" s="6" t="s">
        <v>81</v>
      </c>
      <c r="AC652" s="6" t="s">
        <v>81</v>
      </c>
      <c r="AD652" s="21" t="s">
        <v>81</v>
      </c>
      <c r="AE652" s="6" t="s">
        <v>81</v>
      </c>
      <c r="AF652" s="6" t="s">
        <v>81</v>
      </c>
      <c r="AG652" s="6" t="s">
        <v>81</v>
      </c>
      <c r="AH652" s="6" t="s">
        <v>15240</v>
      </c>
      <c r="AI652" s="6" t="s">
        <v>81</v>
      </c>
      <c r="AJ652" s="6" t="s">
        <v>17392</v>
      </c>
      <c r="AK652" s="6" t="s">
        <v>18379</v>
      </c>
      <c r="AL652" s="6" t="s">
        <v>18444</v>
      </c>
      <c r="AM652" s="6" t="s">
        <v>18548</v>
      </c>
      <c r="AN652" s="6" t="s">
        <v>19637</v>
      </c>
      <c r="AO652" s="6" t="s">
        <v>19723</v>
      </c>
      <c r="AP652" s="6" t="s">
        <v>81</v>
      </c>
      <c r="AQ652" s="6" t="s">
        <v>81</v>
      </c>
      <c r="AR652" s="6" t="s">
        <v>81</v>
      </c>
      <c r="AS652" s="6" t="s">
        <v>81</v>
      </c>
      <c r="AT652" s="6" t="s">
        <v>81</v>
      </c>
      <c r="AU652" s="6" t="s">
        <v>81</v>
      </c>
      <c r="AV652" s="6" t="s">
        <v>81</v>
      </c>
      <c r="AW652" s="6" t="s">
        <v>81</v>
      </c>
      <c r="AX652" s="6" t="s">
        <v>21165</v>
      </c>
      <c r="AY652" s="6" t="s">
        <v>81</v>
      </c>
      <c r="AZ652" s="6" t="s">
        <v>81</v>
      </c>
      <c r="BA652" s="6" t="s">
        <v>81</v>
      </c>
      <c r="BB652" s="24" t="n">
        <v>64</v>
      </c>
      <c r="BC652" s="26"/>
      <c r="BD652" s="26"/>
      <c r="BE652" s="26"/>
      <c r="BF652" s="26"/>
      <c r="BG652" s="26"/>
      <c r="BH652" s="26"/>
      <c r="BI652" s="26"/>
      <c r="BJ652" s="26"/>
      <c r="BK652" s="26"/>
      <c r="BL652" s="26"/>
      <c r="BM652" s="26"/>
      <c r="BN652" s="26"/>
      <c r="BO652" s="26"/>
      <c r="BP652" s="16" t="n">
        <v>45738</v>
      </c>
      <c r="BQ652" s="28" t="str">
        <f>HYPERLINK("https://organic.ams.usda.gov/Integrity/Certificate.aspx?cid=52&amp;nopid=8431300815")</f>
        <v>https://organic.ams.usda.gov/Integrity/Certificate.aspx?cid=52&amp;nopid=8431300815</v>
      </c>
    </row>
    <row r="653">
      <c r="A653" t="s">
        <v>3</v>
      </c>
      <c r="B653" s="6" t="s">
        <v>25</v>
      </c>
      <c r="C653" s="6" t="s">
        <v>72</v>
      </c>
      <c r="D653" s="6" t="s">
        <v>118</v>
      </c>
      <c r="E653" s="10" t="s">
        <v>794</v>
      </c>
      <c r="F653" s="6" t="s">
        <v>3524</v>
      </c>
      <c r="G653" s="6" t="s">
        <v>5656</v>
      </c>
      <c r="H653" s="6" t="s">
        <v>6485</v>
      </c>
      <c r="I653" s="6" t="s">
        <v>8784</v>
      </c>
      <c r="J653" s="6" t="s">
        <v>10000</v>
      </c>
      <c r="K653" s="6" t="s">
        <v>10886</v>
      </c>
      <c r="L653" s="16" t="n">
        <v>37014</v>
      </c>
      <c r="M653" s="16" t="n">
        <v>46023</v>
      </c>
      <c r="N653" s="6" t="s">
        <v>10886</v>
      </c>
      <c r="O653" s="16" t="n">
        <v>37014</v>
      </c>
      <c r="P653" s="6" t="s">
        <v>11296</v>
      </c>
      <c r="Q653" s="6" t="s">
        <v>81</v>
      </c>
      <c r="R653" s="6" t="s">
        <v>81</v>
      </c>
      <c r="S653" s="6" t="s">
        <v>10886</v>
      </c>
      <c r="T653" s="16" t="n">
        <v>37014</v>
      </c>
      <c r="U653" s="6" t="s">
        <v>13407</v>
      </c>
      <c r="V653" s="6" t="s">
        <v>81</v>
      </c>
      <c r="W653" s="6" t="s">
        <v>81</v>
      </c>
      <c r="X653" s="6" t="s">
        <v>81</v>
      </c>
      <c r="Y653" s="21" t="s">
        <v>81</v>
      </c>
      <c r="Z653" s="6" t="s">
        <v>81</v>
      </c>
      <c r="AA653" s="6" t="s">
        <v>81</v>
      </c>
      <c r="AB653" s="6" t="s">
        <v>81</v>
      </c>
      <c r="AC653" s="6" t="s">
        <v>10886</v>
      </c>
      <c r="AD653" s="16" t="n">
        <v>37014</v>
      </c>
      <c r="AE653" s="6" t="s">
        <v>14138</v>
      </c>
      <c r="AF653" s="6" t="s">
        <v>81</v>
      </c>
      <c r="AG653" s="6" t="s">
        <v>81</v>
      </c>
      <c r="AH653" s="6" t="s">
        <v>15241</v>
      </c>
      <c r="AI653" s="6" t="s">
        <v>81</v>
      </c>
      <c r="AJ653" s="6" t="s">
        <v>17696</v>
      </c>
      <c r="AK653" s="6" t="s">
        <v>18408</v>
      </c>
      <c r="AL653" s="6" t="s">
        <v>18444</v>
      </c>
      <c r="AM653" s="6" t="s">
        <v>18862</v>
      </c>
      <c r="AN653" s="6" t="s">
        <v>19651</v>
      </c>
      <c r="AO653" s="6" t="s">
        <v>19905</v>
      </c>
      <c r="AP653" s="6" t="s">
        <v>20181</v>
      </c>
      <c r="AQ653" s="6" t="s">
        <v>81</v>
      </c>
      <c r="AR653" s="6" t="s">
        <v>17696</v>
      </c>
      <c r="AS653" s="6" t="s">
        <v>18408</v>
      </c>
      <c r="AT653" s="6" t="s">
        <v>18444</v>
      </c>
      <c r="AU653" s="6" t="s">
        <v>18862</v>
      </c>
      <c r="AV653" s="6" t="s">
        <v>81</v>
      </c>
      <c r="AW653" s="6" t="s">
        <v>81</v>
      </c>
      <c r="AX653" s="6" t="s">
        <v>21166</v>
      </c>
      <c r="AY653" s="6" t="s">
        <v>22796</v>
      </c>
      <c r="AZ653" s="6" t="s">
        <v>81</v>
      </c>
      <c r="BA653" s="6" t="s">
        <v>81</v>
      </c>
      <c r="BB653" s="24" t="n">
        <v>483</v>
      </c>
      <c r="BC653" s="26"/>
      <c r="BD653" s="26"/>
      <c r="BE653" s="26"/>
      <c r="BF653" s="26"/>
      <c r="BG653" s="26"/>
      <c r="BH653" s="26"/>
      <c r="BI653" s="26"/>
      <c r="BJ653" s="26"/>
      <c r="BK653" s="26"/>
      <c r="BL653" s="26"/>
      <c r="BM653" s="26"/>
      <c r="BN653" s="26"/>
      <c r="BO653" s="26"/>
      <c r="BP653" s="16" t="n">
        <v>45667</v>
      </c>
      <c r="BQ653" s="28" t="str">
        <f>HYPERLINK("https://organic.ams.usda.gov/Integrity/Certificate.aspx?cid=15&amp;nopid=5561002536")</f>
        <v>https://organic.ams.usda.gov/Integrity/Certificate.aspx?cid=15&amp;nopid=5561002536</v>
      </c>
    </row>
    <row r="654">
      <c r="A654" t="s">
        <v>3</v>
      </c>
      <c r="B654" s="6" t="s">
        <v>8</v>
      </c>
      <c r="C654" s="6" t="s">
        <v>55</v>
      </c>
      <c r="D654" s="6" t="s">
        <v>101</v>
      </c>
      <c r="E654" s="10" t="s">
        <v>795</v>
      </c>
      <c r="F654" s="6" t="s">
        <v>3525</v>
      </c>
      <c r="G654" s="6" t="s">
        <v>81</v>
      </c>
      <c r="H654" s="6" t="s">
        <v>6486</v>
      </c>
      <c r="I654" s="6" t="s">
        <v>8785</v>
      </c>
      <c r="J654" s="6" t="s">
        <v>10001</v>
      </c>
      <c r="K654" s="6" t="s">
        <v>10886</v>
      </c>
      <c r="L654" s="16" t="n">
        <v>45299</v>
      </c>
      <c r="M654" s="16" t="n">
        <v>45689</v>
      </c>
      <c r="N654" s="6" t="s">
        <v>10886</v>
      </c>
      <c r="O654" s="16" t="n">
        <v>45299</v>
      </c>
      <c r="P654" s="6" t="s">
        <v>11297</v>
      </c>
      <c r="Q654" s="6" t="s">
        <v>81</v>
      </c>
      <c r="R654" s="6" t="s">
        <v>6486</v>
      </c>
      <c r="S654" s="6" t="s">
        <v>10886</v>
      </c>
      <c r="T654" s="16" t="n">
        <v>45299</v>
      </c>
      <c r="U654" s="6" t="s">
        <v>13408</v>
      </c>
      <c r="V654" s="6" t="s">
        <v>81</v>
      </c>
      <c r="W654" s="6" t="s">
        <v>6486</v>
      </c>
      <c r="X654" s="6" t="s">
        <v>81</v>
      </c>
      <c r="Y654" s="21" t="s">
        <v>81</v>
      </c>
      <c r="Z654" s="6" t="s">
        <v>81</v>
      </c>
      <c r="AA654" s="6" t="s">
        <v>81</v>
      </c>
      <c r="AB654" s="6" t="s">
        <v>81</v>
      </c>
      <c r="AC654" s="6" t="s">
        <v>81</v>
      </c>
      <c r="AD654" s="21" t="s">
        <v>81</v>
      </c>
      <c r="AE654" s="6" t="s">
        <v>81</v>
      </c>
      <c r="AF654" s="6" t="s">
        <v>81</v>
      </c>
      <c r="AG654" s="6" t="s">
        <v>81</v>
      </c>
      <c r="AH654" s="6" t="s">
        <v>15242</v>
      </c>
      <c r="AI654" s="6" t="s">
        <v>81</v>
      </c>
      <c r="AJ654" s="6" t="s">
        <v>17697</v>
      </c>
      <c r="AK654" s="6" t="s">
        <v>17712</v>
      </c>
      <c r="AL654" s="6" t="s">
        <v>18444</v>
      </c>
      <c r="AM654" s="6" t="s">
        <v>18863</v>
      </c>
      <c r="AN654" s="6" t="s">
        <v>81</v>
      </c>
      <c r="AO654" s="6" t="s">
        <v>81</v>
      </c>
      <c r="AP654" s="6" t="s">
        <v>81</v>
      </c>
      <c r="AQ654" s="6" t="s">
        <v>81</v>
      </c>
      <c r="AR654" s="6" t="s">
        <v>81</v>
      </c>
      <c r="AS654" s="6" t="s">
        <v>81</v>
      </c>
      <c r="AT654" s="6" t="s">
        <v>81</v>
      </c>
      <c r="AU654" s="6" t="s">
        <v>81</v>
      </c>
      <c r="AV654" s="6" t="s">
        <v>81</v>
      </c>
      <c r="AW654" s="6" t="s">
        <v>81</v>
      </c>
      <c r="AX654" s="6" t="s">
        <v>21167</v>
      </c>
      <c r="AY654" s="6" t="s">
        <v>22797</v>
      </c>
      <c r="AZ654" s="6" t="s">
        <v>81</v>
      </c>
      <c r="BA654" s="6" t="s">
        <v>23819</v>
      </c>
      <c r="BB654" s="24" t="n">
        <v>958</v>
      </c>
      <c r="BC654" s="26"/>
      <c r="BD654" s="26"/>
      <c r="BE654" s="26"/>
      <c r="BF654" s="26" t="s">
        <v>23900</v>
      </c>
      <c r="BG654" s="26"/>
      <c r="BH654" s="26"/>
      <c r="BI654" s="26"/>
      <c r="BJ654" s="26"/>
      <c r="BK654" s="26"/>
      <c r="BL654" s="26"/>
      <c r="BM654" s="26"/>
      <c r="BN654" s="26"/>
      <c r="BO654" s="26"/>
      <c r="BP654" s="16" t="n">
        <v>45712</v>
      </c>
      <c r="BQ654" s="28" t="str">
        <f>HYPERLINK("https://organic.ams.usda.gov/Integrity/Certificate.aspx?cid=45&amp;nopid=9950013347")</f>
        <v>https://organic.ams.usda.gov/Integrity/Certificate.aspx?cid=45&amp;nopid=9950013347</v>
      </c>
    </row>
    <row r="655">
      <c r="A655" t="s">
        <v>3</v>
      </c>
      <c r="B655" s="6" t="s">
        <v>25</v>
      </c>
      <c r="C655" s="6" t="s">
        <v>72</v>
      </c>
      <c r="D655" s="6" t="s">
        <v>118</v>
      </c>
      <c r="E655" s="10" t="s">
        <v>796</v>
      </c>
      <c r="F655" s="6" t="s">
        <v>3526</v>
      </c>
      <c r="G655" s="6" t="s">
        <v>81</v>
      </c>
      <c r="H655" s="6" t="s">
        <v>6487</v>
      </c>
      <c r="I655" s="6" t="s">
        <v>8786</v>
      </c>
      <c r="J655" s="6" t="s">
        <v>10002</v>
      </c>
      <c r="K655" s="6" t="s">
        <v>10886</v>
      </c>
      <c r="L655" s="16" t="n">
        <v>37727</v>
      </c>
      <c r="M655" s="16" t="n">
        <v>46023</v>
      </c>
      <c r="N655" s="6" t="s">
        <v>10886</v>
      </c>
      <c r="O655" s="16" t="n">
        <v>37727</v>
      </c>
      <c r="P655" s="6" t="s">
        <v>11298</v>
      </c>
      <c r="Q655" s="6" t="s">
        <v>81</v>
      </c>
      <c r="R655" s="6" t="s">
        <v>81</v>
      </c>
      <c r="S655" s="6" t="s">
        <v>10886</v>
      </c>
      <c r="T655" s="16" t="n">
        <v>37727</v>
      </c>
      <c r="U655" s="6" t="s">
        <v>13409</v>
      </c>
      <c r="V655" s="6" t="s">
        <v>81</v>
      </c>
      <c r="W655" s="6" t="s">
        <v>81</v>
      </c>
      <c r="X655" s="6" t="s">
        <v>81</v>
      </c>
      <c r="Y655" s="21" t="s">
        <v>81</v>
      </c>
      <c r="Z655" s="6" t="s">
        <v>81</v>
      </c>
      <c r="AA655" s="6" t="s">
        <v>81</v>
      </c>
      <c r="AB655" s="6" t="s">
        <v>81</v>
      </c>
      <c r="AC655" s="6" t="s">
        <v>10886</v>
      </c>
      <c r="AD655" s="16" t="n">
        <v>44732</v>
      </c>
      <c r="AE655" s="6" t="s">
        <v>14081</v>
      </c>
      <c r="AF655" s="6" t="s">
        <v>81</v>
      </c>
      <c r="AG655" s="6" t="s">
        <v>81</v>
      </c>
      <c r="AH655" s="6" t="s">
        <v>15243</v>
      </c>
      <c r="AI655" s="6" t="s">
        <v>81</v>
      </c>
      <c r="AJ655" s="6" t="s">
        <v>17506</v>
      </c>
      <c r="AK655" s="6" t="s">
        <v>18386</v>
      </c>
      <c r="AL655" s="6" t="s">
        <v>18444</v>
      </c>
      <c r="AM655" s="6" t="s">
        <v>18667</v>
      </c>
      <c r="AN655" s="6" t="s">
        <v>19651</v>
      </c>
      <c r="AO655" s="6" t="s">
        <v>19864</v>
      </c>
      <c r="AP655" s="6" t="s">
        <v>15243</v>
      </c>
      <c r="AQ655" s="6" t="s">
        <v>81</v>
      </c>
      <c r="AR655" s="6" t="s">
        <v>17506</v>
      </c>
      <c r="AS655" s="6" t="s">
        <v>18386</v>
      </c>
      <c r="AT655" s="6" t="s">
        <v>18444</v>
      </c>
      <c r="AU655" s="6" t="s">
        <v>18667</v>
      </c>
      <c r="AV655" s="6" t="s">
        <v>81</v>
      </c>
      <c r="AW655" s="6" t="s">
        <v>81</v>
      </c>
      <c r="AX655" s="6" t="s">
        <v>21168</v>
      </c>
      <c r="AY655" s="6" t="s">
        <v>22798</v>
      </c>
      <c r="AZ655" s="6" t="s">
        <v>81</v>
      </c>
      <c r="BA655" s="6" t="s">
        <v>23827</v>
      </c>
      <c r="BB655" s="24" t="n">
        <v>352</v>
      </c>
      <c r="BC655" s="26"/>
      <c r="BD655" s="26"/>
      <c r="BE655" s="26"/>
      <c r="BF655" s="26" t="s">
        <v>23900</v>
      </c>
      <c r="BG655" s="26"/>
      <c r="BH655" s="26"/>
      <c r="BI655" s="26"/>
      <c r="BJ655" s="26"/>
      <c r="BK655" s="26"/>
      <c r="BL655" s="26"/>
      <c r="BM655" s="26"/>
      <c r="BN655" s="26"/>
      <c r="BO655" s="26"/>
      <c r="BP655" s="16" t="n">
        <v>45712</v>
      </c>
      <c r="BQ655" s="28" t="str">
        <f>HYPERLINK("https://organic.ams.usda.gov/Integrity/Certificate.aspx?cid=15&amp;nopid=5561000973")</f>
        <v>https://organic.ams.usda.gov/Integrity/Certificate.aspx?cid=15&amp;nopid=5561000973</v>
      </c>
    </row>
    <row r="656">
      <c r="A656" t="s">
        <v>3</v>
      </c>
      <c r="B656" s="6" t="s">
        <v>23</v>
      </c>
      <c r="C656" s="6" t="s">
        <v>70</v>
      </c>
      <c r="D656" s="6" t="s">
        <v>116</v>
      </c>
      <c r="E656" s="10" t="s">
        <v>797</v>
      </c>
      <c r="F656" s="6" t="s">
        <v>3527</v>
      </c>
      <c r="G656" s="6" t="s">
        <v>5657</v>
      </c>
      <c r="H656" s="6" t="s">
        <v>6488</v>
      </c>
      <c r="I656" s="6" t="s">
        <v>8764</v>
      </c>
      <c r="J656" s="6" t="s">
        <v>10002</v>
      </c>
      <c r="K656" s="6" t="s">
        <v>10886</v>
      </c>
      <c r="L656" s="16" t="n">
        <v>43475</v>
      </c>
      <c r="M656" s="16" t="n">
        <v>45787</v>
      </c>
      <c r="N656" s="6" t="s">
        <v>10886</v>
      </c>
      <c r="O656" s="16" t="n">
        <v>43475</v>
      </c>
      <c r="P656" s="6" t="s">
        <v>11299</v>
      </c>
      <c r="Q656" s="6" t="s">
        <v>81</v>
      </c>
      <c r="R656" s="6" t="s">
        <v>12610</v>
      </c>
      <c r="S656" s="6" t="s">
        <v>10886</v>
      </c>
      <c r="T656" s="16" t="n">
        <v>43475</v>
      </c>
      <c r="U656" s="6" t="s">
        <v>13298</v>
      </c>
      <c r="V656" s="6" t="s">
        <v>81</v>
      </c>
      <c r="W656" s="6" t="s">
        <v>12610</v>
      </c>
      <c r="X656" s="6" t="s">
        <v>81</v>
      </c>
      <c r="Y656" s="21" t="s">
        <v>81</v>
      </c>
      <c r="Z656" s="6" t="s">
        <v>81</v>
      </c>
      <c r="AA656" s="6" t="s">
        <v>81</v>
      </c>
      <c r="AB656" s="6" t="s">
        <v>81</v>
      </c>
      <c r="AC656" s="6" t="s">
        <v>81</v>
      </c>
      <c r="AD656" s="21" t="s">
        <v>81</v>
      </c>
      <c r="AE656" s="6" t="s">
        <v>81</v>
      </c>
      <c r="AF656" s="6" t="s">
        <v>81</v>
      </c>
      <c r="AG656" s="6" t="s">
        <v>81</v>
      </c>
      <c r="AH656" s="6" t="s">
        <v>81</v>
      </c>
      <c r="AI656" s="6" t="s">
        <v>81</v>
      </c>
      <c r="AJ656" s="6" t="s">
        <v>81</v>
      </c>
      <c r="AK656" s="6" t="s">
        <v>81</v>
      </c>
      <c r="AL656" s="6" t="s">
        <v>81</v>
      </c>
      <c r="AM656" s="6" t="s">
        <v>81</v>
      </c>
      <c r="AN656" s="6" t="s">
        <v>81</v>
      </c>
      <c r="AO656" s="6" t="s">
        <v>81</v>
      </c>
      <c r="AP656" s="6" t="s">
        <v>20182</v>
      </c>
      <c r="AQ656" s="6" t="s">
        <v>81</v>
      </c>
      <c r="AR656" s="6" t="s">
        <v>17506</v>
      </c>
      <c r="AS656" s="6" t="s">
        <v>18386</v>
      </c>
      <c r="AT656" s="6" t="s">
        <v>18444</v>
      </c>
      <c r="AU656" s="6" t="s">
        <v>18667</v>
      </c>
      <c r="AV656" s="6" t="s">
        <v>19651</v>
      </c>
      <c r="AW656" s="6" t="s">
        <v>19864</v>
      </c>
      <c r="AX656" s="6" t="s">
        <v>21169</v>
      </c>
      <c r="AY656" s="6" t="s">
        <v>22799</v>
      </c>
      <c r="AZ656" s="6" t="s">
        <v>81</v>
      </c>
      <c r="BA656" s="6" t="s">
        <v>81</v>
      </c>
      <c r="BB656" s="24" t="n">
        <v>342</v>
      </c>
      <c r="BC656" s="26"/>
      <c r="BD656" s="26"/>
      <c r="BE656" s="26"/>
      <c r="BF656" s="26"/>
      <c r="BG656" s="26"/>
      <c r="BH656" s="26"/>
      <c r="BI656" s="26"/>
      <c r="BJ656" s="26"/>
      <c r="BK656" s="26"/>
      <c r="BL656" s="26"/>
      <c r="BM656" s="26"/>
      <c r="BN656" s="26"/>
      <c r="BO656" s="26"/>
      <c r="BP656" s="16" t="n">
        <v>45701</v>
      </c>
      <c r="BQ656" s="28" t="str">
        <f>HYPERLINK("https://organic.ams.usda.gov/Integrity/Certificate.aspx?cid=63&amp;nopid=6220007861")</f>
        <v>https://organic.ams.usda.gov/Integrity/Certificate.aspx?cid=63&amp;nopid=6220007861</v>
      </c>
    </row>
    <row r="657">
      <c r="A657" t="s">
        <v>3</v>
      </c>
      <c r="B657" s="6" t="s">
        <v>7</v>
      </c>
      <c r="C657" s="6" t="s">
        <v>54</v>
      </c>
      <c r="D657" s="6" t="s">
        <v>100</v>
      </c>
      <c r="E657" s="10" t="s">
        <v>798</v>
      </c>
      <c r="F657" s="6" t="s">
        <v>3528</v>
      </c>
      <c r="G657" s="6" t="s">
        <v>81</v>
      </c>
      <c r="H657" s="6" t="s">
        <v>6489</v>
      </c>
      <c r="I657" s="6" t="s">
        <v>8787</v>
      </c>
      <c r="J657" s="6" t="s">
        <v>10003</v>
      </c>
      <c r="K657" s="6" t="s">
        <v>10886</v>
      </c>
      <c r="L657" s="16" t="n">
        <v>37963</v>
      </c>
      <c r="M657" s="16" t="n">
        <v>45716</v>
      </c>
      <c r="N657" s="6" t="s">
        <v>10886</v>
      </c>
      <c r="O657" s="16" t="n">
        <v>37963</v>
      </c>
      <c r="P657" s="6" t="s">
        <v>11300</v>
      </c>
      <c r="Q657" s="6" t="s">
        <v>81</v>
      </c>
      <c r="R657" s="6" t="s">
        <v>81</v>
      </c>
      <c r="S657" s="6" t="s">
        <v>10886</v>
      </c>
      <c r="T657" s="16" t="n">
        <v>37963</v>
      </c>
      <c r="U657" s="6" t="s">
        <v>13169</v>
      </c>
      <c r="V657" s="6" t="s">
        <v>81</v>
      </c>
      <c r="W657" s="6" t="s">
        <v>81</v>
      </c>
      <c r="X657" s="6" t="s">
        <v>81</v>
      </c>
      <c r="Y657" s="21" t="s">
        <v>81</v>
      </c>
      <c r="Z657" s="6" t="s">
        <v>81</v>
      </c>
      <c r="AA657" s="6" t="s">
        <v>81</v>
      </c>
      <c r="AB657" s="6" t="s">
        <v>81</v>
      </c>
      <c r="AC657" s="6" t="s">
        <v>81</v>
      </c>
      <c r="AD657" s="21" t="s">
        <v>81</v>
      </c>
      <c r="AE657" s="6" t="s">
        <v>81</v>
      </c>
      <c r="AF657" s="6" t="s">
        <v>81</v>
      </c>
      <c r="AG657" s="6" t="s">
        <v>81</v>
      </c>
      <c r="AH657" s="6" t="s">
        <v>15244</v>
      </c>
      <c r="AI657" s="6" t="s">
        <v>81</v>
      </c>
      <c r="AJ657" s="6" t="s">
        <v>17490</v>
      </c>
      <c r="AK657" s="6" t="s">
        <v>17712</v>
      </c>
      <c r="AL657" s="6" t="s">
        <v>18444</v>
      </c>
      <c r="AM657" s="6" t="s">
        <v>18650</v>
      </c>
      <c r="AN657" s="6" t="s">
        <v>19635</v>
      </c>
      <c r="AO657" s="6" t="s">
        <v>19795</v>
      </c>
      <c r="AP657" s="6" t="s">
        <v>15244</v>
      </c>
      <c r="AQ657" s="6" t="s">
        <v>81</v>
      </c>
      <c r="AR657" s="6" t="s">
        <v>17490</v>
      </c>
      <c r="AS657" s="6" t="s">
        <v>17712</v>
      </c>
      <c r="AT657" s="6" t="s">
        <v>18444</v>
      </c>
      <c r="AU657" s="6" t="s">
        <v>18650</v>
      </c>
      <c r="AV657" s="6" t="s">
        <v>81</v>
      </c>
      <c r="AW657" s="6" t="s">
        <v>81</v>
      </c>
      <c r="AX657" s="6" t="s">
        <v>21170</v>
      </c>
      <c r="AY657" s="6" t="s">
        <v>81</v>
      </c>
      <c r="AZ657" s="6" t="s">
        <v>81</v>
      </c>
      <c r="BA657" s="6" t="s">
        <v>81</v>
      </c>
      <c r="BB657" s="24" t="n">
        <v>454</v>
      </c>
      <c r="BC657" s="26"/>
      <c r="BD657" s="26"/>
      <c r="BE657" s="26"/>
      <c r="BF657" s="26" t="s">
        <v>23900</v>
      </c>
      <c r="BG657" s="26"/>
      <c r="BH657" s="26"/>
      <c r="BI657" s="26"/>
      <c r="BJ657" s="26"/>
      <c r="BK657" s="26"/>
      <c r="BL657" s="26"/>
      <c r="BM657" s="26"/>
      <c r="BN657" s="26"/>
      <c r="BO657" s="26"/>
      <c r="BP657" s="16" t="n">
        <v>45595</v>
      </c>
      <c r="BQ657" s="28" t="str">
        <f>HYPERLINK("https://organic.ams.usda.gov/Integrity/Certificate.aspx?cid=57&amp;nopid=3250200358")</f>
        <v>https://organic.ams.usda.gov/Integrity/Certificate.aspx?cid=57&amp;nopid=3250200358</v>
      </c>
    </row>
    <row r="658">
      <c r="A658" t="s">
        <v>3</v>
      </c>
      <c r="B658" s="6" t="s">
        <v>34</v>
      </c>
      <c r="C658" s="6" t="s">
        <v>81</v>
      </c>
      <c r="D658" s="6" t="s">
        <v>81</v>
      </c>
      <c r="E658" s="10" t="s">
        <v>799</v>
      </c>
      <c r="F658" s="6" t="s">
        <v>3529</v>
      </c>
      <c r="G658" s="6" t="s">
        <v>5658</v>
      </c>
      <c r="H658" s="6" t="s">
        <v>6490</v>
      </c>
      <c r="I658" s="6" t="s">
        <v>8788</v>
      </c>
      <c r="J658" s="6" t="s">
        <v>9215</v>
      </c>
      <c r="K658" s="6" t="s">
        <v>10886</v>
      </c>
      <c r="L658" s="16" t="n">
        <v>38774</v>
      </c>
      <c r="M658" s="16" t="n">
        <v>45717</v>
      </c>
      <c r="N658" s="6" t="s">
        <v>10886</v>
      </c>
      <c r="O658" s="16" t="n">
        <v>38774</v>
      </c>
      <c r="P658" s="6" t="s">
        <v>11031</v>
      </c>
      <c r="Q658" s="6" t="s">
        <v>81</v>
      </c>
      <c r="R658" s="6" t="s">
        <v>6490</v>
      </c>
      <c r="S658" s="6" t="s">
        <v>10886</v>
      </c>
      <c r="T658" s="16" t="n">
        <v>38774</v>
      </c>
      <c r="U658" s="6" t="s">
        <v>13410</v>
      </c>
      <c r="V658" s="6" t="s">
        <v>81</v>
      </c>
      <c r="W658" s="6" t="s">
        <v>6490</v>
      </c>
      <c r="X658" s="6" t="s">
        <v>81</v>
      </c>
      <c r="Y658" s="21" t="s">
        <v>81</v>
      </c>
      <c r="Z658" s="6" t="s">
        <v>81</v>
      </c>
      <c r="AA658" s="6" t="s">
        <v>81</v>
      </c>
      <c r="AB658" s="6" t="s">
        <v>81</v>
      </c>
      <c r="AC658" s="6" t="s">
        <v>10893</v>
      </c>
      <c r="AD658" s="16" t="n">
        <v>44826</v>
      </c>
      <c r="AE658" s="6" t="s">
        <v>81</v>
      </c>
      <c r="AF658" s="6" t="s">
        <v>81</v>
      </c>
      <c r="AG658" s="6" t="s">
        <v>81</v>
      </c>
      <c r="AH658" s="6" t="s">
        <v>15245</v>
      </c>
      <c r="AI658" s="6" t="s">
        <v>81</v>
      </c>
      <c r="AJ658" s="6" t="s">
        <v>17561</v>
      </c>
      <c r="AK658" s="6" t="s">
        <v>18386</v>
      </c>
      <c r="AL658" s="6" t="s">
        <v>18444</v>
      </c>
      <c r="AM658" s="6" t="s">
        <v>18760</v>
      </c>
      <c r="AN658" s="6" t="s">
        <v>81</v>
      </c>
      <c r="AO658" s="6" t="s">
        <v>81</v>
      </c>
      <c r="AP658" s="6" t="s">
        <v>81</v>
      </c>
      <c r="AQ658" s="6" t="s">
        <v>81</v>
      </c>
      <c r="AR658" s="6" t="s">
        <v>81</v>
      </c>
      <c r="AS658" s="6" t="s">
        <v>81</v>
      </c>
      <c r="AT658" s="6" t="s">
        <v>81</v>
      </c>
      <c r="AU658" s="6" t="s">
        <v>81</v>
      </c>
      <c r="AV658" s="6" t="s">
        <v>81</v>
      </c>
      <c r="AW658" s="6" t="s">
        <v>81</v>
      </c>
      <c r="AX658" s="6" t="s">
        <v>21171</v>
      </c>
      <c r="AY658" s="6" t="s">
        <v>22800</v>
      </c>
      <c r="AZ658" s="6" t="s">
        <v>81</v>
      </c>
      <c r="BA658" s="6" t="s">
        <v>23833</v>
      </c>
      <c r="BB658" s="24" t="n">
        <v>210</v>
      </c>
      <c r="BC658" s="26"/>
      <c r="BD658" s="26"/>
      <c r="BE658" s="26"/>
      <c r="BF658" s="26"/>
      <c r="BG658" s="26"/>
      <c r="BH658" s="26"/>
      <c r="BI658" s="26"/>
      <c r="BJ658" s="26"/>
      <c r="BK658" s="26"/>
      <c r="BL658" s="26"/>
      <c r="BM658" s="26"/>
      <c r="BN658" s="26"/>
      <c r="BO658" s="26"/>
      <c r="BP658" s="16" t="n">
        <v>45629</v>
      </c>
      <c r="BQ658" s="28" t="str">
        <f>HYPERLINK("")</f>
      </c>
    </row>
    <row r="659">
      <c r="A659" t="s">
        <v>3</v>
      </c>
      <c r="B659" s="6" t="s">
        <v>32</v>
      </c>
      <c r="C659" s="6" t="s">
        <v>79</v>
      </c>
      <c r="D659" s="6" t="s">
        <v>125</v>
      </c>
      <c r="E659" s="10" t="s">
        <v>800</v>
      </c>
      <c r="F659" s="6" t="s">
        <v>3530</v>
      </c>
      <c r="G659" s="6" t="s">
        <v>81</v>
      </c>
      <c r="H659" s="6" t="s">
        <v>6491</v>
      </c>
      <c r="I659" s="6" t="s">
        <v>8789</v>
      </c>
      <c r="J659" s="6" t="s">
        <v>10004</v>
      </c>
      <c r="K659" s="6" t="s">
        <v>10886</v>
      </c>
      <c r="L659" s="16" t="n">
        <v>37375</v>
      </c>
      <c r="M659" s="16" t="n">
        <v>46082</v>
      </c>
      <c r="N659" s="6" t="s">
        <v>10886</v>
      </c>
      <c r="O659" s="16" t="n">
        <v>37375</v>
      </c>
      <c r="P659" s="6" t="s">
        <v>11301</v>
      </c>
      <c r="Q659" s="6" t="s">
        <v>81</v>
      </c>
      <c r="R659" s="6" t="s">
        <v>5606</v>
      </c>
      <c r="S659" s="6" t="s">
        <v>81</v>
      </c>
      <c r="T659" s="21" t="s">
        <v>81</v>
      </c>
      <c r="U659" s="6" t="s">
        <v>81</v>
      </c>
      <c r="V659" s="6" t="s">
        <v>81</v>
      </c>
      <c r="W659" s="6" t="s">
        <v>81</v>
      </c>
      <c r="X659" s="6" t="s">
        <v>81</v>
      </c>
      <c r="Y659" s="21" t="s">
        <v>81</v>
      </c>
      <c r="Z659" s="6" t="s">
        <v>81</v>
      </c>
      <c r="AA659" s="6" t="s">
        <v>81</v>
      </c>
      <c r="AB659" s="6" t="s">
        <v>81</v>
      </c>
      <c r="AC659" s="6" t="s">
        <v>10886</v>
      </c>
      <c r="AD659" s="16" t="n">
        <v>37375</v>
      </c>
      <c r="AE659" s="6" t="s">
        <v>14139</v>
      </c>
      <c r="AF659" s="6" t="s">
        <v>81</v>
      </c>
      <c r="AG659" s="6" t="s">
        <v>5606</v>
      </c>
      <c r="AH659" s="6" t="s">
        <v>15246</v>
      </c>
      <c r="AI659" s="6" t="s">
        <v>81</v>
      </c>
      <c r="AJ659" s="6" t="s">
        <v>17698</v>
      </c>
      <c r="AK659" s="6" t="s">
        <v>18152</v>
      </c>
      <c r="AL659" s="6" t="s">
        <v>18444</v>
      </c>
      <c r="AM659" s="6" t="s">
        <v>18864</v>
      </c>
      <c r="AN659" s="6" t="s">
        <v>81</v>
      </c>
      <c r="AO659" s="6" t="s">
        <v>81</v>
      </c>
      <c r="AP659" s="6" t="s">
        <v>20183</v>
      </c>
      <c r="AQ659" s="6" t="s">
        <v>81</v>
      </c>
      <c r="AR659" s="6" t="s">
        <v>17698</v>
      </c>
      <c r="AS659" s="6" t="s">
        <v>18152</v>
      </c>
      <c r="AT659" s="6" t="s">
        <v>18444</v>
      </c>
      <c r="AU659" s="6" t="s">
        <v>18864</v>
      </c>
      <c r="AV659" s="6" t="s">
        <v>81</v>
      </c>
      <c r="AW659" s="6" t="s">
        <v>81</v>
      </c>
      <c r="AX659" s="6" t="s">
        <v>21172</v>
      </c>
      <c r="AY659" s="6" t="s">
        <v>22801</v>
      </c>
      <c r="AZ659" s="6" t="s">
        <v>81</v>
      </c>
      <c r="BA659" s="6" t="s">
        <v>81</v>
      </c>
      <c r="BB659" s="24" t="n">
        <v>142</v>
      </c>
      <c r="BC659" s="26"/>
      <c r="BD659" s="26"/>
      <c r="BE659" s="26" t="s">
        <v>23900</v>
      </c>
      <c r="BF659" s="26"/>
      <c r="BG659" s="26"/>
      <c r="BH659" s="26"/>
      <c r="BI659" s="26"/>
      <c r="BJ659" s="26"/>
      <c r="BK659" s="26"/>
      <c r="BL659" s="26"/>
      <c r="BM659" s="26"/>
      <c r="BN659" s="26"/>
      <c r="BO659" s="26"/>
      <c r="BP659" s="16" t="n">
        <v>45739</v>
      </c>
      <c r="BQ659" s="28" t="str">
        <f>HYPERLINK("https://organic.ams.usda.gov/Integrity/Certificate.aspx?cid=82&amp;nopid=2780000530")</f>
        <v>https://organic.ams.usda.gov/Integrity/Certificate.aspx?cid=82&amp;nopid=2780000530</v>
      </c>
    </row>
    <row r="660">
      <c r="A660" t="s">
        <v>3</v>
      </c>
      <c r="B660" s="6" t="s">
        <v>16</v>
      </c>
      <c r="C660" s="6" t="s">
        <v>63</v>
      </c>
      <c r="D660" s="6" t="s">
        <v>109</v>
      </c>
      <c r="E660" s="10" t="s">
        <v>801</v>
      </c>
      <c r="F660" s="6" t="s">
        <v>3531</v>
      </c>
      <c r="G660" s="6" t="s">
        <v>81</v>
      </c>
      <c r="H660" s="6" t="s">
        <v>6492</v>
      </c>
      <c r="I660" s="6" t="s">
        <v>8790</v>
      </c>
      <c r="J660" s="6" t="s">
        <v>10005</v>
      </c>
      <c r="K660" s="6" t="s">
        <v>10886</v>
      </c>
      <c r="L660" s="16" t="n">
        <v>45355</v>
      </c>
      <c r="M660" s="16" t="n">
        <v>45731</v>
      </c>
      <c r="N660" s="6" t="s">
        <v>10886</v>
      </c>
      <c r="O660" s="16" t="n">
        <v>45355</v>
      </c>
      <c r="P660" s="6" t="s">
        <v>11302</v>
      </c>
      <c r="Q660" s="6" t="s">
        <v>81</v>
      </c>
      <c r="R660" s="6" t="s">
        <v>81</v>
      </c>
      <c r="S660" s="6" t="s">
        <v>10886</v>
      </c>
      <c r="T660" s="16" t="n">
        <v>45355</v>
      </c>
      <c r="U660" s="6" t="s">
        <v>13281</v>
      </c>
      <c r="V660" s="6" t="s">
        <v>81</v>
      </c>
      <c r="W660" s="6" t="s">
        <v>81</v>
      </c>
      <c r="X660" s="6" t="s">
        <v>81</v>
      </c>
      <c r="Y660" s="21" t="s">
        <v>81</v>
      </c>
      <c r="Z660" s="6" t="s">
        <v>81</v>
      </c>
      <c r="AA660" s="6" t="s">
        <v>81</v>
      </c>
      <c r="AB660" s="6" t="s">
        <v>81</v>
      </c>
      <c r="AC660" s="6" t="s">
        <v>10886</v>
      </c>
      <c r="AD660" s="16" t="n">
        <v>45355</v>
      </c>
      <c r="AE660" s="6" t="s">
        <v>81</v>
      </c>
      <c r="AF660" s="6" t="s">
        <v>81</v>
      </c>
      <c r="AG660" s="6" t="s">
        <v>81</v>
      </c>
      <c r="AH660" s="6" t="s">
        <v>15247</v>
      </c>
      <c r="AI660" s="6" t="s">
        <v>81</v>
      </c>
      <c r="AJ660" s="6" t="s">
        <v>17699</v>
      </c>
      <c r="AK660" s="6" t="s">
        <v>18383</v>
      </c>
      <c r="AL660" s="6" t="s">
        <v>18444</v>
      </c>
      <c r="AM660" s="6" t="s">
        <v>18865</v>
      </c>
      <c r="AN660" s="6" t="s">
        <v>81</v>
      </c>
      <c r="AO660" s="6" t="s">
        <v>81</v>
      </c>
      <c r="AP660" s="6" t="s">
        <v>20184</v>
      </c>
      <c r="AQ660" s="6" t="s">
        <v>81</v>
      </c>
      <c r="AR660" s="6" t="s">
        <v>20518</v>
      </c>
      <c r="AS660" s="6" t="s">
        <v>18383</v>
      </c>
      <c r="AT660" s="6" t="s">
        <v>18444</v>
      </c>
      <c r="AU660" s="6" t="s">
        <v>18865</v>
      </c>
      <c r="AV660" s="6" t="s">
        <v>81</v>
      </c>
      <c r="AW660" s="6" t="s">
        <v>81</v>
      </c>
      <c r="AX660" s="6" t="s">
        <v>21173</v>
      </c>
      <c r="AY660" s="6" t="s">
        <v>81</v>
      </c>
      <c r="AZ660" s="6" t="s">
        <v>81</v>
      </c>
      <c r="BA660" s="6" t="s">
        <v>81</v>
      </c>
      <c r="BB660" s="24" t="n">
        <v>593</v>
      </c>
      <c r="BC660" s="26"/>
      <c r="BD660" s="26"/>
      <c r="BE660" s="26"/>
      <c r="BF660" s="26"/>
      <c r="BG660" s="26"/>
      <c r="BH660" s="26"/>
      <c r="BI660" s="26"/>
      <c r="BJ660" s="26"/>
      <c r="BK660" s="26"/>
      <c r="BL660" s="26"/>
      <c r="BM660" s="26"/>
      <c r="BN660" s="26"/>
      <c r="BO660" s="26"/>
      <c r="BP660" s="16" t="n">
        <v>45701</v>
      </c>
      <c r="BQ660" s="28" t="str">
        <f>HYPERLINK("https://organic.ams.usda.gov/Integrity/Certificate.aspx?cid=81&amp;nopid=4212024009")</f>
        <v>https://organic.ams.usda.gov/Integrity/Certificate.aspx?cid=81&amp;nopid=4212024009</v>
      </c>
    </row>
    <row r="661">
      <c r="A661" t="s">
        <v>3</v>
      </c>
      <c r="B661" s="6" t="s">
        <v>8</v>
      </c>
      <c r="C661" s="6" t="s">
        <v>55</v>
      </c>
      <c r="D661" s="6" t="s">
        <v>101</v>
      </c>
      <c r="E661" s="10" t="s">
        <v>802</v>
      </c>
      <c r="F661" s="6" t="s">
        <v>3532</v>
      </c>
      <c r="G661" s="6" t="s">
        <v>81</v>
      </c>
      <c r="H661" s="6" t="s">
        <v>6493</v>
      </c>
      <c r="I661" s="6" t="s">
        <v>8791</v>
      </c>
      <c r="J661" s="6" t="s">
        <v>10006</v>
      </c>
      <c r="K661" s="6" t="s">
        <v>10886</v>
      </c>
      <c r="L661" s="16" t="n">
        <v>40100</v>
      </c>
      <c r="M661" s="16" t="n">
        <v>45689</v>
      </c>
      <c r="N661" s="6" t="s">
        <v>10886</v>
      </c>
      <c r="O661" s="16" t="n">
        <v>40100</v>
      </c>
      <c r="P661" s="6" t="s">
        <v>11303</v>
      </c>
      <c r="Q661" s="6" t="s">
        <v>81</v>
      </c>
      <c r="R661" s="6" t="s">
        <v>6493</v>
      </c>
      <c r="S661" s="6" t="s">
        <v>10886</v>
      </c>
      <c r="T661" s="16" t="n">
        <v>40100</v>
      </c>
      <c r="U661" s="6" t="s">
        <v>13179</v>
      </c>
      <c r="V661" s="6" t="s">
        <v>81</v>
      </c>
      <c r="W661" s="6" t="s">
        <v>6493</v>
      </c>
      <c r="X661" s="6" t="s">
        <v>81</v>
      </c>
      <c r="Y661" s="21" t="s">
        <v>81</v>
      </c>
      <c r="Z661" s="6" t="s">
        <v>81</v>
      </c>
      <c r="AA661" s="6" t="s">
        <v>81</v>
      </c>
      <c r="AB661" s="6" t="s">
        <v>81</v>
      </c>
      <c r="AC661" s="6" t="s">
        <v>81</v>
      </c>
      <c r="AD661" s="21" t="s">
        <v>81</v>
      </c>
      <c r="AE661" s="6" t="s">
        <v>81</v>
      </c>
      <c r="AF661" s="6" t="s">
        <v>81</v>
      </c>
      <c r="AG661" s="6" t="s">
        <v>81</v>
      </c>
      <c r="AH661" s="6" t="s">
        <v>15248</v>
      </c>
      <c r="AI661" s="6" t="s">
        <v>81</v>
      </c>
      <c r="AJ661" s="6" t="s">
        <v>17496</v>
      </c>
      <c r="AK661" s="6" t="s">
        <v>18381</v>
      </c>
      <c r="AL661" s="6" t="s">
        <v>18444</v>
      </c>
      <c r="AM661" s="6" t="s">
        <v>18656</v>
      </c>
      <c r="AN661" s="6" t="s">
        <v>19676</v>
      </c>
      <c r="AO661" s="6" t="s">
        <v>19797</v>
      </c>
      <c r="AP661" s="6" t="s">
        <v>81</v>
      </c>
      <c r="AQ661" s="6" t="s">
        <v>81</v>
      </c>
      <c r="AR661" s="6" t="s">
        <v>81</v>
      </c>
      <c r="AS661" s="6" t="s">
        <v>81</v>
      </c>
      <c r="AT661" s="6" t="s">
        <v>81</v>
      </c>
      <c r="AU661" s="6" t="s">
        <v>81</v>
      </c>
      <c r="AV661" s="6" t="s">
        <v>81</v>
      </c>
      <c r="AW661" s="6" t="s">
        <v>81</v>
      </c>
      <c r="AX661" s="6" t="s">
        <v>81</v>
      </c>
      <c r="AY661" s="6" t="s">
        <v>22802</v>
      </c>
      <c r="AZ661" s="6" t="s">
        <v>81</v>
      </c>
      <c r="BA661" s="6" t="s">
        <v>23819</v>
      </c>
      <c r="BB661" s="24" t="n">
        <v>251</v>
      </c>
      <c r="BC661" s="26"/>
      <c r="BD661" s="26"/>
      <c r="BE661" s="26"/>
      <c r="BF661" s="26" t="s">
        <v>23900</v>
      </c>
      <c r="BG661" s="26"/>
      <c r="BH661" s="26"/>
      <c r="BI661" s="26"/>
      <c r="BJ661" s="26"/>
      <c r="BK661" s="26"/>
      <c r="BL661" s="26"/>
      <c r="BM661" s="26"/>
      <c r="BN661" s="26"/>
      <c r="BO661" s="26"/>
      <c r="BP661" s="16" t="n">
        <v>45678</v>
      </c>
      <c r="BQ661" s="28" t="str">
        <f>HYPERLINK("https://organic.ams.usda.gov/Integrity/Certificate.aspx?cid=45&amp;nopid=9950003679")</f>
        <v>https://organic.ams.usda.gov/Integrity/Certificate.aspx?cid=45&amp;nopid=9950003679</v>
      </c>
    </row>
    <row r="662">
      <c r="A662" t="s">
        <v>3</v>
      </c>
      <c r="B662" s="6" t="s">
        <v>8</v>
      </c>
      <c r="C662" s="6" t="s">
        <v>55</v>
      </c>
      <c r="D662" s="6" t="s">
        <v>101</v>
      </c>
      <c r="E662" s="10" t="s">
        <v>803</v>
      </c>
      <c r="F662" s="6" t="s">
        <v>3533</v>
      </c>
      <c r="G662" s="6" t="s">
        <v>81</v>
      </c>
      <c r="H662" s="6" t="s">
        <v>6494</v>
      </c>
      <c r="I662" s="6" t="s">
        <v>8513</v>
      </c>
      <c r="J662" s="6" t="s">
        <v>10007</v>
      </c>
      <c r="K662" s="6" t="s">
        <v>10886</v>
      </c>
      <c r="L662" s="16" t="n">
        <v>38728</v>
      </c>
      <c r="M662" s="16" t="n">
        <v>45383</v>
      </c>
      <c r="N662" s="6" t="s">
        <v>10886</v>
      </c>
      <c r="O662" s="16" t="n">
        <v>38728</v>
      </c>
      <c r="P662" s="6" t="s">
        <v>11304</v>
      </c>
      <c r="Q662" s="6" t="s">
        <v>81</v>
      </c>
      <c r="R662" s="6" t="s">
        <v>6494</v>
      </c>
      <c r="S662" s="6" t="s">
        <v>10886</v>
      </c>
      <c r="T662" s="16" t="n">
        <v>38728</v>
      </c>
      <c r="U662" s="6" t="s">
        <v>13411</v>
      </c>
      <c r="V662" s="6" t="s">
        <v>81</v>
      </c>
      <c r="W662" s="6" t="s">
        <v>6494</v>
      </c>
      <c r="X662" s="6" t="s">
        <v>81</v>
      </c>
      <c r="Y662" s="21" t="s">
        <v>81</v>
      </c>
      <c r="Z662" s="6" t="s">
        <v>81</v>
      </c>
      <c r="AA662" s="6" t="s">
        <v>81</v>
      </c>
      <c r="AB662" s="6" t="s">
        <v>81</v>
      </c>
      <c r="AC662" s="6" t="s">
        <v>81</v>
      </c>
      <c r="AD662" s="21" t="s">
        <v>81</v>
      </c>
      <c r="AE662" s="6" t="s">
        <v>81</v>
      </c>
      <c r="AF662" s="6" t="s">
        <v>81</v>
      </c>
      <c r="AG662" s="6" t="s">
        <v>81</v>
      </c>
      <c r="AH662" s="6" t="s">
        <v>15249</v>
      </c>
      <c r="AI662" s="6" t="s">
        <v>81</v>
      </c>
      <c r="AJ662" s="6" t="s">
        <v>17312</v>
      </c>
      <c r="AK662" s="6" t="s">
        <v>18377</v>
      </c>
      <c r="AL662" s="6" t="s">
        <v>18444</v>
      </c>
      <c r="AM662" s="6" t="s">
        <v>18464</v>
      </c>
      <c r="AN662" s="6" t="s">
        <v>19635</v>
      </c>
      <c r="AO662" s="6" t="s">
        <v>19720</v>
      </c>
      <c r="AP662" s="6" t="s">
        <v>81</v>
      </c>
      <c r="AQ662" s="6" t="s">
        <v>81</v>
      </c>
      <c r="AR662" s="6" t="s">
        <v>81</v>
      </c>
      <c r="AS662" s="6" t="s">
        <v>81</v>
      </c>
      <c r="AT662" s="6" t="s">
        <v>81</v>
      </c>
      <c r="AU662" s="6" t="s">
        <v>81</v>
      </c>
      <c r="AV662" s="6" t="s">
        <v>81</v>
      </c>
      <c r="AW662" s="6" t="s">
        <v>81</v>
      </c>
      <c r="AX662" s="6" t="s">
        <v>81</v>
      </c>
      <c r="AY662" s="6" t="s">
        <v>22803</v>
      </c>
      <c r="AZ662" s="6" t="s">
        <v>81</v>
      </c>
      <c r="BA662" s="6" t="s">
        <v>23819</v>
      </c>
      <c r="BB662" s="24" t="n">
        <v>473</v>
      </c>
      <c r="BC662" s="26"/>
      <c r="BD662" s="26"/>
      <c r="BE662" s="26"/>
      <c r="BF662" s="26"/>
      <c r="BG662" s="26"/>
      <c r="BH662" s="26"/>
      <c r="BI662" s="26"/>
      <c r="BJ662" s="26"/>
      <c r="BK662" s="26"/>
      <c r="BL662" s="26"/>
      <c r="BM662" s="26"/>
      <c r="BN662" s="26"/>
      <c r="BO662" s="26"/>
      <c r="BP662" s="16" t="n">
        <v>45478</v>
      </c>
      <c r="BQ662" s="28" t="str">
        <f>HYPERLINK("https://organic.ams.usda.gov/Integrity/Certificate.aspx?cid=45&amp;nopid=9950002114")</f>
        <v>https://organic.ams.usda.gov/Integrity/Certificate.aspx?cid=45&amp;nopid=9950002114</v>
      </c>
    </row>
    <row r="663">
      <c r="A663" t="s">
        <v>3</v>
      </c>
      <c r="B663" s="6" t="s">
        <v>25</v>
      </c>
      <c r="C663" s="6" t="s">
        <v>72</v>
      </c>
      <c r="D663" s="6" t="s">
        <v>118</v>
      </c>
      <c r="E663" s="10" t="s">
        <v>804</v>
      </c>
      <c r="F663" s="6" t="s">
        <v>3534</v>
      </c>
      <c r="G663" s="6" t="s">
        <v>81</v>
      </c>
      <c r="H663" s="6" t="s">
        <v>6495</v>
      </c>
      <c r="I663" s="6" t="s">
        <v>8792</v>
      </c>
      <c r="J663" s="6" t="s">
        <v>9809</v>
      </c>
      <c r="K663" s="6" t="s">
        <v>10886</v>
      </c>
      <c r="L663" s="16" t="n">
        <v>45686</v>
      </c>
      <c r="M663" s="16" t="n">
        <v>46023</v>
      </c>
      <c r="N663" s="6" t="s">
        <v>10886</v>
      </c>
      <c r="O663" s="16" t="n">
        <v>45686</v>
      </c>
      <c r="P663" s="6" t="s">
        <v>11076</v>
      </c>
      <c r="Q663" s="6" t="s">
        <v>81</v>
      </c>
      <c r="R663" s="6" t="s">
        <v>81</v>
      </c>
      <c r="S663" s="6" t="s">
        <v>10886</v>
      </c>
      <c r="T663" s="16" t="n">
        <v>45686</v>
      </c>
      <c r="U663" s="6" t="s">
        <v>13412</v>
      </c>
      <c r="V663" s="6" t="s">
        <v>81</v>
      </c>
      <c r="W663" s="6" t="s">
        <v>81</v>
      </c>
      <c r="X663" s="6" t="s">
        <v>81</v>
      </c>
      <c r="Y663" s="21" t="s">
        <v>81</v>
      </c>
      <c r="Z663" s="6" t="s">
        <v>81</v>
      </c>
      <c r="AA663" s="6" t="s">
        <v>81</v>
      </c>
      <c r="AB663" s="6" t="s">
        <v>81</v>
      </c>
      <c r="AC663" s="6" t="s">
        <v>10886</v>
      </c>
      <c r="AD663" s="16" t="n">
        <v>45686</v>
      </c>
      <c r="AE663" s="6" t="s">
        <v>14081</v>
      </c>
      <c r="AF663" s="6" t="s">
        <v>81</v>
      </c>
      <c r="AG663" s="6" t="s">
        <v>81</v>
      </c>
      <c r="AH663" s="6" t="s">
        <v>15250</v>
      </c>
      <c r="AI663" s="6" t="s">
        <v>81</v>
      </c>
      <c r="AJ663" s="6" t="s">
        <v>17700</v>
      </c>
      <c r="AK663" s="6" t="s">
        <v>18386</v>
      </c>
      <c r="AL663" s="6" t="s">
        <v>18444</v>
      </c>
      <c r="AM663" s="6" t="s">
        <v>18657</v>
      </c>
      <c r="AN663" s="6" t="s">
        <v>81</v>
      </c>
      <c r="AO663" s="6" t="s">
        <v>81</v>
      </c>
      <c r="AP663" s="6" t="s">
        <v>20185</v>
      </c>
      <c r="AQ663" s="6" t="s">
        <v>81</v>
      </c>
      <c r="AR663" s="6" t="s">
        <v>17700</v>
      </c>
      <c r="AS663" s="6" t="s">
        <v>18386</v>
      </c>
      <c r="AT663" s="6" t="s">
        <v>18444</v>
      </c>
      <c r="AU663" s="6" t="s">
        <v>18657</v>
      </c>
      <c r="AV663" s="6" t="s">
        <v>81</v>
      </c>
      <c r="AW663" s="6" t="s">
        <v>81</v>
      </c>
      <c r="AX663" s="6" t="s">
        <v>21174</v>
      </c>
      <c r="AY663" s="6" t="s">
        <v>22804</v>
      </c>
      <c r="AZ663" s="6" t="s">
        <v>81</v>
      </c>
      <c r="BA663" s="6" t="s">
        <v>23827</v>
      </c>
      <c r="BB663" s="24" t="n">
        <v>2241</v>
      </c>
      <c r="BC663" s="26"/>
      <c r="BD663" s="26"/>
      <c r="BE663" s="26"/>
      <c r="BF663" s="26" t="s">
        <v>23900</v>
      </c>
      <c r="BG663" s="26"/>
      <c r="BH663" s="26"/>
      <c r="BI663" s="26"/>
      <c r="BJ663" s="26"/>
      <c r="BK663" s="26"/>
      <c r="BL663" s="26"/>
      <c r="BM663" s="26"/>
      <c r="BN663" s="26"/>
      <c r="BO663" s="26"/>
      <c r="BP663" s="16" t="n">
        <v>45729</v>
      </c>
      <c r="BQ663" s="28" t="str">
        <f>HYPERLINK("https://organic.ams.usda.gov/Integrity/Certificate.aspx?cid=15&amp;nopid=5561008820")</f>
        <v>https://organic.ams.usda.gov/Integrity/Certificate.aspx?cid=15&amp;nopid=5561008820</v>
      </c>
    </row>
    <row r="664">
      <c r="A664" t="s">
        <v>3</v>
      </c>
      <c r="B664" s="6" t="s">
        <v>34</v>
      </c>
      <c r="C664" s="6" t="s">
        <v>81</v>
      </c>
      <c r="D664" s="6" t="s">
        <v>81</v>
      </c>
      <c r="E664" s="10" t="s">
        <v>805</v>
      </c>
      <c r="F664" s="6" t="s">
        <v>3534</v>
      </c>
      <c r="G664" s="6" t="s">
        <v>5659</v>
      </c>
      <c r="H664" s="6" t="s">
        <v>6496</v>
      </c>
      <c r="I664" s="6" t="s">
        <v>8792</v>
      </c>
      <c r="J664" s="6" t="s">
        <v>9809</v>
      </c>
      <c r="K664" s="6" t="s">
        <v>10886</v>
      </c>
      <c r="L664" s="16" t="n">
        <v>40738</v>
      </c>
      <c r="M664" s="16" t="n">
        <v>45413</v>
      </c>
      <c r="N664" s="6" t="s">
        <v>10886</v>
      </c>
      <c r="O664" s="16" t="n">
        <v>40738</v>
      </c>
      <c r="P664" s="6" t="s">
        <v>11076</v>
      </c>
      <c r="Q664" s="6" t="s">
        <v>81</v>
      </c>
      <c r="R664" s="6" t="s">
        <v>6496</v>
      </c>
      <c r="S664" s="6" t="s">
        <v>10886</v>
      </c>
      <c r="T664" s="16" t="n">
        <v>40738</v>
      </c>
      <c r="U664" s="6" t="s">
        <v>13413</v>
      </c>
      <c r="V664" s="6" t="s">
        <v>81</v>
      </c>
      <c r="W664" s="6" t="s">
        <v>6496</v>
      </c>
      <c r="X664" s="6" t="s">
        <v>81</v>
      </c>
      <c r="Y664" s="21" t="s">
        <v>81</v>
      </c>
      <c r="Z664" s="6" t="s">
        <v>81</v>
      </c>
      <c r="AA664" s="6" t="s">
        <v>81</v>
      </c>
      <c r="AB664" s="6" t="s">
        <v>81</v>
      </c>
      <c r="AC664" s="6" t="s">
        <v>10886</v>
      </c>
      <c r="AD664" s="16" t="n">
        <v>40738</v>
      </c>
      <c r="AE664" s="6" t="s">
        <v>81</v>
      </c>
      <c r="AF664" s="6" t="s">
        <v>81</v>
      </c>
      <c r="AG664" s="6" t="s">
        <v>81</v>
      </c>
      <c r="AH664" s="6" t="s">
        <v>15251</v>
      </c>
      <c r="AI664" s="6" t="s">
        <v>81</v>
      </c>
      <c r="AJ664" s="6" t="s">
        <v>17700</v>
      </c>
      <c r="AK664" s="6" t="s">
        <v>18386</v>
      </c>
      <c r="AL664" s="6" t="s">
        <v>18444</v>
      </c>
      <c r="AM664" s="6" t="s">
        <v>18866</v>
      </c>
      <c r="AN664" s="6" t="s">
        <v>81</v>
      </c>
      <c r="AO664" s="6" t="s">
        <v>81</v>
      </c>
      <c r="AP664" s="6" t="s">
        <v>81</v>
      </c>
      <c r="AQ664" s="6" t="s">
        <v>81</v>
      </c>
      <c r="AR664" s="6" t="s">
        <v>81</v>
      </c>
      <c r="AS664" s="6" t="s">
        <v>81</v>
      </c>
      <c r="AT664" s="6" t="s">
        <v>81</v>
      </c>
      <c r="AU664" s="6" t="s">
        <v>81</v>
      </c>
      <c r="AV664" s="6" t="s">
        <v>81</v>
      </c>
      <c r="AW664" s="6" t="s">
        <v>81</v>
      </c>
      <c r="AX664" s="6" t="s">
        <v>21175</v>
      </c>
      <c r="AY664" s="6" t="s">
        <v>22804</v>
      </c>
      <c r="AZ664" s="6" t="s">
        <v>81</v>
      </c>
      <c r="BA664" s="6" t="s">
        <v>23833</v>
      </c>
      <c r="BB664" s="24" t="n">
        <v>2076</v>
      </c>
      <c r="BC664" s="26"/>
      <c r="BD664" s="26"/>
      <c r="BE664" s="26"/>
      <c r="BF664" s="26" t="s">
        <v>23900</v>
      </c>
      <c r="BG664" s="26"/>
      <c r="BH664" s="26"/>
      <c r="BI664" s="26"/>
      <c r="BJ664" s="26"/>
      <c r="BK664" s="26"/>
      <c r="BL664" s="26"/>
      <c r="BM664" s="26"/>
      <c r="BN664" s="26"/>
      <c r="BO664" s="26"/>
      <c r="BP664" s="16" t="n">
        <v>45629</v>
      </c>
      <c r="BQ664" s="28" t="str">
        <f>HYPERLINK("")</f>
      </c>
    </row>
    <row r="665">
      <c r="A665" t="s">
        <v>3</v>
      </c>
      <c r="B665" s="6" t="s">
        <v>7</v>
      </c>
      <c r="C665" s="6" t="s">
        <v>54</v>
      </c>
      <c r="D665" s="6" t="s">
        <v>100</v>
      </c>
      <c r="E665" s="10" t="s">
        <v>806</v>
      </c>
      <c r="F665" s="6" t="s">
        <v>3535</v>
      </c>
      <c r="G665" s="6" t="s">
        <v>81</v>
      </c>
      <c r="H665" s="6" t="s">
        <v>6497</v>
      </c>
      <c r="I665" s="6" t="s">
        <v>8565</v>
      </c>
      <c r="J665" s="6" t="s">
        <v>10008</v>
      </c>
      <c r="K665" s="6" t="s">
        <v>10886</v>
      </c>
      <c r="L665" s="16" t="n">
        <v>41171</v>
      </c>
      <c r="M665" s="16" t="n">
        <v>45716</v>
      </c>
      <c r="N665" s="6" t="s">
        <v>10886</v>
      </c>
      <c r="O665" s="16" t="n">
        <v>41171</v>
      </c>
      <c r="P665" s="6" t="s">
        <v>10910</v>
      </c>
      <c r="Q665" s="6" t="s">
        <v>81</v>
      </c>
      <c r="R665" s="6" t="s">
        <v>81</v>
      </c>
      <c r="S665" s="6" t="s">
        <v>10886</v>
      </c>
      <c r="T665" s="16" t="n">
        <v>41245</v>
      </c>
      <c r="U665" s="6" t="s">
        <v>13169</v>
      </c>
      <c r="V665" s="6" t="s">
        <v>81</v>
      </c>
      <c r="W665" s="6" t="s">
        <v>81</v>
      </c>
      <c r="X665" s="6" t="s">
        <v>81</v>
      </c>
      <c r="Y665" s="21" t="s">
        <v>81</v>
      </c>
      <c r="Z665" s="6" t="s">
        <v>81</v>
      </c>
      <c r="AA665" s="6" t="s">
        <v>81</v>
      </c>
      <c r="AB665" s="6" t="s">
        <v>81</v>
      </c>
      <c r="AC665" s="6" t="s">
        <v>81</v>
      </c>
      <c r="AD665" s="21" t="s">
        <v>81</v>
      </c>
      <c r="AE665" s="6" t="s">
        <v>81</v>
      </c>
      <c r="AF665" s="6" t="s">
        <v>81</v>
      </c>
      <c r="AG665" s="6" t="s">
        <v>81</v>
      </c>
      <c r="AH665" s="6" t="s">
        <v>15252</v>
      </c>
      <c r="AI665" s="6" t="s">
        <v>81</v>
      </c>
      <c r="AJ665" s="6" t="s">
        <v>17701</v>
      </c>
      <c r="AK665" s="6" t="s">
        <v>17712</v>
      </c>
      <c r="AL665" s="6" t="s">
        <v>18444</v>
      </c>
      <c r="AM665" s="6" t="s">
        <v>18867</v>
      </c>
      <c r="AN665" s="6" t="s">
        <v>19653</v>
      </c>
      <c r="AO665" s="6" t="s">
        <v>19744</v>
      </c>
      <c r="AP665" s="6" t="s">
        <v>15252</v>
      </c>
      <c r="AQ665" s="6" t="s">
        <v>81</v>
      </c>
      <c r="AR665" s="6" t="s">
        <v>17701</v>
      </c>
      <c r="AS665" s="6" t="s">
        <v>17712</v>
      </c>
      <c r="AT665" s="6" t="s">
        <v>18444</v>
      </c>
      <c r="AU665" s="6" t="s">
        <v>18867</v>
      </c>
      <c r="AV665" s="6" t="s">
        <v>81</v>
      </c>
      <c r="AW665" s="6" t="s">
        <v>81</v>
      </c>
      <c r="AX665" s="6" t="s">
        <v>21176</v>
      </c>
      <c r="AY665" s="6" t="s">
        <v>22805</v>
      </c>
      <c r="AZ665" s="6" t="s">
        <v>81</v>
      </c>
      <c r="BA665" s="6" t="s">
        <v>81</v>
      </c>
      <c r="BB665" s="24" t="n">
        <v>140</v>
      </c>
      <c r="BC665" s="26"/>
      <c r="BD665" s="26"/>
      <c r="BE665" s="26"/>
      <c r="BF665" s="26" t="s">
        <v>23900</v>
      </c>
      <c r="BG665" s="26"/>
      <c r="BH665" s="26"/>
      <c r="BI665" s="26"/>
      <c r="BJ665" s="26"/>
      <c r="BK665" s="26"/>
      <c r="BL665" s="26"/>
      <c r="BM665" s="26"/>
      <c r="BN665" s="26"/>
      <c r="BO665" s="26"/>
      <c r="BP665" s="16" t="n">
        <v>45595</v>
      </c>
      <c r="BQ665" s="28" t="str">
        <f>HYPERLINK("https://organic.ams.usda.gov/Integrity/Certificate.aspx?cid=57&amp;nopid=3252011066")</f>
        <v>https://organic.ams.usda.gov/Integrity/Certificate.aspx?cid=57&amp;nopid=3252011066</v>
      </c>
    </row>
    <row r="666">
      <c r="A666" t="s">
        <v>3</v>
      </c>
      <c r="B666" s="6" t="s">
        <v>8</v>
      </c>
      <c r="C666" s="6" t="s">
        <v>55</v>
      </c>
      <c r="D666" s="6" t="s">
        <v>101</v>
      </c>
      <c r="E666" s="10" t="s">
        <v>807</v>
      </c>
      <c r="F666" s="6" t="s">
        <v>3536</v>
      </c>
      <c r="G666" s="6" t="s">
        <v>81</v>
      </c>
      <c r="H666" s="6" t="s">
        <v>6498</v>
      </c>
      <c r="I666" s="6" t="s">
        <v>8687</v>
      </c>
      <c r="J666" s="6" t="s">
        <v>10009</v>
      </c>
      <c r="K666" s="6" t="s">
        <v>10886</v>
      </c>
      <c r="L666" s="16" t="n">
        <v>37194</v>
      </c>
      <c r="M666" s="16" t="n">
        <v>45748</v>
      </c>
      <c r="N666" s="6" t="s">
        <v>10886</v>
      </c>
      <c r="O666" s="16" t="n">
        <v>37194</v>
      </c>
      <c r="P666" s="6" t="s">
        <v>11305</v>
      </c>
      <c r="Q666" s="6" t="s">
        <v>81</v>
      </c>
      <c r="R666" s="6" t="s">
        <v>6498</v>
      </c>
      <c r="S666" s="6" t="s">
        <v>10886</v>
      </c>
      <c r="T666" s="16" t="n">
        <v>37194</v>
      </c>
      <c r="U666" s="6" t="s">
        <v>13179</v>
      </c>
      <c r="V666" s="6" t="s">
        <v>81</v>
      </c>
      <c r="W666" s="6" t="s">
        <v>6498</v>
      </c>
      <c r="X666" s="6" t="s">
        <v>81</v>
      </c>
      <c r="Y666" s="21" t="s">
        <v>81</v>
      </c>
      <c r="Z666" s="6" t="s">
        <v>81</v>
      </c>
      <c r="AA666" s="6" t="s">
        <v>81</v>
      </c>
      <c r="AB666" s="6" t="s">
        <v>81</v>
      </c>
      <c r="AC666" s="6" t="s">
        <v>81</v>
      </c>
      <c r="AD666" s="21" t="s">
        <v>81</v>
      </c>
      <c r="AE666" s="6" t="s">
        <v>81</v>
      </c>
      <c r="AF666" s="6" t="s">
        <v>81</v>
      </c>
      <c r="AG666" s="6" t="s">
        <v>81</v>
      </c>
      <c r="AH666" s="6" t="s">
        <v>15253</v>
      </c>
      <c r="AI666" s="6" t="s">
        <v>81</v>
      </c>
      <c r="AJ666" s="6" t="s">
        <v>17702</v>
      </c>
      <c r="AK666" s="6" t="s">
        <v>18377</v>
      </c>
      <c r="AL666" s="6" t="s">
        <v>18444</v>
      </c>
      <c r="AM666" s="6" t="s">
        <v>18868</v>
      </c>
      <c r="AN666" s="6" t="s">
        <v>19664</v>
      </c>
      <c r="AO666" s="6" t="s">
        <v>19767</v>
      </c>
      <c r="AP666" s="6" t="s">
        <v>81</v>
      </c>
      <c r="AQ666" s="6" t="s">
        <v>81</v>
      </c>
      <c r="AR666" s="6" t="s">
        <v>81</v>
      </c>
      <c r="AS666" s="6" t="s">
        <v>81</v>
      </c>
      <c r="AT666" s="6" t="s">
        <v>81</v>
      </c>
      <c r="AU666" s="6" t="s">
        <v>81</v>
      </c>
      <c r="AV666" s="6" t="s">
        <v>81</v>
      </c>
      <c r="AW666" s="6" t="s">
        <v>81</v>
      </c>
      <c r="AX666" s="6" t="s">
        <v>81</v>
      </c>
      <c r="AY666" s="6" t="s">
        <v>22806</v>
      </c>
      <c r="AZ666" s="6" t="s">
        <v>81</v>
      </c>
      <c r="BA666" s="6" t="s">
        <v>23819</v>
      </c>
      <c r="BB666" s="24" t="n">
        <v>482</v>
      </c>
      <c r="BC666" s="26"/>
      <c r="BD666" s="26"/>
      <c r="BE666" s="26"/>
      <c r="BF666" s="26" t="s">
        <v>23900</v>
      </c>
      <c r="BG666" s="26"/>
      <c r="BH666" s="26"/>
      <c r="BI666" s="26"/>
      <c r="BJ666" s="26"/>
      <c r="BK666" s="26"/>
      <c r="BL666" s="26"/>
      <c r="BM666" s="26"/>
      <c r="BN666" s="26"/>
      <c r="BO666" s="26"/>
      <c r="BP666" s="16" t="n">
        <v>45660</v>
      </c>
      <c r="BQ666" s="28" t="str">
        <f>HYPERLINK("https://organic.ams.usda.gov/Integrity/Certificate.aspx?cid=45&amp;nopid=9950000802")</f>
        <v>https://organic.ams.usda.gov/Integrity/Certificate.aspx?cid=45&amp;nopid=9950000802</v>
      </c>
    </row>
    <row r="667">
      <c r="A667" t="s">
        <v>3</v>
      </c>
      <c r="B667" s="6" t="s">
        <v>23</v>
      </c>
      <c r="C667" s="6" t="s">
        <v>70</v>
      </c>
      <c r="D667" s="6" t="s">
        <v>116</v>
      </c>
      <c r="E667" s="10" t="s">
        <v>808</v>
      </c>
      <c r="F667" s="6" t="s">
        <v>3537</v>
      </c>
      <c r="G667" s="6" t="s">
        <v>81</v>
      </c>
      <c r="H667" s="6" t="s">
        <v>6499</v>
      </c>
      <c r="I667" s="6" t="s">
        <v>8793</v>
      </c>
      <c r="J667" s="6" t="s">
        <v>10010</v>
      </c>
      <c r="K667" s="6" t="s">
        <v>10886</v>
      </c>
      <c r="L667" s="16" t="n">
        <v>44993</v>
      </c>
      <c r="M667" s="16" t="n">
        <v>45722</v>
      </c>
      <c r="N667" s="6" t="s">
        <v>10886</v>
      </c>
      <c r="O667" s="16" t="n">
        <v>44993</v>
      </c>
      <c r="P667" s="6" t="s">
        <v>11306</v>
      </c>
      <c r="Q667" s="6" t="s">
        <v>81</v>
      </c>
      <c r="R667" s="6" t="s">
        <v>12611</v>
      </c>
      <c r="S667" s="6" t="s">
        <v>10886</v>
      </c>
      <c r="T667" s="16" t="n">
        <v>44993</v>
      </c>
      <c r="U667" s="6" t="s">
        <v>81</v>
      </c>
      <c r="V667" s="6" t="s">
        <v>81</v>
      </c>
      <c r="W667" s="6" t="s">
        <v>81</v>
      </c>
      <c r="X667" s="6" t="s">
        <v>81</v>
      </c>
      <c r="Y667" s="21" t="s">
        <v>81</v>
      </c>
      <c r="Z667" s="6" t="s">
        <v>81</v>
      </c>
      <c r="AA667" s="6" t="s">
        <v>81</v>
      </c>
      <c r="AB667" s="6" t="s">
        <v>81</v>
      </c>
      <c r="AC667" s="6" t="s">
        <v>81</v>
      </c>
      <c r="AD667" s="21" t="s">
        <v>81</v>
      </c>
      <c r="AE667" s="6" t="s">
        <v>81</v>
      </c>
      <c r="AF667" s="6" t="s">
        <v>81</v>
      </c>
      <c r="AG667" s="6" t="s">
        <v>81</v>
      </c>
      <c r="AH667" s="6" t="s">
        <v>81</v>
      </c>
      <c r="AI667" s="6" t="s">
        <v>81</v>
      </c>
      <c r="AJ667" s="6" t="s">
        <v>81</v>
      </c>
      <c r="AK667" s="6" t="s">
        <v>81</v>
      </c>
      <c r="AL667" s="6" t="s">
        <v>81</v>
      </c>
      <c r="AM667" s="6" t="s">
        <v>81</v>
      </c>
      <c r="AN667" s="6" t="s">
        <v>81</v>
      </c>
      <c r="AO667" s="6" t="s">
        <v>81</v>
      </c>
      <c r="AP667" s="6" t="s">
        <v>20186</v>
      </c>
      <c r="AQ667" s="6" t="s">
        <v>81</v>
      </c>
      <c r="AR667" s="6" t="s">
        <v>17901</v>
      </c>
      <c r="AS667" s="6" t="s">
        <v>18386</v>
      </c>
      <c r="AT667" s="6" t="s">
        <v>18444</v>
      </c>
      <c r="AU667" s="6" t="s">
        <v>19573</v>
      </c>
      <c r="AV667" s="6" t="s">
        <v>19651</v>
      </c>
      <c r="AW667" s="6" t="s">
        <v>19864</v>
      </c>
      <c r="AX667" s="6" t="s">
        <v>21177</v>
      </c>
      <c r="AY667" s="6" t="s">
        <v>22807</v>
      </c>
      <c r="AZ667" s="6" t="s">
        <v>81</v>
      </c>
      <c r="BA667" s="6" t="s">
        <v>81</v>
      </c>
      <c r="BB667" s="24" t="n">
        <v>145</v>
      </c>
      <c r="BC667" s="26"/>
      <c r="BD667" s="26"/>
      <c r="BE667" s="26"/>
      <c r="BF667" s="26"/>
      <c r="BG667" s="26"/>
      <c r="BH667" s="26"/>
      <c r="BI667" s="26"/>
      <c r="BJ667" s="26"/>
      <c r="BK667" s="26"/>
      <c r="BL667" s="26"/>
      <c r="BM667" s="26"/>
      <c r="BN667" s="26"/>
      <c r="BO667" s="26"/>
      <c r="BP667" s="16" t="n">
        <v>45370</v>
      </c>
      <c r="BQ667" s="28" t="str">
        <f>HYPERLINK("https://organic.ams.usda.gov/Integrity/Certificate.aspx?cid=63&amp;nopid=6220007865")</f>
        <v>https://organic.ams.usda.gov/Integrity/Certificate.aspx?cid=63&amp;nopid=6220007865</v>
      </c>
    </row>
    <row r="668">
      <c r="A668" t="s">
        <v>3</v>
      </c>
      <c r="B668" s="6" t="s">
        <v>8</v>
      </c>
      <c r="C668" s="6" t="s">
        <v>55</v>
      </c>
      <c r="D668" s="6" t="s">
        <v>101</v>
      </c>
      <c r="E668" s="10" t="s">
        <v>809</v>
      </c>
      <c r="F668" s="6" t="s">
        <v>3538</v>
      </c>
      <c r="G668" s="6" t="s">
        <v>81</v>
      </c>
      <c r="H668" s="6" t="s">
        <v>6500</v>
      </c>
      <c r="I668" s="6" t="s">
        <v>8794</v>
      </c>
      <c r="J668" s="6" t="s">
        <v>10011</v>
      </c>
      <c r="K668" s="6" t="s">
        <v>10886</v>
      </c>
      <c r="L668" s="16" t="n">
        <v>37282</v>
      </c>
      <c r="M668" s="16" t="n">
        <v>45383</v>
      </c>
      <c r="N668" s="6" t="s">
        <v>10886</v>
      </c>
      <c r="O668" s="16" t="n">
        <v>37282</v>
      </c>
      <c r="P668" s="6" t="s">
        <v>11307</v>
      </c>
      <c r="Q668" s="6" t="s">
        <v>81</v>
      </c>
      <c r="R668" s="6" t="s">
        <v>6500</v>
      </c>
      <c r="S668" s="6" t="s">
        <v>10886</v>
      </c>
      <c r="T668" s="16" t="n">
        <v>37282</v>
      </c>
      <c r="U668" s="6" t="s">
        <v>13414</v>
      </c>
      <c r="V668" s="6" t="s">
        <v>81</v>
      </c>
      <c r="W668" s="6" t="s">
        <v>6500</v>
      </c>
      <c r="X668" s="6" t="s">
        <v>81</v>
      </c>
      <c r="Y668" s="21" t="s">
        <v>81</v>
      </c>
      <c r="Z668" s="6" t="s">
        <v>81</v>
      </c>
      <c r="AA668" s="6" t="s">
        <v>81</v>
      </c>
      <c r="AB668" s="6" t="s">
        <v>81</v>
      </c>
      <c r="AC668" s="6" t="s">
        <v>81</v>
      </c>
      <c r="AD668" s="21" t="s">
        <v>81</v>
      </c>
      <c r="AE668" s="6" t="s">
        <v>81</v>
      </c>
      <c r="AF668" s="6" t="s">
        <v>81</v>
      </c>
      <c r="AG668" s="6" t="s">
        <v>81</v>
      </c>
      <c r="AH668" s="6" t="s">
        <v>15254</v>
      </c>
      <c r="AI668" s="6" t="s">
        <v>81</v>
      </c>
      <c r="AJ668" s="6" t="s">
        <v>17703</v>
      </c>
      <c r="AK668" s="6" t="s">
        <v>18381</v>
      </c>
      <c r="AL668" s="6" t="s">
        <v>18444</v>
      </c>
      <c r="AM668" s="6" t="s">
        <v>18869</v>
      </c>
      <c r="AN668" s="6" t="s">
        <v>19658</v>
      </c>
      <c r="AO668" s="6" t="s">
        <v>19752</v>
      </c>
      <c r="AP668" s="6" t="s">
        <v>81</v>
      </c>
      <c r="AQ668" s="6" t="s">
        <v>81</v>
      </c>
      <c r="AR668" s="6" t="s">
        <v>81</v>
      </c>
      <c r="AS668" s="6" t="s">
        <v>81</v>
      </c>
      <c r="AT668" s="6" t="s">
        <v>81</v>
      </c>
      <c r="AU668" s="6" t="s">
        <v>81</v>
      </c>
      <c r="AV668" s="6" t="s">
        <v>81</v>
      </c>
      <c r="AW668" s="6" t="s">
        <v>81</v>
      </c>
      <c r="AX668" s="6" t="s">
        <v>81</v>
      </c>
      <c r="AY668" s="6" t="s">
        <v>22808</v>
      </c>
      <c r="AZ668" s="6" t="s">
        <v>81</v>
      </c>
      <c r="BA668" s="6" t="s">
        <v>23819</v>
      </c>
      <c r="BB668" s="24" t="n">
        <v>266</v>
      </c>
      <c r="BC668" s="26"/>
      <c r="BD668" s="26"/>
      <c r="BE668" s="26"/>
      <c r="BF668" s="26"/>
      <c r="BG668" s="26"/>
      <c r="BH668" s="26"/>
      <c r="BI668" s="26"/>
      <c r="BJ668" s="26"/>
      <c r="BK668" s="26"/>
      <c r="BL668" s="26"/>
      <c r="BM668" s="26"/>
      <c r="BN668" s="26"/>
      <c r="BO668" s="26"/>
      <c r="BP668" s="16" t="n">
        <v>45483</v>
      </c>
      <c r="BQ668" s="28" t="str">
        <f>HYPERLINK("https://organic.ams.usda.gov/Integrity/Certificate.aspx?cid=45&amp;nopid=9950000841")</f>
        <v>https://organic.ams.usda.gov/Integrity/Certificate.aspx?cid=45&amp;nopid=9950000841</v>
      </c>
    </row>
    <row r="669">
      <c r="A669" t="s">
        <v>3</v>
      </c>
      <c r="B669" s="6" t="s">
        <v>12</v>
      </c>
      <c r="C669" s="6" t="s">
        <v>59</v>
      </c>
      <c r="D669" s="6" t="s">
        <v>105</v>
      </c>
      <c r="E669" s="10" t="s">
        <v>810</v>
      </c>
      <c r="F669" s="6" t="s">
        <v>3539</v>
      </c>
      <c r="G669" s="6" t="s">
        <v>81</v>
      </c>
      <c r="H669" s="6" t="s">
        <v>6501</v>
      </c>
      <c r="I669" s="6" t="s">
        <v>8529</v>
      </c>
      <c r="J669" s="6" t="s">
        <v>10012</v>
      </c>
      <c r="K669" s="6" t="s">
        <v>10886</v>
      </c>
      <c r="L669" s="16" t="n">
        <v>43007</v>
      </c>
      <c r="M669" s="16" t="n">
        <v>45717</v>
      </c>
      <c r="N669" s="6" t="s">
        <v>10886</v>
      </c>
      <c r="O669" s="16" t="n">
        <v>43007</v>
      </c>
      <c r="P669" s="6" t="s">
        <v>10910</v>
      </c>
      <c r="Q669" s="6" t="s">
        <v>81</v>
      </c>
      <c r="R669" s="6" t="s">
        <v>81</v>
      </c>
      <c r="S669" s="6" t="s">
        <v>10886</v>
      </c>
      <c r="T669" s="16" t="n">
        <v>43007</v>
      </c>
      <c r="U669" s="6" t="s">
        <v>13415</v>
      </c>
      <c r="V669" s="6" t="s">
        <v>81</v>
      </c>
      <c r="W669" s="6" t="s">
        <v>81</v>
      </c>
      <c r="X669" s="6" t="s">
        <v>81</v>
      </c>
      <c r="Y669" s="21" t="s">
        <v>81</v>
      </c>
      <c r="Z669" s="6" t="s">
        <v>81</v>
      </c>
      <c r="AA669" s="6" t="s">
        <v>81</v>
      </c>
      <c r="AB669" s="6" t="s">
        <v>81</v>
      </c>
      <c r="AC669" s="6" t="s">
        <v>81</v>
      </c>
      <c r="AD669" s="21" t="s">
        <v>81</v>
      </c>
      <c r="AE669" s="6" t="s">
        <v>81</v>
      </c>
      <c r="AF669" s="6" t="s">
        <v>81</v>
      </c>
      <c r="AG669" s="6" t="s">
        <v>81</v>
      </c>
      <c r="AH669" s="6" t="s">
        <v>15255</v>
      </c>
      <c r="AI669" s="6" t="s">
        <v>81</v>
      </c>
      <c r="AJ669" s="6" t="s">
        <v>17704</v>
      </c>
      <c r="AK669" s="6" t="s">
        <v>17712</v>
      </c>
      <c r="AL669" s="6" t="s">
        <v>18444</v>
      </c>
      <c r="AM669" s="6" t="s">
        <v>18870</v>
      </c>
      <c r="AN669" s="6" t="s">
        <v>19683</v>
      </c>
      <c r="AO669" s="6" t="s">
        <v>19868</v>
      </c>
      <c r="AP669" s="6" t="s">
        <v>15255</v>
      </c>
      <c r="AQ669" s="6" t="s">
        <v>81</v>
      </c>
      <c r="AR669" s="6" t="s">
        <v>17704</v>
      </c>
      <c r="AS669" s="6" t="s">
        <v>17712</v>
      </c>
      <c r="AT669" s="6" t="s">
        <v>18444</v>
      </c>
      <c r="AU669" s="6" t="s">
        <v>18870</v>
      </c>
      <c r="AV669" s="6" t="s">
        <v>81</v>
      </c>
      <c r="AW669" s="6" t="s">
        <v>81</v>
      </c>
      <c r="AX669" s="6" t="s">
        <v>81</v>
      </c>
      <c r="AY669" s="6" t="s">
        <v>81</v>
      </c>
      <c r="AZ669" s="6" t="s">
        <v>81</v>
      </c>
      <c r="BA669" s="6" t="s">
        <v>81</v>
      </c>
      <c r="BB669" s="24" t="n">
        <v>109</v>
      </c>
      <c r="BC669" s="26"/>
      <c r="BD669" s="26"/>
      <c r="BE669" s="26"/>
      <c r="BF669" s="26"/>
      <c r="BG669" s="26"/>
      <c r="BH669" s="26"/>
      <c r="BI669" s="26"/>
      <c r="BJ669" s="26"/>
      <c r="BK669" s="26"/>
      <c r="BL669" s="26"/>
      <c r="BM669" s="26"/>
      <c r="BN669" s="26"/>
      <c r="BO669" s="26"/>
      <c r="BP669" s="16" t="n">
        <v>45686</v>
      </c>
      <c r="BQ669" s="28" t="str">
        <f>HYPERLINK("https://organic.ams.usda.gov/Integrity/Certificate.aspx?cid=68&amp;nopid=8210004180")</f>
        <v>https://organic.ams.usda.gov/Integrity/Certificate.aspx?cid=68&amp;nopid=8210004180</v>
      </c>
    </row>
    <row r="670">
      <c r="A670" t="s">
        <v>3</v>
      </c>
      <c r="B670" s="6" t="s">
        <v>8</v>
      </c>
      <c r="C670" s="6" t="s">
        <v>55</v>
      </c>
      <c r="D670" s="6" t="s">
        <v>101</v>
      </c>
      <c r="E670" s="10" t="s">
        <v>811</v>
      </c>
      <c r="F670" s="6" t="s">
        <v>3540</v>
      </c>
      <c r="G670" s="6" t="s">
        <v>81</v>
      </c>
      <c r="H670" s="6" t="s">
        <v>6502</v>
      </c>
      <c r="I670" s="6" t="s">
        <v>8795</v>
      </c>
      <c r="J670" s="6" t="s">
        <v>10013</v>
      </c>
      <c r="K670" s="6" t="s">
        <v>10886</v>
      </c>
      <c r="L670" s="16" t="n">
        <v>41200</v>
      </c>
      <c r="M670" s="16" t="n">
        <v>45383</v>
      </c>
      <c r="N670" s="6" t="s">
        <v>10886</v>
      </c>
      <c r="O670" s="16" t="n">
        <v>41200</v>
      </c>
      <c r="P670" s="6" t="s">
        <v>11308</v>
      </c>
      <c r="Q670" s="6" t="s">
        <v>81</v>
      </c>
      <c r="R670" s="6" t="s">
        <v>6502</v>
      </c>
      <c r="S670" s="6" t="s">
        <v>10886</v>
      </c>
      <c r="T670" s="16" t="n">
        <v>44860</v>
      </c>
      <c r="U670" s="6" t="s">
        <v>13242</v>
      </c>
      <c r="V670" s="6" t="s">
        <v>81</v>
      </c>
      <c r="W670" s="6" t="s">
        <v>6502</v>
      </c>
      <c r="X670" s="6" t="s">
        <v>81</v>
      </c>
      <c r="Y670" s="21" t="s">
        <v>81</v>
      </c>
      <c r="Z670" s="6" t="s">
        <v>81</v>
      </c>
      <c r="AA670" s="6" t="s">
        <v>81</v>
      </c>
      <c r="AB670" s="6" t="s">
        <v>81</v>
      </c>
      <c r="AC670" s="6" t="s">
        <v>81</v>
      </c>
      <c r="AD670" s="21" t="s">
        <v>81</v>
      </c>
      <c r="AE670" s="6" t="s">
        <v>81</v>
      </c>
      <c r="AF670" s="6" t="s">
        <v>81</v>
      </c>
      <c r="AG670" s="6" t="s">
        <v>81</v>
      </c>
      <c r="AH670" s="6" t="s">
        <v>15256</v>
      </c>
      <c r="AI670" s="6" t="s">
        <v>81</v>
      </c>
      <c r="AJ670" s="6" t="s">
        <v>17705</v>
      </c>
      <c r="AK670" s="6" t="s">
        <v>18377</v>
      </c>
      <c r="AL670" s="6" t="s">
        <v>18444</v>
      </c>
      <c r="AM670" s="6" t="s">
        <v>18871</v>
      </c>
      <c r="AN670" s="6" t="s">
        <v>19690</v>
      </c>
      <c r="AO670" s="6" t="s">
        <v>19849</v>
      </c>
      <c r="AP670" s="6" t="s">
        <v>81</v>
      </c>
      <c r="AQ670" s="6" t="s">
        <v>81</v>
      </c>
      <c r="AR670" s="6" t="s">
        <v>81</v>
      </c>
      <c r="AS670" s="6" t="s">
        <v>81</v>
      </c>
      <c r="AT670" s="6" t="s">
        <v>81</v>
      </c>
      <c r="AU670" s="6" t="s">
        <v>81</v>
      </c>
      <c r="AV670" s="6" t="s">
        <v>81</v>
      </c>
      <c r="AW670" s="6" t="s">
        <v>81</v>
      </c>
      <c r="AX670" s="6" t="s">
        <v>81</v>
      </c>
      <c r="AY670" s="6" t="s">
        <v>22809</v>
      </c>
      <c r="AZ670" s="6" t="s">
        <v>81</v>
      </c>
      <c r="BA670" s="6" t="s">
        <v>23819</v>
      </c>
      <c r="BB670" s="24" t="n">
        <v>441</v>
      </c>
      <c r="BC670" s="26"/>
      <c r="BD670" s="26"/>
      <c r="BE670" s="26"/>
      <c r="BF670" s="26" t="s">
        <v>23900</v>
      </c>
      <c r="BG670" s="26"/>
      <c r="BH670" s="26"/>
      <c r="BI670" s="26"/>
      <c r="BJ670" s="26"/>
      <c r="BK670" s="26"/>
      <c r="BL670" s="26"/>
      <c r="BM670" s="26"/>
      <c r="BN670" s="26"/>
      <c r="BO670" s="26"/>
      <c r="BP670" s="16" t="n">
        <v>45420</v>
      </c>
      <c r="BQ670" s="28" t="str">
        <f>HYPERLINK("https://organic.ams.usda.gov/Integrity/Certificate.aspx?cid=45&amp;nopid=9950004870")</f>
        <v>https://organic.ams.usda.gov/Integrity/Certificate.aspx?cid=45&amp;nopid=9950004870</v>
      </c>
    </row>
    <row r="671">
      <c r="A671" t="s">
        <v>3</v>
      </c>
      <c r="B671" s="6" t="s">
        <v>13</v>
      </c>
      <c r="C671" s="6" t="s">
        <v>60</v>
      </c>
      <c r="D671" s="6" t="s">
        <v>106</v>
      </c>
      <c r="E671" s="10" t="s">
        <v>812</v>
      </c>
      <c r="F671" s="6" t="s">
        <v>3541</v>
      </c>
      <c r="G671" s="6" t="s">
        <v>81</v>
      </c>
      <c r="H671" s="6" t="s">
        <v>6503</v>
      </c>
      <c r="I671" s="6" t="s">
        <v>8781</v>
      </c>
      <c r="J671" s="6" t="s">
        <v>9742</v>
      </c>
      <c r="K671" s="6" t="s">
        <v>10886</v>
      </c>
      <c r="L671" s="16" t="n">
        <v>41194</v>
      </c>
      <c r="M671" s="16" t="n">
        <v>45992</v>
      </c>
      <c r="N671" s="6" t="s">
        <v>10886</v>
      </c>
      <c r="O671" s="16" t="n">
        <v>41194</v>
      </c>
      <c r="P671" s="6" t="s">
        <v>11309</v>
      </c>
      <c r="Q671" s="6" t="s">
        <v>81</v>
      </c>
      <c r="R671" s="6" t="s">
        <v>12612</v>
      </c>
      <c r="S671" s="6" t="s">
        <v>10886</v>
      </c>
      <c r="T671" s="16" t="n">
        <v>41194</v>
      </c>
      <c r="U671" s="6" t="s">
        <v>13416</v>
      </c>
      <c r="V671" s="6" t="s">
        <v>81</v>
      </c>
      <c r="W671" s="6" t="s">
        <v>12612</v>
      </c>
      <c r="X671" s="6" t="s">
        <v>81</v>
      </c>
      <c r="Y671" s="21" t="s">
        <v>81</v>
      </c>
      <c r="Z671" s="6" t="s">
        <v>81</v>
      </c>
      <c r="AA671" s="6" t="s">
        <v>81</v>
      </c>
      <c r="AB671" s="6" t="s">
        <v>81</v>
      </c>
      <c r="AC671" s="6" t="s">
        <v>81</v>
      </c>
      <c r="AD671" s="21" t="s">
        <v>81</v>
      </c>
      <c r="AE671" s="6" t="s">
        <v>81</v>
      </c>
      <c r="AF671" s="6" t="s">
        <v>81</v>
      </c>
      <c r="AG671" s="6" t="s">
        <v>81</v>
      </c>
      <c r="AH671" s="6" t="s">
        <v>15257</v>
      </c>
      <c r="AI671" s="6" t="s">
        <v>81</v>
      </c>
      <c r="AJ671" s="6" t="s">
        <v>17635</v>
      </c>
      <c r="AK671" s="6" t="s">
        <v>18379</v>
      </c>
      <c r="AL671" s="6" t="s">
        <v>18444</v>
      </c>
      <c r="AM671" s="6" t="s">
        <v>18804</v>
      </c>
      <c r="AN671" s="6" t="s">
        <v>19637</v>
      </c>
      <c r="AO671" s="6" t="s">
        <v>19723</v>
      </c>
      <c r="AP671" s="6" t="s">
        <v>15257</v>
      </c>
      <c r="AQ671" s="6" t="s">
        <v>81</v>
      </c>
      <c r="AR671" s="6" t="s">
        <v>17635</v>
      </c>
      <c r="AS671" s="6" t="s">
        <v>18379</v>
      </c>
      <c r="AT671" s="6" t="s">
        <v>18444</v>
      </c>
      <c r="AU671" s="6" t="s">
        <v>18804</v>
      </c>
      <c r="AV671" s="6" t="s">
        <v>81</v>
      </c>
      <c r="AW671" s="6" t="s">
        <v>81</v>
      </c>
      <c r="AX671" s="6" t="s">
        <v>21178</v>
      </c>
      <c r="AY671" s="6" t="s">
        <v>81</v>
      </c>
      <c r="AZ671" s="6" t="s">
        <v>81</v>
      </c>
      <c r="BA671" s="6" t="s">
        <v>81</v>
      </c>
      <c r="BB671" s="24" t="n">
        <v>83</v>
      </c>
      <c r="BC671" s="26"/>
      <c r="BD671" s="26"/>
      <c r="BE671" s="26"/>
      <c r="BF671" s="26" t="s">
        <v>23900</v>
      </c>
      <c r="BG671" s="26"/>
      <c r="BH671" s="26"/>
      <c r="BI671" s="26"/>
      <c r="BJ671" s="26"/>
      <c r="BK671" s="26"/>
      <c r="BL671" s="26"/>
      <c r="BM671" s="26"/>
      <c r="BN671" s="26"/>
      <c r="BO671" s="26"/>
      <c r="BP671" s="16" t="n">
        <v>45663</v>
      </c>
      <c r="BQ671" s="28" t="str">
        <f>HYPERLINK("https://organic.ams.usda.gov/Integrity/Certificate.aspx?cid=72&amp;nopid=5870001434")</f>
        <v>https://organic.ams.usda.gov/Integrity/Certificate.aspx?cid=72&amp;nopid=5870001434</v>
      </c>
    </row>
    <row r="672">
      <c r="A672" t="s">
        <v>3</v>
      </c>
      <c r="B672" s="6" t="s">
        <v>25</v>
      </c>
      <c r="C672" s="6" t="s">
        <v>72</v>
      </c>
      <c r="D672" s="6" t="s">
        <v>118</v>
      </c>
      <c r="E672" s="10" t="s">
        <v>813</v>
      </c>
      <c r="F672" s="6" t="s">
        <v>3542</v>
      </c>
      <c r="G672" s="6" t="s">
        <v>81</v>
      </c>
      <c r="H672" s="6" t="s">
        <v>6504</v>
      </c>
      <c r="I672" s="6" t="s">
        <v>8796</v>
      </c>
      <c r="J672" s="6" t="s">
        <v>10014</v>
      </c>
      <c r="K672" s="6" t="s">
        <v>10886</v>
      </c>
      <c r="L672" s="16" t="n">
        <v>42207</v>
      </c>
      <c r="M672" s="16" t="n">
        <v>46023</v>
      </c>
      <c r="N672" s="6" t="s">
        <v>10886</v>
      </c>
      <c r="O672" s="16" t="n">
        <v>42207</v>
      </c>
      <c r="P672" s="6" t="s">
        <v>11310</v>
      </c>
      <c r="Q672" s="6" t="s">
        <v>81</v>
      </c>
      <c r="R672" s="6" t="s">
        <v>81</v>
      </c>
      <c r="S672" s="6" t="s">
        <v>10886</v>
      </c>
      <c r="T672" s="16" t="n">
        <v>42559</v>
      </c>
      <c r="U672" s="6" t="s">
        <v>13417</v>
      </c>
      <c r="V672" s="6" t="s">
        <v>81</v>
      </c>
      <c r="W672" s="6" t="s">
        <v>81</v>
      </c>
      <c r="X672" s="6" t="s">
        <v>81</v>
      </c>
      <c r="Y672" s="21" t="s">
        <v>81</v>
      </c>
      <c r="Z672" s="6" t="s">
        <v>81</v>
      </c>
      <c r="AA672" s="6" t="s">
        <v>81</v>
      </c>
      <c r="AB672" s="6" t="s">
        <v>81</v>
      </c>
      <c r="AC672" s="6" t="s">
        <v>10886</v>
      </c>
      <c r="AD672" s="16" t="n">
        <v>44734</v>
      </c>
      <c r="AE672" s="6" t="s">
        <v>14081</v>
      </c>
      <c r="AF672" s="6" t="s">
        <v>81</v>
      </c>
      <c r="AG672" s="6" t="s">
        <v>81</v>
      </c>
      <c r="AH672" s="6" t="s">
        <v>15258</v>
      </c>
      <c r="AI672" s="6" t="s">
        <v>81</v>
      </c>
      <c r="AJ672" s="6" t="s">
        <v>17421</v>
      </c>
      <c r="AK672" s="6" t="s">
        <v>18386</v>
      </c>
      <c r="AL672" s="6" t="s">
        <v>18444</v>
      </c>
      <c r="AM672" s="6" t="s">
        <v>18872</v>
      </c>
      <c r="AN672" s="6" t="s">
        <v>19672</v>
      </c>
      <c r="AO672" s="6" t="s">
        <v>19787</v>
      </c>
      <c r="AP672" s="6" t="s">
        <v>15258</v>
      </c>
      <c r="AQ672" s="6" t="s">
        <v>81</v>
      </c>
      <c r="AR672" s="6" t="s">
        <v>17421</v>
      </c>
      <c r="AS672" s="6" t="s">
        <v>18386</v>
      </c>
      <c r="AT672" s="6" t="s">
        <v>18444</v>
      </c>
      <c r="AU672" s="6" t="s">
        <v>18872</v>
      </c>
      <c r="AV672" s="6" t="s">
        <v>81</v>
      </c>
      <c r="AW672" s="6" t="s">
        <v>81</v>
      </c>
      <c r="AX672" s="6" t="s">
        <v>21179</v>
      </c>
      <c r="AY672" s="6" t="s">
        <v>22810</v>
      </c>
      <c r="AZ672" s="6" t="s">
        <v>81</v>
      </c>
      <c r="BA672" s="6" t="s">
        <v>81</v>
      </c>
      <c r="BB672" s="24" t="n">
        <v>439</v>
      </c>
      <c r="BC672" s="26"/>
      <c r="BD672" s="26"/>
      <c r="BE672" s="26"/>
      <c r="BF672" s="26"/>
      <c r="BG672" s="26"/>
      <c r="BH672" s="26"/>
      <c r="BI672" s="26"/>
      <c r="BJ672" s="26"/>
      <c r="BK672" s="26"/>
      <c r="BL672" s="26"/>
      <c r="BM672" s="26"/>
      <c r="BN672" s="26"/>
      <c r="BO672" s="26"/>
      <c r="BP672" s="16" t="n">
        <v>45667</v>
      </c>
      <c r="BQ672" s="28" t="str">
        <f>HYPERLINK("https://organic.ams.usda.gov/Integrity/Certificate.aspx?cid=15&amp;nopid=5561001462")</f>
        <v>https://organic.ams.usda.gov/Integrity/Certificate.aspx?cid=15&amp;nopid=5561001462</v>
      </c>
    </row>
    <row r="673">
      <c r="A673" t="s">
        <v>3</v>
      </c>
      <c r="B673" s="6" t="s">
        <v>24</v>
      </c>
      <c r="C673" s="6" t="s">
        <v>71</v>
      </c>
      <c r="D673" s="6" t="s">
        <v>117</v>
      </c>
      <c r="E673" s="10" t="s">
        <v>814</v>
      </c>
      <c r="F673" s="6" t="s">
        <v>3543</v>
      </c>
      <c r="G673" s="6" t="s">
        <v>81</v>
      </c>
      <c r="H673" s="6" t="s">
        <v>81</v>
      </c>
      <c r="I673" s="6" t="s">
        <v>8797</v>
      </c>
      <c r="J673" s="6" t="s">
        <v>10015</v>
      </c>
      <c r="K673" s="6" t="s">
        <v>10886</v>
      </c>
      <c r="L673" s="16" t="n">
        <v>44378</v>
      </c>
      <c r="M673" s="16" t="n">
        <v>45809</v>
      </c>
      <c r="N673" s="6" t="s">
        <v>10886</v>
      </c>
      <c r="O673" s="16" t="n">
        <v>44378</v>
      </c>
      <c r="P673" s="6" t="s">
        <v>11311</v>
      </c>
      <c r="Q673" s="6" t="s">
        <v>81</v>
      </c>
      <c r="R673" s="6" t="s">
        <v>12613</v>
      </c>
      <c r="S673" s="6" t="s">
        <v>10886</v>
      </c>
      <c r="T673" s="16" t="n">
        <v>44378</v>
      </c>
      <c r="U673" s="6" t="s">
        <v>13418</v>
      </c>
      <c r="V673" s="6" t="s">
        <v>81</v>
      </c>
      <c r="W673" s="6" t="s">
        <v>81</v>
      </c>
      <c r="X673" s="6" t="s">
        <v>81</v>
      </c>
      <c r="Y673" s="21" t="s">
        <v>81</v>
      </c>
      <c r="Z673" s="6" t="s">
        <v>81</v>
      </c>
      <c r="AA673" s="6" t="s">
        <v>81</v>
      </c>
      <c r="AB673" s="6" t="s">
        <v>81</v>
      </c>
      <c r="AC673" s="6" t="s">
        <v>10886</v>
      </c>
      <c r="AD673" s="16" t="n">
        <v>44378</v>
      </c>
      <c r="AE673" s="6" t="s">
        <v>14140</v>
      </c>
      <c r="AF673" s="6" t="s">
        <v>81</v>
      </c>
      <c r="AG673" s="6" t="s">
        <v>12613</v>
      </c>
      <c r="AH673" s="6" t="s">
        <v>15259</v>
      </c>
      <c r="AI673" s="6" t="s">
        <v>81</v>
      </c>
      <c r="AJ673" s="6" t="s">
        <v>17706</v>
      </c>
      <c r="AK673" s="6" t="s">
        <v>18412</v>
      </c>
      <c r="AL673" s="6" t="s">
        <v>18444</v>
      </c>
      <c r="AM673" s="6" t="s">
        <v>18873</v>
      </c>
      <c r="AN673" s="6" t="s">
        <v>19673</v>
      </c>
      <c r="AO673" s="6" t="s">
        <v>19906</v>
      </c>
      <c r="AP673" s="6" t="s">
        <v>20187</v>
      </c>
      <c r="AQ673" s="6" t="s">
        <v>81</v>
      </c>
      <c r="AR673" s="6" t="s">
        <v>17706</v>
      </c>
      <c r="AS673" s="6" t="s">
        <v>18412</v>
      </c>
      <c r="AT673" s="6" t="s">
        <v>18444</v>
      </c>
      <c r="AU673" s="6" t="s">
        <v>18873</v>
      </c>
      <c r="AV673" s="6" t="s">
        <v>81</v>
      </c>
      <c r="AW673" s="6" t="s">
        <v>81</v>
      </c>
      <c r="AX673" s="6" t="s">
        <v>81</v>
      </c>
      <c r="AY673" s="6" t="s">
        <v>22811</v>
      </c>
      <c r="AZ673" s="6" t="s">
        <v>81</v>
      </c>
      <c r="BA673" s="6" t="s">
        <v>81</v>
      </c>
      <c r="BB673" s="24" t="n">
        <v>11087</v>
      </c>
      <c r="BC673" s="26"/>
      <c r="BD673" s="26"/>
      <c r="BE673" s="26"/>
      <c r="BF673" s="26"/>
      <c r="BG673" s="26"/>
      <c r="BH673" s="26"/>
      <c r="BI673" s="26"/>
      <c r="BJ673" s="26"/>
      <c r="BK673" s="26"/>
      <c r="BL673" s="26"/>
      <c r="BM673" s="26"/>
      <c r="BN673" s="26"/>
      <c r="BO673" s="26"/>
      <c r="BP673" s="16" t="n">
        <v>45723</v>
      </c>
      <c r="BQ673" s="28" t="str">
        <f>HYPERLINK("https://organic.ams.usda.gov/Integrity/Certificate.aspx?cid=1&amp;nopid=9092117201")</f>
        <v>https://organic.ams.usda.gov/Integrity/Certificate.aspx?cid=1&amp;nopid=9092117201</v>
      </c>
    </row>
    <row r="674">
      <c r="A674" t="s">
        <v>3</v>
      </c>
      <c r="B674" s="6" t="s">
        <v>8</v>
      </c>
      <c r="C674" s="6" t="s">
        <v>55</v>
      </c>
      <c r="D674" s="6" t="s">
        <v>101</v>
      </c>
      <c r="E674" s="10" t="s">
        <v>815</v>
      </c>
      <c r="F674" s="6" t="s">
        <v>3544</v>
      </c>
      <c r="G674" s="6" t="s">
        <v>81</v>
      </c>
      <c r="H674" s="6" t="s">
        <v>6505</v>
      </c>
      <c r="I674" s="6" t="s">
        <v>8685</v>
      </c>
      <c r="J674" s="6" t="s">
        <v>9750</v>
      </c>
      <c r="K674" s="6" t="s">
        <v>10886</v>
      </c>
      <c r="L674" s="16" t="n">
        <v>36542</v>
      </c>
      <c r="M674" s="16" t="n">
        <v>45689</v>
      </c>
      <c r="N674" s="6" t="s">
        <v>10886</v>
      </c>
      <c r="O674" s="16" t="n">
        <v>36542</v>
      </c>
      <c r="P674" s="6" t="s">
        <v>11312</v>
      </c>
      <c r="Q674" s="6" t="s">
        <v>81</v>
      </c>
      <c r="R674" s="6" t="s">
        <v>6505</v>
      </c>
      <c r="S674" s="6" t="s">
        <v>10886</v>
      </c>
      <c r="T674" s="16" t="n">
        <v>36542</v>
      </c>
      <c r="U674" s="6" t="s">
        <v>13419</v>
      </c>
      <c r="V674" s="6" t="s">
        <v>81</v>
      </c>
      <c r="W674" s="6" t="s">
        <v>6505</v>
      </c>
      <c r="X674" s="6" t="s">
        <v>81</v>
      </c>
      <c r="Y674" s="21" t="s">
        <v>81</v>
      </c>
      <c r="Z674" s="6" t="s">
        <v>81</v>
      </c>
      <c r="AA674" s="6" t="s">
        <v>81</v>
      </c>
      <c r="AB674" s="6" t="s">
        <v>81</v>
      </c>
      <c r="AC674" s="6" t="s">
        <v>81</v>
      </c>
      <c r="AD674" s="21" t="s">
        <v>81</v>
      </c>
      <c r="AE674" s="6" t="s">
        <v>81</v>
      </c>
      <c r="AF674" s="6" t="s">
        <v>81</v>
      </c>
      <c r="AG674" s="6" t="s">
        <v>81</v>
      </c>
      <c r="AH674" s="6" t="s">
        <v>15260</v>
      </c>
      <c r="AI674" s="6" t="s">
        <v>81</v>
      </c>
      <c r="AJ674" s="6" t="s">
        <v>17707</v>
      </c>
      <c r="AK674" s="6" t="s">
        <v>18377</v>
      </c>
      <c r="AL674" s="6" t="s">
        <v>18444</v>
      </c>
      <c r="AM674" s="6" t="s">
        <v>18874</v>
      </c>
      <c r="AN674" s="6" t="s">
        <v>19661</v>
      </c>
      <c r="AO674" s="6" t="s">
        <v>19761</v>
      </c>
      <c r="AP674" s="6" t="s">
        <v>81</v>
      </c>
      <c r="AQ674" s="6" t="s">
        <v>81</v>
      </c>
      <c r="AR674" s="6" t="s">
        <v>81</v>
      </c>
      <c r="AS674" s="6" t="s">
        <v>81</v>
      </c>
      <c r="AT674" s="6" t="s">
        <v>81</v>
      </c>
      <c r="AU674" s="6" t="s">
        <v>81</v>
      </c>
      <c r="AV674" s="6" t="s">
        <v>81</v>
      </c>
      <c r="AW674" s="6" t="s">
        <v>81</v>
      </c>
      <c r="AX674" s="6" t="s">
        <v>81</v>
      </c>
      <c r="AY674" s="6" t="s">
        <v>81</v>
      </c>
      <c r="AZ674" s="6" t="s">
        <v>81</v>
      </c>
      <c r="BA674" s="6" t="s">
        <v>23819</v>
      </c>
      <c r="BB674" s="24" t="n">
        <v>140</v>
      </c>
      <c r="BC674" s="26"/>
      <c r="BD674" s="26"/>
      <c r="BE674" s="26"/>
      <c r="BF674" s="26" t="s">
        <v>23900</v>
      </c>
      <c r="BG674" s="26"/>
      <c r="BH674" s="26"/>
      <c r="BI674" s="26"/>
      <c r="BJ674" s="26"/>
      <c r="BK674" s="26"/>
      <c r="BL674" s="26"/>
      <c r="BM674" s="26"/>
      <c r="BN674" s="26"/>
      <c r="BO674" s="26"/>
      <c r="BP674" s="16" t="n">
        <v>45698</v>
      </c>
      <c r="BQ674" s="28" t="str">
        <f>HYPERLINK("https://organic.ams.usda.gov/Integrity/Certificate.aspx?cid=45&amp;nopid=9950000131")</f>
        <v>https://organic.ams.usda.gov/Integrity/Certificate.aspx?cid=45&amp;nopid=9950000131</v>
      </c>
    </row>
    <row r="675">
      <c r="A675" t="s">
        <v>3</v>
      </c>
      <c r="B675" s="6" t="s">
        <v>8</v>
      </c>
      <c r="C675" s="6" t="s">
        <v>55</v>
      </c>
      <c r="D675" s="6" t="s">
        <v>101</v>
      </c>
      <c r="E675" s="10" t="s">
        <v>816</v>
      </c>
      <c r="F675" s="6" t="s">
        <v>3545</v>
      </c>
      <c r="G675" s="6" t="s">
        <v>81</v>
      </c>
      <c r="H675" s="6" t="s">
        <v>6506</v>
      </c>
      <c r="I675" s="6" t="s">
        <v>8497</v>
      </c>
      <c r="J675" s="6" t="s">
        <v>10016</v>
      </c>
      <c r="K675" s="6" t="s">
        <v>10886</v>
      </c>
      <c r="L675" s="16" t="n">
        <v>45489</v>
      </c>
      <c r="M675" s="16" t="n">
        <v>45748</v>
      </c>
      <c r="N675" s="6" t="s">
        <v>10886</v>
      </c>
      <c r="O675" s="16" t="n">
        <v>45489</v>
      </c>
      <c r="P675" s="6" t="s">
        <v>10907</v>
      </c>
      <c r="Q675" s="6" t="s">
        <v>81</v>
      </c>
      <c r="R675" s="6" t="s">
        <v>6506</v>
      </c>
      <c r="S675" s="6" t="s">
        <v>10886</v>
      </c>
      <c r="T675" s="16" t="n">
        <v>45489</v>
      </c>
      <c r="U675" s="6" t="s">
        <v>13420</v>
      </c>
      <c r="V675" s="6" t="s">
        <v>81</v>
      </c>
      <c r="W675" s="6" t="s">
        <v>6506</v>
      </c>
      <c r="X675" s="6" t="s">
        <v>81</v>
      </c>
      <c r="Y675" s="21" t="s">
        <v>81</v>
      </c>
      <c r="Z675" s="6" t="s">
        <v>81</v>
      </c>
      <c r="AA675" s="6" t="s">
        <v>81</v>
      </c>
      <c r="AB675" s="6" t="s">
        <v>81</v>
      </c>
      <c r="AC675" s="6" t="s">
        <v>81</v>
      </c>
      <c r="AD675" s="21" t="s">
        <v>81</v>
      </c>
      <c r="AE675" s="6" t="s">
        <v>81</v>
      </c>
      <c r="AF675" s="6" t="s">
        <v>81</v>
      </c>
      <c r="AG675" s="6" t="s">
        <v>81</v>
      </c>
      <c r="AH675" s="6" t="s">
        <v>15261</v>
      </c>
      <c r="AI675" s="6" t="s">
        <v>81</v>
      </c>
      <c r="AJ675" s="6" t="s">
        <v>17629</v>
      </c>
      <c r="AK675" s="6" t="s">
        <v>18377</v>
      </c>
      <c r="AL675" s="6" t="s">
        <v>18444</v>
      </c>
      <c r="AM675" s="6" t="s">
        <v>18797</v>
      </c>
      <c r="AN675" s="6" t="s">
        <v>81</v>
      </c>
      <c r="AO675" s="6" t="s">
        <v>81</v>
      </c>
      <c r="AP675" s="6" t="s">
        <v>20188</v>
      </c>
      <c r="AQ675" s="6" t="s">
        <v>81</v>
      </c>
      <c r="AR675" s="6" t="s">
        <v>17629</v>
      </c>
      <c r="AS675" s="6" t="s">
        <v>18377</v>
      </c>
      <c r="AT675" s="6" t="s">
        <v>18444</v>
      </c>
      <c r="AU675" s="6" t="s">
        <v>18797</v>
      </c>
      <c r="AV675" s="6" t="s">
        <v>81</v>
      </c>
      <c r="AW675" s="6" t="s">
        <v>81</v>
      </c>
      <c r="AX675" s="6" t="s">
        <v>81</v>
      </c>
      <c r="AY675" s="6" t="s">
        <v>22812</v>
      </c>
      <c r="AZ675" s="6" t="s">
        <v>81</v>
      </c>
      <c r="BA675" s="6" t="s">
        <v>23819</v>
      </c>
      <c r="BB675" s="24" t="n">
        <v>68</v>
      </c>
      <c r="BC675" s="26"/>
      <c r="BD675" s="26"/>
      <c r="BE675" s="26"/>
      <c r="BF675" s="26" t="s">
        <v>23900</v>
      </c>
      <c r="BG675" s="26"/>
      <c r="BH675" s="26"/>
      <c r="BI675" s="26"/>
      <c r="BJ675" s="26"/>
      <c r="BK675" s="26"/>
      <c r="BL675" s="26"/>
      <c r="BM675" s="26"/>
      <c r="BN675" s="26"/>
      <c r="BO675" s="26"/>
      <c r="BP675" s="16" t="n">
        <v>45489</v>
      </c>
      <c r="BQ675" s="28" t="str">
        <f>HYPERLINK("https://organic.ams.usda.gov/Integrity/Certificate.aspx?cid=45&amp;nopid=9950014196")</f>
        <v>https://organic.ams.usda.gov/Integrity/Certificate.aspx?cid=45&amp;nopid=9950014196</v>
      </c>
    </row>
    <row r="676">
      <c r="A676" t="s">
        <v>3</v>
      </c>
      <c r="B676" s="6" t="s">
        <v>25</v>
      </c>
      <c r="C676" s="6" t="s">
        <v>72</v>
      </c>
      <c r="D676" s="6" t="s">
        <v>118</v>
      </c>
      <c r="E676" s="10" t="s">
        <v>817</v>
      </c>
      <c r="F676" s="6" t="s">
        <v>3546</v>
      </c>
      <c r="G676" s="6" t="s">
        <v>81</v>
      </c>
      <c r="H676" s="6" t="s">
        <v>6507</v>
      </c>
      <c r="I676" s="6" t="s">
        <v>8798</v>
      </c>
      <c r="J676" s="6" t="s">
        <v>10017</v>
      </c>
      <c r="K676" s="6" t="s">
        <v>10886</v>
      </c>
      <c r="L676" s="16" t="n">
        <v>40367</v>
      </c>
      <c r="M676" s="16" t="n">
        <v>46023</v>
      </c>
      <c r="N676" s="6" t="s">
        <v>10886</v>
      </c>
      <c r="O676" s="16" t="n">
        <v>40533</v>
      </c>
      <c r="P676" s="6" t="s">
        <v>11313</v>
      </c>
      <c r="Q676" s="6" t="s">
        <v>81</v>
      </c>
      <c r="R676" s="6" t="s">
        <v>81</v>
      </c>
      <c r="S676" s="6" t="s">
        <v>10886</v>
      </c>
      <c r="T676" s="16" t="n">
        <v>40367</v>
      </c>
      <c r="U676" s="6" t="s">
        <v>13421</v>
      </c>
      <c r="V676" s="6" t="s">
        <v>81</v>
      </c>
      <c r="W676" s="6" t="s">
        <v>81</v>
      </c>
      <c r="X676" s="6" t="s">
        <v>81</v>
      </c>
      <c r="Y676" s="21" t="s">
        <v>81</v>
      </c>
      <c r="Z676" s="6" t="s">
        <v>81</v>
      </c>
      <c r="AA676" s="6" t="s">
        <v>81</v>
      </c>
      <c r="AB676" s="6" t="s">
        <v>81</v>
      </c>
      <c r="AC676" s="6" t="s">
        <v>10886</v>
      </c>
      <c r="AD676" s="16" t="n">
        <v>44733</v>
      </c>
      <c r="AE676" s="6" t="s">
        <v>14081</v>
      </c>
      <c r="AF676" s="6" t="s">
        <v>81</v>
      </c>
      <c r="AG676" s="6" t="s">
        <v>81</v>
      </c>
      <c r="AH676" s="6" t="s">
        <v>15262</v>
      </c>
      <c r="AI676" s="6" t="s">
        <v>81</v>
      </c>
      <c r="AJ676" s="6" t="s">
        <v>17497</v>
      </c>
      <c r="AK676" s="6" t="s">
        <v>18386</v>
      </c>
      <c r="AL676" s="6" t="s">
        <v>18444</v>
      </c>
      <c r="AM676" s="6" t="s">
        <v>18657</v>
      </c>
      <c r="AN676" s="6" t="s">
        <v>19674</v>
      </c>
      <c r="AO676" s="6" t="s">
        <v>19803</v>
      </c>
      <c r="AP676" s="6" t="s">
        <v>15262</v>
      </c>
      <c r="AQ676" s="6" t="s">
        <v>81</v>
      </c>
      <c r="AR676" s="6" t="s">
        <v>17497</v>
      </c>
      <c r="AS676" s="6" t="s">
        <v>18386</v>
      </c>
      <c r="AT676" s="6" t="s">
        <v>18444</v>
      </c>
      <c r="AU676" s="6" t="s">
        <v>18657</v>
      </c>
      <c r="AV676" s="6" t="s">
        <v>81</v>
      </c>
      <c r="AW676" s="6" t="s">
        <v>81</v>
      </c>
      <c r="AX676" s="6" t="s">
        <v>21180</v>
      </c>
      <c r="AY676" s="6" t="s">
        <v>22813</v>
      </c>
      <c r="AZ676" s="6" t="s">
        <v>81</v>
      </c>
      <c r="BA676" s="6" t="s">
        <v>81</v>
      </c>
      <c r="BB676" s="24" t="n">
        <v>1360</v>
      </c>
      <c r="BC676" s="26"/>
      <c r="BD676" s="26"/>
      <c r="BE676" s="26"/>
      <c r="BF676" s="26"/>
      <c r="BG676" s="26"/>
      <c r="BH676" s="26"/>
      <c r="BI676" s="26"/>
      <c r="BJ676" s="26"/>
      <c r="BK676" s="26"/>
      <c r="BL676" s="26"/>
      <c r="BM676" s="26"/>
      <c r="BN676" s="26"/>
      <c r="BO676" s="26"/>
      <c r="BP676" s="16" t="n">
        <v>45667</v>
      </c>
      <c r="BQ676" s="28" t="str">
        <f>HYPERLINK("https://organic.ams.usda.gov/Integrity/Certificate.aspx?cid=15&amp;nopid=5561001360")</f>
        <v>https://organic.ams.usda.gov/Integrity/Certificate.aspx?cid=15&amp;nopid=5561001360</v>
      </c>
    </row>
    <row r="677">
      <c r="A677" t="s">
        <v>3</v>
      </c>
      <c r="B677" s="6" t="s">
        <v>8</v>
      </c>
      <c r="C677" s="6" t="s">
        <v>55</v>
      </c>
      <c r="D677" s="6" t="s">
        <v>101</v>
      </c>
      <c r="E677" s="10" t="s">
        <v>818</v>
      </c>
      <c r="F677" s="6" t="s">
        <v>3547</v>
      </c>
      <c r="G677" s="6" t="s">
        <v>81</v>
      </c>
      <c r="H677" s="6" t="s">
        <v>6508</v>
      </c>
      <c r="I677" s="6" t="s">
        <v>8516</v>
      </c>
      <c r="J677" s="6" t="s">
        <v>10018</v>
      </c>
      <c r="K677" s="6" t="s">
        <v>10886</v>
      </c>
      <c r="L677" s="16" t="n">
        <v>42172</v>
      </c>
      <c r="M677" s="16" t="n">
        <v>45748</v>
      </c>
      <c r="N677" s="6" t="s">
        <v>10886</v>
      </c>
      <c r="O677" s="16" t="n">
        <v>42172</v>
      </c>
      <c r="P677" s="6" t="s">
        <v>11314</v>
      </c>
      <c r="Q677" s="6" t="s">
        <v>81</v>
      </c>
      <c r="R677" s="6" t="s">
        <v>6508</v>
      </c>
      <c r="S677" s="6" t="s">
        <v>10886</v>
      </c>
      <c r="T677" s="16" t="n">
        <v>42172</v>
      </c>
      <c r="U677" s="6" t="s">
        <v>13422</v>
      </c>
      <c r="V677" s="6" t="s">
        <v>81</v>
      </c>
      <c r="W677" s="6" t="s">
        <v>6508</v>
      </c>
      <c r="X677" s="6" t="s">
        <v>81</v>
      </c>
      <c r="Y677" s="21" t="s">
        <v>81</v>
      </c>
      <c r="Z677" s="6" t="s">
        <v>81</v>
      </c>
      <c r="AA677" s="6" t="s">
        <v>81</v>
      </c>
      <c r="AB677" s="6" t="s">
        <v>81</v>
      </c>
      <c r="AC677" s="6" t="s">
        <v>81</v>
      </c>
      <c r="AD677" s="21" t="s">
        <v>81</v>
      </c>
      <c r="AE677" s="6" t="s">
        <v>81</v>
      </c>
      <c r="AF677" s="6" t="s">
        <v>81</v>
      </c>
      <c r="AG677" s="6" t="s">
        <v>81</v>
      </c>
      <c r="AH677" s="6" t="s">
        <v>15263</v>
      </c>
      <c r="AI677" s="6" t="s">
        <v>81</v>
      </c>
      <c r="AJ677" s="6" t="s">
        <v>17708</v>
      </c>
      <c r="AK677" s="6" t="s">
        <v>18377</v>
      </c>
      <c r="AL677" s="6" t="s">
        <v>18444</v>
      </c>
      <c r="AM677" s="6" t="s">
        <v>18875</v>
      </c>
      <c r="AN677" s="6" t="s">
        <v>19646</v>
      </c>
      <c r="AO677" s="6" t="s">
        <v>19733</v>
      </c>
      <c r="AP677" s="6" t="s">
        <v>81</v>
      </c>
      <c r="AQ677" s="6" t="s">
        <v>81</v>
      </c>
      <c r="AR677" s="6" t="s">
        <v>81</v>
      </c>
      <c r="AS677" s="6" t="s">
        <v>81</v>
      </c>
      <c r="AT677" s="6" t="s">
        <v>81</v>
      </c>
      <c r="AU677" s="6" t="s">
        <v>81</v>
      </c>
      <c r="AV677" s="6" t="s">
        <v>81</v>
      </c>
      <c r="AW677" s="6" t="s">
        <v>81</v>
      </c>
      <c r="AX677" s="6" t="s">
        <v>81</v>
      </c>
      <c r="AY677" s="6" t="s">
        <v>81</v>
      </c>
      <c r="AZ677" s="6" t="s">
        <v>81</v>
      </c>
      <c r="BA677" s="6" t="s">
        <v>23819</v>
      </c>
      <c r="BB677" s="24" t="n">
        <v>144</v>
      </c>
      <c r="BC677" s="26"/>
      <c r="BD677" s="26"/>
      <c r="BE677" s="26"/>
      <c r="BF677" s="26" t="s">
        <v>23900</v>
      </c>
      <c r="BG677" s="26"/>
      <c r="BH677" s="26"/>
      <c r="BI677" s="26"/>
      <c r="BJ677" s="26"/>
      <c r="BK677" s="26"/>
      <c r="BL677" s="26"/>
      <c r="BM677" s="26"/>
      <c r="BN677" s="26"/>
      <c r="BO677" s="26"/>
      <c r="BP677" s="16" t="n">
        <v>45573</v>
      </c>
      <c r="BQ677" s="28" t="str">
        <f>HYPERLINK("https://organic.ams.usda.gov/Integrity/Certificate.aspx?cid=45&amp;nopid=9950006986")</f>
        <v>https://organic.ams.usda.gov/Integrity/Certificate.aspx?cid=45&amp;nopid=9950006986</v>
      </c>
    </row>
    <row r="678">
      <c r="A678" t="s">
        <v>3</v>
      </c>
      <c r="B678" s="6" t="s">
        <v>13</v>
      </c>
      <c r="C678" s="6" t="s">
        <v>60</v>
      </c>
      <c r="D678" s="6" t="s">
        <v>106</v>
      </c>
      <c r="E678" s="10" t="s">
        <v>819</v>
      </c>
      <c r="F678" s="6" t="s">
        <v>3548</v>
      </c>
      <c r="G678" s="6" t="s">
        <v>81</v>
      </c>
      <c r="H678" s="6" t="s">
        <v>6509</v>
      </c>
      <c r="I678" s="6" t="s">
        <v>8544</v>
      </c>
      <c r="J678" s="6" t="s">
        <v>10019</v>
      </c>
      <c r="K678" s="6" t="s">
        <v>10886</v>
      </c>
      <c r="L678" s="16" t="n">
        <v>41180</v>
      </c>
      <c r="M678" s="16" t="n">
        <v>45748</v>
      </c>
      <c r="N678" s="6" t="s">
        <v>10886</v>
      </c>
      <c r="O678" s="16" t="n">
        <v>41180</v>
      </c>
      <c r="P678" s="6" t="s">
        <v>11315</v>
      </c>
      <c r="Q678" s="6" t="s">
        <v>81</v>
      </c>
      <c r="R678" s="6" t="s">
        <v>12614</v>
      </c>
      <c r="S678" s="6" t="s">
        <v>10886</v>
      </c>
      <c r="T678" s="16" t="n">
        <v>41180</v>
      </c>
      <c r="U678" s="6" t="s">
        <v>13423</v>
      </c>
      <c r="V678" s="6" t="s">
        <v>81</v>
      </c>
      <c r="W678" s="6" t="s">
        <v>12614</v>
      </c>
      <c r="X678" s="6" t="s">
        <v>81</v>
      </c>
      <c r="Y678" s="21" t="s">
        <v>81</v>
      </c>
      <c r="Z678" s="6" t="s">
        <v>81</v>
      </c>
      <c r="AA678" s="6" t="s">
        <v>81</v>
      </c>
      <c r="AB678" s="6" t="s">
        <v>81</v>
      </c>
      <c r="AC678" s="6" t="s">
        <v>81</v>
      </c>
      <c r="AD678" s="21" t="s">
        <v>81</v>
      </c>
      <c r="AE678" s="6" t="s">
        <v>81</v>
      </c>
      <c r="AF678" s="6" t="s">
        <v>81</v>
      </c>
      <c r="AG678" s="6" t="s">
        <v>81</v>
      </c>
      <c r="AH678" s="6" t="s">
        <v>15264</v>
      </c>
      <c r="AI678" s="6" t="s">
        <v>81</v>
      </c>
      <c r="AJ678" s="6" t="s">
        <v>17669</v>
      </c>
      <c r="AK678" s="6" t="s">
        <v>18384</v>
      </c>
      <c r="AL678" s="6" t="s">
        <v>18444</v>
      </c>
      <c r="AM678" s="6" t="s">
        <v>18836</v>
      </c>
      <c r="AN678" s="6" t="s">
        <v>8053</v>
      </c>
      <c r="AO678" s="6" t="s">
        <v>19894</v>
      </c>
      <c r="AP678" s="6" t="s">
        <v>15264</v>
      </c>
      <c r="AQ678" s="6" t="s">
        <v>81</v>
      </c>
      <c r="AR678" s="6" t="s">
        <v>17669</v>
      </c>
      <c r="AS678" s="6" t="s">
        <v>18384</v>
      </c>
      <c r="AT678" s="6" t="s">
        <v>18444</v>
      </c>
      <c r="AU678" s="6" t="s">
        <v>18836</v>
      </c>
      <c r="AV678" s="6" t="s">
        <v>81</v>
      </c>
      <c r="AW678" s="6" t="s">
        <v>81</v>
      </c>
      <c r="AX678" s="6" t="s">
        <v>21181</v>
      </c>
      <c r="AY678" s="6" t="s">
        <v>81</v>
      </c>
      <c r="AZ678" s="6" t="s">
        <v>81</v>
      </c>
      <c r="BA678" s="6" t="s">
        <v>81</v>
      </c>
      <c r="BB678" s="24" t="n">
        <v>380</v>
      </c>
      <c r="BC678" s="26"/>
      <c r="BD678" s="26"/>
      <c r="BE678" s="26"/>
      <c r="BF678" s="26" t="s">
        <v>23900</v>
      </c>
      <c r="BG678" s="26"/>
      <c r="BH678" s="26"/>
      <c r="BI678" s="26"/>
      <c r="BJ678" s="26"/>
      <c r="BK678" s="26"/>
      <c r="BL678" s="26"/>
      <c r="BM678" s="26"/>
      <c r="BN678" s="26"/>
      <c r="BO678" s="26"/>
      <c r="BP678" s="16" t="n">
        <v>45663</v>
      </c>
      <c r="BQ678" s="28" t="str">
        <f>HYPERLINK("https://organic.ams.usda.gov/Integrity/Certificate.aspx?cid=72&amp;nopid=5870001427")</f>
        <v>https://organic.ams.usda.gov/Integrity/Certificate.aspx?cid=72&amp;nopid=5870001427</v>
      </c>
    </row>
    <row r="679">
      <c r="A679" t="s">
        <v>3</v>
      </c>
      <c r="B679" s="6" t="s">
        <v>7</v>
      </c>
      <c r="C679" s="6" t="s">
        <v>54</v>
      </c>
      <c r="D679" s="6" t="s">
        <v>100</v>
      </c>
      <c r="E679" s="10" t="s">
        <v>820</v>
      </c>
      <c r="F679" s="6" t="s">
        <v>3549</v>
      </c>
      <c r="G679" s="6" t="s">
        <v>81</v>
      </c>
      <c r="H679" s="6" t="s">
        <v>6510</v>
      </c>
      <c r="I679" s="6" t="s">
        <v>8570</v>
      </c>
      <c r="J679" s="6" t="s">
        <v>9737</v>
      </c>
      <c r="K679" s="6" t="s">
        <v>10886</v>
      </c>
      <c r="L679" s="16" t="n">
        <v>38870</v>
      </c>
      <c r="M679" s="16" t="n">
        <v>46081</v>
      </c>
      <c r="N679" s="6" t="s">
        <v>10886</v>
      </c>
      <c r="O679" s="16" t="n">
        <v>38870</v>
      </c>
      <c r="P679" s="6" t="s">
        <v>11316</v>
      </c>
      <c r="Q679" s="6" t="s">
        <v>81</v>
      </c>
      <c r="R679" s="6" t="s">
        <v>81</v>
      </c>
      <c r="S679" s="6" t="s">
        <v>10886</v>
      </c>
      <c r="T679" s="16" t="n">
        <v>38870</v>
      </c>
      <c r="U679" s="6" t="s">
        <v>13169</v>
      </c>
      <c r="V679" s="6" t="s">
        <v>81</v>
      </c>
      <c r="W679" s="6" t="s">
        <v>81</v>
      </c>
      <c r="X679" s="6" t="s">
        <v>81</v>
      </c>
      <c r="Y679" s="21" t="s">
        <v>81</v>
      </c>
      <c r="Z679" s="6" t="s">
        <v>81</v>
      </c>
      <c r="AA679" s="6" t="s">
        <v>81</v>
      </c>
      <c r="AB679" s="6" t="s">
        <v>81</v>
      </c>
      <c r="AC679" s="6" t="s">
        <v>10886</v>
      </c>
      <c r="AD679" s="16" t="n">
        <v>38870</v>
      </c>
      <c r="AE679" s="6" t="s">
        <v>14141</v>
      </c>
      <c r="AF679" s="6" t="s">
        <v>81</v>
      </c>
      <c r="AG679" s="6" t="s">
        <v>81</v>
      </c>
      <c r="AH679" s="6" t="s">
        <v>15265</v>
      </c>
      <c r="AI679" s="6" t="s">
        <v>81</v>
      </c>
      <c r="AJ679" s="6" t="s">
        <v>17709</v>
      </c>
      <c r="AK679" s="6" t="s">
        <v>17712</v>
      </c>
      <c r="AL679" s="6" t="s">
        <v>18444</v>
      </c>
      <c r="AM679" s="6" t="s">
        <v>18876</v>
      </c>
      <c r="AN679" s="6" t="s">
        <v>19669</v>
      </c>
      <c r="AO679" s="6" t="s">
        <v>19790</v>
      </c>
      <c r="AP679" s="6" t="s">
        <v>15265</v>
      </c>
      <c r="AQ679" s="6" t="s">
        <v>81</v>
      </c>
      <c r="AR679" s="6" t="s">
        <v>17709</v>
      </c>
      <c r="AS679" s="6" t="s">
        <v>17712</v>
      </c>
      <c r="AT679" s="6" t="s">
        <v>18444</v>
      </c>
      <c r="AU679" s="6" t="s">
        <v>18876</v>
      </c>
      <c r="AV679" s="6" t="s">
        <v>81</v>
      </c>
      <c r="AW679" s="6" t="s">
        <v>81</v>
      </c>
      <c r="AX679" s="6" t="s">
        <v>21182</v>
      </c>
      <c r="AY679" s="6" t="s">
        <v>22814</v>
      </c>
      <c r="AZ679" s="6" t="s">
        <v>81</v>
      </c>
      <c r="BA679" s="6" t="s">
        <v>81</v>
      </c>
      <c r="BB679" s="24" t="n">
        <v>594</v>
      </c>
      <c r="BC679" s="26"/>
      <c r="BD679" s="26"/>
      <c r="BE679" s="26"/>
      <c r="BF679" s="26" t="s">
        <v>23900</v>
      </c>
      <c r="BG679" s="26"/>
      <c r="BH679" s="26"/>
      <c r="BI679" s="26"/>
      <c r="BJ679" s="26"/>
      <c r="BK679" s="26"/>
      <c r="BL679" s="26"/>
      <c r="BM679" s="26"/>
      <c r="BN679" s="26"/>
      <c r="BO679" s="26"/>
      <c r="BP679" s="16" t="n">
        <v>45721</v>
      </c>
      <c r="BQ679" s="28" t="str">
        <f>HYPERLINK("https://organic.ams.usda.gov/Integrity/Certificate.aspx?cid=57&amp;nopid=3250200603")</f>
        <v>https://organic.ams.usda.gov/Integrity/Certificate.aspx?cid=57&amp;nopid=3250200603</v>
      </c>
    </row>
    <row r="680">
      <c r="A680" t="s">
        <v>3</v>
      </c>
      <c r="B680" s="6" t="s">
        <v>20</v>
      </c>
      <c r="C680" s="6" t="s">
        <v>67</v>
      </c>
      <c r="D680" s="6" t="s">
        <v>113</v>
      </c>
      <c r="E680" s="10" t="s">
        <v>821</v>
      </c>
      <c r="F680" s="6" t="s">
        <v>3550</v>
      </c>
      <c r="G680" s="6" t="s">
        <v>81</v>
      </c>
      <c r="H680" s="6" t="s">
        <v>6511</v>
      </c>
      <c r="I680" s="6" t="s">
        <v>8799</v>
      </c>
      <c r="J680" s="6" t="s">
        <v>10020</v>
      </c>
      <c r="K680" s="6" t="s">
        <v>10886</v>
      </c>
      <c r="L680" s="16" t="n">
        <v>44089</v>
      </c>
      <c r="M680" s="16" t="n">
        <v>45763</v>
      </c>
      <c r="N680" s="6" t="s">
        <v>81</v>
      </c>
      <c r="O680" s="21" t="s">
        <v>81</v>
      </c>
      <c r="P680" s="6" t="s">
        <v>81</v>
      </c>
      <c r="Q680" s="6" t="s">
        <v>81</v>
      </c>
      <c r="R680" s="6" t="s">
        <v>81</v>
      </c>
      <c r="S680" s="6" t="s">
        <v>81</v>
      </c>
      <c r="T680" s="21" t="s">
        <v>81</v>
      </c>
      <c r="U680" s="6" t="s">
        <v>81</v>
      </c>
      <c r="V680" s="6" t="s">
        <v>81</v>
      </c>
      <c r="W680" s="6" t="s">
        <v>81</v>
      </c>
      <c r="X680" s="6" t="s">
        <v>81</v>
      </c>
      <c r="Y680" s="21" t="s">
        <v>81</v>
      </c>
      <c r="Z680" s="6" t="s">
        <v>81</v>
      </c>
      <c r="AA680" s="6" t="s">
        <v>81</v>
      </c>
      <c r="AB680" s="6" t="s">
        <v>81</v>
      </c>
      <c r="AC680" s="6" t="s">
        <v>10886</v>
      </c>
      <c r="AD680" s="16" t="n">
        <v>44089</v>
      </c>
      <c r="AE680" s="6" t="s">
        <v>14142</v>
      </c>
      <c r="AF680" s="6" t="s">
        <v>81</v>
      </c>
      <c r="AG680" s="6" t="s">
        <v>14538</v>
      </c>
      <c r="AH680" s="6" t="s">
        <v>15266</v>
      </c>
      <c r="AI680" s="6" t="s">
        <v>17282</v>
      </c>
      <c r="AJ680" s="6" t="s">
        <v>17334</v>
      </c>
      <c r="AK680" s="6" t="s">
        <v>18384</v>
      </c>
      <c r="AL680" s="6" t="s">
        <v>18444</v>
      </c>
      <c r="AM680" s="6" t="s">
        <v>18877</v>
      </c>
      <c r="AN680" s="6" t="s">
        <v>7926</v>
      </c>
      <c r="AO680" s="6" t="s">
        <v>19790</v>
      </c>
      <c r="AP680" s="6" t="s">
        <v>15266</v>
      </c>
      <c r="AQ680" s="6" t="s">
        <v>17282</v>
      </c>
      <c r="AR680" s="6" t="s">
        <v>17334</v>
      </c>
      <c r="AS680" s="6" t="s">
        <v>18384</v>
      </c>
      <c r="AT680" s="6" t="s">
        <v>18444</v>
      </c>
      <c r="AU680" s="6" t="s">
        <v>18877</v>
      </c>
      <c r="AV680" s="6" t="s">
        <v>81</v>
      </c>
      <c r="AW680" s="6" t="s">
        <v>81</v>
      </c>
      <c r="AX680" s="6" t="s">
        <v>21183</v>
      </c>
      <c r="AY680" s="6" t="s">
        <v>22815</v>
      </c>
      <c r="AZ680" s="6" t="s">
        <v>81</v>
      </c>
      <c r="BA680" s="6" t="s">
        <v>81</v>
      </c>
      <c r="BB680" s="6" t="s">
        <v>81</v>
      </c>
      <c r="BC680" s="26"/>
      <c r="BD680" s="26"/>
      <c r="BE680" s="26"/>
      <c r="BF680" s="26"/>
      <c r="BG680" s="26"/>
      <c r="BH680" s="26"/>
      <c r="BI680" s="26"/>
      <c r="BJ680" s="26"/>
      <c r="BK680" s="26"/>
      <c r="BL680" s="26"/>
      <c r="BM680" s="26"/>
      <c r="BN680" s="26"/>
      <c r="BO680" s="26"/>
      <c r="BP680" s="16" t="n">
        <v>45737</v>
      </c>
      <c r="BQ680" s="28" t="str">
        <f>HYPERLINK("https://organic.ams.usda.gov/Integrity/Certificate.aspx?cid=71&amp;nopid=5520557151")</f>
        <v>https://organic.ams.usda.gov/Integrity/Certificate.aspx?cid=71&amp;nopid=5520557151</v>
      </c>
    </row>
    <row r="681">
      <c r="A681" t="s">
        <v>3</v>
      </c>
      <c r="B681" s="6" t="s">
        <v>23</v>
      </c>
      <c r="C681" s="6" t="s">
        <v>70</v>
      </c>
      <c r="D681" s="6" t="s">
        <v>116</v>
      </c>
      <c r="E681" s="10" t="s">
        <v>822</v>
      </c>
      <c r="F681" s="6" t="s">
        <v>3551</v>
      </c>
      <c r="G681" s="6" t="s">
        <v>81</v>
      </c>
      <c r="H681" s="6" t="s">
        <v>6512</v>
      </c>
      <c r="I681" s="6" t="s">
        <v>8800</v>
      </c>
      <c r="J681" s="6" t="s">
        <v>10021</v>
      </c>
      <c r="K681" s="6" t="s">
        <v>10886</v>
      </c>
      <c r="L681" s="16" t="n">
        <v>43671</v>
      </c>
      <c r="M681" s="16" t="n">
        <v>45772</v>
      </c>
      <c r="N681" s="6" t="s">
        <v>10886</v>
      </c>
      <c r="O681" s="16" t="n">
        <v>43671</v>
      </c>
      <c r="P681" s="6" t="s">
        <v>11031</v>
      </c>
      <c r="Q681" s="6" t="s">
        <v>81</v>
      </c>
      <c r="R681" s="6" t="s">
        <v>12615</v>
      </c>
      <c r="S681" s="6" t="s">
        <v>10886</v>
      </c>
      <c r="T681" s="16" t="n">
        <v>43671</v>
      </c>
      <c r="U681" s="6" t="s">
        <v>13424</v>
      </c>
      <c r="V681" s="6" t="s">
        <v>81</v>
      </c>
      <c r="W681" s="6" t="s">
        <v>12615</v>
      </c>
      <c r="X681" s="6" t="s">
        <v>81</v>
      </c>
      <c r="Y681" s="21" t="s">
        <v>81</v>
      </c>
      <c r="Z681" s="6" t="s">
        <v>81</v>
      </c>
      <c r="AA681" s="6" t="s">
        <v>81</v>
      </c>
      <c r="AB681" s="6" t="s">
        <v>81</v>
      </c>
      <c r="AC681" s="6" t="s">
        <v>81</v>
      </c>
      <c r="AD681" s="21" t="s">
        <v>81</v>
      </c>
      <c r="AE681" s="6" t="s">
        <v>81</v>
      </c>
      <c r="AF681" s="6" t="s">
        <v>81</v>
      </c>
      <c r="AG681" s="6" t="s">
        <v>81</v>
      </c>
      <c r="AH681" s="6" t="s">
        <v>15267</v>
      </c>
      <c r="AI681" s="6" t="s">
        <v>81</v>
      </c>
      <c r="AJ681" s="6" t="s">
        <v>17710</v>
      </c>
      <c r="AK681" s="6" t="s">
        <v>18386</v>
      </c>
      <c r="AL681" s="6" t="s">
        <v>18444</v>
      </c>
      <c r="AM681" s="6" t="s">
        <v>18657</v>
      </c>
      <c r="AN681" s="6" t="s">
        <v>81</v>
      </c>
      <c r="AO681" s="6" t="s">
        <v>81</v>
      </c>
      <c r="AP681" s="6" t="s">
        <v>15267</v>
      </c>
      <c r="AQ681" s="6" t="s">
        <v>81</v>
      </c>
      <c r="AR681" s="6" t="s">
        <v>17710</v>
      </c>
      <c r="AS681" s="6" t="s">
        <v>18386</v>
      </c>
      <c r="AT681" s="6" t="s">
        <v>18444</v>
      </c>
      <c r="AU681" s="6" t="s">
        <v>18657</v>
      </c>
      <c r="AV681" s="6" t="s">
        <v>19674</v>
      </c>
      <c r="AW681" s="6" t="s">
        <v>19803</v>
      </c>
      <c r="AX681" s="6" t="s">
        <v>21184</v>
      </c>
      <c r="AY681" s="6" t="s">
        <v>22816</v>
      </c>
      <c r="AZ681" s="6" t="s">
        <v>81</v>
      </c>
      <c r="BA681" s="6" t="s">
        <v>81</v>
      </c>
      <c r="BB681" s="24" t="n">
        <v>2249</v>
      </c>
      <c r="BC681" s="26"/>
      <c r="BD681" s="26"/>
      <c r="BE681" s="26"/>
      <c r="BF681" s="26"/>
      <c r="BG681" s="26"/>
      <c r="BH681" s="26"/>
      <c r="BI681" s="26"/>
      <c r="BJ681" s="26"/>
      <c r="BK681" s="26"/>
      <c r="BL681" s="26"/>
      <c r="BM681" s="26"/>
      <c r="BN681" s="26"/>
      <c r="BO681" s="26"/>
      <c r="BP681" s="16" t="n">
        <v>45728</v>
      </c>
      <c r="BQ681" s="28" t="str">
        <f>HYPERLINK("https://organic.ams.usda.gov/Integrity/Certificate.aspx?cid=63&amp;nopid=6220008178")</f>
        <v>https://organic.ams.usda.gov/Integrity/Certificate.aspx?cid=63&amp;nopid=6220008178</v>
      </c>
    </row>
    <row r="682">
      <c r="A682" t="s">
        <v>3</v>
      </c>
      <c r="B682" s="6" t="s">
        <v>8</v>
      </c>
      <c r="C682" s="6" t="s">
        <v>55</v>
      </c>
      <c r="D682" s="6" t="s">
        <v>101</v>
      </c>
      <c r="E682" s="10" t="s">
        <v>823</v>
      </c>
      <c r="F682" s="6" t="s">
        <v>3552</v>
      </c>
      <c r="G682" s="6" t="s">
        <v>5660</v>
      </c>
      <c r="H682" s="6" t="s">
        <v>6513</v>
      </c>
      <c r="I682" s="6" t="s">
        <v>8801</v>
      </c>
      <c r="J682" s="6" t="s">
        <v>10022</v>
      </c>
      <c r="K682" s="6" t="s">
        <v>10886</v>
      </c>
      <c r="L682" s="16" t="n">
        <v>39766</v>
      </c>
      <c r="M682" s="16" t="n">
        <v>45383</v>
      </c>
      <c r="N682" s="6" t="s">
        <v>10886</v>
      </c>
      <c r="O682" s="16" t="n">
        <v>39766</v>
      </c>
      <c r="P682" s="6" t="s">
        <v>11317</v>
      </c>
      <c r="Q682" s="6" t="s">
        <v>81</v>
      </c>
      <c r="R682" s="6" t="s">
        <v>6513</v>
      </c>
      <c r="S682" s="6" t="s">
        <v>10886</v>
      </c>
      <c r="T682" s="16" t="n">
        <v>39766</v>
      </c>
      <c r="U682" s="6" t="s">
        <v>13425</v>
      </c>
      <c r="V682" s="6" t="s">
        <v>81</v>
      </c>
      <c r="W682" s="6" t="s">
        <v>6513</v>
      </c>
      <c r="X682" s="6" t="s">
        <v>81</v>
      </c>
      <c r="Y682" s="21" t="s">
        <v>81</v>
      </c>
      <c r="Z682" s="6" t="s">
        <v>81</v>
      </c>
      <c r="AA682" s="6" t="s">
        <v>81</v>
      </c>
      <c r="AB682" s="6" t="s">
        <v>81</v>
      </c>
      <c r="AC682" s="6" t="s">
        <v>10886</v>
      </c>
      <c r="AD682" s="16" t="n">
        <v>39766</v>
      </c>
      <c r="AE682" s="6" t="s">
        <v>14143</v>
      </c>
      <c r="AF682" s="6" t="s">
        <v>81</v>
      </c>
      <c r="AG682" s="6" t="s">
        <v>6513</v>
      </c>
      <c r="AH682" s="6" t="s">
        <v>15268</v>
      </c>
      <c r="AI682" s="6" t="s">
        <v>81</v>
      </c>
      <c r="AJ682" s="6" t="s">
        <v>17711</v>
      </c>
      <c r="AK682" s="6" t="s">
        <v>18377</v>
      </c>
      <c r="AL682" s="6" t="s">
        <v>18444</v>
      </c>
      <c r="AM682" s="6" t="s">
        <v>18878</v>
      </c>
      <c r="AN682" s="6" t="s">
        <v>19696</v>
      </c>
      <c r="AO682" s="6" t="s">
        <v>19907</v>
      </c>
      <c r="AP682" s="6" t="s">
        <v>81</v>
      </c>
      <c r="AQ682" s="6" t="s">
        <v>81</v>
      </c>
      <c r="AR682" s="6" t="s">
        <v>81</v>
      </c>
      <c r="AS682" s="6" t="s">
        <v>81</v>
      </c>
      <c r="AT682" s="6" t="s">
        <v>81</v>
      </c>
      <c r="AU682" s="6" t="s">
        <v>81</v>
      </c>
      <c r="AV682" s="6" t="s">
        <v>81</v>
      </c>
      <c r="AW682" s="6" t="s">
        <v>81</v>
      </c>
      <c r="AX682" s="6" t="s">
        <v>81</v>
      </c>
      <c r="AY682" s="6" t="s">
        <v>22817</v>
      </c>
      <c r="AZ682" s="6" t="s">
        <v>23638</v>
      </c>
      <c r="BA682" s="6" t="s">
        <v>23824</v>
      </c>
      <c r="BB682" s="24" t="n">
        <v>26</v>
      </c>
      <c r="BC682" s="26"/>
      <c r="BD682" s="26"/>
      <c r="BE682" s="26"/>
      <c r="BF682" s="26" t="s">
        <v>23900</v>
      </c>
      <c r="BG682" s="26"/>
      <c r="BH682" s="26"/>
      <c r="BI682" s="26"/>
      <c r="BJ682" s="26"/>
      <c r="BK682" s="26" t="s">
        <v>23900</v>
      </c>
      <c r="BL682" s="26"/>
      <c r="BM682" s="26"/>
      <c r="BN682" s="26"/>
      <c r="BO682" s="26"/>
      <c r="BP682" s="16" t="n">
        <v>45461</v>
      </c>
      <c r="BQ682" s="28" t="str">
        <f>HYPERLINK("https://organic.ams.usda.gov/Integrity/Certificate.aspx?cid=45&amp;nopid=9950003118")</f>
        <v>https://organic.ams.usda.gov/Integrity/Certificate.aspx?cid=45&amp;nopid=9950003118</v>
      </c>
    </row>
    <row r="683">
      <c r="A683" t="s">
        <v>3</v>
      </c>
      <c r="B683" s="6" t="s">
        <v>24</v>
      </c>
      <c r="C683" s="6" t="s">
        <v>71</v>
      </c>
      <c r="D683" s="6" t="s">
        <v>117</v>
      </c>
      <c r="E683" s="10" t="s">
        <v>824</v>
      </c>
      <c r="F683" s="6" t="s">
        <v>3553</v>
      </c>
      <c r="G683" s="6" t="s">
        <v>81</v>
      </c>
      <c r="H683" s="6" t="s">
        <v>81</v>
      </c>
      <c r="I683" s="6" t="s">
        <v>8802</v>
      </c>
      <c r="J683" s="6" t="s">
        <v>10023</v>
      </c>
      <c r="K683" s="6" t="s">
        <v>10886</v>
      </c>
      <c r="L683" s="16" t="n">
        <v>44396</v>
      </c>
      <c r="M683" s="16" t="n">
        <v>45825</v>
      </c>
      <c r="N683" s="6" t="s">
        <v>81</v>
      </c>
      <c r="O683" s="21" t="s">
        <v>81</v>
      </c>
      <c r="P683" s="6" t="s">
        <v>81</v>
      </c>
      <c r="Q683" s="6" t="s">
        <v>81</v>
      </c>
      <c r="R683" s="6" t="s">
        <v>81</v>
      </c>
      <c r="S683" s="6" t="s">
        <v>81</v>
      </c>
      <c r="T683" s="21" t="s">
        <v>81</v>
      </c>
      <c r="U683" s="6" t="s">
        <v>81</v>
      </c>
      <c r="V683" s="6" t="s">
        <v>81</v>
      </c>
      <c r="W683" s="6" t="s">
        <v>81</v>
      </c>
      <c r="X683" s="6" t="s">
        <v>81</v>
      </c>
      <c r="Y683" s="21" t="s">
        <v>81</v>
      </c>
      <c r="Z683" s="6" t="s">
        <v>81</v>
      </c>
      <c r="AA683" s="6" t="s">
        <v>81</v>
      </c>
      <c r="AB683" s="6" t="s">
        <v>81</v>
      </c>
      <c r="AC683" s="6" t="s">
        <v>10886</v>
      </c>
      <c r="AD683" s="16" t="n">
        <v>44550</v>
      </c>
      <c r="AE683" s="6" t="s">
        <v>14144</v>
      </c>
      <c r="AF683" s="6" t="s">
        <v>81</v>
      </c>
      <c r="AG683" s="6" t="s">
        <v>14539</v>
      </c>
      <c r="AH683" s="6" t="s">
        <v>15269</v>
      </c>
      <c r="AI683" s="6" t="s">
        <v>81</v>
      </c>
      <c r="AJ683" s="6" t="s">
        <v>17712</v>
      </c>
      <c r="AK683" s="6" t="s">
        <v>17712</v>
      </c>
      <c r="AL683" s="6" t="s">
        <v>18444</v>
      </c>
      <c r="AM683" s="6" t="s">
        <v>18879</v>
      </c>
      <c r="AN683" s="6" t="s">
        <v>19700</v>
      </c>
      <c r="AO683" s="6" t="s">
        <v>19908</v>
      </c>
      <c r="AP683" s="6" t="s">
        <v>15269</v>
      </c>
      <c r="AQ683" s="6" t="s">
        <v>81</v>
      </c>
      <c r="AR683" s="6" t="s">
        <v>17712</v>
      </c>
      <c r="AS683" s="6" t="s">
        <v>17712</v>
      </c>
      <c r="AT683" s="6" t="s">
        <v>18444</v>
      </c>
      <c r="AU683" s="6" t="s">
        <v>18879</v>
      </c>
      <c r="AV683" s="6" t="s">
        <v>81</v>
      </c>
      <c r="AW683" s="6" t="s">
        <v>81</v>
      </c>
      <c r="AX683" s="6" t="s">
        <v>81</v>
      </c>
      <c r="AY683" s="6" t="s">
        <v>22818</v>
      </c>
      <c r="AZ683" s="6" t="s">
        <v>81</v>
      </c>
      <c r="BA683" s="6" t="s">
        <v>81</v>
      </c>
      <c r="BB683" s="6" t="s">
        <v>81</v>
      </c>
      <c r="BC683" s="26"/>
      <c r="BD683" s="26"/>
      <c r="BE683" s="26"/>
      <c r="BF683" s="26"/>
      <c r="BG683" s="26"/>
      <c r="BH683" s="26"/>
      <c r="BI683" s="26"/>
      <c r="BJ683" s="26"/>
      <c r="BK683" s="26"/>
      <c r="BL683" s="26"/>
      <c r="BM683" s="26"/>
      <c r="BN683" s="26"/>
      <c r="BO683" s="26"/>
      <c r="BP683" s="16" t="n">
        <v>45635</v>
      </c>
      <c r="BQ683" s="28" t="str">
        <f>HYPERLINK("https://organic.ams.usda.gov/Integrity/Certificate.aspx?cid=1&amp;nopid=9092116802")</f>
        <v>https://organic.ams.usda.gov/Integrity/Certificate.aspx?cid=1&amp;nopid=9092116802</v>
      </c>
    </row>
    <row r="684">
      <c r="A684" t="s">
        <v>3</v>
      </c>
      <c r="B684" s="6" t="s">
        <v>10</v>
      </c>
      <c r="C684" s="6" t="s">
        <v>57</v>
      </c>
      <c r="D684" s="6" t="s">
        <v>103</v>
      </c>
      <c r="E684" s="10" t="s">
        <v>825</v>
      </c>
      <c r="F684" s="6" t="s">
        <v>3554</v>
      </c>
      <c r="G684" s="6" t="s">
        <v>81</v>
      </c>
      <c r="H684" s="6" t="s">
        <v>6514</v>
      </c>
      <c r="I684" s="6" t="s">
        <v>8803</v>
      </c>
      <c r="J684" s="6" t="s">
        <v>10024</v>
      </c>
      <c r="K684" s="6" t="s">
        <v>10886</v>
      </c>
      <c r="L684" s="16" t="n">
        <v>44648</v>
      </c>
      <c r="M684" s="16" t="n">
        <v>45748</v>
      </c>
      <c r="N684" s="6" t="s">
        <v>10886</v>
      </c>
      <c r="O684" s="16" t="n">
        <v>41792</v>
      </c>
      <c r="P684" s="6" t="s">
        <v>11318</v>
      </c>
      <c r="Q684" s="6" t="s">
        <v>81</v>
      </c>
      <c r="R684" s="6" t="s">
        <v>12616</v>
      </c>
      <c r="S684" s="6" t="s">
        <v>10886</v>
      </c>
      <c r="T684" s="16" t="n">
        <v>41792</v>
      </c>
      <c r="U684" s="6" t="s">
        <v>13163</v>
      </c>
      <c r="V684" s="6" t="s">
        <v>81</v>
      </c>
      <c r="W684" s="6" t="s">
        <v>81</v>
      </c>
      <c r="X684" s="6" t="s">
        <v>81</v>
      </c>
      <c r="Y684" s="21" t="s">
        <v>81</v>
      </c>
      <c r="Z684" s="6" t="s">
        <v>81</v>
      </c>
      <c r="AA684" s="6" t="s">
        <v>81</v>
      </c>
      <c r="AB684" s="6" t="s">
        <v>81</v>
      </c>
      <c r="AC684" s="6" t="s">
        <v>81</v>
      </c>
      <c r="AD684" s="21" t="s">
        <v>81</v>
      </c>
      <c r="AE684" s="6" t="s">
        <v>81</v>
      </c>
      <c r="AF684" s="6" t="s">
        <v>81</v>
      </c>
      <c r="AG684" s="6" t="s">
        <v>81</v>
      </c>
      <c r="AH684" s="6" t="s">
        <v>15270</v>
      </c>
      <c r="AI684" s="6" t="s">
        <v>81</v>
      </c>
      <c r="AJ684" s="6" t="s">
        <v>17315</v>
      </c>
      <c r="AK684" s="6" t="s">
        <v>18379</v>
      </c>
      <c r="AL684" s="6" t="s">
        <v>18444</v>
      </c>
      <c r="AM684" s="6" t="s">
        <v>18467</v>
      </c>
      <c r="AN684" s="6" t="s">
        <v>81</v>
      </c>
      <c r="AO684" s="6" t="s">
        <v>81</v>
      </c>
      <c r="AP684" s="6" t="s">
        <v>15270</v>
      </c>
      <c r="AQ684" s="6" t="s">
        <v>81</v>
      </c>
      <c r="AR684" s="6" t="s">
        <v>17315</v>
      </c>
      <c r="AS684" s="6" t="s">
        <v>18379</v>
      </c>
      <c r="AT684" s="6" t="s">
        <v>18444</v>
      </c>
      <c r="AU684" s="6" t="s">
        <v>18467</v>
      </c>
      <c r="AV684" s="6" t="s">
        <v>81</v>
      </c>
      <c r="AW684" s="6" t="s">
        <v>81</v>
      </c>
      <c r="AX684" s="6" t="s">
        <v>21185</v>
      </c>
      <c r="AY684" s="6" t="s">
        <v>81</v>
      </c>
      <c r="AZ684" s="6" t="s">
        <v>81</v>
      </c>
      <c r="BA684" s="6" t="s">
        <v>81</v>
      </c>
      <c r="BB684" s="24" t="n">
        <v>70</v>
      </c>
      <c r="BC684" s="26"/>
      <c r="BD684" s="26"/>
      <c r="BE684" s="26"/>
      <c r="BF684" s="26"/>
      <c r="BG684" s="26"/>
      <c r="BH684" s="26"/>
      <c r="BI684" s="26"/>
      <c r="BJ684" s="26"/>
      <c r="BK684" s="26"/>
      <c r="BL684" s="26"/>
      <c r="BM684" s="26"/>
      <c r="BN684" s="26"/>
      <c r="BO684" s="26"/>
      <c r="BP684" s="16" t="n">
        <v>45730</v>
      </c>
      <c r="BQ684" s="28" t="str">
        <f>HYPERLINK("https://organic.ams.usda.gov/Integrity/Certificate.aspx?cid=90&amp;nopid=7170220503")</f>
        <v>https://organic.ams.usda.gov/Integrity/Certificate.aspx?cid=90&amp;nopid=7170220503</v>
      </c>
    </row>
    <row r="685">
      <c r="A685" t="s">
        <v>3</v>
      </c>
      <c r="B685" s="6" t="s">
        <v>10</v>
      </c>
      <c r="C685" s="6" t="s">
        <v>57</v>
      </c>
      <c r="D685" s="6" t="s">
        <v>103</v>
      </c>
      <c r="E685" s="10" t="s">
        <v>826</v>
      </c>
      <c r="F685" s="6" t="s">
        <v>3555</v>
      </c>
      <c r="G685" s="6" t="s">
        <v>81</v>
      </c>
      <c r="H685" s="6" t="s">
        <v>6515</v>
      </c>
      <c r="I685" s="6" t="s">
        <v>8803</v>
      </c>
      <c r="J685" s="6" t="s">
        <v>9769</v>
      </c>
      <c r="K685" s="6" t="s">
        <v>10886</v>
      </c>
      <c r="L685" s="16" t="n">
        <v>44862</v>
      </c>
      <c r="M685" s="16" t="n">
        <v>45748</v>
      </c>
      <c r="N685" s="6" t="s">
        <v>10886</v>
      </c>
      <c r="O685" s="16" t="n">
        <v>44862</v>
      </c>
      <c r="P685" s="6" t="s">
        <v>10910</v>
      </c>
      <c r="Q685" s="6" t="s">
        <v>81</v>
      </c>
      <c r="R685" s="6" t="s">
        <v>12617</v>
      </c>
      <c r="S685" s="6" t="s">
        <v>10886</v>
      </c>
      <c r="T685" s="16" t="n">
        <v>44869</v>
      </c>
      <c r="U685" s="6" t="s">
        <v>13163</v>
      </c>
      <c r="V685" s="6" t="s">
        <v>81</v>
      </c>
      <c r="W685" s="6" t="s">
        <v>81</v>
      </c>
      <c r="X685" s="6" t="s">
        <v>81</v>
      </c>
      <c r="Y685" s="21" t="s">
        <v>81</v>
      </c>
      <c r="Z685" s="6" t="s">
        <v>81</v>
      </c>
      <c r="AA685" s="6" t="s">
        <v>81</v>
      </c>
      <c r="AB685" s="6" t="s">
        <v>81</v>
      </c>
      <c r="AC685" s="6" t="s">
        <v>81</v>
      </c>
      <c r="AD685" s="21" t="s">
        <v>81</v>
      </c>
      <c r="AE685" s="6" t="s">
        <v>81</v>
      </c>
      <c r="AF685" s="6" t="s">
        <v>81</v>
      </c>
      <c r="AG685" s="6" t="s">
        <v>81</v>
      </c>
      <c r="AH685" s="6" t="s">
        <v>15271</v>
      </c>
      <c r="AI685" s="6" t="s">
        <v>81</v>
      </c>
      <c r="AJ685" s="6" t="s">
        <v>17713</v>
      </c>
      <c r="AK685" s="6" t="s">
        <v>18391</v>
      </c>
      <c r="AL685" s="6" t="s">
        <v>18444</v>
      </c>
      <c r="AM685" s="6" t="s">
        <v>18880</v>
      </c>
      <c r="AN685" s="6" t="s">
        <v>19695</v>
      </c>
      <c r="AO685" s="6" t="s">
        <v>19909</v>
      </c>
      <c r="AP685" s="6" t="s">
        <v>15271</v>
      </c>
      <c r="AQ685" s="6" t="s">
        <v>81</v>
      </c>
      <c r="AR685" s="6" t="s">
        <v>17713</v>
      </c>
      <c r="AS685" s="6" t="s">
        <v>18391</v>
      </c>
      <c r="AT685" s="6" t="s">
        <v>18444</v>
      </c>
      <c r="AU685" s="6" t="s">
        <v>18880</v>
      </c>
      <c r="AV685" s="6" t="s">
        <v>81</v>
      </c>
      <c r="AW685" s="6" t="s">
        <v>81</v>
      </c>
      <c r="AX685" s="6" t="s">
        <v>21186</v>
      </c>
      <c r="AY685" s="6" t="s">
        <v>81</v>
      </c>
      <c r="AZ685" s="6" t="s">
        <v>81</v>
      </c>
      <c r="BA685" s="6" t="s">
        <v>81</v>
      </c>
      <c r="BB685" s="24" t="n">
        <v>387</v>
      </c>
      <c r="BC685" s="26"/>
      <c r="BD685" s="26"/>
      <c r="BE685" s="26"/>
      <c r="BF685" s="26"/>
      <c r="BG685" s="26"/>
      <c r="BH685" s="26"/>
      <c r="BI685" s="26"/>
      <c r="BJ685" s="26"/>
      <c r="BK685" s="26"/>
      <c r="BL685" s="26"/>
      <c r="BM685" s="26"/>
      <c r="BN685" s="26"/>
      <c r="BO685" s="26"/>
      <c r="BP685" s="16" t="n">
        <v>45730</v>
      </c>
      <c r="BQ685" s="28" t="str">
        <f>HYPERLINK("https://organic.ams.usda.gov/Integrity/Certificate.aspx?cid=90&amp;nopid=7170220611")</f>
        <v>https://organic.ams.usda.gov/Integrity/Certificate.aspx?cid=90&amp;nopid=7170220611</v>
      </c>
    </row>
    <row r="686">
      <c r="A686" t="s">
        <v>3</v>
      </c>
      <c r="B686" s="6" t="s">
        <v>35</v>
      </c>
      <c r="C686" s="6" t="s">
        <v>82</v>
      </c>
      <c r="D686" s="6" t="s">
        <v>127</v>
      </c>
      <c r="E686" s="10" t="s">
        <v>827</v>
      </c>
      <c r="F686" s="6" t="s">
        <v>3556</v>
      </c>
      <c r="G686" s="6" t="s">
        <v>81</v>
      </c>
      <c r="H686" s="6" t="s">
        <v>6516</v>
      </c>
      <c r="I686" s="6" t="s">
        <v>8432</v>
      </c>
      <c r="J686" s="6" t="s">
        <v>10025</v>
      </c>
      <c r="K686" s="6" t="s">
        <v>10886</v>
      </c>
      <c r="L686" s="16" t="n">
        <v>42667</v>
      </c>
      <c r="M686" s="16" t="n">
        <v>45762</v>
      </c>
      <c r="N686" s="6" t="s">
        <v>10886</v>
      </c>
      <c r="O686" s="16" t="n">
        <v>42667</v>
      </c>
      <c r="P686" s="6" t="s">
        <v>11319</v>
      </c>
      <c r="Q686" s="6" t="s">
        <v>81</v>
      </c>
      <c r="R686" s="6" t="s">
        <v>12618</v>
      </c>
      <c r="S686" s="6" t="s">
        <v>10886</v>
      </c>
      <c r="T686" s="16" t="n">
        <v>42667</v>
      </c>
      <c r="U686" s="6" t="s">
        <v>13320</v>
      </c>
      <c r="V686" s="6" t="s">
        <v>81</v>
      </c>
      <c r="W686" s="6" t="s">
        <v>12618</v>
      </c>
      <c r="X686" s="6" t="s">
        <v>81</v>
      </c>
      <c r="Y686" s="21" t="s">
        <v>81</v>
      </c>
      <c r="Z686" s="6" t="s">
        <v>81</v>
      </c>
      <c r="AA686" s="6" t="s">
        <v>81</v>
      </c>
      <c r="AB686" s="6" t="s">
        <v>81</v>
      </c>
      <c r="AC686" s="6" t="s">
        <v>81</v>
      </c>
      <c r="AD686" s="21" t="s">
        <v>81</v>
      </c>
      <c r="AE686" s="6" t="s">
        <v>81</v>
      </c>
      <c r="AF686" s="6" t="s">
        <v>81</v>
      </c>
      <c r="AG686" s="6" t="s">
        <v>81</v>
      </c>
      <c r="AH686" s="6" t="s">
        <v>15272</v>
      </c>
      <c r="AI686" s="6" t="s">
        <v>81</v>
      </c>
      <c r="AJ686" s="6" t="s">
        <v>17714</v>
      </c>
      <c r="AK686" s="6" t="s">
        <v>18405</v>
      </c>
      <c r="AL686" s="6" t="s">
        <v>18444</v>
      </c>
      <c r="AM686" s="6" t="s">
        <v>18881</v>
      </c>
      <c r="AN686" s="6" t="s">
        <v>19662</v>
      </c>
      <c r="AO686" s="6" t="s">
        <v>19856</v>
      </c>
      <c r="AP686" s="6" t="s">
        <v>20189</v>
      </c>
      <c r="AQ686" s="6" t="s">
        <v>81</v>
      </c>
      <c r="AR686" s="6" t="s">
        <v>17714</v>
      </c>
      <c r="AS686" s="6" t="s">
        <v>18405</v>
      </c>
      <c r="AT686" s="6" t="s">
        <v>18444</v>
      </c>
      <c r="AU686" s="6" t="s">
        <v>18881</v>
      </c>
      <c r="AV686" s="6" t="s">
        <v>81</v>
      </c>
      <c r="AW686" s="6" t="s">
        <v>81</v>
      </c>
      <c r="AX686" s="6" t="s">
        <v>21187</v>
      </c>
      <c r="AY686" s="6" t="s">
        <v>22819</v>
      </c>
      <c r="AZ686" s="6" t="s">
        <v>81</v>
      </c>
      <c r="BA686" s="6" t="s">
        <v>81</v>
      </c>
      <c r="BB686" s="24" t="n">
        <v>413</v>
      </c>
      <c r="BC686" s="26"/>
      <c r="BD686" s="26"/>
      <c r="BE686" s="26"/>
      <c r="BF686" s="26"/>
      <c r="BG686" s="26"/>
      <c r="BH686" s="26"/>
      <c r="BI686" s="26"/>
      <c r="BJ686" s="26"/>
      <c r="BK686" s="26"/>
      <c r="BL686" s="26"/>
      <c r="BM686" s="26"/>
      <c r="BN686" s="26"/>
      <c r="BO686" s="26"/>
      <c r="BP686" s="16" t="n">
        <v>45694</v>
      </c>
      <c r="BQ686" s="28" t="str">
        <f>HYPERLINK("https://organic.ams.usda.gov/Integrity/Certificate.aspx?cid=47&amp;nopid=7142074726")</f>
        <v>https://organic.ams.usda.gov/Integrity/Certificate.aspx?cid=47&amp;nopid=7142074726</v>
      </c>
    </row>
    <row r="687">
      <c r="A687" t="s">
        <v>3</v>
      </c>
      <c r="B687" s="6" t="s">
        <v>9</v>
      </c>
      <c r="C687" s="6" t="s">
        <v>56</v>
      </c>
      <c r="D687" s="6" t="s">
        <v>102</v>
      </c>
      <c r="E687" s="10" t="s">
        <v>828</v>
      </c>
      <c r="F687" s="6" t="s">
        <v>3557</v>
      </c>
      <c r="G687" s="6" t="s">
        <v>81</v>
      </c>
      <c r="H687" s="6" t="s">
        <v>6517</v>
      </c>
      <c r="I687" s="6" t="s">
        <v>81</v>
      </c>
      <c r="J687" s="6" t="s">
        <v>81</v>
      </c>
      <c r="K687" s="6" t="s">
        <v>10886</v>
      </c>
      <c r="L687" s="16" t="n">
        <v>41428</v>
      </c>
      <c r="M687" s="16" t="n">
        <v>46113</v>
      </c>
      <c r="N687" s="6" t="s">
        <v>10886</v>
      </c>
      <c r="O687" s="16" t="n">
        <v>41428</v>
      </c>
      <c r="P687" s="6" t="s">
        <v>11320</v>
      </c>
      <c r="Q687" s="6" t="s">
        <v>81</v>
      </c>
      <c r="R687" s="6" t="s">
        <v>12619</v>
      </c>
      <c r="S687" s="6" t="s">
        <v>10886</v>
      </c>
      <c r="T687" s="16" t="n">
        <v>41428</v>
      </c>
      <c r="U687" s="6" t="s">
        <v>13162</v>
      </c>
      <c r="V687" s="6" t="s">
        <v>81</v>
      </c>
      <c r="W687" s="6" t="s">
        <v>12619</v>
      </c>
      <c r="X687" s="6" t="s">
        <v>81</v>
      </c>
      <c r="Y687" s="21" t="s">
        <v>81</v>
      </c>
      <c r="Z687" s="6" t="s">
        <v>81</v>
      </c>
      <c r="AA687" s="6" t="s">
        <v>81</v>
      </c>
      <c r="AB687" s="6" t="s">
        <v>81</v>
      </c>
      <c r="AC687" s="6" t="s">
        <v>81</v>
      </c>
      <c r="AD687" s="21" t="s">
        <v>81</v>
      </c>
      <c r="AE687" s="6" t="s">
        <v>81</v>
      </c>
      <c r="AF687" s="6" t="s">
        <v>81</v>
      </c>
      <c r="AG687" s="6" t="s">
        <v>81</v>
      </c>
      <c r="AH687" s="6" t="s">
        <v>15273</v>
      </c>
      <c r="AI687" s="6" t="s">
        <v>81</v>
      </c>
      <c r="AJ687" s="6" t="s">
        <v>17715</v>
      </c>
      <c r="AK687" s="6" t="s">
        <v>18377</v>
      </c>
      <c r="AL687" s="6" t="s">
        <v>18444</v>
      </c>
      <c r="AM687" s="6" t="s">
        <v>18882</v>
      </c>
      <c r="AN687" s="6" t="s">
        <v>19648</v>
      </c>
      <c r="AO687" s="6" t="s">
        <v>19889</v>
      </c>
      <c r="AP687" s="6" t="s">
        <v>81</v>
      </c>
      <c r="AQ687" s="6" t="s">
        <v>81</v>
      </c>
      <c r="AR687" s="6" t="s">
        <v>81</v>
      </c>
      <c r="AS687" s="6" t="s">
        <v>81</v>
      </c>
      <c r="AT687" s="6" t="s">
        <v>81</v>
      </c>
      <c r="AU687" s="6" t="s">
        <v>81</v>
      </c>
      <c r="AV687" s="6" t="s">
        <v>81</v>
      </c>
      <c r="AW687" s="6" t="s">
        <v>81</v>
      </c>
      <c r="AX687" s="6" t="s">
        <v>21188</v>
      </c>
      <c r="AY687" s="6" t="s">
        <v>81</v>
      </c>
      <c r="AZ687" s="6" t="s">
        <v>81</v>
      </c>
      <c r="BA687" s="6" t="s">
        <v>81</v>
      </c>
      <c r="BB687" s="24" t="n">
        <v>422</v>
      </c>
      <c r="BC687" s="26"/>
      <c r="BD687" s="26"/>
      <c r="BE687" s="26"/>
      <c r="BF687" s="26"/>
      <c r="BG687" s="26"/>
      <c r="BH687" s="26"/>
      <c r="BI687" s="26"/>
      <c r="BJ687" s="26"/>
      <c r="BK687" s="26"/>
      <c r="BL687" s="26"/>
      <c r="BM687" s="26"/>
      <c r="BN687" s="26"/>
      <c r="BO687" s="26"/>
      <c r="BP687" s="16" t="n">
        <v>45738</v>
      </c>
      <c r="BQ687" s="28" t="str">
        <f>HYPERLINK("https://organic.ams.usda.gov/Integrity/Certificate.aspx?cid=52&amp;nopid=8431300458")</f>
        <v>https://organic.ams.usda.gov/Integrity/Certificate.aspx?cid=52&amp;nopid=8431300458</v>
      </c>
    </row>
    <row r="688">
      <c r="A688" t="s">
        <v>3</v>
      </c>
      <c r="B688" s="6" t="s">
        <v>14</v>
      </c>
      <c r="C688" s="6" t="s">
        <v>61</v>
      </c>
      <c r="D688" s="6" t="s">
        <v>107</v>
      </c>
      <c r="E688" s="10" t="s">
        <v>829</v>
      </c>
      <c r="F688" s="6" t="s">
        <v>3558</v>
      </c>
      <c r="G688" s="6" t="s">
        <v>81</v>
      </c>
      <c r="H688" s="6" t="s">
        <v>6518</v>
      </c>
      <c r="I688" s="6" t="s">
        <v>8804</v>
      </c>
      <c r="J688" s="6" t="s">
        <v>81</v>
      </c>
      <c r="K688" s="6" t="s">
        <v>10886</v>
      </c>
      <c r="L688" s="16" t="n">
        <v>45554</v>
      </c>
      <c r="M688" s="16" t="n">
        <v>45778</v>
      </c>
      <c r="N688" s="6" t="s">
        <v>81</v>
      </c>
      <c r="O688" s="21" t="s">
        <v>81</v>
      </c>
      <c r="P688" s="6" t="s">
        <v>81</v>
      </c>
      <c r="Q688" s="6" t="s">
        <v>81</v>
      </c>
      <c r="R688" s="6" t="s">
        <v>81</v>
      </c>
      <c r="S688" s="6" t="s">
        <v>81</v>
      </c>
      <c r="T688" s="21" t="s">
        <v>81</v>
      </c>
      <c r="U688" s="6" t="s">
        <v>81</v>
      </c>
      <c r="V688" s="6" t="s">
        <v>81</v>
      </c>
      <c r="W688" s="6" t="s">
        <v>81</v>
      </c>
      <c r="X688" s="6" t="s">
        <v>81</v>
      </c>
      <c r="Y688" s="21" t="s">
        <v>81</v>
      </c>
      <c r="Z688" s="6" t="s">
        <v>81</v>
      </c>
      <c r="AA688" s="6" t="s">
        <v>81</v>
      </c>
      <c r="AB688" s="6" t="s">
        <v>81</v>
      </c>
      <c r="AC688" s="6" t="s">
        <v>10886</v>
      </c>
      <c r="AD688" s="16" t="n">
        <v>45554</v>
      </c>
      <c r="AE688" s="6" t="s">
        <v>14145</v>
      </c>
      <c r="AF688" s="6" t="s">
        <v>81</v>
      </c>
      <c r="AG688" s="6" t="s">
        <v>81</v>
      </c>
      <c r="AH688" s="6" t="s">
        <v>15274</v>
      </c>
      <c r="AI688" s="6" t="s">
        <v>17283</v>
      </c>
      <c r="AJ688" s="6" t="s">
        <v>17716</v>
      </c>
      <c r="AK688" s="6" t="s">
        <v>17712</v>
      </c>
      <c r="AL688" s="6" t="s">
        <v>18444</v>
      </c>
      <c r="AM688" s="6" t="s">
        <v>18883</v>
      </c>
      <c r="AN688" s="6" t="s">
        <v>81</v>
      </c>
      <c r="AO688" s="6" t="s">
        <v>81</v>
      </c>
      <c r="AP688" s="6" t="s">
        <v>20190</v>
      </c>
      <c r="AQ688" s="6" t="s">
        <v>20474</v>
      </c>
      <c r="AR688" s="6" t="s">
        <v>20519</v>
      </c>
      <c r="AS688" s="6" t="s">
        <v>18382</v>
      </c>
      <c r="AT688" s="6" t="s">
        <v>18444</v>
      </c>
      <c r="AU688" s="6" t="s">
        <v>20631</v>
      </c>
      <c r="AV688" s="6" t="s">
        <v>81</v>
      </c>
      <c r="AW688" s="6" t="s">
        <v>81</v>
      </c>
      <c r="AX688" s="6" t="s">
        <v>21189</v>
      </c>
      <c r="AY688" s="6" t="s">
        <v>22820</v>
      </c>
      <c r="AZ688" s="6" t="s">
        <v>81</v>
      </c>
      <c r="BA688" s="6" t="s">
        <v>81</v>
      </c>
      <c r="BB688" s="24" t="n">
        <v>0</v>
      </c>
      <c r="BC688" s="26"/>
      <c r="BD688" s="26"/>
      <c r="BE688" s="26"/>
      <c r="BF688" s="26"/>
      <c r="BG688" s="26"/>
      <c r="BH688" s="26" t="s">
        <v>23900</v>
      </c>
      <c r="BI688" s="26"/>
      <c r="BJ688" s="26"/>
      <c r="BK688" s="26"/>
      <c r="BL688" s="26"/>
      <c r="BM688" s="26"/>
      <c r="BN688" s="26"/>
      <c r="BO688" s="26"/>
      <c r="BP688" s="16" t="n">
        <v>45674</v>
      </c>
      <c r="BQ688" s="28" t="str">
        <f>HYPERLINK("https://organic.ams.usda.gov/Integrity/Certificate.aspx?cid=51&amp;nopid=8241000130")</f>
        <v>https://organic.ams.usda.gov/Integrity/Certificate.aspx?cid=51&amp;nopid=8241000130</v>
      </c>
    </row>
    <row r="689">
      <c r="A689" t="s">
        <v>3</v>
      </c>
      <c r="B689" s="6" t="s">
        <v>8</v>
      </c>
      <c r="C689" s="6" t="s">
        <v>55</v>
      </c>
      <c r="D689" s="6" t="s">
        <v>101</v>
      </c>
      <c r="E689" s="10" t="s">
        <v>830</v>
      </c>
      <c r="F689" s="6" t="s">
        <v>3559</v>
      </c>
      <c r="G689" s="6" t="s">
        <v>81</v>
      </c>
      <c r="H689" s="6" t="s">
        <v>6519</v>
      </c>
      <c r="I689" s="6" t="s">
        <v>8805</v>
      </c>
      <c r="J689" s="6" t="s">
        <v>10026</v>
      </c>
      <c r="K689" s="6" t="s">
        <v>10886</v>
      </c>
      <c r="L689" s="16" t="n">
        <v>38713</v>
      </c>
      <c r="M689" s="16" t="n">
        <v>45383</v>
      </c>
      <c r="N689" s="6" t="s">
        <v>10886</v>
      </c>
      <c r="O689" s="16" t="n">
        <v>38713</v>
      </c>
      <c r="P689" s="6" t="s">
        <v>11321</v>
      </c>
      <c r="Q689" s="6" t="s">
        <v>81</v>
      </c>
      <c r="R689" s="6" t="s">
        <v>6519</v>
      </c>
      <c r="S689" s="6" t="s">
        <v>10886</v>
      </c>
      <c r="T689" s="16" t="n">
        <v>38713</v>
      </c>
      <c r="U689" s="6" t="s">
        <v>13426</v>
      </c>
      <c r="V689" s="6" t="s">
        <v>81</v>
      </c>
      <c r="W689" s="6" t="s">
        <v>6519</v>
      </c>
      <c r="X689" s="6" t="s">
        <v>81</v>
      </c>
      <c r="Y689" s="21" t="s">
        <v>81</v>
      </c>
      <c r="Z689" s="6" t="s">
        <v>81</v>
      </c>
      <c r="AA689" s="6" t="s">
        <v>81</v>
      </c>
      <c r="AB689" s="6" t="s">
        <v>81</v>
      </c>
      <c r="AC689" s="6" t="s">
        <v>81</v>
      </c>
      <c r="AD689" s="21" t="s">
        <v>81</v>
      </c>
      <c r="AE689" s="6" t="s">
        <v>81</v>
      </c>
      <c r="AF689" s="6" t="s">
        <v>81</v>
      </c>
      <c r="AG689" s="6" t="s">
        <v>81</v>
      </c>
      <c r="AH689" s="6" t="s">
        <v>15275</v>
      </c>
      <c r="AI689" s="6" t="s">
        <v>81</v>
      </c>
      <c r="AJ689" s="6" t="s">
        <v>17418</v>
      </c>
      <c r="AK689" s="6" t="s">
        <v>18379</v>
      </c>
      <c r="AL689" s="6" t="s">
        <v>18444</v>
      </c>
      <c r="AM689" s="6" t="s">
        <v>18575</v>
      </c>
      <c r="AN689" s="6" t="s">
        <v>19671</v>
      </c>
      <c r="AO689" s="6" t="s">
        <v>19784</v>
      </c>
      <c r="AP689" s="6" t="s">
        <v>20191</v>
      </c>
      <c r="AQ689" s="6" t="s">
        <v>81</v>
      </c>
      <c r="AR689" s="6" t="s">
        <v>18041</v>
      </c>
      <c r="AS689" s="6" t="s">
        <v>18379</v>
      </c>
      <c r="AT689" s="6" t="s">
        <v>18444</v>
      </c>
      <c r="AU689" s="6" t="s">
        <v>20632</v>
      </c>
      <c r="AV689" s="6" t="s">
        <v>81</v>
      </c>
      <c r="AW689" s="6" t="s">
        <v>81</v>
      </c>
      <c r="AX689" s="6" t="s">
        <v>81</v>
      </c>
      <c r="AY689" s="6" t="s">
        <v>81</v>
      </c>
      <c r="AZ689" s="6" t="s">
        <v>81</v>
      </c>
      <c r="BA689" s="6" t="s">
        <v>6519</v>
      </c>
      <c r="BB689" s="24" t="n">
        <v>304</v>
      </c>
      <c r="BC689" s="26"/>
      <c r="BD689" s="26"/>
      <c r="BE689" s="26"/>
      <c r="BF689" s="26"/>
      <c r="BG689" s="26"/>
      <c r="BH689" s="26"/>
      <c r="BI689" s="26"/>
      <c r="BJ689" s="26"/>
      <c r="BK689" s="26"/>
      <c r="BL689" s="26"/>
      <c r="BM689" s="26"/>
      <c r="BN689" s="26"/>
      <c r="BO689" s="26"/>
      <c r="BP689" s="16" t="n">
        <v>45425</v>
      </c>
      <c r="BQ689" s="28" t="str">
        <f>HYPERLINK("https://organic.ams.usda.gov/Integrity/Certificate.aspx?cid=45&amp;nopid=9950002154")</f>
        <v>https://organic.ams.usda.gov/Integrity/Certificate.aspx?cid=45&amp;nopid=9950002154</v>
      </c>
    </row>
    <row r="690">
      <c r="A690" t="s">
        <v>3</v>
      </c>
      <c r="B690" s="6" t="s">
        <v>21</v>
      </c>
      <c r="C690" s="6" t="s">
        <v>68</v>
      </c>
      <c r="D690" s="6" t="s">
        <v>114</v>
      </c>
      <c r="E690" s="10" t="s">
        <v>831</v>
      </c>
      <c r="F690" s="6" t="s">
        <v>3560</v>
      </c>
      <c r="G690" s="6" t="s">
        <v>81</v>
      </c>
      <c r="H690" s="6" t="s">
        <v>6520</v>
      </c>
      <c r="I690" s="6" t="s">
        <v>8806</v>
      </c>
      <c r="J690" s="6" t="s">
        <v>10027</v>
      </c>
      <c r="K690" s="6" t="s">
        <v>10886</v>
      </c>
      <c r="L690" s="16" t="n">
        <v>38993</v>
      </c>
      <c r="M690" s="16" t="n">
        <v>46023</v>
      </c>
      <c r="N690" s="6" t="s">
        <v>81</v>
      </c>
      <c r="O690" s="21" t="s">
        <v>81</v>
      </c>
      <c r="P690" s="6" t="s">
        <v>81</v>
      </c>
      <c r="Q690" s="6" t="s">
        <v>81</v>
      </c>
      <c r="R690" s="6" t="s">
        <v>81</v>
      </c>
      <c r="S690" s="6" t="s">
        <v>81</v>
      </c>
      <c r="T690" s="21" t="s">
        <v>81</v>
      </c>
      <c r="U690" s="6" t="s">
        <v>81</v>
      </c>
      <c r="V690" s="6" t="s">
        <v>81</v>
      </c>
      <c r="W690" s="6" t="s">
        <v>81</v>
      </c>
      <c r="X690" s="6" t="s">
        <v>81</v>
      </c>
      <c r="Y690" s="21" t="s">
        <v>81</v>
      </c>
      <c r="Z690" s="6" t="s">
        <v>81</v>
      </c>
      <c r="AA690" s="6" t="s">
        <v>81</v>
      </c>
      <c r="AB690" s="6" t="s">
        <v>81</v>
      </c>
      <c r="AC690" s="6" t="s">
        <v>10886</v>
      </c>
      <c r="AD690" s="16" t="n">
        <v>38993</v>
      </c>
      <c r="AE690" s="6" t="s">
        <v>14146</v>
      </c>
      <c r="AF690" s="6" t="s">
        <v>81</v>
      </c>
      <c r="AG690" s="6" t="s">
        <v>81</v>
      </c>
      <c r="AH690" s="6" t="s">
        <v>81</v>
      </c>
      <c r="AI690" s="6" t="s">
        <v>81</v>
      </c>
      <c r="AJ690" s="6" t="s">
        <v>81</v>
      </c>
      <c r="AK690" s="6" t="s">
        <v>81</v>
      </c>
      <c r="AL690" s="6" t="s">
        <v>81</v>
      </c>
      <c r="AM690" s="6" t="s">
        <v>81</v>
      </c>
      <c r="AN690" s="6" t="s">
        <v>81</v>
      </c>
      <c r="AO690" s="6" t="s">
        <v>81</v>
      </c>
      <c r="AP690" s="6" t="s">
        <v>20192</v>
      </c>
      <c r="AQ690" s="6" t="s">
        <v>81</v>
      </c>
      <c r="AR690" s="6" t="s">
        <v>9795</v>
      </c>
      <c r="AS690" s="6" t="s">
        <v>18385</v>
      </c>
      <c r="AT690" s="6" t="s">
        <v>18444</v>
      </c>
      <c r="AU690" s="6" t="s">
        <v>20633</v>
      </c>
      <c r="AV690" s="6" t="s">
        <v>20719</v>
      </c>
      <c r="AW690" s="6" t="s">
        <v>20728</v>
      </c>
      <c r="AX690" s="6" t="s">
        <v>21190</v>
      </c>
      <c r="AY690" s="6" t="s">
        <v>22821</v>
      </c>
      <c r="AZ690" s="6" t="s">
        <v>23639</v>
      </c>
      <c r="BA690" s="6" t="s">
        <v>81</v>
      </c>
      <c r="BB690" s="6" t="s">
        <v>81</v>
      </c>
      <c r="BC690" s="26"/>
      <c r="BD690" s="26"/>
      <c r="BE690" s="26"/>
      <c r="BF690" s="26"/>
      <c r="BG690" s="26"/>
      <c r="BH690" s="26"/>
      <c r="BI690" s="26"/>
      <c r="BJ690" s="26"/>
      <c r="BK690" s="26"/>
      <c r="BL690" s="26" t="s">
        <v>23900</v>
      </c>
      <c r="BM690" s="26"/>
      <c r="BN690" s="26"/>
      <c r="BO690" s="26"/>
      <c r="BP690" s="16" t="n">
        <v>45738</v>
      </c>
      <c r="BQ690" s="28" t="str">
        <f>HYPERLINK("https://organic.ams.usda.gov/Integrity/Certificate.aspx?cid=62&amp;nopid=8150001581")</f>
        <v>https://organic.ams.usda.gov/Integrity/Certificate.aspx?cid=62&amp;nopid=8150001581</v>
      </c>
    </row>
    <row r="691">
      <c r="A691" t="s">
        <v>3</v>
      </c>
      <c r="B691" s="6" t="s">
        <v>7</v>
      </c>
      <c r="C691" s="6" t="s">
        <v>54</v>
      </c>
      <c r="D691" s="6" t="s">
        <v>100</v>
      </c>
      <c r="E691" s="10" t="s">
        <v>832</v>
      </c>
      <c r="F691" s="6" t="s">
        <v>3561</v>
      </c>
      <c r="G691" s="6" t="s">
        <v>81</v>
      </c>
      <c r="H691" s="6" t="s">
        <v>6521</v>
      </c>
      <c r="I691" s="6" t="s">
        <v>8423</v>
      </c>
      <c r="J691" s="6" t="s">
        <v>10028</v>
      </c>
      <c r="K691" s="6" t="s">
        <v>10886</v>
      </c>
      <c r="L691" s="16" t="n">
        <v>43411</v>
      </c>
      <c r="M691" s="16" t="n">
        <v>45716</v>
      </c>
      <c r="N691" s="6" t="s">
        <v>10886</v>
      </c>
      <c r="O691" s="16" t="n">
        <v>43411</v>
      </c>
      <c r="P691" s="6" t="s">
        <v>10910</v>
      </c>
      <c r="Q691" s="6" t="s">
        <v>81</v>
      </c>
      <c r="R691" s="6" t="s">
        <v>81</v>
      </c>
      <c r="S691" s="6" t="s">
        <v>10886</v>
      </c>
      <c r="T691" s="16" t="n">
        <v>43649</v>
      </c>
      <c r="U691" s="6" t="s">
        <v>13169</v>
      </c>
      <c r="V691" s="6" t="s">
        <v>81</v>
      </c>
      <c r="W691" s="6" t="s">
        <v>81</v>
      </c>
      <c r="X691" s="6" t="s">
        <v>81</v>
      </c>
      <c r="Y691" s="21" t="s">
        <v>81</v>
      </c>
      <c r="Z691" s="6" t="s">
        <v>81</v>
      </c>
      <c r="AA691" s="6" t="s">
        <v>81</v>
      </c>
      <c r="AB691" s="6" t="s">
        <v>81</v>
      </c>
      <c r="AC691" s="6" t="s">
        <v>81</v>
      </c>
      <c r="AD691" s="21" t="s">
        <v>81</v>
      </c>
      <c r="AE691" s="6" t="s">
        <v>81</v>
      </c>
      <c r="AF691" s="6" t="s">
        <v>81</v>
      </c>
      <c r="AG691" s="6" t="s">
        <v>81</v>
      </c>
      <c r="AH691" s="6" t="s">
        <v>15276</v>
      </c>
      <c r="AI691" s="6" t="s">
        <v>81</v>
      </c>
      <c r="AJ691" s="6" t="s">
        <v>17717</v>
      </c>
      <c r="AK691" s="6" t="s">
        <v>17712</v>
      </c>
      <c r="AL691" s="6" t="s">
        <v>18444</v>
      </c>
      <c r="AM691" s="6" t="s">
        <v>18884</v>
      </c>
      <c r="AN691" s="6" t="s">
        <v>19645</v>
      </c>
      <c r="AO691" s="6" t="s">
        <v>19770</v>
      </c>
      <c r="AP691" s="6" t="s">
        <v>15276</v>
      </c>
      <c r="AQ691" s="6" t="s">
        <v>81</v>
      </c>
      <c r="AR691" s="6" t="s">
        <v>17717</v>
      </c>
      <c r="AS691" s="6" t="s">
        <v>17712</v>
      </c>
      <c r="AT691" s="6" t="s">
        <v>18444</v>
      </c>
      <c r="AU691" s="6" t="s">
        <v>18884</v>
      </c>
      <c r="AV691" s="6" t="s">
        <v>81</v>
      </c>
      <c r="AW691" s="6" t="s">
        <v>81</v>
      </c>
      <c r="AX691" s="6" t="s">
        <v>21191</v>
      </c>
      <c r="AY691" s="6" t="s">
        <v>81</v>
      </c>
      <c r="AZ691" s="6" t="s">
        <v>81</v>
      </c>
      <c r="BA691" s="6" t="s">
        <v>81</v>
      </c>
      <c r="BB691" s="24" t="n">
        <v>120</v>
      </c>
      <c r="BC691" s="26"/>
      <c r="BD691" s="26"/>
      <c r="BE691" s="26"/>
      <c r="BF691" s="26"/>
      <c r="BG691" s="26"/>
      <c r="BH691" s="26"/>
      <c r="BI691" s="26"/>
      <c r="BJ691" s="26"/>
      <c r="BK691" s="26"/>
      <c r="BL691" s="26"/>
      <c r="BM691" s="26"/>
      <c r="BN691" s="26"/>
      <c r="BO691" s="26"/>
      <c r="BP691" s="16" t="n">
        <v>45595</v>
      </c>
      <c r="BQ691" s="28" t="str">
        <f>HYPERLINK("https://organic.ams.usda.gov/Integrity/Certificate.aspx?cid=57&amp;nopid=3252018074")</f>
        <v>https://organic.ams.usda.gov/Integrity/Certificate.aspx?cid=57&amp;nopid=3252018074</v>
      </c>
    </row>
    <row r="692">
      <c r="A692" t="s">
        <v>3</v>
      </c>
      <c r="B692" s="6" t="s">
        <v>24</v>
      </c>
      <c r="C692" s="6" t="s">
        <v>71</v>
      </c>
      <c r="D692" s="6" t="s">
        <v>117</v>
      </c>
      <c r="E692" s="10" t="s">
        <v>833</v>
      </c>
      <c r="F692" s="6" t="s">
        <v>3562</v>
      </c>
      <c r="G692" s="6" t="s">
        <v>81</v>
      </c>
      <c r="H692" s="6" t="s">
        <v>81</v>
      </c>
      <c r="I692" s="6" t="s">
        <v>8807</v>
      </c>
      <c r="J692" s="6" t="s">
        <v>10029</v>
      </c>
      <c r="K692" s="6" t="s">
        <v>10886</v>
      </c>
      <c r="L692" s="16" t="n">
        <v>44209</v>
      </c>
      <c r="M692" s="16" t="n">
        <v>45778</v>
      </c>
      <c r="N692" s="6" t="s">
        <v>10886</v>
      </c>
      <c r="O692" s="16" t="n">
        <v>44860</v>
      </c>
      <c r="P692" s="6" t="s">
        <v>11322</v>
      </c>
      <c r="Q692" s="6" t="s">
        <v>81</v>
      </c>
      <c r="R692" s="6" t="s">
        <v>81</v>
      </c>
      <c r="S692" s="6" t="s">
        <v>10886</v>
      </c>
      <c r="T692" s="16" t="n">
        <v>44574</v>
      </c>
      <c r="U692" s="6" t="s">
        <v>13427</v>
      </c>
      <c r="V692" s="6" t="s">
        <v>81</v>
      </c>
      <c r="W692" s="6" t="s">
        <v>81</v>
      </c>
      <c r="X692" s="6" t="s">
        <v>81</v>
      </c>
      <c r="Y692" s="21" t="s">
        <v>81</v>
      </c>
      <c r="Z692" s="6" t="s">
        <v>81</v>
      </c>
      <c r="AA692" s="6" t="s">
        <v>81</v>
      </c>
      <c r="AB692" s="6" t="s">
        <v>81</v>
      </c>
      <c r="AC692" s="6" t="s">
        <v>10886</v>
      </c>
      <c r="AD692" s="16" t="n">
        <v>44574</v>
      </c>
      <c r="AE692" s="6" t="s">
        <v>14147</v>
      </c>
      <c r="AF692" s="6" t="s">
        <v>81</v>
      </c>
      <c r="AG692" s="6" t="s">
        <v>81</v>
      </c>
      <c r="AH692" s="6" t="s">
        <v>15277</v>
      </c>
      <c r="AI692" s="6" t="s">
        <v>81</v>
      </c>
      <c r="AJ692" s="6" t="s">
        <v>17349</v>
      </c>
      <c r="AK692" s="6" t="s">
        <v>17712</v>
      </c>
      <c r="AL692" s="6" t="s">
        <v>18444</v>
      </c>
      <c r="AM692" s="6" t="s">
        <v>18503</v>
      </c>
      <c r="AN692" s="6" t="s">
        <v>19653</v>
      </c>
      <c r="AO692" s="6" t="s">
        <v>19744</v>
      </c>
      <c r="AP692" s="6" t="s">
        <v>15277</v>
      </c>
      <c r="AQ692" s="6" t="s">
        <v>81</v>
      </c>
      <c r="AR692" s="6" t="s">
        <v>17349</v>
      </c>
      <c r="AS692" s="6" t="s">
        <v>17712</v>
      </c>
      <c r="AT692" s="6" t="s">
        <v>18444</v>
      </c>
      <c r="AU692" s="6" t="s">
        <v>18503</v>
      </c>
      <c r="AV692" s="6" t="s">
        <v>81</v>
      </c>
      <c r="AW692" s="6" t="s">
        <v>81</v>
      </c>
      <c r="AX692" s="6" t="s">
        <v>81</v>
      </c>
      <c r="AY692" s="6" t="s">
        <v>22822</v>
      </c>
      <c r="AZ692" s="6" t="s">
        <v>81</v>
      </c>
      <c r="BA692" s="6" t="s">
        <v>81</v>
      </c>
      <c r="BB692" s="24" t="n">
        <v>896</v>
      </c>
      <c r="BC692" s="26"/>
      <c r="BD692" s="26"/>
      <c r="BE692" s="26"/>
      <c r="BF692" s="26"/>
      <c r="BG692" s="26"/>
      <c r="BH692" s="26"/>
      <c r="BI692" s="26"/>
      <c r="BJ692" s="26"/>
      <c r="BK692" s="26"/>
      <c r="BL692" s="26"/>
      <c r="BM692" s="26"/>
      <c r="BN692" s="26"/>
      <c r="BO692" s="26"/>
      <c r="BP692" s="16" t="n">
        <v>45628</v>
      </c>
      <c r="BQ692" s="28" t="str">
        <f>HYPERLINK("https://organic.ams.usda.gov/Integrity/Certificate.aspx?cid=1&amp;nopid=9092128002")</f>
        <v>https://organic.ams.usda.gov/Integrity/Certificate.aspx?cid=1&amp;nopid=9092128002</v>
      </c>
    </row>
    <row r="693">
      <c r="A693" t="s">
        <v>3</v>
      </c>
      <c r="B693" s="6" t="s">
        <v>12</v>
      </c>
      <c r="C693" s="6" t="s">
        <v>59</v>
      </c>
      <c r="D693" s="6" t="s">
        <v>105</v>
      </c>
      <c r="E693" s="10" t="s">
        <v>834</v>
      </c>
      <c r="F693" s="6" t="s">
        <v>3563</v>
      </c>
      <c r="G693" s="6" t="s">
        <v>81</v>
      </c>
      <c r="H693" s="6" t="s">
        <v>6522</v>
      </c>
      <c r="I693" s="6" t="s">
        <v>8808</v>
      </c>
      <c r="J693" s="6" t="s">
        <v>9750</v>
      </c>
      <c r="K693" s="6" t="s">
        <v>10886</v>
      </c>
      <c r="L693" s="16" t="n">
        <v>44407</v>
      </c>
      <c r="M693" s="16" t="n">
        <v>45717</v>
      </c>
      <c r="N693" s="6" t="s">
        <v>10886</v>
      </c>
      <c r="O693" s="16" t="n">
        <v>44407</v>
      </c>
      <c r="P693" s="6" t="s">
        <v>11323</v>
      </c>
      <c r="Q693" s="6" t="s">
        <v>81</v>
      </c>
      <c r="R693" s="6" t="s">
        <v>81</v>
      </c>
      <c r="S693" s="6" t="s">
        <v>10886</v>
      </c>
      <c r="T693" s="16" t="n">
        <v>44407</v>
      </c>
      <c r="U693" s="6" t="s">
        <v>13183</v>
      </c>
      <c r="V693" s="6" t="s">
        <v>81</v>
      </c>
      <c r="W693" s="6" t="s">
        <v>81</v>
      </c>
      <c r="X693" s="6" t="s">
        <v>81</v>
      </c>
      <c r="Y693" s="21" t="s">
        <v>81</v>
      </c>
      <c r="Z693" s="6" t="s">
        <v>81</v>
      </c>
      <c r="AA693" s="6" t="s">
        <v>81</v>
      </c>
      <c r="AB693" s="6" t="s">
        <v>81</v>
      </c>
      <c r="AC693" s="6" t="s">
        <v>81</v>
      </c>
      <c r="AD693" s="21" t="s">
        <v>81</v>
      </c>
      <c r="AE693" s="6" t="s">
        <v>81</v>
      </c>
      <c r="AF693" s="6" t="s">
        <v>81</v>
      </c>
      <c r="AG693" s="6" t="s">
        <v>81</v>
      </c>
      <c r="AH693" s="6" t="s">
        <v>15278</v>
      </c>
      <c r="AI693" s="6" t="s">
        <v>81</v>
      </c>
      <c r="AJ693" s="6" t="s">
        <v>17595</v>
      </c>
      <c r="AK693" s="6" t="s">
        <v>17712</v>
      </c>
      <c r="AL693" s="6" t="s">
        <v>18444</v>
      </c>
      <c r="AM693" s="6" t="s">
        <v>18761</v>
      </c>
      <c r="AN693" s="6" t="s">
        <v>19634</v>
      </c>
      <c r="AO693" s="6" t="s">
        <v>19719</v>
      </c>
      <c r="AP693" s="6" t="s">
        <v>15278</v>
      </c>
      <c r="AQ693" s="6" t="s">
        <v>81</v>
      </c>
      <c r="AR693" s="6" t="s">
        <v>17595</v>
      </c>
      <c r="AS693" s="6" t="s">
        <v>17712</v>
      </c>
      <c r="AT693" s="6" t="s">
        <v>18444</v>
      </c>
      <c r="AU693" s="6" t="s">
        <v>18761</v>
      </c>
      <c r="AV693" s="6" t="s">
        <v>81</v>
      </c>
      <c r="AW693" s="6" t="s">
        <v>81</v>
      </c>
      <c r="AX693" s="6" t="s">
        <v>21192</v>
      </c>
      <c r="AY693" s="6" t="s">
        <v>81</v>
      </c>
      <c r="AZ693" s="6" t="s">
        <v>81</v>
      </c>
      <c r="BA693" s="6" t="s">
        <v>81</v>
      </c>
      <c r="BB693" s="24" t="n">
        <v>129</v>
      </c>
      <c r="BC693" s="26"/>
      <c r="BD693" s="26"/>
      <c r="BE693" s="26"/>
      <c r="BF693" s="26"/>
      <c r="BG693" s="26"/>
      <c r="BH693" s="26"/>
      <c r="BI693" s="26"/>
      <c r="BJ693" s="26"/>
      <c r="BK693" s="26"/>
      <c r="BL693" s="26"/>
      <c r="BM693" s="26"/>
      <c r="BN693" s="26"/>
      <c r="BO693" s="26"/>
      <c r="BP693" s="16" t="n">
        <v>45684</v>
      </c>
      <c r="BQ693" s="28" t="str">
        <f>HYPERLINK("https://organic.ams.usda.gov/Integrity/Certificate.aspx?cid=68&amp;nopid=8210005268")</f>
        <v>https://organic.ams.usda.gov/Integrity/Certificate.aspx?cid=68&amp;nopid=8210005268</v>
      </c>
    </row>
    <row r="694">
      <c r="A694" t="s">
        <v>3</v>
      </c>
      <c r="B694" s="6" t="s">
        <v>8</v>
      </c>
      <c r="C694" s="6" t="s">
        <v>55</v>
      </c>
      <c r="D694" s="6" t="s">
        <v>101</v>
      </c>
      <c r="E694" s="10" t="s">
        <v>835</v>
      </c>
      <c r="F694" s="6" t="s">
        <v>3564</v>
      </c>
      <c r="G694" s="6" t="s">
        <v>81</v>
      </c>
      <c r="H694" s="6" t="s">
        <v>6523</v>
      </c>
      <c r="I694" s="6" t="s">
        <v>8809</v>
      </c>
      <c r="J694" s="6" t="s">
        <v>10030</v>
      </c>
      <c r="K694" s="6" t="s">
        <v>10886</v>
      </c>
      <c r="L694" s="16" t="n">
        <v>42523</v>
      </c>
      <c r="M694" s="16" t="n">
        <v>45689</v>
      </c>
      <c r="N694" s="6" t="s">
        <v>10886</v>
      </c>
      <c r="O694" s="16" t="n">
        <v>42523</v>
      </c>
      <c r="P694" s="6" t="s">
        <v>11324</v>
      </c>
      <c r="Q694" s="6" t="s">
        <v>81</v>
      </c>
      <c r="R694" s="6" t="s">
        <v>6523</v>
      </c>
      <c r="S694" s="6" t="s">
        <v>10886</v>
      </c>
      <c r="T694" s="16" t="n">
        <v>42523</v>
      </c>
      <c r="U694" s="6" t="s">
        <v>13428</v>
      </c>
      <c r="V694" s="6" t="s">
        <v>81</v>
      </c>
      <c r="W694" s="6" t="s">
        <v>6523</v>
      </c>
      <c r="X694" s="6" t="s">
        <v>81</v>
      </c>
      <c r="Y694" s="21" t="s">
        <v>81</v>
      </c>
      <c r="Z694" s="6" t="s">
        <v>81</v>
      </c>
      <c r="AA694" s="6" t="s">
        <v>81</v>
      </c>
      <c r="AB694" s="6" t="s">
        <v>81</v>
      </c>
      <c r="AC694" s="6" t="s">
        <v>81</v>
      </c>
      <c r="AD694" s="21" t="s">
        <v>81</v>
      </c>
      <c r="AE694" s="6" t="s">
        <v>81</v>
      </c>
      <c r="AF694" s="6" t="s">
        <v>81</v>
      </c>
      <c r="AG694" s="6" t="s">
        <v>81</v>
      </c>
      <c r="AH694" s="6" t="s">
        <v>15279</v>
      </c>
      <c r="AI694" s="6" t="s">
        <v>81</v>
      </c>
      <c r="AJ694" s="6" t="s">
        <v>17718</v>
      </c>
      <c r="AK694" s="6" t="s">
        <v>18381</v>
      </c>
      <c r="AL694" s="6" t="s">
        <v>18444</v>
      </c>
      <c r="AM694" s="6" t="s">
        <v>18885</v>
      </c>
      <c r="AN694" s="6" t="s">
        <v>19672</v>
      </c>
      <c r="AO694" s="6" t="s">
        <v>19836</v>
      </c>
      <c r="AP694" s="6" t="s">
        <v>81</v>
      </c>
      <c r="AQ694" s="6" t="s">
        <v>81</v>
      </c>
      <c r="AR694" s="6" t="s">
        <v>81</v>
      </c>
      <c r="AS694" s="6" t="s">
        <v>81</v>
      </c>
      <c r="AT694" s="6" t="s">
        <v>81</v>
      </c>
      <c r="AU694" s="6" t="s">
        <v>81</v>
      </c>
      <c r="AV694" s="6" t="s">
        <v>81</v>
      </c>
      <c r="AW694" s="6" t="s">
        <v>81</v>
      </c>
      <c r="AX694" s="6" t="s">
        <v>81</v>
      </c>
      <c r="AY694" s="6" t="s">
        <v>22823</v>
      </c>
      <c r="AZ694" s="6" t="s">
        <v>81</v>
      </c>
      <c r="BA694" s="6" t="s">
        <v>23819</v>
      </c>
      <c r="BB694" s="24" t="n">
        <v>248</v>
      </c>
      <c r="BC694" s="26"/>
      <c r="BD694" s="26"/>
      <c r="BE694" s="26"/>
      <c r="BF694" s="26"/>
      <c r="BG694" s="26"/>
      <c r="BH694" s="26"/>
      <c r="BI694" s="26"/>
      <c r="BJ694" s="26"/>
      <c r="BK694" s="26"/>
      <c r="BL694" s="26"/>
      <c r="BM694" s="26"/>
      <c r="BN694" s="26"/>
      <c r="BO694" s="26"/>
      <c r="BP694" s="16" t="n">
        <v>45736</v>
      </c>
      <c r="BQ694" s="28" t="str">
        <f>HYPERLINK("https://organic.ams.usda.gov/Integrity/Certificate.aspx?cid=45&amp;nopid=9950008462")</f>
        <v>https://organic.ams.usda.gov/Integrity/Certificate.aspx?cid=45&amp;nopid=9950008462</v>
      </c>
    </row>
    <row r="695">
      <c r="A695" t="s">
        <v>3</v>
      </c>
      <c r="B695" s="6" t="s">
        <v>11</v>
      </c>
      <c r="C695" s="6" t="s">
        <v>58</v>
      </c>
      <c r="D695" s="6" t="s">
        <v>104</v>
      </c>
      <c r="E695" s="10" t="s">
        <v>836</v>
      </c>
      <c r="F695" s="6" t="s">
        <v>3565</v>
      </c>
      <c r="G695" s="6" t="s">
        <v>81</v>
      </c>
      <c r="H695" s="6" t="s">
        <v>81</v>
      </c>
      <c r="I695" s="6" t="s">
        <v>8810</v>
      </c>
      <c r="J695" s="6" t="s">
        <v>9740</v>
      </c>
      <c r="K695" s="6" t="s">
        <v>10886</v>
      </c>
      <c r="L695" s="16" t="n">
        <v>43130</v>
      </c>
      <c r="M695" s="16" t="n">
        <v>45383</v>
      </c>
      <c r="N695" s="6" t="s">
        <v>10886</v>
      </c>
      <c r="O695" s="16" t="n">
        <v>43130</v>
      </c>
      <c r="P695" s="6" t="s">
        <v>10938</v>
      </c>
      <c r="Q695" s="6" t="s">
        <v>81</v>
      </c>
      <c r="R695" s="6" t="s">
        <v>81</v>
      </c>
      <c r="S695" s="6" t="s">
        <v>10886</v>
      </c>
      <c r="T695" s="16" t="n">
        <v>43130</v>
      </c>
      <c r="U695" s="6" t="s">
        <v>13205</v>
      </c>
      <c r="V695" s="6" t="s">
        <v>81</v>
      </c>
      <c r="W695" s="6" t="s">
        <v>81</v>
      </c>
      <c r="X695" s="6" t="s">
        <v>81</v>
      </c>
      <c r="Y695" s="21" t="s">
        <v>81</v>
      </c>
      <c r="Z695" s="6" t="s">
        <v>81</v>
      </c>
      <c r="AA695" s="6" t="s">
        <v>81</v>
      </c>
      <c r="AB695" s="6" t="s">
        <v>81</v>
      </c>
      <c r="AC695" s="6" t="s">
        <v>81</v>
      </c>
      <c r="AD695" s="21" t="s">
        <v>81</v>
      </c>
      <c r="AE695" s="6" t="s">
        <v>81</v>
      </c>
      <c r="AF695" s="6" t="s">
        <v>81</v>
      </c>
      <c r="AG695" s="6" t="s">
        <v>81</v>
      </c>
      <c r="AH695" s="6" t="s">
        <v>15280</v>
      </c>
      <c r="AI695" s="6" t="s">
        <v>81</v>
      </c>
      <c r="AJ695" s="6" t="s">
        <v>17366</v>
      </c>
      <c r="AK695" s="6" t="s">
        <v>18381</v>
      </c>
      <c r="AL695" s="6" t="s">
        <v>18444</v>
      </c>
      <c r="AM695" s="6" t="s">
        <v>18518</v>
      </c>
      <c r="AN695" s="6" t="s">
        <v>19676</v>
      </c>
      <c r="AO695" s="6" t="s">
        <v>19797</v>
      </c>
      <c r="AP695" s="6" t="s">
        <v>15280</v>
      </c>
      <c r="AQ695" s="6" t="s">
        <v>81</v>
      </c>
      <c r="AR695" s="6" t="s">
        <v>17366</v>
      </c>
      <c r="AS695" s="6" t="s">
        <v>18381</v>
      </c>
      <c r="AT695" s="6" t="s">
        <v>18444</v>
      </c>
      <c r="AU695" s="6" t="s">
        <v>18518</v>
      </c>
      <c r="AV695" s="6" t="s">
        <v>81</v>
      </c>
      <c r="AW695" s="6" t="s">
        <v>81</v>
      </c>
      <c r="AX695" s="6" t="s">
        <v>81</v>
      </c>
      <c r="AY695" s="6" t="s">
        <v>81</v>
      </c>
      <c r="AZ695" s="6" t="s">
        <v>81</v>
      </c>
      <c r="BA695" s="6" t="s">
        <v>23825</v>
      </c>
      <c r="BB695" s="24" t="n">
        <v>19</v>
      </c>
      <c r="BC695" s="26"/>
      <c r="BD695" s="26"/>
      <c r="BE695" s="26"/>
      <c r="BF695" s="26"/>
      <c r="BG695" s="26"/>
      <c r="BH695" s="26"/>
      <c r="BI695" s="26"/>
      <c r="BJ695" s="26"/>
      <c r="BK695" s="26"/>
      <c r="BL695" s="26"/>
      <c r="BM695" s="26"/>
      <c r="BN695" s="26"/>
      <c r="BO695" s="26"/>
      <c r="BP695" s="16" t="n">
        <v>45442</v>
      </c>
      <c r="BQ695" s="28" t="str">
        <f>HYPERLINK("https://organic.ams.usda.gov/Integrity/Certificate.aspx?cid=46&amp;nopid=3671800005")</f>
        <v>https://organic.ams.usda.gov/Integrity/Certificate.aspx?cid=46&amp;nopid=3671800005</v>
      </c>
    </row>
    <row r="696">
      <c r="A696" t="s">
        <v>3</v>
      </c>
      <c r="B696" s="6" t="s">
        <v>23</v>
      </c>
      <c r="C696" s="6" t="s">
        <v>70</v>
      </c>
      <c r="D696" s="6" t="s">
        <v>116</v>
      </c>
      <c r="E696" s="10" t="s">
        <v>837</v>
      </c>
      <c r="F696" s="6" t="s">
        <v>3566</v>
      </c>
      <c r="G696" s="6" t="s">
        <v>81</v>
      </c>
      <c r="H696" s="6" t="s">
        <v>6524</v>
      </c>
      <c r="I696" s="6" t="s">
        <v>8514</v>
      </c>
      <c r="J696" s="6" t="s">
        <v>8866</v>
      </c>
      <c r="K696" s="6" t="s">
        <v>10886</v>
      </c>
      <c r="L696" s="16" t="n">
        <v>43126</v>
      </c>
      <c r="M696" s="16" t="n">
        <v>46048</v>
      </c>
      <c r="N696" s="6" t="s">
        <v>81</v>
      </c>
      <c r="O696" s="21" t="s">
        <v>81</v>
      </c>
      <c r="P696" s="6" t="s">
        <v>81</v>
      </c>
      <c r="Q696" s="6" t="s">
        <v>81</v>
      </c>
      <c r="R696" s="6" t="s">
        <v>81</v>
      </c>
      <c r="S696" s="6" t="s">
        <v>81</v>
      </c>
      <c r="T696" s="21" t="s">
        <v>81</v>
      </c>
      <c r="U696" s="6" t="s">
        <v>81</v>
      </c>
      <c r="V696" s="6" t="s">
        <v>81</v>
      </c>
      <c r="W696" s="6" t="s">
        <v>81</v>
      </c>
      <c r="X696" s="6" t="s">
        <v>81</v>
      </c>
      <c r="Y696" s="21" t="s">
        <v>81</v>
      </c>
      <c r="Z696" s="6" t="s">
        <v>81</v>
      </c>
      <c r="AA696" s="6" t="s">
        <v>81</v>
      </c>
      <c r="AB696" s="6" t="s">
        <v>81</v>
      </c>
      <c r="AC696" s="6" t="s">
        <v>10886</v>
      </c>
      <c r="AD696" s="16" t="n">
        <v>43126</v>
      </c>
      <c r="AE696" s="6" t="s">
        <v>14148</v>
      </c>
      <c r="AF696" s="6" t="s">
        <v>81</v>
      </c>
      <c r="AG696" s="6" t="s">
        <v>81</v>
      </c>
      <c r="AH696" s="6" t="s">
        <v>15281</v>
      </c>
      <c r="AI696" s="6" t="s">
        <v>81</v>
      </c>
      <c r="AJ696" s="6" t="s">
        <v>17719</v>
      </c>
      <c r="AK696" s="6" t="s">
        <v>18385</v>
      </c>
      <c r="AL696" s="6" t="s">
        <v>18444</v>
      </c>
      <c r="AM696" s="6" t="s">
        <v>18886</v>
      </c>
      <c r="AN696" s="6" t="s">
        <v>81</v>
      </c>
      <c r="AO696" s="6" t="s">
        <v>81</v>
      </c>
      <c r="AP696" s="6" t="s">
        <v>81</v>
      </c>
      <c r="AQ696" s="6" t="s">
        <v>81</v>
      </c>
      <c r="AR696" s="6" t="s">
        <v>81</v>
      </c>
      <c r="AS696" s="6" t="s">
        <v>81</v>
      </c>
      <c r="AT696" s="6" t="s">
        <v>81</v>
      </c>
      <c r="AU696" s="6" t="s">
        <v>81</v>
      </c>
      <c r="AV696" s="6" t="s">
        <v>81</v>
      </c>
      <c r="AW696" s="6" t="s">
        <v>81</v>
      </c>
      <c r="AX696" s="6" t="s">
        <v>21193</v>
      </c>
      <c r="AY696" s="6" t="s">
        <v>22824</v>
      </c>
      <c r="AZ696" s="6" t="s">
        <v>81</v>
      </c>
      <c r="BA696" s="6" t="s">
        <v>81</v>
      </c>
      <c r="BB696" s="6" t="s">
        <v>81</v>
      </c>
      <c r="BC696" s="26"/>
      <c r="BD696" s="26"/>
      <c r="BE696" s="26"/>
      <c r="BF696" s="26"/>
      <c r="BG696" s="26"/>
      <c r="BH696" s="26"/>
      <c r="BI696" s="26"/>
      <c r="BJ696" s="26"/>
      <c r="BK696" s="26"/>
      <c r="BL696" s="26"/>
      <c r="BM696" s="26"/>
      <c r="BN696" s="26"/>
      <c r="BO696" s="26"/>
      <c r="BP696" s="16" t="n">
        <v>45730</v>
      </c>
      <c r="BQ696" s="28" t="str">
        <f>HYPERLINK("https://organic.ams.usda.gov/Integrity/Certificate.aspx?cid=63&amp;nopid=6220007351")</f>
        <v>https://organic.ams.usda.gov/Integrity/Certificate.aspx?cid=63&amp;nopid=6220007351</v>
      </c>
    </row>
    <row r="697">
      <c r="A697" t="s">
        <v>3</v>
      </c>
      <c r="B697" s="6" t="s">
        <v>8</v>
      </c>
      <c r="C697" s="6" t="s">
        <v>55</v>
      </c>
      <c r="D697" s="6" t="s">
        <v>101</v>
      </c>
      <c r="E697" s="10" t="s">
        <v>838</v>
      </c>
      <c r="F697" s="6" t="s">
        <v>3567</v>
      </c>
      <c r="G697" s="6" t="s">
        <v>81</v>
      </c>
      <c r="H697" s="6" t="s">
        <v>6525</v>
      </c>
      <c r="I697" s="6" t="s">
        <v>8409</v>
      </c>
      <c r="J697" s="6" t="s">
        <v>9742</v>
      </c>
      <c r="K697" s="6" t="s">
        <v>10886</v>
      </c>
      <c r="L697" s="16" t="n">
        <v>41141</v>
      </c>
      <c r="M697" s="16" t="n">
        <v>45689</v>
      </c>
      <c r="N697" s="6" t="s">
        <v>10886</v>
      </c>
      <c r="O697" s="16" t="n">
        <v>41141</v>
      </c>
      <c r="P697" s="6" t="s">
        <v>11325</v>
      </c>
      <c r="Q697" s="6" t="s">
        <v>81</v>
      </c>
      <c r="R697" s="6" t="s">
        <v>6525</v>
      </c>
      <c r="S697" s="6" t="s">
        <v>10886</v>
      </c>
      <c r="T697" s="16" t="n">
        <v>41141</v>
      </c>
      <c r="U697" s="6" t="s">
        <v>13173</v>
      </c>
      <c r="V697" s="6" t="s">
        <v>81</v>
      </c>
      <c r="W697" s="6" t="s">
        <v>6525</v>
      </c>
      <c r="X697" s="6" t="s">
        <v>81</v>
      </c>
      <c r="Y697" s="21" t="s">
        <v>81</v>
      </c>
      <c r="Z697" s="6" t="s">
        <v>81</v>
      </c>
      <c r="AA697" s="6" t="s">
        <v>81</v>
      </c>
      <c r="AB697" s="6" t="s">
        <v>81</v>
      </c>
      <c r="AC697" s="6" t="s">
        <v>81</v>
      </c>
      <c r="AD697" s="21" t="s">
        <v>81</v>
      </c>
      <c r="AE697" s="6" t="s">
        <v>81</v>
      </c>
      <c r="AF697" s="6" t="s">
        <v>81</v>
      </c>
      <c r="AG697" s="6" t="s">
        <v>81</v>
      </c>
      <c r="AH697" s="6" t="s">
        <v>15282</v>
      </c>
      <c r="AI697" s="6" t="s">
        <v>81</v>
      </c>
      <c r="AJ697" s="6" t="s">
        <v>8924</v>
      </c>
      <c r="AK697" s="6" t="s">
        <v>18381</v>
      </c>
      <c r="AL697" s="6" t="s">
        <v>18444</v>
      </c>
      <c r="AM697" s="6" t="s">
        <v>18887</v>
      </c>
      <c r="AN697" s="6" t="s">
        <v>19663</v>
      </c>
      <c r="AO697" s="6" t="s">
        <v>19763</v>
      </c>
      <c r="AP697" s="6" t="s">
        <v>81</v>
      </c>
      <c r="AQ697" s="6" t="s">
        <v>81</v>
      </c>
      <c r="AR697" s="6" t="s">
        <v>81</v>
      </c>
      <c r="AS697" s="6" t="s">
        <v>81</v>
      </c>
      <c r="AT697" s="6" t="s">
        <v>81</v>
      </c>
      <c r="AU697" s="6" t="s">
        <v>81</v>
      </c>
      <c r="AV697" s="6" t="s">
        <v>81</v>
      </c>
      <c r="AW697" s="6" t="s">
        <v>81</v>
      </c>
      <c r="AX697" s="6" t="s">
        <v>81</v>
      </c>
      <c r="AY697" s="6" t="s">
        <v>81</v>
      </c>
      <c r="AZ697" s="6" t="s">
        <v>81</v>
      </c>
      <c r="BA697" s="6" t="s">
        <v>23819</v>
      </c>
      <c r="BB697" s="24" t="n">
        <v>206</v>
      </c>
      <c r="BC697" s="26"/>
      <c r="BD697" s="26"/>
      <c r="BE697" s="26"/>
      <c r="BF697" s="26" t="s">
        <v>23900</v>
      </c>
      <c r="BG697" s="26"/>
      <c r="BH697" s="26"/>
      <c r="BI697" s="26"/>
      <c r="BJ697" s="26"/>
      <c r="BK697" s="26"/>
      <c r="BL697" s="26"/>
      <c r="BM697" s="26"/>
      <c r="BN697" s="26"/>
      <c r="BO697" s="26"/>
      <c r="BP697" s="16" t="n">
        <v>45691</v>
      </c>
      <c r="BQ697" s="28" t="str">
        <f>HYPERLINK("https://organic.ams.usda.gov/Integrity/Certificate.aspx?cid=45&amp;nopid=9950003239")</f>
        <v>https://organic.ams.usda.gov/Integrity/Certificate.aspx?cid=45&amp;nopid=9950003239</v>
      </c>
    </row>
    <row r="698">
      <c r="A698" t="s">
        <v>3</v>
      </c>
      <c r="B698" s="6" t="s">
        <v>24</v>
      </c>
      <c r="C698" s="6" t="s">
        <v>71</v>
      </c>
      <c r="D698" s="6" t="s">
        <v>117</v>
      </c>
      <c r="E698" s="10" t="s">
        <v>839</v>
      </c>
      <c r="F698" s="6" t="s">
        <v>3568</v>
      </c>
      <c r="G698" s="6" t="s">
        <v>81</v>
      </c>
      <c r="H698" s="6" t="s">
        <v>81</v>
      </c>
      <c r="I698" s="6" t="s">
        <v>8797</v>
      </c>
      <c r="J698" s="6" t="s">
        <v>10015</v>
      </c>
      <c r="K698" s="6" t="s">
        <v>10886</v>
      </c>
      <c r="L698" s="16" t="n">
        <v>44378</v>
      </c>
      <c r="M698" s="16" t="n">
        <v>45809</v>
      </c>
      <c r="N698" s="6" t="s">
        <v>10886</v>
      </c>
      <c r="O698" s="16" t="n">
        <v>44378</v>
      </c>
      <c r="P698" s="6" t="s">
        <v>81</v>
      </c>
      <c r="Q698" s="6" t="s">
        <v>81</v>
      </c>
      <c r="R698" s="6" t="s">
        <v>81</v>
      </c>
      <c r="S698" s="6" t="s">
        <v>10886</v>
      </c>
      <c r="T698" s="16" t="n">
        <v>44378</v>
      </c>
      <c r="U698" s="6" t="s">
        <v>13429</v>
      </c>
      <c r="V698" s="6" t="s">
        <v>81</v>
      </c>
      <c r="W698" s="6" t="s">
        <v>81</v>
      </c>
      <c r="X698" s="6" t="s">
        <v>81</v>
      </c>
      <c r="Y698" s="21" t="s">
        <v>81</v>
      </c>
      <c r="Z698" s="6" t="s">
        <v>81</v>
      </c>
      <c r="AA698" s="6" t="s">
        <v>81</v>
      </c>
      <c r="AB698" s="6" t="s">
        <v>81</v>
      </c>
      <c r="AC698" s="6" t="s">
        <v>10886</v>
      </c>
      <c r="AD698" s="16" t="n">
        <v>44378</v>
      </c>
      <c r="AE698" s="6" t="s">
        <v>14149</v>
      </c>
      <c r="AF698" s="6" t="s">
        <v>81</v>
      </c>
      <c r="AG698" s="6" t="s">
        <v>81</v>
      </c>
      <c r="AH698" s="6" t="s">
        <v>15283</v>
      </c>
      <c r="AI698" s="6" t="s">
        <v>81</v>
      </c>
      <c r="AJ698" s="6" t="s">
        <v>17706</v>
      </c>
      <c r="AK698" s="6" t="s">
        <v>18412</v>
      </c>
      <c r="AL698" s="6" t="s">
        <v>18444</v>
      </c>
      <c r="AM698" s="6" t="s">
        <v>18873</v>
      </c>
      <c r="AN698" s="6" t="s">
        <v>19673</v>
      </c>
      <c r="AO698" s="6" t="s">
        <v>19906</v>
      </c>
      <c r="AP698" s="6" t="s">
        <v>15283</v>
      </c>
      <c r="AQ698" s="6" t="s">
        <v>81</v>
      </c>
      <c r="AR698" s="6" t="s">
        <v>17706</v>
      </c>
      <c r="AS698" s="6" t="s">
        <v>18412</v>
      </c>
      <c r="AT698" s="6" t="s">
        <v>18444</v>
      </c>
      <c r="AU698" s="6" t="s">
        <v>18873</v>
      </c>
      <c r="AV698" s="6" t="s">
        <v>81</v>
      </c>
      <c r="AW698" s="6" t="s">
        <v>81</v>
      </c>
      <c r="AX698" s="6" t="s">
        <v>81</v>
      </c>
      <c r="AY698" s="6" t="s">
        <v>22825</v>
      </c>
      <c r="AZ698" s="6" t="s">
        <v>81</v>
      </c>
      <c r="BA698" s="6" t="s">
        <v>81</v>
      </c>
      <c r="BB698" s="24" t="n">
        <v>595</v>
      </c>
      <c r="BC698" s="26"/>
      <c r="BD698" s="26"/>
      <c r="BE698" s="26"/>
      <c r="BF698" s="26"/>
      <c r="BG698" s="26"/>
      <c r="BH698" s="26"/>
      <c r="BI698" s="26"/>
      <c r="BJ698" s="26"/>
      <c r="BK698" s="26"/>
      <c r="BL698" s="26"/>
      <c r="BM698" s="26"/>
      <c r="BN698" s="26"/>
      <c r="BO698" s="26"/>
      <c r="BP698" s="16" t="n">
        <v>45616</v>
      </c>
      <c r="BQ698" s="28" t="str">
        <f>HYPERLINK("https://organic.ams.usda.gov/Integrity/Certificate.aspx?cid=1&amp;nopid=9092117202")</f>
        <v>https://organic.ams.usda.gov/Integrity/Certificate.aspx?cid=1&amp;nopid=9092117202</v>
      </c>
    </row>
    <row r="699">
      <c r="A699" t="s">
        <v>3</v>
      </c>
      <c r="B699" s="6" t="s">
        <v>18</v>
      </c>
      <c r="C699" s="6" t="s">
        <v>65</v>
      </c>
      <c r="D699" s="6" t="s">
        <v>111</v>
      </c>
      <c r="E699" s="10" t="s">
        <v>840</v>
      </c>
      <c r="F699" s="6" t="s">
        <v>3569</v>
      </c>
      <c r="G699" s="6" t="s">
        <v>81</v>
      </c>
      <c r="H699" s="6" t="s">
        <v>840</v>
      </c>
      <c r="I699" s="6" t="s">
        <v>8514</v>
      </c>
      <c r="J699" s="6" t="s">
        <v>10031</v>
      </c>
      <c r="K699" s="6" t="s">
        <v>10886</v>
      </c>
      <c r="L699" s="16" t="n">
        <v>42810</v>
      </c>
      <c r="M699" s="16" t="n">
        <v>45703</v>
      </c>
      <c r="N699" s="6" t="s">
        <v>10886</v>
      </c>
      <c r="O699" s="16" t="n">
        <v>42810</v>
      </c>
      <c r="P699" s="6" t="s">
        <v>10922</v>
      </c>
      <c r="Q699" s="6" t="s">
        <v>81</v>
      </c>
      <c r="R699" s="6" t="s">
        <v>3569</v>
      </c>
      <c r="S699" s="6" t="s">
        <v>10886</v>
      </c>
      <c r="T699" s="16" t="n">
        <v>42810</v>
      </c>
      <c r="U699" s="6" t="s">
        <v>13430</v>
      </c>
      <c r="V699" s="6" t="s">
        <v>81</v>
      </c>
      <c r="W699" s="6" t="s">
        <v>3569</v>
      </c>
      <c r="X699" s="6" t="s">
        <v>81</v>
      </c>
      <c r="Y699" s="21" t="s">
        <v>81</v>
      </c>
      <c r="Z699" s="6" t="s">
        <v>81</v>
      </c>
      <c r="AA699" s="6" t="s">
        <v>81</v>
      </c>
      <c r="AB699" s="6" t="s">
        <v>81</v>
      </c>
      <c r="AC699" s="6" t="s">
        <v>81</v>
      </c>
      <c r="AD699" s="21" t="s">
        <v>81</v>
      </c>
      <c r="AE699" s="6" t="s">
        <v>81</v>
      </c>
      <c r="AF699" s="6" t="s">
        <v>81</v>
      </c>
      <c r="AG699" s="6" t="s">
        <v>81</v>
      </c>
      <c r="AH699" s="6" t="s">
        <v>15284</v>
      </c>
      <c r="AI699" s="6" t="s">
        <v>81</v>
      </c>
      <c r="AJ699" s="6" t="s">
        <v>17720</v>
      </c>
      <c r="AK699" s="6" t="s">
        <v>18405</v>
      </c>
      <c r="AL699" s="6" t="s">
        <v>18444</v>
      </c>
      <c r="AM699" s="6" t="s">
        <v>18888</v>
      </c>
      <c r="AN699" s="6" t="s">
        <v>19653</v>
      </c>
      <c r="AO699" s="6" t="s">
        <v>19910</v>
      </c>
      <c r="AP699" s="6" t="s">
        <v>15284</v>
      </c>
      <c r="AQ699" s="6" t="s">
        <v>81</v>
      </c>
      <c r="AR699" s="6" t="s">
        <v>17720</v>
      </c>
      <c r="AS699" s="6" t="s">
        <v>18405</v>
      </c>
      <c r="AT699" s="6" t="s">
        <v>18444</v>
      </c>
      <c r="AU699" s="6" t="s">
        <v>18888</v>
      </c>
      <c r="AV699" s="6" t="s">
        <v>81</v>
      </c>
      <c r="AW699" s="6" t="s">
        <v>81</v>
      </c>
      <c r="AX699" s="6" t="s">
        <v>21194</v>
      </c>
      <c r="AY699" s="6" t="s">
        <v>22826</v>
      </c>
      <c r="AZ699" s="6" t="s">
        <v>81</v>
      </c>
      <c r="BA699" s="6" t="s">
        <v>81</v>
      </c>
      <c r="BB699" s="24" t="n">
        <v>273</v>
      </c>
      <c r="BC699" s="26"/>
      <c r="BD699" s="26"/>
      <c r="BE699" s="26"/>
      <c r="BF699" s="26" t="s">
        <v>23900</v>
      </c>
      <c r="BG699" s="26"/>
      <c r="BH699" s="26"/>
      <c r="BI699" s="26"/>
      <c r="BJ699" s="26"/>
      <c r="BK699" s="26"/>
      <c r="BL699" s="26"/>
      <c r="BM699" s="26"/>
      <c r="BN699" s="26"/>
      <c r="BO699" s="26"/>
      <c r="BP699" s="16" t="n">
        <v>45642</v>
      </c>
      <c r="BQ699" s="28" t="str">
        <f>HYPERLINK("https://organic.ams.usda.gov/Integrity/Certificate.aspx?cid=8&amp;nopid=2201700300")</f>
        <v>https://organic.ams.usda.gov/Integrity/Certificate.aspx?cid=8&amp;nopid=2201700300</v>
      </c>
    </row>
    <row r="700">
      <c r="A700" t="s">
        <v>3</v>
      </c>
      <c r="B700" s="6" t="s">
        <v>12</v>
      </c>
      <c r="C700" s="6" t="s">
        <v>59</v>
      </c>
      <c r="D700" s="6" t="s">
        <v>105</v>
      </c>
      <c r="E700" s="10" t="s">
        <v>841</v>
      </c>
      <c r="F700" s="6" t="s">
        <v>3570</v>
      </c>
      <c r="G700" s="6" t="s">
        <v>81</v>
      </c>
      <c r="H700" s="6" t="s">
        <v>6526</v>
      </c>
      <c r="I700" s="6" t="s">
        <v>8811</v>
      </c>
      <c r="J700" s="6" t="s">
        <v>10032</v>
      </c>
      <c r="K700" s="6" t="s">
        <v>10886</v>
      </c>
      <c r="L700" s="16" t="n">
        <v>41494</v>
      </c>
      <c r="M700" s="16" t="n">
        <v>45717</v>
      </c>
      <c r="N700" s="6" t="s">
        <v>10886</v>
      </c>
      <c r="O700" s="16" t="n">
        <v>41494</v>
      </c>
      <c r="P700" s="6" t="s">
        <v>10910</v>
      </c>
      <c r="Q700" s="6" t="s">
        <v>81</v>
      </c>
      <c r="R700" s="6" t="s">
        <v>81</v>
      </c>
      <c r="S700" s="6" t="s">
        <v>10886</v>
      </c>
      <c r="T700" s="16" t="n">
        <v>41494</v>
      </c>
      <c r="U700" s="6" t="s">
        <v>13183</v>
      </c>
      <c r="V700" s="6" t="s">
        <v>81</v>
      </c>
      <c r="W700" s="6" t="s">
        <v>81</v>
      </c>
      <c r="X700" s="6" t="s">
        <v>81</v>
      </c>
      <c r="Y700" s="21" t="s">
        <v>81</v>
      </c>
      <c r="Z700" s="6" t="s">
        <v>81</v>
      </c>
      <c r="AA700" s="6" t="s">
        <v>81</v>
      </c>
      <c r="AB700" s="6" t="s">
        <v>81</v>
      </c>
      <c r="AC700" s="6" t="s">
        <v>81</v>
      </c>
      <c r="AD700" s="21" t="s">
        <v>81</v>
      </c>
      <c r="AE700" s="6" t="s">
        <v>81</v>
      </c>
      <c r="AF700" s="6" t="s">
        <v>81</v>
      </c>
      <c r="AG700" s="6" t="s">
        <v>81</v>
      </c>
      <c r="AH700" s="6" t="s">
        <v>15285</v>
      </c>
      <c r="AI700" s="6" t="s">
        <v>81</v>
      </c>
      <c r="AJ700" s="6" t="s">
        <v>17595</v>
      </c>
      <c r="AK700" s="6" t="s">
        <v>17712</v>
      </c>
      <c r="AL700" s="6" t="s">
        <v>18444</v>
      </c>
      <c r="AM700" s="6" t="s">
        <v>18761</v>
      </c>
      <c r="AN700" s="6" t="s">
        <v>19634</v>
      </c>
      <c r="AO700" s="6" t="s">
        <v>19719</v>
      </c>
      <c r="AP700" s="6" t="s">
        <v>15285</v>
      </c>
      <c r="AQ700" s="6" t="s">
        <v>81</v>
      </c>
      <c r="AR700" s="6" t="s">
        <v>17595</v>
      </c>
      <c r="AS700" s="6" t="s">
        <v>17712</v>
      </c>
      <c r="AT700" s="6" t="s">
        <v>18444</v>
      </c>
      <c r="AU700" s="6" t="s">
        <v>18761</v>
      </c>
      <c r="AV700" s="6" t="s">
        <v>81</v>
      </c>
      <c r="AW700" s="6" t="s">
        <v>81</v>
      </c>
      <c r="AX700" s="6" t="s">
        <v>21195</v>
      </c>
      <c r="AY700" s="6" t="s">
        <v>81</v>
      </c>
      <c r="AZ700" s="6" t="s">
        <v>81</v>
      </c>
      <c r="BA700" s="6" t="s">
        <v>81</v>
      </c>
      <c r="BB700" s="24" t="n">
        <v>282</v>
      </c>
      <c r="BC700" s="26"/>
      <c r="BD700" s="26"/>
      <c r="BE700" s="26"/>
      <c r="BF700" s="26"/>
      <c r="BG700" s="26"/>
      <c r="BH700" s="26"/>
      <c r="BI700" s="26"/>
      <c r="BJ700" s="26"/>
      <c r="BK700" s="26"/>
      <c r="BL700" s="26"/>
      <c r="BM700" s="26"/>
      <c r="BN700" s="26"/>
      <c r="BO700" s="26"/>
      <c r="BP700" s="16" t="n">
        <v>45684</v>
      </c>
      <c r="BQ700" s="28" t="str">
        <f>HYPERLINK("https://organic.ams.usda.gov/Integrity/Certificate.aspx?cid=68&amp;nopid=8210002635")</f>
        <v>https://organic.ams.usda.gov/Integrity/Certificate.aspx?cid=68&amp;nopid=8210002635</v>
      </c>
    </row>
    <row r="701">
      <c r="A701" t="s">
        <v>3</v>
      </c>
      <c r="B701" s="6" t="s">
        <v>8</v>
      </c>
      <c r="C701" s="6" t="s">
        <v>55</v>
      </c>
      <c r="D701" s="6" t="s">
        <v>101</v>
      </c>
      <c r="E701" s="10" t="s">
        <v>842</v>
      </c>
      <c r="F701" s="6" t="s">
        <v>3571</v>
      </c>
      <c r="G701" s="6" t="s">
        <v>81</v>
      </c>
      <c r="H701" s="6" t="s">
        <v>6527</v>
      </c>
      <c r="I701" s="6" t="s">
        <v>8811</v>
      </c>
      <c r="J701" s="6" t="s">
        <v>10033</v>
      </c>
      <c r="K701" s="6" t="s">
        <v>10886</v>
      </c>
      <c r="L701" s="16" t="n">
        <v>37486</v>
      </c>
      <c r="M701" s="18" t="s">
        <v>81</v>
      </c>
      <c r="N701" s="6" t="s">
        <v>10886</v>
      </c>
      <c r="O701" s="16" t="n">
        <v>37486</v>
      </c>
      <c r="P701" s="6" t="s">
        <v>11326</v>
      </c>
      <c r="Q701" s="6" t="s">
        <v>81</v>
      </c>
      <c r="R701" s="6" t="s">
        <v>81</v>
      </c>
      <c r="S701" s="6" t="s">
        <v>10886</v>
      </c>
      <c r="T701" s="16" t="n">
        <v>37486</v>
      </c>
      <c r="U701" s="6" t="s">
        <v>13431</v>
      </c>
      <c r="V701" s="6" t="s">
        <v>81</v>
      </c>
      <c r="W701" s="6" t="s">
        <v>81</v>
      </c>
      <c r="X701" s="6" t="s">
        <v>81</v>
      </c>
      <c r="Y701" s="21" t="s">
        <v>81</v>
      </c>
      <c r="Z701" s="6" t="s">
        <v>81</v>
      </c>
      <c r="AA701" s="6" t="s">
        <v>81</v>
      </c>
      <c r="AB701" s="6" t="s">
        <v>81</v>
      </c>
      <c r="AC701" s="6" t="s">
        <v>81</v>
      </c>
      <c r="AD701" s="21" t="s">
        <v>81</v>
      </c>
      <c r="AE701" s="6" t="s">
        <v>81</v>
      </c>
      <c r="AF701" s="6" t="s">
        <v>81</v>
      </c>
      <c r="AG701" s="6" t="s">
        <v>81</v>
      </c>
      <c r="AH701" s="6" t="s">
        <v>15286</v>
      </c>
      <c r="AI701" s="6" t="s">
        <v>81</v>
      </c>
      <c r="AJ701" s="6" t="s">
        <v>17523</v>
      </c>
      <c r="AK701" s="6" t="s">
        <v>18381</v>
      </c>
      <c r="AL701" s="6" t="s">
        <v>18444</v>
      </c>
      <c r="AM701" s="6" t="s">
        <v>18688</v>
      </c>
      <c r="AN701" s="6" t="s">
        <v>19672</v>
      </c>
      <c r="AO701" s="6" t="s">
        <v>19836</v>
      </c>
      <c r="AP701" s="6" t="s">
        <v>81</v>
      </c>
      <c r="AQ701" s="6" t="s">
        <v>81</v>
      </c>
      <c r="AR701" s="6" t="s">
        <v>81</v>
      </c>
      <c r="AS701" s="6" t="s">
        <v>81</v>
      </c>
      <c r="AT701" s="6" t="s">
        <v>81</v>
      </c>
      <c r="AU701" s="6" t="s">
        <v>81</v>
      </c>
      <c r="AV701" s="6" t="s">
        <v>81</v>
      </c>
      <c r="AW701" s="6" t="s">
        <v>81</v>
      </c>
      <c r="AX701" s="6" t="s">
        <v>81</v>
      </c>
      <c r="AY701" s="6" t="s">
        <v>81</v>
      </c>
      <c r="AZ701" s="6" t="s">
        <v>81</v>
      </c>
      <c r="BA701" s="6" t="s">
        <v>81</v>
      </c>
      <c r="BB701" s="24" t="n">
        <v>329</v>
      </c>
      <c r="BC701" s="26"/>
      <c r="BD701" s="26"/>
      <c r="BE701" s="26"/>
      <c r="BF701" s="26"/>
      <c r="BG701" s="26"/>
      <c r="BH701" s="26"/>
      <c r="BI701" s="26"/>
      <c r="BJ701" s="26"/>
      <c r="BK701" s="26"/>
      <c r="BL701" s="26"/>
      <c r="BM701" s="26"/>
      <c r="BN701" s="26"/>
      <c r="BO701" s="26"/>
      <c r="BP701" s="16" t="n">
        <v>45292</v>
      </c>
      <c r="BQ701" s="28" t="str">
        <f>HYPERLINK("https://organic.ams.usda.gov/Integrity/Certificate.aspx?cid=45&amp;nopid=9950000792")</f>
        <v>https://organic.ams.usda.gov/Integrity/Certificate.aspx?cid=45&amp;nopid=9950000792</v>
      </c>
    </row>
    <row r="702">
      <c r="A702" t="s">
        <v>3</v>
      </c>
      <c r="B702" s="6" t="s">
        <v>13</v>
      </c>
      <c r="C702" s="6" t="s">
        <v>60</v>
      </c>
      <c r="D702" s="6" t="s">
        <v>106</v>
      </c>
      <c r="E702" s="10" t="s">
        <v>843</v>
      </c>
      <c r="F702" s="6" t="s">
        <v>3572</v>
      </c>
      <c r="G702" s="6" t="s">
        <v>81</v>
      </c>
      <c r="H702" s="6" t="s">
        <v>6528</v>
      </c>
      <c r="I702" s="6" t="s">
        <v>8621</v>
      </c>
      <c r="J702" s="6" t="s">
        <v>10034</v>
      </c>
      <c r="K702" s="6" t="s">
        <v>10886</v>
      </c>
      <c r="L702" s="16" t="n">
        <v>39216</v>
      </c>
      <c r="M702" s="16" t="n">
        <v>45748</v>
      </c>
      <c r="N702" s="6" t="s">
        <v>81</v>
      </c>
      <c r="O702" s="21" t="s">
        <v>81</v>
      </c>
      <c r="P702" s="6" t="s">
        <v>81</v>
      </c>
      <c r="Q702" s="6" t="s">
        <v>81</v>
      </c>
      <c r="R702" s="6" t="s">
        <v>81</v>
      </c>
      <c r="S702" s="6" t="s">
        <v>81</v>
      </c>
      <c r="T702" s="21" t="s">
        <v>81</v>
      </c>
      <c r="U702" s="6" t="s">
        <v>81</v>
      </c>
      <c r="V702" s="6" t="s">
        <v>81</v>
      </c>
      <c r="W702" s="6" t="s">
        <v>81</v>
      </c>
      <c r="X702" s="6" t="s">
        <v>81</v>
      </c>
      <c r="Y702" s="21" t="s">
        <v>81</v>
      </c>
      <c r="Z702" s="6" t="s">
        <v>81</v>
      </c>
      <c r="AA702" s="6" t="s">
        <v>81</v>
      </c>
      <c r="AB702" s="6" t="s">
        <v>81</v>
      </c>
      <c r="AC702" s="6" t="s">
        <v>10886</v>
      </c>
      <c r="AD702" s="16" t="n">
        <v>39216</v>
      </c>
      <c r="AE702" s="6" t="s">
        <v>14150</v>
      </c>
      <c r="AF702" s="6" t="s">
        <v>81</v>
      </c>
      <c r="AG702" s="6" t="s">
        <v>14540</v>
      </c>
      <c r="AH702" s="6" t="s">
        <v>15287</v>
      </c>
      <c r="AI702" s="6" t="s">
        <v>81</v>
      </c>
      <c r="AJ702" s="6" t="s">
        <v>17721</v>
      </c>
      <c r="AK702" s="6" t="s">
        <v>18389</v>
      </c>
      <c r="AL702" s="6" t="s">
        <v>18444</v>
      </c>
      <c r="AM702" s="6" t="s">
        <v>18889</v>
      </c>
      <c r="AN702" s="6" t="s">
        <v>19682</v>
      </c>
      <c r="AO702" s="6" t="s">
        <v>19911</v>
      </c>
      <c r="AP702" s="6" t="s">
        <v>15287</v>
      </c>
      <c r="AQ702" s="6" t="s">
        <v>81</v>
      </c>
      <c r="AR702" s="6" t="s">
        <v>17721</v>
      </c>
      <c r="AS702" s="6" t="s">
        <v>18389</v>
      </c>
      <c r="AT702" s="6" t="s">
        <v>18444</v>
      </c>
      <c r="AU702" s="6" t="s">
        <v>18889</v>
      </c>
      <c r="AV702" s="6" t="s">
        <v>81</v>
      </c>
      <c r="AW702" s="6" t="s">
        <v>81</v>
      </c>
      <c r="AX702" s="6" t="s">
        <v>21196</v>
      </c>
      <c r="AY702" s="6" t="s">
        <v>22827</v>
      </c>
      <c r="AZ702" s="6" t="s">
        <v>23640</v>
      </c>
      <c r="BA702" s="6" t="s">
        <v>81</v>
      </c>
      <c r="BB702" s="6" t="s">
        <v>81</v>
      </c>
      <c r="BC702" s="26"/>
      <c r="BD702" s="26"/>
      <c r="BE702" s="26"/>
      <c r="BF702" s="26"/>
      <c r="BG702" s="26"/>
      <c r="BH702" s="26"/>
      <c r="BI702" s="26"/>
      <c r="BJ702" s="26"/>
      <c r="BK702" s="26"/>
      <c r="BL702" s="26"/>
      <c r="BM702" s="26"/>
      <c r="BN702" s="26"/>
      <c r="BO702" s="26"/>
      <c r="BP702" s="16" t="n">
        <v>45730</v>
      </c>
      <c r="BQ702" s="28" t="str">
        <f>HYPERLINK("https://organic.ams.usda.gov/Integrity/Certificate.aspx?cid=72&amp;nopid=5870000809")</f>
        <v>https://organic.ams.usda.gov/Integrity/Certificate.aspx?cid=72&amp;nopid=5870000809</v>
      </c>
    </row>
    <row r="703">
      <c r="A703" t="s">
        <v>3</v>
      </c>
      <c r="B703" s="6" t="s">
        <v>42</v>
      </c>
      <c r="C703" s="6" t="s">
        <v>89</v>
      </c>
      <c r="D703" s="6" t="s">
        <v>134</v>
      </c>
      <c r="E703" s="10" t="s">
        <v>844</v>
      </c>
      <c r="F703" s="6" t="s">
        <v>3573</v>
      </c>
      <c r="G703" s="6" t="s">
        <v>81</v>
      </c>
      <c r="H703" s="6" t="s">
        <v>6529</v>
      </c>
      <c r="I703" s="6" t="s">
        <v>8812</v>
      </c>
      <c r="J703" s="6" t="s">
        <v>10035</v>
      </c>
      <c r="K703" s="6" t="s">
        <v>10886</v>
      </c>
      <c r="L703" s="16" t="n">
        <v>42600</v>
      </c>
      <c r="M703" s="16" t="n">
        <v>45808</v>
      </c>
      <c r="N703" s="6" t="s">
        <v>81</v>
      </c>
      <c r="O703" s="21" t="s">
        <v>81</v>
      </c>
      <c r="P703" s="6" t="s">
        <v>81</v>
      </c>
      <c r="Q703" s="6" t="s">
        <v>81</v>
      </c>
      <c r="R703" s="6" t="s">
        <v>81</v>
      </c>
      <c r="S703" s="6" t="s">
        <v>81</v>
      </c>
      <c r="T703" s="21" t="s">
        <v>81</v>
      </c>
      <c r="U703" s="6" t="s">
        <v>81</v>
      </c>
      <c r="V703" s="6" t="s">
        <v>81</v>
      </c>
      <c r="W703" s="6" t="s">
        <v>81</v>
      </c>
      <c r="X703" s="6" t="s">
        <v>81</v>
      </c>
      <c r="Y703" s="21" t="s">
        <v>81</v>
      </c>
      <c r="Z703" s="6" t="s">
        <v>81</v>
      </c>
      <c r="AA703" s="6" t="s">
        <v>81</v>
      </c>
      <c r="AB703" s="6" t="s">
        <v>81</v>
      </c>
      <c r="AC703" s="6" t="s">
        <v>10886</v>
      </c>
      <c r="AD703" s="16" t="n">
        <v>42600</v>
      </c>
      <c r="AE703" s="6" t="s">
        <v>14151</v>
      </c>
      <c r="AF703" s="6" t="s">
        <v>81</v>
      </c>
      <c r="AG703" s="6" t="s">
        <v>81</v>
      </c>
      <c r="AH703" s="6" t="s">
        <v>15288</v>
      </c>
      <c r="AI703" s="6" t="s">
        <v>81</v>
      </c>
      <c r="AJ703" s="6" t="s">
        <v>17722</v>
      </c>
      <c r="AK703" s="6" t="s">
        <v>18393</v>
      </c>
      <c r="AL703" s="6" t="s">
        <v>18444</v>
      </c>
      <c r="AM703" s="6" t="s">
        <v>18890</v>
      </c>
      <c r="AN703" s="6" t="s">
        <v>8053</v>
      </c>
      <c r="AO703" s="6" t="s">
        <v>19912</v>
      </c>
      <c r="AP703" s="6" t="s">
        <v>15288</v>
      </c>
      <c r="AQ703" s="6" t="s">
        <v>81</v>
      </c>
      <c r="AR703" s="6" t="s">
        <v>17722</v>
      </c>
      <c r="AS703" s="6" t="s">
        <v>18393</v>
      </c>
      <c r="AT703" s="6" t="s">
        <v>18444</v>
      </c>
      <c r="AU703" s="6" t="s">
        <v>18890</v>
      </c>
      <c r="AV703" s="6" t="s">
        <v>81</v>
      </c>
      <c r="AW703" s="6" t="s">
        <v>81</v>
      </c>
      <c r="AX703" s="6" t="s">
        <v>21197</v>
      </c>
      <c r="AY703" s="6" t="s">
        <v>22828</v>
      </c>
      <c r="AZ703" s="6" t="s">
        <v>23641</v>
      </c>
      <c r="BA703" s="6" t="s">
        <v>81</v>
      </c>
      <c r="BB703" s="6" t="s">
        <v>81</v>
      </c>
      <c r="BC703" s="26"/>
      <c r="BD703" s="26"/>
      <c r="BE703" s="26"/>
      <c r="BF703" s="26"/>
      <c r="BG703" s="26"/>
      <c r="BH703" s="26"/>
      <c r="BI703" s="26"/>
      <c r="BJ703" s="26"/>
      <c r="BK703" s="26"/>
      <c r="BL703" s="26"/>
      <c r="BM703" s="26"/>
      <c r="BN703" s="26"/>
      <c r="BO703" s="26"/>
      <c r="BP703" s="16" t="n">
        <v>45729</v>
      </c>
      <c r="BQ703" s="28" t="str">
        <f>HYPERLINK("https://organic.ams.usda.gov/Integrity/Certificate.aspx?cid=61&amp;nopid=7270001187")</f>
        <v>https://organic.ams.usda.gov/Integrity/Certificate.aspx?cid=61&amp;nopid=7270001187</v>
      </c>
    </row>
    <row r="704">
      <c r="A704" t="s">
        <v>3</v>
      </c>
      <c r="B704" s="6" t="s">
        <v>15</v>
      </c>
      <c r="C704" s="6" t="s">
        <v>62</v>
      </c>
      <c r="D704" s="6" t="s">
        <v>108</v>
      </c>
      <c r="E704" s="10" t="s">
        <v>845</v>
      </c>
      <c r="F704" s="6" t="s">
        <v>3574</v>
      </c>
      <c r="G704" s="6" t="s">
        <v>81</v>
      </c>
      <c r="H704" s="6" t="s">
        <v>6530</v>
      </c>
      <c r="I704" s="6" t="s">
        <v>8813</v>
      </c>
      <c r="J704" s="6" t="s">
        <v>10036</v>
      </c>
      <c r="K704" s="6" t="s">
        <v>10886</v>
      </c>
      <c r="L704" s="16" t="n">
        <v>39142</v>
      </c>
      <c r="M704" s="16" t="n">
        <v>45901</v>
      </c>
      <c r="N704" s="6" t="s">
        <v>81</v>
      </c>
      <c r="O704" s="21" t="s">
        <v>81</v>
      </c>
      <c r="P704" s="6" t="s">
        <v>81</v>
      </c>
      <c r="Q704" s="6" t="s">
        <v>81</v>
      </c>
      <c r="R704" s="6" t="s">
        <v>81</v>
      </c>
      <c r="S704" s="6" t="s">
        <v>81</v>
      </c>
      <c r="T704" s="21" t="s">
        <v>81</v>
      </c>
      <c r="U704" s="6" t="s">
        <v>81</v>
      </c>
      <c r="V704" s="6" t="s">
        <v>81</v>
      </c>
      <c r="W704" s="6" t="s">
        <v>81</v>
      </c>
      <c r="X704" s="6" t="s">
        <v>81</v>
      </c>
      <c r="Y704" s="21" t="s">
        <v>81</v>
      </c>
      <c r="Z704" s="6" t="s">
        <v>81</v>
      </c>
      <c r="AA704" s="6" t="s">
        <v>81</v>
      </c>
      <c r="AB704" s="6" t="s">
        <v>81</v>
      </c>
      <c r="AC704" s="6" t="s">
        <v>10886</v>
      </c>
      <c r="AD704" s="16" t="n">
        <v>39142</v>
      </c>
      <c r="AE704" s="6" t="s">
        <v>14152</v>
      </c>
      <c r="AF704" s="6" t="s">
        <v>81</v>
      </c>
      <c r="AG704" s="6" t="s">
        <v>81</v>
      </c>
      <c r="AH704" s="6" t="s">
        <v>15289</v>
      </c>
      <c r="AI704" s="6" t="s">
        <v>81</v>
      </c>
      <c r="AJ704" s="6" t="s">
        <v>17723</v>
      </c>
      <c r="AK704" s="6" t="s">
        <v>18378</v>
      </c>
      <c r="AL704" s="6" t="s">
        <v>18444</v>
      </c>
      <c r="AM704" s="6" t="s">
        <v>18891</v>
      </c>
      <c r="AN704" s="6" t="s">
        <v>19676</v>
      </c>
      <c r="AO704" s="6" t="s">
        <v>19784</v>
      </c>
      <c r="AP704" s="6" t="s">
        <v>15289</v>
      </c>
      <c r="AQ704" s="6" t="s">
        <v>81</v>
      </c>
      <c r="AR704" s="6" t="s">
        <v>17723</v>
      </c>
      <c r="AS704" s="6" t="s">
        <v>18378</v>
      </c>
      <c r="AT704" s="6" t="s">
        <v>18444</v>
      </c>
      <c r="AU704" s="6" t="s">
        <v>18891</v>
      </c>
      <c r="AV704" s="6" t="s">
        <v>81</v>
      </c>
      <c r="AW704" s="6" t="s">
        <v>81</v>
      </c>
      <c r="AX704" s="6" t="s">
        <v>21198</v>
      </c>
      <c r="AY704" s="6" t="s">
        <v>22829</v>
      </c>
      <c r="AZ704" s="6" t="s">
        <v>81</v>
      </c>
      <c r="BA704" s="6" t="s">
        <v>81</v>
      </c>
      <c r="BB704" s="6" t="s">
        <v>81</v>
      </c>
      <c r="BC704" s="26"/>
      <c r="BD704" s="26"/>
      <c r="BE704" s="26" t="s">
        <v>23900</v>
      </c>
      <c r="BF704" s="26"/>
      <c r="BG704" s="26"/>
      <c r="BH704" s="26"/>
      <c r="BI704" s="26"/>
      <c r="BJ704" s="26"/>
      <c r="BK704" s="26"/>
      <c r="BL704" s="26"/>
      <c r="BM704" s="26"/>
      <c r="BN704" s="26"/>
      <c r="BO704" s="26"/>
      <c r="BP704" s="16" t="n">
        <v>45737</v>
      </c>
      <c r="BQ704" s="28" t="str">
        <f>HYPERLINK("https://organic.ams.usda.gov/Integrity/Certificate.aspx?cid=58&amp;nopid=1600001177")</f>
        <v>https://organic.ams.usda.gov/Integrity/Certificate.aspx?cid=58&amp;nopid=1600001177</v>
      </c>
    </row>
    <row r="705">
      <c r="A705" t="s">
        <v>3</v>
      </c>
      <c r="B705" s="6" t="s">
        <v>8</v>
      </c>
      <c r="C705" s="6" t="s">
        <v>55</v>
      </c>
      <c r="D705" s="6" t="s">
        <v>101</v>
      </c>
      <c r="E705" s="10" t="s">
        <v>846</v>
      </c>
      <c r="F705" s="6" t="s">
        <v>3575</v>
      </c>
      <c r="G705" s="6" t="s">
        <v>81</v>
      </c>
      <c r="H705" s="6" t="s">
        <v>6531</v>
      </c>
      <c r="I705" s="6" t="s">
        <v>8814</v>
      </c>
      <c r="J705" s="6" t="s">
        <v>9669</v>
      </c>
      <c r="K705" s="6" t="s">
        <v>10886</v>
      </c>
      <c r="L705" s="16" t="n">
        <v>42296</v>
      </c>
      <c r="M705" s="16" t="n">
        <v>45689</v>
      </c>
      <c r="N705" s="6" t="s">
        <v>10886</v>
      </c>
      <c r="O705" s="16" t="n">
        <v>42296</v>
      </c>
      <c r="P705" s="6" t="s">
        <v>11327</v>
      </c>
      <c r="Q705" s="6" t="s">
        <v>81</v>
      </c>
      <c r="R705" s="6" t="s">
        <v>6531</v>
      </c>
      <c r="S705" s="6" t="s">
        <v>10886</v>
      </c>
      <c r="T705" s="16" t="n">
        <v>42296</v>
      </c>
      <c r="U705" s="6" t="s">
        <v>13173</v>
      </c>
      <c r="V705" s="6" t="s">
        <v>81</v>
      </c>
      <c r="W705" s="6" t="s">
        <v>6531</v>
      </c>
      <c r="X705" s="6" t="s">
        <v>81</v>
      </c>
      <c r="Y705" s="21" t="s">
        <v>81</v>
      </c>
      <c r="Z705" s="6" t="s">
        <v>81</v>
      </c>
      <c r="AA705" s="6" t="s">
        <v>81</v>
      </c>
      <c r="AB705" s="6" t="s">
        <v>81</v>
      </c>
      <c r="AC705" s="6" t="s">
        <v>81</v>
      </c>
      <c r="AD705" s="21" t="s">
        <v>81</v>
      </c>
      <c r="AE705" s="6" t="s">
        <v>81</v>
      </c>
      <c r="AF705" s="6" t="s">
        <v>81</v>
      </c>
      <c r="AG705" s="6" t="s">
        <v>81</v>
      </c>
      <c r="AH705" s="6" t="s">
        <v>15290</v>
      </c>
      <c r="AI705" s="6" t="s">
        <v>81</v>
      </c>
      <c r="AJ705" s="6" t="s">
        <v>17724</v>
      </c>
      <c r="AK705" s="6" t="s">
        <v>18377</v>
      </c>
      <c r="AL705" s="6" t="s">
        <v>18444</v>
      </c>
      <c r="AM705" s="6" t="s">
        <v>18892</v>
      </c>
      <c r="AN705" s="6" t="s">
        <v>19669</v>
      </c>
      <c r="AO705" s="6" t="s">
        <v>19913</v>
      </c>
      <c r="AP705" s="6" t="s">
        <v>81</v>
      </c>
      <c r="AQ705" s="6" t="s">
        <v>81</v>
      </c>
      <c r="AR705" s="6" t="s">
        <v>81</v>
      </c>
      <c r="AS705" s="6" t="s">
        <v>81</v>
      </c>
      <c r="AT705" s="6" t="s">
        <v>81</v>
      </c>
      <c r="AU705" s="6" t="s">
        <v>81</v>
      </c>
      <c r="AV705" s="6" t="s">
        <v>81</v>
      </c>
      <c r="AW705" s="6" t="s">
        <v>81</v>
      </c>
      <c r="AX705" s="6" t="s">
        <v>21199</v>
      </c>
      <c r="AY705" s="6" t="s">
        <v>81</v>
      </c>
      <c r="AZ705" s="6" t="s">
        <v>81</v>
      </c>
      <c r="BA705" s="6" t="s">
        <v>23819</v>
      </c>
      <c r="BB705" s="24" t="n">
        <v>183</v>
      </c>
      <c r="BC705" s="26"/>
      <c r="BD705" s="26"/>
      <c r="BE705" s="26"/>
      <c r="BF705" s="26" t="s">
        <v>23900</v>
      </c>
      <c r="BG705" s="26"/>
      <c r="BH705" s="26"/>
      <c r="BI705" s="26"/>
      <c r="BJ705" s="26"/>
      <c r="BK705" s="26"/>
      <c r="BL705" s="26"/>
      <c r="BM705" s="26"/>
      <c r="BN705" s="26"/>
      <c r="BO705" s="26"/>
      <c r="BP705" s="16" t="n">
        <v>45723</v>
      </c>
      <c r="BQ705" s="28" t="str">
        <f>HYPERLINK("https://organic.ams.usda.gov/Integrity/Certificate.aspx?cid=45&amp;nopid=9950008691")</f>
        <v>https://organic.ams.usda.gov/Integrity/Certificate.aspx?cid=45&amp;nopid=9950008691</v>
      </c>
    </row>
    <row r="706">
      <c r="A706" t="s">
        <v>3</v>
      </c>
      <c r="B706" s="6" t="s">
        <v>12</v>
      </c>
      <c r="C706" s="6" t="s">
        <v>59</v>
      </c>
      <c r="D706" s="6" t="s">
        <v>105</v>
      </c>
      <c r="E706" s="10" t="s">
        <v>847</v>
      </c>
      <c r="F706" s="6" t="s">
        <v>3576</v>
      </c>
      <c r="G706" s="6" t="s">
        <v>81</v>
      </c>
      <c r="H706" s="6" t="s">
        <v>6532</v>
      </c>
      <c r="I706" s="6" t="s">
        <v>8815</v>
      </c>
      <c r="J706" s="6" t="s">
        <v>10037</v>
      </c>
      <c r="K706" s="6" t="s">
        <v>10886</v>
      </c>
      <c r="L706" s="16" t="n">
        <v>45394</v>
      </c>
      <c r="M706" s="16" t="n">
        <v>46082</v>
      </c>
      <c r="N706" s="6" t="s">
        <v>10886</v>
      </c>
      <c r="O706" s="16" t="n">
        <v>45394</v>
      </c>
      <c r="P706" s="6" t="s">
        <v>10910</v>
      </c>
      <c r="Q706" s="6" t="s">
        <v>81</v>
      </c>
      <c r="R706" s="6" t="s">
        <v>81</v>
      </c>
      <c r="S706" s="6" t="s">
        <v>10886</v>
      </c>
      <c r="T706" s="16" t="n">
        <v>45408</v>
      </c>
      <c r="U706" s="6" t="s">
        <v>13262</v>
      </c>
      <c r="V706" s="6" t="s">
        <v>81</v>
      </c>
      <c r="W706" s="6" t="s">
        <v>81</v>
      </c>
      <c r="X706" s="6" t="s">
        <v>81</v>
      </c>
      <c r="Y706" s="21" t="s">
        <v>81</v>
      </c>
      <c r="Z706" s="6" t="s">
        <v>81</v>
      </c>
      <c r="AA706" s="6" t="s">
        <v>81</v>
      </c>
      <c r="AB706" s="6" t="s">
        <v>81</v>
      </c>
      <c r="AC706" s="6" t="s">
        <v>81</v>
      </c>
      <c r="AD706" s="21" t="s">
        <v>81</v>
      </c>
      <c r="AE706" s="6" t="s">
        <v>81</v>
      </c>
      <c r="AF706" s="6" t="s">
        <v>81</v>
      </c>
      <c r="AG706" s="6" t="s">
        <v>81</v>
      </c>
      <c r="AH706" s="6" t="s">
        <v>15291</v>
      </c>
      <c r="AI706" s="6" t="s">
        <v>81</v>
      </c>
      <c r="AJ706" s="6" t="s">
        <v>17725</v>
      </c>
      <c r="AK706" s="6" t="s">
        <v>17712</v>
      </c>
      <c r="AL706" s="6" t="s">
        <v>18444</v>
      </c>
      <c r="AM706" s="6" t="s">
        <v>18893</v>
      </c>
      <c r="AN706" s="6" t="s">
        <v>81</v>
      </c>
      <c r="AO706" s="6" t="s">
        <v>81</v>
      </c>
      <c r="AP706" s="6" t="s">
        <v>20193</v>
      </c>
      <c r="AQ706" s="6" t="s">
        <v>81</v>
      </c>
      <c r="AR706" s="6" t="s">
        <v>17701</v>
      </c>
      <c r="AS706" s="6" t="s">
        <v>17712</v>
      </c>
      <c r="AT706" s="6" t="s">
        <v>18444</v>
      </c>
      <c r="AU706" s="6" t="s">
        <v>18867</v>
      </c>
      <c r="AV706" s="6" t="s">
        <v>81</v>
      </c>
      <c r="AW706" s="6" t="s">
        <v>81</v>
      </c>
      <c r="AX706" s="6" t="s">
        <v>21200</v>
      </c>
      <c r="AY706" s="6" t="s">
        <v>22830</v>
      </c>
      <c r="AZ706" s="6" t="s">
        <v>81</v>
      </c>
      <c r="BA706" s="6" t="s">
        <v>81</v>
      </c>
      <c r="BB706" s="24" t="n">
        <v>256</v>
      </c>
      <c r="BC706" s="26"/>
      <c r="BD706" s="26"/>
      <c r="BE706" s="26"/>
      <c r="BF706" s="26" t="s">
        <v>23900</v>
      </c>
      <c r="BG706" s="26"/>
      <c r="BH706" s="26"/>
      <c r="BI706" s="26"/>
      <c r="BJ706" s="26"/>
      <c r="BK706" s="26"/>
      <c r="BL706" s="26"/>
      <c r="BM706" s="26"/>
      <c r="BN706" s="26"/>
      <c r="BO706" s="26"/>
      <c r="BP706" s="16" t="n">
        <v>45728</v>
      </c>
      <c r="BQ706" s="28" t="str">
        <f>HYPERLINK("https://organic.ams.usda.gov/Integrity/Certificate.aspx?cid=68&amp;nopid=8210009235")</f>
        <v>https://organic.ams.usda.gov/Integrity/Certificate.aspx?cid=68&amp;nopid=8210009235</v>
      </c>
    </row>
    <row r="707">
      <c r="A707" t="s">
        <v>3</v>
      </c>
      <c r="B707" s="6" t="s">
        <v>8</v>
      </c>
      <c r="C707" s="6" t="s">
        <v>55</v>
      </c>
      <c r="D707" s="6" t="s">
        <v>101</v>
      </c>
      <c r="E707" s="10" t="s">
        <v>848</v>
      </c>
      <c r="F707" s="6" t="s">
        <v>3577</v>
      </c>
      <c r="G707" s="6" t="s">
        <v>81</v>
      </c>
      <c r="H707" s="6" t="s">
        <v>6533</v>
      </c>
      <c r="I707" s="6" t="s">
        <v>8514</v>
      </c>
      <c r="J707" s="6" t="s">
        <v>10038</v>
      </c>
      <c r="K707" s="6" t="s">
        <v>10886</v>
      </c>
      <c r="L707" s="16" t="n">
        <v>39442</v>
      </c>
      <c r="M707" s="16" t="n">
        <v>45689</v>
      </c>
      <c r="N707" s="6" t="s">
        <v>10886</v>
      </c>
      <c r="O707" s="16" t="n">
        <v>39442</v>
      </c>
      <c r="P707" s="6" t="s">
        <v>11328</v>
      </c>
      <c r="Q707" s="6" t="s">
        <v>81</v>
      </c>
      <c r="R707" s="6" t="s">
        <v>6533</v>
      </c>
      <c r="S707" s="6" t="s">
        <v>10886</v>
      </c>
      <c r="T707" s="16" t="n">
        <v>39442</v>
      </c>
      <c r="U707" s="6" t="s">
        <v>13286</v>
      </c>
      <c r="V707" s="6" t="s">
        <v>81</v>
      </c>
      <c r="W707" s="6" t="s">
        <v>6533</v>
      </c>
      <c r="X707" s="6" t="s">
        <v>81</v>
      </c>
      <c r="Y707" s="21" t="s">
        <v>81</v>
      </c>
      <c r="Z707" s="6" t="s">
        <v>81</v>
      </c>
      <c r="AA707" s="6" t="s">
        <v>81</v>
      </c>
      <c r="AB707" s="6" t="s">
        <v>81</v>
      </c>
      <c r="AC707" s="6" t="s">
        <v>81</v>
      </c>
      <c r="AD707" s="21" t="s">
        <v>81</v>
      </c>
      <c r="AE707" s="6" t="s">
        <v>81</v>
      </c>
      <c r="AF707" s="6" t="s">
        <v>81</v>
      </c>
      <c r="AG707" s="6" t="s">
        <v>81</v>
      </c>
      <c r="AH707" s="6" t="s">
        <v>15292</v>
      </c>
      <c r="AI707" s="6" t="s">
        <v>81</v>
      </c>
      <c r="AJ707" s="6" t="s">
        <v>17656</v>
      </c>
      <c r="AK707" s="6" t="s">
        <v>18377</v>
      </c>
      <c r="AL707" s="6" t="s">
        <v>18444</v>
      </c>
      <c r="AM707" s="6" t="s">
        <v>18894</v>
      </c>
      <c r="AN707" s="6" t="s">
        <v>19661</v>
      </c>
      <c r="AO707" s="6" t="s">
        <v>19761</v>
      </c>
      <c r="AP707" s="6" t="s">
        <v>81</v>
      </c>
      <c r="AQ707" s="6" t="s">
        <v>81</v>
      </c>
      <c r="AR707" s="6" t="s">
        <v>81</v>
      </c>
      <c r="AS707" s="6" t="s">
        <v>81</v>
      </c>
      <c r="AT707" s="6" t="s">
        <v>81</v>
      </c>
      <c r="AU707" s="6" t="s">
        <v>81</v>
      </c>
      <c r="AV707" s="6" t="s">
        <v>81</v>
      </c>
      <c r="AW707" s="6" t="s">
        <v>81</v>
      </c>
      <c r="AX707" s="6" t="s">
        <v>81</v>
      </c>
      <c r="AY707" s="6" t="s">
        <v>22831</v>
      </c>
      <c r="AZ707" s="6" t="s">
        <v>81</v>
      </c>
      <c r="BA707" s="6" t="s">
        <v>23819</v>
      </c>
      <c r="BB707" s="24" t="n">
        <v>320</v>
      </c>
      <c r="BC707" s="26"/>
      <c r="BD707" s="26"/>
      <c r="BE707" s="26"/>
      <c r="BF707" s="26" t="s">
        <v>23900</v>
      </c>
      <c r="BG707" s="26"/>
      <c r="BH707" s="26"/>
      <c r="BI707" s="26"/>
      <c r="BJ707" s="26"/>
      <c r="BK707" s="26"/>
      <c r="BL707" s="26"/>
      <c r="BM707" s="26"/>
      <c r="BN707" s="26"/>
      <c r="BO707" s="26"/>
      <c r="BP707" s="16" t="n">
        <v>45714</v>
      </c>
      <c r="BQ707" s="28" t="str">
        <f>HYPERLINK("https://organic.ams.usda.gov/Integrity/Certificate.aspx?cid=45&amp;nopid=9950002873")</f>
        <v>https://organic.ams.usda.gov/Integrity/Certificate.aspx?cid=45&amp;nopid=9950002873</v>
      </c>
    </row>
    <row r="708">
      <c r="A708" t="s">
        <v>3</v>
      </c>
      <c r="B708" s="6" t="s">
        <v>20</v>
      </c>
      <c r="C708" s="6" t="s">
        <v>67</v>
      </c>
      <c r="D708" s="6" t="s">
        <v>113</v>
      </c>
      <c r="E708" s="10" t="s">
        <v>849</v>
      </c>
      <c r="F708" s="6" t="s">
        <v>3578</v>
      </c>
      <c r="G708" s="6" t="s">
        <v>81</v>
      </c>
      <c r="H708" s="6" t="s">
        <v>6534</v>
      </c>
      <c r="I708" s="6" t="s">
        <v>8816</v>
      </c>
      <c r="J708" s="6" t="s">
        <v>10039</v>
      </c>
      <c r="K708" s="6" t="s">
        <v>10886</v>
      </c>
      <c r="L708" s="16" t="n">
        <v>45047</v>
      </c>
      <c r="M708" s="16" t="n">
        <v>45860</v>
      </c>
      <c r="N708" s="6" t="s">
        <v>10886</v>
      </c>
      <c r="O708" s="16" t="n">
        <v>45047</v>
      </c>
      <c r="P708" s="6" t="s">
        <v>11329</v>
      </c>
      <c r="Q708" s="6" t="s">
        <v>81</v>
      </c>
      <c r="R708" s="6" t="s">
        <v>12620</v>
      </c>
      <c r="S708" s="6" t="s">
        <v>10886</v>
      </c>
      <c r="T708" s="16" t="n">
        <v>45047</v>
      </c>
      <c r="U708" s="6" t="s">
        <v>13432</v>
      </c>
      <c r="V708" s="6" t="s">
        <v>81</v>
      </c>
      <c r="W708" s="6" t="s">
        <v>13974</v>
      </c>
      <c r="X708" s="6" t="s">
        <v>81</v>
      </c>
      <c r="Y708" s="21" t="s">
        <v>81</v>
      </c>
      <c r="Z708" s="6" t="s">
        <v>81</v>
      </c>
      <c r="AA708" s="6" t="s">
        <v>81</v>
      </c>
      <c r="AB708" s="6" t="s">
        <v>81</v>
      </c>
      <c r="AC708" s="6" t="s">
        <v>81</v>
      </c>
      <c r="AD708" s="21" t="s">
        <v>81</v>
      </c>
      <c r="AE708" s="6" t="s">
        <v>81</v>
      </c>
      <c r="AF708" s="6" t="s">
        <v>81</v>
      </c>
      <c r="AG708" s="6" t="s">
        <v>81</v>
      </c>
      <c r="AH708" s="6" t="s">
        <v>15293</v>
      </c>
      <c r="AI708" s="6" t="s">
        <v>81</v>
      </c>
      <c r="AJ708" s="6" t="s">
        <v>17726</v>
      </c>
      <c r="AK708" s="6" t="s">
        <v>18152</v>
      </c>
      <c r="AL708" s="6" t="s">
        <v>18444</v>
      </c>
      <c r="AM708" s="6" t="s">
        <v>18895</v>
      </c>
      <c r="AN708" s="6" t="s">
        <v>19657</v>
      </c>
      <c r="AO708" s="6" t="s">
        <v>19914</v>
      </c>
      <c r="AP708" s="6" t="s">
        <v>15293</v>
      </c>
      <c r="AQ708" s="6" t="s">
        <v>81</v>
      </c>
      <c r="AR708" s="6" t="s">
        <v>17726</v>
      </c>
      <c r="AS708" s="6" t="s">
        <v>18152</v>
      </c>
      <c r="AT708" s="6" t="s">
        <v>18444</v>
      </c>
      <c r="AU708" s="6" t="s">
        <v>18895</v>
      </c>
      <c r="AV708" s="6" t="s">
        <v>81</v>
      </c>
      <c r="AW708" s="6" t="s">
        <v>81</v>
      </c>
      <c r="AX708" s="6" t="s">
        <v>20782</v>
      </c>
      <c r="AY708" s="6" t="s">
        <v>81</v>
      </c>
      <c r="AZ708" s="6" t="s">
        <v>81</v>
      </c>
      <c r="BA708" s="6" t="s">
        <v>81</v>
      </c>
      <c r="BB708" s="24" t="n">
        <v>235</v>
      </c>
      <c r="BC708" s="26"/>
      <c r="BD708" s="26"/>
      <c r="BE708" s="26"/>
      <c r="BF708" s="26" t="s">
        <v>23900</v>
      </c>
      <c r="BG708" s="26"/>
      <c r="BH708" s="26"/>
      <c r="BI708" s="26"/>
      <c r="BJ708" s="26"/>
      <c r="BK708" s="26"/>
      <c r="BL708" s="26"/>
      <c r="BM708" s="26"/>
      <c r="BN708" s="26"/>
      <c r="BO708" s="26"/>
      <c r="BP708" s="16" t="n">
        <v>45737</v>
      </c>
      <c r="BQ708" s="28" t="str">
        <f>HYPERLINK("https://organic.ams.usda.gov/Integrity/Certificate.aspx?cid=71&amp;nopid=5520721268")</f>
        <v>https://organic.ams.usda.gov/Integrity/Certificate.aspx?cid=71&amp;nopid=5520721268</v>
      </c>
    </row>
    <row r="709">
      <c r="A709" t="s">
        <v>3</v>
      </c>
      <c r="B709" s="6" t="s">
        <v>10</v>
      </c>
      <c r="C709" s="6" t="s">
        <v>57</v>
      </c>
      <c r="D709" s="6" t="s">
        <v>103</v>
      </c>
      <c r="E709" s="10" t="s">
        <v>850</v>
      </c>
      <c r="F709" s="6" t="s">
        <v>3579</v>
      </c>
      <c r="G709" s="6" t="s">
        <v>81</v>
      </c>
      <c r="H709" s="6" t="s">
        <v>6535</v>
      </c>
      <c r="I709" s="6" t="s">
        <v>8817</v>
      </c>
      <c r="J709" s="6" t="s">
        <v>10040</v>
      </c>
      <c r="K709" s="6" t="s">
        <v>10886</v>
      </c>
      <c r="L709" s="16" t="n">
        <v>44331</v>
      </c>
      <c r="M709" s="16" t="n">
        <v>45748</v>
      </c>
      <c r="N709" s="6" t="s">
        <v>10886</v>
      </c>
      <c r="O709" s="16" t="n">
        <v>44331</v>
      </c>
      <c r="P709" s="6" t="s">
        <v>11330</v>
      </c>
      <c r="Q709" s="6" t="s">
        <v>81</v>
      </c>
      <c r="R709" s="6" t="s">
        <v>12621</v>
      </c>
      <c r="S709" s="6" t="s">
        <v>10886</v>
      </c>
      <c r="T709" s="16" t="n">
        <v>45378</v>
      </c>
      <c r="U709" s="6" t="s">
        <v>13433</v>
      </c>
      <c r="V709" s="6" t="s">
        <v>81</v>
      </c>
      <c r="W709" s="6" t="s">
        <v>81</v>
      </c>
      <c r="X709" s="6" t="s">
        <v>81</v>
      </c>
      <c r="Y709" s="21" t="s">
        <v>81</v>
      </c>
      <c r="Z709" s="6" t="s">
        <v>81</v>
      </c>
      <c r="AA709" s="6" t="s">
        <v>81</v>
      </c>
      <c r="AB709" s="6" t="s">
        <v>81</v>
      </c>
      <c r="AC709" s="6" t="s">
        <v>81</v>
      </c>
      <c r="AD709" s="21" t="s">
        <v>81</v>
      </c>
      <c r="AE709" s="6" t="s">
        <v>81</v>
      </c>
      <c r="AF709" s="6" t="s">
        <v>81</v>
      </c>
      <c r="AG709" s="6" t="s">
        <v>81</v>
      </c>
      <c r="AH709" s="6" t="s">
        <v>15294</v>
      </c>
      <c r="AI709" s="6" t="s">
        <v>81</v>
      </c>
      <c r="AJ709" s="6" t="s">
        <v>17727</v>
      </c>
      <c r="AK709" s="6" t="s">
        <v>18379</v>
      </c>
      <c r="AL709" s="6" t="s">
        <v>18444</v>
      </c>
      <c r="AM709" s="6" t="s">
        <v>18896</v>
      </c>
      <c r="AN709" s="6" t="s">
        <v>19642</v>
      </c>
      <c r="AO709" s="6" t="s">
        <v>19799</v>
      </c>
      <c r="AP709" s="6" t="s">
        <v>15294</v>
      </c>
      <c r="AQ709" s="6" t="s">
        <v>81</v>
      </c>
      <c r="AR709" s="6" t="s">
        <v>17727</v>
      </c>
      <c r="AS709" s="6" t="s">
        <v>18379</v>
      </c>
      <c r="AT709" s="6" t="s">
        <v>18444</v>
      </c>
      <c r="AU709" s="6" t="s">
        <v>18896</v>
      </c>
      <c r="AV709" s="6" t="s">
        <v>81</v>
      </c>
      <c r="AW709" s="6" t="s">
        <v>81</v>
      </c>
      <c r="AX709" s="6" t="s">
        <v>21201</v>
      </c>
      <c r="AY709" s="6" t="s">
        <v>81</v>
      </c>
      <c r="AZ709" s="6" t="s">
        <v>81</v>
      </c>
      <c r="BA709" s="6" t="s">
        <v>81</v>
      </c>
      <c r="BB709" s="24" t="n">
        <v>150</v>
      </c>
      <c r="BC709" s="26"/>
      <c r="BD709" s="26"/>
      <c r="BE709" s="26"/>
      <c r="BF709" s="26"/>
      <c r="BG709" s="26"/>
      <c r="BH709" s="26"/>
      <c r="BI709" s="26"/>
      <c r="BJ709" s="26"/>
      <c r="BK709" s="26"/>
      <c r="BL709" s="26"/>
      <c r="BM709" s="26"/>
      <c r="BN709" s="26"/>
      <c r="BO709" s="26"/>
      <c r="BP709" s="16" t="n">
        <v>45730</v>
      </c>
      <c r="BQ709" s="28" t="str">
        <f>HYPERLINK("https://organic.ams.usda.gov/Integrity/Certificate.aspx?cid=90&amp;nopid=7170210354")</f>
        <v>https://organic.ams.usda.gov/Integrity/Certificate.aspx?cid=90&amp;nopid=7170210354</v>
      </c>
    </row>
    <row r="710">
      <c r="A710" t="s">
        <v>3</v>
      </c>
      <c r="B710" s="6" t="s">
        <v>28</v>
      </c>
      <c r="C710" s="6" t="s">
        <v>75</v>
      </c>
      <c r="D710" s="6" t="s">
        <v>121</v>
      </c>
      <c r="E710" s="10" t="s">
        <v>851</v>
      </c>
      <c r="F710" s="6" t="s">
        <v>3580</v>
      </c>
      <c r="G710" s="6" t="s">
        <v>81</v>
      </c>
      <c r="H710" s="6" t="s">
        <v>6536</v>
      </c>
      <c r="I710" s="6" t="s">
        <v>8511</v>
      </c>
      <c r="J710" s="6" t="s">
        <v>10041</v>
      </c>
      <c r="K710" s="6" t="s">
        <v>10886</v>
      </c>
      <c r="L710" s="16" t="n">
        <v>37417</v>
      </c>
      <c r="M710" s="16" t="n">
        <v>45717</v>
      </c>
      <c r="N710" s="6" t="s">
        <v>81</v>
      </c>
      <c r="O710" s="21" t="s">
        <v>81</v>
      </c>
      <c r="P710" s="6" t="s">
        <v>81</v>
      </c>
      <c r="Q710" s="6" t="s">
        <v>81</v>
      </c>
      <c r="R710" s="6" t="s">
        <v>81</v>
      </c>
      <c r="S710" s="6" t="s">
        <v>81</v>
      </c>
      <c r="T710" s="21" t="s">
        <v>81</v>
      </c>
      <c r="U710" s="6" t="s">
        <v>81</v>
      </c>
      <c r="V710" s="6" t="s">
        <v>81</v>
      </c>
      <c r="W710" s="6" t="s">
        <v>81</v>
      </c>
      <c r="X710" s="6" t="s">
        <v>81</v>
      </c>
      <c r="Y710" s="21" t="s">
        <v>81</v>
      </c>
      <c r="Z710" s="6" t="s">
        <v>81</v>
      </c>
      <c r="AA710" s="6" t="s">
        <v>81</v>
      </c>
      <c r="AB710" s="6" t="s">
        <v>81</v>
      </c>
      <c r="AC710" s="6" t="s">
        <v>10886</v>
      </c>
      <c r="AD710" s="16" t="n">
        <v>37417</v>
      </c>
      <c r="AE710" s="6" t="s">
        <v>14153</v>
      </c>
      <c r="AF710" s="6" t="s">
        <v>81</v>
      </c>
      <c r="AG710" s="6" t="s">
        <v>81</v>
      </c>
      <c r="AH710" s="6" t="s">
        <v>15295</v>
      </c>
      <c r="AI710" s="6" t="s">
        <v>81</v>
      </c>
      <c r="AJ710" s="6" t="s">
        <v>17728</v>
      </c>
      <c r="AK710" s="6" t="s">
        <v>18391</v>
      </c>
      <c r="AL710" s="6" t="s">
        <v>18444</v>
      </c>
      <c r="AM710" s="6" t="s">
        <v>18897</v>
      </c>
      <c r="AN710" s="6" t="s">
        <v>19664</v>
      </c>
      <c r="AO710" s="6" t="s">
        <v>19915</v>
      </c>
      <c r="AP710" s="6" t="s">
        <v>81</v>
      </c>
      <c r="AQ710" s="6" t="s">
        <v>81</v>
      </c>
      <c r="AR710" s="6" t="s">
        <v>81</v>
      </c>
      <c r="AS710" s="6" t="s">
        <v>81</v>
      </c>
      <c r="AT710" s="6" t="s">
        <v>81</v>
      </c>
      <c r="AU710" s="6" t="s">
        <v>81</v>
      </c>
      <c r="AV710" s="6" t="s">
        <v>81</v>
      </c>
      <c r="AW710" s="6" t="s">
        <v>81</v>
      </c>
      <c r="AX710" s="6" t="s">
        <v>21202</v>
      </c>
      <c r="AY710" s="6" t="s">
        <v>22832</v>
      </c>
      <c r="AZ710" s="6" t="s">
        <v>23642</v>
      </c>
      <c r="BA710" s="6" t="s">
        <v>81</v>
      </c>
      <c r="BB710" s="6" t="s">
        <v>81</v>
      </c>
      <c r="BC710" s="26"/>
      <c r="BD710" s="26"/>
      <c r="BE710" s="26"/>
      <c r="BF710" s="26"/>
      <c r="BG710" s="26"/>
      <c r="BH710" s="26"/>
      <c r="BI710" s="26"/>
      <c r="BJ710" s="26"/>
      <c r="BK710" s="26"/>
      <c r="BL710" s="26" t="s">
        <v>23900</v>
      </c>
      <c r="BM710" s="26"/>
      <c r="BN710" s="26"/>
      <c r="BO710" s="26"/>
      <c r="BP710" s="16" t="n">
        <v>45714</v>
      </c>
      <c r="BQ710" s="28" t="str">
        <f>HYPERLINK("https://organic.ams.usda.gov/Integrity/Certificate.aspx?cid=64&amp;nopid=8830000657")</f>
        <v>https://organic.ams.usda.gov/Integrity/Certificate.aspx?cid=64&amp;nopid=8830000657</v>
      </c>
    </row>
    <row r="711">
      <c r="A711" t="s">
        <v>3</v>
      </c>
      <c r="B711" s="6" t="s">
        <v>12</v>
      </c>
      <c r="C711" s="6" t="s">
        <v>59</v>
      </c>
      <c r="D711" s="6" t="s">
        <v>105</v>
      </c>
      <c r="E711" s="10" t="s">
        <v>852</v>
      </c>
      <c r="F711" s="6" t="s">
        <v>3581</v>
      </c>
      <c r="G711" s="6" t="s">
        <v>81</v>
      </c>
      <c r="H711" s="6" t="s">
        <v>6537</v>
      </c>
      <c r="I711" s="6" t="s">
        <v>8501</v>
      </c>
      <c r="J711" s="6" t="s">
        <v>9949</v>
      </c>
      <c r="K711" s="6" t="s">
        <v>10886</v>
      </c>
      <c r="L711" s="16" t="n">
        <v>43522</v>
      </c>
      <c r="M711" s="16" t="n">
        <v>45717</v>
      </c>
      <c r="N711" s="6" t="s">
        <v>81</v>
      </c>
      <c r="O711" s="21" t="s">
        <v>81</v>
      </c>
      <c r="P711" s="6" t="s">
        <v>81</v>
      </c>
      <c r="Q711" s="6" t="s">
        <v>81</v>
      </c>
      <c r="R711" s="6" t="s">
        <v>81</v>
      </c>
      <c r="S711" s="6" t="s">
        <v>81</v>
      </c>
      <c r="T711" s="21" t="s">
        <v>81</v>
      </c>
      <c r="U711" s="6" t="s">
        <v>81</v>
      </c>
      <c r="V711" s="6" t="s">
        <v>81</v>
      </c>
      <c r="W711" s="6" t="s">
        <v>81</v>
      </c>
      <c r="X711" s="6" t="s">
        <v>81</v>
      </c>
      <c r="Y711" s="21" t="s">
        <v>81</v>
      </c>
      <c r="Z711" s="6" t="s">
        <v>81</v>
      </c>
      <c r="AA711" s="6" t="s">
        <v>81</v>
      </c>
      <c r="AB711" s="6" t="s">
        <v>81</v>
      </c>
      <c r="AC711" s="6" t="s">
        <v>10886</v>
      </c>
      <c r="AD711" s="16" t="n">
        <v>43522</v>
      </c>
      <c r="AE711" s="6" t="s">
        <v>14154</v>
      </c>
      <c r="AF711" s="6" t="s">
        <v>81</v>
      </c>
      <c r="AG711" s="6" t="s">
        <v>81</v>
      </c>
      <c r="AH711" s="6" t="s">
        <v>15296</v>
      </c>
      <c r="AI711" s="6" t="s">
        <v>81</v>
      </c>
      <c r="AJ711" s="6" t="s">
        <v>17729</v>
      </c>
      <c r="AK711" s="6" t="s">
        <v>17712</v>
      </c>
      <c r="AL711" s="6" t="s">
        <v>18444</v>
      </c>
      <c r="AM711" s="6" t="s">
        <v>7672</v>
      </c>
      <c r="AN711" s="6" t="s">
        <v>19677</v>
      </c>
      <c r="AO711" s="6" t="s">
        <v>19916</v>
      </c>
      <c r="AP711" s="6" t="s">
        <v>20194</v>
      </c>
      <c r="AQ711" s="6" t="s">
        <v>81</v>
      </c>
      <c r="AR711" s="6" t="s">
        <v>20509</v>
      </c>
      <c r="AS711" s="6" t="s">
        <v>17712</v>
      </c>
      <c r="AT711" s="6" t="s">
        <v>18444</v>
      </c>
      <c r="AU711" s="6" t="s">
        <v>20619</v>
      </c>
      <c r="AV711" s="6" t="s">
        <v>81</v>
      </c>
      <c r="AW711" s="6" t="s">
        <v>81</v>
      </c>
      <c r="AX711" s="6" t="s">
        <v>21203</v>
      </c>
      <c r="AY711" s="6" t="s">
        <v>22833</v>
      </c>
      <c r="AZ711" s="6" t="s">
        <v>81</v>
      </c>
      <c r="BA711" s="6" t="s">
        <v>81</v>
      </c>
      <c r="BB711" s="6" t="s">
        <v>81</v>
      </c>
      <c r="BC711" s="26"/>
      <c r="BD711" s="26"/>
      <c r="BE711" s="26"/>
      <c r="BF711" s="26"/>
      <c r="BG711" s="26"/>
      <c r="BH711" s="26"/>
      <c r="BI711" s="26"/>
      <c r="BJ711" s="26"/>
      <c r="BK711" s="26"/>
      <c r="BL711" s="26"/>
      <c r="BM711" s="26"/>
      <c r="BN711" s="26"/>
      <c r="BO711" s="26"/>
      <c r="BP711" s="16" t="n">
        <v>45684</v>
      </c>
      <c r="BQ711" s="28" t="str">
        <f>HYPERLINK("https://organic.ams.usda.gov/Integrity/Certificate.aspx?cid=68&amp;nopid=8210006286")</f>
        <v>https://organic.ams.usda.gov/Integrity/Certificate.aspx?cid=68&amp;nopid=8210006286</v>
      </c>
    </row>
    <row r="712">
      <c r="A712" t="s">
        <v>3</v>
      </c>
      <c r="B712" s="6" t="s">
        <v>12</v>
      </c>
      <c r="C712" s="6" t="s">
        <v>59</v>
      </c>
      <c r="D712" s="6" t="s">
        <v>105</v>
      </c>
      <c r="E712" s="10" t="s">
        <v>853</v>
      </c>
      <c r="F712" s="6" t="s">
        <v>3582</v>
      </c>
      <c r="G712" s="6" t="s">
        <v>81</v>
      </c>
      <c r="H712" s="6" t="s">
        <v>6538</v>
      </c>
      <c r="I712" s="6" t="s">
        <v>8633</v>
      </c>
      <c r="J712" s="6" t="s">
        <v>10042</v>
      </c>
      <c r="K712" s="6" t="s">
        <v>10886</v>
      </c>
      <c r="L712" s="16" t="n">
        <v>39181</v>
      </c>
      <c r="M712" s="16" t="n">
        <v>45717</v>
      </c>
      <c r="N712" s="6" t="s">
        <v>10886</v>
      </c>
      <c r="O712" s="16" t="n">
        <v>39181</v>
      </c>
      <c r="P712" s="6" t="s">
        <v>11031</v>
      </c>
      <c r="Q712" s="6" t="s">
        <v>81</v>
      </c>
      <c r="R712" s="6" t="s">
        <v>81</v>
      </c>
      <c r="S712" s="6" t="s">
        <v>10886</v>
      </c>
      <c r="T712" s="16" t="n">
        <v>39181</v>
      </c>
      <c r="U712" s="6" t="s">
        <v>13434</v>
      </c>
      <c r="V712" s="6" t="s">
        <v>81</v>
      </c>
      <c r="W712" s="6" t="s">
        <v>81</v>
      </c>
      <c r="X712" s="6" t="s">
        <v>81</v>
      </c>
      <c r="Y712" s="21" t="s">
        <v>81</v>
      </c>
      <c r="Z712" s="6" t="s">
        <v>81</v>
      </c>
      <c r="AA712" s="6" t="s">
        <v>81</v>
      </c>
      <c r="AB712" s="6" t="s">
        <v>81</v>
      </c>
      <c r="AC712" s="6" t="s">
        <v>81</v>
      </c>
      <c r="AD712" s="21" t="s">
        <v>81</v>
      </c>
      <c r="AE712" s="6" t="s">
        <v>81</v>
      </c>
      <c r="AF712" s="6" t="s">
        <v>81</v>
      </c>
      <c r="AG712" s="6" t="s">
        <v>81</v>
      </c>
      <c r="AH712" s="6" t="s">
        <v>15297</v>
      </c>
      <c r="AI712" s="6" t="s">
        <v>81</v>
      </c>
      <c r="AJ712" s="6" t="s">
        <v>17729</v>
      </c>
      <c r="AK712" s="6" t="s">
        <v>17712</v>
      </c>
      <c r="AL712" s="6" t="s">
        <v>18444</v>
      </c>
      <c r="AM712" s="6" t="s">
        <v>7672</v>
      </c>
      <c r="AN712" s="6" t="s">
        <v>19677</v>
      </c>
      <c r="AO712" s="6" t="s">
        <v>19916</v>
      </c>
      <c r="AP712" s="6" t="s">
        <v>20195</v>
      </c>
      <c r="AQ712" s="6" t="s">
        <v>81</v>
      </c>
      <c r="AR712" s="6" t="s">
        <v>20509</v>
      </c>
      <c r="AS712" s="6" t="s">
        <v>17712</v>
      </c>
      <c r="AT712" s="6" t="s">
        <v>18444</v>
      </c>
      <c r="AU712" s="6" t="s">
        <v>20619</v>
      </c>
      <c r="AV712" s="6" t="s">
        <v>81</v>
      </c>
      <c r="AW712" s="6" t="s">
        <v>81</v>
      </c>
      <c r="AX712" s="6" t="s">
        <v>21204</v>
      </c>
      <c r="AY712" s="6" t="s">
        <v>22710</v>
      </c>
      <c r="AZ712" s="6" t="s">
        <v>81</v>
      </c>
      <c r="BA712" s="6" t="s">
        <v>81</v>
      </c>
      <c r="BB712" s="24" t="n">
        <v>634</v>
      </c>
      <c r="BC712" s="26"/>
      <c r="BD712" s="26"/>
      <c r="BE712" s="26"/>
      <c r="BF712" s="26"/>
      <c r="BG712" s="26"/>
      <c r="BH712" s="26"/>
      <c r="BI712" s="26"/>
      <c r="BJ712" s="26"/>
      <c r="BK712" s="26"/>
      <c r="BL712" s="26"/>
      <c r="BM712" s="26"/>
      <c r="BN712" s="26"/>
      <c r="BO712" s="26"/>
      <c r="BP712" s="16" t="n">
        <v>45733</v>
      </c>
      <c r="BQ712" s="28" t="str">
        <f>HYPERLINK("https://organic.ams.usda.gov/Integrity/Certificate.aspx?cid=68&amp;nopid=8210001481")</f>
        <v>https://organic.ams.usda.gov/Integrity/Certificate.aspx?cid=68&amp;nopid=8210001481</v>
      </c>
    </row>
    <row r="713">
      <c r="A713" t="s">
        <v>3</v>
      </c>
      <c r="B713" s="6" t="s">
        <v>9</v>
      </c>
      <c r="C713" s="6" t="s">
        <v>56</v>
      </c>
      <c r="D713" s="6" t="s">
        <v>102</v>
      </c>
      <c r="E713" s="10" t="s">
        <v>854</v>
      </c>
      <c r="F713" s="6" t="s">
        <v>3583</v>
      </c>
      <c r="G713" s="6" t="s">
        <v>81</v>
      </c>
      <c r="H713" s="6" t="s">
        <v>6539</v>
      </c>
      <c r="I713" s="6" t="s">
        <v>8818</v>
      </c>
      <c r="J713" s="6" t="s">
        <v>9743</v>
      </c>
      <c r="K713" s="6" t="s">
        <v>10886</v>
      </c>
      <c r="L713" s="16" t="n">
        <v>41870</v>
      </c>
      <c r="M713" s="16" t="n">
        <v>46113</v>
      </c>
      <c r="N713" s="6" t="s">
        <v>10886</v>
      </c>
      <c r="O713" s="16" t="n">
        <v>41870</v>
      </c>
      <c r="P713" s="6" t="s">
        <v>11331</v>
      </c>
      <c r="Q713" s="6" t="s">
        <v>81</v>
      </c>
      <c r="R713" s="6" t="s">
        <v>12622</v>
      </c>
      <c r="S713" s="6" t="s">
        <v>10886</v>
      </c>
      <c r="T713" s="16" t="n">
        <v>41870</v>
      </c>
      <c r="U713" s="6" t="s">
        <v>13435</v>
      </c>
      <c r="V713" s="6" t="s">
        <v>81</v>
      </c>
      <c r="W713" s="6" t="s">
        <v>12622</v>
      </c>
      <c r="X713" s="6" t="s">
        <v>81</v>
      </c>
      <c r="Y713" s="21" t="s">
        <v>81</v>
      </c>
      <c r="Z713" s="6" t="s">
        <v>81</v>
      </c>
      <c r="AA713" s="6" t="s">
        <v>81</v>
      </c>
      <c r="AB713" s="6" t="s">
        <v>81</v>
      </c>
      <c r="AC713" s="6" t="s">
        <v>81</v>
      </c>
      <c r="AD713" s="21" t="s">
        <v>81</v>
      </c>
      <c r="AE713" s="6" t="s">
        <v>81</v>
      </c>
      <c r="AF713" s="6" t="s">
        <v>81</v>
      </c>
      <c r="AG713" s="6" t="s">
        <v>81</v>
      </c>
      <c r="AH713" s="6" t="s">
        <v>15298</v>
      </c>
      <c r="AI713" s="6" t="s">
        <v>81</v>
      </c>
      <c r="AJ713" s="6" t="s">
        <v>17730</v>
      </c>
      <c r="AK713" s="6" t="s">
        <v>18377</v>
      </c>
      <c r="AL713" s="6" t="s">
        <v>18444</v>
      </c>
      <c r="AM713" s="6" t="s">
        <v>18898</v>
      </c>
      <c r="AN713" s="6" t="s">
        <v>6139</v>
      </c>
      <c r="AO713" s="6" t="s">
        <v>19814</v>
      </c>
      <c r="AP713" s="6" t="s">
        <v>81</v>
      </c>
      <c r="AQ713" s="6" t="s">
        <v>81</v>
      </c>
      <c r="AR713" s="6" t="s">
        <v>81</v>
      </c>
      <c r="AS713" s="6" t="s">
        <v>81</v>
      </c>
      <c r="AT713" s="6" t="s">
        <v>81</v>
      </c>
      <c r="AU713" s="6" t="s">
        <v>81</v>
      </c>
      <c r="AV713" s="6" t="s">
        <v>81</v>
      </c>
      <c r="AW713" s="6" t="s">
        <v>81</v>
      </c>
      <c r="AX713" s="6" t="s">
        <v>81</v>
      </c>
      <c r="AY713" s="6" t="s">
        <v>81</v>
      </c>
      <c r="AZ713" s="6" t="s">
        <v>81</v>
      </c>
      <c r="BA713" s="6" t="s">
        <v>81</v>
      </c>
      <c r="BB713" s="24" t="n">
        <v>80</v>
      </c>
      <c r="BC713" s="26"/>
      <c r="BD713" s="26"/>
      <c r="BE713" s="26"/>
      <c r="BF713" s="26"/>
      <c r="BG713" s="26"/>
      <c r="BH713" s="26"/>
      <c r="BI713" s="26"/>
      <c r="BJ713" s="26"/>
      <c r="BK713" s="26"/>
      <c r="BL713" s="26"/>
      <c r="BM713" s="26"/>
      <c r="BN713" s="26"/>
      <c r="BO713" s="26"/>
      <c r="BP713" s="16" t="n">
        <v>45738</v>
      </c>
      <c r="BQ713" s="28" t="str">
        <f>HYPERLINK("https://organic.ams.usda.gov/Integrity/Certificate.aspx?cid=52&amp;nopid=8431400764")</f>
        <v>https://organic.ams.usda.gov/Integrity/Certificate.aspx?cid=52&amp;nopid=8431400764</v>
      </c>
    </row>
    <row r="714">
      <c r="A714" t="s">
        <v>3</v>
      </c>
      <c r="B714" s="6" t="s">
        <v>15</v>
      </c>
      <c r="C714" s="6" t="s">
        <v>62</v>
      </c>
      <c r="D714" s="6" t="s">
        <v>108</v>
      </c>
      <c r="E714" s="10" t="s">
        <v>855</v>
      </c>
      <c r="F714" s="6" t="s">
        <v>3584</v>
      </c>
      <c r="G714" s="6" t="s">
        <v>81</v>
      </c>
      <c r="H714" s="6" t="s">
        <v>6540</v>
      </c>
      <c r="I714" s="6" t="s">
        <v>8818</v>
      </c>
      <c r="J714" s="6" t="s">
        <v>9729</v>
      </c>
      <c r="K714" s="6" t="s">
        <v>10886</v>
      </c>
      <c r="L714" s="16" t="n">
        <v>42621</v>
      </c>
      <c r="M714" s="16" t="n">
        <v>46157</v>
      </c>
      <c r="N714" s="6" t="s">
        <v>10886</v>
      </c>
      <c r="O714" s="16" t="n">
        <v>42621</v>
      </c>
      <c r="P714" s="6" t="s">
        <v>11332</v>
      </c>
      <c r="Q714" s="6" t="s">
        <v>81</v>
      </c>
      <c r="R714" s="6" t="s">
        <v>81</v>
      </c>
      <c r="S714" s="6" t="s">
        <v>10886</v>
      </c>
      <c r="T714" s="16" t="n">
        <v>42621</v>
      </c>
      <c r="U714" s="6" t="s">
        <v>13436</v>
      </c>
      <c r="V714" s="6" t="s">
        <v>81</v>
      </c>
      <c r="W714" s="6" t="s">
        <v>81</v>
      </c>
      <c r="X714" s="6" t="s">
        <v>81</v>
      </c>
      <c r="Y714" s="21" t="s">
        <v>81</v>
      </c>
      <c r="Z714" s="6" t="s">
        <v>81</v>
      </c>
      <c r="AA714" s="6" t="s">
        <v>81</v>
      </c>
      <c r="AB714" s="6" t="s">
        <v>81</v>
      </c>
      <c r="AC714" s="6" t="s">
        <v>81</v>
      </c>
      <c r="AD714" s="21" t="s">
        <v>81</v>
      </c>
      <c r="AE714" s="6" t="s">
        <v>81</v>
      </c>
      <c r="AF714" s="6" t="s">
        <v>81</v>
      </c>
      <c r="AG714" s="6" t="s">
        <v>81</v>
      </c>
      <c r="AH714" s="6" t="s">
        <v>15299</v>
      </c>
      <c r="AI714" s="6" t="s">
        <v>81</v>
      </c>
      <c r="AJ714" s="6" t="s">
        <v>17343</v>
      </c>
      <c r="AK714" s="6" t="s">
        <v>18384</v>
      </c>
      <c r="AL714" s="6" t="s">
        <v>18444</v>
      </c>
      <c r="AM714" s="6" t="s">
        <v>18899</v>
      </c>
      <c r="AN714" s="6" t="s">
        <v>19671</v>
      </c>
      <c r="AO714" s="6" t="s">
        <v>19917</v>
      </c>
      <c r="AP714" s="6" t="s">
        <v>15299</v>
      </c>
      <c r="AQ714" s="6" t="s">
        <v>81</v>
      </c>
      <c r="AR714" s="6" t="s">
        <v>17343</v>
      </c>
      <c r="AS714" s="6" t="s">
        <v>18384</v>
      </c>
      <c r="AT714" s="6" t="s">
        <v>18444</v>
      </c>
      <c r="AU714" s="6" t="s">
        <v>18899</v>
      </c>
      <c r="AV714" s="6" t="s">
        <v>81</v>
      </c>
      <c r="AW714" s="6" t="s">
        <v>81</v>
      </c>
      <c r="AX714" s="6" t="s">
        <v>5755</v>
      </c>
      <c r="AY714" s="6" t="s">
        <v>81</v>
      </c>
      <c r="AZ714" s="6" t="s">
        <v>81</v>
      </c>
      <c r="BA714" s="6" t="s">
        <v>81</v>
      </c>
      <c r="BB714" s="24" t="n">
        <v>112</v>
      </c>
      <c r="BC714" s="26"/>
      <c r="BD714" s="26"/>
      <c r="BE714" s="26"/>
      <c r="BF714" s="26" t="s">
        <v>23900</v>
      </c>
      <c r="BG714" s="26"/>
      <c r="BH714" s="26"/>
      <c r="BI714" s="26"/>
      <c r="BJ714" s="26"/>
      <c r="BK714" s="26"/>
      <c r="BL714" s="26"/>
      <c r="BM714" s="26"/>
      <c r="BN714" s="26"/>
      <c r="BO714" s="26"/>
      <c r="BP714" s="16" t="n">
        <v>45737</v>
      </c>
      <c r="BQ714" s="28" t="str">
        <f>HYPERLINK("https://organic.ams.usda.gov/Integrity/Certificate.aspx?cid=58&amp;nopid=1600002785")</f>
        <v>https://organic.ams.usda.gov/Integrity/Certificate.aspx?cid=58&amp;nopid=1600002785</v>
      </c>
    </row>
    <row r="715">
      <c r="A715" t="s">
        <v>3</v>
      </c>
      <c r="B715" s="6" t="s">
        <v>12</v>
      </c>
      <c r="C715" s="6" t="s">
        <v>59</v>
      </c>
      <c r="D715" s="6" t="s">
        <v>105</v>
      </c>
      <c r="E715" s="10" t="s">
        <v>856</v>
      </c>
      <c r="F715" s="6" t="s">
        <v>3585</v>
      </c>
      <c r="G715" s="6" t="s">
        <v>81</v>
      </c>
      <c r="H715" s="6" t="s">
        <v>6541</v>
      </c>
      <c r="I715" s="6" t="s">
        <v>8819</v>
      </c>
      <c r="J715" s="6" t="s">
        <v>9816</v>
      </c>
      <c r="K715" s="6" t="s">
        <v>10886</v>
      </c>
      <c r="L715" s="16" t="n">
        <v>37550</v>
      </c>
      <c r="M715" s="16" t="n">
        <v>45717</v>
      </c>
      <c r="N715" s="6" t="s">
        <v>10886</v>
      </c>
      <c r="O715" s="16" t="n">
        <v>37550</v>
      </c>
      <c r="P715" s="6" t="s">
        <v>10944</v>
      </c>
      <c r="Q715" s="6" t="s">
        <v>81</v>
      </c>
      <c r="R715" s="6" t="s">
        <v>81</v>
      </c>
      <c r="S715" s="6" t="s">
        <v>10886</v>
      </c>
      <c r="T715" s="16" t="n">
        <v>37550</v>
      </c>
      <c r="U715" s="6" t="s">
        <v>13209</v>
      </c>
      <c r="V715" s="6" t="s">
        <v>81</v>
      </c>
      <c r="W715" s="6" t="s">
        <v>81</v>
      </c>
      <c r="X715" s="6" t="s">
        <v>81</v>
      </c>
      <c r="Y715" s="21" t="s">
        <v>81</v>
      </c>
      <c r="Z715" s="6" t="s">
        <v>81</v>
      </c>
      <c r="AA715" s="6" t="s">
        <v>81</v>
      </c>
      <c r="AB715" s="6" t="s">
        <v>81</v>
      </c>
      <c r="AC715" s="6" t="s">
        <v>81</v>
      </c>
      <c r="AD715" s="21" t="s">
        <v>81</v>
      </c>
      <c r="AE715" s="6" t="s">
        <v>81</v>
      </c>
      <c r="AF715" s="6" t="s">
        <v>81</v>
      </c>
      <c r="AG715" s="6" t="s">
        <v>81</v>
      </c>
      <c r="AH715" s="6" t="s">
        <v>15300</v>
      </c>
      <c r="AI715" s="6" t="s">
        <v>81</v>
      </c>
      <c r="AJ715" s="6" t="s">
        <v>17411</v>
      </c>
      <c r="AK715" s="6" t="s">
        <v>18380</v>
      </c>
      <c r="AL715" s="6" t="s">
        <v>18444</v>
      </c>
      <c r="AM715" s="6" t="s">
        <v>18567</v>
      </c>
      <c r="AN715" s="6" t="s">
        <v>19639</v>
      </c>
      <c r="AO715" s="6" t="s">
        <v>19725</v>
      </c>
      <c r="AP715" s="6" t="s">
        <v>15300</v>
      </c>
      <c r="AQ715" s="6" t="s">
        <v>81</v>
      </c>
      <c r="AR715" s="6" t="s">
        <v>17411</v>
      </c>
      <c r="AS715" s="6" t="s">
        <v>18380</v>
      </c>
      <c r="AT715" s="6" t="s">
        <v>18444</v>
      </c>
      <c r="AU715" s="6" t="s">
        <v>18567</v>
      </c>
      <c r="AV715" s="6" t="s">
        <v>19639</v>
      </c>
      <c r="AW715" s="6" t="s">
        <v>19725</v>
      </c>
      <c r="AX715" s="6" t="s">
        <v>21205</v>
      </c>
      <c r="AY715" s="6" t="s">
        <v>81</v>
      </c>
      <c r="AZ715" s="6" t="s">
        <v>81</v>
      </c>
      <c r="BA715" s="6" t="s">
        <v>81</v>
      </c>
      <c r="BB715" s="24" t="n">
        <v>70</v>
      </c>
      <c r="BC715" s="26"/>
      <c r="BD715" s="26"/>
      <c r="BE715" s="26"/>
      <c r="BF715" s="26"/>
      <c r="BG715" s="26"/>
      <c r="BH715" s="26"/>
      <c r="BI715" s="26"/>
      <c r="BJ715" s="26"/>
      <c r="BK715" s="26"/>
      <c r="BL715" s="26"/>
      <c r="BM715" s="26"/>
      <c r="BN715" s="26"/>
      <c r="BO715" s="26"/>
      <c r="BP715" s="16" t="n">
        <v>45684</v>
      </c>
      <c r="BQ715" s="28" t="str">
        <f>HYPERLINK("https://organic.ams.usda.gov/Integrity/Certificate.aspx?cid=68&amp;nopid=8210002642")</f>
        <v>https://organic.ams.usda.gov/Integrity/Certificate.aspx?cid=68&amp;nopid=8210002642</v>
      </c>
    </row>
    <row r="716">
      <c r="A716" t="s">
        <v>3</v>
      </c>
      <c r="B716" s="6" t="s">
        <v>13</v>
      </c>
      <c r="C716" s="6" t="s">
        <v>60</v>
      </c>
      <c r="D716" s="6" t="s">
        <v>106</v>
      </c>
      <c r="E716" s="10" t="s">
        <v>857</v>
      </c>
      <c r="F716" s="6" t="s">
        <v>3586</v>
      </c>
      <c r="G716" s="6" t="s">
        <v>81</v>
      </c>
      <c r="H716" s="6" t="s">
        <v>6542</v>
      </c>
      <c r="I716" s="6" t="s">
        <v>8819</v>
      </c>
      <c r="J716" s="6" t="s">
        <v>10043</v>
      </c>
      <c r="K716" s="6" t="s">
        <v>10886</v>
      </c>
      <c r="L716" s="16" t="n">
        <v>42535</v>
      </c>
      <c r="M716" s="16" t="n">
        <v>45992</v>
      </c>
      <c r="N716" s="6" t="s">
        <v>10886</v>
      </c>
      <c r="O716" s="16" t="n">
        <v>42535</v>
      </c>
      <c r="P716" s="6" t="s">
        <v>11333</v>
      </c>
      <c r="Q716" s="6" t="s">
        <v>81</v>
      </c>
      <c r="R716" s="6" t="s">
        <v>12623</v>
      </c>
      <c r="S716" s="6" t="s">
        <v>10886</v>
      </c>
      <c r="T716" s="16" t="n">
        <v>42535</v>
      </c>
      <c r="U716" s="6" t="s">
        <v>13325</v>
      </c>
      <c r="V716" s="6" t="s">
        <v>81</v>
      </c>
      <c r="W716" s="6" t="s">
        <v>12623</v>
      </c>
      <c r="X716" s="6" t="s">
        <v>81</v>
      </c>
      <c r="Y716" s="21" t="s">
        <v>81</v>
      </c>
      <c r="Z716" s="6" t="s">
        <v>81</v>
      </c>
      <c r="AA716" s="6" t="s">
        <v>81</v>
      </c>
      <c r="AB716" s="6" t="s">
        <v>81</v>
      </c>
      <c r="AC716" s="6" t="s">
        <v>81</v>
      </c>
      <c r="AD716" s="21" t="s">
        <v>81</v>
      </c>
      <c r="AE716" s="6" t="s">
        <v>81</v>
      </c>
      <c r="AF716" s="6" t="s">
        <v>81</v>
      </c>
      <c r="AG716" s="6" t="s">
        <v>81</v>
      </c>
      <c r="AH716" s="6" t="s">
        <v>15301</v>
      </c>
      <c r="AI716" s="6" t="s">
        <v>81</v>
      </c>
      <c r="AJ716" s="6" t="s">
        <v>17403</v>
      </c>
      <c r="AK716" s="6" t="s">
        <v>18378</v>
      </c>
      <c r="AL716" s="6" t="s">
        <v>18444</v>
      </c>
      <c r="AM716" s="6" t="s">
        <v>18559</v>
      </c>
      <c r="AN716" s="6" t="s">
        <v>19636</v>
      </c>
      <c r="AO716" s="6" t="s">
        <v>19722</v>
      </c>
      <c r="AP716" s="6" t="s">
        <v>15301</v>
      </c>
      <c r="AQ716" s="6" t="s">
        <v>81</v>
      </c>
      <c r="AR716" s="6" t="s">
        <v>17403</v>
      </c>
      <c r="AS716" s="6" t="s">
        <v>18378</v>
      </c>
      <c r="AT716" s="6" t="s">
        <v>18444</v>
      </c>
      <c r="AU716" s="6" t="s">
        <v>18559</v>
      </c>
      <c r="AV716" s="6" t="s">
        <v>81</v>
      </c>
      <c r="AW716" s="6" t="s">
        <v>81</v>
      </c>
      <c r="AX716" s="6" t="s">
        <v>21206</v>
      </c>
      <c r="AY716" s="6" t="s">
        <v>81</v>
      </c>
      <c r="AZ716" s="6" t="s">
        <v>81</v>
      </c>
      <c r="BA716" s="6" t="s">
        <v>81</v>
      </c>
      <c r="BB716" s="24" t="n">
        <v>160</v>
      </c>
      <c r="BC716" s="26"/>
      <c r="BD716" s="26"/>
      <c r="BE716" s="26"/>
      <c r="BF716" s="26" t="s">
        <v>23900</v>
      </c>
      <c r="BG716" s="26"/>
      <c r="BH716" s="26"/>
      <c r="BI716" s="26"/>
      <c r="BJ716" s="26"/>
      <c r="BK716" s="26"/>
      <c r="BL716" s="26"/>
      <c r="BM716" s="26"/>
      <c r="BN716" s="26"/>
      <c r="BO716" s="26"/>
      <c r="BP716" s="16" t="n">
        <v>45663</v>
      </c>
      <c r="BQ716" s="28" t="str">
        <f>HYPERLINK("https://organic.ams.usda.gov/Integrity/Certificate.aspx?cid=72&amp;nopid=5870002355")</f>
        <v>https://organic.ams.usda.gov/Integrity/Certificate.aspx?cid=72&amp;nopid=5870002355</v>
      </c>
    </row>
    <row r="717">
      <c r="A717" t="s">
        <v>3</v>
      </c>
      <c r="B717" s="6" t="s">
        <v>7</v>
      </c>
      <c r="C717" s="6" t="s">
        <v>54</v>
      </c>
      <c r="D717" s="6" t="s">
        <v>100</v>
      </c>
      <c r="E717" s="10" t="s">
        <v>858</v>
      </c>
      <c r="F717" s="6" t="s">
        <v>3587</v>
      </c>
      <c r="G717" s="6" t="s">
        <v>81</v>
      </c>
      <c r="H717" s="6" t="s">
        <v>6543</v>
      </c>
      <c r="I717" s="6" t="s">
        <v>8819</v>
      </c>
      <c r="J717" s="6" t="s">
        <v>9142</v>
      </c>
      <c r="K717" s="6" t="s">
        <v>10886</v>
      </c>
      <c r="L717" s="16" t="n">
        <v>45540</v>
      </c>
      <c r="M717" s="16" t="n">
        <v>45716</v>
      </c>
      <c r="N717" s="6" t="s">
        <v>10886</v>
      </c>
      <c r="O717" s="16" t="n">
        <v>45540</v>
      </c>
      <c r="P717" s="6" t="s">
        <v>10944</v>
      </c>
      <c r="Q717" s="6" t="s">
        <v>81</v>
      </c>
      <c r="R717" s="6" t="s">
        <v>81</v>
      </c>
      <c r="S717" s="6" t="s">
        <v>10886</v>
      </c>
      <c r="T717" s="16" t="n">
        <v>45540</v>
      </c>
      <c r="U717" s="6" t="s">
        <v>13169</v>
      </c>
      <c r="V717" s="6" t="s">
        <v>81</v>
      </c>
      <c r="W717" s="6" t="s">
        <v>81</v>
      </c>
      <c r="X717" s="6" t="s">
        <v>81</v>
      </c>
      <c r="Y717" s="21" t="s">
        <v>81</v>
      </c>
      <c r="Z717" s="6" t="s">
        <v>81</v>
      </c>
      <c r="AA717" s="6" t="s">
        <v>81</v>
      </c>
      <c r="AB717" s="6" t="s">
        <v>81</v>
      </c>
      <c r="AC717" s="6" t="s">
        <v>81</v>
      </c>
      <c r="AD717" s="21" t="s">
        <v>81</v>
      </c>
      <c r="AE717" s="6" t="s">
        <v>81</v>
      </c>
      <c r="AF717" s="6" t="s">
        <v>81</v>
      </c>
      <c r="AG717" s="6" t="s">
        <v>81</v>
      </c>
      <c r="AH717" s="6" t="s">
        <v>15302</v>
      </c>
      <c r="AI717" s="6" t="s">
        <v>81</v>
      </c>
      <c r="AJ717" s="6" t="s">
        <v>17410</v>
      </c>
      <c r="AK717" s="6" t="s">
        <v>17712</v>
      </c>
      <c r="AL717" s="6" t="s">
        <v>18444</v>
      </c>
      <c r="AM717" s="6" t="s">
        <v>18566</v>
      </c>
      <c r="AN717" s="6" t="s">
        <v>81</v>
      </c>
      <c r="AO717" s="6" t="s">
        <v>81</v>
      </c>
      <c r="AP717" s="6" t="s">
        <v>15302</v>
      </c>
      <c r="AQ717" s="6" t="s">
        <v>81</v>
      </c>
      <c r="AR717" s="6" t="s">
        <v>17410</v>
      </c>
      <c r="AS717" s="6" t="s">
        <v>17712</v>
      </c>
      <c r="AT717" s="6" t="s">
        <v>18444</v>
      </c>
      <c r="AU717" s="6" t="s">
        <v>18566</v>
      </c>
      <c r="AV717" s="6" t="s">
        <v>81</v>
      </c>
      <c r="AW717" s="6" t="s">
        <v>81</v>
      </c>
      <c r="AX717" s="6" t="s">
        <v>81</v>
      </c>
      <c r="AY717" s="6" t="s">
        <v>81</v>
      </c>
      <c r="AZ717" s="6" t="s">
        <v>81</v>
      </c>
      <c r="BA717" s="6" t="s">
        <v>81</v>
      </c>
      <c r="BB717" s="24" t="n">
        <v>80</v>
      </c>
      <c r="BC717" s="26"/>
      <c r="BD717" s="26"/>
      <c r="BE717" s="26"/>
      <c r="BF717" s="26" t="s">
        <v>23900</v>
      </c>
      <c r="BG717" s="26"/>
      <c r="BH717" s="26"/>
      <c r="BI717" s="26"/>
      <c r="BJ717" s="26"/>
      <c r="BK717" s="26"/>
      <c r="BL717" s="26"/>
      <c r="BM717" s="26"/>
      <c r="BN717" s="26"/>
      <c r="BO717" s="26"/>
      <c r="BP717" s="16" t="n">
        <v>45595</v>
      </c>
      <c r="BQ717" s="28" t="str">
        <f>HYPERLINK("https://organic.ams.usda.gov/Integrity/Certificate.aspx?cid=57&amp;nopid=3252024021")</f>
        <v>https://organic.ams.usda.gov/Integrity/Certificate.aspx?cid=57&amp;nopid=3252024021</v>
      </c>
    </row>
    <row r="718">
      <c r="A718" t="s">
        <v>3</v>
      </c>
      <c r="B718" s="6" t="s">
        <v>7</v>
      </c>
      <c r="C718" s="6" t="s">
        <v>54</v>
      </c>
      <c r="D718" s="6" t="s">
        <v>100</v>
      </c>
      <c r="E718" s="10" t="s">
        <v>859</v>
      </c>
      <c r="F718" s="6" t="s">
        <v>3588</v>
      </c>
      <c r="G718" s="6" t="s">
        <v>81</v>
      </c>
      <c r="H718" s="6" t="s">
        <v>6544</v>
      </c>
      <c r="I718" s="6" t="s">
        <v>8820</v>
      </c>
      <c r="J718" s="6" t="s">
        <v>10044</v>
      </c>
      <c r="K718" s="6" t="s">
        <v>10886</v>
      </c>
      <c r="L718" s="16" t="n">
        <v>38569</v>
      </c>
      <c r="M718" s="16" t="n">
        <v>45716</v>
      </c>
      <c r="N718" s="6" t="s">
        <v>10886</v>
      </c>
      <c r="O718" s="16" t="n">
        <v>38569</v>
      </c>
      <c r="P718" s="6" t="s">
        <v>11334</v>
      </c>
      <c r="Q718" s="6" t="s">
        <v>81</v>
      </c>
      <c r="R718" s="6" t="s">
        <v>81</v>
      </c>
      <c r="S718" s="6" t="s">
        <v>10886</v>
      </c>
      <c r="T718" s="16" t="n">
        <v>38569</v>
      </c>
      <c r="U718" s="6" t="s">
        <v>13437</v>
      </c>
      <c r="V718" s="6" t="s">
        <v>81</v>
      </c>
      <c r="W718" s="6" t="s">
        <v>81</v>
      </c>
      <c r="X718" s="6" t="s">
        <v>81</v>
      </c>
      <c r="Y718" s="21" t="s">
        <v>81</v>
      </c>
      <c r="Z718" s="6" t="s">
        <v>81</v>
      </c>
      <c r="AA718" s="6" t="s">
        <v>81</v>
      </c>
      <c r="AB718" s="6" t="s">
        <v>81</v>
      </c>
      <c r="AC718" s="6" t="s">
        <v>10886</v>
      </c>
      <c r="AD718" s="16" t="n">
        <v>42356</v>
      </c>
      <c r="AE718" s="6" t="s">
        <v>14155</v>
      </c>
      <c r="AF718" s="6" t="s">
        <v>81</v>
      </c>
      <c r="AG718" s="6" t="s">
        <v>81</v>
      </c>
      <c r="AH718" s="6" t="s">
        <v>15303</v>
      </c>
      <c r="AI718" s="6" t="s">
        <v>81</v>
      </c>
      <c r="AJ718" s="6" t="s">
        <v>17731</v>
      </c>
      <c r="AK718" s="6" t="s">
        <v>17712</v>
      </c>
      <c r="AL718" s="6" t="s">
        <v>18444</v>
      </c>
      <c r="AM718" s="6" t="s">
        <v>18900</v>
      </c>
      <c r="AN718" s="6" t="s">
        <v>19655</v>
      </c>
      <c r="AO718" s="6" t="s">
        <v>19861</v>
      </c>
      <c r="AP718" s="6" t="s">
        <v>15303</v>
      </c>
      <c r="AQ718" s="6" t="s">
        <v>81</v>
      </c>
      <c r="AR718" s="6" t="s">
        <v>17731</v>
      </c>
      <c r="AS718" s="6" t="s">
        <v>17712</v>
      </c>
      <c r="AT718" s="6" t="s">
        <v>18444</v>
      </c>
      <c r="AU718" s="6" t="s">
        <v>18900</v>
      </c>
      <c r="AV718" s="6" t="s">
        <v>81</v>
      </c>
      <c r="AW718" s="6" t="s">
        <v>81</v>
      </c>
      <c r="AX718" s="6" t="s">
        <v>21207</v>
      </c>
      <c r="AY718" s="6" t="s">
        <v>22834</v>
      </c>
      <c r="AZ718" s="6" t="s">
        <v>23643</v>
      </c>
      <c r="BA718" s="6" t="s">
        <v>81</v>
      </c>
      <c r="BB718" s="24" t="n">
        <v>443</v>
      </c>
      <c r="BC718" s="26"/>
      <c r="BD718" s="26" t="s">
        <v>23900</v>
      </c>
      <c r="BE718" s="26"/>
      <c r="BF718" s="26"/>
      <c r="BG718" s="26"/>
      <c r="BH718" s="26"/>
      <c r="BI718" s="26"/>
      <c r="BJ718" s="26"/>
      <c r="BK718" s="26" t="s">
        <v>23900</v>
      </c>
      <c r="BL718" s="26"/>
      <c r="BM718" s="26"/>
      <c r="BN718" s="26"/>
      <c r="BO718" s="26"/>
      <c r="BP718" s="16" t="n">
        <v>45595</v>
      </c>
      <c r="BQ718" s="28" t="str">
        <f>HYPERLINK("https://organic.ams.usda.gov/Integrity/Certificate.aspx?cid=57&amp;nopid=3250200536")</f>
        <v>https://organic.ams.usda.gov/Integrity/Certificate.aspx?cid=57&amp;nopid=3250200536</v>
      </c>
    </row>
    <row r="719">
      <c r="A719" t="s">
        <v>3</v>
      </c>
      <c r="B719" s="6" t="s">
        <v>8</v>
      </c>
      <c r="C719" s="6" t="s">
        <v>55</v>
      </c>
      <c r="D719" s="6" t="s">
        <v>101</v>
      </c>
      <c r="E719" s="10" t="s">
        <v>860</v>
      </c>
      <c r="F719" s="6" t="s">
        <v>3589</v>
      </c>
      <c r="G719" s="6" t="s">
        <v>81</v>
      </c>
      <c r="H719" s="6" t="s">
        <v>6545</v>
      </c>
      <c r="I719" s="6" t="s">
        <v>8452</v>
      </c>
      <c r="J719" s="6" t="s">
        <v>10045</v>
      </c>
      <c r="K719" s="6" t="s">
        <v>10886</v>
      </c>
      <c r="L719" s="16" t="n">
        <v>38145</v>
      </c>
      <c r="M719" s="18" t="s">
        <v>81</v>
      </c>
      <c r="N719" s="6" t="s">
        <v>10886</v>
      </c>
      <c r="O719" s="16" t="n">
        <v>38145</v>
      </c>
      <c r="P719" s="6" t="s">
        <v>11335</v>
      </c>
      <c r="Q719" s="6" t="s">
        <v>81</v>
      </c>
      <c r="R719" s="6" t="s">
        <v>81</v>
      </c>
      <c r="S719" s="6" t="s">
        <v>10886</v>
      </c>
      <c r="T719" s="16" t="n">
        <v>38145</v>
      </c>
      <c r="U719" s="6" t="s">
        <v>13438</v>
      </c>
      <c r="V719" s="6" t="s">
        <v>81</v>
      </c>
      <c r="W719" s="6" t="s">
        <v>81</v>
      </c>
      <c r="X719" s="6" t="s">
        <v>81</v>
      </c>
      <c r="Y719" s="21" t="s">
        <v>81</v>
      </c>
      <c r="Z719" s="6" t="s">
        <v>81</v>
      </c>
      <c r="AA719" s="6" t="s">
        <v>81</v>
      </c>
      <c r="AB719" s="6" t="s">
        <v>81</v>
      </c>
      <c r="AC719" s="6" t="s">
        <v>81</v>
      </c>
      <c r="AD719" s="21" t="s">
        <v>81</v>
      </c>
      <c r="AE719" s="6" t="s">
        <v>81</v>
      </c>
      <c r="AF719" s="6" t="s">
        <v>81</v>
      </c>
      <c r="AG719" s="6" t="s">
        <v>81</v>
      </c>
      <c r="AH719" s="6" t="s">
        <v>15304</v>
      </c>
      <c r="AI719" s="6" t="s">
        <v>81</v>
      </c>
      <c r="AJ719" s="6" t="s">
        <v>9215</v>
      </c>
      <c r="AK719" s="6" t="s">
        <v>18377</v>
      </c>
      <c r="AL719" s="6" t="s">
        <v>18444</v>
      </c>
      <c r="AM719" s="6" t="s">
        <v>18671</v>
      </c>
      <c r="AN719" s="6" t="s">
        <v>7595</v>
      </c>
      <c r="AO719" s="6" t="s">
        <v>19826</v>
      </c>
      <c r="AP719" s="6" t="s">
        <v>20196</v>
      </c>
      <c r="AQ719" s="6" t="s">
        <v>81</v>
      </c>
      <c r="AR719" s="6" t="s">
        <v>9215</v>
      </c>
      <c r="AS719" s="6" t="s">
        <v>18377</v>
      </c>
      <c r="AT719" s="6" t="s">
        <v>18444</v>
      </c>
      <c r="AU719" s="6" t="s">
        <v>18671</v>
      </c>
      <c r="AV719" s="6" t="s">
        <v>81</v>
      </c>
      <c r="AW719" s="6" t="s">
        <v>81</v>
      </c>
      <c r="AX719" s="6" t="s">
        <v>81</v>
      </c>
      <c r="AY719" s="6" t="s">
        <v>81</v>
      </c>
      <c r="AZ719" s="6" t="s">
        <v>81</v>
      </c>
      <c r="BA719" s="6" t="s">
        <v>81</v>
      </c>
      <c r="BB719" s="24" t="n">
        <v>158</v>
      </c>
      <c r="BC719" s="26"/>
      <c r="BD719" s="26"/>
      <c r="BE719" s="26"/>
      <c r="BF719" s="26"/>
      <c r="BG719" s="26"/>
      <c r="BH719" s="26"/>
      <c r="BI719" s="26"/>
      <c r="BJ719" s="26"/>
      <c r="BK719" s="26"/>
      <c r="BL719" s="26"/>
      <c r="BM719" s="26"/>
      <c r="BN719" s="26"/>
      <c r="BO719" s="26"/>
      <c r="BP719" s="16" t="n">
        <v>45292</v>
      </c>
      <c r="BQ719" s="28" t="str">
        <f>HYPERLINK("https://organic.ams.usda.gov/Integrity/Certificate.aspx?cid=45&amp;nopid=9950001498")</f>
        <v>https://organic.ams.usda.gov/Integrity/Certificate.aspx?cid=45&amp;nopid=9950001498</v>
      </c>
    </row>
    <row r="720">
      <c r="A720" t="s">
        <v>3</v>
      </c>
      <c r="B720" s="6" t="s">
        <v>19</v>
      </c>
      <c r="C720" s="6" t="s">
        <v>66</v>
      </c>
      <c r="D720" s="6" t="s">
        <v>112</v>
      </c>
      <c r="E720" s="10" t="s">
        <v>861</v>
      </c>
      <c r="F720" s="6" t="s">
        <v>3590</v>
      </c>
      <c r="G720" s="6" t="s">
        <v>81</v>
      </c>
      <c r="H720" s="6" t="s">
        <v>6546</v>
      </c>
      <c r="I720" s="6" t="s">
        <v>81</v>
      </c>
      <c r="J720" s="6" t="s">
        <v>10046</v>
      </c>
      <c r="K720" s="6" t="s">
        <v>10886</v>
      </c>
      <c r="L720" s="16" t="n">
        <v>44196</v>
      </c>
      <c r="M720" s="16" t="n">
        <v>46054</v>
      </c>
      <c r="N720" s="6" t="s">
        <v>10886</v>
      </c>
      <c r="O720" s="16" t="n">
        <v>44196</v>
      </c>
      <c r="P720" s="6" t="s">
        <v>11336</v>
      </c>
      <c r="Q720" s="6" t="s">
        <v>81</v>
      </c>
      <c r="R720" s="6" t="s">
        <v>81</v>
      </c>
      <c r="S720" s="6" t="s">
        <v>10886</v>
      </c>
      <c r="T720" s="16" t="n">
        <v>44196</v>
      </c>
      <c r="U720" s="6" t="s">
        <v>13439</v>
      </c>
      <c r="V720" s="6" t="s">
        <v>81</v>
      </c>
      <c r="W720" s="6" t="s">
        <v>81</v>
      </c>
      <c r="X720" s="6" t="s">
        <v>81</v>
      </c>
      <c r="Y720" s="21" t="s">
        <v>81</v>
      </c>
      <c r="Z720" s="6" t="s">
        <v>81</v>
      </c>
      <c r="AA720" s="6" t="s">
        <v>81</v>
      </c>
      <c r="AB720" s="6" t="s">
        <v>81</v>
      </c>
      <c r="AC720" s="6" t="s">
        <v>10886</v>
      </c>
      <c r="AD720" s="16" t="n">
        <v>44196</v>
      </c>
      <c r="AE720" s="6" t="s">
        <v>14066</v>
      </c>
      <c r="AF720" s="6" t="s">
        <v>81</v>
      </c>
      <c r="AG720" s="6" t="s">
        <v>81</v>
      </c>
      <c r="AH720" s="6" t="s">
        <v>15305</v>
      </c>
      <c r="AI720" s="6" t="s">
        <v>81</v>
      </c>
      <c r="AJ720" s="6" t="s">
        <v>17732</v>
      </c>
      <c r="AK720" s="6" t="s">
        <v>17712</v>
      </c>
      <c r="AL720" s="6" t="s">
        <v>18444</v>
      </c>
      <c r="AM720" s="6" t="s">
        <v>18901</v>
      </c>
      <c r="AN720" s="6" t="s">
        <v>19696</v>
      </c>
      <c r="AO720" s="6" t="s">
        <v>19791</v>
      </c>
      <c r="AP720" s="6" t="s">
        <v>81</v>
      </c>
      <c r="AQ720" s="6" t="s">
        <v>81</v>
      </c>
      <c r="AR720" s="6" t="s">
        <v>81</v>
      </c>
      <c r="AS720" s="6" t="s">
        <v>81</v>
      </c>
      <c r="AT720" s="6" t="s">
        <v>81</v>
      </c>
      <c r="AU720" s="6" t="s">
        <v>81</v>
      </c>
      <c r="AV720" s="6" t="s">
        <v>81</v>
      </c>
      <c r="AW720" s="6" t="s">
        <v>81</v>
      </c>
      <c r="AX720" s="6" t="s">
        <v>21208</v>
      </c>
      <c r="AY720" s="6" t="s">
        <v>22835</v>
      </c>
      <c r="AZ720" s="6" t="s">
        <v>81</v>
      </c>
      <c r="BA720" s="6" t="s">
        <v>81</v>
      </c>
      <c r="BB720" s="24" t="n">
        <v>0</v>
      </c>
      <c r="BC720" s="26"/>
      <c r="BD720" s="26"/>
      <c r="BE720" s="26"/>
      <c r="BF720" s="26" t="s">
        <v>23900</v>
      </c>
      <c r="BG720" s="26"/>
      <c r="BH720" s="26"/>
      <c r="BI720" s="26"/>
      <c r="BJ720" s="26"/>
      <c r="BK720" s="26"/>
      <c r="BL720" s="26"/>
      <c r="BM720" s="26"/>
      <c r="BN720" s="26"/>
      <c r="BO720" s="26"/>
      <c r="BP720" s="16" t="n">
        <v>45731</v>
      </c>
      <c r="BQ720" s="28" t="str">
        <f>HYPERLINK("https://organic.ams.usda.gov/Integrity/Certificate.aspx?cid=24&amp;nopid=7880137529")</f>
        <v>https://organic.ams.usda.gov/Integrity/Certificate.aspx?cid=24&amp;nopid=7880137529</v>
      </c>
    </row>
    <row r="721">
      <c r="A721" t="s">
        <v>3</v>
      </c>
      <c r="B721" s="6" t="s">
        <v>10</v>
      </c>
      <c r="C721" s="6" t="s">
        <v>57</v>
      </c>
      <c r="D721" s="6" t="s">
        <v>103</v>
      </c>
      <c r="E721" s="10" t="s">
        <v>862</v>
      </c>
      <c r="F721" s="6" t="s">
        <v>3591</v>
      </c>
      <c r="G721" s="6" t="s">
        <v>81</v>
      </c>
      <c r="H721" s="6" t="s">
        <v>6547</v>
      </c>
      <c r="I721" s="6" t="s">
        <v>8821</v>
      </c>
      <c r="J721" s="6" t="s">
        <v>9682</v>
      </c>
      <c r="K721" s="6" t="s">
        <v>10886</v>
      </c>
      <c r="L721" s="16" t="n">
        <v>42612</v>
      </c>
      <c r="M721" s="16" t="n">
        <v>45748</v>
      </c>
      <c r="N721" s="6" t="s">
        <v>10886</v>
      </c>
      <c r="O721" s="16" t="n">
        <v>44628</v>
      </c>
      <c r="P721" s="6" t="s">
        <v>10925</v>
      </c>
      <c r="Q721" s="6" t="s">
        <v>81</v>
      </c>
      <c r="R721" s="6" t="s">
        <v>12624</v>
      </c>
      <c r="S721" s="6" t="s">
        <v>10886</v>
      </c>
      <c r="T721" s="16" t="n">
        <v>44628</v>
      </c>
      <c r="U721" s="6" t="s">
        <v>13163</v>
      </c>
      <c r="V721" s="6" t="s">
        <v>81</v>
      </c>
      <c r="W721" s="6" t="s">
        <v>81</v>
      </c>
      <c r="X721" s="6" t="s">
        <v>81</v>
      </c>
      <c r="Y721" s="21" t="s">
        <v>81</v>
      </c>
      <c r="Z721" s="6" t="s">
        <v>81</v>
      </c>
      <c r="AA721" s="6" t="s">
        <v>81</v>
      </c>
      <c r="AB721" s="6" t="s">
        <v>81</v>
      </c>
      <c r="AC721" s="6" t="s">
        <v>81</v>
      </c>
      <c r="AD721" s="21" t="s">
        <v>81</v>
      </c>
      <c r="AE721" s="6" t="s">
        <v>81</v>
      </c>
      <c r="AF721" s="6" t="s">
        <v>81</v>
      </c>
      <c r="AG721" s="6" t="s">
        <v>81</v>
      </c>
      <c r="AH721" s="6" t="s">
        <v>15306</v>
      </c>
      <c r="AI721" s="6" t="s">
        <v>81</v>
      </c>
      <c r="AJ721" s="6" t="s">
        <v>17418</v>
      </c>
      <c r="AK721" s="6" t="s">
        <v>18379</v>
      </c>
      <c r="AL721" s="6" t="s">
        <v>18444</v>
      </c>
      <c r="AM721" s="6" t="s">
        <v>18575</v>
      </c>
      <c r="AN721" s="6" t="s">
        <v>19671</v>
      </c>
      <c r="AO721" s="6" t="s">
        <v>19784</v>
      </c>
      <c r="AP721" s="6" t="s">
        <v>15306</v>
      </c>
      <c r="AQ721" s="6" t="s">
        <v>81</v>
      </c>
      <c r="AR721" s="6" t="s">
        <v>17418</v>
      </c>
      <c r="AS721" s="6" t="s">
        <v>18379</v>
      </c>
      <c r="AT721" s="6" t="s">
        <v>18444</v>
      </c>
      <c r="AU721" s="6" t="s">
        <v>18575</v>
      </c>
      <c r="AV721" s="6" t="s">
        <v>81</v>
      </c>
      <c r="AW721" s="6" t="s">
        <v>81</v>
      </c>
      <c r="AX721" s="6" t="s">
        <v>21209</v>
      </c>
      <c r="AY721" s="6" t="s">
        <v>81</v>
      </c>
      <c r="AZ721" s="6" t="s">
        <v>81</v>
      </c>
      <c r="BA721" s="6" t="s">
        <v>81</v>
      </c>
      <c r="BB721" s="24" t="n">
        <v>133</v>
      </c>
      <c r="BC721" s="26"/>
      <c r="BD721" s="26"/>
      <c r="BE721" s="26"/>
      <c r="BF721" s="26"/>
      <c r="BG721" s="26"/>
      <c r="BH721" s="26"/>
      <c r="BI721" s="26"/>
      <c r="BJ721" s="26"/>
      <c r="BK721" s="26"/>
      <c r="BL721" s="26"/>
      <c r="BM721" s="26"/>
      <c r="BN721" s="26"/>
      <c r="BO721" s="26"/>
      <c r="BP721" s="16" t="n">
        <v>45730</v>
      </c>
      <c r="BQ721" s="28" t="str">
        <f>HYPERLINK("https://organic.ams.usda.gov/Integrity/Certificate.aspx?cid=90&amp;nopid=7170220453")</f>
        <v>https://organic.ams.usda.gov/Integrity/Certificate.aspx?cid=90&amp;nopid=7170220453</v>
      </c>
    </row>
    <row r="722">
      <c r="A722" t="s">
        <v>3</v>
      </c>
      <c r="B722" s="6" t="s">
        <v>12</v>
      </c>
      <c r="C722" s="6" t="s">
        <v>59</v>
      </c>
      <c r="D722" s="6" t="s">
        <v>105</v>
      </c>
      <c r="E722" s="10" t="s">
        <v>863</v>
      </c>
      <c r="F722" s="6" t="s">
        <v>3592</v>
      </c>
      <c r="G722" s="6" t="s">
        <v>81</v>
      </c>
      <c r="H722" s="6" t="s">
        <v>6548</v>
      </c>
      <c r="I722" s="6" t="s">
        <v>8822</v>
      </c>
      <c r="J722" s="6" t="s">
        <v>9671</v>
      </c>
      <c r="K722" s="6" t="s">
        <v>10886</v>
      </c>
      <c r="L722" s="16" t="n">
        <v>39104</v>
      </c>
      <c r="M722" s="16" t="n">
        <v>45717</v>
      </c>
      <c r="N722" s="6" t="s">
        <v>10886</v>
      </c>
      <c r="O722" s="16" t="n">
        <v>39104</v>
      </c>
      <c r="P722" s="6" t="s">
        <v>10910</v>
      </c>
      <c r="Q722" s="6" t="s">
        <v>81</v>
      </c>
      <c r="R722" s="6" t="s">
        <v>81</v>
      </c>
      <c r="S722" s="6" t="s">
        <v>10886</v>
      </c>
      <c r="T722" s="16" t="n">
        <v>39104</v>
      </c>
      <c r="U722" s="6" t="s">
        <v>13187</v>
      </c>
      <c r="V722" s="6" t="s">
        <v>81</v>
      </c>
      <c r="W722" s="6" t="s">
        <v>81</v>
      </c>
      <c r="X722" s="6" t="s">
        <v>81</v>
      </c>
      <c r="Y722" s="21" t="s">
        <v>81</v>
      </c>
      <c r="Z722" s="6" t="s">
        <v>81</v>
      </c>
      <c r="AA722" s="6" t="s">
        <v>81</v>
      </c>
      <c r="AB722" s="6" t="s">
        <v>81</v>
      </c>
      <c r="AC722" s="6" t="s">
        <v>81</v>
      </c>
      <c r="AD722" s="21" t="s">
        <v>81</v>
      </c>
      <c r="AE722" s="6" t="s">
        <v>81</v>
      </c>
      <c r="AF722" s="6" t="s">
        <v>81</v>
      </c>
      <c r="AG722" s="6" t="s">
        <v>81</v>
      </c>
      <c r="AH722" s="6" t="s">
        <v>15307</v>
      </c>
      <c r="AI722" s="6" t="s">
        <v>81</v>
      </c>
      <c r="AJ722" s="6" t="s">
        <v>17733</v>
      </c>
      <c r="AK722" s="6" t="s">
        <v>17712</v>
      </c>
      <c r="AL722" s="6" t="s">
        <v>18444</v>
      </c>
      <c r="AM722" s="6" t="s">
        <v>18902</v>
      </c>
      <c r="AN722" s="6" t="s">
        <v>19642</v>
      </c>
      <c r="AO722" s="6" t="s">
        <v>19728</v>
      </c>
      <c r="AP722" s="6" t="s">
        <v>15307</v>
      </c>
      <c r="AQ722" s="6" t="s">
        <v>81</v>
      </c>
      <c r="AR722" s="6" t="s">
        <v>17733</v>
      </c>
      <c r="AS722" s="6" t="s">
        <v>17712</v>
      </c>
      <c r="AT722" s="6" t="s">
        <v>18444</v>
      </c>
      <c r="AU722" s="6" t="s">
        <v>18902</v>
      </c>
      <c r="AV722" s="6" t="s">
        <v>81</v>
      </c>
      <c r="AW722" s="6" t="s">
        <v>81</v>
      </c>
      <c r="AX722" s="6" t="s">
        <v>21210</v>
      </c>
      <c r="AY722" s="6" t="s">
        <v>81</v>
      </c>
      <c r="AZ722" s="6" t="s">
        <v>81</v>
      </c>
      <c r="BA722" s="6" t="s">
        <v>81</v>
      </c>
      <c r="BB722" s="24" t="n">
        <v>115</v>
      </c>
      <c r="BC722" s="26"/>
      <c r="BD722" s="26"/>
      <c r="BE722" s="26"/>
      <c r="BF722" s="26"/>
      <c r="BG722" s="26"/>
      <c r="BH722" s="26"/>
      <c r="BI722" s="26"/>
      <c r="BJ722" s="26"/>
      <c r="BK722" s="26"/>
      <c r="BL722" s="26"/>
      <c r="BM722" s="26"/>
      <c r="BN722" s="26"/>
      <c r="BO722" s="26"/>
      <c r="BP722" s="16" t="n">
        <v>45685</v>
      </c>
      <c r="BQ722" s="28" t="str">
        <f>HYPERLINK("https://organic.ams.usda.gov/Integrity/Certificate.aspx?cid=68&amp;nopid=8210002657")</f>
        <v>https://organic.ams.usda.gov/Integrity/Certificate.aspx?cid=68&amp;nopid=8210002657</v>
      </c>
    </row>
    <row r="723">
      <c r="A723" t="s">
        <v>3</v>
      </c>
      <c r="B723" s="6" t="s">
        <v>9</v>
      </c>
      <c r="C723" s="6" t="s">
        <v>56</v>
      </c>
      <c r="D723" s="6" t="s">
        <v>102</v>
      </c>
      <c r="E723" s="10" t="s">
        <v>864</v>
      </c>
      <c r="F723" s="6" t="s">
        <v>3593</v>
      </c>
      <c r="G723" s="6" t="s">
        <v>81</v>
      </c>
      <c r="H723" s="6" t="s">
        <v>6549</v>
      </c>
      <c r="I723" s="6" t="s">
        <v>8823</v>
      </c>
      <c r="J723" s="6" t="s">
        <v>9671</v>
      </c>
      <c r="K723" s="6" t="s">
        <v>10886</v>
      </c>
      <c r="L723" s="16" t="n">
        <v>42156</v>
      </c>
      <c r="M723" s="16" t="n">
        <v>46113</v>
      </c>
      <c r="N723" s="6" t="s">
        <v>10886</v>
      </c>
      <c r="O723" s="16" t="n">
        <v>42156</v>
      </c>
      <c r="P723" s="6" t="s">
        <v>11337</v>
      </c>
      <c r="Q723" s="6" t="s">
        <v>81</v>
      </c>
      <c r="R723" s="6" t="s">
        <v>12625</v>
      </c>
      <c r="S723" s="6" t="s">
        <v>10886</v>
      </c>
      <c r="T723" s="16" t="n">
        <v>42156</v>
      </c>
      <c r="U723" s="6" t="s">
        <v>13162</v>
      </c>
      <c r="V723" s="6" t="s">
        <v>81</v>
      </c>
      <c r="W723" s="6" t="s">
        <v>12625</v>
      </c>
      <c r="X723" s="6" t="s">
        <v>10886</v>
      </c>
      <c r="Y723" s="16" t="n">
        <v>42156</v>
      </c>
      <c r="Z723" s="6" t="s">
        <v>81</v>
      </c>
      <c r="AA723" s="6" t="s">
        <v>81</v>
      </c>
      <c r="AB723" s="6" t="s">
        <v>81</v>
      </c>
      <c r="AC723" s="6" t="s">
        <v>10886</v>
      </c>
      <c r="AD723" s="16" t="n">
        <v>42156</v>
      </c>
      <c r="AE723" s="6" t="s">
        <v>81</v>
      </c>
      <c r="AF723" s="6" t="s">
        <v>81</v>
      </c>
      <c r="AG723" s="6" t="s">
        <v>81</v>
      </c>
      <c r="AH723" s="6" t="s">
        <v>15308</v>
      </c>
      <c r="AI723" s="6" t="s">
        <v>81</v>
      </c>
      <c r="AJ723" s="6" t="s">
        <v>17376</v>
      </c>
      <c r="AK723" s="6" t="s">
        <v>18377</v>
      </c>
      <c r="AL723" s="6" t="s">
        <v>18444</v>
      </c>
      <c r="AM723" s="6" t="s">
        <v>18528</v>
      </c>
      <c r="AN723" s="6" t="s">
        <v>19661</v>
      </c>
      <c r="AO723" s="6" t="s">
        <v>19761</v>
      </c>
      <c r="AP723" s="6" t="s">
        <v>81</v>
      </c>
      <c r="AQ723" s="6" t="s">
        <v>81</v>
      </c>
      <c r="AR723" s="6" t="s">
        <v>81</v>
      </c>
      <c r="AS723" s="6" t="s">
        <v>81</v>
      </c>
      <c r="AT723" s="6" t="s">
        <v>81</v>
      </c>
      <c r="AU723" s="6" t="s">
        <v>81</v>
      </c>
      <c r="AV723" s="6" t="s">
        <v>81</v>
      </c>
      <c r="AW723" s="6" t="s">
        <v>81</v>
      </c>
      <c r="AX723" s="6" t="s">
        <v>21211</v>
      </c>
      <c r="AY723" s="6" t="s">
        <v>81</v>
      </c>
      <c r="AZ723" s="6" t="s">
        <v>81</v>
      </c>
      <c r="BA723" s="6" t="s">
        <v>81</v>
      </c>
      <c r="BB723" s="24" t="n">
        <v>358</v>
      </c>
      <c r="BC723" s="26"/>
      <c r="BD723" s="26"/>
      <c r="BE723" s="26"/>
      <c r="BF723" s="26"/>
      <c r="BG723" s="26"/>
      <c r="BH723" s="26"/>
      <c r="BI723" s="26"/>
      <c r="BJ723" s="26"/>
      <c r="BK723" s="26"/>
      <c r="BL723" s="26"/>
      <c r="BM723" s="26"/>
      <c r="BN723" s="26"/>
      <c r="BO723" s="26"/>
      <c r="BP723" s="16" t="n">
        <v>45738</v>
      </c>
      <c r="BQ723" s="28" t="str">
        <f>HYPERLINK("https://organic.ams.usda.gov/Integrity/Certificate.aspx?cid=52&amp;nopid=8431500973")</f>
        <v>https://organic.ams.usda.gov/Integrity/Certificate.aspx?cid=52&amp;nopid=8431500973</v>
      </c>
    </row>
    <row r="724">
      <c r="A724" t="s">
        <v>3</v>
      </c>
      <c r="B724" s="6" t="s">
        <v>7</v>
      </c>
      <c r="C724" s="6" t="s">
        <v>54</v>
      </c>
      <c r="D724" s="6" t="s">
        <v>100</v>
      </c>
      <c r="E724" s="10" t="s">
        <v>865</v>
      </c>
      <c r="F724" s="6" t="s">
        <v>3594</v>
      </c>
      <c r="G724" s="6" t="s">
        <v>81</v>
      </c>
      <c r="H724" s="6" t="s">
        <v>6550</v>
      </c>
      <c r="I724" s="6" t="s">
        <v>8824</v>
      </c>
      <c r="J724" s="6" t="s">
        <v>9672</v>
      </c>
      <c r="K724" s="6" t="s">
        <v>10886</v>
      </c>
      <c r="L724" s="16" t="n">
        <v>45302</v>
      </c>
      <c r="M724" s="16" t="n">
        <v>45716</v>
      </c>
      <c r="N724" s="6" t="s">
        <v>10886</v>
      </c>
      <c r="O724" s="16" t="n">
        <v>45302</v>
      </c>
      <c r="P724" s="6" t="s">
        <v>11338</v>
      </c>
      <c r="Q724" s="6" t="s">
        <v>81</v>
      </c>
      <c r="R724" s="6" t="s">
        <v>81</v>
      </c>
      <c r="S724" s="6" t="s">
        <v>10886</v>
      </c>
      <c r="T724" s="16" t="n">
        <v>45316</v>
      </c>
      <c r="U724" s="6" t="s">
        <v>13169</v>
      </c>
      <c r="V724" s="6" t="s">
        <v>81</v>
      </c>
      <c r="W724" s="6" t="s">
        <v>81</v>
      </c>
      <c r="X724" s="6" t="s">
        <v>81</v>
      </c>
      <c r="Y724" s="21" t="s">
        <v>81</v>
      </c>
      <c r="Z724" s="6" t="s">
        <v>81</v>
      </c>
      <c r="AA724" s="6" t="s">
        <v>81</v>
      </c>
      <c r="AB724" s="6" t="s">
        <v>81</v>
      </c>
      <c r="AC724" s="6" t="s">
        <v>81</v>
      </c>
      <c r="AD724" s="21" t="s">
        <v>81</v>
      </c>
      <c r="AE724" s="6" t="s">
        <v>81</v>
      </c>
      <c r="AF724" s="6" t="s">
        <v>81</v>
      </c>
      <c r="AG724" s="6" t="s">
        <v>81</v>
      </c>
      <c r="AH724" s="6" t="s">
        <v>15309</v>
      </c>
      <c r="AI724" s="6" t="s">
        <v>81</v>
      </c>
      <c r="AJ724" s="6" t="s">
        <v>17322</v>
      </c>
      <c r="AK724" s="6" t="s">
        <v>18380</v>
      </c>
      <c r="AL724" s="6" t="s">
        <v>18444</v>
      </c>
      <c r="AM724" s="6" t="s">
        <v>18474</v>
      </c>
      <c r="AN724" s="6" t="s">
        <v>81</v>
      </c>
      <c r="AO724" s="6" t="s">
        <v>81</v>
      </c>
      <c r="AP724" s="6" t="s">
        <v>15309</v>
      </c>
      <c r="AQ724" s="6" t="s">
        <v>81</v>
      </c>
      <c r="AR724" s="6" t="s">
        <v>17322</v>
      </c>
      <c r="AS724" s="6" t="s">
        <v>18380</v>
      </c>
      <c r="AT724" s="6" t="s">
        <v>18444</v>
      </c>
      <c r="AU724" s="6" t="s">
        <v>18474</v>
      </c>
      <c r="AV724" s="6" t="s">
        <v>81</v>
      </c>
      <c r="AW724" s="6" t="s">
        <v>81</v>
      </c>
      <c r="AX724" s="6" t="s">
        <v>81</v>
      </c>
      <c r="AY724" s="6" t="s">
        <v>81</v>
      </c>
      <c r="AZ724" s="6" t="s">
        <v>81</v>
      </c>
      <c r="BA724" s="6" t="s">
        <v>81</v>
      </c>
      <c r="BB724" s="24" t="n">
        <v>77</v>
      </c>
      <c r="BC724" s="26"/>
      <c r="BD724" s="26"/>
      <c r="BE724" s="26"/>
      <c r="BF724" s="26" t="s">
        <v>23900</v>
      </c>
      <c r="BG724" s="26"/>
      <c r="BH724" s="26"/>
      <c r="BI724" s="26"/>
      <c r="BJ724" s="26"/>
      <c r="BK724" s="26"/>
      <c r="BL724" s="26"/>
      <c r="BM724" s="26"/>
      <c r="BN724" s="26"/>
      <c r="BO724" s="26"/>
      <c r="BP724" s="16" t="n">
        <v>45595</v>
      </c>
      <c r="BQ724" s="28" t="str">
        <f>HYPERLINK("https://organic.ams.usda.gov/Integrity/Certificate.aspx?cid=57&amp;nopid=3252023094")</f>
        <v>https://organic.ams.usda.gov/Integrity/Certificate.aspx?cid=57&amp;nopid=3252023094</v>
      </c>
    </row>
    <row r="725">
      <c r="A725" t="s">
        <v>3</v>
      </c>
      <c r="B725" s="6" t="s">
        <v>30</v>
      </c>
      <c r="C725" s="6" t="s">
        <v>77</v>
      </c>
      <c r="D725" s="6" t="s">
        <v>123</v>
      </c>
      <c r="E725" s="10" t="s">
        <v>866</v>
      </c>
      <c r="F725" s="6" t="s">
        <v>3595</v>
      </c>
      <c r="G725" s="6" t="s">
        <v>81</v>
      </c>
      <c r="H725" s="6" t="s">
        <v>6551</v>
      </c>
      <c r="I725" s="6" t="s">
        <v>8824</v>
      </c>
      <c r="J725" s="6" t="s">
        <v>9667</v>
      </c>
      <c r="K725" s="6" t="s">
        <v>10886</v>
      </c>
      <c r="L725" s="16" t="n">
        <v>44620</v>
      </c>
      <c r="M725" s="16" t="n">
        <v>45747</v>
      </c>
      <c r="N725" s="6" t="s">
        <v>10886</v>
      </c>
      <c r="O725" s="16" t="n">
        <v>44620</v>
      </c>
      <c r="P725" s="6" t="s">
        <v>10907</v>
      </c>
      <c r="Q725" s="6" t="s">
        <v>81</v>
      </c>
      <c r="R725" s="6" t="s">
        <v>81</v>
      </c>
      <c r="S725" s="6" t="s">
        <v>10886</v>
      </c>
      <c r="T725" s="16" t="n">
        <v>44666</v>
      </c>
      <c r="U725" s="6" t="s">
        <v>13218</v>
      </c>
      <c r="V725" s="6" t="s">
        <v>81</v>
      </c>
      <c r="W725" s="6" t="s">
        <v>81</v>
      </c>
      <c r="X725" s="6" t="s">
        <v>81</v>
      </c>
      <c r="Y725" s="21" t="s">
        <v>81</v>
      </c>
      <c r="Z725" s="6" t="s">
        <v>81</v>
      </c>
      <c r="AA725" s="6" t="s">
        <v>81</v>
      </c>
      <c r="AB725" s="6" t="s">
        <v>81</v>
      </c>
      <c r="AC725" s="6" t="s">
        <v>81</v>
      </c>
      <c r="AD725" s="21" t="s">
        <v>81</v>
      </c>
      <c r="AE725" s="6" t="s">
        <v>81</v>
      </c>
      <c r="AF725" s="6" t="s">
        <v>81</v>
      </c>
      <c r="AG725" s="6" t="s">
        <v>81</v>
      </c>
      <c r="AH725" s="6" t="s">
        <v>15310</v>
      </c>
      <c r="AI725" s="6" t="s">
        <v>81</v>
      </c>
      <c r="AJ725" s="6" t="s">
        <v>17341</v>
      </c>
      <c r="AK725" s="6" t="s">
        <v>17712</v>
      </c>
      <c r="AL725" s="6" t="s">
        <v>18444</v>
      </c>
      <c r="AM725" s="6" t="s">
        <v>18495</v>
      </c>
      <c r="AN725" s="6" t="s">
        <v>19649</v>
      </c>
      <c r="AO725" s="6" t="s">
        <v>19738</v>
      </c>
      <c r="AP725" s="6" t="s">
        <v>15310</v>
      </c>
      <c r="AQ725" s="6" t="s">
        <v>81</v>
      </c>
      <c r="AR725" s="6" t="s">
        <v>17341</v>
      </c>
      <c r="AS725" s="6" t="s">
        <v>17712</v>
      </c>
      <c r="AT725" s="6" t="s">
        <v>18444</v>
      </c>
      <c r="AU725" s="6" t="s">
        <v>18495</v>
      </c>
      <c r="AV725" s="6" t="s">
        <v>81</v>
      </c>
      <c r="AW725" s="6" t="s">
        <v>81</v>
      </c>
      <c r="AX725" s="6" t="s">
        <v>21212</v>
      </c>
      <c r="AY725" s="6" t="s">
        <v>81</v>
      </c>
      <c r="AZ725" s="6" t="s">
        <v>81</v>
      </c>
      <c r="BA725" s="6" t="s">
        <v>81</v>
      </c>
      <c r="BB725" s="24" t="n">
        <v>144</v>
      </c>
      <c r="BC725" s="26"/>
      <c r="BD725" s="26"/>
      <c r="BE725" s="26"/>
      <c r="BF725" s="26"/>
      <c r="BG725" s="26"/>
      <c r="BH725" s="26"/>
      <c r="BI725" s="26"/>
      <c r="BJ725" s="26"/>
      <c r="BK725" s="26"/>
      <c r="BL725" s="26"/>
      <c r="BM725" s="26"/>
      <c r="BN725" s="26"/>
      <c r="BO725" s="26"/>
      <c r="BP725" s="16" t="n">
        <v>45609</v>
      </c>
      <c r="BQ725" s="28" t="str">
        <f>HYPERLINK("https://organic.ams.usda.gov/Integrity/Certificate.aspx?cid=70&amp;nopid=6432117230")</f>
        <v>https://organic.ams.usda.gov/Integrity/Certificate.aspx?cid=70&amp;nopid=6432117230</v>
      </c>
    </row>
    <row r="726">
      <c r="A726" t="s">
        <v>3</v>
      </c>
      <c r="B726" s="6" t="s">
        <v>29</v>
      </c>
      <c r="C726" s="6" t="s">
        <v>76</v>
      </c>
      <c r="D726" s="6" t="s">
        <v>122</v>
      </c>
      <c r="E726" s="10" t="s">
        <v>867</v>
      </c>
      <c r="F726" s="6" t="s">
        <v>3596</v>
      </c>
      <c r="G726" s="6" t="s">
        <v>81</v>
      </c>
      <c r="H726" s="6" t="s">
        <v>6552</v>
      </c>
      <c r="I726" s="6" t="s">
        <v>8825</v>
      </c>
      <c r="J726" s="6" t="s">
        <v>9677</v>
      </c>
      <c r="K726" s="6" t="s">
        <v>10886</v>
      </c>
      <c r="L726" s="16" t="n">
        <v>43349</v>
      </c>
      <c r="M726" s="16" t="n">
        <v>45870</v>
      </c>
      <c r="N726" s="6" t="s">
        <v>10886</v>
      </c>
      <c r="O726" s="16" t="n">
        <v>43349</v>
      </c>
      <c r="P726" s="6" t="s">
        <v>11339</v>
      </c>
      <c r="Q726" s="6" t="s">
        <v>81</v>
      </c>
      <c r="R726" s="6" t="s">
        <v>12626</v>
      </c>
      <c r="S726" s="6" t="s">
        <v>10886</v>
      </c>
      <c r="T726" s="16" t="n">
        <v>43484</v>
      </c>
      <c r="U726" s="6" t="s">
        <v>13366</v>
      </c>
      <c r="V726" s="6" t="s">
        <v>81</v>
      </c>
      <c r="W726" s="6" t="s">
        <v>12626</v>
      </c>
      <c r="X726" s="6" t="s">
        <v>81</v>
      </c>
      <c r="Y726" s="21" t="s">
        <v>81</v>
      </c>
      <c r="Z726" s="6" t="s">
        <v>81</v>
      </c>
      <c r="AA726" s="6" t="s">
        <v>81</v>
      </c>
      <c r="AB726" s="6" t="s">
        <v>81</v>
      </c>
      <c r="AC726" s="6" t="s">
        <v>81</v>
      </c>
      <c r="AD726" s="21" t="s">
        <v>81</v>
      </c>
      <c r="AE726" s="6" t="s">
        <v>81</v>
      </c>
      <c r="AF726" s="6" t="s">
        <v>81</v>
      </c>
      <c r="AG726" s="6" t="s">
        <v>81</v>
      </c>
      <c r="AH726" s="6" t="s">
        <v>15311</v>
      </c>
      <c r="AI726" s="6" t="s">
        <v>81</v>
      </c>
      <c r="AJ726" s="6" t="s">
        <v>17734</v>
      </c>
      <c r="AK726" s="6" t="s">
        <v>18380</v>
      </c>
      <c r="AL726" s="6" t="s">
        <v>18444</v>
      </c>
      <c r="AM726" s="6" t="s">
        <v>18903</v>
      </c>
      <c r="AN726" s="6" t="s">
        <v>19639</v>
      </c>
      <c r="AO726" s="6" t="s">
        <v>19725</v>
      </c>
      <c r="AP726" s="6" t="s">
        <v>81</v>
      </c>
      <c r="AQ726" s="6" t="s">
        <v>81</v>
      </c>
      <c r="AR726" s="6" t="s">
        <v>81</v>
      </c>
      <c r="AS726" s="6" t="s">
        <v>81</v>
      </c>
      <c r="AT726" s="6" t="s">
        <v>81</v>
      </c>
      <c r="AU726" s="6" t="s">
        <v>81</v>
      </c>
      <c r="AV726" s="6" t="s">
        <v>81</v>
      </c>
      <c r="AW726" s="6" t="s">
        <v>81</v>
      </c>
      <c r="AX726" s="6" t="s">
        <v>21213</v>
      </c>
      <c r="AY726" s="6" t="s">
        <v>81</v>
      </c>
      <c r="AZ726" s="6" t="s">
        <v>81</v>
      </c>
      <c r="BA726" s="6" t="s">
        <v>81</v>
      </c>
      <c r="BB726" s="24" t="n">
        <v>105</v>
      </c>
      <c r="BC726" s="26"/>
      <c r="BD726" s="26"/>
      <c r="BE726" s="26"/>
      <c r="BF726" s="26" t="s">
        <v>23900</v>
      </c>
      <c r="BG726" s="26"/>
      <c r="BH726" s="26"/>
      <c r="BI726" s="26"/>
      <c r="BJ726" s="26"/>
      <c r="BK726" s="26"/>
      <c r="BL726" s="26"/>
      <c r="BM726" s="26"/>
      <c r="BN726" s="26"/>
      <c r="BO726" s="26"/>
      <c r="BP726" s="16" t="n">
        <v>45737</v>
      </c>
      <c r="BQ726" s="28" t="str">
        <f>HYPERLINK("https://organic.ams.usda.gov/Integrity/Certificate.aspx?cid=31&amp;nopid=3928971959")</f>
        <v>https://organic.ams.usda.gov/Integrity/Certificate.aspx?cid=31&amp;nopid=3928971959</v>
      </c>
    </row>
    <row r="727">
      <c r="A727" t="s">
        <v>3</v>
      </c>
      <c r="B727" s="6" t="s">
        <v>7</v>
      </c>
      <c r="C727" s="6" t="s">
        <v>54</v>
      </c>
      <c r="D727" s="6" t="s">
        <v>100</v>
      </c>
      <c r="E727" s="10" t="s">
        <v>868</v>
      </c>
      <c r="F727" s="6" t="s">
        <v>3597</v>
      </c>
      <c r="G727" s="6" t="s">
        <v>81</v>
      </c>
      <c r="H727" s="6" t="s">
        <v>6553</v>
      </c>
      <c r="I727" s="6" t="s">
        <v>8826</v>
      </c>
      <c r="J727" s="6" t="s">
        <v>10047</v>
      </c>
      <c r="K727" s="6" t="s">
        <v>10886</v>
      </c>
      <c r="L727" s="16" t="n">
        <v>39181</v>
      </c>
      <c r="M727" s="16" t="n">
        <v>45716</v>
      </c>
      <c r="N727" s="6" t="s">
        <v>10886</v>
      </c>
      <c r="O727" s="16" t="n">
        <v>39181</v>
      </c>
      <c r="P727" s="6" t="s">
        <v>11046</v>
      </c>
      <c r="Q727" s="6" t="s">
        <v>81</v>
      </c>
      <c r="R727" s="6" t="s">
        <v>81</v>
      </c>
      <c r="S727" s="6" t="s">
        <v>10886</v>
      </c>
      <c r="T727" s="16" t="n">
        <v>39220</v>
      </c>
      <c r="U727" s="6" t="s">
        <v>13160</v>
      </c>
      <c r="V727" s="6" t="s">
        <v>81</v>
      </c>
      <c r="W727" s="6" t="s">
        <v>81</v>
      </c>
      <c r="X727" s="6" t="s">
        <v>81</v>
      </c>
      <c r="Y727" s="21" t="s">
        <v>81</v>
      </c>
      <c r="Z727" s="6" t="s">
        <v>81</v>
      </c>
      <c r="AA727" s="6" t="s">
        <v>81</v>
      </c>
      <c r="AB727" s="6" t="s">
        <v>81</v>
      </c>
      <c r="AC727" s="6" t="s">
        <v>81</v>
      </c>
      <c r="AD727" s="21" t="s">
        <v>81</v>
      </c>
      <c r="AE727" s="6" t="s">
        <v>81</v>
      </c>
      <c r="AF727" s="6" t="s">
        <v>81</v>
      </c>
      <c r="AG727" s="6" t="s">
        <v>81</v>
      </c>
      <c r="AH727" s="6" t="s">
        <v>15312</v>
      </c>
      <c r="AI727" s="6" t="s">
        <v>81</v>
      </c>
      <c r="AJ727" s="6" t="s">
        <v>17735</v>
      </c>
      <c r="AK727" s="6" t="s">
        <v>17712</v>
      </c>
      <c r="AL727" s="6" t="s">
        <v>18444</v>
      </c>
      <c r="AM727" s="6" t="s">
        <v>7658</v>
      </c>
      <c r="AN727" s="6" t="s">
        <v>6842</v>
      </c>
      <c r="AO727" s="6" t="s">
        <v>19815</v>
      </c>
      <c r="AP727" s="6" t="s">
        <v>15312</v>
      </c>
      <c r="AQ727" s="6" t="s">
        <v>81</v>
      </c>
      <c r="AR727" s="6" t="s">
        <v>17735</v>
      </c>
      <c r="AS727" s="6" t="s">
        <v>17712</v>
      </c>
      <c r="AT727" s="6" t="s">
        <v>18444</v>
      </c>
      <c r="AU727" s="6" t="s">
        <v>7658</v>
      </c>
      <c r="AV727" s="6" t="s">
        <v>81</v>
      </c>
      <c r="AW727" s="6" t="s">
        <v>81</v>
      </c>
      <c r="AX727" s="6" t="s">
        <v>21214</v>
      </c>
      <c r="AY727" s="6" t="s">
        <v>22836</v>
      </c>
      <c r="AZ727" s="6" t="s">
        <v>81</v>
      </c>
      <c r="BA727" s="6" t="s">
        <v>81</v>
      </c>
      <c r="BB727" s="24" t="n">
        <v>416</v>
      </c>
      <c r="BC727" s="26"/>
      <c r="BD727" s="26"/>
      <c r="BE727" s="26"/>
      <c r="BF727" s="26" t="s">
        <v>23900</v>
      </c>
      <c r="BG727" s="26"/>
      <c r="BH727" s="26"/>
      <c r="BI727" s="26"/>
      <c r="BJ727" s="26"/>
      <c r="BK727" s="26"/>
      <c r="BL727" s="26"/>
      <c r="BM727" s="26"/>
      <c r="BN727" s="26"/>
      <c r="BO727" s="26"/>
      <c r="BP727" s="16" t="n">
        <v>45595</v>
      </c>
      <c r="BQ727" s="28" t="str">
        <f>HYPERLINK("https://organic.ams.usda.gov/Integrity/Certificate.aspx?cid=57&amp;nopid=3252006122")</f>
        <v>https://organic.ams.usda.gov/Integrity/Certificate.aspx?cid=57&amp;nopid=3252006122</v>
      </c>
    </row>
    <row r="728">
      <c r="A728" t="s">
        <v>3</v>
      </c>
      <c r="B728" s="6" t="s">
        <v>12</v>
      </c>
      <c r="C728" s="6" t="s">
        <v>59</v>
      </c>
      <c r="D728" s="6" t="s">
        <v>105</v>
      </c>
      <c r="E728" s="10" t="s">
        <v>869</v>
      </c>
      <c r="F728" s="6" t="s">
        <v>3598</v>
      </c>
      <c r="G728" s="6" t="s">
        <v>81</v>
      </c>
      <c r="H728" s="6" t="s">
        <v>6554</v>
      </c>
      <c r="I728" s="6" t="s">
        <v>8827</v>
      </c>
      <c r="J728" s="6" t="s">
        <v>10048</v>
      </c>
      <c r="K728" s="6" t="s">
        <v>10886</v>
      </c>
      <c r="L728" s="16" t="n">
        <v>43404</v>
      </c>
      <c r="M728" s="16" t="n">
        <v>45717</v>
      </c>
      <c r="N728" s="6" t="s">
        <v>10886</v>
      </c>
      <c r="O728" s="16" t="n">
        <v>43404</v>
      </c>
      <c r="P728" s="6" t="s">
        <v>11340</v>
      </c>
      <c r="Q728" s="6" t="s">
        <v>81</v>
      </c>
      <c r="R728" s="6" t="s">
        <v>81</v>
      </c>
      <c r="S728" s="6" t="s">
        <v>10886</v>
      </c>
      <c r="T728" s="16" t="n">
        <v>43404</v>
      </c>
      <c r="U728" s="6" t="s">
        <v>13440</v>
      </c>
      <c r="V728" s="6" t="s">
        <v>81</v>
      </c>
      <c r="W728" s="6" t="s">
        <v>81</v>
      </c>
      <c r="X728" s="6" t="s">
        <v>81</v>
      </c>
      <c r="Y728" s="21" t="s">
        <v>81</v>
      </c>
      <c r="Z728" s="6" t="s">
        <v>81</v>
      </c>
      <c r="AA728" s="6" t="s">
        <v>81</v>
      </c>
      <c r="AB728" s="6" t="s">
        <v>81</v>
      </c>
      <c r="AC728" s="6" t="s">
        <v>81</v>
      </c>
      <c r="AD728" s="21" t="s">
        <v>81</v>
      </c>
      <c r="AE728" s="6" t="s">
        <v>81</v>
      </c>
      <c r="AF728" s="6" t="s">
        <v>81</v>
      </c>
      <c r="AG728" s="6" t="s">
        <v>81</v>
      </c>
      <c r="AH728" s="6" t="s">
        <v>15313</v>
      </c>
      <c r="AI728" s="6" t="s">
        <v>81</v>
      </c>
      <c r="AJ728" s="6" t="s">
        <v>17485</v>
      </c>
      <c r="AK728" s="6" t="s">
        <v>17712</v>
      </c>
      <c r="AL728" s="6" t="s">
        <v>18444</v>
      </c>
      <c r="AM728" s="6" t="s">
        <v>18645</v>
      </c>
      <c r="AN728" s="6" t="s">
        <v>19642</v>
      </c>
      <c r="AO728" s="6" t="s">
        <v>19728</v>
      </c>
      <c r="AP728" s="6" t="s">
        <v>15313</v>
      </c>
      <c r="AQ728" s="6" t="s">
        <v>81</v>
      </c>
      <c r="AR728" s="6" t="s">
        <v>17485</v>
      </c>
      <c r="AS728" s="6" t="s">
        <v>17712</v>
      </c>
      <c r="AT728" s="6" t="s">
        <v>18444</v>
      </c>
      <c r="AU728" s="6" t="s">
        <v>18645</v>
      </c>
      <c r="AV728" s="6" t="s">
        <v>81</v>
      </c>
      <c r="AW728" s="6" t="s">
        <v>81</v>
      </c>
      <c r="AX728" s="6" t="s">
        <v>21215</v>
      </c>
      <c r="AY728" s="6" t="s">
        <v>81</v>
      </c>
      <c r="AZ728" s="6" t="s">
        <v>81</v>
      </c>
      <c r="BA728" s="6" t="s">
        <v>81</v>
      </c>
      <c r="BB728" s="24" t="n">
        <v>172</v>
      </c>
      <c r="BC728" s="26"/>
      <c r="BD728" s="26"/>
      <c r="BE728" s="26"/>
      <c r="BF728" s="26"/>
      <c r="BG728" s="26"/>
      <c r="BH728" s="26"/>
      <c r="BI728" s="26"/>
      <c r="BJ728" s="26"/>
      <c r="BK728" s="26"/>
      <c r="BL728" s="26"/>
      <c r="BM728" s="26"/>
      <c r="BN728" s="26"/>
      <c r="BO728" s="26"/>
      <c r="BP728" s="16" t="n">
        <v>45684</v>
      </c>
      <c r="BQ728" s="28" t="str">
        <f>HYPERLINK("https://organic.ams.usda.gov/Integrity/Certificate.aspx?cid=68&amp;nopid=8210006321")</f>
        <v>https://organic.ams.usda.gov/Integrity/Certificate.aspx?cid=68&amp;nopid=8210006321</v>
      </c>
    </row>
    <row r="729">
      <c r="A729" t="s">
        <v>3</v>
      </c>
      <c r="B729" s="6" t="s">
        <v>15</v>
      </c>
      <c r="C729" s="6" t="s">
        <v>62</v>
      </c>
      <c r="D729" s="6" t="s">
        <v>108</v>
      </c>
      <c r="E729" s="10" t="s">
        <v>870</v>
      </c>
      <c r="F729" s="6" t="s">
        <v>3599</v>
      </c>
      <c r="G729" s="6" t="s">
        <v>5661</v>
      </c>
      <c r="H729" s="6" t="s">
        <v>6555</v>
      </c>
      <c r="I729" s="6" t="s">
        <v>8827</v>
      </c>
      <c r="J729" s="6" t="s">
        <v>9763</v>
      </c>
      <c r="K729" s="6" t="s">
        <v>10886</v>
      </c>
      <c r="L729" s="16" t="n">
        <v>39420</v>
      </c>
      <c r="M729" s="16" t="n">
        <v>46157</v>
      </c>
      <c r="N729" s="6" t="s">
        <v>10886</v>
      </c>
      <c r="O729" s="16" t="n">
        <v>39420</v>
      </c>
      <c r="P729" s="6" t="s">
        <v>11341</v>
      </c>
      <c r="Q729" s="6" t="s">
        <v>81</v>
      </c>
      <c r="R729" s="6" t="s">
        <v>81</v>
      </c>
      <c r="S729" s="6" t="s">
        <v>10886</v>
      </c>
      <c r="T729" s="16" t="n">
        <v>39420</v>
      </c>
      <c r="U729" s="6" t="s">
        <v>13180</v>
      </c>
      <c r="V729" s="6" t="s">
        <v>81</v>
      </c>
      <c r="W729" s="6" t="s">
        <v>81</v>
      </c>
      <c r="X729" s="6" t="s">
        <v>81</v>
      </c>
      <c r="Y729" s="21" t="s">
        <v>81</v>
      </c>
      <c r="Z729" s="6" t="s">
        <v>81</v>
      </c>
      <c r="AA729" s="6" t="s">
        <v>81</v>
      </c>
      <c r="AB729" s="6" t="s">
        <v>81</v>
      </c>
      <c r="AC729" s="6" t="s">
        <v>81</v>
      </c>
      <c r="AD729" s="21" t="s">
        <v>81</v>
      </c>
      <c r="AE729" s="6" t="s">
        <v>81</v>
      </c>
      <c r="AF729" s="6" t="s">
        <v>81</v>
      </c>
      <c r="AG729" s="6" t="s">
        <v>81</v>
      </c>
      <c r="AH729" s="6" t="s">
        <v>15314</v>
      </c>
      <c r="AI729" s="6" t="s">
        <v>81</v>
      </c>
      <c r="AJ729" s="6" t="s">
        <v>17736</v>
      </c>
      <c r="AK729" s="6" t="s">
        <v>18403</v>
      </c>
      <c r="AL729" s="6" t="s">
        <v>18444</v>
      </c>
      <c r="AM729" s="6" t="s">
        <v>18904</v>
      </c>
      <c r="AN729" s="6" t="s">
        <v>19701</v>
      </c>
      <c r="AO729" s="6" t="s">
        <v>19918</v>
      </c>
      <c r="AP729" s="6" t="s">
        <v>15314</v>
      </c>
      <c r="AQ729" s="6" t="s">
        <v>81</v>
      </c>
      <c r="AR729" s="6" t="s">
        <v>17736</v>
      </c>
      <c r="AS729" s="6" t="s">
        <v>18403</v>
      </c>
      <c r="AT729" s="6" t="s">
        <v>18444</v>
      </c>
      <c r="AU729" s="6" t="s">
        <v>18904</v>
      </c>
      <c r="AV729" s="6" t="s">
        <v>81</v>
      </c>
      <c r="AW729" s="6" t="s">
        <v>81</v>
      </c>
      <c r="AX729" s="6" t="s">
        <v>21216</v>
      </c>
      <c r="AY729" s="6" t="s">
        <v>81</v>
      </c>
      <c r="AZ729" s="6" t="s">
        <v>81</v>
      </c>
      <c r="BA729" s="6" t="s">
        <v>81</v>
      </c>
      <c r="BB729" s="24" t="n">
        <v>220</v>
      </c>
      <c r="BC729" s="26"/>
      <c r="BD729" s="26"/>
      <c r="BE729" s="26"/>
      <c r="BF729" s="26" t="s">
        <v>23900</v>
      </c>
      <c r="BG729" s="26"/>
      <c r="BH729" s="26"/>
      <c r="BI729" s="26"/>
      <c r="BJ729" s="26"/>
      <c r="BK729" s="26"/>
      <c r="BL729" s="26"/>
      <c r="BM729" s="26"/>
      <c r="BN729" s="26"/>
      <c r="BO729" s="26"/>
      <c r="BP729" s="16" t="n">
        <v>45737</v>
      </c>
      <c r="BQ729" s="28" t="str">
        <f>HYPERLINK("https://organic.ams.usda.gov/Integrity/Certificate.aspx?cid=58&amp;nopid=1600001375")</f>
        <v>https://organic.ams.usda.gov/Integrity/Certificate.aspx?cid=58&amp;nopid=1600001375</v>
      </c>
    </row>
    <row r="730">
      <c r="A730" t="s">
        <v>3</v>
      </c>
      <c r="B730" s="6" t="s">
        <v>9</v>
      </c>
      <c r="C730" s="6" t="s">
        <v>56</v>
      </c>
      <c r="D730" s="6" t="s">
        <v>102</v>
      </c>
      <c r="E730" s="10" t="s">
        <v>871</v>
      </c>
      <c r="F730" s="6" t="s">
        <v>3600</v>
      </c>
      <c r="G730" s="6" t="s">
        <v>81</v>
      </c>
      <c r="H730" s="6" t="s">
        <v>6556</v>
      </c>
      <c r="I730" s="6" t="s">
        <v>8828</v>
      </c>
      <c r="J730" s="6" t="s">
        <v>9742</v>
      </c>
      <c r="K730" s="6" t="s">
        <v>10886</v>
      </c>
      <c r="L730" s="16" t="n">
        <v>42139</v>
      </c>
      <c r="M730" s="16" t="n">
        <v>45748</v>
      </c>
      <c r="N730" s="6" t="s">
        <v>10886</v>
      </c>
      <c r="O730" s="16" t="n">
        <v>42139</v>
      </c>
      <c r="P730" s="6" t="s">
        <v>11342</v>
      </c>
      <c r="Q730" s="6" t="s">
        <v>81</v>
      </c>
      <c r="R730" s="6" t="s">
        <v>12627</v>
      </c>
      <c r="S730" s="6" t="s">
        <v>10886</v>
      </c>
      <c r="T730" s="16" t="n">
        <v>42139</v>
      </c>
      <c r="U730" s="6" t="s">
        <v>13168</v>
      </c>
      <c r="V730" s="6" t="s">
        <v>81</v>
      </c>
      <c r="W730" s="6" t="s">
        <v>12627</v>
      </c>
      <c r="X730" s="6" t="s">
        <v>81</v>
      </c>
      <c r="Y730" s="21" t="s">
        <v>81</v>
      </c>
      <c r="Z730" s="6" t="s">
        <v>81</v>
      </c>
      <c r="AA730" s="6" t="s">
        <v>81</v>
      </c>
      <c r="AB730" s="6" t="s">
        <v>81</v>
      </c>
      <c r="AC730" s="6" t="s">
        <v>81</v>
      </c>
      <c r="AD730" s="21" t="s">
        <v>81</v>
      </c>
      <c r="AE730" s="6" t="s">
        <v>81</v>
      </c>
      <c r="AF730" s="6" t="s">
        <v>81</v>
      </c>
      <c r="AG730" s="6" t="s">
        <v>81</v>
      </c>
      <c r="AH730" s="6" t="s">
        <v>15315</v>
      </c>
      <c r="AI730" s="6" t="s">
        <v>81</v>
      </c>
      <c r="AJ730" s="6" t="s">
        <v>17737</v>
      </c>
      <c r="AK730" s="6" t="s">
        <v>18381</v>
      </c>
      <c r="AL730" s="6" t="s">
        <v>18444</v>
      </c>
      <c r="AM730" s="6" t="s">
        <v>18905</v>
      </c>
      <c r="AN730" s="6" t="s">
        <v>19663</v>
      </c>
      <c r="AO730" s="6" t="s">
        <v>19763</v>
      </c>
      <c r="AP730" s="6" t="s">
        <v>81</v>
      </c>
      <c r="AQ730" s="6" t="s">
        <v>81</v>
      </c>
      <c r="AR730" s="6" t="s">
        <v>81</v>
      </c>
      <c r="AS730" s="6" t="s">
        <v>81</v>
      </c>
      <c r="AT730" s="6" t="s">
        <v>81</v>
      </c>
      <c r="AU730" s="6" t="s">
        <v>81</v>
      </c>
      <c r="AV730" s="6" t="s">
        <v>81</v>
      </c>
      <c r="AW730" s="6" t="s">
        <v>81</v>
      </c>
      <c r="AX730" s="6" t="s">
        <v>81</v>
      </c>
      <c r="AY730" s="6" t="s">
        <v>81</v>
      </c>
      <c r="AZ730" s="6" t="s">
        <v>81</v>
      </c>
      <c r="BA730" s="6" t="s">
        <v>81</v>
      </c>
      <c r="BB730" s="24" t="n">
        <v>220</v>
      </c>
      <c r="BC730" s="26"/>
      <c r="BD730" s="26"/>
      <c r="BE730" s="26"/>
      <c r="BF730" s="26"/>
      <c r="BG730" s="26"/>
      <c r="BH730" s="26"/>
      <c r="BI730" s="26"/>
      <c r="BJ730" s="26"/>
      <c r="BK730" s="26"/>
      <c r="BL730" s="26"/>
      <c r="BM730" s="26"/>
      <c r="BN730" s="26"/>
      <c r="BO730" s="26"/>
      <c r="BP730" s="16" t="n">
        <v>45738</v>
      </c>
      <c r="BQ730" s="28" t="str">
        <f>HYPERLINK("https://organic.ams.usda.gov/Integrity/Certificate.aspx?cid=52&amp;nopid=8431500951")</f>
        <v>https://organic.ams.usda.gov/Integrity/Certificate.aspx?cid=52&amp;nopid=8431500951</v>
      </c>
    </row>
    <row r="731">
      <c r="A731" t="s">
        <v>3</v>
      </c>
      <c r="B731" s="6" t="s">
        <v>12</v>
      </c>
      <c r="C731" s="6" t="s">
        <v>59</v>
      </c>
      <c r="D731" s="6" t="s">
        <v>105</v>
      </c>
      <c r="E731" s="10" t="s">
        <v>872</v>
      </c>
      <c r="F731" s="6" t="s">
        <v>3601</v>
      </c>
      <c r="G731" s="6" t="s">
        <v>81</v>
      </c>
      <c r="H731" s="6" t="s">
        <v>6557</v>
      </c>
      <c r="I731" s="6" t="s">
        <v>8829</v>
      </c>
      <c r="J731" s="6" t="s">
        <v>9730</v>
      </c>
      <c r="K731" s="6" t="s">
        <v>10886</v>
      </c>
      <c r="L731" s="16" t="n">
        <v>37550</v>
      </c>
      <c r="M731" s="16" t="n">
        <v>45717</v>
      </c>
      <c r="N731" s="6" t="s">
        <v>10886</v>
      </c>
      <c r="O731" s="16" t="n">
        <v>37550</v>
      </c>
      <c r="P731" s="6" t="s">
        <v>11343</v>
      </c>
      <c r="Q731" s="6" t="s">
        <v>81</v>
      </c>
      <c r="R731" s="6" t="s">
        <v>81</v>
      </c>
      <c r="S731" s="6" t="s">
        <v>10886</v>
      </c>
      <c r="T731" s="16" t="n">
        <v>37550</v>
      </c>
      <c r="U731" s="6" t="s">
        <v>13166</v>
      </c>
      <c r="V731" s="6" t="s">
        <v>81</v>
      </c>
      <c r="W731" s="6" t="s">
        <v>81</v>
      </c>
      <c r="X731" s="6" t="s">
        <v>81</v>
      </c>
      <c r="Y731" s="21" t="s">
        <v>81</v>
      </c>
      <c r="Z731" s="6" t="s">
        <v>81</v>
      </c>
      <c r="AA731" s="6" t="s">
        <v>81</v>
      </c>
      <c r="AB731" s="6" t="s">
        <v>81</v>
      </c>
      <c r="AC731" s="6" t="s">
        <v>81</v>
      </c>
      <c r="AD731" s="21" t="s">
        <v>81</v>
      </c>
      <c r="AE731" s="6" t="s">
        <v>81</v>
      </c>
      <c r="AF731" s="6" t="s">
        <v>81</v>
      </c>
      <c r="AG731" s="6" t="s">
        <v>81</v>
      </c>
      <c r="AH731" s="6" t="s">
        <v>15316</v>
      </c>
      <c r="AI731" s="6" t="s">
        <v>81</v>
      </c>
      <c r="AJ731" s="6" t="s">
        <v>17738</v>
      </c>
      <c r="AK731" s="6" t="s">
        <v>18380</v>
      </c>
      <c r="AL731" s="6" t="s">
        <v>18444</v>
      </c>
      <c r="AM731" s="6" t="s">
        <v>18906</v>
      </c>
      <c r="AN731" s="6" t="s">
        <v>19639</v>
      </c>
      <c r="AO731" s="6" t="s">
        <v>19725</v>
      </c>
      <c r="AP731" s="6" t="s">
        <v>15316</v>
      </c>
      <c r="AQ731" s="6" t="s">
        <v>81</v>
      </c>
      <c r="AR731" s="6" t="s">
        <v>17738</v>
      </c>
      <c r="AS731" s="6" t="s">
        <v>18380</v>
      </c>
      <c r="AT731" s="6" t="s">
        <v>18444</v>
      </c>
      <c r="AU731" s="6" t="s">
        <v>18906</v>
      </c>
      <c r="AV731" s="6" t="s">
        <v>81</v>
      </c>
      <c r="AW731" s="6" t="s">
        <v>81</v>
      </c>
      <c r="AX731" s="6" t="s">
        <v>21217</v>
      </c>
      <c r="AY731" s="6" t="s">
        <v>81</v>
      </c>
      <c r="AZ731" s="6" t="s">
        <v>81</v>
      </c>
      <c r="BA731" s="6" t="s">
        <v>81</v>
      </c>
      <c r="BB731" s="24" t="n">
        <v>80</v>
      </c>
      <c r="BC731" s="26"/>
      <c r="BD731" s="26"/>
      <c r="BE731" s="26"/>
      <c r="BF731" s="26"/>
      <c r="BG731" s="26"/>
      <c r="BH731" s="26"/>
      <c r="BI731" s="26"/>
      <c r="BJ731" s="26"/>
      <c r="BK731" s="26"/>
      <c r="BL731" s="26"/>
      <c r="BM731" s="26"/>
      <c r="BN731" s="26"/>
      <c r="BO731" s="26"/>
      <c r="BP731" s="16" t="n">
        <v>45684</v>
      </c>
      <c r="BQ731" s="28" t="str">
        <f>HYPERLINK("https://organic.ams.usda.gov/Integrity/Certificate.aspx?cid=68&amp;nopid=8210003620")</f>
        <v>https://organic.ams.usda.gov/Integrity/Certificate.aspx?cid=68&amp;nopid=8210003620</v>
      </c>
    </row>
    <row r="732">
      <c r="A732" t="s">
        <v>3</v>
      </c>
      <c r="B732" s="6" t="s">
        <v>9</v>
      </c>
      <c r="C732" s="6" t="s">
        <v>56</v>
      </c>
      <c r="D732" s="6" t="s">
        <v>102</v>
      </c>
      <c r="E732" s="10" t="s">
        <v>873</v>
      </c>
      <c r="F732" s="6" t="s">
        <v>3602</v>
      </c>
      <c r="G732" s="6" t="s">
        <v>81</v>
      </c>
      <c r="H732" s="6" t="s">
        <v>6558</v>
      </c>
      <c r="I732" s="6" t="s">
        <v>8830</v>
      </c>
      <c r="J732" s="6" t="s">
        <v>10049</v>
      </c>
      <c r="K732" s="6" t="s">
        <v>10886</v>
      </c>
      <c r="L732" s="16" t="n">
        <v>42906</v>
      </c>
      <c r="M732" s="16" t="n">
        <v>45748</v>
      </c>
      <c r="N732" s="6" t="s">
        <v>10886</v>
      </c>
      <c r="O732" s="16" t="n">
        <v>42906</v>
      </c>
      <c r="P732" s="6" t="s">
        <v>10922</v>
      </c>
      <c r="Q732" s="6" t="s">
        <v>81</v>
      </c>
      <c r="R732" s="6" t="s">
        <v>12628</v>
      </c>
      <c r="S732" s="6" t="s">
        <v>10886</v>
      </c>
      <c r="T732" s="16" t="n">
        <v>42906</v>
      </c>
      <c r="U732" s="6" t="s">
        <v>13168</v>
      </c>
      <c r="V732" s="6" t="s">
        <v>81</v>
      </c>
      <c r="W732" s="6" t="s">
        <v>12628</v>
      </c>
      <c r="X732" s="6" t="s">
        <v>81</v>
      </c>
      <c r="Y732" s="21" t="s">
        <v>81</v>
      </c>
      <c r="Z732" s="6" t="s">
        <v>81</v>
      </c>
      <c r="AA732" s="6" t="s">
        <v>81</v>
      </c>
      <c r="AB732" s="6" t="s">
        <v>81</v>
      </c>
      <c r="AC732" s="6" t="s">
        <v>81</v>
      </c>
      <c r="AD732" s="21" t="s">
        <v>81</v>
      </c>
      <c r="AE732" s="6" t="s">
        <v>81</v>
      </c>
      <c r="AF732" s="6" t="s">
        <v>81</v>
      </c>
      <c r="AG732" s="6" t="s">
        <v>81</v>
      </c>
      <c r="AH732" s="6" t="s">
        <v>15317</v>
      </c>
      <c r="AI732" s="6" t="s">
        <v>81</v>
      </c>
      <c r="AJ732" s="6" t="s">
        <v>17646</v>
      </c>
      <c r="AK732" s="6" t="s">
        <v>18378</v>
      </c>
      <c r="AL732" s="6" t="s">
        <v>18444</v>
      </c>
      <c r="AM732" s="6" t="s">
        <v>18815</v>
      </c>
      <c r="AN732" s="6" t="s">
        <v>19640</v>
      </c>
      <c r="AO732" s="6" t="s">
        <v>19726</v>
      </c>
      <c r="AP732" s="6" t="s">
        <v>81</v>
      </c>
      <c r="AQ732" s="6" t="s">
        <v>81</v>
      </c>
      <c r="AR732" s="6" t="s">
        <v>81</v>
      </c>
      <c r="AS732" s="6" t="s">
        <v>81</v>
      </c>
      <c r="AT732" s="6" t="s">
        <v>81</v>
      </c>
      <c r="AU732" s="6" t="s">
        <v>81</v>
      </c>
      <c r="AV732" s="6" t="s">
        <v>81</v>
      </c>
      <c r="AW732" s="6" t="s">
        <v>81</v>
      </c>
      <c r="AX732" s="6" t="s">
        <v>21218</v>
      </c>
      <c r="AY732" s="6" t="s">
        <v>81</v>
      </c>
      <c r="AZ732" s="6" t="s">
        <v>81</v>
      </c>
      <c r="BA732" s="6" t="s">
        <v>81</v>
      </c>
      <c r="BB732" s="24" t="n">
        <v>112</v>
      </c>
      <c r="BC732" s="26"/>
      <c r="BD732" s="26"/>
      <c r="BE732" s="26"/>
      <c r="BF732" s="26"/>
      <c r="BG732" s="26"/>
      <c r="BH732" s="26"/>
      <c r="BI732" s="26"/>
      <c r="BJ732" s="26"/>
      <c r="BK732" s="26"/>
      <c r="BL732" s="26"/>
      <c r="BM732" s="26"/>
      <c r="BN732" s="26"/>
      <c r="BO732" s="26"/>
      <c r="BP732" s="16" t="n">
        <v>45738</v>
      </c>
      <c r="BQ732" s="28" t="str">
        <f>HYPERLINK("https://organic.ams.usda.gov/Integrity/Certificate.aspx?cid=52&amp;nopid=8431701387")</f>
        <v>https://organic.ams.usda.gov/Integrity/Certificate.aspx?cid=52&amp;nopid=8431701387</v>
      </c>
    </row>
    <row r="733">
      <c r="A733" t="s">
        <v>3</v>
      </c>
      <c r="B733" s="6" t="s">
        <v>8</v>
      </c>
      <c r="C733" s="6" t="s">
        <v>55</v>
      </c>
      <c r="D733" s="6" t="s">
        <v>101</v>
      </c>
      <c r="E733" s="10" t="s">
        <v>874</v>
      </c>
      <c r="F733" s="6" t="s">
        <v>3603</v>
      </c>
      <c r="G733" s="6" t="s">
        <v>81</v>
      </c>
      <c r="H733" s="6" t="s">
        <v>6559</v>
      </c>
      <c r="I733" s="6" t="s">
        <v>8830</v>
      </c>
      <c r="J733" s="6" t="s">
        <v>9742</v>
      </c>
      <c r="K733" s="6" t="s">
        <v>10886</v>
      </c>
      <c r="L733" s="16" t="n">
        <v>42486</v>
      </c>
      <c r="M733" s="16" t="n">
        <v>45748</v>
      </c>
      <c r="N733" s="6" t="s">
        <v>10886</v>
      </c>
      <c r="O733" s="16" t="n">
        <v>42486</v>
      </c>
      <c r="P733" s="6" t="s">
        <v>11344</v>
      </c>
      <c r="Q733" s="6" t="s">
        <v>81</v>
      </c>
      <c r="R733" s="6" t="s">
        <v>6559</v>
      </c>
      <c r="S733" s="6" t="s">
        <v>10886</v>
      </c>
      <c r="T733" s="16" t="n">
        <v>42486</v>
      </c>
      <c r="U733" s="6" t="s">
        <v>13179</v>
      </c>
      <c r="V733" s="6" t="s">
        <v>81</v>
      </c>
      <c r="W733" s="6" t="s">
        <v>6559</v>
      </c>
      <c r="X733" s="6" t="s">
        <v>81</v>
      </c>
      <c r="Y733" s="21" t="s">
        <v>81</v>
      </c>
      <c r="Z733" s="6" t="s">
        <v>81</v>
      </c>
      <c r="AA733" s="6" t="s">
        <v>81</v>
      </c>
      <c r="AB733" s="6" t="s">
        <v>81</v>
      </c>
      <c r="AC733" s="6" t="s">
        <v>81</v>
      </c>
      <c r="AD733" s="21" t="s">
        <v>81</v>
      </c>
      <c r="AE733" s="6" t="s">
        <v>81</v>
      </c>
      <c r="AF733" s="6" t="s">
        <v>81</v>
      </c>
      <c r="AG733" s="6" t="s">
        <v>81</v>
      </c>
      <c r="AH733" s="6" t="s">
        <v>15318</v>
      </c>
      <c r="AI733" s="6" t="s">
        <v>81</v>
      </c>
      <c r="AJ733" s="6" t="s">
        <v>10488</v>
      </c>
      <c r="AK733" s="6" t="s">
        <v>18377</v>
      </c>
      <c r="AL733" s="6" t="s">
        <v>18444</v>
      </c>
      <c r="AM733" s="6" t="s">
        <v>18536</v>
      </c>
      <c r="AN733" s="6" t="s">
        <v>7195</v>
      </c>
      <c r="AO733" s="6" t="s">
        <v>19737</v>
      </c>
      <c r="AP733" s="6" t="s">
        <v>81</v>
      </c>
      <c r="AQ733" s="6" t="s">
        <v>81</v>
      </c>
      <c r="AR733" s="6" t="s">
        <v>81</v>
      </c>
      <c r="AS733" s="6" t="s">
        <v>81</v>
      </c>
      <c r="AT733" s="6" t="s">
        <v>81</v>
      </c>
      <c r="AU733" s="6" t="s">
        <v>81</v>
      </c>
      <c r="AV733" s="6" t="s">
        <v>81</v>
      </c>
      <c r="AW733" s="6" t="s">
        <v>81</v>
      </c>
      <c r="AX733" s="6" t="s">
        <v>81</v>
      </c>
      <c r="AY733" s="6" t="s">
        <v>22837</v>
      </c>
      <c r="AZ733" s="6" t="s">
        <v>81</v>
      </c>
      <c r="BA733" s="6" t="s">
        <v>23819</v>
      </c>
      <c r="BB733" s="24" t="n">
        <v>278</v>
      </c>
      <c r="BC733" s="26"/>
      <c r="BD733" s="26"/>
      <c r="BE733" s="26"/>
      <c r="BF733" s="26" t="s">
        <v>23900</v>
      </c>
      <c r="BG733" s="26"/>
      <c r="BH733" s="26"/>
      <c r="BI733" s="26"/>
      <c r="BJ733" s="26"/>
      <c r="BK733" s="26"/>
      <c r="BL733" s="26"/>
      <c r="BM733" s="26"/>
      <c r="BN733" s="26"/>
      <c r="BO733" s="26"/>
      <c r="BP733" s="16" t="n">
        <v>45618</v>
      </c>
      <c r="BQ733" s="28" t="str">
        <f>HYPERLINK("https://organic.ams.usda.gov/Integrity/Certificate.aspx?cid=45&amp;nopid=9950008828")</f>
        <v>https://organic.ams.usda.gov/Integrity/Certificate.aspx?cid=45&amp;nopid=9950008828</v>
      </c>
    </row>
    <row r="734">
      <c r="A734" t="s">
        <v>3</v>
      </c>
      <c r="B734" s="6" t="s">
        <v>9</v>
      </c>
      <c r="C734" s="6" t="s">
        <v>56</v>
      </c>
      <c r="D734" s="6" t="s">
        <v>102</v>
      </c>
      <c r="E734" s="10" t="s">
        <v>875</v>
      </c>
      <c r="F734" s="6" t="s">
        <v>3604</v>
      </c>
      <c r="G734" s="6" t="s">
        <v>81</v>
      </c>
      <c r="H734" s="6" t="s">
        <v>6560</v>
      </c>
      <c r="I734" s="6" t="s">
        <v>8830</v>
      </c>
      <c r="J734" s="6" t="s">
        <v>9755</v>
      </c>
      <c r="K734" s="6" t="s">
        <v>10886</v>
      </c>
      <c r="L734" s="16" t="n">
        <v>41375</v>
      </c>
      <c r="M734" s="16" t="n">
        <v>46113</v>
      </c>
      <c r="N734" s="6" t="s">
        <v>10886</v>
      </c>
      <c r="O734" s="16" t="n">
        <v>41375</v>
      </c>
      <c r="P734" s="6" t="s">
        <v>11345</v>
      </c>
      <c r="Q734" s="6" t="s">
        <v>81</v>
      </c>
      <c r="R734" s="6" t="s">
        <v>12629</v>
      </c>
      <c r="S734" s="6" t="s">
        <v>10886</v>
      </c>
      <c r="T734" s="16" t="n">
        <v>41375</v>
      </c>
      <c r="U734" s="6" t="s">
        <v>13227</v>
      </c>
      <c r="V734" s="6" t="s">
        <v>81</v>
      </c>
      <c r="W734" s="6" t="s">
        <v>12629</v>
      </c>
      <c r="X734" s="6" t="s">
        <v>81</v>
      </c>
      <c r="Y734" s="21" t="s">
        <v>81</v>
      </c>
      <c r="Z734" s="6" t="s">
        <v>81</v>
      </c>
      <c r="AA734" s="6" t="s">
        <v>81</v>
      </c>
      <c r="AB734" s="6" t="s">
        <v>81</v>
      </c>
      <c r="AC734" s="6" t="s">
        <v>81</v>
      </c>
      <c r="AD734" s="21" t="s">
        <v>81</v>
      </c>
      <c r="AE734" s="6" t="s">
        <v>81</v>
      </c>
      <c r="AF734" s="6" t="s">
        <v>81</v>
      </c>
      <c r="AG734" s="6" t="s">
        <v>81</v>
      </c>
      <c r="AH734" s="6" t="s">
        <v>15319</v>
      </c>
      <c r="AI734" s="6" t="s">
        <v>81</v>
      </c>
      <c r="AJ734" s="6" t="s">
        <v>17407</v>
      </c>
      <c r="AK734" s="6" t="s">
        <v>18377</v>
      </c>
      <c r="AL734" s="6" t="s">
        <v>18444</v>
      </c>
      <c r="AM734" s="6" t="s">
        <v>18563</v>
      </c>
      <c r="AN734" s="6" t="s">
        <v>19638</v>
      </c>
      <c r="AO734" s="6" t="s">
        <v>19724</v>
      </c>
      <c r="AP734" s="6" t="s">
        <v>81</v>
      </c>
      <c r="AQ734" s="6" t="s">
        <v>81</v>
      </c>
      <c r="AR734" s="6" t="s">
        <v>81</v>
      </c>
      <c r="AS734" s="6" t="s">
        <v>81</v>
      </c>
      <c r="AT734" s="6" t="s">
        <v>81</v>
      </c>
      <c r="AU734" s="6" t="s">
        <v>81</v>
      </c>
      <c r="AV734" s="6" t="s">
        <v>81</v>
      </c>
      <c r="AW734" s="6" t="s">
        <v>81</v>
      </c>
      <c r="AX734" s="6" t="s">
        <v>81</v>
      </c>
      <c r="AY734" s="6" t="s">
        <v>81</v>
      </c>
      <c r="AZ734" s="6" t="s">
        <v>81</v>
      </c>
      <c r="BA734" s="6" t="s">
        <v>81</v>
      </c>
      <c r="BB734" s="24" t="n">
        <v>56</v>
      </c>
      <c r="BC734" s="26"/>
      <c r="BD734" s="26"/>
      <c r="BE734" s="26"/>
      <c r="BF734" s="26"/>
      <c r="BG734" s="26"/>
      <c r="BH734" s="26"/>
      <c r="BI734" s="26"/>
      <c r="BJ734" s="26"/>
      <c r="BK734" s="26"/>
      <c r="BL734" s="26"/>
      <c r="BM734" s="26"/>
      <c r="BN734" s="26"/>
      <c r="BO734" s="26"/>
      <c r="BP734" s="16" t="n">
        <v>45738</v>
      </c>
      <c r="BQ734" s="28" t="str">
        <f>HYPERLINK("https://organic.ams.usda.gov/Integrity/Certificate.aspx?cid=52&amp;nopid=8431300427")</f>
        <v>https://organic.ams.usda.gov/Integrity/Certificate.aspx?cid=52&amp;nopid=8431300427</v>
      </c>
    </row>
    <row r="735">
      <c r="A735" t="s">
        <v>3</v>
      </c>
      <c r="B735" s="6" t="s">
        <v>7</v>
      </c>
      <c r="C735" s="6" t="s">
        <v>54</v>
      </c>
      <c r="D735" s="6" t="s">
        <v>100</v>
      </c>
      <c r="E735" s="10" t="s">
        <v>876</v>
      </c>
      <c r="F735" s="6" t="s">
        <v>3605</v>
      </c>
      <c r="G735" s="6" t="s">
        <v>81</v>
      </c>
      <c r="H735" s="6" t="s">
        <v>6561</v>
      </c>
      <c r="I735" s="6" t="s">
        <v>8830</v>
      </c>
      <c r="J735" s="6" t="s">
        <v>10050</v>
      </c>
      <c r="K735" s="6" t="s">
        <v>10886</v>
      </c>
      <c r="L735" s="16" t="n">
        <v>40361</v>
      </c>
      <c r="M735" s="16" t="n">
        <v>45716</v>
      </c>
      <c r="N735" s="6" t="s">
        <v>10886</v>
      </c>
      <c r="O735" s="16" t="n">
        <v>40361</v>
      </c>
      <c r="P735" s="6" t="s">
        <v>10910</v>
      </c>
      <c r="Q735" s="6" t="s">
        <v>81</v>
      </c>
      <c r="R735" s="6" t="s">
        <v>81</v>
      </c>
      <c r="S735" s="6" t="s">
        <v>10886</v>
      </c>
      <c r="T735" s="16" t="n">
        <v>40470</v>
      </c>
      <c r="U735" s="6" t="s">
        <v>13169</v>
      </c>
      <c r="V735" s="6" t="s">
        <v>81</v>
      </c>
      <c r="W735" s="6" t="s">
        <v>81</v>
      </c>
      <c r="X735" s="6" t="s">
        <v>81</v>
      </c>
      <c r="Y735" s="21" t="s">
        <v>81</v>
      </c>
      <c r="Z735" s="6" t="s">
        <v>81</v>
      </c>
      <c r="AA735" s="6" t="s">
        <v>81</v>
      </c>
      <c r="AB735" s="6" t="s">
        <v>81</v>
      </c>
      <c r="AC735" s="6" t="s">
        <v>81</v>
      </c>
      <c r="AD735" s="21" t="s">
        <v>81</v>
      </c>
      <c r="AE735" s="6" t="s">
        <v>81</v>
      </c>
      <c r="AF735" s="6" t="s">
        <v>81</v>
      </c>
      <c r="AG735" s="6" t="s">
        <v>81</v>
      </c>
      <c r="AH735" s="6" t="s">
        <v>15320</v>
      </c>
      <c r="AI735" s="6" t="s">
        <v>81</v>
      </c>
      <c r="AJ735" s="6" t="s">
        <v>17618</v>
      </c>
      <c r="AK735" s="6" t="s">
        <v>17712</v>
      </c>
      <c r="AL735" s="6" t="s">
        <v>18444</v>
      </c>
      <c r="AM735" s="6" t="s">
        <v>18786</v>
      </c>
      <c r="AN735" s="6" t="s">
        <v>19645</v>
      </c>
      <c r="AO735" s="6" t="s">
        <v>19770</v>
      </c>
      <c r="AP735" s="6" t="s">
        <v>15320</v>
      </c>
      <c r="AQ735" s="6" t="s">
        <v>81</v>
      </c>
      <c r="AR735" s="6" t="s">
        <v>17618</v>
      </c>
      <c r="AS735" s="6" t="s">
        <v>17712</v>
      </c>
      <c r="AT735" s="6" t="s">
        <v>18444</v>
      </c>
      <c r="AU735" s="6" t="s">
        <v>18786</v>
      </c>
      <c r="AV735" s="6" t="s">
        <v>81</v>
      </c>
      <c r="AW735" s="6" t="s">
        <v>81</v>
      </c>
      <c r="AX735" s="6" t="s">
        <v>21219</v>
      </c>
      <c r="AY735" s="6" t="s">
        <v>81</v>
      </c>
      <c r="AZ735" s="6" t="s">
        <v>81</v>
      </c>
      <c r="BA735" s="6" t="s">
        <v>81</v>
      </c>
      <c r="BB735" s="24" t="n">
        <v>92</v>
      </c>
      <c r="BC735" s="26"/>
      <c r="BD735" s="26"/>
      <c r="BE735" s="26"/>
      <c r="BF735" s="26"/>
      <c r="BG735" s="26"/>
      <c r="BH735" s="26"/>
      <c r="BI735" s="26"/>
      <c r="BJ735" s="26"/>
      <c r="BK735" s="26"/>
      <c r="BL735" s="26"/>
      <c r="BM735" s="26"/>
      <c r="BN735" s="26"/>
      <c r="BO735" s="26"/>
      <c r="BP735" s="16" t="n">
        <v>45595</v>
      </c>
      <c r="BQ735" s="28" t="str">
        <f>HYPERLINK("https://organic.ams.usda.gov/Integrity/Certificate.aspx?cid=57&amp;nopid=3252010047")</f>
        <v>https://organic.ams.usda.gov/Integrity/Certificate.aspx?cid=57&amp;nopid=3252010047</v>
      </c>
    </row>
    <row r="736">
      <c r="A736" t="s">
        <v>3</v>
      </c>
      <c r="B736" s="6" t="s">
        <v>18</v>
      </c>
      <c r="C736" s="6" t="s">
        <v>65</v>
      </c>
      <c r="D736" s="6" t="s">
        <v>111</v>
      </c>
      <c r="E736" s="10" t="s">
        <v>877</v>
      </c>
      <c r="F736" s="6" t="s">
        <v>3606</v>
      </c>
      <c r="G736" s="6" t="s">
        <v>81</v>
      </c>
      <c r="H736" s="6" t="s">
        <v>81</v>
      </c>
      <c r="I736" s="6" t="s">
        <v>8830</v>
      </c>
      <c r="J736" s="6" t="s">
        <v>9665</v>
      </c>
      <c r="K736" s="6" t="s">
        <v>10886</v>
      </c>
      <c r="L736" s="16" t="n">
        <v>45721</v>
      </c>
      <c r="M736" s="16" t="n">
        <v>46068</v>
      </c>
      <c r="N736" s="6" t="s">
        <v>10886</v>
      </c>
      <c r="O736" s="16" t="n">
        <v>45721</v>
      </c>
      <c r="P736" s="6" t="s">
        <v>10939</v>
      </c>
      <c r="Q736" s="6" t="s">
        <v>81</v>
      </c>
      <c r="R736" s="6" t="s">
        <v>81</v>
      </c>
      <c r="S736" s="6" t="s">
        <v>10886</v>
      </c>
      <c r="T736" s="16" t="n">
        <v>45721</v>
      </c>
      <c r="U736" s="6" t="s">
        <v>13441</v>
      </c>
      <c r="V736" s="6" t="s">
        <v>81</v>
      </c>
      <c r="W736" s="6" t="s">
        <v>81</v>
      </c>
      <c r="X736" s="6" t="s">
        <v>81</v>
      </c>
      <c r="Y736" s="21" t="s">
        <v>81</v>
      </c>
      <c r="Z736" s="6" t="s">
        <v>81</v>
      </c>
      <c r="AA736" s="6" t="s">
        <v>81</v>
      </c>
      <c r="AB736" s="6" t="s">
        <v>81</v>
      </c>
      <c r="AC736" s="6" t="s">
        <v>81</v>
      </c>
      <c r="AD736" s="21" t="s">
        <v>81</v>
      </c>
      <c r="AE736" s="6" t="s">
        <v>81</v>
      </c>
      <c r="AF736" s="6" t="s">
        <v>81</v>
      </c>
      <c r="AG736" s="6" t="s">
        <v>81</v>
      </c>
      <c r="AH736" s="6" t="s">
        <v>15321</v>
      </c>
      <c r="AI736" s="6" t="s">
        <v>81</v>
      </c>
      <c r="AJ736" s="6" t="s">
        <v>17739</v>
      </c>
      <c r="AK736" s="6" t="s">
        <v>17712</v>
      </c>
      <c r="AL736" s="6" t="s">
        <v>18444</v>
      </c>
      <c r="AM736" s="6" t="s">
        <v>18907</v>
      </c>
      <c r="AN736" s="6" t="s">
        <v>81</v>
      </c>
      <c r="AO736" s="6" t="s">
        <v>81</v>
      </c>
      <c r="AP736" s="6" t="s">
        <v>15321</v>
      </c>
      <c r="AQ736" s="6" t="s">
        <v>81</v>
      </c>
      <c r="AR736" s="6" t="s">
        <v>17739</v>
      </c>
      <c r="AS736" s="6" t="s">
        <v>17712</v>
      </c>
      <c r="AT736" s="6" t="s">
        <v>18444</v>
      </c>
      <c r="AU736" s="6" t="s">
        <v>18907</v>
      </c>
      <c r="AV736" s="6" t="s">
        <v>81</v>
      </c>
      <c r="AW736" s="6" t="s">
        <v>81</v>
      </c>
      <c r="AX736" s="6" t="s">
        <v>81</v>
      </c>
      <c r="AY736" s="6" t="s">
        <v>81</v>
      </c>
      <c r="AZ736" s="6" t="s">
        <v>81</v>
      </c>
      <c r="BA736" s="6" t="s">
        <v>81</v>
      </c>
      <c r="BB736" s="24" t="n">
        <v>190</v>
      </c>
      <c r="BC736" s="26"/>
      <c r="BD736" s="26"/>
      <c r="BE736" s="26"/>
      <c r="BF736" s="26" t="s">
        <v>23900</v>
      </c>
      <c r="BG736" s="26"/>
      <c r="BH736" s="26"/>
      <c r="BI736" s="26"/>
      <c r="BJ736" s="26"/>
      <c r="BK736" s="26"/>
      <c r="BL736" s="26"/>
      <c r="BM736" s="26"/>
      <c r="BN736" s="26"/>
      <c r="BO736" s="26"/>
      <c r="BP736" s="16" t="n">
        <v>45721</v>
      </c>
      <c r="BQ736" s="28" t="str">
        <f>HYPERLINK("https://organic.ams.usda.gov/Integrity/Certificate.aspx?cid=8&amp;nopid=2202500200")</f>
        <v>https://organic.ams.usda.gov/Integrity/Certificate.aspx?cid=8&amp;nopid=2202500200</v>
      </c>
    </row>
    <row r="737">
      <c r="A737" t="s">
        <v>3</v>
      </c>
      <c r="B737" s="6" t="s">
        <v>7</v>
      </c>
      <c r="C737" s="6" t="s">
        <v>54</v>
      </c>
      <c r="D737" s="6" t="s">
        <v>100</v>
      </c>
      <c r="E737" s="10" t="s">
        <v>878</v>
      </c>
      <c r="F737" s="6" t="s">
        <v>3607</v>
      </c>
      <c r="G737" s="6" t="s">
        <v>81</v>
      </c>
      <c r="H737" s="6" t="s">
        <v>6562</v>
      </c>
      <c r="I737" s="6" t="s">
        <v>8830</v>
      </c>
      <c r="J737" s="6" t="s">
        <v>9726</v>
      </c>
      <c r="K737" s="6" t="s">
        <v>10886</v>
      </c>
      <c r="L737" s="16" t="n">
        <v>42303</v>
      </c>
      <c r="M737" s="16" t="n">
        <v>45716</v>
      </c>
      <c r="N737" s="6" t="s">
        <v>10886</v>
      </c>
      <c r="O737" s="16" t="n">
        <v>42303</v>
      </c>
      <c r="P737" s="6" t="s">
        <v>10944</v>
      </c>
      <c r="Q737" s="6" t="s">
        <v>81</v>
      </c>
      <c r="R737" s="6" t="s">
        <v>81</v>
      </c>
      <c r="S737" s="6" t="s">
        <v>10886</v>
      </c>
      <c r="T737" s="16" t="n">
        <v>42361</v>
      </c>
      <c r="U737" s="6" t="s">
        <v>13160</v>
      </c>
      <c r="V737" s="6" t="s">
        <v>81</v>
      </c>
      <c r="W737" s="6" t="s">
        <v>81</v>
      </c>
      <c r="X737" s="6" t="s">
        <v>81</v>
      </c>
      <c r="Y737" s="21" t="s">
        <v>81</v>
      </c>
      <c r="Z737" s="6" t="s">
        <v>81</v>
      </c>
      <c r="AA737" s="6" t="s">
        <v>81</v>
      </c>
      <c r="AB737" s="6" t="s">
        <v>81</v>
      </c>
      <c r="AC737" s="6" t="s">
        <v>81</v>
      </c>
      <c r="AD737" s="21" t="s">
        <v>81</v>
      </c>
      <c r="AE737" s="6" t="s">
        <v>81</v>
      </c>
      <c r="AF737" s="6" t="s">
        <v>81</v>
      </c>
      <c r="AG737" s="6" t="s">
        <v>81</v>
      </c>
      <c r="AH737" s="6" t="s">
        <v>15322</v>
      </c>
      <c r="AI737" s="6" t="s">
        <v>81</v>
      </c>
      <c r="AJ737" s="6" t="s">
        <v>17740</v>
      </c>
      <c r="AK737" s="6" t="s">
        <v>17712</v>
      </c>
      <c r="AL737" s="6" t="s">
        <v>18444</v>
      </c>
      <c r="AM737" s="6" t="s">
        <v>7222</v>
      </c>
      <c r="AN737" s="6" t="s">
        <v>19670</v>
      </c>
      <c r="AO737" s="6" t="s">
        <v>19782</v>
      </c>
      <c r="AP737" s="6" t="s">
        <v>15322</v>
      </c>
      <c r="AQ737" s="6" t="s">
        <v>81</v>
      </c>
      <c r="AR737" s="6" t="s">
        <v>18263</v>
      </c>
      <c r="AS737" s="6" t="s">
        <v>17712</v>
      </c>
      <c r="AT737" s="6" t="s">
        <v>18444</v>
      </c>
      <c r="AU737" s="6" t="s">
        <v>7222</v>
      </c>
      <c r="AV737" s="6" t="s">
        <v>81</v>
      </c>
      <c r="AW737" s="6" t="s">
        <v>81</v>
      </c>
      <c r="AX737" s="6" t="s">
        <v>81</v>
      </c>
      <c r="AY737" s="6" t="s">
        <v>81</v>
      </c>
      <c r="AZ737" s="6" t="s">
        <v>81</v>
      </c>
      <c r="BA737" s="6" t="s">
        <v>81</v>
      </c>
      <c r="BB737" s="24" t="n">
        <v>148</v>
      </c>
      <c r="BC737" s="26"/>
      <c r="BD737" s="26"/>
      <c r="BE737" s="26"/>
      <c r="BF737" s="26" t="s">
        <v>23900</v>
      </c>
      <c r="BG737" s="26"/>
      <c r="BH737" s="26"/>
      <c r="BI737" s="26"/>
      <c r="BJ737" s="26"/>
      <c r="BK737" s="26"/>
      <c r="BL737" s="26"/>
      <c r="BM737" s="26"/>
      <c r="BN737" s="26"/>
      <c r="BO737" s="26"/>
      <c r="BP737" s="16" t="n">
        <v>45693</v>
      </c>
      <c r="BQ737" s="28" t="str">
        <f>HYPERLINK("https://organic.ams.usda.gov/Integrity/Certificate.aspx?cid=57&amp;nopid=3252015117")</f>
        <v>https://organic.ams.usda.gov/Integrity/Certificate.aspx?cid=57&amp;nopid=3252015117</v>
      </c>
    </row>
    <row r="738">
      <c r="A738" t="s">
        <v>3</v>
      </c>
      <c r="B738" s="6" t="s">
        <v>7</v>
      </c>
      <c r="C738" s="6" t="s">
        <v>54</v>
      </c>
      <c r="D738" s="6" t="s">
        <v>100</v>
      </c>
      <c r="E738" s="10" t="s">
        <v>879</v>
      </c>
      <c r="F738" s="6" t="s">
        <v>3608</v>
      </c>
      <c r="G738" s="6" t="s">
        <v>81</v>
      </c>
      <c r="H738" s="6" t="s">
        <v>6563</v>
      </c>
      <c r="I738" s="6" t="s">
        <v>8830</v>
      </c>
      <c r="J738" s="6" t="s">
        <v>9669</v>
      </c>
      <c r="K738" s="6" t="s">
        <v>10886</v>
      </c>
      <c r="L738" s="16" t="n">
        <v>41908</v>
      </c>
      <c r="M738" s="16" t="n">
        <v>45716</v>
      </c>
      <c r="N738" s="6" t="s">
        <v>10886</v>
      </c>
      <c r="O738" s="16" t="n">
        <v>41908</v>
      </c>
      <c r="P738" s="6" t="s">
        <v>11346</v>
      </c>
      <c r="Q738" s="6" t="s">
        <v>81</v>
      </c>
      <c r="R738" s="6" t="s">
        <v>81</v>
      </c>
      <c r="S738" s="6" t="s">
        <v>10886</v>
      </c>
      <c r="T738" s="16" t="n">
        <v>42139</v>
      </c>
      <c r="U738" s="6" t="s">
        <v>13169</v>
      </c>
      <c r="V738" s="6" t="s">
        <v>81</v>
      </c>
      <c r="W738" s="6" t="s">
        <v>81</v>
      </c>
      <c r="X738" s="6" t="s">
        <v>81</v>
      </c>
      <c r="Y738" s="21" t="s">
        <v>81</v>
      </c>
      <c r="Z738" s="6" t="s">
        <v>81</v>
      </c>
      <c r="AA738" s="6" t="s">
        <v>81</v>
      </c>
      <c r="AB738" s="6" t="s">
        <v>81</v>
      </c>
      <c r="AC738" s="6" t="s">
        <v>81</v>
      </c>
      <c r="AD738" s="21" t="s">
        <v>81</v>
      </c>
      <c r="AE738" s="6" t="s">
        <v>81</v>
      </c>
      <c r="AF738" s="6" t="s">
        <v>81</v>
      </c>
      <c r="AG738" s="6" t="s">
        <v>81</v>
      </c>
      <c r="AH738" s="6" t="s">
        <v>15323</v>
      </c>
      <c r="AI738" s="6" t="s">
        <v>81</v>
      </c>
      <c r="AJ738" s="6" t="s">
        <v>17431</v>
      </c>
      <c r="AK738" s="6" t="s">
        <v>17712</v>
      </c>
      <c r="AL738" s="6" t="s">
        <v>18444</v>
      </c>
      <c r="AM738" s="6" t="s">
        <v>18588</v>
      </c>
      <c r="AN738" s="6" t="s">
        <v>19646</v>
      </c>
      <c r="AO738" s="6" t="s">
        <v>19729</v>
      </c>
      <c r="AP738" s="6" t="s">
        <v>15323</v>
      </c>
      <c r="AQ738" s="6" t="s">
        <v>81</v>
      </c>
      <c r="AR738" s="6" t="s">
        <v>17431</v>
      </c>
      <c r="AS738" s="6" t="s">
        <v>17712</v>
      </c>
      <c r="AT738" s="6" t="s">
        <v>18444</v>
      </c>
      <c r="AU738" s="6" t="s">
        <v>18588</v>
      </c>
      <c r="AV738" s="6" t="s">
        <v>81</v>
      </c>
      <c r="AW738" s="6" t="s">
        <v>81</v>
      </c>
      <c r="AX738" s="6" t="s">
        <v>81</v>
      </c>
      <c r="AY738" s="6" t="s">
        <v>81</v>
      </c>
      <c r="AZ738" s="6" t="s">
        <v>81</v>
      </c>
      <c r="BA738" s="6" t="s">
        <v>81</v>
      </c>
      <c r="BB738" s="24" t="n">
        <v>318</v>
      </c>
      <c r="BC738" s="26"/>
      <c r="BD738" s="26"/>
      <c r="BE738" s="26"/>
      <c r="BF738" s="26" t="s">
        <v>23900</v>
      </c>
      <c r="BG738" s="26"/>
      <c r="BH738" s="26"/>
      <c r="BI738" s="26"/>
      <c r="BJ738" s="26"/>
      <c r="BK738" s="26"/>
      <c r="BL738" s="26"/>
      <c r="BM738" s="26"/>
      <c r="BN738" s="26"/>
      <c r="BO738" s="26"/>
      <c r="BP738" s="16" t="n">
        <v>45700</v>
      </c>
      <c r="BQ738" s="28" t="str">
        <f>HYPERLINK("https://organic.ams.usda.gov/Integrity/Certificate.aspx?cid=57&amp;nopid=3252014053")</f>
        <v>https://organic.ams.usda.gov/Integrity/Certificate.aspx?cid=57&amp;nopid=3252014053</v>
      </c>
    </row>
    <row r="739">
      <c r="A739" t="s">
        <v>3</v>
      </c>
      <c r="B739" s="6" t="s">
        <v>11</v>
      </c>
      <c r="C739" s="6" t="s">
        <v>58</v>
      </c>
      <c r="D739" s="6" t="s">
        <v>104</v>
      </c>
      <c r="E739" s="10" t="s">
        <v>880</v>
      </c>
      <c r="F739" s="6" t="s">
        <v>3609</v>
      </c>
      <c r="G739" s="6" t="s">
        <v>5662</v>
      </c>
      <c r="H739" s="6" t="s">
        <v>81</v>
      </c>
      <c r="I739" s="6" t="s">
        <v>8831</v>
      </c>
      <c r="J739" s="6" t="s">
        <v>9743</v>
      </c>
      <c r="K739" s="6" t="s">
        <v>10886</v>
      </c>
      <c r="L739" s="16" t="n">
        <v>42605</v>
      </c>
      <c r="M739" s="16" t="n">
        <v>45748</v>
      </c>
      <c r="N739" s="6" t="s">
        <v>10886</v>
      </c>
      <c r="O739" s="16" t="n">
        <v>42605</v>
      </c>
      <c r="P739" s="6" t="s">
        <v>11347</v>
      </c>
      <c r="Q739" s="6" t="s">
        <v>81</v>
      </c>
      <c r="R739" s="6" t="s">
        <v>81</v>
      </c>
      <c r="S739" s="6" t="s">
        <v>10886</v>
      </c>
      <c r="T739" s="16" t="n">
        <v>42886</v>
      </c>
      <c r="U739" s="6" t="s">
        <v>13442</v>
      </c>
      <c r="V739" s="6" t="s">
        <v>81</v>
      </c>
      <c r="W739" s="6" t="s">
        <v>81</v>
      </c>
      <c r="X739" s="6" t="s">
        <v>81</v>
      </c>
      <c r="Y739" s="21" t="s">
        <v>81</v>
      </c>
      <c r="Z739" s="6" t="s">
        <v>81</v>
      </c>
      <c r="AA739" s="6" t="s">
        <v>81</v>
      </c>
      <c r="AB739" s="6" t="s">
        <v>81</v>
      </c>
      <c r="AC739" s="6" t="s">
        <v>81</v>
      </c>
      <c r="AD739" s="21" t="s">
        <v>81</v>
      </c>
      <c r="AE739" s="6" t="s">
        <v>81</v>
      </c>
      <c r="AF739" s="6" t="s">
        <v>81</v>
      </c>
      <c r="AG739" s="6" t="s">
        <v>81</v>
      </c>
      <c r="AH739" s="6" t="s">
        <v>15324</v>
      </c>
      <c r="AI739" s="6" t="s">
        <v>81</v>
      </c>
      <c r="AJ739" s="6" t="s">
        <v>17316</v>
      </c>
      <c r="AK739" s="6" t="s">
        <v>18377</v>
      </c>
      <c r="AL739" s="6" t="s">
        <v>18444</v>
      </c>
      <c r="AM739" s="6" t="s">
        <v>18468</v>
      </c>
      <c r="AN739" s="6" t="s">
        <v>19638</v>
      </c>
      <c r="AO739" s="6" t="s">
        <v>19724</v>
      </c>
      <c r="AP739" s="6" t="s">
        <v>15324</v>
      </c>
      <c r="AQ739" s="6" t="s">
        <v>81</v>
      </c>
      <c r="AR739" s="6" t="s">
        <v>17316</v>
      </c>
      <c r="AS739" s="6" t="s">
        <v>18377</v>
      </c>
      <c r="AT739" s="6" t="s">
        <v>18444</v>
      </c>
      <c r="AU739" s="6" t="s">
        <v>18468</v>
      </c>
      <c r="AV739" s="6" t="s">
        <v>81</v>
      </c>
      <c r="AW739" s="6" t="s">
        <v>81</v>
      </c>
      <c r="AX739" s="6" t="s">
        <v>81</v>
      </c>
      <c r="AY739" s="6" t="s">
        <v>81</v>
      </c>
      <c r="AZ739" s="6" t="s">
        <v>81</v>
      </c>
      <c r="BA739" s="6" t="s">
        <v>81</v>
      </c>
      <c r="BB739" s="24" t="n">
        <v>48</v>
      </c>
      <c r="BC739" s="26"/>
      <c r="BD739" s="26"/>
      <c r="BE739" s="26"/>
      <c r="BF739" s="26"/>
      <c r="BG739" s="26"/>
      <c r="BH739" s="26"/>
      <c r="BI739" s="26"/>
      <c r="BJ739" s="26"/>
      <c r="BK739" s="26"/>
      <c r="BL739" s="26"/>
      <c r="BM739" s="26"/>
      <c r="BN739" s="26"/>
      <c r="BO739" s="26"/>
      <c r="BP739" s="16" t="n">
        <v>45679</v>
      </c>
      <c r="BQ739" s="28" t="str">
        <f>HYPERLINK("https://organic.ams.usda.gov/Integrity/Certificate.aspx?cid=46&amp;nopid=3671600033")</f>
        <v>https://organic.ams.usda.gov/Integrity/Certificate.aspx?cid=46&amp;nopid=3671600033</v>
      </c>
    </row>
    <row r="740">
      <c r="A740" t="s">
        <v>3</v>
      </c>
      <c r="B740" s="6" t="s">
        <v>12</v>
      </c>
      <c r="C740" s="6" t="s">
        <v>59</v>
      </c>
      <c r="D740" s="6" t="s">
        <v>105</v>
      </c>
      <c r="E740" s="10" t="s">
        <v>881</v>
      </c>
      <c r="F740" s="6" t="s">
        <v>3610</v>
      </c>
      <c r="G740" s="6" t="s">
        <v>81</v>
      </c>
      <c r="H740" s="6" t="s">
        <v>6564</v>
      </c>
      <c r="I740" s="6" t="s">
        <v>8830</v>
      </c>
      <c r="J740" s="6" t="s">
        <v>10051</v>
      </c>
      <c r="K740" s="6" t="s">
        <v>10886</v>
      </c>
      <c r="L740" s="16" t="n">
        <v>40132</v>
      </c>
      <c r="M740" s="16" t="n">
        <v>45717</v>
      </c>
      <c r="N740" s="6" t="s">
        <v>10886</v>
      </c>
      <c r="O740" s="16" t="n">
        <v>40132</v>
      </c>
      <c r="P740" s="6" t="s">
        <v>11348</v>
      </c>
      <c r="Q740" s="6" t="s">
        <v>81</v>
      </c>
      <c r="R740" s="6" t="s">
        <v>81</v>
      </c>
      <c r="S740" s="6" t="s">
        <v>10886</v>
      </c>
      <c r="T740" s="16" t="n">
        <v>40132</v>
      </c>
      <c r="U740" s="6" t="s">
        <v>13166</v>
      </c>
      <c r="V740" s="6" t="s">
        <v>81</v>
      </c>
      <c r="W740" s="6" t="s">
        <v>81</v>
      </c>
      <c r="X740" s="6" t="s">
        <v>81</v>
      </c>
      <c r="Y740" s="21" t="s">
        <v>81</v>
      </c>
      <c r="Z740" s="6" t="s">
        <v>81</v>
      </c>
      <c r="AA740" s="6" t="s">
        <v>81</v>
      </c>
      <c r="AB740" s="6" t="s">
        <v>81</v>
      </c>
      <c r="AC740" s="6" t="s">
        <v>81</v>
      </c>
      <c r="AD740" s="21" t="s">
        <v>81</v>
      </c>
      <c r="AE740" s="6" t="s">
        <v>81</v>
      </c>
      <c r="AF740" s="6" t="s">
        <v>81</v>
      </c>
      <c r="AG740" s="6" t="s">
        <v>81</v>
      </c>
      <c r="AH740" s="6" t="s">
        <v>15325</v>
      </c>
      <c r="AI740" s="6" t="s">
        <v>81</v>
      </c>
      <c r="AJ740" s="6" t="s">
        <v>17741</v>
      </c>
      <c r="AK740" s="6" t="s">
        <v>18380</v>
      </c>
      <c r="AL740" s="6" t="s">
        <v>18444</v>
      </c>
      <c r="AM740" s="6" t="s">
        <v>18908</v>
      </c>
      <c r="AN740" s="6" t="s">
        <v>19681</v>
      </c>
      <c r="AO740" s="6" t="s">
        <v>19805</v>
      </c>
      <c r="AP740" s="6" t="s">
        <v>15325</v>
      </c>
      <c r="AQ740" s="6" t="s">
        <v>81</v>
      </c>
      <c r="AR740" s="6" t="s">
        <v>17741</v>
      </c>
      <c r="AS740" s="6" t="s">
        <v>18380</v>
      </c>
      <c r="AT740" s="6" t="s">
        <v>18444</v>
      </c>
      <c r="AU740" s="6" t="s">
        <v>18908</v>
      </c>
      <c r="AV740" s="6" t="s">
        <v>81</v>
      </c>
      <c r="AW740" s="6" t="s">
        <v>81</v>
      </c>
      <c r="AX740" s="6" t="s">
        <v>21220</v>
      </c>
      <c r="AY740" s="6" t="s">
        <v>81</v>
      </c>
      <c r="AZ740" s="6" t="s">
        <v>81</v>
      </c>
      <c r="BA740" s="6" t="s">
        <v>81</v>
      </c>
      <c r="BB740" s="24" t="n">
        <v>95</v>
      </c>
      <c r="BC740" s="26"/>
      <c r="BD740" s="26"/>
      <c r="BE740" s="26"/>
      <c r="BF740" s="26"/>
      <c r="BG740" s="26"/>
      <c r="BH740" s="26"/>
      <c r="BI740" s="26"/>
      <c r="BJ740" s="26"/>
      <c r="BK740" s="26"/>
      <c r="BL740" s="26"/>
      <c r="BM740" s="26"/>
      <c r="BN740" s="26"/>
      <c r="BO740" s="26"/>
      <c r="BP740" s="16" t="n">
        <v>45684</v>
      </c>
      <c r="BQ740" s="28" t="str">
        <f>HYPERLINK("https://organic.ams.usda.gov/Integrity/Certificate.aspx?cid=68&amp;nopid=8210002717")</f>
        <v>https://organic.ams.usda.gov/Integrity/Certificate.aspx?cid=68&amp;nopid=8210002717</v>
      </c>
    </row>
    <row r="741">
      <c r="A741" t="s">
        <v>3</v>
      </c>
      <c r="B741" s="6" t="s">
        <v>8</v>
      </c>
      <c r="C741" s="6" t="s">
        <v>55</v>
      </c>
      <c r="D741" s="6" t="s">
        <v>101</v>
      </c>
      <c r="E741" s="10" t="s">
        <v>882</v>
      </c>
      <c r="F741" s="6" t="s">
        <v>3611</v>
      </c>
      <c r="G741" s="6" t="s">
        <v>81</v>
      </c>
      <c r="H741" s="6" t="s">
        <v>6565</v>
      </c>
      <c r="I741" s="6" t="s">
        <v>8830</v>
      </c>
      <c r="J741" s="6" t="s">
        <v>9741</v>
      </c>
      <c r="K741" s="6" t="s">
        <v>10886</v>
      </c>
      <c r="L741" s="16" t="n">
        <v>45475</v>
      </c>
      <c r="M741" s="16" t="n">
        <v>45383</v>
      </c>
      <c r="N741" s="6" t="s">
        <v>10886</v>
      </c>
      <c r="O741" s="16" t="n">
        <v>45475</v>
      </c>
      <c r="P741" s="6" t="s">
        <v>10922</v>
      </c>
      <c r="Q741" s="6" t="s">
        <v>81</v>
      </c>
      <c r="R741" s="6" t="s">
        <v>6565</v>
      </c>
      <c r="S741" s="6" t="s">
        <v>10886</v>
      </c>
      <c r="T741" s="16" t="n">
        <v>45475</v>
      </c>
      <c r="U741" s="6" t="s">
        <v>13242</v>
      </c>
      <c r="V741" s="6" t="s">
        <v>81</v>
      </c>
      <c r="W741" s="6" t="s">
        <v>6565</v>
      </c>
      <c r="X741" s="6" t="s">
        <v>81</v>
      </c>
      <c r="Y741" s="21" t="s">
        <v>81</v>
      </c>
      <c r="Z741" s="6" t="s">
        <v>81</v>
      </c>
      <c r="AA741" s="6" t="s">
        <v>81</v>
      </c>
      <c r="AB741" s="6" t="s">
        <v>81</v>
      </c>
      <c r="AC741" s="6" t="s">
        <v>81</v>
      </c>
      <c r="AD741" s="21" t="s">
        <v>81</v>
      </c>
      <c r="AE741" s="6" t="s">
        <v>81</v>
      </c>
      <c r="AF741" s="6" t="s">
        <v>81</v>
      </c>
      <c r="AG741" s="6" t="s">
        <v>81</v>
      </c>
      <c r="AH741" s="6" t="s">
        <v>15326</v>
      </c>
      <c r="AI741" s="6" t="s">
        <v>81</v>
      </c>
      <c r="AJ741" s="6" t="s">
        <v>17738</v>
      </c>
      <c r="AK741" s="6" t="s">
        <v>18380</v>
      </c>
      <c r="AL741" s="6" t="s">
        <v>18444</v>
      </c>
      <c r="AM741" s="6" t="s">
        <v>18906</v>
      </c>
      <c r="AN741" s="6" t="s">
        <v>81</v>
      </c>
      <c r="AO741" s="6" t="s">
        <v>81</v>
      </c>
      <c r="AP741" s="6" t="s">
        <v>81</v>
      </c>
      <c r="AQ741" s="6" t="s">
        <v>81</v>
      </c>
      <c r="AR741" s="6" t="s">
        <v>81</v>
      </c>
      <c r="AS741" s="6" t="s">
        <v>81</v>
      </c>
      <c r="AT741" s="6" t="s">
        <v>81</v>
      </c>
      <c r="AU741" s="6" t="s">
        <v>81</v>
      </c>
      <c r="AV741" s="6" t="s">
        <v>81</v>
      </c>
      <c r="AW741" s="6" t="s">
        <v>81</v>
      </c>
      <c r="AX741" s="6" t="s">
        <v>81</v>
      </c>
      <c r="AY741" s="6" t="s">
        <v>81</v>
      </c>
      <c r="AZ741" s="6" t="s">
        <v>81</v>
      </c>
      <c r="BA741" s="6" t="s">
        <v>23819</v>
      </c>
      <c r="BB741" s="24" t="n">
        <v>62</v>
      </c>
      <c r="BC741" s="26"/>
      <c r="BD741" s="26"/>
      <c r="BE741" s="26"/>
      <c r="BF741" s="26" t="s">
        <v>23900</v>
      </c>
      <c r="BG741" s="26"/>
      <c r="BH741" s="26"/>
      <c r="BI741" s="26"/>
      <c r="BJ741" s="26"/>
      <c r="BK741" s="26"/>
      <c r="BL741" s="26"/>
      <c r="BM741" s="26"/>
      <c r="BN741" s="26"/>
      <c r="BO741" s="26"/>
      <c r="BP741" s="16" t="n">
        <v>45475</v>
      </c>
      <c r="BQ741" s="28" t="str">
        <f>HYPERLINK("https://organic.ams.usda.gov/Integrity/Certificate.aspx?cid=45&amp;nopid=9950014089")</f>
        <v>https://organic.ams.usda.gov/Integrity/Certificate.aspx?cid=45&amp;nopid=9950014089</v>
      </c>
    </row>
    <row r="742">
      <c r="A742" t="s">
        <v>3</v>
      </c>
      <c r="B742" s="6" t="s">
        <v>11</v>
      </c>
      <c r="C742" s="6" t="s">
        <v>58</v>
      </c>
      <c r="D742" s="6" t="s">
        <v>104</v>
      </c>
      <c r="E742" s="10" t="s">
        <v>883</v>
      </c>
      <c r="F742" s="6" t="s">
        <v>3612</v>
      </c>
      <c r="G742" s="6" t="s">
        <v>5663</v>
      </c>
      <c r="H742" s="6" t="s">
        <v>81</v>
      </c>
      <c r="I742" s="6" t="s">
        <v>8832</v>
      </c>
      <c r="J742" s="6" t="s">
        <v>9666</v>
      </c>
      <c r="K742" s="6" t="s">
        <v>10886</v>
      </c>
      <c r="L742" s="16" t="n">
        <v>43378</v>
      </c>
      <c r="M742" s="16" t="n">
        <v>45383</v>
      </c>
      <c r="N742" s="6" t="s">
        <v>10886</v>
      </c>
      <c r="O742" s="16" t="n">
        <v>43378</v>
      </c>
      <c r="P742" s="6" t="s">
        <v>11349</v>
      </c>
      <c r="Q742" s="6" t="s">
        <v>81</v>
      </c>
      <c r="R742" s="6" t="s">
        <v>81</v>
      </c>
      <c r="S742" s="6" t="s">
        <v>10886</v>
      </c>
      <c r="T742" s="16" t="n">
        <v>43466</v>
      </c>
      <c r="U742" s="6" t="s">
        <v>13443</v>
      </c>
      <c r="V742" s="6" t="s">
        <v>81</v>
      </c>
      <c r="W742" s="6" t="s">
        <v>81</v>
      </c>
      <c r="X742" s="6" t="s">
        <v>81</v>
      </c>
      <c r="Y742" s="21" t="s">
        <v>81</v>
      </c>
      <c r="Z742" s="6" t="s">
        <v>81</v>
      </c>
      <c r="AA742" s="6" t="s">
        <v>81</v>
      </c>
      <c r="AB742" s="6" t="s">
        <v>81</v>
      </c>
      <c r="AC742" s="6" t="s">
        <v>81</v>
      </c>
      <c r="AD742" s="21" t="s">
        <v>81</v>
      </c>
      <c r="AE742" s="6" t="s">
        <v>81</v>
      </c>
      <c r="AF742" s="6" t="s">
        <v>81</v>
      </c>
      <c r="AG742" s="6" t="s">
        <v>81</v>
      </c>
      <c r="AH742" s="6" t="s">
        <v>15327</v>
      </c>
      <c r="AI742" s="6" t="s">
        <v>81</v>
      </c>
      <c r="AJ742" s="6" t="s">
        <v>9032</v>
      </c>
      <c r="AK742" s="6" t="s">
        <v>18377</v>
      </c>
      <c r="AL742" s="6" t="s">
        <v>18444</v>
      </c>
      <c r="AM742" s="6" t="s">
        <v>18909</v>
      </c>
      <c r="AN742" s="6" t="s">
        <v>19652</v>
      </c>
      <c r="AO742" s="6" t="s">
        <v>19772</v>
      </c>
      <c r="AP742" s="6" t="s">
        <v>15327</v>
      </c>
      <c r="AQ742" s="6" t="s">
        <v>81</v>
      </c>
      <c r="AR742" s="6" t="s">
        <v>9032</v>
      </c>
      <c r="AS742" s="6" t="s">
        <v>18377</v>
      </c>
      <c r="AT742" s="6" t="s">
        <v>18444</v>
      </c>
      <c r="AU742" s="6" t="s">
        <v>18909</v>
      </c>
      <c r="AV742" s="6" t="s">
        <v>81</v>
      </c>
      <c r="AW742" s="6" t="s">
        <v>81</v>
      </c>
      <c r="AX742" s="6" t="s">
        <v>81</v>
      </c>
      <c r="AY742" s="6" t="s">
        <v>81</v>
      </c>
      <c r="AZ742" s="6" t="s">
        <v>81</v>
      </c>
      <c r="BA742" s="6" t="s">
        <v>81</v>
      </c>
      <c r="BB742" s="24" t="n">
        <v>74</v>
      </c>
      <c r="BC742" s="26"/>
      <c r="BD742" s="26"/>
      <c r="BE742" s="26"/>
      <c r="BF742" s="26"/>
      <c r="BG742" s="26"/>
      <c r="BH742" s="26"/>
      <c r="BI742" s="26"/>
      <c r="BJ742" s="26"/>
      <c r="BK742" s="26"/>
      <c r="BL742" s="26"/>
      <c r="BM742" s="26"/>
      <c r="BN742" s="26"/>
      <c r="BO742" s="26"/>
      <c r="BP742" s="16" t="n">
        <v>45447</v>
      </c>
      <c r="BQ742" s="28" t="str">
        <f>HYPERLINK("https://organic.ams.usda.gov/Integrity/Certificate.aspx?cid=46&amp;nopid=3671800087")</f>
        <v>https://organic.ams.usda.gov/Integrity/Certificate.aspx?cid=46&amp;nopid=3671800087</v>
      </c>
    </row>
    <row r="743">
      <c r="A743" t="s">
        <v>3</v>
      </c>
      <c r="B743" s="6" t="s">
        <v>7</v>
      </c>
      <c r="C743" s="6" t="s">
        <v>54</v>
      </c>
      <c r="D743" s="6" t="s">
        <v>100</v>
      </c>
      <c r="E743" s="10" t="s">
        <v>884</v>
      </c>
      <c r="F743" s="6" t="s">
        <v>3613</v>
      </c>
      <c r="G743" s="6" t="s">
        <v>81</v>
      </c>
      <c r="H743" s="6" t="s">
        <v>6566</v>
      </c>
      <c r="I743" s="6" t="s">
        <v>8830</v>
      </c>
      <c r="J743" s="6" t="s">
        <v>9669</v>
      </c>
      <c r="K743" s="6" t="s">
        <v>10886</v>
      </c>
      <c r="L743" s="16" t="n">
        <v>45524</v>
      </c>
      <c r="M743" s="16" t="n">
        <v>45716</v>
      </c>
      <c r="N743" s="6" t="s">
        <v>10886</v>
      </c>
      <c r="O743" s="16" t="n">
        <v>45524</v>
      </c>
      <c r="P743" s="6" t="s">
        <v>11017</v>
      </c>
      <c r="Q743" s="6" t="s">
        <v>81</v>
      </c>
      <c r="R743" s="6" t="s">
        <v>81</v>
      </c>
      <c r="S743" s="6" t="s">
        <v>10886</v>
      </c>
      <c r="T743" s="16" t="n">
        <v>45531</v>
      </c>
      <c r="U743" s="6" t="s">
        <v>13169</v>
      </c>
      <c r="V743" s="6" t="s">
        <v>81</v>
      </c>
      <c r="W743" s="6" t="s">
        <v>81</v>
      </c>
      <c r="X743" s="6" t="s">
        <v>81</v>
      </c>
      <c r="Y743" s="21" t="s">
        <v>81</v>
      </c>
      <c r="Z743" s="6" t="s">
        <v>81</v>
      </c>
      <c r="AA743" s="6" t="s">
        <v>81</v>
      </c>
      <c r="AB743" s="6" t="s">
        <v>81</v>
      </c>
      <c r="AC743" s="6" t="s">
        <v>81</v>
      </c>
      <c r="AD743" s="21" t="s">
        <v>81</v>
      </c>
      <c r="AE743" s="6" t="s">
        <v>81</v>
      </c>
      <c r="AF743" s="6" t="s">
        <v>81</v>
      </c>
      <c r="AG743" s="6" t="s">
        <v>81</v>
      </c>
      <c r="AH743" s="6" t="s">
        <v>15328</v>
      </c>
      <c r="AI743" s="6" t="s">
        <v>81</v>
      </c>
      <c r="AJ743" s="6" t="s">
        <v>17482</v>
      </c>
      <c r="AK743" s="6" t="s">
        <v>17712</v>
      </c>
      <c r="AL743" s="6" t="s">
        <v>18444</v>
      </c>
      <c r="AM743" s="6" t="s">
        <v>18590</v>
      </c>
      <c r="AN743" s="6" t="s">
        <v>81</v>
      </c>
      <c r="AO743" s="6" t="s">
        <v>81</v>
      </c>
      <c r="AP743" s="6" t="s">
        <v>15328</v>
      </c>
      <c r="AQ743" s="6" t="s">
        <v>81</v>
      </c>
      <c r="AR743" s="6" t="s">
        <v>17482</v>
      </c>
      <c r="AS743" s="6" t="s">
        <v>17712</v>
      </c>
      <c r="AT743" s="6" t="s">
        <v>18444</v>
      </c>
      <c r="AU743" s="6" t="s">
        <v>18590</v>
      </c>
      <c r="AV743" s="6" t="s">
        <v>81</v>
      </c>
      <c r="AW743" s="6" t="s">
        <v>81</v>
      </c>
      <c r="AX743" s="6" t="s">
        <v>81</v>
      </c>
      <c r="AY743" s="6" t="s">
        <v>81</v>
      </c>
      <c r="AZ743" s="6" t="s">
        <v>81</v>
      </c>
      <c r="BA743" s="6" t="s">
        <v>81</v>
      </c>
      <c r="BB743" s="24" t="n">
        <v>104</v>
      </c>
      <c r="BC743" s="26"/>
      <c r="BD743" s="26"/>
      <c r="BE743" s="26"/>
      <c r="BF743" s="26" t="s">
        <v>23900</v>
      </c>
      <c r="BG743" s="26"/>
      <c r="BH743" s="26"/>
      <c r="BI743" s="26"/>
      <c r="BJ743" s="26"/>
      <c r="BK743" s="26"/>
      <c r="BL743" s="26"/>
      <c r="BM743" s="26"/>
      <c r="BN743" s="26"/>
      <c r="BO743" s="26"/>
      <c r="BP743" s="16" t="n">
        <v>45595</v>
      </c>
      <c r="BQ743" s="28" t="str">
        <f>HYPERLINK("https://organic.ams.usda.gov/Integrity/Certificate.aspx?cid=57&amp;nopid=3252024044")</f>
        <v>https://organic.ams.usda.gov/Integrity/Certificate.aspx?cid=57&amp;nopid=3252024044</v>
      </c>
    </row>
    <row r="744">
      <c r="A744" t="s">
        <v>3</v>
      </c>
      <c r="B744" s="6" t="s">
        <v>15</v>
      </c>
      <c r="C744" s="6" t="s">
        <v>62</v>
      </c>
      <c r="D744" s="6" t="s">
        <v>108</v>
      </c>
      <c r="E744" s="10" t="s">
        <v>885</v>
      </c>
      <c r="F744" s="6" t="s">
        <v>3614</v>
      </c>
      <c r="G744" s="6" t="s">
        <v>5664</v>
      </c>
      <c r="H744" s="6" t="s">
        <v>6567</v>
      </c>
      <c r="I744" s="6" t="s">
        <v>8833</v>
      </c>
      <c r="J744" s="6" t="s">
        <v>9744</v>
      </c>
      <c r="K744" s="6" t="s">
        <v>10886</v>
      </c>
      <c r="L744" s="16" t="n">
        <v>39056</v>
      </c>
      <c r="M744" s="16" t="n">
        <v>46157</v>
      </c>
      <c r="N744" s="6" t="s">
        <v>10886</v>
      </c>
      <c r="O744" s="16" t="n">
        <v>39056</v>
      </c>
      <c r="P744" s="6" t="s">
        <v>10935</v>
      </c>
      <c r="Q744" s="6" t="s">
        <v>81</v>
      </c>
      <c r="R744" s="6" t="s">
        <v>81</v>
      </c>
      <c r="S744" s="6" t="s">
        <v>10886</v>
      </c>
      <c r="T744" s="16" t="n">
        <v>39056</v>
      </c>
      <c r="U744" s="6" t="s">
        <v>13444</v>
      </c>
      <c r="V744" s="6" t="s">
        <v>81</v>
      </c>
      <c r="W744" s="6" t="s">
        <v>81</v>
      </c>
      <c r="X744" s="6" t="s">
        <v>81</v>
      </c>
      <c r="Y744" s="21" t="s">
        <v>81</v>
      </c>
      <c r="Z744" s="6" t="s">
        <v>81</v>
      </c>
      <c r="AA744" s="6" t="s">
        <v>81</v>
      </c>
      <c r="AB744" s="6" t="s">
        <v>81</v>
      </c>
      <c r="AC744" s="6" t="s">
        <v>81</v>
      </c>
      <c r="AD744" s="21" t="s">
        <v>81</v>
      </c>
      <c r="AE744" s="6" t="s">
        <v>81</v>
      </c>
      <c r="AF744" s="6" t="s">
        <v>81</v>
      </c>
      <c r="AG744" s="6" t="s">
        <v>81</v>
      </c>
      <c r="AH744" s="6" t="s">
        <v>15329</v>
      </c>
      <c r="AI744" s="6" t="s">
        <v>81</v>
      </c>
      <c r="AJ744" s="6" t="s">
        <v>10457</v>
      </c>
      <c r="AK744" s="6" t="s">
        <v>18378</v>
      </c>
      <c r="AL744" s="6" t="s">
        <v>18444</v>
      </c>
      <c r="AM744" s="6" t="s">
        <v>18573</v>
      </c>
      <c r="AN744" s="6" t="s">
        <v>6817</v>
      </c>
      <c r="AO744" s="6" t="s">
        <v>19849</v>
      </c>
      <c r="AP744" s="6" t="s">
        <v>15329</v>
      </c>
      <c r="AQ744" s="6" t="s">
        <v>81</v>
      </c>
      <c r="AR744" s="6" t="s">
        <v>10457</v>
      </c>
      <c r="AS744" s="6" t="s">
        <v>18378</v>
      </c>
      <c r="AT744" s="6" t="s">
        <v>18444</v>
      </c>
      <c r="AU744" s="6" t="s">
        <v>18573</v>
      </c>
      <c r="AV744" s="6" t="s">
        <v>81</v>
      </c>
      <c r="AW744" s="6" t="s">
        <v>81</v>
      </c>
      <c r="AX744" s="6" t="s">
        <v>21221</v>
      </c>
      <c r="AY744" s="6" t="s">
        <v>81</v>
      </c>
      <c r="AZ744" s="6" t="s">
        <v>81</v>
      </c>
      <c r="BA744" s="6" t="s">
        <v>81</v>
      </c>
      <c r="BB744" s="24" t="n">
        <v>131</v>
      </c>
      <c r="BC744" s="26"/>
      <c r="BD744" s="26"/>
      <c r="BE744" s="26"/>
      <c r="BF744" s="26" t="s">
        <v>23900</v>
      </c>
      <c r="BG744" s="26"/>
      <c r="BH744" s="26"/>
      <c r="BI744" s="26"/>
      <c r="BJ744" s="26"/>
      <c r="BK744" s="26"/>
      <c r="BL744" s="26"/>
      <c r="BM744" s="26"/>
      <c r="BN744" s="26"/>
      <c r="BO744" s="26"/>
      <c r="BP744" s="16" t="n">
        <v>45737</v>
      </c>
      <c r="BQ744" s="28" t="str">
        <f>HYPERLINK("https://organic.ams.usda.gov/Integrity/Certificate.aspx?cid=58&amp;nopid=1600000698")</f>
        <v>https://organic.ams.usda.gov/Integrity/Certificate.aspx?cid=58&amp;nopid=1600000698</v>
      </c>
    </row>
    <row r="745">
      <c r="A745" t="s">
        <v>3</v>
      </c>
      <c r="B745" s="6" t="s">
        <v>30</v>
      </c>
      <c r="C745" s="6" t="s">
        <v>77</v>
      </c>
      <c r="D745" s="6" t="s">
        <v>123</v>
      </c>
      <c r="E745" s="10" t="s">
        <v>886</v>
      </c>
      <c r="F745" s="6" t="s">
        <v>3615</v>
      </c>
      <c r="G745" s="6" t="s">
        <v>81</v>
      </c>
      <c r="H745" s="6" t="s">
        <v>6568</v>
      </c>
      <c r="I745" s="6" t="s">
        <v>8833</v>
      </c>
      <c r="J745" s="6" t="s">
        <v>9669</v>
      </c>
      <c r="K745" s="6" t="s">
        <v>10886</v>
      </c>
      <c r="L745" s="16" t="n">
        <v>41443</v>
      </c>
      <c r="M745" s="16" t="n">
        <v>45747</v>
      </c>
      <c r="N745" s="6" t="s">
        <v>10886</v>
      </c>
      <c r="O745" s="16" t="n">
        <v>41443</v>
      </c>
      <c r="P745" s="6" t="s">
        <v>11350</v>
      </c>
      <c r="Q745" s="6" t="s">
        <v>81</v>
      </c>
      <c r="R745" s="6" t="s">
        <v>12630</v>
      </c>
      <c r="S745" s="6" t="s">
        <v>10886</v>
      </c>
      <c r="T745" s="16" t="n">
        <v>41443</v>
      </c>
      <c r="U745" s="6" t="s">
        <v>13216</v>
      </c>
      <c r="V745" s="6" t="s">
        <v>81</v>
      </c>
      <c r="W745" s="6" t="s">
        <v>6568</v>
      </c>
      <c r="X745" s="6" t="s">
        <v>81</v>
      </c>
      <c r="Y745" s="21" t="s">
        <v>81</v>
      </c>
      <c r="Z745" s="6" t="s">
        <v>81</v>
      </c>
      <c r="AA745" s="6" t="s">
        <v>81</v>
      </c>
      <c r="AB745" s="6" t="s">
        <v>81</v>
      </c>
      <c r="AC745" s="6" t="s">
        <v>81</v>
      </c>
      <c r="AD745" s="21" t="s">
        <v>81</v>
      </c>
      <c r="AE745" s="6" t="s">
        <v>81</v>
      </c>
      <c r="AF745" s="6" t="s">
        <v>81</v>
      </c>
      <c r="AG745" s="6" t="s">
        <v>81</v>
      </c>
      <c r="AH745" s="6" t="s">
        <v>15330</v>
      </c>
      <c r="AI745" s="6" t="s">
        <v>81</v>
      </c>
      <c r="AJ745" s="6" t="s">
        <v>17410</v>
      </c>
      <c r="AK745" s="6" t="s">
        <v>17712</v>
      </c>
      <c r="AL745" s="6" t="s">
        <v>18444</v>
      </c>
      <c r="AM745" s="6" t="s">
        <v>18566</v>
      </c>
      <c r="AN745" s="6" t="s">
        <v>19670</v>
      </c>
      <c r="AO745" s="6" t="s">
        <v>19782</v>
      </c>
      <c r="AP745" s="6" t="s">
        <v>15330</v>
      </c>
      <c r="AQ745" s="6" t="s">
        <v>81</v>
      </c>
      <c r="AR745" s="6" t="s">
        <v>17410</v>
      </c>
      <c r="AS745" s="6" t="s">
        <v>17712</v>
      </c>
      <c r="AT745" s="6" t="s">
        <v>18444</v>
      </c>
      <c r="AU745" s="6" t="s">
        <v>18566</v>
      </c>
      <c r="AV745" s="6" t="s">
        <v>81</v>
      </c>
      <c r="AW745" s="6" t="s">
        <v>81</v>
      </c>
      <c r="AX745" s="6" t="s">
        <v>81</v>
      </c>
      <c r="AY745" s="6" t="s">
        <v>81</v>
      </c>
      <c r="AZ745" s="6" t="s">
        <v>81</v>
      </c>
      <c r="BA745" s="6" t="s">
        <v>81</v>
      </c>
      <c r="BB745" s="24" t="n">
        <v>52</v>
      </c>
      <c r="BC745" s="26"/>
      <c r="BD745" s="26"/>
      <c r="BE745" s="26"/>
      <c r="BF745" s="26"/>
      <c r="BG745" s="26"/>
      <c r="BH745" s="26"/>
      <c r="BI745" s="26"/>
      <c r="BJ745" s="26"/>
      <c r="BK745" s="26"/>
      <c r="BL745" s="26"/>
      <c r="BM745" s="26"/>
      <c r="BN745" s="26"/>
      <c r="BO745" s="26"/>
      <c r="BP745" s="16" t="n">
        <v>45616</v>
      </c>
      <c r="BQ745" s="28" t="str">
        <f>HYPERLINK("https://organic.ams.usda.gov/Integrity/Certificate.aspx?cid=70&amp;nopid=6431361100")</f>
        <v>https://organic.ams.usda.gov/Integrity/Certificate.aspx?cid=70&amp;nopid=6431361100</v>
      </c>
    </row>
    <row r="746">
      <c r="A746" t="s">
        <v>3</v>
      </c>
      <c r="B746" s="6" t="s">
        <v>8</v>
      </c>
      <c r="C746" s="6" t="s">
        <v>55</v>
      </c>
      <c r="D746" s="6" t="s">
        <v>101</v>
      </c>
      <c r="E746" s="10" t="s">
        <v>887</v>
      </c>
      <c r="F746" s="6" t="s">
        <v>3616</v>
      </c>
      <c r="G746" s="6" t="s">
        <v>81</v>
      </c>
      <c r="H746" s="6" t="s">
        <v>6569</v>
      </c>
      <c r="I746" s="6" t="s">
        <v>8830</v>
      </c>
      <c r="J746" s="6" t="s">
        <v>9677</v>
      </c>
      <c r="K746" s="6" t="s">
        <v>10886</v>
      </c>
      <c r="L746" s="16" t="n">
        <v>43377</v>
      </c>
      <c r="M746" s="16" t="n">
        <v>45748</v>
      </c>
      <c r="N746" s="6" t="s">
        <v>10886</v>
      </c>
      <c r="O746" s="16" t="n">
        <v>43377</v>
      </c>
      <c r="P746" s="6" t="s">
        <v>11351</v>
      </c>
      <c r="Q746" s="6" t="s">
        <v>81</v>
      </c>
      <c r="R746" s="6" t="s">
        <v>6569</v>
      </c>
      <c r="S746" s="6" t="s">
        <v>10886</v>
      </c>
      <c r="T746" s="16" t="n">
        <v>43377</v>
      </c>
      <c r="U746" s="6" t="s">
        <v>13173</v>
      </c>
      <c r="V746" s="6" t="s">
        <v>81</v>
      </c>
      <c r="W746" s="6" t="s">
        <v>6569</v>
      </c>
      <c r="X746" s="6" t="s">
        <v>81</v>
      </c>
      <c r="Y746" s="21" t="s">
        <v>81</v>
      </c>
      <c r="Z746" s="6" t="s">
        <v>81</v>
      </c>
      <c r="AA746" s="6" t="s">
        <v>81</v>
      </c>
      <c r="AB746" s="6" t="s">
        <v>81</v>
      </c>
      <c r="AC746" s="6" t="s">
        <v>81</v>
      </c>
      <c r="AD746" s="21" t="s">
        <v>81</v>
      </c>
      <c r="AE746" s="6" t="s">
        <v>81</v>
      </c>
      <c r="AF746" s="6" t="s">
        <v>81</v>
      </c>
      <c r="AG746" s="6" t="s">
        <v>81</v>
      </c>
      <c r="AH746" s="6" t="s">
        <v>15331</v>
      </c>
      <c r="AI746" s="6" t="s">
        <v>81</v>
      </c>
      <c r="AJ746" s="6" t="s">
        <v>17418</v>
      </c>
      <c r="AK746" s="6" t="s">
        <v>18379</v>
      </c>
      <c r="AL746" s="6" t="s">
        <v>18444</v>
      </c>
      <c r="AM746" s="6" t="s">
        <v>18575</v>
      </c>
      <c r="AN746" s="6" t="s">
        <v>19671</v>
      </c>
      <c r="AO746" s="6" t="s">
        <v>19784</v>
      </c>
      <c r="AP746" s="6" t="s">
        <v>81</v>
      </c>
      <c r="AQ746" s="6" t="s">
        <v>81</v>
      </c>
      <c r="AR746" s="6" t="s">
        <v>81</v>
      </c>
      <c r="AS746" s="6" t="s">
        <v>81</v>
      </c>
      <c r="AT746" s="6" t="s">
        <v>81</v>
      </c>
      <c r="AU746" s="6" t="s">
        <v>81</v>
      </c>
      <c r="AV746" s="6" t="s">
        <v>81</v>
      </c>
      <c r="AW746" s="6" t="s">
        <v>81</v>
      </c>
      <c r="AX746" s="6" t="s">
        <v>81</v>
      </c>
      <c r="AY746" s="6" t="s">
        <v>81</v>
      </c>
      <c r="AZ746" s="6" t="s">
        <v>81</v>
      </c>
      <c r="BA746" s="6" t="s">
        <v>23819</v>
      </c>
      <c r="BB746" s="24" t="n">
        <v>69</v>
      </c>
      <c r="BC746" s="26"/>
      <c r="BD746" s="26"/>
      <c r="BE746" s="26"/>
      <c r="BF746" s="26" t="s">
        <v>23900</v>
      </c>
      <c r="BG746" s="26"/>
      <c r="BH746" s="26"/>
      <c r="BI746" s="26"/>
      <c r="BJ746" s="26"/>
      <c r="BK746" s="26"/>
      <c r="BL746" s="26"/>
      <c r="BM746" s="26"/>
      <c r="BN746" s="26"/>
      <c r="BO746" s="26"/>
      <c r="BP746" s="16" t="n">
        <v>45597</v>
      </c>
      <c r="BQ746" s="28" t="str">
        <f>HYPERLINK("https://organic.ams.usda.gov/Integrity/Certificate.aspx?cid=45&amp;nopid=9950011378")</f>
        <v>https://organic.ams.usda.gov/Integrity/Certificate.aspx?cid=45&amp;nopid=9950011378</v>
      </c>
    </row>
    <row r="747">
      <c r="A747" t="s">
        <v>3</v>
      </c>
      <c r="B747" s="6" t="s">
        <v>11</v>
      </c>
      <c r="C747" s="6" t="s">
        <v>58</v>
      </c>
      <c r="D747" s="6" t="s">
        <v>104</v>
      </c>
      <c r="E747" s="10" t="s">
        <v>888</v>
      </c>
      <c r="F747" s="6" t="s">
        <v>3617</v>
      </c>
      <c r="G747" s="6" t="s">
        <v>81</v>
      </c>
      <c r="H747" s="6" t="s">
        <v>81</v>
      </c>
      <c r="I747" s="6" t="s">
        <v>8834</v>
      </c>
      <c r="J747" s="6" t="s">
        <v>9665</v>
      </c>
      <c r="K747" s="6" t="s">
        <v>10886</v>
      </c>
      <c r="L747" s="16" t="n">
        <v>45058</v>
      </c>
      <c r="M747" s="16" t="n">
        <v>45383</v>
      </c>
      <c r="N747" s="6" t="s">
        <v>10886</v>
      </c>
      <c r="O747" s="16" t="n">
        <v>45058</v>
      </c>
      <c r="P747" s="6" t="s">
        <v>11352</v>
      </c>
      <c r="Q747" s="6" t="s">
        <v>81</v>
      </c>
      <c r="R747" s="6" t="s">
        <v>81</v>
      </c>
      <c r="S747" s="6" t="s">
        <v>10886</v>
      </c>
      <c r="T747" s="16" t="n">
        <v>45058</v>
      </c>
      <c r="U747" s="6" t="s">
        <v>13445</v>
      </c>
      <c r="V747" s="6" t="s">
        <v>81</v>
      </c>
      <c r="W747" s="6" t="s">
        <v>81</v>
      </c>
      <c r="X747" s="6" t="s">
        <v>81</v>
      </c>
      <c r="Y747" s="21" t="s">
        <v>81</v>
      </c>
      <c r="Z747" s="6" t="s">
        <v>81</v>
      </c>
      <c r="AA747" s="6" t="s">
        <v>81</v>
      </c>
      <c r="AB747" s="6" t="s">
        <v>81</v>
      </c>
      <c r="AC747" s="6" t="s">
        <v>81</v>
      </c>
      <c r="AD747" s="21" t="s">
        <v>81</v>
      </c>
      <c r="AE747" s="6" t="s">
        <v>81</v>
      </c>
      <c r="AF747" s="6" t="s">
        <v>81</v>
      </c>
      <c r="AG747" s="6" t="s">
        <v>81</v>
      </c>
      <c r="AH747" s="6" t="s">
        <v>15332</v>
      </c>
      <c r="AI747" s="6" t="s">
        <v>81</v>
      </c>
      <c r="AJ747" s="6" t="s">
        <v>17742</v>
      </c>
      <c r="AK747" s="6" t="s">
        <v>18377</v>
      </c>
      <c r="AL747" s="6" t="s">
        <v>18444</v>
      </c>
      <c r="AM747" s="6" t="s">
        <v>18910</v>
      </c>
      <c r="AN747" s="6" t="s">
        <v>19687</v>
      </c>
      <c r="AO747" s="6" t="s">
        <v>19919</v>
      </c>
      <c r="AP747" s="6" t="s">
        <v>81</v>
      </c>
      <c r="AQ747" s="6" t="s">
        <v>81</v>
      </c>
      <c r="AR747" s="6" t="s">
        <v>81</v>
      </c>
      <c r="AS747" s="6" t="s">
        <v>81</v>
      </c>
      <c r="AT747" s="6" t="s">
        <v>81</v>
      </c>
      <c r="AU747" s="6" t="s">
        <v>81</v>
      </c>
      <c r="AV747" s="6" t="s">
        <v>81</v>
      </c>
      <c r="AW747" s="6" t="s">
        <v>81</v>
      </c>
      <c r="AX747" s="6" t="s">
        <v>81</v>
      </c>
      <c r="AY747" s="6" t="s">
        <v>81</v>
      </c>
      <c r="AZ747" s="6" t="s">
        <v>81</v>
      </c>
      <c r="BA747" s="6" t="s">
        <v>23825</v>
      </c>
      <c r="BB747" s="24" t="n">
        <v>84</v>
      </c>
      <c r="BC747" s="26"/>
      <c r="BD747" s="26"/>
      <c r="BE747" s="26"/>
      <c r="BF747" s="26"/>
      <c r="BG747" s="26"/>
      <c r="BH747" s="26"/>
      <c r="BI747" s="26"/>
      <c r="BJ747" s="26"/>
      <c r="BK747" s="26"/>
      <c r="BL747" s="26"/>
      <c r="BM747" s="26"/>
      <c r="BN747" s="26"/>
      <c r="BO747" s="26"/>
      <c r="BP747" s="16" t="n">
        <v>45442</v>
      </c>
      <c r="BQ747" s="28" t="str">
        <f>HYPERLINK("https://organic.ams.usda.gov/Integrity/Certificate.aspx?cid=46&amp;nopid=3672300023")</f>
        <v>https://organic.ams.usda.gov/Integrity/Certificate.aspx?cid=46&amp;nopid=3672300023</v>
      </c>
    </row>
    <row r="748">
      <c r="A748" t="s">
        <v>3</v>
      </c>
      <c r="B748" s="6" t="s">
        <v>7</v>
      </c>
      <c r="C748" s="6" t="s">
        <v>54</v>
      </c>
      <c r="D748" s="6" t="s">
        <v>100</v>
      </c>
      <c r="E748" s="10" t="s">
        <v>889</v>
      </c>
      <c r="F748" s="6" t="s">
        <v>3618</v>
      </c>
      <c r="G748" s="6" t="s">
        <v>81</v>
      </c>
      <c r="H748" s="6" t="s">
        <v>6570</v>
      </c>
      <c r="I748" s="6" t="s">
        <v>8830</v>
      </c>
      <c r="J748" s="6" t="s">
        <v>9960</v>
      </c>
      <c r="K748" s="6" t="s">
        <v>10886</v>
      </c>
      <c r="L748" s="16" t="n">
        <v>45464</v>
      </c>
      <c r="M748" s="16" t="n">
        <v>45716</v>
      </c>
      <c r="N748" s="6" t="s">
        <v>10886</v>
      </c>
      <c r="O748" s="16" t="n">
        <v>45464</v>
      </c>
      <c r="P748" s="6" t="s">
        <v>11250</v>
      </c>
      <c r="Q748" s="6" t="s">
        <v>81</v>
      </c>
      <c r="R748" s="6" t="s">
        <v>81</v>
      </c>
      <c r="S748" s="6" t="s">
        <v>10886</v>
      </c>
      <c r="T748" s="16" t="n">
        <v>45482</v>
      </c>
      <c r="U748" s="6" t="s">
        <v>13169</v>
      </c>
      <c r="V748" s="6" t="s">
        <v>81</v>
      </c>
      <c r="W748" s="6" t="s">
        <v>81</v>
      </c>
      <c r="X748" s="6" t="s">
        <v>81</v>
      </c>
      <c r="Y748" s="21" t="s">
        <v>81</v>
      </c>
      <c r="Z748" s="6" t="s">
        <v>81</v>
      </c>
      <c r="AA748" s="6" t="s">
        <v>81</v>
      </c>
      <c r="AB748" s="6" t="s">
        <v>81</v>
      </c>
      <c r="AC748" s="6" t="s">
        <v>81</v>
      </c>
      <c r="AD748" s="21" t="s">
        <v>81</v>
      </c>
      <c r="AE748" s="6" t="s">
        <v>81</v>
      </c>
      <c r="AF748" s="6" t="s">
        <v>81</v>
      </c>
      <c r="AG748" s="6" t="s">
        <v>81</v>
      </c>
      <c r="AH748" s="6" t="s">
        <v>15333</v>
      </c>
      <c r="AI748" s="6" t="s">
        <v>81</v>
      </c>
      <c r="AJ748" s="6" t="s">
        <v>17341</v>
      </c>
      <c r="AK748" s="6" t="s">
        <v>17712</v>
      </c>
      <c r="AL748" s="6" t="s">
        <v>18444</v>
      </c>
      <c r="AM748" s="6" t="s">
        <v>18495</v>
      </c>
      <c r="AN748" s="6" t="s">
        <v>81</v>
      </c>
      <c r="AO748" s="6" t="s">
        <v>81</v>
      </c>
      <c r="AP748" s="6" t="s">
        <v>15333</v>
      </c>
      <c r="AQ748" s="6" t="s">
        <v>81</v>
      </c>
      <c r="AR748" s="6" t="s">
        <v>17341</v>
      </c>
      <c r="AS748" s="6" t="s">
        <v>17712</v>
      </c>
      <c r="AT748" s="6" t="s">
        <v>18444</v>
      </c>
      <c r="AU748" s="6" t="s">
        <v>18495</v>
      </c>
      <c r="AV748" s="6" t="s">
        <v>81</v>
      </c>
      <c r="AW748" s="6" t="s">
        <v>81</v>
      </c>
      <c r="AX748" s="6" t="s">
        <v>81</v>
      </c>
      <c r="AY748" s="6" t="s">
        <v>81</v>
      </c>
      <c r="AZ748" s="6" t="s">
        <v>81</v>
      </c>
      <c r="BA748" s="6" t="s">
        <v>81</v>
      </c>
      <c r="BB748" s="24" t="n">
        <v>70</v>
      </c>
      <c r="BC748" s="26"/>
      <c r="BD748" s="26"/>
      <c r="BE748" s="26"/>
      <c r="BF748" s="26"/>
      <c r="BG748" s="26"/>
      <c r="BH748" s="26"/>
      <c r="BI748" s="26"/>
      <c r="BJ748" s="26"/>
      <c r="BK748" s="26"/>
      <c r="BL748" s="26"/>
      <c r="BM748" s="26"/>
      <c r="BN748" s="26"/>
      <c r="BO748" s="26"/>
      <c r="BP748" s="16" t="n">
        <v>45595</v>
      </c>
      <c r="BQ748" s="28" t="str">
        <f>HYPERLINK("https://organic.ams.usda.gov/Integrity/Certificate.aspx?cid=57&amp;nopid=3252024046")</f>
        <v>https://organic.ams.usda.gov/Integrity/Certificate.aspx?cid=57&amp;nopid=3252024046</v>
      </c>
    </row>
    <row r="749">
      <c r="A749" t="s">
        <v>3</v>
      </c>
      <c r="B749" s="6" t="s">
        <v>7</v>
      </c>
      <c r="C749" s="6" t="s">
        <v>54</v>
      </c>
      <c r="D749" s="6" t="s">
        <v>100</v>
      </c>
      <c r="E749" s="10" t="s">
        <v>890</v>
      </c>
      <c r="F749" s="6" t="s">
        <v>3619</v>
      </c>
      <c r="G749" s="6" t="s">
        <v>81</v>
      </c>
      <c r="H749" s="6" t="s">
        <v>6571</v>
      </c>
      <c r="I749" s="6" t="s">
        <v>8830</v>
      </c>
      <c r="J749" s="6" t="s">
        <v>9675</v>
      </c>
      <c r="K749" s="6" t="s">
        <v>10886</v>
      </c>
      <c r="L749" s="16" t="n">
        <v>43584</v>
      </c>
      <c r="M749" s="16" t="n">
        <v>45716</v>
      </c>
      <c r="N749" s="6" t="s">
        <v>10886</v>
      </c>
      <c r="O749" s="16" t="n">
        <v>43584</v>
      </c>
      <c r="P749" s="6" t="s">
        <v>10944</v>
      </c>
      <c r="Q749" s="6" t="s">
        <v>81</v>
      </c>
      <c r="R749" s="6" t="s">
        <v>81</v>
      </c>
      <c r="S749" s="6" t="s">
        <v>10886</v>
      </c>
      <c r="T749" s="16" t="n">
        <v>43584</v>
      </c>
      <c r="U749" s="6" t="s">
        <v>13160</v>
      </c>
      <c r="V749" s="6" t="s">
        <v>81</v>
      </c>
      <c r="W749" s="6" t="s">
        <v>81</v>
      </c>
      <c r="X749" s="6" t="s">
        <v>81</v>
      </c>
      <c r="Y749" s="21" t="s">
        <v>81</v>
      </c>
      <c r="Z749" s="6" t="s">
        <v>81</v>
      </c>
      <c r="AA749" s="6" t="s">
        <v>81</v>
      </c>
      <c r="AB749" s="6" t="s">
        <v>81</v>
      </c>
      <c r="AC749" s="6" t="s">
        <v>81</v>
      </c>
      <c r="AD749" s="21" t="s">
        <v>81</v>
      </c>
      <c r="AE749" s="6" t="s">
        <v>81</v>
      </c>
      <c r="AF749" s="6" t="s">
        <v>81</v>
      </c>
      <c r="AG749" s="6" t="s">
        <v>81</v>
      </c>
      <c r="AH749" s="6" t="s">
        <v>15334</v>
      </c>
      <c r="AI749" s="6" t="s">
        <v>81</v>
      </c>
      <c r="AJ749" s="6" t="s">
        <v>17346</v>
      </c>
      <c r="AK749" s="6" t="s">
        <v>17712</v>
      </c>
      <c r="AL749" s="6" t="s">
        <v>18444</v>
      </c>
      <c r="AM749" s="6" t="s">
        <v>18500</v>
      </c>
      <c r="AN749" s="6" t="s">
        <v>19652</v>
      </c>
      <c r="AO749" s="6" t="s">
        <v>19742</v>
      </c>
      <c r="AP749" s="6" t="s">
        <v>15334</v>
      </c>
      <c r="AQ749" s="6" t="s">
        <v>81</v>
      </c>
      <c r="AR749" s="6" t="s">
        <v>17346</v>
      </c>
      <c r="AS749" s="6" t="s">
        <v>17712</v>
      </c>
      <c r="AT749" s="6" t="s">
        <v>18444</v>
      </c>
      <c r="AU749" s="6" t="s">
        <v>18500</v>
      </c>
      <c r="AV749" s="6" t="s">
        <v>81</v>
      </c>
      <c r="AW749" s="6" t="s">
        <v>81</v>
      </c>
      <c r="AX749" s="6" t="s">
        <v>81</v>
      </c>
      <c r="AY749" s="6" t="s">
        <v>81</v>
      </c>
      <c r="AZ749" s="6" t="s">
        <v>81</v>
      </c>
      <c r="BA749" s="6" t="s">
        <v>81</v>
      </c>
      <c r="BB749" s="24" t="n">
        <v>87</v>
      </c>
      <c r="BC749" s="26"/>
      <c r="BD749" s="26"/>
      <c r="BE749" s="26"/>
      <c r="BF749" s="26" t="s">
        <v>23900</v>
      </c>
      <c r="BG749" s="26"/>
      <c r="BH749" s="26"/>
      <c r="BI749" s="26"/>
      <c r="BJ749" s="26"/>
      <c r="BK749" s="26"/>
      <c r="BL749" s="26"/>
      <c r="BM749" s="26"/>
      <c r="BN749" s="26"/>
      <c r="BO749" s="26"/>
      <c r="BP749" s="16" t="n">
        <v>45595</v>
      </c>
      <c r="BQ749" s="28" t="str">
        <f>HYPERLINK("https://organic.ams.usda.gov/Integrity/Certificate.aspx?cid=57&amp;nopid=3252019031")</f>
        <v>https://organic.ams.usda.gov/Integrity/Certificate.aspx?cid=57&amp;nopid=3252019031</v>
      </c>
    </row>
    <row r="750">
      <c r="A750" t="s">
        <v>3</v>
      </c>
      <c r="B750" s="6" t="s">
        <v>7</v>
      </c>
      <c r="C750" s="6" t="s">
        <v>54</v>
      </c>
      <c r="D750" s="6" t="s">
        <v>100</v>
      </c>
      <c r="E750" s="10" t="s">
        <v>891</v>
      </c>
      <c r="F750" s="6" t="s">
        <v>3620</v>
      </c>
      <c r="G750" s="6" t="s">
        <v>81</v>
      </c>
      <c r="H750" s="6" t="s">
        <v>6572</v>
      </c>
      <c r="I750" s="6" t="s">
        <v>8830</v>
      </c>
      <c r="J750" s="6" t="s">
        <v>10052</v>
      </c>
      <c r="K750" s="6" t="s">
        <v>10886</v>
      </c>
      <c r="L750" s="16" t="n">
        <v>42276</v>
      </c>
      <c r="M750" s="16" t="n">
        <v>45716</v>
      </c>
      <c r="N750" s="6" t="s">
        <v>10886</v>
      </c>
      <c r="O750" s="16" t="n">
        <v>42276</v>
      </c>
      <c r="P750" s="6" t="s">
        <v>11353</v>
      </c>
      <c r="Q750" s="6" t="s">
        <v>81</v>
      </c>
      <c r="R750" s="6" t="s">
        <v>81</v>
      </c>
      <c r="S750" s="6" t="s">
        <v>10886</v>
      </c>
      <c r="T750" s="16" t="n">
        <v>42614</v>
      </c>
      <c r="U750" s="6" t="s">
        <v>13169</v>
      </c>
      <c r="V750" s="6" t="s">
        <v>81</v>
      </c>
      <c r="W750" s="6" t="s">
        <v>81</v>
      </c>
      <c r="X750" s="6" t="s">
        <v>81</v>
      </c>
      <c r="Y750" s="21" t="s">
        <v>81</v>
      </c>
      <c r="Z750" s="6" t="s">
        <v>81</v>
      </c>
      <c r="AA750" s="6" t="s">
        <v>81</v>
      </c>
      <c r="AB750" s="6" t="s">
        <v>81</v>
      </c>
      <c r="AC750" s="6" t="s">
        <v>81</v>
      </c>
      <c r="AD750" s="21" t="s">
        <v>81</v>
      </c>
      <c r="AE750" s="6" t="s">
        <v>81</v>
      </c>
      <c r="AF750" s="6" t="s">
        <v>81</v>
      </c>
      <c r="AG750" s="6" t="s">
        <v>81</v>
      </c>
      <c r="AH750" s="6" t="s">
        <v>15335</v>
      </c>
      <c r="AI750" s="6" t="s">
        <v>81</v>
      </c>
      <c r="AJ750" s="6" t="s">
        <v>17657</v>
      </c>
      <c r="AK750" s="6" t="s">
        <v>17712</v>
      </c>
      <c r="AL750" s="6" t="s">
        <v>18444</v>
      </c>
      <c r="AM750" s="6" t="s">
        <v>18825</v>
      </c>
      <c r="AN750" s="6" t="s">
        <v>19649</v>
      </c>
      <c r="AO750" s="6" t="s">
        <v>19738</v>
      </c>
      <c r="AP750" s="6" t="s">
        <v>15335</v>
      </c>
      <c r="AQ750" s="6" t="s">
        <v>81</v>
      </c>
      <c r="AR750" s="6" t="s">
        <v>17657</v>
      </c>
      <c r="AS750" s="6" t="s">
        <v>17712</v>
      </c>
      <c r="AT750" s="6" t="s">
        <v>18444</v>
      </c>
      <c r="AU750" s="6" t="s">
        <v>18825</v>
      </c>
      <c r="AV750" s="6" t="s">
        <v>81</v>
      </c>
      <c r="AW750" s="6" t="s">
        <v>81</v>
      </c>
      <c r="AX750" s="6" t="s">
        <v>81</v>
      </c>
      <c r="AY750" s="6" t="s">
        <v>81</v>
      </c>
      <c r="AZ750" s="6" t="s">
        <v>81</v>
      </c>
      <c r="BA750" s="6" t="s">
        <v>81</v>
      </c>
      <c r="BB750" s="24" t="n">
        <v>44</v>
      </c>
      <c r="BC750" s="26"/>
      <c r="BD750" s="26"/>
      <c r="BE750" s="26"/>
      <c r="BF750" s="26" t="s">
        <v>23900</v>
      </c>
      <c r="BG750" s="26"/>
      <c r="BH750" s="26"/>
      <c r="BI750" s="26"/>
      <c r="BJ750" s="26"/>
      <c r="BK750" s="26"/>
      <c r="BL750" s="26"/>
      <c r="BM750" s="26"/>
      <c r="BN750" s="26"/>
      <c r="BO750" s="26"/>
      <c r="BP750" s="16" t="n">
        <v>45660</v>
      </c>
      <c r="BQ750" s="28" t="str">
        <f>HYPERLINK("https://organic.ams.usda.gov/Integrity/Certificate.aspx?cid=57&amp;nopid=3252015111")</f>
        <v>https://organic.ams.usda.gov/Integrity/Certificate.aspx?cid=57&amp;nopid=3252015111</v>
      </c>
    </row>
    <row r="751">
      <c r="A751" t="s">
        <v>3</v>
      </c>
      <c r="B751" s="6" t="s">
        <v>9</v>
      </c>
      <c r="C751" s="6" t="s">
        <v>56</v>
      </c>
      <c r="D751" s="6" t="s">
        <v>102</v>
      </c>
      <c r="E751" s="10" t="s">
        <v>892</v>
      </c>
      <c r="F751" s="6" t="s">
        <v>3621</v>
      </c>
      <c r="G751" s="6" t="s">
        <v>81</v>
      </c>
      <c r="H751" s="6" t="s">
        <v>6573</v>
      </c>
      <c r="I751" s="6" t="s">
        <v>8830</v>
      </c>
      <c r="J751" s="6" t="s">
        <v>9665</v>
      </c>
      <c r="K751" s="6" t="s">
        <v>10886</v>
      </c>
      <c r="L751" s="16" t="n">
        <v>41949</v>
      </c>
      <c r="M751" s="16" t="n">
        <v>45748</v>
      </c>
      <c r="N751" s="6" t="s">
        <v>10886</v>
      </c>
      <c r="O751" s="16" t="n">
        <v>41949</v>
      </c>
      <c r="P751" s="6" t="s">
        <v>11052</v>
      </c>
      <c r="Q751" s="6" t="s">
        <v>81</v>
      </c>
      <c r="R751" s="6" t="s">
        <v>12631</v>
      </c>
      <c r="S751" s="6" t="s">
        <v>10886</v>
      </c>
      <c r="T751" s="16" t="n">
        <v>41949</v>
      </c>
      <c r="U751" s="6" t="s">
        <v>13168</v>
      </c>
      <c r="V751" s="6" t="s">
        <v>81</v>
      </c>
      <c r="W751" s="6" t="s">
        <v>12631</v>
      </c>
      <c r="X751" s="6" t="s">
        <v>81</v>
      </c>
      <c r="Y751" s="21" t="s">
        <v>81</v>
      </c>
      <c r="Z751" s="6" t="s">
        <v>81</v>
      </c>
      <c r="AA751" s="6" t="s">
        <v>81</v>
      </c>
      <c r="AB751" s="6" t="s">
        <v>81</v>
      </c>
      <c r="AC751" s="6" t="s">
        <v>81</v>
      </c>
      <c r="AD751" s="21" t="s">
        <v>81</v>
      </c>
      <c r="AE751" s="6" t="s">
        <v>81</v>
      </c>
      <c r="AF751" s="6" t="s">
        <v>81</v>
      </c>
      <c r="AG751" s="6" t="s">
        <v>81</v>
      </c>
      <c r="AH751" s="6" t="s">
        <v>15336</v>
      </c>
      <c r="AI751" s="6" t="s">
        <v>81</v>
      </c>
      <c r="AJ751" s="6" t="s">
        <v>17681</v>
      </c>
      <c r="AK751" s="6" t="s">
        <v>18377</v>
      </c>
      <c r="AL751" s="6" t="s">
        <v>18444</v>
      </c>
      <c r="AM751" s="6" t="s">
        <v>18847</v>
      </c>
      <c r="AN751" s="6" t="s">
        <v>19638</v>
      </c>
      <c r="AO751" s="6" t="s">
        <v>19724</v>
      </c>
      <c r="AP751" s="6" t="s">
        <v>81</v>
      </c>
      <c r="AQ751" s="6" t="s">
        <v>81</v>
      </c>
      <c r="AR751" s="6" t="s">
        <v>81</v>
      </c>
      <c r="AS751" s="6" t="s">
        <v>81</v>
      </c>
      <c r="AT751" s="6" t="s">
        <v>81</v>
      </c>
      <c r="AU751" s="6" t="s">
        <v>81</v>
      </c>
      <c r="AV751" s="6" t="s">
        <v>81</v>
      </c>
      <c r="AW751" s="6" t="s">
        <v>81</v>
      </c>
      <c r="AX751" s="6" t="s">
        <v>21222</v>
      </c>
      <c r="AY751" s="6" t="s">
        <v>81</v>
      </c>
      <c r="AZ751" s="6" t="s">
        <v>81</v>
      </c>
      <c r="BA751" s="6" t="s">
        <v>81</v>
      </c>
      <c r="BB751" s="24" t="n">
        <v>49</v>
      </c>
      <c r="BC751" s="26"/>
      <c r="BD751" s="26"/>
      <c r="BE751" s="26"/>
      <c r="BF751" s="26"/>
      <c r="BG751" s="26"/>
      <c r="BH751" s="26"/>
      <c r="BI751" s="26"/>
      <c r="BJ751" s="26"/>
      <c r="BK751" s="26"/>
      <c r="BL751" s="26"/>
      <c r="BM751" s="26"/>
      <c r="BN751" s="26"/>
      <c r="BO751" s="26"/>
      <c r="BP751" s="16" t="n">
        <v>45738</v>
      </c>
      <c r="BQ751" s="28" t="str">
        <f>HYPERLINK("https://organic.ams.usda.gov/Integrity/Certificate.aspx?cid=52&amp;nopid=8431400871")</f>
        <v>https://organic.ams.usda.gov/Integrity/Certificate.aspx?cid=52&amp;nopid=8431400871</v>
      </c>
    </row>
    <row r="752">
      <c r="A752" t="s">
        <v>3</v>
      </c>
      <c r="B752" s="6" t="s">
        <v>12</v>
      </c>
      <c r="C752" s="6" t="s">
        <v>59</v>
      </c>
      <c r="D752" s="6" t="s">
        <v>105</v>
      </c>
      <c r="E752" s="10" t="s">
        <v>893</v>
      </c>
      <c r="F752" s="6" t="s">
        <v>3622</v>
      </c>
      <c r="G752" s="6" t="s">
        <v>81</v>
      </c>
      <c r="H752" s="6" t="s">
        <v>6574</v>
      </c>
      <c r="I752" s="6" t="s">
        <v>8835</v>
      </c>
      <c r="J752" s="6" t="s">
        <v>10053</v>
      </c>
      <c r="K752" s="6" t="s">
        <v>10886</v>
      </c>
      <c r="L752" s="16" t="n">
        <v>40028</v>
      </c>
      <c r="M752" s="16" t="n">
        <v>45717</v>
      </c>
      <c r="N752" s="6" t="s">
        <v>10886</v>
      </c>
      <c r="O752" s="16" t="n">
        <v>40028</v>
      </c>
      <c r="P752" s="6" t="s">
        <v>11354</v>
      </c>
      <c r="Q752" s="6" t="s">
        <v>81</v>
      </c>
      <c r="R752" s="6" t="s">
        <v>81</v>
      </c>
      <c r="S752" s="6" t="s">
        <v>10886</v>
      </c>
      <c r="T752" s="16" t="n">
        <v>40028</v>
      </c>
      <c r="U752" s="6" t="s">
        <v>13183</v>
      </c>
      <c r="V752" s="6" t="s">
        <v>81</v>
      </c>
      <c r="W752" s="6" t="s">
        <v>81</v>
      </c>
      <c r="X752" s="6" t="s">
        <v>81</v>
      </c>
      <c r="Y752" s="21" t="s">
        <v>81</v>
      </c>
      <c r="Z752" s="6" t="s">
        <v>81</v>
      </c>
      <c r="AA752" s="6" t="s">
        <v>81</v>
      </c>
      <c r="AB752" s="6" t="s">
        <v>81</v>
      </c>
      <c r="AC752" s="6" t="s">
        <v>81</v>
      </c>
      <c r="AD752" s="21" t="s">
        <v>81</v>
      </c>
      <c r="AE752" s="6" t="s">
        <v>81</v>
      </c>
      <c r="AF752" s="6" t="s">
        <v>81</v>
      </c>
      <c r="AG752" s="6" t="s">
        <v>81</v>
      </c>
      <c r="AH752" s="6" t="s">
        <v>15337</v>
      </c>
      <c r="AI752" s="6" t="s">
        <v>81</v>
      </c>
      <c r="AJ752" s="6" t="s">
        <v>17743</v>
      </c>
      <c r="AK752" s="6" t="s">
        <v>18380</v>
      </c>
      <c r="AL752" s="6" t="s">
        <v>18444</v>
      </c>
      <c r="AM752" s="6" t="s">
        <v>18911</v>
      </c>
      <c r="AN752" s="6" t="s">
        <v>19637</v>
      </c>
      <c r="AO752" s="6" t="s">
        <v>19904</v>
      </c>
      <c r="AP752" s="6" t="s">
        <v>15337</v>
      </c>
      <c r="AQ752" s="6" t="s">
        <v>81</v>
      </c>
      <c r="AR752" s="6" t="s">
        <v>17743</v>
      </c>
      <c r="AS752" s="6" t="s">
        <v>18380</v>
      </c>
      <c r="AT752" s="6" t="s">
        <v>18444</v>
      </c>
      <c r="AU752" s="6" t="s">
        <v>18911</v>
      </c>
      <c r="AV752" s="6" t="s">
        <v>81</v>
      </c>
      <c r="AW752" s="6" t="s">
        <v>81</v>
      </c>
      <c r="AX752" s="6" t="s">
        <v>81</v>
      </c>
      <c r="AY752" s="6" t="s">
        <v>81</v>
      </c>
      <c r="AZ752" s="6" t="s">
        <v>81</v>
      </c>
      <c r="BA752" s="6" t="s">
        <v>81</v>
      </c>
      <c r="BB752" s="24" t="n">
        <v>214</v>
      </c>
      <c r="BC752" s="26"/>
      <c r="BD752" s="26"/>
      <c r="BE752" s="26"/>
      <c r="BF752" s="26"/>
      <c r="BG752" s="26"/>
      <c r="BH752" s="26"/>
      <c r="BI752" s="26"/>
      <c r="BJ752" s="26"/>
      <c r="BK752" s="26"/>
      <c r="BL752" s="26"/>
      <c r="BM752" s="26"/>
      <c r="BN752" s="26"/>
      <c r="BO752" s="26"/>
      <c r="BP752" s="16" t="n">
        <v>45684</v>
      </c>
      <c r="BQ752" s="28" t="str">
        <f>HYPERLINK("https://organic.ams.usda.gov/Integrity/Certificate.aspx?cid=68&amp;nopid=8210002662")</f>
        <v>https://organic.ams.usda.gov/Integrity/Certificate.aspx?cid=68&amp;nopid=8210002662</v>
      </c>
    </row>
    <row r="753">
      <c r="A753" t="s">
        <v>3</v>
      </c>
      <c r="B753" s="6" t="s">
        <v>8</v>
      </c>
      <c r="C753" s="6" t="s">
        <v>55</v>
      </c>
      <c r="D753" s="6" t="s">
        <v>101</v>
      </c>
      <c r="E753" s="10" t="s">
        <v>894</v>
      </c>
      <c r="F753" s="6" t="s">
        <v>3623</v>
      </c>
      <c r="G753" s="6" t="s">
        <v>81</v>
      </c>
      <c r="H753" s="6" t="s">
        <v>6575</v>
      </c>
      <c r="I753" s="6" t="s">
        <v>8830</v>
      </c>
      <c r="J753" s="6" t="s">
        <v>9726</v>
      </c>
      <c r="K753" s="6" t="s">
        <v>10886</v>
      </c>
      <c r="L753" s="16" t="n">
        <v>40793</v>
      </c>
      <c r="M753" s="16" t="n">
        <v>45383</v>
      </c>
      <c r="N753" s="6" t="s">
        <v>10886</v>
      </c>
      <c r="O753" s="16" t="n">
        <v>40793</v>
      </c>
      <c r="P753" s="6" t="s">
        <v>11355</v>
      </c>
      <c r="Q753" s="6" t="s">
        <v>81</v>
      </c>
      <c r="R753" s="6" t="s">
        <v>6575</v>
      </c>
      <c r="S753" s="6" t="s">
        <v>10886</v>
      </c>
      <c r="T753" s="16" t="n">
        <v>40793</v>
      </c>
      <c r="U753" s="6" t="s">
        <v>13221</v>
      </c>
      <c r="V753" s="6" t="s">
        <v>81</v>
      </c>
      <c r="W753" s="6" t="s">
        <v>6575</v>
      </c>
      <c r="X753" s="6" t="s">
        <v>81</v>
      </c>
      <c r="Y753" s="21" t="s">
        <v>81</v>
      </c>
      <c r="Z753" s="6" t="s">
        <v>81</v>
      </c>
      <c r="AA753" s="6" t="s">
        <v>81</v>
      </c>
      <c r="AB753" s="6" t="s">
        <v>81</v>
      </c>
      <c r="AC753" s="6" t="s">
        <v>81</v>
      </c>
      <c r="AD753" s="21" t="s">
        <v>81</v>
      </c>
      <c r="AE753" s="6" t="s">
        <v>81</v>
      </c>
      <c r="AF753" s="6" t="s">
        <v>81</v>
      </c>
      <c r="AG753" s="6" t="s">
        <v>81</v>
      </c>
      <c r="AH753" s="6" t="s">
        <v>15338</v>
      </c>
      <c r="AI753" s="6" t="s">
        <v>81</v>
      </c>
      <c r="AJ753" s="6" t="s">
        <v>17744</v>
      </c>
      <c r="AK753" s="6" t="s">
        <v>18380</v>
      </c>
      <c r="AL753" s="6" t="s">
        <v>18444</v>
      </c>
      <c r="AM753" s="6" t="s">
        <v>18912</v>
      </c>
      <c r="AN753" s="6" t="s">
        <v>19698</v>
      </c>
      <c r="AO753" s="6" t="s">
        <v>19920</v>
      </c>
      <c r="AP753" s="6" t="s">
        <v>81</v>
      </c>
      <c r="AQ753" s="6" t="s">
        <v>81</v>
      </c>
      <c r="AR753" s="6" t="s">
        <v>81</v>
      </c>
      <c r="AS753" s="6" t="s">
        <v>81</v>
      </c>
      <c r="AT753" s="6" t="s">
        <v>81</v>
      </c>
      <c r="AU753" s="6" t="s">
        <v>81</v>
      </c>
      <c r="AV753" s="6" t="s">
        <v>81</v>
      </c>
      <c r="AW753" s="6" t="s">
        <v>81</v>
      </c>
      <c r="AX753" s="6" t="s">
        <v>81</v>
      </c>
      <c r="AY753" s="6" t="s">
        <v>81</v>
      </c>
      <c r="AZ753" s="6" t="s">
        <v>81</v>
      </c>
      <c r="BA753" s="6" t="s">
        <v>23824</v>
      </c>
      <c r="BB753" s="24" t="n">
        <v>122</v>
      </c>
      <c r="BC753" s="26"/>
      <c r="BD753" s="26"/>
      <c r="BE753" s="26"/>
      <c r="BF753" s="26" t="s">
        <v>23900</v>
      </c>
      <c r="BG753" s="26"/>
      <c r="BH753" s="26"/>
      <c r="BI753" s="26"/>
      <c r="BJ753" s="26"/>
      <c r="BK753" s="26"/>
      <c r="BL753" s="26"/>
      <c r="BM753" s="26"/>
      <c r="BN753" s="26"/>
      <c r="BO753" s="26"/>
      <c r="BP753" s="16" t="n">
        <v>45517</v>
      </c>
      <c r="BQ753" s="28" t="str">
        <f>HYPERLINK("https://organic.ams.usda.gov/Integrity/Certificate.aspx?cid=45&amp;nopid=9950004520")</f>
        <v>https://organic.ams.usda.gov/Integrity/Certificate.aspx?cid=45&amp;nopid=9950004520</v>
      </c>
    </row>
    <row r="754">
      <c r="A754" t="s">
        <v>3</v>
      </c>
      <c r="B754" s="6" t="s">
        <v>29</v>
      </c>
      <c r="C754" s="6" t="s">
        <v>76</v>
      </c>
      <c r="D754" s="6" t="s">
        <v>122</v>
      </c>
      <c r="E754" s="10" t="s">
        <v>895</v>
      </c>
      <c r="F754" s="6" t="s">
        <v>3624</v>
      </c>
      <c r="G754" s="6" t="s">
        <v>81</v>
      </c>
      <c r="H754" s="6" t="s">
        <v>6576</v>
      </c>
      <c r="I754" s="6" t="s">
        <v>8830</v>
      </c>
      <c r="J754" s="6" t="s">
        <v>9805</v>
      </c>
      <c r="K754" s="6" t="s">
        <v>10886</v>
      </c>
      <c r="L754" s="16" t="n">
        <v>43542</v>
      </c>
      <c r="M754" s="16" t="n">
        <v>45870</v>
      </c>
      <c r="N754" s="6" t="s">
        <v>10886</v>
      </c>
      <c r="O754" s="16" t="n">
        <v>43542</v>
      </c>
      <c r="P754" s="6" t="s">
        <v>11356</v>
      </c>
      <c r="Q754" s="6" t="s">
        <v>81</v>
      </c>
      <c r="R754" s="6" t="s">
        <v>12632</v>
      </c>
      <c r="S754" s="6" t="s">
        <v>10886</v>
      </c>
      <c r="T754" s="16" t="n">
        <v>43542</v>
      </c>
      <c r="U754" s="6" t="s">
        <v>13446</v>
      </c>
      <c r="V754" s="6" t="s">
        <v>81</v>
      </c>
      <c r="W754" s="6" t="s">
        <v>12632</v>
      </c>
      <c r="X754" s="6" t="s">
        <v>81</v>
      </c>
      <c r="Y754" s="21" t="s">
        <v>81</v>
      </c>
      <c r="Z754" s="6" t="s">
        <v>81</v>
      </c>
      <c r="AA754" s="6" t="s">
        <v>81</v>
      </c>
      <c r="AB754" s="6" t="s">
        <v>81</v>
      </c>
      <c r="AC754" s="6" t="s">
        <v>81</v>
      </c>
      <c r="AD754" s="21" t="s">
        <v>81</v>
      </c>
      <c r="AE754" s="6" t="s">
        <v>81</v>
      </c>
      <c r="AF754" s="6" t="s">
        <v>81</v>
      </c>
      <c r="AG754" s="6" t="s">
        <v>81</v>
      </c>
      <c r="AH754" s="6" t="s">
        <v>15339</v>
      </c>
      <c r="AI754" s="6" t="s">
        <v>81</v>
      </c>
      <c r="AJ754" s="6" t="s">
        <v>17406</v>
      </c>
      <c r="AK754" s="6" t="s">
        <v>17712</v>
      </c>
      <c r="AL754" s="6" t="s">
        <v>18444</v>
      </c>
      <c r="AM754" s="6" t="s">
        <v>18562</v>
      </c>
      <c r="AN754" s="6" t="s">
        <v>19670</v>
      </c>
      <c r="AO754" s="6" t="s">
        <v>19782</v>
      </c>
      <c r="AP754" s="6" t="s">
        <v>81</v>
      </c>
      <c r="AQ754" s="6" t="s">
        <v>81</v>
      </c>
      <c r="AR754" s="6" t="s">
        <v>81</v>
      </c>
      <c r="AS754" s="6" t="s">
        <v>81</v>
      </c>
      <c r="AT754" s="6" t="s">
        <v>81</v>
      </c>
      <c r="AU754" s="6" t="s">
        <v>81</v>
      </c>
      <c r="AV754" s="6" t="s">
        <v>81</v>
      </c>
      <c r="AW754" s="6" t="s">
        <v>81</v>
      </c>
      <c r="AX754" s="6" t="s">
        <v>81</v>
      </c>
      <c r="AY754" s="6" t="s">
        <v>81</v>
      </c>
      <c r="AZ754" s="6" t="s">
        <v>81</v>
      </c>
      <c r="BA754" s="6" t="s">
        <v>81</v>
      </c>
      <c r="BB754" s="24" t="n">
        <v>352</v>
      </c>
      <c r="BC754" s="26"/>
      <c r="BD754" s="26"/>
      <c r="BE754" s="26"/>
      <c r="BF754" s="26" t="s">
        <v>23900</v>
      </c>
      <c r="BG754" s="26"/>
      <c r="BH754" s="26"/>
      <c r="BI754" s="26"/>
      <c r="BJ754" s="26"/>
      <c r="BK754" s="26"/>
      <c r="BL754" s="26"/>
      <c r="BM754" s="26"/>
      <c r="BN754" s="26"/>
      <c r="BO754" s="26"/>
      <c r="BP754" s="16" t="n">
        <v>45737</v>
      </c>
      <c r="BQ754" s="28" t="str">
        <f>HYPERLINK("https://organic.ams.usda.gov/Integrity/Certificate.aspx?cid=31&amp;nopid=3928971992")</f>
        <v>https://organic.ams.usda.gov/Integrity/Certificate.aspx?cid=31&amp;nopid=3928971992</v>
      </c>
    </row>
    <row r="755">
      <c r="A755" t="s">
        <v>3</v>
      </c>
      <c r="B755" s="6" t="s">
        <v>7</v>
      </c>
      <c r="C755" s="6" t="s">
        <v>54</v>
      </c>
      <c r="D755" s="6" t="s">
        <v>100</v>
      </c>
      <c r="E755" s="10" t="s">
        <v>896</v>
      </c>
      <c r="F755" s="6" t="s">
        <v>3625</v>
      </c>
      <c r="G755" s="6" t="s">
        <v>81</v>
      </c>
      <c r="H755" s="6" t="s">
        <v>6577</v>
      </c>
      <c r="I755" s="6" t="s">
        <v>8836</v>
      </c>
      <c r="J755" s="6" t="s">
        <v>9665</v>
      </c>
      <c r="K755" s="6" t="s">
        <v>10886</v>
      </c>
      <c r="L755" s="16" t="n">
        <v>42923</v>
      </c>
      <c r="M755" s="16" t="n">
        <v>45716</v>
      </c>
      <c r="N755" s="6" t="s">
        <v>10886</v>
      </c>
      <c r="O755" s="16" t="n">
        <v>42923</v>
      </c>
      <c r="P755" s="6" t="s">
        <v>11208</v>
      </c>
      <c r="Q755" s="6" t="s">
        <v>81</v>
      </c>
      <c r="R755" s="6" t="s">
        <v>81</v>
      </c>
      <c r="S755" s="6" t="s">
        <v>10886</v>
      </c>
      <c r="T755" s="16" t="n">
        <v>42948</v>
      </c>
      <c r="U755" s="6" t="s">
        <v>13169</v>
      </c>
      <c r="V755" s="6" t="s">
        <v>81</v>
      </c>
      <c r="W755" s="6" t="s">
        <v>81</v>
      </c>
      <c r="X755" s="6" t="s">
        <v>81</v>
      </c>
      <c r="Y755" s="21" t="s">
        <v>81</v>
      </c>
      <c r="Z755" s="6" t="s">
        <v>81</v>
      </c>
      <c r="AA755" s="6" t="s">
        <v>81</v>
      </c>
      <c r="AB755" s="6" t="s">
        <v>81</v>
      </c>
      <c r="AC755" s="6" t="s">
        <v>81</v>
      </c>
      <c r="AD755" s="21" t="s">
        <v>81</v>
      </c>
      <c r="AE755" s="6" t="s">
        <v>81</v>
      </c>
      <c r="AF755" s="6" t="s">
        <v>81</v>
      </c>
      <c r="AG755" s="6" t="s">
        <v>81</v>
      </c>
      <c r="AH755" s="6" t="s">
        <v>15340</v>
      </c>
      <c r="AI755" s="6" t="s">
        <v>81</v>
      </c>
      <c r="AJ755" s="6" t="s">
        <v>17745</v>
      </c>
      <c r="AK755" s="6" t="s">
        <v>17712</v>
      </c>
      <c r="AL755" s="6" t="s">
        <v>18444</v>
      </c>
      <c r="AM755" s="6" t="s">
        <v>18913</v>
      </c>
      <c r="AN755" s="6" t="s">
        <v>19684</v>
      </c>
      <c r="AO755" s="6" t="s">
        <v>19784</v>
      </c>
      <c r="AP755" s="6" t="s">
        <v>15340</v>
      </c>
      <c r="AQ755" s="6" t="s">
        <v>81</v>
      </c>
      <c r="AR755" s="6" t="s">
        <v>17745</v>
      </c>
      <c r="AS755" s="6" t="s">
        <v>17712</v>
      </c>
      <c r="AT755" s="6" t="s">
        <v>18444</v>
      </c>
      <c r="AU755" s="6" t="s">
        <v>18913</v>
      </c>
      <c r="AV755" s="6" t="s">
        <v>81</v>
      </c>
      <c r="AW755" s="6" t="s">
        <v>81</v>
      </c>
      <c r="AX755" s="6" t="s">
        <v>81</v>
      </c>
      <c r="AY755" s="6" t="s">
        <v>81</v>
      </c>
      <c r="AZ755" s="6" t="s">
        <v>81</v>
      </c>
      <c r="BA755" s="6" t="s">
        <v>81</v>
      </c>
      <c r="BB755" s="24" t="n">
        <v>68</v>
      </c>
      <c r="BC755" s="26"/>
      <c r="BD755" s="26"/>
      <c r="BE755" s="26"/>
      <c r="BF755" s="26"/>
      <c r="BG755" s="26"/>
      <c r="BH755" s="26"/>
      <c r="BI755" s="26"/>
      <c r="BJ755" s="26"/>
      <c r="BK755" s="26"/>
      <c r="BL755" s="26"/>
      <c r="BM755" s="26"/>
      <c r="BN755" s="26"/>
      <c r="BO755" s="26"/>
      <c r="BP755" s="16" t="n">
        <v>45595</v>
      </c>
      <c r="BQ755" s="28" t="str">
        <f>HYPERLINK("https://organic.ams.usda.gov/Integrity/Certificate.aspx?cid=57&amp;nopid=3252017007")</f>
        <v>https://organic.ams.usda.gov/Integrity/Certificate.aspx?cid=57&amp;nopid=3252017007</v>
      </c>
    </row>
    <row r="756">
      <c r="A756" t="s">
        <v>3</v>
      </c>
      <c r="B756" s="6" t="s">
        <v>9</v>
      </c>
      <c r="C756" s="6" t="s">
        <v>56</v>
      </c>
      <c r="D756" s="6" t="s">
        <v>102</v>
      </c>
      <c r="E756" s="10" t="s">
        <v>897</v>
      </c>
      <c r="F756" s="6" t="s">
        <v>3626</v>
      </c>
      <c r="G756" s="6" t="s">
        <v>81</v>
      </c>
      <c r="H756" s="6" t="s">
        <v>6578</v>
      </c>
      <c r="I756" s="6" t="s">
        <v>8836</v>
      </c>
      <c r="J756" s="6" t="s">
        <v>9697</v>
      </c>
      <c r="K756" s="6" t="s">
        <v>10886</v>
      </c>
      <c r="L756" s="16" t="n">
        <v>42009</v>
      </c>
      <c r="M756" s="16" t="n">
        <v>45748</v>
      </c>
      <c r="N756" s="6" t="s">
        <v>10886</v>
      </c>
      <c r="O756" s="16" t="n">
        <v>42009</v>
      </c>
      <c r="P756" s="6" t="s">
        <v>10922</v>
      </c>
      <c r="Q756" s="6" t="s">
        <v>81</v>
      </c>
      <c r="R756" s="6" t="s">
        <v>12633</v>
      </c>
      <c r="S756" s="6" t="s">
        <v>10886</v>
      </c>
      <c r="T756" s="16" t="n">
        <v>42009</v>
      </c>
      <c r="U756" s="6" t="s">
        <v>13168</v>
      </c>
      <c r="V756" s="6" t="s">
        <v>81</v>
      </c>
      <c r="W756" s="6" t="s">
        <v>12633</v>
      </c>
      <c r="X756" s="6" t="s">
        <v>81</v>
      </c>
      <c r="Y756" s="21" t="s">
        <v>81</v>
      </c>
      <c r="Z756" s="6" t="s">
        <v>81</v>
      </c>
      <c r="AA756" s="6" t="s">
        <v>81</v>
      </c>
      <c r="AB756" s="6" t="s">
        <v>81</v>
      </c>
      <c r="AC756" s="6" t="s">
        <v>81</v>
      </c>
      <c r="AD756" s="21" t="s">
        <v>81</v>
      </c>
      <c r="AE756" s="6" t="s">
        <v>81</v>
      </c>
      <c r="AF756" s="6" t="s">
        <v>81</v>
      </c>
      <c r="AG756" s="6" t="s">
        <v>81</v>
      </c>
      <c r="AH756" s="6" t="s">
        <v>15341</v>
      </c>
      <c r="AI756" s="6" t="s">
        <v>81</v>
      </c>
      <c r="AJ756" s="6" t="s">
        <v>17324</v>
      </c>
      <c r="AK756" s="6" t="s">
        <v>18378</v>
      </c>
      <c r="AL756" s="6" t="s">
        <v>18444</v>
      </c>
      <c r="AM756" s="6" t="s">
        <v>18476</v>
      </c>
      <c r="AN756" s="6" t="s">
        <v>19640</v>
      </c>
      <c r="AO756" s="6" t="s">
        <v>19726</v>
      </c>
      <c r="AP756" s="6" t="s">
        <v>81</v>
      </c>
      <c r="AQ756" s="6" t="s">
        <v>81</v>
      </c>
      <c r="AR756" s="6" t="s">
        <v>81</v>
      </c>
      <c r="AS756" s="6" t="s">
        <v>81</v>
      </c>
      <c r="AT756" s="6" t="s">
        <v>81</v>
      </c>
      <c r="AU756" s="6" t="s">
        <v>81</v>
      </c>
      <c r="AV756" s="6" t="s">
        <v>81</v>
      </c>
      <c r="AW756" s="6" t="s">
        <v>81</v>
      </c>
      <c r="AX756" s="6" t="s">
        <v>81</v>
      </c>
      <c r="AY756" s="6" t="s">
        <v>81</v>
      </c>
      <c r="AZ756" s="6" t="s">
        <v>81</v>
      </c>
      <c r="BA756" s="6" t="s">
        <v>81</v>
      </c>
      <c r="BB756" s="24" t="n">
        <v>124</v>
      </c>
      <c r="BC756" s="26"/>
      <c r="BD756" s="26"/>
      <c r="BE756" s="26"/>
      <c r="BF756" s="26"/>
      <c r="BG756" s="26"/>
      <c r="BH756" s="26"/>
      <c r="BI756" s="26"/>
      <c r="BJ756" s="26"/>
      <c r="BK756" s="26"/>
      <c r="BL756" s="26"/>
      <c r="BM756" s="26"/>
      <c r="BN756" s="26"/>
      <c r="BO756" s="26"/>
      <c r="BP756" s="16" t="n">
        <v>45738</v>
      </c>
      <c r="BQ756" s="28" t="str">
        <f>HYPERLINK("https://organic.ams.usda.gov/Integrity/Certificate.aspx?cid=52&amp;nopid=8431400915")</f>
        <v>https://organic.ams.usda.gov/Integrity/Certificate.aspx?cid=52&amp;nopid=8431400915</v>
      </c>
    </row>
    <row r="757">
      <c r="A757" t="s">
        <v>3</v>
      </c>
      <c r="B757" s="6" t="s">
        <v>29</v>
      </c>
      <c r="C757" s="6" t="s">
        <v>76</v>
      </c>
      <c r="D757" s="6" t="s">
        <v>122</v>
      </c>
      <c r="E757" s="10" t="s">
        <v>898</v>
      </c>
      <c r="F757" s="6" t="s">
        <v>3627</v>
      </c>
      <c r="G757" s="6" t="s">
        <v>81</v>
      </c>
      <c r="H757" s="6" t="s">
        <v>6579</v>
      </c>
      <c r="I757" s="6" t="s">
        <v>8837</v>
      </c>
      <c r="J757" s="6" t="s">
        <v>9816</v>
      </c>
      <c r="K757" s="6" t="s">
        <v>10886</v>
      </c>
      <c r="L757" s="16" t="n">
        <v>39112</v>
      </c>
      <c r="M757" s="16" t="n">
        <v>45505</v>
      </c>
      <c r="N757" s="6" t="s">
        <v>10886</v>
      </c>
      <c r="O757" s="16" t="n">
        <v>39112</v>
      </c>
      <c r="P757" s="6" t="s">
        <v>11357</v>
      </c>
      <c r="Q757" s="6" t="s">
        <v>81</v>
      </c>
      <c r="R757" s="6" t="s">
        <v>12634</v>
      </c>
      <c r="S757" s="6" t="s">
        <v>10886</v>
      </c>
      <c r="T757" s="16" t="n">
        <v>39112</v>
      </c>
      <c r="U757" s="6" t="s">
        <v>13447</v>
      </c>
      <c r="V757" s="6" t="s">
        <v>81</v>
      </c>
      <c r="W757" s="6" t="s">
        <v>12634</v>
      </c>
      <c r="X757" s="6" t="s">
        <v>81</v>
      </c>
      <c r="Y757" s="21" t="s">
        <v>81</v>
      </c>
      <c r="Z757" s="6" t="s">
        <v>81</v>
      </c>
      <c r="AA757" s="6" t="s">
        <v>81</v>
      </c>
      <c r="AB757" s="6" t="s">
        <v>81</v>
      </c>
      <c r="AC757" s="6" t="s">
        <v>81</v>
      </c>
      <c r="AD757" s="21" t="s">
        <v>81</v>
      </c>
      <c r="AE757" s="6" t="s">
        <v>81</v>
      </c>
      <c r="AF757" s="6" t="s">
        <v>81</v>
      </c>
      <c r="AG757" s="6" t="s">
        <v>81</v>
      </c>
      <c r="AH757" s="6" t="s">
        <v>15342</v>
      </c>
      <c r="AI757" s="6" t="s">
        <v>81</v>
      </c>
      <c r="AJ757" s="6" t="s">
        <v>17746</v>
      </c>
      <c r="AK757" s="6" t="s">
        <v>17712</v>
      </c>
      <c r="AL757" s="6" t="s">
        <v>18444</v>
      </c>
      <c r="AM757" s="6" t="s">
        <v>18914</v>
      </c>
      <c r="AN757" s="6" t="s">
        <v>19634</v>
      </c>
      <c r="AO757" s="6" t="s">
        <v>19719</v>
      </c>
      <c r="AP757" s="6" t="s">
        <v>81</v>
      </c>
      <c r="AQ757" s="6" t="s">
        <v>81</v>
      </c>
      <c r="AR757" s="6" t="s">
        <v>81</v>
      </c>
      <c r="AS757" s="6" t="s">
        <v>81</v>
      </c>
      <c r="AT757" s="6" t="s">
        <v>81</v>
      </c>
      <c r="AU757" s="6" t="s">
        <v>81</v>
      </c>
      <c r="AV757" s="6" t="s">
        <v>81</v>
      </c>
      <c r="AW757" s="6" t="s">
        <v>81</v>
      </c>
      <c r="AX757" s="6" t="s">
        <v>21223</v>
      </c>
      <c r="AY757" s="6" t="s">
        <v>81</v>
      </c>
      <c r="AZ757" s="6" t="s">
        <v>81</v>
      </c>
      <c r="BA757" s="6" t="s">
        <v>81</v>
      </c>
      <c r="BB757" s="24" t="n">
        <v>187</v>
      </c>
      <c r="BC757" s="26"/>
      <c r="BD757" s="26"/>
      <c r="BE757" s="26"/>
      <c r="BF757" s="26" t="s">
        <v>23900</v>
      </c>
      <c r="BG757" s="26"/>
      <c r="BH757" s="26"/>
      <c r="BI757" s="26"/>
      <c r="BJ757" s="26"/>
      <c r="BK757" s="26"/>
      <c r="BL757" s="26"/>
      <c r="BM757" s="26"/>
      <c r="BN757" s="26"/>
      <c r="BO757" s="26"/>
      <c r="BP757" s="16" t="n">
        <v>45737</v>
      </c>
      <c r="BQ757" s="28" t="str">
        <f>HYPERLINK("https://organic.ams.usda.gov/Integrity/Certificate.aspx?cid=31&amp;nopid=3920897641")</f>
        <v>https://organic.ams.usda.gov/Integrity/Certificate.aspx?cid=31&amp;nopid=3920897641</v>
      </c>
    </row>
    <row r="758">
      <c r="A758" t="s">
        <v>3</v>
      </c>
      <c r="B758" s="6" t="s">
        <v>12</v>
      </c>
      <c r="C758" s="6" t="s">
        <v>59</v>
      </c>
      <c r="D758" s="6" t="s">
        <v>105</v>
      </c>
      <c r="E758" s="10" t="s">
        <v>899</v>
      </c>
      <c r="F758" s="6" t="s">
        <v>3628</v>
      </c>
      <c r="G758" s="6" t="s">
        <v>81</v>
      </c>
      <c r="H758" s="6" t="s">
        <v>6580</v>
      </c>
      <c r="I758" s="6" t="s">
        <v>8838</v>
      </c>
      <c r="J758" s="6" t="s">
        <v>9677</v>
      </c>
      <c r="K758" s="6" t="s">
        <v>10886</v>
      </c>
      <c r="L758" s="16" t="n">
        <v>43795</v>
      </c>
      <c r="M758" s="16" t="n">
        <v>46082</v>
      </c>
      <c r="N758" s="6" t="s">
        <v>10886</v>
      </c>
      <c r="O758" s="16" t="n">
        <v>43795</v>
      </c>
      <c r="P758" s="6" t="s">
        <v>11358</v>
      </c>
      <c r="Q758" s="6" t="s">
        <v>81</v>
      </c>
      <c r="R758" s="6" t="s">
        <v>81</v>
      </c>
      <c r="S758" s="6" t="s">
        <v>10886</v>
      </c>
      <c r="T758" s="16" t="n">
        <v>43795</v>
      </c>
      <c r="U758" s="6" t="s">
        <v>13448</v>
      </c>
      <c r="V758" s="6" t="s">
        <v>81</v>
      </c>
      <c r="W758" s="6" t="s">
        <v>81</v>
      </c>
      <c r="X758" s="6" t="s">
        <v>81</v>
      </c>
      <c r="Y758" s="21" t="s">
        <v>81</v>
      </c>
      <c r="Z758" s="6" t="s">
        <v>81</v>
      </c>
      <c r="AA758" s="6" t="s">
        <v>81</v>
      </c>
      <c r="AB758" s="6" t="s">
        <v>81</v>
      </c>
      <c r="AC758" s="6" t="s">
        <v>81</v>
      </c>
      <c r="AD758" s="21" t="s">
        <v>81</v>
      </c>
      <c r="AE758" s="6" t="s">
        <v>81</v>
      </c>
      <c r="AF758" s="6" t="s">
        <v>81</v>
      </c>
      <c r="AG758" s="6" t="s">
        <v>81</v>
      </c>
      <c r="AH758" s="6" t="s">
        <v>15343</v>
      </c>
      <c r="AI758" s="6" t="s">
        <v>81</v>
      </c>
      <c r="AJ758" s="6" t="s">
        <v>17387</v>
      </c>
      <c r="AK758" s="6" t="s">
        <v>18380</v>
      </c>
      <c r="AL758" s="6" t="s">
        <v>18444</v>
      </c>
      <c r="AM758" s="6" t="s">
        <v>18541</v>
      </c>
      <c r="AN758" s="6" t="s">
        <v>19639</v>
      </c>
      <c r="AO758" s="6" t="s">
        <v>19725</v>
      </c>
      <c r="AP758" s="6" t="s">
        <v>15343</v>
      </c>
      <c r="AQ758" s="6" t="s">
        <v>81</v>
      </c>
      <c r="AR758" s="6" t="s">
        <v>17387</v>
      </c>
      <c r="AS758" s="6" t="s">
        <v>18380</v>
      </c>
      <c r="AT758" s="6" t="s">
        <v>18444</v>
      </c>
      <c r="AU758" s="6" t="s">
        <v>18541</v>
      </c>
      <c r="AV758" s="6" t="s">
        <v>81</v>
      </c>
      <c r="AW758" s="6" t="s">
        <v>81</v>
      </c>
      <c r="AX758" s="6" t="s">
        <v>21224</v>
      </c>
      <c r="AY758" s="6" t="s">
        <v>81</v>
      </c>
      <c r="AZ758" s="6" t="s">
        <v>81</v>
      </c>
      <c r="BA758" s="6" t="s">
        <v>81</v>
      </c>
      <c r="BB758" s="24" t="n">
        <v>68</v>
      </c>
      <c r="BC758" s="26"/>
      <c r="BD758" s="26"/>
      <c r="BE758" s="26"/>
      <c r="BF758" s="26" t="s">
        <v>23900</v>
      </c>
      <c r="BG758" s="26"/>
      <c r="BH758" s="26"/>
      <c r="BI758" s="26"/>
      <c r="BJ758" s="26"/>
      <c r="BK758" s="26"/>
      <c r="BL758" s="26"/>
      <c r="BM758" s="26"/>
      <c r="BN758" s="26"/>
      <c r="BO758" s="26"/>
      <c r="BP758" s="16" t="n">
        <v>45736</v>
      </c>
      <c r="BQ758" s="28" t="str">
        <f>HYPERLINK("https://organic.ams.usda.gov/Integrity/Certificate.aspx?cid=68&amp;nopid=8210005975")</f>
        <v>https://organic.ams.usda.gov/Integrity/Certificate.aspx?cid=68&amp;nopid=8210005975</v>
      </c>
    </row>
    <row r="759">
      <c r="A759" t="s">
        <v>3</v>
      </c>
      <c r="B759" s="6" t="s">
        <v>25</v>
      </c>
      <c r="C759" s="6" t="s">
        <v>72</v>
      </c>
      <c r="D759" s="6" t="s">
        <v>118</v>
      </c>
      <c r="E759" s="10" t="s">
        <v>900</v>
      </c>
      <c r="F759" s="6" t="s">
        <v>3629</v>
      </c>
      <c r="G759" s="6" t="s">
        <v>81</v>
      </c>
      <c r="H759" s="6" t="s">
        <v>6581</v>
      </c>
      <c r="I759" s="6" t="s">
        <v>8839</v>
      </c>
      <c r="J759" s="6" t="s">
        <v>10054</v>
      </c>
      <c r="K759" s="6" t="s">
        <v>10886</v>
      </c>
      <c r="L759" s="16" t="n">
        <v>45614</v>
      </c>
      <c r="M759" s="16" t="n">
        <v>46023</v>
      </c>
      <c r="N759" s="6" t="s">
        <v>10886</v>
      </c>
      <c r="O759" s="16" t="n">
        <v>45614</v>
      </c>
      <c r="P759" s="6" t="s">
        <v>11359</v>
      </c>
      <c r="Q759" s="6" t="s">
        <v>81</v>
      </c>
      <c r="R759" s="6" t="s">
        <v>81</v>
      </c>
      <c r="S759" s="6" t="s">
        <v>10886</v>
      </c>
      <c r="T759" s="16" t="n">
        <v>45614</v>
      </c>
      <c r="U759" s="6" t="s">
        <v>13449</v>
      </c>
      <c r="V759" s="6" t="s">
        <v>81</v>
      </c>
      <c r="W759" s="6" t="s">
        <v>81</v>
      </c>
      <c r="X759" s="6" t="s">
        <v>81</v>
      </c>
      <c r="Y759" s="21" t="s">
        <v>81</v>
      </c>
      <c r="Z759" s="6" t="s">
        <v>81</v>
      </c>
      <c r="AA759" s="6" t="s">
        <v>81</v>
      </c>
      <c r="AB759" s="6" t="s">
        <v>81</v>
      </c>
      <c r="AC759" s="6" t="s">
        <v>10886</v>
      </c>
      <c r="AD759" s="16" t="n">
        <v>45614</v>
      </c>
      <c r="AE759" s="6" t="s">
        <v>14081</v>
      </c>
      <c r="AF759" s="6" t="s">
        <v>81</v>
      </c>
      <c r="AG759" s="6" t="s">
        <v>81</v>
      </c>
      <c r="AH759" s="6" t="s">
        <v>15344</v>
      </c>
      <c r="AI759" s="6" t="s">
        <v>81</v>
      </c>
      <c r="AJ759" s="6" t="s">
        <v>17477</v>
      </c>
      <c r="AK759" s="6" t="s">
        <v>18380</v>
      </c>
      <c r="AL759" s="6" t="s">
        <v>18444</v>
      </c>
      <c r="AM759" s="6" t="s">
        <v>18639</v>
      </c>
      <c r="AN759" s="6" t="s">
        <v>81</v>
      </c>
      <c r="AO759" s="6" t="s">
        <v>81</v>
      </c>
      <c r="AP759" s="6" t="s">
        <v>15344</v>
      </c>
      <c r="AQ759" s="6" t="s">
        <v>81</v>
      </c>
      <c r="AR759" s="6" t="s">
        <v>17477</v>
      </c>
      <c r="AS759" s="6" t="s">
        <v>18380</v>
      </c>
      <c r="AT759" s="6" t="s">
        <v>18444</v>
      </c>
      <c r="AU759" s="6" t="s">
        <v>18639</v>
      </c>
      <c r="AV759" s="6" t="s">
        <v>81</v>
      </c>
      <c r="AW759" s="6" t="s">
        <v>81</v>
      </c>
      <c r="AX759" s="6" t="s">
        <v>21225</v>
      </c>
      <c r="AY759" s="6" t="s">
        <v>22838</v>
      </c>
      <c r="AZ759" s="6" t="s">
        <v>81</v>
      </c>
      <c r="BA759" s="6" t="s">
        <v>23827</v>
      </c>
      <c r="BB759" s="24" t="n">
        <v>71</v>
      </c>
      <c r="BC759" s="26"/>
      <c r="BD759" s="26"/>
      <c r="BE759" s="26"/>
      <c r="BF759" s="26" t="s">
        <v>23900</v>
      </c>
      <c r="BG759" s="26"/>
      <c r="BH759" s="26"/>
      <c r="BI759" s="26"/>
      <c r="BJ759" s="26"/>
      <c r="BK759" s="26"/>
      <c r="BL759" s="26"/>
      <c r="BM759" s="26"/>
      <c r="BN759" s="26"/>
      <c r="BO759" s="26"/>
      <c r="BP759" s="16" t="n">
        <v>45712</v>
      </c>
      <c r="BQ759" s="28" t="str">
        <f>HYPERLINK("https://organic.ams.usda.gov/Integrity/Certificate.aspx?cid=15&amp;nopid=5561008738")</f>
        <v>https://organic.ams.usda.gov/Integrity/Certificate.aspx?cid=15&amp;nopid=5561008738</v>
      </c>
    </row>
    <row r="760">
      <c r="A760" t="s">
        <v>3</v>
      </c>
      <c r="B760" s="6" t="s">
        <v>9</v>
      </c>
      <c r="C760" s="6" t="s">
        <v>56</v>
      </c>
      <c r="D760" s="6" t="s">
        <v>102</v>
      </c>
      <c r="E760" s="10" t="s">
        <v>901</v>
      </c>
      <c r="F760" s="6" t="s">
        <v>3630</v>
      </c>
      <c r="G760" s="6" t="s">
        <v>81</v>
      </c>
      <c r="H760" s="6" t="s">
        <v>6582</v>
      </c>
      <c r="I760" s="6" t="s">
        <v>8840</v>
      </c>
      <c r="J760" s="6" t="s">
        <v>9742</v>
      </c>
      <c r="K760" s="6" t="s">
        <v>10886</v>
      </c>
      <c r="L760" s="16" t="n">
        <v>45532</v>
      </c>
      <c r="M760" s="16" t="n">
        <v>45748</v>
      </c>
      <c r="N760" s="6" t="s">
        <v>10886</v>
      </c>
      <c r="O760" s="16" t="n">
        <v>45532</v>
      </c>
      <c r="P760" s="6" t="s">
        <v>11360</v>
      </c>
      <c r="Q760" s="6" t="s">
        <v>81</v>
      </c>
      <c r="R760" s="6" t="s">
        <v>12635</v>
      </c>
      <c r="S760" s="6" t="s">
        <v>10886</v>
      </c>
      <c r="T760" s="16" t="n">
        <v>45532</v>
      </c>
      <c r="U760" s="6" t="s">
        <v>13450</v>
      </c>
      <c r="V760" s="6" t="s">
        <v>81</v>
      </c>
      <c r="W760" s="6" t="s">
        <v>12635</v>
      </c>
      <c r="X760" s="6" t="s">
        <v>81</v>
      </c>
      <c r="Y760" s="21" t="s">
        <v>81</v>
      </c>
      <c r="Z760" s="6" t="s">
        <v>81</v>
      </c>
      <c r="AA760" s="6" t="s">
        <v>81</v>
      </c>
      <c r="AB760" s="6" t="s">
        <v>81</v>
      </c>
      <c r="AC760" s="6" t="s">
        <v>81</v>
      </c>
      <c r="AD760" s="21" t="s">
        <v>81</v>
      </c>
      <c r="AE760" s="6" t="s">
        <v>81</v>
      </c>
      <c r="AF760" s="6" t="s">
        <v>81</v>
      </c>
      <c r="AG760" s="6" t="s">
        <v>81</v>
      </c>
      <c r="AH760" s="6" t="s">
        <v>15345</v>
      </c>
      <c r="AI760" s="6" t="s">
        <v>81</v>
      </c>
      <c r="AJ760" s="6" t="s">
        <v>17635</v>
      </c>
      <c r="AK760" s="6" t="s">
        <v>18379</v>
      </c>
      <c r="AL760" s="6" t="s">
        <v>18444</v>
      </c>
      <c r="AM760" s="6" t="s">
        <v>18804</v>
      </c>
      <c r="AN760" s="6" t="s">
        <v>81</v>
      </c>
      <c r="AO760" s="6" t="s">
        <v>81</v>
      </c>
      <c r="AP760" s="6" t="s">
        <v>81</v>
      </c>
      <c r="AQ760" s="6" t="s">
        <v>81</v>
      </c>
      <c r="AR760" s="6" t="s">
        <v>81</v>
      </c>
      <c r="AS760" s="6" t="s">
        <v>81</v>
      </c>
      <c r="AT760" s="6" t="s">
        <v>81</v>
      </c>
      <c r="AU760" s="6" t="s">
        <v>81</v>
      </c>
      <c r="AV760" s="6" t="s">
        <v>81</v>
      </c>
      <c r="AW760" s="6" t="s">
        <v>81</v>
      </c>
      <c r="AX760" s="6" t="s">
        <v>21226</v>
      </c>
      <c r="AY760" s="6" t="s">
        <v>81</v>
      </c>
      <c r="AZ760" s="6" t="s">
        <v>81</v>
      </c>
      <c r="BA760" s="6" t="s">
        <v>81</v>
      </c>
      <c r="BB760" s="24" t="n">
        <v>85</v>
      </c>
      <c r="BC760" s="26"/>
      <c r="BD760" s="26"/>
      <c r="BE760" s="26"/>
      <c r="BF760" s="26"/>
      <c r="BG760" s="26"/>
      <c r="BH760" s="26"/>
      <c r="BI760" s="26"/>
      <c r="BJ760" s="26"/>
      <c r="BK760" s="26"/>
      <c r="BL760" s="26"/>
      <c r="BM760" s="26"/>
      <c r="BN760" s="26"/>
      <c r="BO760" s="26"/>
      <c r="BP760" s="16" t="n">
        <v>45738</v>
      </c>
      <c r="BQ760" s="28" t="str">
        <f>HYPERLINK("https://organic.ams.usda.gov/Integrity/Certificate.aspx?cid=52&amp;nopid=8432402119")</f>
        <v>https://organic.ams.usda.gov/Integrity/Certificate.aspx?cid=52&amp;nopid=8432402119</v>
      </c>
    </row>
    <row r="761">
      <c r="A761" t="s">
        <v>3</v>
      </c>
      <c r="B761" s="6" t="s">
        <v>12</v>
      </c>
      <c r="C761" s="6" t="s">
        <v>59</v>
      </c>
      <c r="D761" s="6" t="s">
        <v>105</v>
      </c>
      <c r="E761" s="10" t="s">
        <v>902</v>
      </c>
      <c r="F761" s="6" t="s">
        <v>3631</v>
      </c>
      <c r="G761" s="6" t="s">
        <v>81</v>
      </c>
      <c r="H761" s="6" t="s">
        <v>6583</v>
      </c>
      <c r="I761" s="6" t="s">
        <v>8841</v>
      </c>
      <c r="J761" s="6" t="s">
        <v>10055</v>
      </c>
      <c r="K761" s="6" t="s">
        <v>10886</v>
      </c>
      <c r="L761" s="16" t="n">
        <v>44111</v>
      </c>
      <c r="M761" s="16" t="n">
        <v>45717</v>
      </c>
      <c r="N761" s="6" t="s">
        <v>10886</v>
      </c>
      <c r="O761" s="16" t="n">
        <v>44111</v>
      </c>
      <c r="P761" s="6" t="s">
        <v>11361</v>
      </c>
      <c r="Q761" s="6" t="s">
        <v>81</v>
      </c>
      <c r="R761" s="6" t="s">
        <v>81</v>
      </c>
      <c r="S761" s="6" t="s">
        <v>10886</v>
      </c>
      <c r="T761" s="16" t="n">
        <v>44111</v>
      </c>
      <c r="U761" s="6" t="s">
        <v>13183</v>
      </c>
      <c r="V761" s="6" t="s">
        <v>81</v>
      </c>
      <c r="W761" s="6" t="s">
        <v>81</v>
      </c>
      <c r="X761" s="6" t="s">
        <v>81</v>
      </c>
      <c r="Y761" s="21" t="s">
        <v>81</v>
      </c>
      <c r="Z761" s="6" t="s">
        <v>81</v>
      </c>
      <c r="AA761" s="6" t="s">
        <v>81</v>
      </c>
      <c r="AB761" s="6" t="s">
        <v>81</v>
      </c>
      <c r="AC761" s="6" t="s">
        <v>81</v>
      </c>
      <c r="AD761" s="21" t="s">
        <v>81</v>
      </c>
      <c r="AE761" s="6" t="s">
        <v>81</v>
      </c>
      <c r="AF761" s="6" t="s">
        <v>81</v>
      </c>
      <c r="AG761" s="6" t="s">
        <v>81</v>
      </c>
      <c r="AH761" s="6" t="s">
        <v>15346</v>
      </c>
      <c r="AI761" s="6" t="s">
        <v>81</v>
      </c>
      <c r="AJ761" s="6" t="s">
        <v>17747</v>
      </c>
      <c r="AK761" s="6" t="s">
        <v>18380</v>
      </c>
      <c r="AL761" s="6" t="s">
        <v>18444</v>
      </c>
      <c r="AM761" s="6" t="s">
        <v>18820</v>
      </c>
      <c r="AN761" s="6" t="s">
        <v>19681</v>
      </c>
      <c r="AO761" s="6" t="s">
        <v>19805</v>
      </c>
      <c r="AP761" s="6" t="s">
        <v>15346</v>
      </c>
      <c r="AQ761" s="6" t="s">
        <v>81</v>
      </c>
      <c r="AR761" s="6" t="s">
        <v>17747</v>
      </c>
      <c r="AS761" s="6" t="s">
        <v>18380</v>
      </c>
      <c r="AT761" s="6" t="s">
        <v>18444</v>
      </c>
      <c r="AU761" s="6" t="s">
        <v>18820</v>
      </c>
      <c r="AV761" s="6" t="s">
        <v>81</v>
      </c>
      <c r="AW761" s="6" t="s">
        <v>81</v>
      </c>
      <c r="AX761" s="6" t="s">
        <v>21227</v>
      </c>
      <c r="AY761" s="6" t="s">
        <v>81</v>
      </c>
      <c r="AZ761" s="6" t="s">
        <v>81</v>
      </c>
      <c r="BA761" s="6" t="s">
        <v>81</v>
      </c>
      <c r="BB761" s="24" t="n">
        <v>109</v>
      </c>
      <c r="BC761" s="26"/>
      <c r="BD761" s="26"/>
      <c r="BE761" s="26"/>
      <c r="BF761" s="26"/>
      <c r="BG761" s="26"/>
      <c r="BH761" s="26"/>
      <c r="BI761" s="26"/>
      <c r="BJ761" s="26"/>
      <c r="BK761" s="26"/>
      <c r="BL761" s="26"/>
      <c r="BM761" s="26"/>
      <c r="BN761" s="26"/>
      <c r="BO761" s="26"/>
      <c r="BP761" s="16" t="n">
        <v>45684</v>
      </c>
      <c r="BQ761" s="28" t="str">
        <f>HYPERLINK("https://organic.ams.usda.gov/Integrity/Certificate.aspx?cid=68&amp;nopid=8210007594")</f>
        <v>https://organic.ams.usda.gov/Integrity/Certificate.aspx?cid=68&amp;nopid=8210007594</v>
      </c>
    </row>
    <row r="762">
      <c r="A762" t="s">
        <v>3</v>
      </c>
      <c r="B762" s="6" t="s">
        <v>10</v>
      </c>
      <c r="C762" s="6" t="s">
        <v>57</v>
      </c>
      <c r="D762" s="6" t="s">
        <v>103</v>
      </c>
      <c r="E762" s="10" t="s">
        <v>903</v>
      </c>
      <c r="F762" s="6" t="s">
        <v>3632</v>
      </c>
      <c r="G762" s="6" t="s">
        <v>81</v>
      </c>
      <c r="H762" s="6" t="s">
        <v>6584</v>
      </c>
      <c r="I762" s="6" t="s">
        <v>8842</v>
      </c>
      <c r="J762" s="6" t="s">
        <v>9899</v>
      </c>
      <c r="K762" s="6" t="s">
        <v>10886</v>
      </c>
      <c r="L762" s="16" t="n">
        <v>41261</v>
      </c>
      <c r="M762" s="16" t="n">
        <v>45748</v>
      </c>
      <c r="N762" s="6" t="s">
        <v>10886</v>
      </c>
      <c r="O762" s="16" t="n">
        <v>41261</v>
      </c>
      <c r="P762" s="6" t="s">
        <v>11362</v>
      </c>
      <c r="Q762" s="6" t="s">
        <v>81</v>
      </c>
      <c r="R762" s="6" t="s">
        <v>12636</v>
      </c>
      <c r="S762" s="6" t="s">
        <v>10886</v>
      </c>
      <c r="T762" s="16" t="n">
        <v>41261</v>
      </c>
      <c r="U762" s="6" t="s">
        <v>13163</v>
      </c>
      <c r="V762" s="6" t="s">
        <v>81</v>
      </c>
      <c r="W762" s="6" t="s">
        <v>81</v>
      </c>
      <c r="X762" s="6" t="s">
        <v>81</v>
      </c>
      <c r="Y762" s="21" t="s">
        <v>81</v>
      </c>
      <c r="Z762" s="6" t="s">
        <v>81</v>
      </c>
      <c r="AA762" s="6" t="s">
        <v>81</v>
      </c>
      <c r="AB762" s="6" t="s">
        <v>81</v>
      </c>
      <c r="AC762" s="6" t="s">
        <v>81</v>
      </c>
      <c r="AD762" s="21" t="s">
        <v>81</v>
      </c>
      <c r="AE762" s="6" t="s">
        <v>81</v>
      </c>
      <c r="AF762" s="6" t="s">
        <v>81</v>
      </c>
      <c r="AG762" s="6" t="s">
        <v>81</v>
      </c>
      <c r="AH762" s="6" t="s">
        <v>15347</v>
      </c>
      <c r="AI762" s="6" t="s">
        <v>81</v>
      </c>
      <c r="AJ762" s="6" t="s">
        <v>17324</v>
      </c>
      <c r="AK762" s="6" t="s">
        <v>18378</v>
      </c>
      <c r="AL762" s="6" t="s">
        <v>18444</v>
      </c>
      <c r="AM762" s="6" t="s">
        <v>18476</v>
      </c>
      <c r="AN762" s="6" t="s">
        <v>19640</v>
      </c>
      <c r="AO762" s="6" t="s">
        <v>19726</v>
      </c>
      <c r="AP762" s="6" t="s">
        <v>15347</v>
      </c>
      <c r="AQ762" s="6" t="s">
        <v>81</v>
      </c>
      <c r="AR762" s="6" t="s">
        <v>17324</v>
      </c>
      <c r="AS762" s="6" t="s">
        <v>18378</v>
      </c>
      <c r="AT762" s="6" t="s">
        <v>18444</v>
      </c>
      <c r="AU762" s="6" t="s">
        <v>18476</v>
      </c>
      <c r="AV762" s="6" t="s">
        <v>81</v>
      </c>
      <c r="AW762" s="6" t="s">
        <v>81</v>
      </c>
      <c r="AX762" s="6" t="s">
        <v>21228</v>
      </c>
      <c r="AY762" s="6" t="s">
        <v>81</v>
      </c>
      <c r="AZ762" s="6" t="s">
        <v>81</v>
      </c>
      <c r="BA762" s="6" t="s">
        <v>81</v>
      </c>
      <c r="BB762" s="24" t="n">
        <v>90</v>
      </c>
      <c r="BC762" s="26"/>
      <c r="BD762" s="26"/>
      <c r="BE762" s="26"/>
      <c r="BF762" s="26"/>
      <c r="BG762" s="26"/>
      <c r="BH762" s="26"/>
      <c r="BI762" s="26"/>
      <c r="BJ762" s="26"/>
      <c r="BK762" s="26"/>
      <c r="BL762" s="26"/>
      <c r="BM762" s="26"/>
      <c r="BN762" s="26"/>
      <c r="BO762" s="26"/>
      <c r="BP762" s="16" t="n">
        <v>45730</v>
      </c>
      <c r="BQ762" s="28" t="str">
        <f>HYPERLINK("https://organic.ams.usda.gov/Integrity/Certificate.aspx?cid=90&amp;nopid=7170210275")</f>
        <v>https://organic.ams.usda.gov/Integrity/Certificate.aspx?cid=90&amp;nopid=7170210275</v>
      </c>
    </row>
    <row r="763">
      <c r="A763" t="s">
        <v>3</v>
      </c>
      <c r="B763" s="6" t="s">
        <v>13</v>
      </c>
      <c r="C763" s="6" t="s">
        <v>60</v>
      </c>
      <c r="D763" s="6" t="s">
        <v>106</v>
      </c>
      <c r="E763" s="10" t="s">
        <v>904</v>
      </c>
      <c r="F763" s="6" t="s">
        <v>3633</v>
      </c>
      <c r="G763" s="6" t="s">
        <v>81</v>
      </c>
      <c r="H763" s="6" t="s">
        <v>6585</v>
      </c>
      <c r="I763" s="6" t="s">
        <v>8840</v>
      </c>
      <c r="J763" s="6" t="s">
        <v>9731</v>
      </c>
      <c r="K763" s="6" t="s">
        <v>10886</v>
      </c>
      <c r="L763" s="16" t="n">
        <v>42285</v>
      </c>
      <c r="M763" s="16" t="n">
        <v>45748</v>
      </c>
      <c r="N763" s="6" t="s">
        <v>10886</v>
      </c>
      <c r="O763" s="16" t="n">
        <v>42285</v>
      </c>
      <c r="P763" s="6" t="s">
        <v>11363</v>
      </c>
      <c r="Q763" s="6" t="s">
        <v>81</v>
      </c>
      <c r="R763" s="6" t="s">
        <v>12637</v>
      </c>
      <c r="S763" s="6" t="s">
        <v>10886</v>
      </c>
      <c r="T763" s="16" t="n">
        <v>42285</v>
      </c>
      <c r="U763" s="6" t="s">
        <v>13368</v>
      </c>
      <c r="V763" s="6" t="s">
        <v>81</v>
      </c>
      <c r="W763" s="6" t="s">
        <v>12637</v>
      </c>
      <c r="X763" s="6" t="s">
        <v>81</v>
      </c>
      <c r="Y763" s="21" t="s">
        <v>81</v>
      </c>
      <c r="Z763" s="6" t="s">
        <v>81</v>
      </c>
      <c r="AA763" s="6" t="s">
        <v>81</v>
      </c>
      <c r="AB763" s="6" t="s">
        <v>81</v>
      </c>
      <c r="AC763" s="6" t="s">
        <v>81</v>
      </c>
      <c r="AD763" s="21" t="s">
        <v>81</v>
      </c>
      <c r="AE763" s="6" t="s">
        <v>81</v>
      </c>
      <c r="AF763" s="6" t="s">
        <v>81</v>
      </c>
      <c r="AG763" s="6" t="s">
        <v>81</v>
      </c>
      <c r="AH763" s="6" t="s">
        <v>15348</v>
      </c>
      <c r="AI763" s="6" t="s">
        <v>81</v>
      </c>
      <c r="AJ763" s="6" t="s">
        <v>17391</v>
      </c>
      <c r="AK763" s="6" t="s">
        <v>18379</v>
      </c>
      <c r="AL763" s="6" t="s">
        <v>18444</v>
      </c>
      <c r="AM763" s="6" t="s">
        <v>18467</v>
      </c>
      <c r="AN763" s="6" t="s">
        <v>19637</v>
      </c>
      <c r="AO763" s="6" t="s">
        <v>19723</v>
      </c>
      <c r="AP763" s="6" t="s">
        <v>15348</v>
      </c>
      <c r="AQ763" s="6" t="s">
        <v>81</v>
      </c>
      <c r="AR763" s="6" t="s">
        <v>17391</v>
      </c>
      <c r="AS763" s="6" t="s">
        <v>18379</v>
      </c>
      <c r="AT763" s="6" t="s">
        <v>18444</v>
      </c>
      <c r="AU763" s="6" t="s">
        <v>18467</v>
      </c>
      <c r="AV763" s="6" t="s">
        <v>81</v>
      </c>
      <c r="AW763" s="6" t="s">
        <v>81</v>
      </c>
      <c r="AX763" s="6" t="s">
        <v>21229</v>
      </c>
      <c r="AY763" s="6" t="s">
        <v>81</v>
      </c>
      <c r="AZ763" s="6" t="s">
        <v>81</v>
      </c>
      <c r="BA763" s="6" t="s">
        <v>81</v>
      </c>
      <c r="BB763" s="24" t="n">
        <v>100</v>
      </c>
      <c r="BC763" s="26"/>
      <c r="BD763" s="26"/>
      <c r="BE763" s="26"/>
      <c r="BF763" s="26" t="s">
        <v>23900</v>
      </c>
      <c r="BG763" s="26"/>
      <c r="BH763" s="26"/>
      <c r="BI763" s="26"/>
      <c r="BJ763" s="26"/>
      <c r="BK763" s="26"/>
      <c r="BL763" s="26"/>
      <c r="BM763" s="26"/>
      <c r="BN763" s="26"/>
      <c r="BO763" s="26"/>
      <c r="BP763" s="16" t="n">
        <v>45663</v>
      </c>
      <c r="BQ763" s="28" t="str">
        <f>HYPERLINK("https://organic.ams.usda.gov/Integrity/Certificate.aspx?cid=72&amp;nopid=5870002089")</f>
        <v>https://organic.ams.usda.gov/Integrity/Certificate.aspx?cid=72&amp;nopid=5870002089</v>
      </c>
    </row>
    <row r="764">
      <c r="A764" t="s">
        <v>3</v>
      </c>
      <c r="B764" s="6" t="s">
        <v>7</v>
      </c>
      <c r="C764" s="6" t="s">
        <v>54</v>
      </c>
      <c r="D764" s="6" t="s">
        <v>100</v>
      </c>
      <c r="E764" s="10" t="s">
        <v>905</v>
      </c>
      <c r="F764" s="6" t="s">
        <v>3634</v>
      </c>
      <c r="G764" s="6" t="s">
        <v>81</v>
      </c>
      <c r="H764" s="6" t="s">
        <v>6586</v>
      </c>
      <c r="I764" s="6" t="s">
        <v>8840</v>
      </c>
      <c r="J764" s="6" t="s">
        <v>9752</v>
      </c>
      <c r="K764" s="6" t="s">
        <v>10886</v>
      </c>
      <c r="L764" s="16" t="n">
        <v>45616</v>
      </c>
      <c r="M764" s="16" t="n">
        <v>45716</v>
      </c>
      <c r="N764" s="6" t="s">
        <v>10886</v>
      </c>
      <c r="O764" s="16" t="n">
        <v>45616</v>
      </c>
      <c r="P764" s="6" t="s">
        <v>11364</v>
      </c>
      <c r="Q764" s="6" t="s">
        <v>81</v>
      </c>
      <c r="R764" s="6" t="s">
        <v>81</v>
      </c>
      <c r="S764" s="6" t="s">
        <v>10886</v>
      </c>
      <c r="T764" s="16" t="n">
        <v>45616</v>
      </c>
      <c r="U764" s="6" t="s">
        <v>13169</v>
      </c>
      <c r="V764" s="6" t="s">
        <v>81</v>
      </c>
      <c r="W764" s="6" t="s">
        <v>81</v>
      </c>
      <c r="X764" s="6" t="s">
        <v>81</v>
      </c>
      <c r="Y764" s="21" t="s">
        <v>81</v>
      </c>
      <c r="Z764" s="6" t="s">
        <v>81</v>
      </c>
      <c r="AA764" s="6" t="s">
        <v>81</v>
      </c>
      <c r="AB764" s="6" t="s">
        <v>81</v>
      </c>
      <c r="AC764" s="6" t="s">
        <v>81</v>
      </c>
      <c r="AD764" s="21" t="s">
        <v>81</v>
      </c>
      <c r="AE764" s="6" t="s">
        <v>81</v>
      </c>
      <c r="AF764" s="6" t="s">
        <v>81</v>
      </c>
      <c r="AG764" s="6" t="s">
        <v>81</v>
      </c>
      <c r="AH764" s="6" t="s">
        <v>15349</v>
      </c>
      <c r="AI764" s="6" t="s">
        <v>81</v>
      </c>
      <c r="AJ764" s="6" t="s">
        <v>17650</v>
      </c>
      <c r="AK764" s="6" t="s">
        <v>18380</v>
      </c>
      <c r="AL764" s="6" t="s">
        <v>18444</v>
      </c>
      <c r="AM764" s="6" t="s">
        <v>18820</v>
      </c>
      <c r="AN764" s="6" t="s">
        <v>81</v>
      </c>
      <c r="AO764" s="6" t="s">
        <v>81</v>
      </c>
      <c r="AP764" s="6" t="s">
        <v>15349</v>
      </c>
      <c r="AQ764" s="6" t="s">
        <v>81</v>
      </c>
      <c r="AR764" s="6" t="s">
        <v>17650</v>
      </c>
      <c r="AS764" s="6" t="s">
        <v>18380</v>
      </c>
      <c r="AT764" s="6" t="s">
        <v>18444</v>
      </c>
      <c r="AU764" s="6" t="s">
        <v>18820</v>
      </c>
      <c r="AV764" s="6" t="s">
        <v>81</v>
      </c>
      <c r="AW764" s="6" t="s">
        <v>81</v>
      </c>
      <c r="AX764" s="6" t="s">
        <v>21230</v>
      </c>
      <c r="AY764" s="6" t="s">
        <v>81</v>
      </c>
      <c r="AZ764" s="6" t="s">
        <v>81</v>
      </c>
      <c r="BA764" s="6" t="s">
        <v>81</v>
      </c>
      <c r="BB764" s="24" t="n">
        <v>108</v>
      </c>
      <c r="BC764" s="26"/>
      <c r="BD764" s="26"/>
      <c r="BE764" s="26"/>
      <c r="BF764" s="26" t="s">
        <v>23900</v>
      </c>
      <c r="BG764" s="26"/>
      <c r="BH764" s="26"/>
      <c r="BI764" s="26"/>
      <c r="BJ764" s="26"/>
      <c r="BK764" s="26"/>
      <c r="BL764" s="26"/>
      <c r="BM764" s="26"/>
      <c r="BN764" s="26"/>
      <c r="BO764" s="26"/>
      <c r="BP764" s="16" t="n">
        <v>45618</v>
      </c>
      <c r="BQ764" s="28" t="str">
        <f>HYPERLINK("https://organic.ams.usda.gov/Integrity/Certificate.aspx?cid=57&amp;nopid=3252024087")</f>
        <v>https://organic.ams.usda.gov/Integrity/Certificate.aspx?cid=57&amp;nopid=3252024087</v>
      </c>
    </row>
    <row r="765">
      <c r="A765" t="s">
        <v>3</v>
      </c>
      <c r="B765" s="6" t="s">
        <v>9</v>
      </c>
      <c r="C765" s="6" t="s">
        <v>56</v>
      </c>
      <c r="D765" s="6" t="s">
        <v>102</v>
      </c>
      <c r="E765" s="10" t="s">
        <v>906</v>
      </c>
      <c r="F765" s="6" t="s">
        <v>3635</v>
      </c>
      <c r="G765" s="6" t="s">
        <v>81</v>
      </c>
      <c r="H765" s="6" t="s">
        <v>6587</v>
      </c>
      <c r="I765" s="6" t="s">
        <v>8840</v>
      </c>
      <c r="J765" s="6" t="s">
        <v>9666</v>
      </c>
      <c r="K765" s="6" t="s">
        <v>10886</v>
      </c>
      <c r="L765" s="16" t="n">
        <v>43921</v>
      </c>
      <c r="M765" s="16" t="n">
        <v>46113</v>
      </c>
      <c r="N765" s="6" t="s">
        <v>10886</v>
      </c>
      <c r="O765" s="16" t="n">
        <v>43921</v>
      </c>
      <c r="P765" s="6" t="s">
        <v>11365</v>
      </c>
      <c r="Q765" s="6" t="s">
        <v>81</v>
      </c>
      <c r="R765" s="6" t="s">
        <v>12638</v>
      </c>
      <c r="S765" s="6" t="s">
        <v>10886</v>
      </c>
      <c r="T765" s="16" t="n">
        <v>43921</v>
      </c>
      <c r="U765" s="6" t="s">
        <v>13451</v>
      </c>
      <c r="V765" s="6" t="s">
        <v>81</v>
      </c>
      <c r="W765" s="6" t="s">
        <v>12638</v>
      </c>
      <c r="X765" s="6" t="s">
        <v>81</v>
      </c>
      <c r="Y765" s="21" t="s">
        <v>81</v>
      </c>
      <c r="Z765" s="6" t="s">
        <v>81</v>
      </c>
      <c r="AA765" s="6" t="s">
        <v>81</v>
      </c>
      <c r="AB765" s="6" t="s">
        <v>81</v>
      </c>
      <c r="AC765" s="6" t="s">
        <v>81</v>
      </c>
      <c r="AD765" s="21" t="s">
        <v>81</v>
      </c>
      <c r="AE765" s="6" t="s">
        <v>81</v>
      </c>
      <c r="AF765" s="6" t="s">
        <v>81</v>
      </c>
      <c r="AG765" s="6" t="s">
        <v>81</v>
      </c>
      <c r="AH765" s="6" t="s">
        <v>15350</v>
      </c>
      <c r="AI765" s="6" t="s">
        <v>81</v>
      </c>
      <c r="AJ765" s="6" t="s">
        <v>17366</v>
      </c>
      <c r="AK765" s="6" t="s">
        <v>18381</v>
      </c>
      <c r="AL765" s="6" t="s">
        <v>18444</v>
      </c>
      <c r="AM765" s="6" t="s">
        <v>18518</v>
      </c>
      <c r="AN765" s="6" t="s">
        <v>19676</v>
      </c>
      <c r="AO765" s="6" t="s">
        <v>19797</v>
      </c>
      <c r="AP765" s="6" t="s">
        <v>81</v>
      </c>
      <c r="AQ765" s="6" t="s">
        <v>81</v>
      </c>
      <c r="AR765" s="6" t="s">
        <v>81</v>
      </c>
      <c r="AS765" s="6" t="s">
        <v>81</v>
      </c>
      <c r="AT765" s="6" t="s">
        <v>81</v>
      </c>
      <c r="AU765" s="6" t="s">
        <v>81</v>
      </c>
      <c r="AV765" s="6" t="s">
        <v>81</v>
      </c>
      <c r="AW765" s="6" t="s">
        <v>81</v>
      </c>
      <c r="AX765" s="6" t="s">
        <v>81</v>
      </c>
      <c r="AY765" s="6" t="s">
        <v>81</v>
      </c>
      <c r="AZ765" s="6" t="s">
        <v>81</v>
      </c>
      <c r="BA765" s="6" t="s">
        <v>23837</v>
      </c>
      <c r="BB765" s="24" t="n">
        <v>124</v>
      </c>
      <c r="BC765" s="26"/>
      <c r="BD765" s="26"/>
      <c r="BE765" s="26"/>
      <c r="BF765" s="26"/>
      <c r="BG765" s="26"/>
      <c r="BH765" s="26"/>
      <c r="BI765" s="26"/>
      <c r="BJ765" s="26"/>
      <c r="BK765" s="26"/>
      <c r="BL765" s="26"/>
      <c r="BM765" s="26"/>
      <c r="BN765" s="26"/>
      <c r="BO765" s="26"/>
      <c r="BP765" s="16" t="n">
        <v>45738</v>
      </c>
      <c r="BQ765" s="28" t="str">
        <f>HYPERLINK("https://organic.ams.usda.gov/Integrity/Certificate.aspx?cid=52&amp;nopid=8432001782")</f>
        <v>https://organic.ams.usda.gov/Integrity/Certificate.aspx?cid=52&amp;nopid=8432001782</v>
      </c>
    </row>
    <row r="766">
      <c r="A766" t="s">
        <v>3</v>
      </c>
      <c r="B766" s="6" t="s">
        <v>13</v>
      </c>
      <c r="C766" s="6" t="s">
        <v>60</v>
      </c>
      <c r="D766" s="6" t="s">
        <v>106</v>
      </c>
      <c r="E766" s="10" t="s">
        <v>907</v>
      </c>
      <c r="F766" s="6" t="s">
        <v>3636</v>
      </c>
      <c r="G766" s="6" t="s">
        <v>81</v>
      </c>
      <c r="H766" s="6" t="s">
        <v>6588</v>
      </c>
      <c r="I766" s="6" t="s">
        <v>8840</v>
      </c>
      <c r="J766" s="6" t="s">
        <v>10056</v>
      </c>
      <c r="K766" s="6" t="s">
        <v>10886</v>
      </c>
      <c r="L766" s="16" t="n">
        <v>41242</v>
      </c>
      <c r="M766" s="16" t="n">
        <v>45992</v>
      </c>
      <c r="N766" s="6" t="s">
        <v>10886</v>
      </c>
      <c r="O766" s="16" t="n">
        <v>41242</v>
      </c>
      <c r="P766" s="6" t="s">
        <v>11366</v>
      </c>
      <c r="Q766" s="6" t="s">
        <v>81</v>
      </c>
      <c r="R766" s="6" t="s">
        <v>12639</v>
      </c>
      <c r="S766" s="6" t="s">
        <v>10886</v>
      </c>
      <c r="T766" s="16" t="n">
        <v>41242</v>
      </c>
      <c r="U766" s="6" t="s">
        <v>13381</v>
      </c>
      <c r="V766" s="6" t="s">
        <v>81</v>
      </c>
      <c r="W766" s="6" t="s">
        <v>12639</v>
      </c>
      <c r="X766" s="6" t="s">
        <v>81</v>
      </c>
      <c r="Y766" s="21" t="s">
        <v>81</v>
      </c>
      <c r="Z766" s="6" t="s">
        <v>81</v>
      </c>
      <c r="AA766" s="6" t="s">
        <v>81</v>
      </c>
      <c r="AB766" s="6" t="s">
        <v>81</v>
      </c>
      <c r="AC766" s="6" t="s">
        <v>81</v>
      </c>
      <c r="AD766" s="21" t="s">
        <v>81</v>
      </c>
      <c r="AE766" s="6" t="s">
        <v>81</v>
      </c>
      <c r="AF766" s="6" t="s">
        <v>81</v>
      </c>
      <c r="AG766" s="6" t="s">
        <v>81</v>
      </c>
      <c r="AH766" s="6" t="s">
        <v>15351</v>
      </c>
      <c r="AI766" s="6" t="s">
        <v>81</v>
      </c>
      <c r="AJ766" s="6" t="s">
        <v>17324</v>
      </c>
      <c r="AK766" s="6" t="s">
        <v>18379</v>
      </c>
      <c r="AL766" s="6" t="s">
        <v>18444</v>
      </c>
      <c r="AM766" s="6" t="s">
        <v>18754</v>
      </c>
      <c r="AN766" s="6" t="s">
        <v>19637</v>
      </c>
      <c r="AO766" s="6" t="s">
        <v>19723</v>
      </c>
      <c r="AP766" s="6" t="s">
        <v>15351</v>
      </c>
      <c r="AQ766" s="6" t="s">
        <v>81</v>
      </c>
      <c r="AR766" s="6" t="s">
        <v>17324</v>
      </c>
      <c r="AS766" s="6" t="s">
        <v>18379</v>
      </c>
      <c r="AT766" s="6" t="s">
        <v>18444</v>
      </c>
      <c r="AU766" s="6" t="s">
        <v>18754</v>
      </c>
      <c r="AV766" s="6" t="s">
        <v>81</v>
      </c>
      <c r="AW766" s="6" t="s">
        <v>81</v>
      </c>
      <c r="AX766" s="6" t="s">
        <v>21231</v>
      </c>
      <c r="AY766" s="6" t="s">
        <v>81</v>
      </c>
      <c r="AZ766" s="6" t="s">
        <v>81</v>
      </c>
      <c r="BA766" s="6" t="s">
        <v>81</v>
      </c>
      <c r="BB766" s="24" t="n">
        <v>153</v>
      </c>
      <c r="BC766" s="26"/>
      <c r="BD766" s="26"/>
      <c r="BE766" s="26"/>
      <c r="BF766" s="26" t="s">
        <v>23900</v>
      </c>
      <c r="BG766" s="26"/>
      <c r="BH766" s="26"/>
      <c r="BI766" s="26"/>
      <c r="BJ766" s="26"/>
      <c r="BK766" s="26"/>
      <c r="BL766" s="26"/>
      <c r="BM766" s="26"/>
      <c r="BN766" s="26"/>
      <c r="BO766" s="26"/>
      <c r="BP766" s="16" t="n">
        <v>45663</v>
      </c>
      <c r="BQ766" s="28" t="str">
        <f>HYPERLINK("https://organic.ams.usda.gov/Integrity/Certificate.aspx?cid=72&amp;nopid=5870001462")</f>
        <v>https://organic.ams.usda.gov/Integrity/Certificate.aspx?cid=72&amp;nopid=5870001462</v>
      </c>
    </row>
    <row r="767">
      <c r="A767" t="s">
        <v>3</v>
      </c>
      <c r="B767" s="6" t="s">
        <v>10</v>
      </c>
      <c r="C767" s="6" t="s">
        <v>57</v>
      </c>
      <c r="D767" s="6" t="s">
        <v>103</v>
      </c>
      <c r="E767" s="10" t="s">
        <v>908</v>
      </c>
      <c r="F767" s="6" t="s">
        <v>3637</v>
      </c>
      <c r="G767" s="6" t="s">
        <v>81</v>
      </c>
      <c r="H767" s="6" t="s">
        <v>6589</v>
      </c>
      <c r="I767" s="6" t="s">
        <v>8843</v>
      </c>
      <c r="J767" s="6" t="s">
        <v>9665</v>
      </c>
      <c r="K767" s="6" t="s">
        <v>10886</v>
      </c>
      <c r="L767" s="16" t="n">
        <v>42643</v>
      </c>
      <c r="M767" s="16" t="n">
        <v>45748</v>
      </c>
      <c r="N767" s="6" t="s">
        <v>10886</v>
      </c>
      <c r="O767" s="16" t="n">
        <v>42643</v>
      </c>
      <c r="P767" s="6" t="s">
        <v>11367</v>
      </c>
      <c r="Q767" s="6" t="s">
        <v>81</v>
      </c>
      <c r="R767" s="6" t="s">
        <v>12640</v>
      </c>
      <c r="S767" s="6" t="s">
        <v>10886</v>
      </c>
      <c r="T767" s="16" t="n">
        <v>42643</v>
      </c>
      <c r="U767" s="6" t="s">
        <v>13163</v>
      </c>
      <c r="V767" s="6" t="s">
        <v>81</v>
      </c>
      <c r="W767" s="6" t="s">
        <v>81</v>
      </c>
      <c r="X767" s="6" t="s">
        <v>81</v>
      </c>
      <c r="Y767" s="21" t="s">
        <v>81</v>
      </c>
      <c r="Z767" s="6" t="s">
        <v>81</v>
      </c>
      <c r="AA767" s="6" t="s">
        <v>81</v>
      </c>
      <c r="AB767" s="6" t="s">
        <v>81</v>
      </c>
      <c r="AC767" s="6" t="s">
        <v>81</v>
      </c>
      <c r="AD767" s="21" t="s">
        <v>81</v>
      </c>
      <c r="AE767" s="6" t="s">
        <v>81</v>
      </c>
      <c r="AF767" s="6" t="s">
        <v>81</v>
      </c>
      <c r="AG767" s="6" t="s">
        <v>81</v>
      </c>
      <c r="AH767" s="6" t="s">
        <v>15352</v>
      </c>
      <c r="AI767" s="6" t="s">
        <v>81</v>
      </c>
      <c r="AJ767" s="6" t="s">
        <v>17392</v>
      </c>
      <c r="AK767" s="6" t="s">
        <v>18379</v>
      </c>
      <c r="AL767" s="6" t="s">
        <v>18444</v>
      </c>
      <c r="AM767" s="6" t="s">
        <v>18548</v>
      </c>
      <c r="AN767" s="6" t="s">
        <v>19637</v>
      </c>
      <c r="AO767" s="6" t="s">
        <v>19723</v>
      </c>
      <c r="AP767" s="6" t="s">
        <v>15352</v>
      </c>
      <c r="AQ767" s="6" t="s">
        <v>81</v>
      </c>
      <c r="AR767" s="6" t="s">
        <v>17392</v>
      </c>
      <c r="AS767" s="6" t="s">
        <v>18379</v>
      </c>
      <c r="AT767" s="6" t="s">
        <v>18444</v>
      </c>
      <c r="AU767" s="6" t="s">
        <v>18548</v>
      </c>
      <c r="AV767" s="6" t="s">
        <v>81</v>
      </c>
      <c r="AW767" s="6" t="s">
        <v>81</v>
      </c>
      <c r="AX767" s="6" t="s">
        <v>21232</v>
      </c>
      <c r="AY767" s="6" t="s">
        <v>81</v>
      </c>
      <c r="AZ767" s="6" t="s">
        <v>81</v>
      </c>
      <c r="BA767" s="6" t="s">
        <v>81</v>
      </c>
      <c r="BB767" s="24" t="n">
        <v>52</v>
      </c>
      <c r="BC767" s="26"/>
      <c r="BD767" s="26"/>
      <c r="BE767" s="26"/>
      <c r="BF767" s="26"/>
      <c r="BG767" s="26"/>
      <c r="BH767" s="26"/>
      <c r="BI767" s="26"/>
      <c r="BJ767" s="26"/>
      <c r="BK767" s="26"/>
      <c r="BL767" s="26"/>
      <c r="BM767" s="26"/>
      <c r="BN767" s="26"/>
      <c r="BO767" s="26"/>
      <c r="BP767" s="16" t="n">
        <v>45730</v>
      </c>
      <c r="BQ767" s="28" t="str">
        <f>HYPERLINK("https://organic.ams.usda.gov/Integrity/Certificate.aspx?cid=90&amp;nopid=7170019017")</f>
        <v>https://organic.ams.usda.gov/Integrity/Certificate.aspx?cid=90&amp;nopid=7170019017</v>
      </c>
    </row>
    <row r="768">
      <c r="A768" t="s">
        <v>3</v>
      </c>
      <c r="B768" s="6" t="s">
        <v>12</v>
      </c>
      <c r="C768" s="6" t="s">
        <v>59</v>
      </c>
      <c r="D768" s="6" t="s">
        <v>105</v>
      </c>
      <c r="E768" s="10" t="s">
        <v>909</v>
      </c>
      <c r="F768" s="6" t="s">
        <v>3638</v>
      </c>
      <c r="G768" s="6" t="s">
        <v>81</v>
      </c>
      <c r="H768" s="6" t="s">
        <v>6590</v>
      </c>
      <c r="I768" s="6" t="s">
        <v>8837</v>
      </c>
      <c r="J768" s="6" t="s">
        <v>10057</v>
      </c>
      <c r="K768" s="6" t="s">
        <v>10886</v>
      </c>
      <c r="L768" s="16" t="n">
        <v>42641</v>
      </c>
      <c r="M768" s="16" t="n">
        <v>45717</v>
      </c>
      <c r="N768" s="6" t="s">
        <v>10886</v>
      </c>
      <c r="O768" s="16" t="n">
        <v>42641</v>
      </c>
      <c r="P768" s="6" t="s">
        <v>11368</v>
      </c>
      <c r="Q768" s="6" t="s">
        <v>81</v>
      </c>
      <c r="R768" s="6" t="s">
        <v>81</v>
      </c>
      <c r="S768" s="6" t="s">
        <v>10886</v>
      </c>
      <c r="T768" s="16" t="n">
        <v>42641</v>
      </c>
      <c r="U768" s="6" t="s">
        <v>13170</v>
      </c>
      <c r="V768" s="6" t="s">
        <v>81</v>
      </c>
      <c r="W768" s="6" t="s">
        <v>81</v>
      </c>
      <c r="X768" s="6" t="s">
        <v>81</v>
      </c>
      <c r="Y768" s="21" t="s">
        <v>81</v>
      </c>
      <c r="Z768" s="6" t="s">
        <v>81</v>
      </c>
      <c r="AA768" s="6" t="s">
        <v>81</v>
      </c>
      <c r="AB768" s="6" t="s">
        <v>81</v>
      </c>
      <c r="AC768" s="6" t="s">
        <v>81</v>
      </c>
      <c r="AD768" s="21" t="s">
        <v>81</v>
      </c>
      <c r="AE768" s="6" t="s">
        <v>81</v>
      </c>
      <c r="AF768" s="6" t="s">
        <v>81</v>
      </c>
      <c r="AG768" s="6" t="s">
        <v>81</v>
      </c>
      <c r="AH768" s="6" t="s">
        <v>15353</v>
      </c>
      <c r="AI768" s="6" t="s">
        <v>81</v>
      </c>
      <c r="AJ768" s="6" t="s">
        <v>17595</v>
      </c>
      <c r="AK768" s="6" t="s">
        <v>17712</v>
      </c>
      <c r="AL768" s="6" t="s">
        <v>18444</v>
      </c>
      <c r="AM768" s="6" t="s">
        <v>18761</v>
      </c>
      <c r="AN768" s="6" t="s">
        <v>19634</v>
      </c>
      <c r="AO768" s="6" t="s">
        <v>19719</v>
      </c>
      <c r="AP768" s="6" t="s">
        <v>15353</v>
      </c>
      <c r="AQ768" s="6" t="s">
        <v>81</v>
      </c>
      <c r="AR768" s="6" t="s">
        <v>17595</v>
      </c>
      <c r="AS768" s="6" t="s">
        <v>17712</v>
      </c>
      <c r="AT768" s="6" t="s">
        <v>18444</v>
      </c>
      <c r="AU768" s="6" t="s">
        <v>18761</v>
      </c>
      <c r="AV768" s="6" t="s">
        <v>81</v>
      </c>
      <c r="AW768" s="6" t="s">
        <v>81</v>
      </c>
      <c r="AX768" s="6" t="s">
        <v>81</v>
      </c>
      <c r="AY768" s="6" t="s">
        <v>81</v>
      </c>
      <c r="AZ768" s="6" t="s">
        <v>81</v>
      </c>
      <c r="BA768" s="6" t="s">
        <v>81</v>
      </c>
      <c r="BB768" s="24" t="n">
        <v>266</v>
      </c>
      <c r="BC768" s="26"/>
      <c r="BD768" s="26"/>
      <c r="BE768" s="26"/>
      <c r="BF768" s="26"/>
      <c r="BG768" s="26"/>
      <c r="BH768" s="26"/>
      <c r="BI768" s="26"/>
      <c r="BJ768" s="26"/>
      <c r="BK768" s="26"/>
      <c r="BL768" s="26"/>
      <c r="BM768" s="26"/>
      <c r="BN768" s="26"/>
      <c r="BO768" s="26"/>
      <c r="BP768" s="16" t="n">
        <v>45730</v>
      </c>
      <c r="BQ768" s="28" t="str">
        <f>HYPERLINK("https://organic.ams.usda.gov/Integrity/Certificate.aspx?cid=68&amp;nopid=8210002674")</f>
        <v>https://organic.ams.usda.gov/Integrity/Certificate.aspx?cid=68&amp;nopid=8210002674</v>
      </c>
    </row>
    <row r="769">
      <c r="A769" t="s">
        <v>3</v>
      </c>
      <c r="B769" s="6" t="s">
        <v>8</v>
      </c>
      <c r="C769" s="6" t="s">
        <v>55</v>
      </c>
      <c r="D769" s="6" t="s">
        <v>101</v>
      </c>
      <c r="E769" s="10" t="s">
        <v>910</v>
      </c>
      <c r="F769" s="6" t="s">
        <v>3639</v>
      </c>
      <c r="G769" s="6" t="s">
        <v>81</v>
      </c>
      <c r="H769" s="6" t="s">
        <v>6591</v>
      </c>
      <c r="I769" s="6" t="s">
        <v>8837</v>
      </c>
      <c r="J769" s="6" t="s">
        <v>9763</v>
      </c>
      <c r="K769" s="6" t="s">
        <v>10886</v>
      </c>
      <c r="L769" s="16" t="n">
        <v>39640</v>
      </c>
      <c r="M769" s="16" t="n">
        <v>45689</v>
      </c>
      <c r="N769" s="6" t="s">
        <v>10886</v>
      </c>
      <c r="O769" s="16" t="n">
        <v>39640</v>
      </c>
      <c r="P769" s="6" t="s">
        <v>11369</v>
      </c>
      <c r="Q769" s="6" t="s">
        <v>81</v>
      </c>
      <c r="R769" s="6" t="s">
        <v>6591</v>
      </c>
      <c r="S769" s="6" t="s">
        <v>10886</v>
      </c>
      <c r="T769" s="16" t="n">
        <v>39640</v>
      </c>
      <c r="U769" s="6" t="s">
        <v>13173</v>
      </c>
      <c r="V769" s="6" t="s">
        <v>81</v>
      </c>
      <c r="W769" s="6" t="s">
        <v>6591</v>
      </c>
      <c r="X769" s="6" t="s">
        <v>81</v>
      </c>
      <c r="Y769" s="21" t="s">
        <v>81</v>
      </c>
      <c r="Z769" s="6" t="s">
        <v>81</v>
      </c>
      <c r="AA769" s="6" t="s">
        <v>81</v>
      </c>
      <c r="AB769" s="6" t="s">
        <v>81</v>
      </c>
      <c r="AC769" s="6" t="s">
        <v>81</v>
      </c>
      <c r="AD769" s="21" t="s">
        <v>81</v>
      </c>
      <c r="AE769" s="6" t="s">
        <v>81</v>
      </c>
      <c r="AF769" s="6" t="s">
        <v>81</v>
      </c>
      <c r="AG769" s="6" t="s">
        <v>81</v>
      </c>
      <c r="AH769" s="6" t="s">
        <v>15354</v>
      </c>
      <c r="AI769" s="6" t="s">
        <v>81</v>
      </c>
      <c r="AJ769" s="6" t="s">
        <v>17424</v>
      </c>
      <c r="AK769" s="6" t="s">
        <v>18377</v>
      </c>
      <c r="AL769" s="6" t="s">
        <v>18444</v>
      </c>
      <c r="AM769" s="6" t="s">
        <v>18915</v>
      </c>
      <c r="AN769" s="6" t="s">
        <v>19653</v>
      </c>
      <c r="AO769" s="6" t="s">
        <v>19838</v>
      </c>
      <c r="AP769" s="6" t="s">
        <v>81</v>
      </c>
      <c r="AQ769" s="6" t="s">
        <v>81</v>
      </c>
      <c r="AR769" s="6" t="s">
        <v>81</v>
      </c>
      <c r="AS769" s="6" t="s">
        <v>81</v>
      </c>
      <c r="AT769" s="6" t="s">
        <v>81</v>
      </c>
      <c r="AU769" s="6" t="s">
        <v>81</v>
      </c>
      <c r="AV769" s="6" t="s">
        <v>81</v>
      </c>
      <c r="AW769" s="6" t="s">
        <v>81</v>
      </c>
      <c r="AX769" s="6" t="s">
        <v>81</v>
      </c>
      <c r="AY769" s="6" t="s">
        <v>22839</v>
      </c>
      <c r="AZ769" s="6" t="s">
        <v>81</v>
      </c>
      <c r="BA769" s="6" t="s">
        <v>23819</v>
      </c>
      <c r="BB769" s="24" t="n">
        <v>241</v>
      </c>
      <c r="BC769" s="26"/>
      <c r="BD769" s="26"/>
      <c r="BE769" s="26"/>
      <c r="BF769" s="26" t="s">
        <v>23900</v>
      </c>
      <c r="BG769" s="26"/>
      <c r="BH769" s="26"/>
      <c r="BI769" s="26"/>
      <c r="BJ769" s="26"/>
      <c r="BK769" s="26"/>
      <c r="BL769" s="26"/>
      <c r="BM769" s="26"/>
      <c r="BN769" s="26"/>
      <c r="BO769" s="26"/>
      <c r="BP769" s="16" t="n">
        <v>45701</v>
      </c>
      <c r="BQ769" s="28" t="str">
        <f>HYPERLINK("https://organic.ams.usda.gov/Integrity/Certificate.aspx?cid=45&amp;nopid=9950003018")</f>
        <v>https://organic.ams.usda.gov/Integrity/Certificate.aspx?cid=45&amp;nopid=9950003018</v>
      </c>
    </row>
    <row r="770">
      <c r="A770" t="s">
        <v>3</v>
      </c>
      <c r="B770" s="6" t="s">
        <v>16</v>
      </c>
      <c r="C770" s="6" t="s">
        <v>63</v>
      </c>
      <c r="D770" s="6" t="s">
        <v>109</v>
      </c>
      <c r="E770" s="10" t="s">
        <v>911</v>
      </c>
      <c r="F770" s="6" t="s">
        <v>3640</v>
      </c>
      <c r="G770" s="6" t="s">
        <v>5665</v>
      </c>
      <c r="H770" s="6" t="s">
        <v>6592</v>
      </c>
      <c r="I770" s="6" t="s">
        <v>8844</v>
      </c>
      <c r="J770" s="6" t="s">
        <v>10058</v>
      </c>
      <c r="K770" s="6" t="s">
        <v>10886</v>
      </c>
      <c r="L770" s="16" t="n">
        <v>37452</v>
      </c>
      <c r="M770" s="16" t="n">
        <v>45731</v>
      </c>
      <c r="N770" s="6" t="s">
        <v>10886</v>
      </c>
      <c r="O770" s="16" t="n">
        <v>37452</v>
      </c>
      <c r="P770" s="6" t="s">
        <v>11370</v>
      </c>
      <c r="Q770" s="6" t="s">
        <v>81</v>
      </c>
      <c r="R770" s="6" t="s">
        <v>81</v>
      </c>
      <c r="S770" s="6" t="s">
        <v>10886</v>
      </c>
      <c r="T770" s="16" t="n">
        <v>37452</v>
      </c>
      <c r="U770" s="6" t="s">
        <v>13281</v>
      </c>
      <c r="V770" s="6" t="s">
        <v>81</v>
      </c>
      <c r="W770" s="6" t="s">
        <v>81</v>
      </c>
      <c r="X770" s="6" t="s">
        <v>81</v>
      </c>
      <c r="Y770" s="21" t="s">
        <v>81</v>
      </c>
      <c r="Z770" s="6" t="s">
        <v>81</v>
      </c>
      <c r="AA770" s="6" t="s">
        <v>81</v>
      </c>
      <c r="AB770" s="6" t="s">
        <v>81</v>
      </c>
      <c r="AC770" s="6" t="s">
        <v>10886</v>
      </c>
      <c r="AD770" s="16" t="n">
        <v>37452</v>
      </c>
      <c r="AE770" s="6" t="s">
        <v>81</v>
      </c>
      <c r="AF770" s="6" t="s">
        <v>81</v>
      </c>
      <c r="AG770" s="6" t="s">
        <v>81</v>
      </c>
      <c r="AH770" s="6" t="s">
        <v>15355</v>
      </c>
      <c r="AI770" s="6" t="s">
        <v>81</v>
      </c>
      <c r="AJ770" s="6" t="s">
        <v>17748</v>
      </c>
      <c r="AK770" s="6" t="s">
        <v>18383</v>
      </c>
      <c r="AL770" s="6" t="s">
        <v>18444</v>
      </c>
      <c r="AM770" s="6" t="s">
        <v>18916</v>
      </c>
      <c r="AN770" s="6" t="s">
        <v>19655</v>
      </c>
      <c r="AO770" s="6" t="s">
        <v>19886</v>
      </c>
      <c r="AP770" s="6" t="s">
        <v>81</v>
      </c>
      <c r="AQ770" s="6" t="s">
        <v>81</v>
      </c>
      <c r="AR770" s="6" t="s">
        <v>81</v>
      </c>
      <c r="AS770" s="6" t="s">
        <v>81</v>
      </c>
      <c r="AT770" s="6" t="s">
        <v>81</v>
      </c>
      <c r="AU770" s="6" t="s">
        <v>81</v>
      </c>
      <c r="AV770" s="6" t="s">
        <v>81</v>
      </c>
      <c r="AW770" s="6" t="s">
        <v>81</v>
      </c>
      <c r="AX770" s="6" t="s">
        <v>21233</v>
      </c>
      <c r="AY770" s="6" t="s">
        <v>81</v>
      </c>
      <c r="AZ770" s="6" t="s">
        <v>81</v>
      </c>
      <c r="BA770" s="6" t="s">
        <v>81</v>
      </c>
      <c r="BB770" s="24" t="n">
        <v>1439</v>
      </c>
      <c r="BC770" s="26"/>
      <c r="BD770" s="26"/>
      <c r="BE770" s="26"/>
      <c r="BF770" s="26"/>
      <c r="BG770" s="26"/>
      <c r="BH770" s="26"/>
      <c r="BI770" s="26"/>
      <c r="BJ770" s="26"/>
      <c r="BK770" s="26"/>
      <c r="BL770" s="26"/>
      <c r="BM770" s="26"/>
      <c r="BN770" s="26"/>
      <c r="BO770" s="26"/>
      <c r="BP770" s="16" t="n">
        <v>45701</v>
      </c>
      <c r="BQ770" s="28" t="str">
        <f>HYPERLINK("https://organic.ams.usda.gov/Integrity/Certificate.aspx?cid=81&amp;nopid=4210099082")</f>
        <v>https://organic.ams.usda.gov/Integrity/Certificate.aspx?cid=81&amp;nopid=4210099082</v>
      </c>
    </row>
    <row r="771">
      <c r="A771" t="s">
        <v>3</v>
      </c>
      <c r="B771" s="6" t="s">
        <v>8</v>
      </c>
      <c r="C771" s="6" t="s">
        <v>55</v>
      </c>
      <c r="D771" s="6" t="s">
        <v>101</v>
      </c>
      <c r="E771" s="10" t="s">
        <v>912</v>
      </c>
      <c r="F771" s="6" t="s">
        <v>3641</v>
      </c>
      <c r="G771" s="6" t="s">
        <v>81</v>
      </c>
      <c r="H771" s="6" t="s">
        <v>6593</v>
      </c>
      <c r="I771" s="6" t="s">
        <v>8513</v>
      </c>
      <c r="J771" s="6" t="s">
        <v>10059</v>
      </c>
      <c r="K771" s="6" t="s">
        <v>10886</v>
      </c>
      <c r="L771" s="16" t="n">
        <v>36726</v>
      </c>
      <c r="M771" s="16" t="n">
        <v>45689</v>
      </c>
      <c r="N771" s="6" t="s">
        <v>10886</v>
      </c>
      <c r="O771" s="16" t="n">
        <v>36726</v>
      </c>
      <c r="P771" s="6" t="s">
        <v>11371</v>
      </c>
      <c r="Q771" s="6" t="s">
        <v>81</v>
      </c>
      <c r="R771" s="6" t="s">
        <v>6593</v>
      </c>
      <c r="S771" s="6" t="s">
        <v>10886</v>
      </c>
      <c r="T771" s="16" t="n">
        <v>36726</v>
      </c>
      <c r="U771" s="6" t="s">
        <v>13221</v>
      </c>
      <c r="V771" s="6" t="s">
        <v>81</v>
      </c>
      <c r="W771" s="6" t="s">
        <v>6593</v>
      </c>
      <c r="X771" s="6" t="s">
        <v>81</v>
      </c>
      <c r="Y771" s="21" t="s">
        <v>81</v>
      </c>
      <c r="Z771" s="6" t="s">
        <v>81</v>
      </c>
      <c r="AA771" s="6" t="s">
        <v>81</v>
      </c>
      <c r="AB771" s="6" t="s">
        <v>81</v>
      </c>
      <c r="AC771" s="6" t="s">
        <v>81</v>
      </c>
      <c r="AD771" s="21" t="s">
        <v>81</v>
      </c>
      <c r="AE771" s="6" t="s">
        <v>81</v>
      </c>
      <c r="AF771" s="6" t="s">
        <v>81</v>
      </c>
      <c r="AG771" s="6" t="s">
        <v>81</v>
      </c>
      <c r="AH771" s="6" t="s">
        <v>15356</v>
      </c>
      <c r="AI771" s="6" t="s">
        <v>81</v>
      </c>
      <c r="AJ771" s="6" t="s">
        <v>17749</v>
      </c>
      <c r="AK771" s="6" t="s">
        <v>18377</v>
      </c>
      <c r="AL771" s="6" t="s">
        <v>18444</v>
      </c>
      <c r="AM771" s="6" t="s">
        <v>18917</v>
      </c>
      <c r="AN771" s="6" t="s">
        <v>19634</v>
      </c>
      <c r="AO771" s="6" t="s">
        <v>19764</v>
      </c>
      <c r="AP771" s="6" t="s">
        <v>20197</v>
      </c>
      <c r="AQ771" s="6" t="s">
        <v>81</v>
      </c>
      <c r="AR771" s="6" t="s">
        <v>17749</v>
      </c>
      <c r="AS771" s="6" t="s">
        <v>18377</v>
      </c>
      <c r="AT771" s="6" t="s">
        <v>18444</v>
      </c>
      <c r="AU771" s="6" t="s">
        <v>18917</v>
      </c>
      <c r="AV771" s="6" t="s">
        <v>81</v>
      </c>
      <c r="AW771" s="6" t="s">
        <v>81</v>
      </c>
      <c r="AX771" s="6" t="s">
        <v>81</v>
      </c>
      <c r="AY771" s="6" t="s">
        <v>22840</v>
      </c>
      <c r="AZ771" s="6" t="s">
        <v>81</v>
      </c>
      <c r="BA771" s="6" t="s">
        <v>23824</v>
      </c>
      <c r="BB771" s="24" t="n">
        <v>380</v>
      </c>
      <c r="BC771" s="26"/>
      <c r="BD771" s="26"/>
      <c r="BE771" s="26"/>
      <c r="BF771" s="26" t="s">
        <v>23900</v>
      </c>
      <c r="BG771" s="26"/>
      <c r="BH771" s="26"/>
      <c r="BI771" s="26"/>
      <c r="BJ771" s="26"/>
      <c r="BK771" s="26"/>
      <c r="BL771" s="26"/>
      <c r="BM771" s="26"/>
      <c r="BN771" s="26"/>
      <c r="BO771" s="26"/>
      <c r="BP771" s="16" t="n">
        <v>45701</v>
      </c>
      <c r="BQ771" s="28" t="str">
        <f>HYPERLINK("https://organic.ams.usda.gov/Integrity/Certificate.aspx?cid=45&amp;nopid=9950000455")</f>
        <v>https://organic.ams.usda.gov/Integrity/Certificate.aspx?cid=45&amp;nopid=9950000455</v>
      </c>
    </row>
    <row r="772">
      <c r="A772" t="s">
        <v>3</v>
      </c>
      <c r="B772" s="6" t="s">
        <v>12</v>
      </c>
      <c r="C772" s="6" t="s">
        <v>59</v>
      </c>
      <c r="D772" s="6" t="s">
        <v>105</v>
      </c>
      <c r="E772" s="10" t="s">
        <v>913</v>
      </c>
      <c r="F772" s="6" t="s">
        <v>3642</v>
      </c>
      <c r="G772" s="6" t="s">
        <v>81</v>
      </c>
      <c r="H772" s="6" t="s">
        <v>6594</v>
      </c>
      <c r="I772" s="6" t="s">
        <v>8845</v>
      </c>
      <c r="J772" s="6" t="s">
        <v>9745</v>
      </c>
      <c r="K772" s="6" t="s">
        <v>10886</v>
      </c>
      <c r="L772" s="16" t="n">
        <v>42522</v>
      </c>
      <c r="M772" s="16" t="n">
        <v>45717</v>
      </c>
      <c r="N772" s="6" t="s">
        <v>10886</v>
      </c>
      <c r="O772" s="16" t="n">
        <v>42522</v>
      </c>
      <c r="P772" s="6" t="s">
        <v>11208</v>
      </c>
      <c r="Q772" s="6" t="s">
        <v>81</v>
      </c>
      <c r="R772" s="6" t="s">
        <v>81</v>
      </c>
      <c r="S772" s="6" t="s">
        <v>10886</v>
      </c>
      <c r="T772" s="16" t="n">
        <v>42522</v>
      </c>
      <c r="U772" s="6" t="s">
        <v>13171</v>
      </c>
      <c r="V772" s="6" t="s">
        <v>81</v>
      </c>
      <c r="W772" s="6" t="s">
        <v>81</v>
      </c>
      <c r="X772" s="6" t="s">
        <v>81</v>
      </c>
      <c r="Y772" s="21" t="s">
        <v>81</v>
      </c>
      <c r="Z772" s="6" t="s">
        <v>81</v>
      </c>
      <c r="AA772" s="6" t="s">
        <v>81</v>
      </c>
      <c r="AB772" s="6" t="s">
        <v>81</v>
      </c>
      <c r="AC772" s="6" t="s">
        <v>81</v>
      </c>
      <c r="AD772" s="21" t="s">
        <v>81</v>
      </c>
      <c r="AE772" s="6" t="s">
        <v>81</v>
      </c>
      <c r="AF772" s="6" t="s">
        <v>81</v>
      </c>
      <c r="AG772" s="6" t="s">
        <v>81</v>
      </c>
      <c r="AH772" s="6" t="s">
        <v>15357</v>
      </c>
      <c r="AI772" s="6" t="s">
        <v>81</v>
      </c>
      <c r="AJ772" s="6" t="s">
        <v>17481</v>
      </c>
      <c r="AK772" s="6" t="s">
        <v>18380</v>
      </c>
      <c r="AL772" s="6" t="s">
        <v>18444</v>
      </c>
      <c r="AM772" s="6" t="s">
        <v>18643</v>
      </c>
      <c r="AN772" s="6" t="s">
        <v>19686</v>
      </c>
      <c r="AO772" s="6" t="s">
        <v>19817</v>
      </c>
      <c r="AP772" s="6" t="s">
        <v>15357</v>
      </c>
      <c r="AQ772" s="6" t="s">
        <v>81</v>
      </c>
      <c r="AR772" s="6" t="s">
        <v>17481</v>
      </c>
      <c r="AS772" s="6" t="s">
        <v>18380</v>
      </c>
      <c r="AT772" s="6" t="s">
        <v>18444</v>
      </c>
      <c r="AU772" s="6" t="s">
        <v>18643</v>
      </c>
      <c r="AV772" s="6" t="s">
        <v>81</v>
      </c>
      <c r="AW772" s="6" t="s">
        <v>81</v>
      </c>
      <c r="AX772" s="6" t="s">
        <v>21234</v>
      </c>
      <c r="AY772" s="6" t="s">
        <v>81</v>
      </c>
      <c r="AZ772" s="6" t="s">
        <v>81</v>
      </c>
      <c r="BA772" s="6" t="s">
        <v>81</v>
      </c>
      <c r="BB772" s="24" t="n">
        <v>77</v>
      </c>
      <c r="BC772" s="26"/>
      <c r="BD772" s="26"/>
      <c r="BE772" s="26"/>
      <c r="BF772" s="26"/>
      <c r="BG772" s="26"/>
      <c r="BH772" s="26"/>
      <c r="BI772" s="26"/>
      <c r="BJ772" s="26"/>
      <c r="BK772" s="26"/>
      <c r="BL772" s="26"/>
      <c r="BM772" s="26"/>
      <c r="BN772" s="26"/>
      <c r="BO772" s="26"/>
      <c r="BP772" s="16" t="n">
        <v>45684</v>
      </c>
      <c r="BQ772" s="28" t="str">
        <f>HYPERLINK("https://organic.ams.usda.gov/Integrity/Certificate.aspx?cid=68&amp;nopid=8210002680")</f>
        <v>https://organic.ams.usda.gov/Integrity/Certificate.aspx?cid=68&amp;nopid=8210002680</v>
      </c>
    </row>
    <row r="773">
      <c r="A773" t="s">
        <v>3</v>
      </c>
      <c r="B773" s="6" t="s">
        <v>8</v>
      </c>
      <c r="C773" s="6" t="s">
        <v>55</v>
      </c>
      <c r="D773" s="6" t="s">
        <v>101</v>
      </c>
      <c r="E773" s="10" t="s">
        <v>914</v>
      </c>
      <c r="F773" s="6" t="s">
        <v>3643</v>
      </c>
      <c r="G773" s="6" t="s">
        <v>81</v>
      </c>
      <c r="H773" s="6" t="s">
        <v>6595</v>
      </c>
      <c r="I773" s="6" t="s">
        <v>8846</v>
      </c>
      <c r="J773" s="6" t="s">
        <v>9668</v>
      </c>
      <c r="K773" s="6" t="s">
        <v>10886</v>
      </c>
      <c r="L773" s="16" t="n">
        <v>43557</v>
      </c>
      <c r="M773" s="16" t="n">
        <v>45689</v>
      </c>
      <c r="N773" s="6" t="s">
        <v>10886</v>
      </c>
      <c r="O773" s="16" t="n">
        <v>43557</v>
      </c>
      <c r="P773" s="6" t="s">
        <v>11372</v>
      </c>
      <c r="Q773" s="6" t="s">
        <v>81</v>
      </c>
      <c r="R773" s="6" t="s">
        <v>6595</v>
      </c>
      <c r="S773" s="6" t="s">
        <v>10886</v>
      </c>
      <c r="T773" s="16" t="n">
        <v>43557</v>
      </c>
      <c r="U773" s="6" t="s">
        <v>13452</v>
      </c>
      <c r="V773" s="6" t="s">
        <v>81</v>
      </c>
      <c r="W773" s="6" t="s">
        <v>6595</v>
      </c>
      <c r="X773" s="6" t="s">
        <v>81</v>
      </c>
      <c r="Y773" s="21" t="s">
        <v>81</v>
      </c>
      <c r="Z773" s="6" t="s">
        <v>81</v>
      </c>
      <c r="AA773" s="6" t="s">
        <v>81</v>
      </c>
      <c r="AB773" s="6" t="s">
        <v>81</v>
      </c>
      <c r="AC773" s="6" t="s">
        <v>81</v>
      </c>
      <c r="AD773" s="21" t="s">
        <v>81</v>
      </c>
      <c r="AE773" s="6" t="s">
        <v>81</v>
      </c>
      <c r="AF773" s="6" t="s">
        <v>81</v>
      </c>
      <c r="AG773" s="6" t="s">
        <v>81</v>
      </c>
      <c r="AH773" s="6" t="s">
        <v>15358</v>
      </c>
      <c r="AI773" s="6" t="s">
        <v>81</v>
      </c>
      <c r="AJ773" s="6" t="s">
        <v>17350</v>
      </c>
      <c r="AK773" s="6" t="s">
        <v>18377</v>
      </c>
      <c r="AL773" s="6" t="s">
        <v>18444</v>
      </c>
      <c r="AM773" s="6" t="s">
        <v>18918</v>
      </c>
      <c r="AN773" s="6" t="s">
        <v>19661</v>
      </c>
      <c r="AO773" s="6" t="s">
        <v>19761</v>
      </c>
      <c r="AP773" s="6" t="s">
        <v>81</v>
      </c>
      <c r="AQ773" s="6" t="s">
        <v>81</v>
      </c>
      <c r="AR773" s="6" t="s">
        <v>81</v>
      </c>
      <c r="AS773" s="6" t="s">
        <v>81</v>
      </c>
      <c r="AT773" s="6" t="s">
        <v>81</v>
      </c>
      <c r="AU773" s="6" t="s">
        <v>81</v>
      </c>
      <c r="AV773" s="6" t="s">
        <v>81</v>
      </c>
      <c r="AW773" s="6" t="s">
        <v>81</v>
      </c>
      <c r="AX773" s="6" t="s">
        <v>81</v>
      </c>
      <c r="AY773" s="6" t="s">
        <v>81</v>
      </c>
      <c r="AZ773" s="6" t="s">
        <v>81</v>
      </c>
      <c r="BA773" s="6" t="s">
        <v>23824</v>
      </c>
      <c r="BB773" s="24" t="n">
        <v>132</v>
      </c>
      <c r="BC773" s="26"/>
      <c r="BD773" s="26"/>
      <c r="BE773" s="26"/>
      <c r="BF773" s="26" t="s">
        <v>23900</v>
      </c>
      <c r="BG773" s="26"/>
      <c r="BH773" s="26"/>
      <c r="BI773" s="26"/>
      <c r="BJ773" s="26"/>
      <c r="BK773" s="26"/>
      <c r="BL773" s="26"/>
      <c r="BM773" s="26"/>
      <c r="BN773" s="26"/>
      <c r="BO773" s="26"/>
      <c r="BP773" s="16" t="n">
        <v>45699</v>
      </c>
      <c r="BQ773" s="28" t="str">
        <f>HYPERLINK("https://organic.ams.usda.gov/Integrity/Certificate.aspx?cid=45&amp;nopid=9950011512")</f>
        <v>https://organic.ams.usda.gov/Integrity/Certificate.aspx?cid=45&amp;nopid=9950011512</v>
      </c>
    </row>
    <row r="774">
      <c r="A774" t="s">
        <v>3</v>
      </c>
      <c r="B774" s="6" t="s">
        <v>7</v>
      </c>
      <c r="C774" s="6" t="s">
        <v>54</v>
      </c>
      <c r="D774" s="6" t="s">
        <v>100</v>
      </c>
      <c r="E774" s="10" t="s">
        <v>915</v>
      </c>
      <c r="F774" s="6" t="s">
        <v>3644</v>
      </c>
      <c r="G774" s="6" t="s">
        <v>81</v>
      </c>
      <c r="H774" s="6" t="s">
        <v>6596</v>
      </c>
      <c r="I774" s="6" t="s">
        <v>8846</v>
      </c>
      <c r="J774" s="6" t="s">
        <v>9727</v>
      </c>
      <c r="K774" s="6" t="s">
        <v>10886</v>
      </c>
      <c r="L774" s="16" t="n">
        <v>45091</v>
      </c>
      <c r="M774" s="16" t="n">
        <v>45716</v>
      </c>
      <c r="N774" s="6" t="s">
        <v>10886</v>
      </c>
      <c r="O774" s="16" t="n">
        <v>45091</v>
      </c>
      <c r="P774" s="6" t="s">
        <v>10934</v>
      </c>
      <c r="Q774" s="6" t="s">
        <v>81</v>
      </c>
      <c r="R774" s="6" t="s">
        <v>81</v>
      </c>
      <c r="S774" s="6" t="s">
        <v>10886</v>
      </c>
      <c r="T774" s="16" t="n">
        <v>45132</v>
      </c>
      <c r="U774" s="6" t="s">
        <v>13188</v>
      </c>
      <c r="V774" s="6" t="s">
        <v>81</v>
      </c>
      <c r="W774" s="6" t="s">
        <v>81</v>
      </c>
      <c r="X774" s="6" t="s">
        <v>81</v>
      </c>
      <c r="Y774" s="21" t="s">
        <v>81</v>
      </c>
      <c r="Z774" s="6" t="s">
        <v>81</v>
      </c>
      <c r="AA774" s="6" t="s">
        <v>81</v>
      </c>
      <c r="AB774" s="6" t="s">
        <v>81</v>
      </c>
      <c r="AC774" s="6" t="s">
        <v>81</v>
      </c>
      <c r="AD774" s="21" t="s">
        <v>81</v>
      </c>
      <c r="AE774" s="6" t="s">
        <v>81</v>
      </c>
      <c r="AF774" s="6" t="s">
        <v>81</v>
      </c>
      <c r="AG774" s="6" t="s">
        <v>81</v>
      </c>
      <c r="AH774" s="6" t="s">
        <v>15359</v>
      </c>
      <c r="AI774" s="6" t="s">
        <v>81</v>
      </c>
      <c r="AJ774" s="6" t="s">
        <v>17406</v>
      </c>
      <c r="AK774" s="6" t="s">
        <v>17712</v>
      </c>
      <c r="AL774" s="6" t="s">
        <v>18444</v>
      </c>
      <c r="AM774" s="6" t="s">
        <v>18562</v>
      </c>
      <c r="AN774" s="6" t="s">
        <v>81</v>
      </c>
      <c r="AO774" s="6" t="s">
        <v>81</v>
      </c>
      <c r="AP774" s="6" t="s">
        <v>15359</v>
      </c>
      <c r="AQ774" s="6" t="s">
        <v>81</v>
      </c>
      <c r="AR774" s="6" t="s">
        <v>17406</v>
      </c>
      <c r="AS774" s="6" t="s">
        <v>17712</v>
      </c>
      <c r="AT774" s="6" t="s">
        <v>18444</v>
      </c>
      <c r="AU774" s="6" t="s">
        <v>18562</v>
      </c>
      <c r="AV774" s="6" t="s">
        <v>81</v>
      </c>
      <c r="AW774" s="6" t="s">
        <v>81</v>
      </c>
      <c r="AX774" s="6" t="s">
        <v>81</v>
      </c>
      <c r="AY774" s="6" t="s">
        <v>81</v>
      </c>
      <c r="AZ774" s="6" t="s">
        <v>81</v>
      </c>
      <c r="BA774" s="6" t="s">
        <v>81</v>
      </c>
      <c r="BB774" s="24" t="n">
        <v>82</v>
      </c>
      <c r="BC774" s="26"/>
      <c r="BD774" s="26"/>
      <c r="BE774" s="26"/>
      <c r="BF774" s="26" t="s">
        <v>23900</v>
      </c>
      <c r="BG774" s="26"/>
      <c r="BH774" s="26"/>
      <c r="BI774" s="26"/>
      <c r="BJ774" s="26"/>
      <c r="BK774" s="26"/>
      <c r="BL774" s="26"/>
      <c r="BM774" s="26"/>
      <c r="BN774" s="26"/>
      <c r="BO774" s="26"/>
      <c r="BP774" s="16" t="n">
        <v>45702</v>
      </c>
      <c r="BQ774" s="28" t="str">
        <f>HYPERLINK("https://organic.ams.usda.gov/Integrity/Certificate.aspx?cid=57&amp;nopid=3252023052")</f>
        <v>https://organic.ams.usda.gov/Integrity/Certificate.aspx?cid=57&amp;nopid=3252023052</v>
      </c>
    </row>
    <row r="775">
      <c r="A775" t="s">
        <v>3</v>
      </c>
      <c r="B775" s="6" t="s">
        <v>30</v>
      </c>
      <c r="C775" s="6" t="s">
        <v>77</v>
      </c>
      <c r="D775" s="6" t="s">
        <v>123</v>
      </c>
      <c r="E775" s="10" t="s">
        <v>916</v>
      </c>
      <c r="F775" s="6" t="s">
        <v>3645</v>
      </c>
      <c r="G775" s="6" t="s">
        <v>81</v>
      </c>
      <c r="H775" s="6" t="s">
        <v>6597</v>
      </c>
      <c r="I775" s="6" t="s">
        <v>8846</v>
      </c>
      <c r="J775" s="6" t="s">
        <v>10060</v>
      </c>
      <c r="K775" s="6" t="s">
        <v>10886</v>
      </c>
      <c r="L775" s="16" t="n">
        <v>44054</v>
      </c>
      <c r="M775" s="16" t="n">
        <v>45747</v>
      </c>
      <c r="N775" s="6" t="s">
        <v>10886</v>
      </c>
      <c r="O775" s="16" t="n">
        <v>44054</v>
      </c>
      <c r="P775" s="6" t="s">
        <v>10907</v>
      </c>
      <c r="Q775" s="6" t="s">
        <v>81</v>
      </c>
      <c r="R775" s="6" t="s">
        <v>81</v>
      </c>
      <c r="S775" s="6" t="s">
        <v>10886</v>
      </c>
      <c r="T775" s="16" t="n">
        <v>44054</v>
      </c>
      <c r="U775" s="6" t="s">
        <v>13453</v>
      </c>
      <c r="V775" s="6" t="s">
        <v>81</v>
      </c>
      <c r="W775" s="6" t="s">
        <v>81</v>
      </c>
      <c r="X775" s="6" t="s">
        <v>81</v>
      </c>
      <c r="Y775" s="21" t="s">
        <v>81</v>
      </c>
      <c r="Z775" s="6" t="s">
        <v>81</v>
      </c>
      <c r="AA775" s="6" t="s">
        <v>81</v>
      </c>
      <c r="AB775" s="6" t="s">
        <v>81</v>
      </c>
      <c r="AC775" s="6" t="s">
        <v>81</v>
      </c>
      <c r="AD775" s="21" t="s">
        <v>81</v>
      </c>
      <c r="AE775" s="6" t="s">
        <v>81</v>
      </c>
      <c r="AF775" s="6" t="s">
        <v>81</v>
      </c>
      <c r="AG775" s="6" t="s">
        <v>81</v>
      </c>
      <c r="AH775" s="6" t="s">
        <v>15360</v>
      </c>
      <c r="AI775" s="6" t="s">
        <v>81</v>
      </c>
      <c r="AJ775" s="6" t="s">
        <v>17616</v>
      </c>
      <c r="AK775" s="6" t="s">
        <v>17712</v>
      </c>
      <c r="AL775" s="6" t="s">
        <v>18444</v>
      </c>
      <c r="AM775" s="6" t="s">
        <v>18784</v>
      </c>
      <c r="AN775" s="6" t="s">
        <v>19662</v>
      </c>
      <c r="AO775" s="6" t="s">
        <v>19762</v>
      </c>
      <c r="AP775" s="6" t="s">
        <v>15360</v>
      </c>
      <c r="AQ775" s="6" t="s">
        <v>81</v>
      </c>
      <c r="AR775" s="6" t="s">
        <v>17616</v>
      </c>
      <c r="AS775" s="6" t="s">
        <v>17712</v>
      </c>
      <c r="AT775" s="6" t="s">
        <v>18444</v>
      </c>
      <c r="AU775" s="6" t="s">
        <v>18784</v>
      </c>
      <c r="AV775" s="6" t="s">
        <v>81</v>
      </c>
      <c r="AW775" s="6" t="s">
        <v>81</v>
      </c>
      <c r="AX775" s="6" t="s">
        <v>21235</v>
      </c>
      <c r="AY775" s="6" t="s">
        <v>81</v>
      </c>
      <c r="AZ775" s="6" t="s">
        <v>81</v>
      </c>
      <c r="BA775" s="6" t="s">
        <v>81</v>
      </c>
      <c r="BB775" s="24" t="n">
        <v>90</v>
      </c>
      <c r="BC775" s="26"/>
      <c r="BD775" s="26"/>
      <c r="BE775" s="26"/>
      <c r="BF775" s="26"/>
      <c r="BG775" s="26"/>
      <c r="BH775" s="26"/>
      <c r="BI775" s="26"/>
      <c r="BJ775" s="26"/>
      <c r="BK775" s="26"/>
      <c r="BL775" s="26"/>
      <c r="BM775" s="26"/>
      <c r="BN775" s="26"/>
      <c r="BO775" s="26"/>
      <c r="BP775" s="16" t="n">
        <v>45672</v>
      </c>
      <c r="BQ775" s="28" t="str">
        <f>HYPERLINK("https://organic.ams.usda.gov/Integrity/Certificate.aspx?cid=70&amp;nopid=6432016730")</f>
        <v>https://organic.ams.usda.gov/Integrity/Certificate.aspx?cid=70&amp;nopid=6432016730</v>
      </c>
    </row>
    <row r="776">
      <c r="A776" t="s">
        <v>3</v>
      </c>
      <c r="B776" s="6" t="s">
        <v>7</v>
      </c>
      <c r="C776" s="6" t="s">
        <v>54</v>
      </c>
      <c r="D776" s="6" t="s">
        <v>100</v>
      </c>
      <c r="E776" s="10" t="s">
        <v>917</v>
      </c>
      <c r="F776" s="6" t="s">
        <v>3646</v>
      </c>
      <c r="G776" s="6" t="s">
        <v>81</v>
      </c>
      <c r="H776" s="6" t="s">
        <v>6598</v>
      </c>
      <c r="I776" s="6" t="s">
        <v>8846</v>
      </c>
      <c r="J776" s="6" t="s">
        <v>9697</v>
      </c>
      <c r="K776" s="6" t="s">
        <v>10886</v>
      </c>
      <c r="L776" s="16" t="n">
        <v>44635</v>
      </c>
      <c r="M776" s="16" t="n">
        <v>45716</v>
      </c>
      <c r="N776" s="6" t="s">
        <v>10886</v>
      </c>
      <c r="O776" s="16" t="n">
        <v>44635</v>
      </c>
      <c r="P776" s="6" t="s">
        <v>11017</v>
      </c>
      <c r="Q776" s="6" t="s">
        <v>81</v>
      </c>
      <c r="R776" s="6" t="s">
        <v>81</v>
      </c>
      <c r="S776" s="6" t="s">
        <v>10886</v>
      </c>
      <c r="T776" s="16" t="n">
        <v>44635</v>
      </c>
      <c r="U776" s="6" t="s">
        <v>13169</v>
      </c>
      <c r="V776" s="6" t="s">
        <v>81</v>
      </c>
      <c r="W776" s="6" t="s">
        <v>81</v>
      </c>
      <c r="X776" s="6" t="s">
        <v>81</v>
      </c>
      <c r="Y776" s="21" t="s">
        <v>81</v>
      </c>
      <c r="Z776" s="6" t="s">
        <v>81</v>
      </c>
      <c r="AA776" s="6" t="s">
        <v>81</v>
      </c>
      <c r="AB776" s="6" t="s">
        <v>81</v>
      </c>
      <c r="AC776" s="6" t="s">
        <v>81</v>
      </c>
      <c r="AD776" s="21" t="s">
        <v>81</v>
      </c>
      <c r="AE776" s="6" t="s">
        <v>81</v>
      </c>
      <c r="AF776" s="6" t="s">
        <v>81</v>
      </c>
      <c r="AG776" s="6" t="s">
        <v>81</v>
      </c>
      <c r="AH776" s="6" t="s">
        <v>15361</v>
      </c>
      <c r="AI776" s="6" t="s">
        <v>81</v>
      </c>
      <c r="AJ776" s="6" t="s">
        <v>17750</v>
      </c>
      <c r="AK776" s="6" t="s">
        <v>17712</v>
      </c>
      <c r="AL776" s="6" t="s">
        <v>18444</v>
      </c>
      <c r="AM776" s="6" t="s">
        <v>18919</v>
      </c>
      <c r="AN776" s="6" t="s">
        <v>19657</v>
      </c>
      <c r="AO776" s="6" t="s">
        <v>19751</v>
      </c>
      <c r="AP776" s="6" t="s">
        <v>15361</v>
      </c>
      <c r="AQ776" s="6" t="s">
        <v>81</v>
      </c>
      <c r="AR776" s="6" t="s">
        <v>17750</v>
      </c>
      <c r="AS776" s="6" t="s">
        <v>17712</v>
      </c>
      <c r="AT776" s="6" t="s">
        <v>18444</v>
      </c>
      <c r="AU776" s="6" t="s">
        <v>18919</v>
      </c>
      <c r="AV776" s="6" t="s">
        <v>81</v>
      </c>
      <c r="AW776" s="6" t="s">
        <v>81</v>
      </c>
      <c r="AX776" s="6" t="s">
        <v>81</v>
      </c>
      <c r="AY776" s="6" t="s">
        <v>81</v>
      </c>
      <c r="AZ776" s="6" t="s">
        <v>81</v>
      </c>
      <c r="BA776" s="6" t="s">
        <v>81</v>
      </c>
      <c r="BB776" s="24" t="n">
        <v>138</v>
      </c>
      <c r="BC776" s="26"/>
      <c r="BD776" s="26"/>
      <c r="BE776" s="26"/>
      <c r="BF776" s="26" t="s">
        <v>23900</v>
      </c>
      <c r="BG776" s="26"/>
      <c r="BH776" s="26"/>
      <c r="BI776" s="26"/>
      <c r="BJ776" s="26"/>
      <c r="BK776" s="26"/>
      <c r="BL776" s="26"/>
      <c r="BM776" s="26"/>
      <c r="BN776" s="26"/>
      <c r="BO776" s="26"/>
      <c r="BP776" s="16" t="n">
        <v>45595</v>
      </c>
      <c r="BQ776" s="28" t="str">
        <f>HYPERLINK("https://organic.ams.usda.gov/Integrity/Certificate.aspx?cid=57&amp;nopid=3252022005")</f>
        <v>https://organic.ams.usda.gov/Integrity/Certificate.aspx?cid=57&amp;nopid=3252022005</v>
      </c>
    </row>
    <row r="777">
      <c r="A777" t="s">
        <v>3</v>
      </c>
      <c r="B777" s="6" t="s">
        <v>15</v>
      </c>
      <c r="C777" s="6" t="s">
        <v>62</v>
      </c>
      <c r="D777" s="6" t="s">
        <v>108</v>
      </c>
      <c r="E777" s="10" t="s">
        <v>918</v>
      </c>
      <c r="F777" s="6" t="s">
        <v>3647</v>
      </c>
      <c r="G777" s="6" t="s">
        <v>5666</v>
      </c>
      <c r="H777" s="6" t="s">
        <v>6599</v>
      </c>
      <c r="I777" s="6" t="s">
        <v>8847</v>
      </c>
      <c r="J777" s="6" t="s">
        <v>9667</v>
      </c>
      <c r="K777" s="6" t="s">
        <v>10886</v>
      </c>
      <c r="L777" s="16" t="n">
        <v>42660</v>
      </c>
      <c r="M777" s="16" t="n">
        <v>46157</v>
      </c>
      <c r="N777" s="6" t="s">
        <v>10886</v>
      </c>
      <c r="O777" s="16" t="n">
        <v>42660</v>
      </c>
      <c r="P777" s="6" t="s">
        <v>11373</v>
      </c>
      <c r="Q777" s="6" t="s">
        <v>81</v>
      </c>
      <c r="R777" s="6" t="s">
        <v>81</v>
      </c>
      <c r="S777" s="6" t="s">
        <v>10886</v>
      </c>
      <c r="T777" s="16" t="n">
        <v>42660</v>
      </c>
      <c r="U777" s="6" t="s">
        <v>13196</v>
      </c>
      <c r="V777" s="6" t="s">
        <v>81</v>
      </c>
      <c r="W777" s="6" t="s">
        <v>81</v>
      </c>
      <c r="X777" s="6" t="s">
        <v>81</v>
      </c>
      <c r="Y777" s="21" t="s">
        <v>81</v>
      </c>
      <c r="Z777" s="6" t="s">
        <v>81</v>
      </c>
      <c r="AA777" s="6" t="s">
        <v>81</v>
      </c>
      <c r="AB777" s="6" t="s">
        <v>81</v>
      </c>
      <c r="AC777" s="6" t="s">
        <v>81</v>
      </c>
      <c r="AD777" s="21" t="s">
        <v>81</v>
      </c>
      <c r="AE777" s="6" t="s">
        <v>81</v>
      </c>
      <c r="AF777" s="6" t="s">
        <v>81</v>
      </c>
      <c r="AG777" s="6" t="s">
        <v>81</v>
      </c>
      <c r="AH777" s="6" t="s">
        <v>15362</v>
      </c>
      <c r="AI777" s="6" t="s">
        <v>81</v>
      </c>
      <c r="AJ777" s="6" t="s">
        <v>17751</v>
      </c>
      <c r="AK777" s="6" t="s">
        <v>18380</v>
      </c>
      <c r="AL777" s="6" t="s">
        <v>18444</v>
      </c>
      <c r="AM777" s="6" t="s">
        <v>18920</v>
      </c>
      <c r="AN777" s="6" t="s">
        <v>19639</v>
      </c>
      <c r="AO777" s="6" t="s">
        <v>19725</v>
      </c>
      <c r="AP777" s="6" t="s">
        <v>15362</v>
      </c>
      <c r="AQ777" s="6" t="s">
        <v>81</v>
      </c>
      <c r="AR777" s="6" t="s">
        <v>17751</v>
      </c>
      <c r="AS777" s="6" t="s">
        <v>18380</v>
      </c>
      <c r="AT777" s="6" t="s">
        <v>18444</v>
      </c>
      <c r="AU777" s="6" t="s">
        <v>18920</v>
      </c>
      <c r="AV777" s="6" t="s">
        <v>81</v>
      </c>
      <c r="AW777" s="6" t="s">
        <v>81</v>
      </c>
      <c r="AX777" s="6" t="s">
        <v>21236</v>
      </c>
      <c r="AY777" s="6" t="s">
        <v>81</v>
      </c>
      <c r="AZ777" s="6" t="s">
        <v>81</v>
      </c>
      <c r="BA777" s="6" t="s">
        <v>81</v>
      </c>
      <c r="BB777" s="24" t="n">
        <v>80</v>
      </c>
      <c r="BC777" s="26"/>
      <c r="BD777" s="26"/>
      <c r="BE777" s="26"/>
      <c r="BF777" s="26" t="s">
        <v>23900</v>
      </c>
      <c r="BG777" s="26"/>
      <c r="BH777" s="26"/>
      <c r="BI777" s="26"/>
      <c r="BJ777" s="26"/>
      <c r="BK777" s="26"/>
      <c r="BL777" s="26"/>
      <c r="BM777" s="26"/>
      <c r="BN777" s="26"/>
      <c r="BO777" s="26"/>
      <c r="BP777" s="16" t="n">
        <v>45737</v>
      </c>
      <c r="BQ777" s="28" t="str">
        <f>HYPERLINK("https://organic.ams.usda.gov/Integrity/Certificate.aspx?cid=58&amp;nopid=1600002755")</f>
        <v>https://organic.ams.usda.gov/Integrity/Certificate.aspx?cid=58&amp;nopid=1600002755</v>
      </c>
    </row>
    <row r="778">
      <c r="A778" t="s">
        <v>3</v>
      </c>
      <c r="B778" s="6" t="s">
        <v>7</v>
      </c>
      <c r="C778" s="6" t="s">
        <v>54</v>
      </c>
      <c r="D778" s="6" t="s">
        <v>100</v>
      </c>
      <c r="E778" s="10" t="s">
        <v>919</v>
      </c>
      <c r="F778" s="6" t="s">
        <v>3648</v>
      </c>
      <c r="G778" s="6" t="s">
        <v>81</v>
      </c>
      <c r="H778" s="6" t="s">
        <v>6600</v>
      </c>
      <c r="I778" s="6" t="s">
        <v>8846</v>
      </c>
      <c r="J778" s="6" t="s">
        <v>9936</v>
      </c>
      <c r="K778" s="6" t="s">
        <v>10886</v>
      </c>
      <c r="L778" s="16" t="n">
        <v>42902</v>
      </c>
      <c r="M778" s="16" t="n">
        <v>45716</v>
      </c>
      <c r="N778" s="6" t="s">
        <v>10886</v>
      </c>
      <c r="O778" s="16" t="n">
        <v>42902</v>
      </c>
      <c r="P778" s="6" t="s">
        <v>10934</v>
      </c>
      <c r="Q778" s="6" t="s">
        <v>81</v>
      </c>
      <c r="R778" s="6" t="s">
        <v>81</v>
      </c>
      <c r="S778" s="6" t="s">
        <v>10886</v>
      </c>
      <c r="T778" s="16" t="n">
        <v>43219</v>
      </c>
      <c r="U778" s="6" t="s">
        <v>13169</v>
      </c>
      <c r="V778" s="6" t="s">
        <v>81</v>
      </c>
      <c r="W778" s="6" t="s">
        <v>81</v>
      </c>
      <c r="X778" s="6" t="s">
        <v>81</v>
      </c>
      <c r="Y778" s="21" t="s">
        <v>81</v>
      </c>
      <c r="Z778" s="6" t="s">
        <v>81</v>
      </c>
      <c r="AA778" s="6" t="s">
        <v>81</v>
      </c>
      <c r="AB778" s="6" t="s">
        <v>81</v>
      </c>
      <c r="AC778" s="6" t="s">
        <v>81</v>
      </c>
      <c r="AD778" s="21" t="s">
        <v>81</v>
      </c>
      <c r="AE778" s="6" t="s">
        <v>81</v>
      </c>
      <c r="AF778" s="6" t="s">
        <v>81</v>
      </c>
      <c r="AG778" s="6" t="s">
        <v>81</v>
      </c>
      <c r="AH778" s="6" t="s">
        <v>15363</v>
      </c>
      <c r="AI778" s="6" t="s">
        <v>81</v>
      </c>
      <c r="AJ778" s="6" t="s">
        <v>17482</v>
      </c>
      <c r="AK778" s="6" t="s">
        <v>17712</v>
      </c>
      <c r="AL778" s="6" t="s">
        <v>18444</v>
      </c>
      <c r="AM778" s="6" t="s">
        <v>18590</v>
      </c>
      <c r="AN778" s="6" t="s">
        <v>19670</v>
      </c>
      <c r="AO778" s="6" t="s">
        <v>19782</v>
      </c>
      <c r="AP778" s="6" t="s">
        <v>15363</v>
      </c>
      <c r="AQ778" s="6" t="s">
        <v>81</v>
      </c>
      <c r="AR778" s="6" t="s">
        <v>17482</v>
      </c>
      <c r="AS778" s="6" t="s">
        <v>17712</v>
      </c>
      <c r="AT778" s="6" t="s">
        <v>18444</v>
      </c>
      <c r="AU778" s="6" t="s">
        <v>18590</v>
      </c>
      <c r="AV778" s="6" t="s">
        <v>81</v>
      </c>
      <c r="AW778" s="6" t="s">
        <v>81</v>
      </c>
      <c r="AX778" s="6" t="s">
        <v>81</v>
      </c>
      <c r="AY778" s="6" t="s">
        <v>81</v>
      </c>
      <c r="AZ778" s="6" t="s">
        <v>81</v>
      </c>
      <c r="BA778" s="6" t="s">
        <v>81</v>
      </c>
      <c r="BB778" s="24" t="n">
        <v>116</v>
      </c>
      <c r="BC778" s="26"/>
      <c r="BD778" s="26"/>
      <c r="BE778" s="26"/>
      <c r="BF778" s="26" t="s">
        <v>23900</v>
      </c>
      <c r="BG778" s="26"/>
      <c r="BH778" s="26"/>
      <c r="BI778" s="26"/>
      <c r="BJ778" s="26"/>
      <c r="BK778" s="26"/>
      <c r="BL778" s="26"/>
      <c r="BM778" s="26"/>
      <c r="BN778" s="26"/>
      <c r="BO778" s="26"/>
      <c r="BP778" s="16" t="n">
        <v>45723</v>
      </c>
      <c r="BQ778" s="28" t="str">
        <f>HYPERLINK("https://organic.ams.usda.gov/Integrity/Certificate.aspx?cid=57&amp;nopid=3252017049")</f>
        <v>https://organic.ams.usda.gov/Integrity/Certificate.aspx?cid=57&amp;nopid=3252017049</v>
      </c>
    </row>
    <row r="779">
      <c r="A779" t="s">
        <v>3</v>
      </c>
      <c r="B779" s="6" t="s">
        <v>9</v>
      </c>
      <c r="C779" s="6" t="s">
        <v>56</v>
      </c>
      <c r="D779" s="6" t="s">
        <v>102</v>
      </c>
      <c r="E779" s="10" t="s">
        <v>920</v>
      </c>
      <c r="F779" s="6" t="s">
        <v>3649</v>
      </c>
      <c r="G779" s="6" t="s">
        <v>81</v>
      </c>
      <c r="H779" s="6" t="s">
        <v>6601</v>
      </c>
      <c r="I779" s="6" t="s">
        <v>8846</v>
      </c>
      <c r="J779" s="6" t="s">
        <v>9665</v>
      </c>
      <c r="K779" s="6" t="s">
        <v>10886</v>
      </c>
      <c r="L779" s="16" t="n">
        <v>43080</v>
      </c>
      <c r="M779" s="16" t="n">
        <v>45748</v>
      </c>
      <c r="N779" s="6" t="s">
        <v>10886</v>
      </c>
      <c r="O779" s="16" t="n">
        <v>43080</v>
      </c>
      <c r="P779" s="6" t="s">
        <v>10900</v>
      </c>
      <c r="Q779" s="6" t="s">
        <v>81</v>
      </c>
      <c r="R779" s="6" t="s">
        <v>12641</v>
      </c>
      <c r="S779" s="6" t="s">
        <v>10886</v>
      </c>
      <c r="T779" s="16" t="n">
        <v>43080</v>
      </c>
      <c r="U779" s="6" t="s">
        <v>13168</v>
      </c>
      <c r="V779" s="6" t="s">
        <v>81</v>
      </c>
      <c r="W779" s="6" t="s">
        <v>12641</v>
      </c>
      <c r="X779" s="6" t="s">
        <v>81</v>
      </c>
      <c r="Y779" s="21" t="s">
        <v>81</v>
      </c>
      <c r="Z779" s="6" t="s">
        <v>81</v>
      </c>
      <c r="AA779" s="6" t="s">
        <v>81</v>
      </c>
      <c r="AB779" s="6" t="s">
        <v>81</v>
      </c>
      <c r="AC779" s="6" t="s">
        <v>81</v>
      </c>
      <c r="AD779" s="21" t="s">
        <v>81</v>
      </c>
      <c r="AE779" s="6" t="s">
        <v>81</v>
      </c>
      <c r="AF779" s="6" t="s">
        <v>81</v>
      </c>
      <c r="AG779" s="6" t="s">
        <v>81</v>
      </c>
      <c r="AH779" s="6" t="s">
        <v>15364</v>
      </c>
      <c r="AI779" s="6" t="s">
        <v>81</v>
      </c>
      <c r="AJ779" s="6" t="s">
        <v>17427</v>
      </c>
      <c r="AK779" s="6" t="s">
        <v>18377</v>
      </c>
      <c r="AL779" s="6" t="s">
        <v>18444</v>
      </c>
      <c r="AM779" s="6" t="s">
        <v>18584</v>
      </c>
      <c r="AN779" s="6" t="s">
        <v>19634</v>
      </c>
      <c r="AO779" s="6" t="s">
        <v>19764</v>
      </c>
      <c r="AP779" s="6" t="s">
        <v>81</v>
      </c>
      <c r="AQ779" s="6" t="s">
        <v>81</v>
      </c>
      <c r="AR779" s="6" t="s">
        <v>81</v>
      </c>
      <c r="AS779" s="6" t="s">
        <v>81</v>
      </c>
      <c r="AT779" s="6" t="s">
        <v>81</v>
      </c>
      <c r="AU779" s="6" t="s">
        <v>81</v>
      </c>
      <c r="AV779" s="6" t="s">
        <v>81</v>
      </c>
      <c r="AW779" s="6" t="s">
        <v>81</v>
      </c>
      <c r="AX779" s="6" t="s">
        <v>81</v>
      </c>
      <c r="AY779" s="6" t="s">
        <v>81</v>
      </c>
      <c r="AZ779" s="6" t="s">
        <v>81</v>
      </c>
      <c r="BA779" s="6" t="s">
        <v>81</v>
      </c>
      <c r="BB779" s="24" t="n">
        <v>91</v>
      </c>
      <c r="BC779" s="26"/>
      <c r="BD779" s="26"/>
      <c r="BE779" s="26"/>
      <c r="BF779" s="26"/>
      <c r="BG779" s="26"/>
      <c r="BH779" s="26"/>
      <c r="BI779" s="26"/>
      <c r="BJ779" s="26"/>
      <c r="BK779" s="26"/>
      <c r="BL779" s="26"/>
      <c r="BM779" s="26"/>
      <c r="BN779" s="26"/>
      <c r="BO779" s="26"/>
      <c r="BP779" s="16" t="n">
        <v>45738</v>
      </c>
      <c r="BQ779" s="28" t="str">
        <f>HYPERLINK("https://organic.ams.usda.gov/Integrity/Certificate.aspx?cid=52&amp;nopid=8431701378")</f>
        <v>https://organic.ams.usda.gov/Integrity/Certificate.aspx?cid=52&amp;nopid=8431701378</v>
      </c>
    </row>
    <row r="780">
      <c r="A780" t="s">
        <v>3</v>
      </c>
      <c r="B780" s="6" t="s">
        <v>7</v>
      </c>
      <c r="C780" s="6" t="s">
        <v>54</v>
      </c>
      <c r="D780" s="6" t="s">
        <v>100</v>
      </c>
      <c r="E780" s="10" t="s">
        <v>921</v>
      </c>
      <c r="F780" s="6" t="s">
        <v>3650</v>
      </c>
      <c r="G780" s="6" t="s">
        <v>81</v>
      </c>
      <c r="H780" s="6" t="s">
        <v>6602</v>
      </c>
      <c r="I780" s="6" t="s">
        <v>8846</v>
      </c>
      <c r="J780" s="6" t="s">
        <v>9697</v>
      </c>
      <c r="K780" s="6" t="s">
        <v>10886</v>
      </c>
      <c r="L780" s="16" t="n">
        <v>45611</v>
      </c>
      <c r="M780" s="16" t="n">
        <v>45716</v>
      </c>
      <c r="N780" s="6" t="s">
        <v>10886</v>
      </c>
      <c r="O780" s="16" t="n">
        <v>45611</v>
      </c>
      <c r="P780" s="6" t="s">
        <v>10944</v>
      </c>
      <c r="Q780" s="6" t="s">
        <v>81</v>
      </c>
      <c r="R780" s="6" t="s">
        <v>81</v>
      </c>
      <c r="S780" s="6" t="s">
        <v>10886</v>
      </c>
      <c r="T780" s="16" t="n">
        <v>45611</v>
      </c>
      <c r="U780" s="6" t="s">
        <v>13160</v>
      </c>
      <c r="V780" s="6" t="s">
        <v>81</v>
      </c>
      <c r="W780" s="6" t="s">
        <v>81</v>
      </c>
      <c r="X780" s="6" t="s">
        <v>81</v>
      </c>
      <c r="Y780" s="21" t="s">
        <v>81</v>
      </c>
      <c r="Z780" s="6" t="s">
        <v>81</v>
      </c>
      <c r="AA780" s="6" t="s">
        <v>81</v>
      </c>
      <c r="AB780" s="6" t="s">
        <v>81</v>
      </c>
      <c r="AC780" s="6" t="s">
        <v>81</v>
      </c>
      <c r="AD780" s="21" t="s">
        <v>81</v>
      </c>
      <c r="AE780" s="6" t="s">
        <v>81</v>
      </c>
      <c r="AF780" s="6" t="s">
        <v>81</v>
      </c>
      <c r="AG780" s="6" t="s">
        <v>81</v>
      </c>
      <c r="AH780" s="6" t="s">
        <v>15365</v>
      </c>
      <c r="AI780" s="6" t="s">
        <v>81</v>
      </c>
      <c r="AJ780" s="6" t="s">
        <v>17416</v>
      </c>
      <c r="AK780" s="6" t="s">
        <v>17712</v>
      </c>
      <c r="AL780" s="6" t="s">
        <v>18444</v>
      </c>
      <c r="AM780" s="6" t="s">
        <v>18572</v>
      </c>
      <c r="AN780" s="6" t="s">
        <v>81</v>
      </c>
      <c r="AO780" s="6" t="s">
        <v>81</v>
      </c>
      <c r="AP780" s="6" t="s">
        <v>15365</v>
      </c>
      <c r="AQ780" s="6" t="s">
        <v>81</v>
      </c>
      <c r="AR780" s="6" t="s">
        <v>17416</v>
      </c>
      <c r="AS780" s="6" t="s">
        <v>17712</v>
      </c>
      <c r="AT780" s="6" t="s">
        <v>18444</v>
      </c>
      <c r="AU780" s="6" t="s">
        <v>18572</v>
      </c>
      <c r="AV780" s="6" t="s">
        <v>81</v>
      </c>
      <c r="AW780" s="6" t="s">
        <v>81</v>
      </c>
      <c r="AX780" s="6" t="s">
        <v>81</v>
      </c>
      <c r="AY780" s="6" t="s">
        <v>81</v>
      </c>
      <c r="AZ780" s="6" t="s">
        <v>81</v>
      </c>
      <c r="BA780" s="6" t="s">
        <v>81</v>
      </c>
      <c r="BB780" s="24" t="n">
        <v>135</v>
      </c>
      <c r="BC780" s="26"/>
      <c r="BD780" s="26"/>
      <c r="BE780" s="26"/>
      <c r="BF780" s="26" t="s">
        <v>23900</v>
      </c>
      <c r="BG780" s="26"/>
      <c r="BH780" s="26"/>
      <c r="BI780" s="26"/>
      <c r="BJ780" s="26"/>
      <c r="BK780" s="26"/>
      <c r="BL780" s="26"/>
      <c r="BM780" s="26"/>
      <c r="BN780" s="26"/>
      <c r="BO780" s="26"/>
      <c r="BP780" s="16" t="n">
        <v>45616</v>
      </c>
      <c r="BQ780" s="28" t="str">
        <f>HYPERLINK("https://organic.ams.usda.gov/Integrity/Certificate.aspx?cid=57&amp;nopid=3252024030")</f>
        <v>https://organic.ams.usda.gov/Integrity/Certificate.aspx?cid=57&amp;nopid=3252024030</v>
      </c>
    </row>
    <row r="781">
      <c r="A781" t="s">
        <v>3</v>
      </c>
      <c r="B781" s="6" t="s">
        <v>12</v>
      </c>
      <c r="C781" s="6" t="s">
        <v>59</v>
      </c>
      <c r="D781" s="6" t="s">
        <v>105</v>
      </c>
      <c r="E781" s="10" t="s">
        <v>922</v>
      </c>
      <c r="F781" s="6" t="s">
        <v>3651</v>
      </c>
      <c r="G781" s="6" t="s">
        <v>81</v>
      </c>
      <c r="H781" s="6" t="s">
        <v>6603</v>
      </c>
      <c r="I781" s="6" t="s">
        <v>8848</v>
      </c>
      <c r="J781" s="6" t="s">
        <v>9727</v>
      </c>
      <c r="K781" s="6" t="s">
        <v>10886</v>
      </c>
      <c r="L781" s="16" t="n">
        <v>42894</v>
      </c>
      <c r="M781" s="16" t="n">
        <v>45717</v>
      </c>
      <c r="N781" s="6" t="s">
        <v>10886</v>
      </c>
      <c r="O781" s="16" t="n">
        <v>42894</v>
      </c>
      <c r="P781" s="6" t="s">
        <v>10944</v>
      </c>
      <c r="Q781" s="6" t="s">
        <v>81</v>
      </c>
      <c r="R781" s="6" t="s">
        <v>81</v>
      </c>
      <c r="S781" s="6" t="s">
        <v>10886</v>
      </c>
      <c r="T781" s="16" t="n">
        <v>42894</v>
      </c>
      <c r="U781" s="6" t="s">
        <v>13262</v>
      </c>
      <c r="V781" s="6" t="s">
        <v>81</v>
      </c>
      <c r="W781" s="6" t="s">
        <v>81</v>
      </c>
      <c r="X781" s="6" t="s">
        <v>81</v>
      </c>
      <c r="Y781" s="21" t="s">
        <v>81</v>
      </c>
      <c r="Z781" s="6" t="s">
        <v>81</v>
      </c>
      <c r="AA781" s="6" t="s">
        <v>81</v>
      </c>
      <c r="AB781" s="6" t="s">
        <v>81</v>
      </c>
      <c r="AC781" s="6" t="s">
        <v>81</v>
      </c>
      <c r="AD781" s="21" t="s">
        <v>81</v>
      </c>
      <c r="AE781" s="6" t="s">
        <v>81</v>
      </c>
      <c r="AF781" s="6" t="s">
        <v>81</v>
      </c>
      <c r="AG781" s="6" t="s">
        <v>81</v>
      </c>
      <c r="AH781" s="6" t="s">
        <v>15366</v>
      </c>
      <c r="AI781" s="6" t="s">
        <v>81</v>
      </c>
      <c r="AJ781" s="6" t="s">
        <v>17341</v>
      </c>
      <c r="AK781" s="6" t="s">
        <v>17712</v>
      </c>
      <c r="AL781" s="6" t="s">
        <v>18444</v>
      </c>
      <c r="AM781" s="6" t="s">
        <v>18495</v>
      </c>
      <c r="AN781" s="6" t="s">
        <v>19649</v>
      </c>
      <c r="AO781" s="6" t="s">
        <v>19738</v>
      </c>
      <c r="AP781" s="6" t="s">
        <v>15366</v>
      </c>
      <c r="AQ781" s="6" t="s">
        <v>81</v>
      </c>
      <c r="AR781" s="6" t="s">
        <v>17341</v>
      </c>
      <c r="AS781" s="6" t="s">
        <v>17712</v>
      </c>
      <c r="AT781" s="6" t="s">
        <v>18444</v>
      </c>
      <c r="AU781" s="6" t="s">
        <v>18495</v>
      </c>
      <c r="AV781" s="6" t="s">
        <v>81</v>
      </c>
      <c r="AW781" s="6" t="s">
        <v>81</v>
      </c>
      <c r="AX781" s="6" t="s">
        <v>81</v>
      </c>
      <c r="AY781" s="6" t="s">
        <v>81</v>
      </c>
      <c r="AZ781" s="6" t="s">
        <v>81</v>
      </c>
      <c r="BA781" s="6" t="s">
        <v>81</v>
      </c>
      <c r="BB781" s="24" t="n">
        <v>86</v>
      </c>
      <c r="BC781" s="26"/>
      <c r="BD781" s="26"/>
      <c r="BE781" s="26"/>
      <c r="BF781" s="26"/>
      <c r="BG781" s="26"/>
      <c r="BH781" s="26"/>
      <c r="BI781" s="26"/>
      <c r="BJ781" s="26"/>
      <c r="BK781" s="26"/>
      <c r="BL781" s="26"/>
      <c r="BM781" s="26"/>
      <c r="BN781" s="26"/>
      <c r="BO781" s="26"/>
      <c r="BP781" s="16" t="n">
        <v>45686</v>
      </c>
      <c r="BQ781" s="28" t="str">
        <f>HYPERLINK("https://organic.ams.usda.gov/Integrity/Certificate.aspx?cid=68&amp;nopid=8210004571")</f>
        <v>https://organic.ams.usda.gov/Integrity/Certificate.aspx?cid=68&amp;nopid=8210004571</v>
      </c>
    </row>
    <row r="782">
      <c r="A782" t="s">
        <v>3</v>
      </c>
      <c r="B782" s="6" t="s">
        <v>7</v>
      </c>
      <c r="C782" s="6" t="s">
        <v>54</v>
      </c>
      <c r="D782" s="6" t="s">
        <v>100</v>
      </c>
      <c r="E782" s="10" t="s">
        <v>923</v>
      </c>
      <c r="F782" s="6" t="s">
        <v>3652</v>
      </c>
      <c r="G782" s="6" t="s">
        <v>81</v>
      </c>
      <c r="H782" s="6" t="s">
        <v>6604</v>
      </c>
      <c r="I782" s="6" t="s">
        <v>8846</v>
      </c>
      <c r="J782" s="6" t="s">
        <v>9733</v>
      </c>
      <c r="K782" s="6" t="s">
        <v>10886</v>
      </c>
      <c r="L782" s="16" t="n">
        <v>37785</v>
      </c>
      <c r="M782" s="16" t="n">
        <v>45716</v>
      </c>
      <c r="N782" s="6" t="s">
        <v>10886</v>
      </c>
      <c r="O782" s="16" t="n">
        <v>37785</v>
      </c>
      <c r="P782" s="6" t="s">
        <v>11374</v>
      </c>
      <c r="Q782" s="6" t="s">
        <v>81</v>
      </c>
      <c r="R782" s="6" t="s">
        <v>81</v>
      </c>
      <c r="S782" s="6" t="s">
        <v>10886</v>
      </c>
      <c r="T782" s="16" t="n">
        <v>37785</v>
      </c>
      <c r="U782" s="6" t="s">
        <v>13169</v>
      </c>
      <c r="V782" s="6" t="s">
        <v>81</v>
      </c>
      <c r="W782" s="6" t="s">
        <v>81</v>
      </c>
      <c r="X782" s="6" t="s">
        <v>81</v>
      </c>
      <c r="Y782" s="21" t="s">
        <v>81</v>
      </c>
      <c r="Z782" s="6" t="s">
        <v>81</v>
      </c>
      <c r="AA782" s="6" t="s">
        <v>81</v>
      </c>
      <c r="AB782" s="6" t="s">
        <v>81</v>
      </c>
      <c r="AC782" s="6" t="s">
        <v>81</v>
      </c>
      <c r="AD782" s="21" t="s">
        <v>81</v>
      </c>
      <c r="AE782" s="6" t="s">
        <v>81</v>
      </c>
      <c r="AF782" s="6" t="s">
        <v>81</v>
      </c>
      <c r="AG782" s="6" t="s">
        <v>81</v>
      </c>
      <c r="AH782" s="6" t="s">
        <v>15367</v>
      </c>
      <c r="AI782" s="6" t="s">
        <v>81</v>
      </c>
      <c r="AJ782" s="6" t="s">
        <v>17752</v>
      </c>
      <c r="AK782" s="6" t="s">
        <v>17712</v>
      </c>
      <c r="AL782" s="6" t="s">
        <v>18444</v>
      </c>
      <c r="AM782" s="6" t="s">
        <v>18921</v>
      </c>
      <c r="AN782" s="6" t="s">
        <v>7926</v>
      </c>
      <c r="AO782" s="6" t="s">
        <v>19842</v>
      </c>
      <c r="AP782" s="6" t="s">
        <v>15367</v>
      </c>
      <c r="AQ782" s="6" t="s">
        <v>81</v>
      </c>
      <c r="AR782" s="6" t="s">
        <v>17752</v>
      </c>
      <c r="AS782" s="6" t="s">
        <v>17712</v>
      </c>
      <c r="AT782" s="6" t="s">
        <v>18444</v>
      </c>
      <c r="AU782" s="6" t="s">
        <v>18921</v>
      </c>
      <c r="AV782" s="6" t="s">
        <v>81</v>
      </c>
      <c r="AW782" s="6" t="s">
        <v>81</v>
      </c>
      <c r="AX782" s="6" t="s">
        <v>81</v>
      </c>
      <c r="AY782" s="6" t="s">
        <v>81</v>
      </c>
      <c r="AZ782" s="6" t="s">
        <v>81</v>
      </c>
      <c r="BA782" s="6" t="s">
        <v>81</v>
      </c>
      <c r="BB782" s="24" t="n">
        <v>96</v>
      </c>
      <c r="BC782" s="26"/>
      <c r="BD782" s="26"/>
      <c r="BE782" s="26"/>
      <c r="BF782" s="26"/>
      <c r="BG782" s="26"/>
      <c r="BH782" s="26"/>
      <c r="BI782" s="26"/>
      <c r="BJ782" s="26"/>
      <c r="BK782" s="26"/>
      <c r="BL782" s="26"/>
      <c r="BM782" s="26"/>
      <c r="BN782" s="26"/>
      <c r="BO782" s="26"/>
      <c r="BP782" s="16" t="n">
        <v>45595</v>
      </c>
      <c r="BQ782" s="28" t="str">
        <f>HYPERLINK("https://organic.ams.usda.gov/Integrity/Certificate.aspx?cid=57&amp;nopid=3250200345")</f>
        <v>https://organic.ams.usda.gov/Integrity/Certificate.aspx?cid=57&amp;nopid=3250200345</v>
      </c>
    </row>
    <row r="783">
      <c r="A783" t="s">
        <v>3</v>
      </c>
      <c r="B783" s="6" t="s">
        <v>9</v>
      </c>
      <c r="C783" s="6" t="s">
        <v>56</v>
      </c>
      <c r="D783" s="6" t="s">
        <v>102</v>
      </c>
      <c r="E783" s="10" t="s">
        <v>924</v>
      </c>
      <c r="F783" s="6" t="s">
        <v>3653</v>
      </c>
      <c r="G783" s="6" t="s">
        <v>81</v>
      </c>
      <c r="H783" s="6" t="s">
        <v>6605</v>
      </c>
      <c r="I783" s="6" t="s">
        <v>8846</v>
      </c>
      <c r="J783" s="6" t="s">
        <v>9726</v>
      </c>
      <c r="K783" s="6" t="s">
        <v>10886</v>
      </c>
      <c r="L783" s="16" t="n">
        <v>44596</v>
      </c>
      <c r="M783" s="16" t="n">
        <v>45748</v>
      </c>
      <c r="N783" s="6" t="s">
        <v>10886</v>
      </c>
      <c r="O783" s="16" t="n">
        <v>44596</v>
      </c>
      <c r="P783" s="6" t="s">
        <v>11375</v>
      </c>
      <c r="Q783" s="6" t="s">
        <v>81</v>
      </c>
      <c r="R783" s="6" t="s">
        <v>12642</v>
      </c>
      <c r="S783" s="6" t="s">
        <v>10886</v>
      </c>
      <c r="T783" s="16" t="n">
        <v>44596</v>
      </c>
      <c r="U783" s="6" t="s">
        <v>13389</v>
      </c>
      <c r="V783" s="6" t="s">
        <v>81</v>
      </c>
      <c r="W783" s="6" t="s">
        <v>12642</v>
      </c>
      <c r="X783" s="6" t="s">
        <v>81</v>
      </c>
      <c r="Y783" s="21" t="s">
        <v>81</v>
      </c>
      <c r="Z783" s="6" t="s">
        <v>81</v>
      </c>
      <c r="AA783" s="6" t="s">
        <v>81</v>
      </c>
      <c r="AB783" s="6" t="s">
        <v>81</v>
      </c>
      <c r="AC783" s="6" t="s">
        <v>81</v>
      </c>
      <c r="AD783" s="21" t="s">
        <v>81</v>
      </c>
      <c r="AE783" s="6" t="s">
        <v>81</v>
      </c>
      <c r="AF783" s="6" t="s">
        <v>81</v>
      </c>
      <c r="AG783" s="6" t="s">
        <v>81</v>
      </c>
      <c r="AH783" s="6" t="s">
        <v>15368</v>
      </c>
      <c r="AI783" s="6" t="s">
        <v>81</v>
      </c>
      <c r="AJ783" s="6" t="s">
        <v>10556</v>
      </c>
      <c r="AK783" s="6" t="s">
        <v>18384</v>
      </c>
      <c r="AL783" s="6" t="s">
        <v>18444</v>
      </c>
      <c r="AM783" s="6" t="s">
        <v>18922</v>
      </c>
      <c r="AN783" s="6" t="s">
        <v>8053</v>
      </c>
      <c r="AO783" s="6" t="s">
        <v>19894</v>
      </c>
      <c r="AP783" s="6" t="s">
        <v>81</v>
      </c>
      <c r="AQ783" s="6" t="s">
        <v>81</v>
      </c>
      <c r="AR783" s="6" t="s">
        <v>81</v>
      </c>
      <c r="AS783" s="6" t="s">
        <v>81</v>
      </c>
      <c r="AT783" s="6" t="s">
        <v>81</v>
      </c>
      <c r="AU783" s="6" t="s">
        <v>81</v>
      </c>
      <c r="AV783" s="6" t="s">
        <v>81</v>
      </c>
      <c r="AW783" s="6" t="s">
        <v>81</v>
      </c>
      <c r="AX783" s="6" t="s">
        <v>21237</v>
      </c>
      <c r="AY783" s="6" t="s">
        <v>81</v>
      </c>
      <c r="AZ783" s="6" t="s">
        <v>81</v>
      </c>
      <c r="BA783" s="6" t="s">
        <v>81</v>
      </c>
      <c r="BB783" s="24" t="n">
        <v>176</v>
      </c>
      <c r="BC783" s="26"/>
      <c r="BD783" s="26"/>
      <c r="BE783" s="26"/>
      <c r="BF783" s="26"/>
      <c r="BG783" s="26"/>
      <c r="BH783" s="26"/>
      <c r="BI783" s="26"/>
      <c r="BJ783" s="26"/>
      <c r="BK783" s="26"/>
      <c r="BL783" s="26"/>
      <c r="BM783" s="26"/>
      <c r="BN783" s="26"/>
      <c r="BO783" s="26"/>
      <c r="BP783" s="16" t="n">
        <v>45738</v>
      </c>
      <c r="BQ783" s="28" t="str">
        <f>HYPERLINK("https://organic.ams.usda.gov/Integrity/Certificate.aspx?cid=52&amp;nopid=8432202011")</f>
        <v>https://organic.ams.usda.gov/Integrity/Certificate.aspx?cid=52&amp;nopid=8432202011</v>
      </c>
    </row>
    <row r="784">
      <c r="A784" t="s">
        <v>3</v>
      </c>
      <c r="B784" s="6" t="s">
        <v>8</v>
      </c>
      <c r="C784" s="6" t="s">
        <v>55</v>
      </c>
      <c r="D784" s="6" t="s">
        <v>101</v>
      </c>
      <c r="E784" s="10" t="s">
        <v>925</v>
      </c>
      <c r="F784" s="6" t="s">
        <v>3654</v>
      </c>
      <c r="G784" s="6" t="s">
        <v>81</v>
      </c>
      <c r="H784" s="6" t="s">
        <v>6606</v>
      </c>
      <c r="I784" s="6" t="s">
        <v>8846</v>
      </c>
      <c r="J784" s="6" t="s">
        <v>9666</v>
      </c>
      <c r="K784" s="6" t="s">
        <v>10886</v>
      </c>
      <c r="L784" s="16" t="n">
        <v>42733</v>
      </c>
      <c r="M784" s="16" t="n">
        <v>45748</v>
      </c>
      <c r="N784" s="6" t="s">
        <v>10886</v>
      </c>
      <c r="O784" s="16" t="n">
        <v>42733</v>
      </c>
      <c r="P784" s="6" t="s">
        <v>11376</v>
      </c>
      <c r="Q784" s="6" t="s">
        <v>81</v>
      </c>
      <c r="R784" s="6" t="s">
        <v>6606</v>
      </c>
      <c r="S784" s="6" t="s">
        <v>10886</v>
      </c>
      <c r="T784" s="16" t="n">
        <v>42733</v>
      </c>
      <c r="U784" s="6" t="s">
        <v>13454</v>
      </c>
      <c r="V784" s="6" t="s">
        <v>81</v>
      </c>
      <c r="W784" s="6" t="s">
        <v>6606</v>
      </c>
      <c r="X784" s="6" t="s">
        <v>81</v>
      </c>
      <c r="Y784" s="21" t="s">
        <v>81</v>
      </c>
      <c r="Z784" s="6" t="s">
        <v>81</v>
      </c>
      <c r="AA784" s="6" t="s">
        <v>81</v>
      </c>
      <c r="AB784" s="6" t="s">
        <v>81</v>
      </c>
      <c r="AC784" s="6" t="s">
        <v>81</v>
      </c>
      <c r="AD784" s="21" t="s">
        <v>81</v>
      </c>
      <c r="AE784" s="6" t="s">
        <v>81</v>
      </c>
      <c r="AF784" s="6" t="s">
        <v>81</v>
      </c>
      <c r="AG784" s="6" t="s">
        <v>81</v>
      </c>
      <c r="AH784" s="6" t="s">
        <v>15369</v>
      </c>
      <c r="AI784" s="6" t="s">
        <v>81</v>
      </c>
      <c r="AJ784" s="6" t="s">
        <v>17376</v>
      </c>
      <c r="AK784" s="6" t="s">
        <v>18377</v>
      </c>
      <c r="AL784" s="6" t="s">
        <v>18444</v>
      </c>
      <c r="AM784" s="6" t="s">
        <v>18528</v>
      </c>
      <c r="AN784" s="6" t="s">
        <v>19661</v>
      </c>
      <c r="AO784" s="6" t="s">
        <v>19761</v>
      </c>
      <c r="AP784" s="6" t="s">
        <v>81</v>
      </c>
      <c r="AQ784" s="6" t="s">
        <v>81</v>
      </c>
      <c r="AR784" s="6" t="s">
        <v>81</v>
      </c>
      <c r="AS784" s="6" t="s">
        <v>81</v>
      </c>
      <c r="AT784" s="6" t="s">
        <v>81</v>
      </c>
      <c r="AU784" s="6" t="s">
        <v>81</v>
      </c>
      <c r="AV784" s="6" t="s">
        <v>81</v>
      </c>
      <c r="AW784" s="6" t="s">
        <v>81</v>
      </c>
      <c r="AX784" s="6" t="s">
        <v>81</v>
      </c>
      <c r="AY784" s="6" t="s">
        <v>81</v>
      </c>
      <c r="AZ784" s="6" t="s">
        <v>81</v>
      </c>
      <c r="BA784" s="6" t="s">
        <v>23819</v>
      </c>
      <c r="BB784" s="24" t="n">
        <v>181</v>
      </c>
      <c r="BC784" s="26"/>
      <c r="BD784" s="26"/>
      <c r="BE784" s="26"/>
      <c r="BF784" s="26" t="s">
        <v>23900</v>
      </c>
      <c r="BG784" s="26"/>
      <c r="BH784" s="26"/>
      <c r="BI784" s="26"/>
      <c r="BJ784" s="26"/>
      <c r="BK784" s="26"/>
      <c r="BL784" s="26"/>
      <c r="BM784" s="26"/>
      <c r="BN784" s="26"/>
      <c r="BO784" s="26"/>
      <c r="BP784" s="16" t="n">
        <v>45667</v>
      </c>
      <c r="BQ784" s="28" t="str">
        <f>HYPERLINK("https://organic.ams.usda.gov/Integrity/Certificate.aspx?cid=45&amp;nopid=9950009936")</f>
        <v>https://organic.ams.usda.gov/Integrity/Certificate.aspx?cid=45&amp;nopid=9950009936</v>
      </c>
    </row>
    <row r="785">
      <c r="A785" t="s">
        <v>3</v>
      </c>
      <c r="B785" s="6" t="s">
        <v>7</v>
      </c>
      <c r="C785" s="6" t="s">
        <v>54</v>
      </c>
      <c r="D785" s="6" t="s">
        <v>100</v>
      </c>
      <c r="E785" s="10" t="s">
        <v>926</v>
      </c>
      <c r="F785" s="6" t="s">
        <v>3655</v>
      </c>
      <c r="G785" s="6" t="s">
        <v>81</v>
      </c>
      <c r="H785" s="6" t="s">
        <v>6607</v>
      </c>
      <c r="I785" s="6" t="s">
        <v>8399</v>
      </c>
      <c r="J785" s="6" t="s">
        <v>10061</v>
      </c>
      <c r="K785" s="6" t="s">
        <v>10886</v>
      </c>
      <c r="L785" s="16" t="n">
        <v>37985</v>
      </c>
      <c r="M785" s="16" t="n">
        <v>45716</v>
      </c>
      <c r="N785" s="6" t="s">
        <v>10886</v>
      </c>
      <c r="O785" s="16" t="n">
        <v>37985</v>
      </c>
      <c r="P785" s="6" t="s">
        <v>11087</v>
      </c>
      <c r="Q785" s="6" t="s">
        <v>81</v>
      </c>
      <c r="R785" s="6" t="s">
        <v>81</v>
      </c>
      <c r="S785" s="6" t="s">
        <v>10886</v>
      </c>
      <c r="T785" s="16" t="n">
        <v>37985</v>
      </c>
      <c r="U785" s="6" t="s">
        <v>13455</v>
      </c>
      <c r="V785" s="6" t="s">
        <v>81</v>
      </c>
      <c r="W785" s="6" t="s">
        <v>81</v>
      </c>
      <c r="X785" s="6" t="s">
        <v>81</v>
      </c>
      <c r="Y785" s="21" t="s">
        <v>81</v>
      </c>
      <c r="Z785" s="6" t="s">
        <v>81</v>
      </c>
      <c r="AA785" s="6" t="s">
        <v>81</v>
      </c>
      <c r="AB785" s="6" t="s">
        <v>81</v>
      </c>
      <c r="AC785" s="6" t="s">
        <v>81</v>
      </c>
      <c r="AD785" s="21" t="s">
        <v>81</v>
      </c>
      <c r="AE785" s="6" t="s">
        <v>81</v>
      </c>
      <c r="AF785" s="6" t="s">
        <v>81</v>
      </c>
      <c r="AG785" s="6" t="s">
        <v>81</v>
      </c>
      <c r="AH785" s="6" t="s">
        <v>15370</v>
      </c>
      <c r="AI785" s="6" t="s">
        <v>81</v>
      </c>
      <c r="AJ785" s="6" t="s">
        <v>17616</v>
      </c>
      <c r="AK785" s="6" t="s">
        <v>17712</v>
      </c>
      <c r="AL785" s="6" t="s">
        <v>18444</v>
      </c>
      <c r="AM785" s="6" t="s">
        <v>18784</v>
      </c>
      <c r="AN785" s="6" t="s">
        <v>19662</v>
      </c>
      <c r="AO785" s="6" t="s">
        <v>19762</v>
      </c>
      <c r="AP785" s="6" t="s">
        <v>20198</v>
      </c>
      <c r="AQ785" s="6" t="s">
        <v>81</v>
      </c>
      <c r="AR785" s="6" t="s">
        <v>17616</v>
      </c>
      <c r="AS785" s="6" t="s">
        <v>17712</v>
      </c>
      <c r="AT785" s="6" t="s">
        <v>18444</v>
      </c>
      <c r="AU785" s="6" t="s">
        <v>20634</v>
      </c>
      <c r="AV785" s="6" t="s">
        <v>81</v>
      </c>
      <c r="AW785" s="6" t="s">
        <v>81</v>
      </c>
      <c r="AX785" s="6" t="s">
        <v>21238</v>
      </c>
      <c r="AY785" s="6" t="s">
        <v>22841</v>
      </c>
      <c r="AZ785" s="6" t="s">
        <v>81</v>
      </c>
      <c r="BA785" s="6" t="s">
        <v>81</v>
      </c>
      <c r="BB785" s="24" t="n">
        <v>0</v>
      </c>
      <c r="BC785" s="26"/>
      <c r="BD785" s="26"/>
      <c r="BE785" s="26"/>
      <c r="BF785" s="26" t="s">
        <v>23900</v>
      </c>
      <c r="BG785" s="26"/>
      <c r="BH785" s="26"/>
      <c r="BI785" s="26"/>
      <c r="BJ785" s="26"/>
      <c r="BK785" s="26"/>
      <c r="BL785" s="26"/>
      <c r="BM785" s="26"/>
      <c r="BN785" s="26"/>
      <c r="BO785" s="26"/>
      <c r="BP785" s="16" t="n">
        <v>45695</v>
      </c>
      <c r="BQ785" s="28" t="str">
        <f>HYPERLINK("https://organic.ams.usda.gov/Integrity/Certificate.aspx?cid=57&amp;nopid=3250200349")</f>
        <v>https://organic.ams.usda.gov/Integrity/Certificate.aspx?cid=57&amp;nopid=3250200349</v>
      </c>
    </row>
    <row r="786">
      <c r="A786" t="s">
        <v>3</v>
      </c>
      <c r="B786" s="6" t="s">
        <v>8</v>
      </c>
      <c r="C786" s="6" t="s">
        <v>55</v>
      </c>
      <c r="D786" s="6" t="s">
        <v>101</v>
      </c>
      <c r="E786" s="10" t="s">
        <v>927</v>
      </c>
      <c r="F786" s="6" t="s">
        <v>3656</v>
      </c>
      <c r="G786" s="6" t="s">
        <v>81</v>
      </c>
      <c r="H786" s="6" t="s">
        <v>6608</v>
      </c>
      <c r="I786" s="6" t="s">
        <v>8849</v>
      </c>
      <c r="J786" s="6" t="s">
        <v>9697</v>
      </c>
      <c r="K786" s="6" t="s">
        <v>10886</v>
      </c>
      <c r="L786" s="16" t="n">
        <v>42573</v>
      </c>
      <c r="M786" s="16" t="n">
        <v>45689</v>
      </c>
      <c r="N786" s="6" t="s">
        <v>10886</v>
      </c>
      <c r="O786" s="16" t="n">
        <v>42573</v>
      </c>
      <c r="P786" s="6" t="s">
        <v>11377</v>
      </c>
      <c r="Q786" s="6" t="s">
        <v>81</v>
      </c>
      <c r="R786" s="6" t="s">
        <v>6608</v>
      </c>
      <c r="S786" s="6" t="s">
        <v>10886</v>
      </c>
      <c r="T786" s="16" t="n">
        <v>42573</v>
      </c>
      <c r="U786" s="6" t="s">
        <v>13221</v>
      </c>
      <c r="V786" s="6" t="s">
        <v>81</v>
      </c>
      <c r="W786" s="6" t="s">
        <v>6608</v>
      </c>
      <c r="X786" s="6" t="s">
        <v>81</v>
      </c>
      <c r="Y786" s="21" t="s">
        <v>81</v>
      </c>
      <c r="Z786" s="6" t="s">
        <v>81</v>
      </c>
      <c r="AA786" s="6" t="s">
        <v>81</v>
      </c>
      <c r="AB786" s="6" t="s">
        <v>81</v>
      </c>
      <c r="AC786" s="6" t="s">
        <v>81</v>
      </c>
      <c r="AD786" s="21" t="s">
        <v>81</v>
      </c>
      <c r="AE786" s="6" t="s">
        <v>81</v>
      </c>
      <c r="AF786" s="6" t="s">
        <v>81</v>
      </c>
      <c r="AG786" s="6" t="s">
        <v>81</v>
      </c>
      <c r="AH786" s="6" t="s">
        <v>15371</v>
      </c>
      <c r="AI786" s="6" t="s">
        <v>81</v>
      </c>
      <c r="AJ786" s="6" t="s">
        <v>17683</v>
      </c>
      <c r="AK786" s="6" t="s">
        <v>18380</v>
      </c>
      <c r="AL786" s="6" t="s">
        <v>18444</v>
      </c>
      <c r="AM786" s="6" t="s">
        <v>18923</v>
      </c>
      <c r="AN786" s="6" t="s">
        <v>19698</v>
      </c>
      <c r="AO786" s="6" t="s">
        <v>19920</v>
      </c>
      <c r="AP786" s="6" t="s">
        <v>81</v>
      </c>
      <c r="AQ786" s="6" t="s">
        <v>81</v>
      </c>
      <c r="AR786" s="6" t="s">
        <v>81</v>
      </c>
      <c r="AS786" s="6" t="s">
        <v>81</v>
      </c>
      <c r="AT786" s="6" t="s">
        <v>81</v>
      </c>
      <c r="AU786" s="6" t="s">
        <v>81</v>
      </c>
      <c r="AV786" s="6" t="s">
        <v>81</v>
      </c>
      <c r="AW786" s="6" t="s">
        <v>81</v>
      </c>
      <c r="AX786" s="6" t="s">
        <v>81</v>
      </c>
      <c r="AY786" s="6" t="s">
        <v>81</v>
      </c>
      <c r="AZ786" s="6" t="s">
        <v>81</v>
      </c>
      <c r="BA786" s="6" t="s">
        <v>23824</v>
      </c>
      <c r="BB786" s="24" t="n">
        <v>170</v>
      </c>
      <c r="BC786" s="26"/>
      <c r="BD786" s="26"/>
      <c r="BE786" s="26"/>
      <c r="BF786" s="26" t="s">
        <v>23900</v>
      </c>
      <c r="BG786" s="26"/>
      <c r="BH786" s="26"/>
      <c r="BI786" s="26"/>
      <c r="BJ786" s="26"/>
      <c r="BK786" s="26"/>
      <c r="BL786" s="26"/>
      <c r="BM786" s="26"/>
      <c r="BN786" s="26"/>
      <c r="BO786" s="26"/>
      <c r="BP786" s="16" t="n">
        <v>45702</v>
      </c>
      <c r="BQ786" s="28" t="str">
        <f>HYPERLINK("https://organic.ams.usda.gov/Integrity/Certificate.aspx?cid=45&amp;nopid=9950006202")</f>
        <v>https://organic.ams.usda.gov/Integrity/Certificate.aspx?cid=45&amp;nopid=9950006202</v>
      </c>
    </row>
    <row r="787">
      <c r="A787" t="s">
        <v>3</v>
      </c>
      <c r="B787" s="6" t="s">
        <v>21</v>
      </c>
      <c r="C787" s="6" t="s">
        <v>68</v>
      </c>
      <c r="D787" s="6" t="s">
        <v>114</v>
      </c>
      <c r="E787" s="10" t="s">
        <v>928</v>
      </c>
      <c r="F787" s="6" t="s">
        <v>3657</v>
      </c>
      <c r="G787" s="6" t="s">
        <v>81</v>
      </c>
      <c r="H787" s="6" t="s">
        <v>6609</v>
      </c>
      <c r="I787" s="6" t="s">
        <v>8850</v>
      </c>
      <c r="J787" s="6" t="s">
        <v>10062</v>
      </c>
      <c r="K787" s="6" t="s">
        <v>10886</v>
      </c>
      <c r="L787" s="16" t="n">
        <v>44144</v>
      </c>
      <c r="M787" s="16" t="n">
        <v>46023</v>
      </c>
      <c r="N787" s="6" t="s">
        <v>81</v>
      </c>
      <c r="O787" s="21" t="s">
        <v>81</v>
      </c>
      <c r="P787" s="6" t="s">
        <v>81</v>
      </c>
      <c r="Q787" s="6" t="s">
        <v>81</v>
      </c>
      <c r="R787" s="6" t="s">
        <v>81</v>
      </c>
      <c r="S787" s="6" t="s">
        <v>81</v>
      </c>
      <c r="T787" s="21" t="s">
        <v>81</v>
      </c>
      <c r="U787" s="6" t="s">
        <v>81</v>
      </c>
      <c r="V787" s="6" t="s">
        <v>81</v>
      </c>
      <c r="W787" s="6" t="s">
        <v>81</v>
      </c>
      <c r="X787" s="6" t="s">
        <v>81</v>
      </c>
      <c r="Y787" s="21" t="s">
        <v>81</v>
      </c>
      <c r="Z787" s="6" t="s">
        <v>81</v>
      </c>
      <c r="AA787" s="6" t="s">
        <v>81</v>
      </c>
      <c r="AB787" s="6" t="s">
        <v>81</v>
      </c>
      <c r="AC787" s="6" t="s">
        <v>10886</v>
      </c>
      <c r="AD787" s="16" t="n">
        <v>44144</v>
      </c>
      <c r="AE787" s="6" t="s">
        <v>14156</v>
      </c>
      <c r="AF787" s="6" t="s">
        <v>81</v>
      </c>
      <c r="AG787" s="6" t="s">
        <v>81</v>
      </c>
      <c r="AH787" s="6" t="s">
        <v>81</v>
      </c>
      <c r="AI787" s="6" t="s">
        <v>81</v>
      </c>
      <c r="AJ787" s="6" t="s">
        <v>81</v>
      </c>
      <c r="AK787" s="6" t="s">
        <v>81</v>
      </c>
      <c r="AL787" s="6" t="s">
        <v>81</v>
      </c>
      <c r="AM787" s="6" t="s">
        <v>81</v>
      </c>
      <c r="AN787" s="6" t="s">
        <v>81</v>
      </c>
      <c r="AO787" s="6" t="s">
        <v>81</v>
      </c>
      <c r="AP787" s="6" t="s">
        <v>20199</v>
      </c>
      <c r="AQ787" s="6" t="s">
        <v>81</v>
      </c>
      <c r="AR787" s="6" t="s">
        <v>20520</v>
      </c>
      <c r="AS787" s="6" t="s">
        <v>18386</v>
      </c>
      <c r="AT787" s="6" t="s">
        <v>18444</v>
      </c>
      <c r="AU787" s="6" t="s">
        <v>20635</v>
      </c>
      <c r="AV787" s="6" t="s">
        <v>19642</v>
      </c>
      <c r="AW787" s="6" t="s">
        <v>19798</v>
      </c>
      <c r="AX787" s="6" t="s">
        <v>21239</v>
      </c>
      <c r="AY787" s="6" t="s">
        <v>22842</v>
      </c>
      <c r="AZ787" s="6" t="s">
        <v>81</v>
      </c>
      <c r="BA787" s="6" t="s">
        <v>81</v>
      </c>
      <c r="BB787" s="6" t="s">
        <v>81</v>
      </c>
      <c r="BC787" s="26"/>
      <c r="BD787" s="26"/>
      <c r="BE787" s="26" t="s">
        <v>23900</v>
      </c>
      <c r="BF787" s="26"/>
      <c r="BG787" s="26"/>
      <c r="BH787" s="26"/>
      <c r="BI787" s="26"/>
      <c r="BJ787" s="26"/>
      <c r="BK787" s="26"/>
      <c r="BL787" s="26"/>
      <c r="BM787" s="26"/>
      <c r="BN787" s="26"/>
      <c r="BO787" s="26"/>
      <c r="BP787" s="16" t="n">
        <v>45720</v>
      </c>
      <c r="BQ787" s="28" t="str">
        <f>HYPERLINK("https://organic.ams.usda.gov/Integrity/Certificate.aspx?cid=62&amp;nopid=8150014772")</f>
        <v>https://organic.ams.usda.gov/Integrity/Certificate.aspx?cid=62&amp;nopid=8150014772</v>
      </c>
    </row>
    <row r="788">
      <c r="A788" t="s">
        <v>3</v>
      </c>
      <c r="B788" s="6" t="s">
        <v>24</v>
      </c>
      <c r="C788" s="6" t="s">
        <v>71</v>
      </c>
      <c r="D788" s="6" t="s">
        <v>117</v>
      </c>
      <c r="E788" s="10" t="s">
        <v>929</v>
      </c>
      <c r="F788" s="6" t="s">
        <v>3658</v>
      </c>
      <c r="G788" s="6" t="s">
        <v>81</v>
      </c>
      <c r="H788" s="6" t="s">
        <v>81</v>
      </c>
      <c r="I788" s="6" t="s">
        <v>8574</v>
      </c>
      <c r="J788" s="6" t="s">
        <v>10063</v>
      </c>
      <c r="K788" s="6" t="s">
        <v>10886</v>
      </c>
      <c r="L788" s="16" t="n">
        <v>44645</v>
      </c>
      <c r="M788" s="16" t="n">
        <v>45870</v>
      </c>
      <c r="N788" s="6" t="s">
        <v>10886</v>
      </c>
      <c r="O788" s="16" t="n">
        <v>44645</v>
      </c>
      <c r="P788" s="6" t="s">
        <v>11378</v>
      </c>
      <c r="Q788" s="6" t="s">
        <v>81</v>
      </c>
      <c r="R788" s="6" t="s">
        <v>81</v>
      </c>
      <c r="S788" s="6" t="s">
        <v>10886</v>
      </c>
      <c r="T788" s="16" t="n">
        <v>44645</v>
      </c>
      <c r="U788" s="6" t="s">
        <v>13456</v>
      </c>
      <c r="V788" s="6" t="s">
        <v>81</v>
      </c>
      <c r="W788" s="6" t="s">
        <v>81</v>
      </c>
      <c r="X788" s="6" t="s">
        <v>81</v>
      </c>
      <c r="Y788" s="21" t="s">
        <v>81</v>
      </c>
      <c r="Z788" s="6" t="s">
        <v>81</v>
      </c>
      <c r="AA788" s="6" t="s">
        <v>81</v>
      </c>
      <c r="AB788" s="6" t="s">
        <v>81</v>
      </c>
      <c r="AC788" s="6" t="s">
        <v>10886</v>
      </c>
      <c r="AD788" s="16" t="n">
        <v>44645</v>
      </c>
      <c r="AE788" s="6" t="s">
        <v>14157</v>
      </c>
      <c r="AF788" s="6" t="s">
        <v>81</v>
      </c>
      <c r="AG788" s="6" t="s">
        <v>81</v>
      </c>
      <c r="AH788" s="6" t="s">
        <v>15372</v>
      </c>
      <c r="AI788" s="6" t="s">
        <v>81</v>
      </c>
      <c r="AJ788" s="6" t="s">
        <v>17753</v>
      </c>
      <c r="AK788" s="6" t="s">
        <v>18406</v>
      </c>
      <c r="AL788" s="6" t="s">
        <v>18444</v>
      </c>
      <c r="AM788" s="6" t="s">
        <v>18924</v>
      </c>
      <c r="AN788" s="6" t="s">
        <v>19674</v>
      </c>
      <c r="AO788" s="6" t="s">
        <v>19921</v>
      </c>
      <c r="AP788" s="6" t="s">
        <v>20200</v>
      </c>
      <c r="AQ788" s="6" t="s">
        <v>81</v>
      </c>
      <c r="AR788" s="6" t="s">
        <v>17610</v>
      </c>
      <c r="AS788" s="6" t="s">
        <v>18395</v>
      </c>
      <c r="AT788" s="6" t="s">
        <v>18444</v>
      </c>
      <c r="AU788" s="6" t="s">
        <v>18776</v>
      </c>
      <c r="AV788" s="6" t="s">
        <v>81</v>
      </c>
      <c r="AW788" s="6" t="s">
        <v>81</v>
      </c>
      <c r="AX788" s="6" t="s">
        <v>81</v>
      </c>
      <c r="AY788" s="6" t="s">
        <v>22843</v>
      </c>
      <c r="AZ788" s="6" t="s">
        <v>81</v>
      </c>
      <c r="BA788" s="6" t="s">
        <v>81</v>
      </c>
      <c r="BB788" s="24" t="n">
        <v>5030</v>
      </c>
      <c r="BC788" s="26"/>
      <c r="BD788" s="26"/>
      <c r="BE788" s="26"/>
      <c r="BF788" s="26"/>
      <c r="BG788" s="26"/>
      <c r="BH788" s="26"/>
      <c r="BI788" s="26"/>
      <c r="BJ788" s="26"/>
      <c r="BK788" s="26"/>
      <c r="BL788" s="26"/>
      <c r="BM788" s="26"/>
      <c r="BN788" s="26"/>
      <c r="BO788" s="26"/>
      <c r="BP788" s="16" t="n">
        <v>45628</v>
      </c>
      <c r="BQ788" s="28" t="str">
        <f>HYPERLINK("https://organic.ams.usda.gov/Integrity/Certificate.aspx?cid=1&amp;nopid=9092130807")</f>
        <v>https://organic.ams.usda.gov/Integrity/Certificate.aspx?cid=1&amp;nopid=9092130807</v>
      </c>
    </row>
    <row r="789">
      <c r="A789" t="s">
        <v>3</v>
      </c>
      <c r="B789" s="6" t="s">
        <v>16</v>
      </c>
      <c r="C789" s="6" t="s">
        <v>63</v>
      </c>
      <c r="D789" s="6" t="s">
        <v>109</v>
      </c>
      <c r="E789" s="10" t="s">
        <v>930</v>
      </c>
      <c r="F789" s="6" t="s">
        <v>3659</v>
      </c>
      <c r="G789" s="6" t="s">
        <v>5667</v>
      </c>
      <c r="H789" s="6" t="s">
        <v>6610</v>
      </c>
      <c r="I789" s="6" t="s">
        <v>8851</v>
      </c>
      <c r="J789" s="6" t="s">
        <v>10064</v>
      </c>
      <c r="K789" s="6" t="s">
        <v>10886</v>
      </c>
      <c r="L789" s="16" t="n">
        <v>37378</v>
      </c>
      <c r="M789" s="16" t="n">
        <v>45731</v>
      </c>
      <c r="N789" s="6" t="s">
        <v>10886</v>
      </c>
      <c r="O789" s="16" t="n">
        <v>37378</v>
      </c>
      <c r="P789" s="6" t="s">
        <v>11379</v>
      </c>
      <c r="Q789" s="6" t="s">
        <v>81</v>
      </c>
      <c r="R789" s="6" t="s">
        <v>81</v>
      </c>
      <c r="S789" s="6" t="s">
        <v>10886</v>
      </c>
      <c r="T789" s="16" t="n">
        <v>37378</v>
      </c>
      <c r="U789" s="6" t="s">
        <v>13457</v>
      </c>
      <c r="V789" s="6" t="s">
        <v>81</v>
      </c>
      <c r="W789" s="6" t="s">
        <v>81</v>
      </c>
      <c r="X789" s="6" t="s">
        <v>81</v>
      </c>
      <c r="Y789" s="21" t="s">
        <v>81</v>
      </c>
      <c r="Z789" s="6" t="s">
        <v>81</v>
      </c>
      <c r="AA789" s="6" t="s">
        <v>81</v>
      </c>
      <c r="AB789" s="6" t="s">
        <v>81</v>
      </c>
      <c r="AC789" s="6" t="s">
        <v>10886</v>
      </c>
      <c r="AD789" s="16" t="n">
        <v>37378</v>
      </c>
      <c r="AE789" s="6" t="s">
        <v>14158</v>
      </c>
      <c r="AF789" s="6" t="s">
        <v>81</v>
      </c>
      <c r="AG789" s="6" t="s">
        <v>81</v>
      </c>
      <c r="AH789" s="6" t="s">
        <v>15373</v>
      </c>
      <c r="AI789" s="6" t="s">
        <v>81</v>
      </c>
      <c r="AJ789" s="6" t="s">
        <v>17675</v>
      </c>
      <c r="AK789" s="6" t="s">
        <v>17712</v>
      </c>
      <c r="AL789" s="6" t="s">
        <v>18444</v>
      </c>
      <c r="AM789" s="6" t="s">
        <v>7231</v>
      </c>
      <c r="AN789" s="6" t="s">
        <v>7450</v>
      </c>
      <c r="AO789" s="6" t="s">
        <v>19897</v>
      </c>
      <c r="AP789" s="6" t="s">
        <v>81</v>
      </c>
      <c r="AQ789" s="6" t="s">
        <v>81</v>
      </c>
      <c r="AR789" s="6" t="s">
        <v>81</v>
      </c>
      <c r="AS789" s="6" t="s">
        <v>81</v>
      </c>
      <c r="AT789" s="6" t="s">
        <v>81</v>
      </c>
      <c r="AU789" s="6" t="s">
        <v>81</v>
      </c>
      <c r="AV789" s="6" t="s">
        <v>81</v>
      </c>
      <c r="AW789" s="6" t="s">
        <v>81</v>
      </c>
      <c r="AX789" s="6" t="s">
        <v>21240</v>
      </c>
      <c r="AY789" s="6" t="s">
        <v>81</v>
      </c>
      <c r="AZ789" s="6" t="s">
        <v>23644</v>
      </c>
      <c r="BA789" s="6" t="s">
        <v>81</v>
      </c>
      <c r="BB789" s="24" t="n">
        <v>1809</v>
      </c>
      <c r="BC789" s="26"/>
      <c r="BD789" s="26"/>
      <c r="BE789" s="26"/>
      <c r="BF789" s="26"/>
      <c r="BG789" s="26"/>
      <c r="BH789" s="26"/>
      <c r="BI789" s="26"/>
      <c r="BJ789" s="26"/>
      <c r="BK789" s="26"/>
      <c r="BL789" s="26"/>
      <c r="BM789" s="26"/>
      <c r="BN789" s="26"/>
      <c r="BO789" s="26"/>
      <c r="BP789" s="16" t="n">
        <v>45701</v>
      </c>
      <c r="BQ789" s="28" t="str">
        <f>HYPERLINK("https://organic.ams.usda.gov/Integrity/Certificate.aspx?cid=81&amp;nopid=4210019106")</f>
        <v>https://organic.ams.usda.gov/Integrity/Certificate.aspx?cid=81&amp;nopid=4210019106</v>
      </c>
    </row>
    <row r="790">
      <c r="A790" t="s">
        <v>3</v>
      </c>
      <c r="B790" s="6" t="s">
        <v>12</v>
      </c>
      <c r="C790" s="6" t="s">
        <v>59</v>
      </c>
      <c r="D790" s="6" t="s">
        <v>105</v>
      </c>
      <c r="E790" s="10" t="s">
        <v>931</v>
      </c>
      <c r="F790" s="6" t="s">
        <v>3660</v>
      </c>
      <c r="G790" s="6" t="s">
        <v>81</v>
      </c>
      <c r="H790" s="6" t="s">
        <v>6611</v>
      </c>
      <c r="I790" s="6" t="s">
        <v>8852</v>
      </c>
      <c r="J790" s="6" t="s">
        <v>10065</v>
      </c>
      <c r="K790" s="6" t="s">
        <v>10886</v>
      </c>
      <c r="L790" s="16" t="n">
        <v>43748</v>
      </c>
      <c r="M790" s="16" t="n">
        <v>45717</v>
      </c>
      <c r="N790" s="6" t="s">
        <v>10886</v>
      </c>
      <c r="O790" s="16" t="n">
        <v>43748</v>
      </c>
      <c r="P790" s="6" t="s">
        <v>11380</v>
      </c>
      <c r="Q790" s="6" t="s">
        <v>81</v>
      </c>
      <c r="R790" s="6" t="s">
        <v>81</v>
      </c>
      <c r="S790" s="6" t="s">
        <v>10886</v>
      </c>
      <c r="T790" s="16" t="n">
        <v>43748</v>
      </c>
      <c r="U790" s="6" t="s">
        <v>13187</v>
      </c>
      <c r="V790" s="6" t="s">
        <v>81</v>
      </c>
      <c r="W790" s="6" t="s">
        <v>81</v>
      </c>
      <c r="X790" s="6" t="s">
        <v>81</v>
      </c>
      <c r="Y790" s="21" t="s">
        <v>81</v>
      </c>
      <c r="Z790" s="6" t="s">
        <v>81</v>
      </c>
      <c r="AA790" s="6" t="s">
        <v>81</v>
      </c>
      <c r="AB790" s="6" t="s">
        <v>81</v>
      </c>
      <c r="AC790" s="6" t="s">
        <v>81</v>
      </c>
      <c r="AD790" s="21" t="s">
        <v>81</v>
      </c>
      <c r="AE790" s="6" t="s">
        <v>81</v>
      </c>
      <c r="AF790" s="6" t="s">
        <v>81</v>
      </c>
      <c r="AG790" s="6" t="s">
        <v>81</v>
      </c>
      <c r="AH790" s="6" t="s">
        <v>15374</v>
      </c>
      <c r="AI790" s="6" t="s">
        <v>81</v>
      </c>
      <c r="AJ790" s="6" t="s">
        <v>17717</v>
      </c>
      <c r="AK790" s="6" t="s">
        <v>17712</v>
      </c>
      <c r="AL790" s="6" t="s">
        <v>18444</v>
      </c>
      <c r="AM790" s="6" t="s">
        <v>18884</v>
      </c>
      <c r="AN790" s="6" t="s">
        <v>7195</v>
      </c>
      <c r="AO790" s="6" t="s">
        <v>19735</v>
      </c>
      <c r="AP790" s="6" t="s">
        <v>16481</v>
      </c>
      <c r="AQ790" s="6" t="s">
        <v>81</v>
      </c>
      <c r="AR790" s="6" t="s">
        <v>17618</v>
      </c>
      <c r="AS790" s="6" t="s">
        <v>17712</v>
      </c>
      <c r="AT790" s="6" t="s">
        <v>18444</v>
      </c>
      <c r="AU790" s="6" t="s">
        <v>18786</v>
      </c>
      <c r="AV790" s="6" t="s">
        <v>81</v>
      </c>
      <c r="AW790" s="6" t="s">
        <v>81</v>
      </c>
      <c r="AX790" s="6" t="s">
        <v>21241</v>
      </c>
      <c r="AY790" s="6" t="s">
        <v>81</v>
      </c>
      <c r="AZ790" s="6" t="s">
        <v>81</v>
      </c>
      <c r="BA790" s="6" t="s">
        <v>81</v>
      </c>
      <c r="BB790" s="24" t="n">
        <v>318</v>
      </c>
      <c r="BC790" s="26"/>
      <c r="BD790" s="26"/>
      <c r="BE790" s="26"/>
      <c r="BF790" s="26"/>
      <c r="BG790" s="26"/>
      <c r="BH790" s="26"/>
      <c r="BI790" s="26"/>
      <c r="BJ790" s="26"/>
      <c r="BK790" s="26"/>
      <c r="BL790" s="26"/>
      <c r="BM790" s="26"/>
      <c r="BN790" s="26"/>
      <c r="BO790" s="26"/>
      <c r="BP790" s="16" t="n">
        <v>45703</v>
      </c>
      <c r="BQ790" s="28" t="str">
        <f>HYPERLINK("https://organic.ams.usda.gov/Integrity/Certificate.aspx?cid=68&amp;nopid=8210006740")</f>
        <v>https://organic.ams.usda.gov/Integrity/Certificate.aspx?cid=68&amp;nopid=8210006740</v>
      </c>
    </row>
    <row r="791">
      <c r="A791" t="s">
        <v>3</v>
      </c>
      <c r="B791" s="6" t="s">
        <v>7</v>
      </c>
      <c r="C791" s="6" t="s">
        <v>54</v>
      </c>
      <c r="D791" s="6" t="s">
        <v>100</v>
      </c>
      <c r="E791" s="10" t="s">
        <v>932</v>
      </c>
      <c r="F791" s="6" t="s">
        <v>3661</v>
      </c>
      <c r="G791" s="6" t="s">
        <v>81</v>
      </c>
      <c r="H791" s="6" t="s">
        <v>6612</v>
      </c>
      <c r="I791" s="6" t="s">
        <v>8684</v>
      </c>
      <c r="J791" s="6" t="s">
        <v>9803</v>
      </c>
      <c r="K791" s="6" t="s">
        <v>10886</v>
      </c>
      <c r="L791" s="16" t="n">
        <v>41820</v>
      </c>
      <c r="M791" s="16" t="n">
        <v>45716</v>
      </c>
      <c r="N791" s="6" t="s">
        <v>10886</v>
      </c>
      <c r="O791" s="16" t="n">
        <v>41820</v>
      </c>
      <c r="P791" s="6" t="s">
        <v>11381</v>
      </c>
      <c r="Q791" s="6" t="s">
        <v>81</v>
      </c>
      <c r="R791" s="6" t="s">
        <v>81</v>
      </c>
      <c r="S791" s="6" t="s">
        <v>10886</v>
      </c>
      <c r="T791" s="16" t="n">
        <v>41821</v>
      </c>
      <c r="U791" s="6" t="s">
        <v>13175</v>
      </c>
      <c r="V791" s="6" t="s">
        <v>81</v>
      </c>
      <c r="W791" s="6" t="s">
        <v>81</v>
      </c>
      <c r="X791" s="6" t="s">
        <v>81</v>
      </c>
      <c r="Y791" s="21" t="s">
        <v>81</v>
      </c>
      <c r="Z791" s="6" t="s">
        <v>81</v>
      </c>
      <c r="AA791" s="6" t="s">
        <v>81</v>
      </c>
      <c r="AB791" s="6" t="s">
        <v>81</v>
      </c>
      <c r="AC791" s="6" t="s">
        <v>81</v>
      </c>
      <c r="AD791" s="21" t="s">
        <v>81</v>
      </c>
      <c r="AE791" s="6" t="s">
        <v>81</v>
      </c>
      <c r="AF791" s="6" t="s">
        <v>81</v>
      </c>
      <c r="AG791" s="6" t="s">
        <v>81</v>
      </c>
      <c r="AH791" s="6" t="s">
        <v>15375</v>
      </c>
      <c r="AI791" s="6" t="s">
        <v>81</v>
      </c>
      <c r="AJ791" s="6" t="s">
        <v>17581</v>
      </c>
      <c r="AK791" s="6" t="s">
        <v>17712</v>
      </c>
      <c r="AL791" s="6" t="s">
        <v>18444</v>
      </c>
      <c r="AM791" s="6" t="s">
        <v>7469</v>
      </c>
      <c r="AN791" s="6" t="s">
        <v>19670</v>
      </c>
      <c r="AO791" s="6" t="s">
        <v>19782</v>
      </c>
      <c r="AP791" s="6" t="s">
        <v>15375</v>
      </c>
      <c r="AQ791" s="6" t="s">
        <v>81</v>
      </c>
      <c r="AR791" s="6" t="s">
        <v>17581</v>
      </c>
      <c r="AS791" s="6" t="s">
        <v>17712</v>
      </c>
      <c r="AT791" s="6" t="s">
        <v>18444</v>
      </c>
      <c r="AU791" s="6" t="s">
        <v>7469</v>
      </c>
      <c r="AV791" s="6" t="s">
        <v>81</v>
      </c>
      <c r="AW791" s="6" t="s">
        <v>81</v>
      </c>
      <c r="AX791" s="6" t="s">
        <v>81</v>
      </c>
      <c r="AY791" s="6" t="s">
        <v>81</v>
      </c>
      <c r="AZ791" s="6" t="s">
        <v>81</v>
      </c>
      <c r="BA791" s="6" t="s">
        <v>81</v>
      </c>
      <c r="BB791" s="24" t="n">
        <v>91</v>
      </c>
      <c r="BC791" s="26"/>
      <c r="BD791" s="26"/>
      <c r="BE791" s="26"/>
      <c r="BF791" s="26" t="s">
        <v>23900</v>
      </c>
      <c r="BG791" s="26"/>
      <c r="BH791" s="26"/>
      <c r="BI791" s="26"/>
      <c r="BJ791" s="26"/>
      <c r="BK791" s="26"/>
      <c r="BL791" s="26"/>
      <c r="BM791" s="26"/>
      <c r="BN791" s="26"/>
      <c r="BO791" s="26"/>
      <c r="BP791" s="16" t="n">
        <v>45595</v>
      </c>
      <c r="BQ791" s="28" t="str">
        <f>HYPERLINK("https://organic.ams.usda.gov/Integrity/Certificate.aspx?cid=57&amp;nopid=3252013070")</f>
        <v>https://organic.ams.usda.gov/Integrity/Certificate.aspx?cid=57&amp;nopid=3252013070</v>
      </c>
    </row>
    <row r="792">
      <c r="A792" t="s">
        <v>3</v>
      </c>
      <c r="B792" s="6" t="s">
        <v>7</v>
      </c>
      <c r="C792" s="6" t="s">
        <v>54</v>
      </c>
      <c r="D792" s="6" t="s">
        <v>100</v>
      </c>
      <c r="E792" s="10" t="s">
        <v>933</v>
      </c>
      <c r="F792" s="6" t="s">
        <v>3662</v>
      </c>
      <c r="G792" s="6" t="s">
        <v>81</v>
      </c>
      <c r="H792" s="6" t="s">
        <v>6613</v>
      </c>
      <c r="I792" s="6" t="s">
        <v>8853</v>
      </c>
      <c r="J792" s="6" t="s">
        <v>9727</v>
      </c>
      <c r="K792" s="6" t="s">
        <v>10886</v>
      </c>
      <c r="L792" s="16" t="n">
        <v>42921</v>
      </c>
      <c r="M792" s="16" t="n">
        <v>45716</v>
      </c>
      <c r="N792" s="6" t="s">
        <v>10886</v>
      </c>
      <c r="O792" s="16" t="n">
        <v>42921</v>
      </c>
      <c r="P792" s="6" t="s">
        <v>11046</v>
      </c>
      <c r="Q792" s="6" t="s">
        <v>81</v>
      </c>
      <c r="R792" s="6" t="s">
        <v>81</v>
      </c>
      <c r="S792" s="6" t="s">
        <v>10886</v>
      </c>
      <c r="T792" s="16" t="n">
        <v>42969</v>
      </c>
      <c r="U792" s="6" t="s">
        <v>13169</v>
      </c>
      <c r="V792" s="6" t="s">
        <v>81</v>
      </c>
      <c r="W792" s="6" t="s">
        <v>81</v>
      </c>
      <c r="X792" s="6" t="s">
        <v>81</v>
      </c>
      <c r="Y792" s="21" t="s">
        <v>81</v>
      </c>
      <c r="Z792" s="6" t="s">
        <v>81</v>
      </c>
      <c r="AA792" s="6" t="s">
        <v>81</v>
      </c>
      <c r="AB792" s="6" t="s">
        <v>81</v>
      </c>
      <c r="AC792" s="6" t="s">
        <v>81</v>
      </c>
      <c r="AD792" s="21" t="s">
        <v>81</v>
      </c>
      <c r="AE792" s="6" t="s">
        <v>81</v>
      </c>
      <c r="AF792" s="6" t="s">
        <v>81</v>
      </c>
      <c r="AG792" s="6" t="s">
        <v>81</v>
      </c>
      <c r="AH792" s="6" t="s">
        <v>15376</v>
      </c>
      <c r="AI792" s="6" t="s">
        <v>81</v>
      </c>
      <c r="AJ792" s="6" t="s">
        <v>17406</v>
      </c>
      <c r="AK792" s="6" t="s">
        <v>17712</v>
      </c>
      <c r="AL792" s="6" t="s">
        <v>18444</v>
      </c>
      <c r="AM792" s="6" t="s">
        <v>18562</v>
      </c>
      <c r="AN792" s="6" t="s">
        <v>19657</v>
      </c>
      <c r="AO792" s="6" t="s">
        <v>19751</v>
      </c>
      <c r="AP792" s="6" t="s">
        <v>15376</v>
      </c>
      <c r="AQ792" s="6" t="s">
        <v>81</v>
      </c>
      <c r="AR792" s="6" t="s">
        <v>17406</v>
      </c>
      <c r="AS792" s="6" t="s">
        <v>17712</v>
      </c>
      <c r="AT792" s="6" t="s">
        <v>18444</v>
      </c>
      <c r="AU792" s="6" t="s">
        <v>18562</v>
      </c>
      <c r="AV792" s="6" t="s">
        <v>81</v>
      </c>
      <c r="AW792" s="6" t="s">
        <v>81</v>
      </c>
      <c r="AX792" s="6" t="s">
        <v>21242</v>
      </c>
      <c r="AY792" s="6" t="s">
        <v>81</v>
      </c>
      <c r="AZ792" s="6" t="s">
        <v>81</v>
      </c>
      <c r="BA792" s="6" t="s">
        <v>81</v>
      </c>
      <c r="BB792" s="24" t="n">
        <v>60</v>
      </c>
      <c r="BC792" s="26"/>
      <c r="BD792" s="26"/>
      <c r="BE792" s="26"/>
      <c r="BF792" s="26" t="s">
        <v>23900</v>
      </c>
      <c r="BG792" s="26"/>
      <c r="BH792" s="26"/>
      <c r="BI792" s="26"/>
      <c r="BJ792" s="26"/>
      <c r="BK792" s="26"/>
      <c r="BL792" s="26"/>
      <c r="BM792" s="26"/>
      <c r="BN792" s="26"/>
      <c r="BO792" s="26"/>
      <c r="BP792" s="16" t="n">
        <v>45723</v>
      </c>
      <c r="BQ792" s="28" t="str">
        <f>HYPERLINK("https://organic.ams.usda.gov/Integrity/Certificate.aspx?cid=57&amp;nopid=3252017075")</f>
        <v>https://organic.ams.usda.gov/Integrity/Certificate.aspx?cid=57&amp;nopid=3252017075</v>
      </c>
    </row>
    <row r="793">
      <c r="A793" t="s">
        <v>3</v>
      </c>
      <c r="B793" s="6" t="s">
        <v>30</v>
      </c>
      <c r="C793" s="6" t="s">
        <v>77</v>
      </c>
      <c r="D793" s="6" t="s">
        <v>123</v>
      </c>
      <c r="E793" s="10" t="s">
        <v>934</v>
      </c>
      <c r="F793" s="6" t="s">
        <v>3663</v>
      </c>
      <c r="G793" s="6" t="s">
        <v>81</v>
      </c>
      <c r="H793" s="6" t="s">
        <v>6614</v>
      </c>
      <c r="I793" s="6" t="s">
        <v>8854</v>
      </c>
      <c r="J793" s="6" t="s">
        <v>9960</v>
      </c>
      <c r="K793" s="6" t="s">
        <v>10886</v>
      </c>
      <c r="L793" s="16" t="n">
        <v>39191</v>
      </c>
      <c r="M793" s="16" t="n">
        <v>45747</v>
      </c>
      <c r="N793" s="6" t="s">
        <v>10886</v>
      </c>
      <c r="O793" s="16" t="n">
        <v>39191</v>
      </c>
      <c r="P793" s="6" t="s">
        <v>11382</v>
      </c>
      <c r="Q793" s="6" t="s">
        <v>81</v>
      </c>
      <c r="R793" s="6" t="s">
        <v>12643</v>
      </c>
      <c r="S793" s="6" t="s">
        <v>10886</v>
      </c>
      <c r="T793" s="16" t="n">
        <v>39191</v>
      </c>
      <c r="U793" s="6" t="s">
        <v>13216</v>
      </c>
      <c r="V793" s="6" t="s">
        <v>81</v>
      </c>
      <c r="W793" s="6" t="s">
        <v>6614</v>
      </c>
      <c r="X793" s="6" t="s">
        <v>81</v>
      </c>
      <c r="Y793" s="21" t="s">
        <v>81</v>
      </c>
      <c r="Z793" s="6" t="s">
        <v>81</v>
      </c>
      <c r="AA793" s="6" t="s">
        <v>81</v>
      </c>
      <c r="AB793" s="6" t="s">
        <v>81</v>
      </c>
      <c r="AC793" s="6" t="s">
        <v>81</v>
      </c>
      <c r="AD793" s="21" t="s">
        <v>81</v>
      </c>
      <c r="AE793" s="6" t="s">
        <v>81</v>
      </c>
      <c r="AF793" s="6" t="s">
        <v>81</v>
      </c>
      <c r="AG793" s="6" t="s">
        <v>81</v>
      </c>
      <c r="AH793" s="6" t="s">
        <v>15377</v>
      </c>
      <c r="AI793" s="6" t="s">
        <v>81</v>
      </c>
      <c r="AJ793" s="6" t="s">
        <v>17406</v>
      </c>
      <c r="AK793" s="6" t="s">
        <v>17712</v>
      </c>
      <c r="AL793" s="6" t="s">
        <v>18444</v>
      </c>
      <c r="AM793" s="6" t="s">
        <v>18562</v>
      </c>
      <c r="AN793" s="6" t="s">
        <v>19657</v>
      </c>
      <c r="AO793" s="6" t="s">
        <v>19751</v>
      </c>
      <c r="AP793" s="6" t="s">
        <v>15377</v>
      </c>
      <c r="AQ793" s="6" t="s">
        <v>81</v>
      </c>
      <c r="AR793" s="6" t="s">
        <v>17406</v>
      </c>
      <c r="AS793" s="6" t="s">
        <v>17712</v>
      </c>
      <c r="AT793" s="6" t="s">
        <v>18444</v>
      </c>
      <c r="AU793" s="6" t="s">
        <v>18562</v>
      </c>
      <c r="AV793" s="6" t="s">
        <v>81</v>
      </c>
      <c r="AW793" s="6" t="s">
        <v>81</v>
      </c>
      <c r="AX793" s="6" t="s">
        <v>81</v>
      </c>
      <c r="AY793" s="6" t="s">
        <v>81</v>
      </c>
      <c r="AZ793" s="6" t="s">
        <v>81</v>
      </c>
      <c r="BA793" s="6" t="s">
        <v>81</v>
      </c>
      <c r="BB793" s="24" t="n">
        <v>255</v>
      </c>
      <c r="BC793" s="26"/>
      <c r="BD793" s="26"/>
      <c r="BE793" s="26"/>
      <c r="BF793" s="26"/>
      <c r="BG793" s="26"/>
      <c r="BH793" s="26"/>
      <c r="BI793" s="26"/>
      <c r="BJ793" s="26"/>
      <c r="BK793" s="26"/>
      <c r="BL793" s="26"/>
      <c r="BM793" s="26"/>
      <c r="BN793" s="26"/>
      <c r="BO793" s="26"/>
      <c r="BP793" s="16" t="n">
        <v>45551</v>
      </c>
      <c r="BQ793" s="28" t="str">
        <f>HYPERLINK("https://organic.ams.usda.gov/Integrity/Certificate.aspx?cid=70&amp;nopid=6430713900")</f>
        <v>https://organic.ams.usda.gov/Integrity/Certificate.aspx?cid=70&amp;nopid=6430713900</v>
      </c>
    </row>
    <row r="794">
      <c r="A794" t="s">
        <v>3</v>
      </c>
      <c r="B794" s="6" t="s">
        <v>13</v>
      </c>
      <c r="C794" s="6" t="s">
        <v>60</v>
      </c>
      <c r="D794" s="6" t="s">
        <v>106</v>
      </c>
      <c r="E794" s="10" t="s">
        <v>935</v>
      </c>
      <c r="F794" s="6" t="s">
        <v>3664</v>
      </c>
      <c r="G794" s="6" t="s">
        <v>81</v>
      </c>
      <c r="H794" s="6" t="s">
        <v>6615</v>
      </c>
      <c r="I794" s="6" t="s">
        <v>8684</v>
      </c>
      <c r="J794" s="6" t="s">
        <v>10066</v>
      </c>
      <c r="K794" s="6" t="s">
        <v>10886</v>
      </c>
      <c r="L794" s="16" t="n">
        <v>45636</v>
      </c>
      <c r="M794" s="16" t="n">
        <v>45748</v>
      </c>
      <c r="N794" s="6" t="s">
        <v>10886</v>
      </c>
      <c r="O794" s="16" t="n">
        <v>45636</v>
      </c>
      <c r="P794" s="6" t="s">
        <v>11383</v>
      </c>
      <c r="Q794" s="6" t="s">
        <v>81</v>
      </c>
      <c r="R794" s="6" t="s">
        <v>12644</v>
      </c>
      <c r="S794" s="6" t="s">
        <v>10886</v>
      </c>
      <c r="T794" s="16" t="n">
        <v>45636</v>
      </c>
      <c r="U794" s="6" t="s">
        <v>13458</v>
      </c>
      <c r="V794" s="6" t="s">
        <v>81</v>
      </c>
      <c r="W794" s="6" t="s">
        <v>12644</v>
      </c>
      <c r="X794" s="6" t="s">
        <v>81</v>
      </c>
      <c r="Y794" s="21" t="s">
        <v>81</v>
      </c>
      <c r="Z794" s="6" t="s">
        <v>81</v>
      </c>
      <c r="AA794" s="6" t="s">
        <v>81</v>
      </c>
      <c r="AB794" s="6" t="s">
        <v>81</v>
      </c>
      <c r="AC794" s="6" t="s">
        <v>81</v>
      </c>
      <c r="AD794" s="21" t="s">
        <v>81</v>
      </c>
      <c r="AE794" s="6" t="s">
        <v>81</v>
      </c>
      <c r="AF794" s="6" t="s">
        <v>81</v>
      </c>
      <c r="AG794" s="6" t="s">
        <v>81</v>
      </c>
      <c r="AH794" s="6" t="s">
        <v>15378</v>
      </c>
      <c r="AI794" s="6" t="s">
        <v>81</v>
      </c>
      <c r="AJ794" s="6" t="s">
        <v>17529</v>
      </c>
      <c r="AK794" s="6" t="s">
        <v>18379</v>
      </c>
      <c r="AL794" s="6" t="s">
        <v>18444</v>
      </c>
      <c r="AM794" s="6" t="s">
        <v>18925</v>
      </c>
      <c r="AN794" s="6" t="s">
        <v>81</v>
      </c>
      <c r="AO794" s="6" t="s">
        <v>81</v>
      </c>
      <c r="AP794" s="6" t="s">
        <v>15378</v>
      </c>
      <c r="AQ794" s="6" t="s">
        <v>81</v>
      </c>
      <c r="AR794" s="6" t="s">
        <v>17529</v>
      </c>
      <c r="AS794" s="6" t="s">
        <v>18379</v>
      </c>
      <c r="AT794" s="6" t="s">
        <v>18444</v>
      </c>
      <c r="AU794" s="6" t="s">
        <v>18925</v>
      </c>
      <c r="AV794" s="6" t="s">
        <v>81</v>
      </c>
      <c r="AW794" s="6" t="s">
        <v>81</v>
      </c>
      <c r="AX794" s="6" t="s">
        <v>21243</v>
      </c>
      <c r="AY794" s="6" t="s">
        <v>81</v>
      </c>
      <c r="AZ794" s="6" t="s">
        <v>81</v>
      </c>
      <c r="BA794" s="6" t="s">
        <v>81</v>
      </c>
      <c r="BB794" s="24" t="n">
        <v>76</v>
      </c>
      <c r="BC794" s="26"/>
      <c r="BD794" s="26"/>
      <c r="BE794" s="26"/>
      <c r="BF794" s="26" t="s">
        <v>23900</v>
      </c>
      <c r="BG794" s="26"/>
      <c r="BH794" s="26"/>
      <c r="BI794" s="26"/>
      <c r="BJ794" s="26"/>
      <c r="BK794" s="26"/>
      <c r="BL794" s="26"/>
      <c r="BM794" s="26"/>
      <c r="BN794" s="26"/>
      <c r="BO794" s="26"/>
      <c r="BP794" s="16" t="n">
        <v>45663</v>
      </c>
      <c r="BQ794" s="28" t="str">
        <f>HYPERLINK("https://organic.ams.usda.gov/Integrity/Certificate.aspx?cid=72&amp;nopid=5870107346")</f>
        <v>https://organic.ams.usda.gov/Integrity/Certificate.aspx?cid=72&amp;nopid=5870107346</v>
      </c>
    </row>
    <row r="795">
      <c r="A795" t="s">
        <v>3</v>
      </c>
      <c r="B795" s="6" t="s">
        <v>7</v>
      </c>
      <c r="C795" s="6" t="s">
        <v>54</v>
      </c>
      <c r="D795" s="6" t="s">
        <v>100</v>
      </c>
      <c r="E795" s="10" t="s">
        <v>936</v>
      </c>
      <c r="F795" s="6" t="s">
        <v>3665</v>
      </c>
      <c r="G795" s="6" t="s">
        <v>81</v>
      </c>
      <c r="H795" s="6" t="s">
        <v>6616</v>
      </c>
      <c r="I795" s="6" t="s">
        <v>8684</v>
      </c>
      <c r="J795" s="6" t="s">
        <v>9960</v>
      </c>
      <c r="K795" s="6" t="s">
        <v>10886</v>
      </c>
      <c r="L795" s="16" t="n">
        <v>45128</v>
      </c>
      <c r="M795" s="16" t="n">
        <v>45716</v>
      </c>
      <c r="N795" s="6" t="s">
        <v>10886</v>
      </c>
      <c r="O795" s="16" t="n">
        <v>45128</v>
      </c>
      <c r="P795" s="6" t="s">
        <v>10925</v>
      </c>
      <c r="Q795" s="6" t="s">
        <v>81</v>
      </c>
      <c r="R795" s="6" t="s">
        <v>81</v>
      </c>
      <c r="S795" s="6" t="s">
        <v>10886</v>
      </c>
      <c r="T795" s="16" t="n">
        <v>45132</v>
      </c>
      <c r="U795" s="6" t="s">
        <v>13169</v>
      </c>
      <c r="V795" s="6" t="s">
        <v>81</v>
      </c>
      <c r="W795" s="6" t="s">
        <v>81</v>
      </c>
      <c r="X795" s="6" t="s">
        <v>81</v>
      </c>
      <c r="Y795" s="21" t="s">
        <v>81</v>
      </c>
      <c r="Z795" s="6" t="s">
        <v>81</v>
      </c>
      <c r="AA795" s="6" t="s">
        <v>81</v>
      </c>
      <c r="AB795" s="6" t="s">
        <v>81</v>
      </c>
      <c r="AC795" s="6" t="s">
        <v>81</v>
      </c>
      <c r="AD795" s="21" t="s">
        <v>81</v>
      </c>
      <c r="AE795" s="6" t="s">
        <v>81</v>
      </c>
      <c r="AF795" s="6" t="s">
        <v>81</v>
      </c>
      <c r="AG795" s="6" t="s">
        <v>81</v>
      </c>
      <c r="AH795" s="6" t="s">
        <v>15379</v>
      </c>
      <c r="AI795" s="6" t="s">
        <v>81</v>
      </c>
      <c r="AJ795" s="6" t="s">
        <v>17581</v>
      </c>
      <c r="AK795" s="6" t="s">
        <v>17712</v>
      </c>
      <c r="AL795" s="6" t="s">
        <v>18444</v>
      </c>
      <c r="AM795" s="6" t="s">
        <v>7469</v>
      </c>
      <c r="AN795" s="6" t="s">
        <v>81</v>
      </c>
      <c r="AO795" s="6" t="s">
        <v>81</v>
      </c>
      <c r="AP795" s="6" t="s">
        <v>15379</v>
      </c>
      <c r="AQ795" s="6" t="s">
        <v>81</v>
      </c>
      <c r="AR795" s="6" t="s">
        <v>17581</v>
      </c>
      <c r="AS795" s="6" t="s">
        <v>17712</v>
      </c>
      <c r="AT795" s="6" t="s">
        <v>18444</v>
      </c>
      <c r="AU795" s="6" t="s">
        <v>7469</v>
      </c>
      <c r="AV795" s="6" t="s">
        <v>81</v>
      </c>
      <c r="AW795" s="6" t="s">
        <v>81</v>
      </c>
      <c r="AX795" s="6" t="s">
        <v>81</v>
      </c>
      <c r="AY795" s="6" t="s">
        <v>81</v>
      </c>
      <c r="AZ795" s="6" t="s">
        <v>81</v>
      </c>
      <c r="BA795" s="6" t="s">
        <v>81</v>
      </c>
      <c r="BB795" s="24" t="n">
        <v>80</v>
      </c>
      <c r="BC795" s="26"/>
      <c r="BD795" s="26"/>
      <c r="BE795" s="26"/>
      <c r="BF795" s="26" t="s">
        <v>23900</v>
      </c>
      <c r="BG795" s="26"/>
      <c r="BH795" s="26"/>
      <c r="BI795" s="26"/>
      <c r="BJ795" s="26"/>
      <c r="BK795" s="26"/>
      <c r="BL795" s="26"/>
      <c r="BM795" s="26"/>
      <c r="BN795" s="26"/>
      <c r="BO795" s="26"/>
      <c r="BP795" s="16" t="n">
        <v>45595</v>
      </c>
      <c r="BQ795" s="28" t="str">
        <f>HYPERLINK("https://organic.ams.usda.gov/Integrity/Certificate.aspx?cid=57&amp;nopid=3252023023")</f>
        <v>https://organic.ams.usda.gov/Integrity/Certificate.aspx?cid=57&amp;nopid=3252023023</v>
      </c>
    </row>
    <row r="796">
      <c r="A796" t="s">
        <v>3</v>
      </c>
      <c r="B796" s="6" t="s">
        <v>10</v>
      </c>
      <c r="C796" s="6" t="s">
        <v>57</v>
      </c>
      <c r="D796" s="6" t="s">
        <v>103</v>
      </c>
      <c r="E796" s="10" t="s">
        <v>937</v>
      </c>
      <c r="F796" s="6" t="s">
        <v>3666</v>
      </c>
      <c r="G796" s="6" t="s">
        <v>81</v>
      </c>
      <c r="H796" s="6" t="s">
        <v>6617</v>
      </c>
      <c r="I796" s="6" t="s">
        <v>8855</v>
      </c>
      <c r="J796" s="6" t="s">
        <v>9665</v>
      </c>
      <c r="K796" s="6" t="s">
        <v>10886</v>
      </c>
      <c r="L796" s="16" t="n">
        <v>43387</v>
      </c>
      <c r="M796" s="16" t="n">
        <v>45748</v>
      </c>
      <c r="N796" s="6" t="s">
        <v>10886</v>
      </c>
      <c r="O796" s="16" t="n">
        <v>43387</v>
      </c>
      <c r="P796" s="6" t="s">
        <v>11015</v>
      </c>
      <c r="Q796" s="6" t="s">
        <v>81</v>
      </c>
      <c r="R796" s="6" t="s">
        <v>12645</v>
      </c>
      <c r="S796" s="6" t="s">
        <v>10886</v>
      </c>
      <c r="T796" s="16" t="n">
        <v>43387</v>
      </c>
      <c r="U796" s="6" t="s">
        <v>13163</v>
      </c>
      <c r="V796" s="6" t="s">
        <v>81</v>
      </c>
      <c r="W796" s="6" t="s">
        <v>81</v>
      </c>
      <c r="X796" s="6" t="s">
        <v>81</v>
      </c>
      <c r="Y796" s="21" t="s">
        <v>81</v>
      </c>
      <c r="Z796" s="6" t="s">
        <v>81</v>
      </c>
      <c r="AA796" s="6" t="s">
        <v>81</v>
      </c>
      <c r="AB796" s="6" t="s">
        <v>81</v>
      </c>
      <c r="AC796" s="6" t="s">
        <v>81</v>
      </c>
      <c r="AD796" s="21" t="s">
        <v>81</v>
      </c>
      <c r="AE796" s="6" t="s">
        <v>81</v>
      </c>
      <c r="AF796" s="6" t="s">
        <v>81</v>
      </c>
      <c r="AG796" s="6" t="s">
        <v>81</v>
      </c>
      <c r="AH796" s="6" t="s">
        <v>15380</v>
      </c>
      <c r="AI796" s="6" t="s">
        <v>81</v>
      </c>
      <c r="AJ796" s="6" t="s">
        <v>17754</v>
      </c>
      <c r="AK796" s="6" t="s">
        <v>18391</v>
      </c>
      <c r="AL796" s="6" t="s">
        <v>18444</v>
      </c>
      <c r="AM796" s="6" t="s">
        <v>18926</v>
      </c>
      <c r="AN796" s="6" t="s">
        <v>5924</v>
      </c>
      <c r="AO796" s="6" t="s">
        <v>19796</v>
      </c>
      <c r="AP796" s="6" t="s">
        <v>15380</v>
      </c>
      <c r="AQ796" s="6" t="s">
        <v>81</v>
      </c>
      <c r="AR796" s="6" t="s">
        <v>17754</v>
      </c>
      <c r="AS796" s="6" t="s">
        <v>18391</v>
      </c>
      <c r="AT796" s="6" t="s">
        <v>18444</v>
      </c>
      <c r="AU796" s="6" t="s">
        <v>18926</v>
      </c>
      <c r="AV796" s="6" t="s">
        <v>81</v>
      </c>
      <c r="AW796" s="6" t="s">
        <v>81</v>
      </c>
      <c r="AX796" s="6" t="s">
        <v>21244</v>
      </c>
      <c r="AY796" s="6" t="s">
        <v>81</v>
      </c>
      <c r="AZ796" s="6" t="s">
        <v>81</v>
      </c>
      <c r="BA796" s="6" t="s">
        <v>81</v>
      </c>
      <c r="BB796" s="24" t="n">
        <v>113</v>
      </c>
      <c r="BC796" s="26"/>
      <c r="BD796" s="26"/>
      <c r="BE796" s="26"/>
      <c r="BF796" s="26"/>
      <c r="BG796" s="26"/>
      <c r="BH796" s="26"/>
      <c r="BI796" s="26"/>
      <c r="BJ796" s="26"/>
      <c r="BK796" s="26"/>
      <c r="BL796" s="26"/>
      <c r="BM796" s="26"/>
      <c r="BN796" s="26"/>
      <c r="BO796" s="26"/>
      <c r="BP796" s="16" t="n">
        <v>45730</v>
      </c>
      <c r="BQ796" s="28" t="str">
        <f>HYPERLINK("https://organic.ams.usda.gov/Integrity/Certificate.aspx?cid=90&amp;nopid=7170230686")</f>
        <v>https://organic.ams.usda.gov/Integrity/Certificate.aspx?cid=90&amp;nopid=7170230686</v>
      </c>
    </row>
    <row r="797">
      <c r="A797" t="s">
        <v>3</v>
      </c>
      <c r="B797" s="6" t="s">
        <v>9</v>
      </c>
      <c r="C797" s="6" t="s">
        <v>56</v>
      </c>
      <c r="D797" s="6" t="s">
        <v>102</v>
      </c>
      <c r="E797" s="10" t="s">
        <v>938</v>
      </c>
      <c r="F797" s="6" t="s">
        <v>3667</v>
      </c>
      <c r="G797" s="6" t="s">
        <v>81</v>
      </c>
      <c r="H797" s="6" t="s">
        <v>6618</v>
      </c>
      <c r="I797" s="6" t="s">
        <v>8856</v>
      </c>
      <c r="J797" s="6" t="s">
        <v>9755</v>
      </c>
      <c r="K797" s="6" t="s">
        <v>10886</v>
      </c>
      <c r="L797" s="16" t="n">
        <v>41561</v>
      </c>
      <c r="M797" s="16" t="n">
        <v>45748</v>
      </c>
      <c r="N797" s="6" t="s">
        <v>10886</v>
      </c>
      <c r="O797" s="16" t="n">
        <v>41561</v>
      </c>
      <c r="P797" s="6" t="s">
        <v>11285</v>
      </c>
      <c r="Q797" s="6" t="s">
        <v>81</v>
      </c>
      <c r="R797" s="6" t="s">
        <v>12646</v>
      </c>
      <c r="S797" s="6" t="s">
        <v>10886</v>
      </c>
      <c r="T797" s="16" t="n">
        <v>41561</v>
      </c>
      <c r="U797" s="6" t="s">
        <v>13162</v>
      </c>
      <c r="V797" s="6" t="s">
        <v>81</v>
      </c>
      <c r="W797" s="6" t="s">
        <v>12646</v>
      </c>
      <c r="X797" s="6" t="s">
        <v>81</v>
      </c>
      <c r="Y797" s="21" t="s">
        <v>81</v>
      </c>
      <c r="Z797" s="6" t="s">
        <v>81</v>
      </c>
      <c r="AA797" s="6" t="s">
        <v>81</v>
      </c>
      <c r="AB797" s="6" t="s">
        <v>81</v>
      </c>
      <c r="AC797" s="6" t="s">
        <v>81</v>
      </c>
      <c r="AD797" s="21" t="s">
        <v>81</v>
      </c>
      <c r="AE797" s="6" t="s">
        <v>81</v>
      </c>
      <c r="AF797" s="6" t="s">
        <v>81</v>
      </c>
      <c r="AG797" s="6" t="s">
        <v>81</v>
      </c>
      <c r="AH797" s="6" t="s">
        <v>15381</v>
      </c>
      <c r="AI797" s="6" t="s">
        <v>81</v>
      </c>
      <c r="AJ797" s="6" t="s">
        <v>17755</v>
      </c>
      <c r="AK797" s="6" t="s">
        <v>18377</v>
      </c>
      <c r="AL797" s="6" t="s">
        <v>18444</v>
      </c>
      <c r="AM797" s="6" t="s">
        <v>18927</v>
      </c>
      <c r="AN797" s="6" t="s">
        <v>7895</v>
      </c>
      <c r="AO797" s="6" t="s">
        <v>19773</v>
      </c>
      <c r="AP797" s="6" t="s">
        <v>81</v>
      </c>
      <c r="AQ797" s="6" t="s">
        <v>81</v>
      </c>
      <c r="AR797" s="6" t="s">
        <v>81</v>
      </c>
      <c r="AS797" s="6" t="s">
        <v>81</v>
      </c>
      <c r="AT797" s="6" t="s">
        <v>81</v>
      </c>
      <c r="AU797" s="6" t="s">
        <v>81</v>
      </c>
      <c r="AV797" s="6" t="s">
        <v>81</v>
      </c>
      <c r="AW797" s="6" t="s">
        <v>81</v>
      </c>
      <c r="AX797" s="6" t="s">
        <v>21245</v>
      </c>
      <c r="AY797" s="6" t="s">
        <v>81</v>
      </c>
      <c r="AZ797" s="6" t="s">
        <v>81</v>
      </c>
      <c r="BA797" s="6" t="s">
        <v>81</v>
      </c>
      <c r="BB797" s="24" t="n">
        <v>149</v>
      </c>
      <c r="BC797" s="26"/>
      <c r="BD797" s="26"/>
      <c r="BE797" s="26"/>
      <c r="BF797" s="26"/>
      <c r="BG797" s="26"/>
      <c r="BH797" s="26"/>
      <c r="BI797" s="26"/>
      <c r="BJ797" s="26"/>
      <c r="BK797" s="26"/>
      <c r="BL797" s="26"/>
      <c r="BM797" s="26"/>
      <c r="BN797" s="26"/>
      <c r="BO797" s="26"/>
      <c r="BP797" s="16" t="n">
        <v>45738</v>
      </c>
      <c r="BQ797" s="28" t="str">
        <f>HYPERLINK("https://organic.ams.usda.gov/Integrity/Certificate.aspx?cid=52&amp;nopid=8431300259")</f>
        <v>https://organic.ams.usda.gov/Integrity/Certificate.aspx?cid=52&amp;nopid=8431300259</v>
      </c>
    </row>
    <row r="798">
      <c r="A798" t="s">
        <v>3</v>
      </c>
      <c r="B798" s="6" t="s">
        <v>12</v>
      </c>
      <c r="C798" s="6" t="s">
        <v>59</v>
      </c>
      <c r="D798" s="6" t="s">
        <v>105</v>
      </c>
      <c r="E798" s="10" t="s">
        <v>939</v>
      </c>
      <c r="F798" s="6" t="s">
        <v>3668</v>
      </c>
      <c r="G798" s="6" t="s">
        <v>81</v>
      </c>
      <c r="H798" s="6" t="s">
        <v>6619</v>
      </c>
      <c r="I798" s="6" t="s">
        <v>8857</v>
      </c>
      <c r="J798" s="6" t="s">
        <v>9803</v>
      </c>
      <c r="K798" s="6" t="s">
        <v>10886</v>
      </c>
      <c r="L798" s="16" t="n">
        <v>41393</v>
      </c>
      <c r="M798" s="16" t="n">
        <v>45717</v>
      </c>
      <c r="N798" s="6" t="s">
        <v>10886</v>
      </c>
      <c r="O798" s="16" t="n">
        <v>41393</v>
      </c>
      <c r="P798" s="6" t="s">
        <v>10925</v>
      </c>
      <c r="Q798" s="6" t="s">
        <v>81</v>
      </c>
      <c r="R798" s="6" t="s">
        <v>81</v>
      </c>
      <c r="S798" s="6" t="s">
        <v>10886</v>
      </c>
      <c r="T798" s="16" t="n">
        <v>41393</v>
      </c>
      <c r="U798" s="6" t="s">
        <v>13459</v>
      </c>
      <c r="V798" s="6" t="s">
        <v>81</v>
      </c>
      <c r="W798" s="6" t="s">
        <v>81</v>
      </c>
      <c r="X798" s="6" t="s">
        <v>81</v>
      </c>
      <c r="Y798" s="21" t="s">
        <v>81</v>
      </c>
      <c r="Z798" s="6" t="s">
        <v>81</v>
      </c>
      <c r="AA798" s="6" t="s">
        <v>81</v>
      </c>
      <c r="AB798" s="6" t="s">
        <v>81</v>
      </c>
      <c r="AC798" s="6" t="s">
        <v>81</v>
      </c>
      <c r="AD798" s="21" t="s">
        <v>81</v>
      </c>
      <c r="AE798" s="6" t="s">
        <v>81</v>
      </c>
      <c r="AF798" s="6" t="s">
        <v>81</v>
      </c>
      <c r="AG798" s="6" t="s">
        <v>81</v>
      </c>
      <c r="AH798" s="6" t="s">
        <v>15382</v>
      </c>
      <c r="AI798" s="6" t="s">
        <v>81</v>
      </c>
      <c r="AJ798" s="6" t="s">
        <v>17756</v>
      </c>
      <c r="AK798" s="6" t="s">
        <v>17712</v>
      </c>
      <c r="AL798" s="6" t="s">
        <v>18444</v>
      </c>
      <c r="AM798" s="6" t="s">
        <v>18928</v>
      </c>
      <c r="AN798" s="6" t="s">
        <v>19642</v>
      </c>
      <c r="AO798" s="6" t="s">
        <v>19728</v>
      </c>
      <c r="AP798" s="6" t="s">
        <v>15382</v>
      </c>
      <c r="AQ798" s="6" t="s">
        <v>81</v>
      </c>
      <c r="AR798" s="6" t="s">
        <v>17756</v>
      </c>
      <c r="AS798" s="6" t="s">
        <v>17712</v>
      </c>
      <c r="AT798" s="6" t="s">
        <v>18444</v>
      </c>
      <c r="AU798" s="6" t="s">
        <v>18928</v>
      </c>
      <c r="AV798" s="6" t="s">
        <v>81</v>
      </c>
      <c r="AW798" s="6" t="s">
        <v>81</v>
      </c>
      <c r="AX798" s="6" t="s">
        <v>21246</v>
      </c>
      <c r="AY798" s="6" t="s">
        <v>81</v>
      </c>
      <c r="AZ798" s="6" t="s">
        <v>81</v>
      </c>
      <c r="BA798" s="6" t="s">
        <v>81</v>
      </c>
      <c r="BB798" s="24" t="n">
        <v>265</v>
      </c>
      <c r="BC798" s="26"/>
      <c r="BD798" s="26"/>
      <c r="BE798" s="26"/>
      <c r="BF798" s="26"/>
      <c r="BG798" s="26"/>
      <c r="BH798" s="26"/>
      <c r="BI798" s="26"/>
      <c r="BJ798" s="26"/>
      <c r="BK798" s="26"/>
      <c r="BL798" s="26"/>
      <c r="BM798" s="26"/>
      <c r="BN798" s="26"/>
      <c r="BO798" s="26"/>
      <c r="BP798" s="16" t="n">
        <v>45684</v>
      </c>
      <c r="BQ798" s="28" t="str">
        <f>HYPERLINK("https://organic.ams.usda.gov/Integrity/Certificate.aspx?cid=68&amp;nopid=8210001409")</f>
        <v>https://organic.ams.usda.gov/Integrity/Certificate.aspx?cid=68&amp;nopid=8210001409</v>
      </c>
    </row>
    <row r="799">
      <c r="A799" t="s">
        <v>3</v>
      </c>
      <c r="B799" s="6" t="s">
        <v>12</v>
      </c>
      <c r="C799" s="6" t="s">
        <v>59</v>
      </c>
      <c r="D799" s="6" t="s">
        <v>105</v>
      </c>
      <c r="E799" s="10" t="s">
        <v>940</v>
      </c>
      <c r="F799" s="6" t="s">
        <v>3669</v>
      </c>
      <c r="G799" s="6" t="s">
        <v>81</v>
      </c>
      <c r="H799" s="6" t="s">
        <v>6620</v>
      </c>
      <c r="I799" s="6" t="s">
        <v>8684</v>
      </c>
      <c r="J799" s="6" t="s">
        <v>9803</v>
      </c>
      <c r="K799" s="6" t="s">
        <v>10886</v>
      </c>
      <c r="L799" s="16" t="n">
        <v>43598</v>
      </c>
      <c r="M799" s="16" t="n">
        <v>45717</v>
      </c>
      <c r="N799" s="6" t="s">
        <v>10886</v>
      </c>
      <c r="O799" s="16" t="n">
        <v>43598</v>
      </c>
      <c r="P799" s="6" t="s">
        <v>10910</v>
      </c>
      <c r="Q799" s="6" t="s">
        <v>81</v>
      </c>
      <c r="R799" s="6" t="s">
        <v>81</v>
      </c>
      <c r="S799" s="6" t="s">
        <v>10886</v>
      </c>
      <c r="T799" s="16" t="n">
        <v>43598</v>
      </c>
      <c r="U799" s="6" t="s">
        <v>13262</v>
      </c>
      <c r="V799" s="6" t="s">
        <v>81</v>
      </c>
      <c r="W799" s="6" t="s">
        <v>81</v>
      </c>
      <c r="X799" s="6" t="s">
        <v>81</v>
      </c>
      <c r="Y799" s="21" t="s">
        <v>81</v>
      </c>
      <c r="Z799" s="6" t="s">
        <v>81</v>
      </c>
      <c r="AA799" s="6" t="s">
        <v>81</v>
      </c>
      <c r="AB799" s="6" t="s">
        <v>81</v>
      </c>
      <c r="AC799" s="6" t="s">
        <v>81</v>
      </c>
      <c r="AD799" s="21" t="s">
        <v>81</v>
      </c>
      <c r="AE799" s="6" t="s">
        <v>81</v>
      </c>
      <c r="AF799" s="6" t="s">
        <v>81</v>
      </c>
      <c r="AG799" s="6" t="s">
        <v>81</v>
      </c>
      <c r="AH799" s="6" t="s">
        <v>15383</v>
      </c>
      <c r="AI799" s="6" t="s">
        <v>81</v>
      </c>
      <c r="AJ799" s="6" t="s">
        <v>17670</v>
      </c>
      <c r="AK799" s="6" t="s">
        <v>18380</v>
      </c>
      <c r="AL799" s="6" t="s">
        <v>18444</v>
      </c>
      <c r="AM799" s="6" t="s">
        <v>18837</v>
      </c>
      <c r="AN799" s="6" t="s">
        <v>19686</v>
      </c>
      <c r="AO799" s="6" t="s">
        <v>19817</v>
      </c>
      <c r="AP799" s="6" t="s">
        <v>15383</v>
      </c>
      <c r="AQ799" s="6" t="s">
        <v>81</v>
      </c>
      <c r="AR799" s="6" t="s">
        <v>17670</v>
      </c>
      <c r="AS799" s="6" t="s">
        <v>18380</v>
      </c>
      <c r="AT799" s="6" t="s">
        <v>18444</v>
      </c>
      <c r="AU799" s="6" t="s">
        <v>18837</v>
      </c>
      <c r="AV799" s="6" t="s">
        <v>81</v>
      </c>
      <c r="AW799" s="6" t="s">
        <v>81</v>
      </c>
      <c r="AX799" s="6" t="s">
        <v>21247</v>
      </c>
      <c r="AY799" s="6" t="s">
        <v>81</v>
      </c>
      <c r="AZ799" s="6" t="s">
        <v>81</v>
      </c>
      <c r="BA799" s="6" t="s">
        <v>81</v>
      </c>
      <c r="BB799" s="24" t="n">
        <v>70</v>
      </c>
      <c r="BC799" s="26"/>
      <c r="BD799" s="26"/>
      <c r="BE799" s="26"/>
      <c r="BF799" s="26"/>
      <c r="BG799" s="26"/>
      <c r="BH799" s="26"/>
      <c r="BI799" s="26"/>
      <c r="BJ799" s="26"/>
      <c r="BK799" s="26"/>
      <c r="BL799" s="26"/>
      <c r="BM799" s="26"/>
      <c r="BN799" s="26"/>
      <c r="BO799" s="26"/>
      <c r="BP799" s="16" t="n">
        <v>45711</v>
      </c>
      <c r="BQ799" s="28" t="str">
        <f>HYPERLINK("https://organic.ams.usda.gov/Integrity/Certificate.aspx?cid=68&amp;nopid=8210006963")</f>
        <v>https://organic.ams.usda.gov/Integrity/Certificate.aspx?cid=68&amp;nopid=8210006963</v>
      </c>
    </row>
    <row r="800">
      <c r="A800" t="s">
        <v>3</v>
      </c>
      <c r="B800" s="6" t="s">
        <v>8</v>
      </c>
      <c r="C800" s="6" t="s">
        <v>55</v>
      </c>
      <c r="D800" s="6" t="s">
        <v>101</v>
      </c>
      <c r="E800" s="10" t="s">
        <v>941</v>
      </c>
      <c r="F800" s="6" t="s">
        <v>3670</v>
      </c>
      <c r="G800" s="6" t="s">
        <v>81</v>
      </c>
      <c r="H800" s="6" t="s">
        <v>6621</v>
      </c>
      <c r="I800" s="6" t="s">
        <v>8858</v>
      </c>
      <c r="J800" s="6" t="s">
        <v>9687</v>
      </c>
      <c r="K800" s="6" t="s">
        <v>10886</v>
      </c>
      <c r="L800" s="16" t="n">
        <v>44846</v>
      </c>
      <c r="M800" s="16" t="n">
        <v>45383</v>
      </c>
      <c r="N800" s="6" t="s">
        <v>10886</v>
      </c>
      <c r="O800" s="16" t="n">
        <v>44846</v>
      </c>
      <c r="P800" s="6" t="s">
        <v>11384</v>
      </c>
      <c r="Q800" s="6" t="s">
        <v>81</v>
      </c>
      <c r="R800" s="6" t="s">
        <v>6621</v>
      </c>
      <c r="S800" s="6" t="s">
        <v>10886</v>
      </c>
      <c r="T800" s="16" t="n">
        <v>44846</v>
      </c>
      <c r="U800" s="6" t="s">
        <v>13242</v>
      </c>
      <c r="V800" s="6" t="s">
        <v>81</v>
      </c>
      <c r="W800" s="6" t="s">
        <v>6621</v>
      </c>
      <c r="X800" s="6" t="s">
        <v>81</v>
      </c>
      <c r="Y800" s="21" t="s">
        <v>81</v>
      </c>
      <c r="Z800" s="6" t="s">
        <v>81</v>
      </c>
      <c r="AA800" s="6" t="s">
        <v>81</v>
      </c>
      <c r="AB800" s="6" t="s">
        <v>81</v>
      </c>
      <c r="AC800" s="6" t="s">
        <v>81</v>
      </c>
      <c r="AD800" s="21" t="s">
        <v>81</v>
      </c>
      <c r="AE800" s="6" t="s">
        <v>81</v>
      </c>
      <c r="AF800" s="6" t="s">
        <v>81</v>
      </c>
      <c r="AG800" s="6" t="s">
        <v>81</v>
      </c>
      <c r="AH800" s="6" t="s">
        <v>15384</v>
      </c>
      <c r="AI800" s="6" t="s">
        <v>81</v>
      </c>
      <c r="AJ800" s="6" t="s">
        <v>17757</v>
      </c>
      <c r="AK800" s="6" t="s">
        <v>18377</v>
      </c>
      <c r="AL800" s="6" t="s">
        <v>18444</v>
      </c>
      <c r="AM800" s="6" t="s">
        <v>18929</v>
      </c>
      <c r="AN800" s="6" t="s">
        <v>19635</v>
      </c>
      <c r="AO800" s="6" t="s">
        <v>19720</v>
      </c>
      <c r="AP800" s="6" t="s">
        <v>81</v>
      </c>
      <c r="AQ800" s="6" t="s">
        <v>81</v>
      </c>
      <c r="AR800" s="6" t="s">
        <v>81</v>
      </c>
      <c r="AS800" s="6" t="s">
        <v>81</v>
      </c>
      <c r="AT800" s="6" t="s">
        <v>81</v>
      </c>
      <c r="AU800" s="6" t="s">
        <v>81</v>
      </c>
      <c r="AV800" s="6" t="s">
        <v>81</v>
      </c>
      <c r="AW800" s="6" t="s">
        <v>81</v>
      </c>
      <c r="AX800" s="6" t="s">
        <v>81</v>
      </c>
      <c r="AY800" s="6" t="s">
        <v>81</v>
      </c>
      <c r="AZ800" s="6" t="s">
        <v>81</v>
      </c>
      <c r="BA800" s="6" t="s">
        <v>23819</v>
      </c>
      <c r="BB800" s="24" t="n">
        <v>101</v>
      </c>
      <c r="BC800" s="26"/>
      <c r="BD800" s="26"/>
      <c r="BE800" s="26"/>
      <c r="BF800" s="26" t="s">
        <v>23900</v>
      </c>
      <c r="BG800" s="26"/>
      <c r="BH800" s="26"/>
      <c r="BI800" s="26"/>
      <c r="BJ800" s="26"/>
      <c r="BK800" s="26"/>
      <c r="BL800" s="26"/>
      <c r="BM800" s="26"/>
      <c r="BN800" s="26"/>
      <c r="BO800" s="26"/>
      <c r="BP800" s="16" t="n">
        <v>45461</v>
      </c>
      <c r="BQ800" s="28" t="str">
        <f>HYPERLINK("https://organic.ams.usda.gov/Integrity/Certificate.aspx?cid=45&amp;nopid=9950013256")</f>
        <v>https://organic.ams.usda.gov/Integrity/Certificate.aspx?cid=45&amp;nopid=9950013256</v>
      </c>
    </row>
    <row r="801">
      <c r="A801" t="s">
        <v>3</v>
      </c>
      <c r="B801" s="6" t="s">
        <v>12</v>
      </c>
      <c r="C801" s="6" t="s">
        <v>59</v>
      </c>
      <c r="D801" s="6" t="s">
        <v>105</v>
      </c>
      <c r="E801" s="10" t="s">
        <v>942</v>
      </c>
      <c r="F801" s="6" t="s">
        <v>3671</v>
      </c>
      <c r="G801" s="6" t="s">
        <v>81</v>
      </c>
      <c r="H801" s="6" t="s">
        <v>6622</v>
      </c>
      <c r="I801" s="6" t="s">
        <v>8858</v>
      </c>
      <c r="J801" s="6" t="s">
        <v>9666</v>
      </c>
      <c r="K801" s="6" t="s">
        <v>10886</v>
      </c>
      <c r="L801" s="16" t="n">
        <v>42331</v>
      </c>
      <c r="M801" s="16" t="n">
        <v>45717</v>
      </c>
      <c r="N801" s="6" t="s">
        <v>10886</v>
      </c>
      <c r="O801" s="16" t="n">
        <v>42331</v>
      </c>
      <c r="P801" s="6" t="s">
        <v>11385</v>
      </c>
      <c r="Q801" s="6" t="s">
        <v>81</v>
      </c>
      <c r="R801" s="6" t="s">
        <v>81</v>
      </c>
      <c r="S801" s="6" t="s">
        <v>10886</v>
      </c>
      <c r="T801" s="16" t="n">
        <v>42331</v>
      </c>
      <c r="U801" s="6" t="s">
        <v>13171</v>
      </c>
      <c r="V801" s="6" t="s">
        <v>81</v>
      </c>
      <c r="W801" s="6" t="s">
        <v>81</v>
      </c>
      <c r="X801" s="6" t="s">
        <v>81</v>
      </c>
      <c r="Y801" s="21" t="s">
        <v>81</v>
      </c>
      <c r="Z801" s="6" t="s">
        <v>81</v>
      </c>
      <c r="AA801" s="6" t="s">
        <v>81</v>
      </c>
      <c r="AB801" s="6" t="s">
        <v>81</v>
      </c>
      <c r="AC801" s="6" t="s">
        <v>81</v>
      </c>
      <c r="AD801" s="21" t="s">
        <v>81</v>
      </c>
      <c r="AE801" s="6" t="s">
        <v>81</v>
      </c>
      <c r="AF801" s="6" t="s">
        <v>81</v>
      </c>
      <c r="AG801" s="6" t="s">
        <v>81</v>
      </c>
      <c r="AH801" s="6" t="s">
        <v>15385</v>
      </c>
      <c r="AI801" s="6" t="s">
        <v>81</v>
      </c>
      <c r="AJ801" s="6" t="s">
        <v>17758</v>
      </c>
      <c r="AK801" s="6" t="s">
        <v>18380</v>
      </c>
      <c r="AL801" s="6" t="s">
        <v>18444</v>
      </c>
      <c r="AM801" s="6" t="s">
        <v>18930</v>
      </c>
      <c r="AN801" s="6" t="s">
        <v>19681</v>
      </c>
      <c r="AO801" s="6" t="s">
        <v>19805</v>
      </c>
      <c r="AP801" s="6" t="s">
        <v>15385</v>
      </c>
      <c r="AQ801" s="6" t="s">
        <v>81</v>
      </c>
      <c r="AR801" s="6" t="s">
        <v>17758</v>
      </c>
      <c r="AS801" s="6" t="s">
        <v>18380</v>
      </c>
      <c r="AT801" s="6" t="s">
        <v>18444</v>
      </c>
      <c r="AU801" s="6" t="s">
        <v>18930</v>
      </c>
      <c r="AV801" s="6" t="s">
        <v>81</v>
      </c>
      <c r="AW801" s="6" t="s">
        <v>81</v>
      </c>
      <c r="AX801" s="6" t="s">
        <v>21248</v>
      </c>
      <c r="AY801" s="6" t="s">
        <v>81</v>
      </c>
      <c r="AZ801" s="6" t="s">
        <v>81</v>
      </c>
      <c r="BA801" s="6" t="s">
        <v>81</v>
      </c>
      <c r="BB801" s="24" t="n">
        <v>226</v>
      </c>
      <c r="BC801" s="26"/>
      <c r="BD801" s="26"/>
      <c r="BE801" s="26"/>
      <c r="BF801" s="26"/>
      <c r="BG801" s="26"/>
      <c r="BH801" s="26"/>
      <c r="BI801" s="26"/>
      <c r="BJ801" s="26"/>
      <c r="BK801" s="26"/>
      <c r="BL801" s="26"/>
      <c r="BM801" s="26"/>
      <c r="BN801" s="26"/>
      <c r="BO801" s="26"/>
      <c r="BP801" s="16" t="n">
        <v>45684</v>
      </c>
      <c r="BQ801" s="28" t="str">
        <f>HYPERLINK("https://organic.ams.usda.gov/Integrity/Certificate.aspx?cid=68&amp;nopid=8210002697")</f>
        <v>https://organic.ams.usda.gov/Integrity/Certificate.aspx?cid=68&amp;nopid=8210002697</v>
      </c>
    </row>
    <row r="802">
      <c r="A802" t="s">
        <v>3</v>
      </c>
      <c r="B802" s="6" t="s">
        <v>12</v>
      </c>
      <c r="C802" s="6" t="s">
        <v>59</v>
      </c>
      <c r="D802" s="6" t="s">
        <v>105</v>
      </c>
      <c r="E802" s="10" t="s">
        <v>943</v>
      </c>
      <c r="F802" s="6" t="s">
        <v>3672</v>
      </c>
      <c r="G802" s="6" t="s">
        <v>81</v>
      </c>
      <c r="H802" s="6" t="s">
        <v>6623</v>
      </c>
      <c r="I802" s="6" t="s">
        <v>8859</v>
      </c>
      <c r="J802" s="6" t="s">
        <v>9671</v>
      </c>
      <c r="K802" s="6" t="s">
        <v>10886</v>
      </c>
      <c r="L802" s="16" t="n">
        <v>40329</v>
      </c>
      <c r="M802" s="16" t="n">
        <v>45717</v>
      </c>
      <c r="N802" s="6" t="s">
        <v>10886</v>
      </c>
      <c r="O802" s="16" t="n">
        <v>40329</v>
      </c>
      <c r="P802" s="6" t="s">
        <v>11386</v>
      </c>
      <c r="Q802" s="6" t="s">
        <v>81</v>
      </c>
      <c r="R802" s="6" t="s">
        <v>81</v>
      </c>
      <c r="S802" s="6" t="s">
        <v>10886</v>
      </c>
      <c r="T802" s="16" t="n">
        <v>40329</v>
      </c>
      <c r="U802" s="6" t="s">
        <v>13262</v>
      </c>
      <c r="V802" s="6" t="s">
        <v>81</v>
      </c>
      <c r="W802" s="6" t="s">
        <v>81</v>
      </c>
      <c r="X802" s="6" t="s">
        <v>81</v>
      </c>
      <c r="Y802" s="21" t="s">
        <v>81</v>
      </c>
      <c r="Z802" s="6" t="s">
        <v>81</v>
      </c>
      <c r="AA802" s="6" t="s">
        <v>81</v>
      </c>
      <c r="AB802" s="6" t="s">
        <v>81</v>
      </c>
      <c r="AC802" s="6" t="s">
        <v>81</v>
      </c>
      <c r="AD802" s="21" t="s">
        <v>81</v>
      </c>
      <c r="AE802" s="6" t="s">
        <v>81</v>
      </c>
      <c r="AF802" s="6" t="s">
        <v>81</v>
      </c>
      <c r="AG802" s="6" t="s">
        <v>81</v>
      </c>
      <c r="AH802" s="6" t="s">
        <v>15386</v>
      </c>
      <c r="AI802" s="6" t="s">
        <v>81</v>
      </c>
      <c r="AJ802" s="6" t="s">
        <v>17425</v>
      </c>
      <c r="AK802" s="6" t="s">
        <v>18380</v>
      </c>
      <c r="AL802" s="6" t="s">
        <v>18444</v>
      </c>
      <c r="AM802" s="6" t="s">
        <v>18582</v>
      </c>
      <c r="AN802" s="6" t="s">
        <v>8233</v>
      </c>
      <c r="AO802" s="6" t="s">
        <v>19806</v>
      </c>
      <c r="AP802" s="6" t="s">
        <v>15386</v>
      </c>
      <c r="AQ802" s="6" t="s">
        <v>81</v>
      </c>
      <c r="AR802" s="6" t="s">
        <v>17425</v>
      </c>
      <c r="AS802" s="6" t="s">
        <v>18380</v>
      </c>
      <c r="AT802" s="6" t="s">
        <v>18444</v>
      </c>
      <c r="AU802" s="6" t="s">
        <v>18582</v>
      </c>
      <c r="AV802" s="6" t="s">
        <v>81</v>
      </c>
      <c r="AW802" s="6" t="s">
        <v>81</v>
      </c>
      <c r="AX802" s="6" t="s">
        <v>81</v>
      </c>
      <c r="AY802" s="6" t="s">
        <v>81</v>
      </c>
      <c r="AZ802" s="6" t="s">
        <v>81</v>
      </c>
      <c r="BA802" s="6" t="s">
        <v>81</v>
      </c>
      <c r="BB802" s="24" t="n">
        <v>98</v>
      </c>
      <c r="BC802" s="26"/>
      <c r="BD802" s="26"/>
      <c r="BE802" s="26"/>
      <c r="BF802" s="26"/>
      <c r="BG802" s="26"/>
      <c r="BH802" s="26"/>
      <c r="BI802" s="26"/>
      <c r="BJ802" s="26"/>
      <c r="BK802" s="26"/>
      <c r="BL802" s="26"/>
      <c r="BM802" s="26"/>
      <c r="BN802" s="26"/>
      <c r="BO802" s="26"/>
      <c r="BP802" s="16" t="n">
        <v>45690</v>
      </c>
      <c r="BQ802" s="28" t="str">
        <f>HYPERLINK("https://organic.ams.usda.gov/Integrity/Certificate.aspx?cid=68&amp;nopid=8210002696")</f>
        <v>https://organic.ams.usda.gov/Integrity/Certificate.aspx?cid=68&amp;nopid=8210002696</v>
      </c>
    </row>
    <row r="803">
      <c r="A803" t="s">
        <v>3</v>
      </c>
      <c r="B803" s="6" t="s">
        <v>10</v>
      </c>
      <c r="C803" s="6" t="s">
        <v>57</v>
      </c>
      <c r="D803" s="6" t="s">
        <v>103</v>
      </c>
      <c r="E803" s="10" t="s">
        <v>944</v>
      </c>
      <c r="F803" s="6" t="s">
        <v>3673</v>
      </c>
      <c r="G803" s="6" t="s">
        <v>81</v>
      </c>
      <c r="H803" s="6" t="s">
        <v>6624</v>
      </c>
      <c r="I803" s="6" t="s">
        <v>8858</v>
      </c>
      <c r="J803" s="6" t="s">
        <v>9672</v>
      </c>
      <c r="K803" s="6" t="s">
        <v>10886</v>
      </c>
      <c r="L803" s="16" t="n">
        <v>45627</v>
      </c>
      <c r="M803" s="16" t="n">
        <v>45748</v>
      </c>
      <c r="N803" s="6" t="s">
        <v>10886</v>
      </c>
      <c r="O803" s="16" t="n">
        <v>45627</v>
      </c>
      <c r="P803" s="6" t="s">
        <v>10925</v>
      </c>
      <c r="Q803" s="6" t="s">
        <v>81</v>
      </c>
      <c r="R803" s="6" t="s">
        <v>12647</v>
      </c>
      <c r="S803" s="6" t="s">
        <v>10886</v>
      </c>
      <c r="T803" s="16" t="n">
        <v>45627</v>
      </c>
      <c r="U803" s="6" t="s">
        <v>13163</v>
      </c>
      <c r="V803" s="6" t="s">
        <v>81</v>
      </c>
      <c r="W803" s="6" t="s">
        <v>81</v>
      </c>
      <c r="X803" s="6" t="s">
        <v>81</v>
      </c>
      <c r="Y803" s="21" t="s">
        <v>81</v>
      </c>
      <c r="Z803" s="6" t="s">
        <v>81</v>
      </c>
      <c r="AA803" s="6" t="s">
        <v>81</v>
      </c>
      <c r="AB803" s="6" t="s">
        <v>81</v>
      </c>
      <c r="AC803" s="6" t="s">
        <v>81</v>
      </c>
      <c r="AD803" s="21" t="s">
        <v>81</v>
      </c>
      <c r="AE803" s="6" t="s">
        <v>81</v>
      </c>
      <c r="AF803" s="6" t="s">
        <v>81</v>
      </c>
      <c r="AG803" s="6" t="s">
        <v>81</v>
      </c>
      <c r="AH803" s="6" t="s">
        <v>15387</v>
      </c>
      <c r="AI803" s="6" t="s">
        <v>81</v>
      </c>
      <c r="AJ803" s="6" t="s">
        <v>17583</v>
      </c>
      <c r="AK803" s="6" t="s">
        <v>18379</v>
      </c>
      <c r="AL803" s="6" t="s">
        <v>18444</v>
      </c>
      <c r="AM803" s="6" t="s">
        <v>18746</v>
      </c>
      <c r="AN803" s="6" t="s">
        <v>81</v>
      </c>
      <c r="AO803" s="6" t="s">
        <v>81</v>
      </c>
      <c r="AP803" s="6" t="s">
        <v>15387</v>
      </c>
      <c r="AQ803" s="6" t="s">
        <v>81</v>
      </c>
      <c r="AR803" s="6" t="s">
        <v>17583</v>
      </c>
      <c r="AS803" s="6" t="s">
        <v>18379</v>
      </c>
      <c r="AT803" s="6" t="s">
        <v>18444</v>
      </c>
      <c r="AU803" s="6" t="s">
        <v>18746</v>
      </c>
      <c r="AV803" s="6" t="s">
        <v>81</v>
      </c>
      <c r="AW803" s="6" t="s">
        <v>81</v>
      </c>
      <c r="AX803" s="6" t="s">
        <v>21249</v>
      </c>
      <c r="AY803" s="6" t="s">
        <v>81</v>
      </c>
      <c r="AZ803" s="6" t="s">
        <v>81</v>
      </c>
      <c r="BA803" s="6" t="s">
        <v>81</v>
      </c>
      <c r="BB803" s="24" t="n">
        <v>110</v>
      </c>
      <c r="BC803" s="26"/>
      <c r="BD803" s="26"/>
      <c r="BE803" s="26"/>
      <c r="BF803" s="26"/>
      <c r="BG803" s="26"/>
      <c r="BH803" s="26"/>
      <c r="BI803" s="26"/>
      <c r="BJ803" s="26"/>
      <c r="BK803" s="26"/>
      <c r="BL803" s="26"/>
      <c r="BM803" s="26"/>
      <c r="BN803" s="26"/>
      <c r="BO803" s="26"/>
      <c r="BP803" s="16" t="n">
        <v>45730</v>
      </c>
      <c r="BQ803" s="28" t="str">
        <f>HYPERLINK("https://organic.ams.usda.gov/Integrity/Certificate.aspx?cid=90&amp;nopid=7170240851")</f>
        <v>https://organic.ams.usda.gov/Integrity/Certificate.aspx?cid=90&amp;nopid=7170240851</v>
      </c>
    </row>
    <row r="804">
      <c r="A804" t="s">
        <v>3</v>
      </c>
      <c r="B804" s="6" t="s">
        <v>29</v>
      </c>
      <c r="C804" s="6" t="s">
        <v>76</v>
      </c>
      <c r="D804" s="6" t="s">
        <v>122</v>
      </c>
      <c r="E804" s="10" t="s">
        <v>945</v>
      </c>
      <c r="F804" s="6" t="s">
        <v>3674</v>
      </c>
      <c r="G804" s="6" t="s">
        <v>81</v>
      </c>
      <c r="H804" s="6" t="s">
        <v>6625</v>
      </c>
      <c r="I804" s="6" t="s">
        <v>8860</v>
      </c>
      <c r="J804" s="6" t="s">
        <v>10067</v>
      </c>
      <c r="K804" s="6" t="s">
        <v>10886</v>
      </c>
      <c r="L804" s="16" t="n">
        <v>38928</v>
      </c>
      <c r="M804" s="16" t="n">
        <v>45870</v>
      </c>
      <c r="N804" s="6" t="s">
        <v>10886</v>
      </c>
      <c r="O804" s="16" t="n">
        <v>38928</v>
      </c>
      <c r="P804" s="6" t="s">
        <v>11387</v>
      </c>
      <c r="Q804" s="6" t="s">
        <v>81</v>
      </c>
      <c r="R804" s="6" t="s">
        <v>12648</v>
      </c>
      <c r="S804" s="6" t="s">
        <v>10886</v>
      </c>
      <c r="T804" s="16" t="n">
        <v>38928</v>
      </c>
      <c r="U804" s="6" t="s">
        <v>13212</v>
      </c>
      <c r="V804" s="6" t="s">
        <v>81</v>
      </c>
      <c r="W804" s="6" t="s">
        <v>12648</v>
      </c>
      <c r="X804" s="6" t="s">
        <v>81</v>
      </c>
      <c r="Y804" s="21" t="s">
        <v>81</v>
      </c>
      <c r="Z804" s="6" t="s">
        <v>81</v>
      </c>
      <c r="AA804" s="6" t="s">
        <v>81</v>
      </c>
      <c r="AB804" s="6" t="s">
        <v>81</v>
      </c>
      <c r="AC804" s="6" t="s">
        <v>81</v>
      </c>
      <c r="AD804" s="21" t="s">
        <v>81</v>
      </c>
      <c r="AE804" s="6" t="s">
        <v>81</v>
      </c>
      <c r="AF804" s="6" t="s">
        <v>81</v>
      </c>
      <c r="AG804" s="6" t="s">
        <v>81</v>
      </c>
      <c r="AH804" s="6" t="s">
        <v>15388</v>
      </c>
      <c r="AI804" s="6" t="s">
        <v>81</v>
      </c>
      <c r="AJ804" s="6" t="s">
        <v>17311</v>
      </c>
      <c r="AK804" s="6" t="s">
        <v>17712</v>
      </c>
      <c r="AL804" s="6" t="s">
        <v>18444</v>
      </c>
      <c r="AM804" s="6" t="s">
        <v>18463</v>
      </c>
      <c r="AN804" s="6" t="s">
        <v>19634</v>
      </c>
      <c r="AO804" s="6" t="s">
        <v>19719</v>
      </c>
      <c r="AP804" s="6" t="s">
        <v>81</v>
      </c>
      <c r="AQ804" s="6" t="s">
        <v>81</v>
      </c>
      <c r="AR804" s="6" t="s">
        <v>81</v>
      </c>
      <c r="AS804" s="6" t="s">
        <v>81</v>
      </c>
      <c r="AT804" s="6" t="s">
        <v>81</v>
      </c>
      <c r="AU804" s="6" t="s">
        <v>81</v>
      </c>
      <c r="AV804" s="6" t="s">
        <v>81</v>
      </c>
      <c r="AW804" s="6" t="s">
        <v>81</v>
      </c>
      <c r="AX804" s="6" t="s">
        <v>21250</v>
      </c>
      <c r="AY804" s="6" t="s">
        <v>81</v>
      </c>
      <c r="AZ804" s="6" t="s">
        <v>81</v>
      </c>
      <c r="BA804" s="6" t="s">
        <v>81</v>
      </c>
      <c r="BB804" s="24" t="n">
        <v>104</v>
      </c>
      <c r="BC804" s="26"/>
      <c r="BD804" s="26"/>
      <c r="BE804" s="26"/>
      <c r="BF804" s="26" t="s">
        <v>23900</v>
      </c>
      <c r="BG804" s="26"/>
      <c r="BH804" s="26"/>
      <c r="BI804" s="26"/>
      <c r="BJ804" s="26"/>
      <c r="BK804" s="26"/>
      <c r="BL804" s="26"/>
      <c r="BM804" s="26"/>
      <c r="BN804" s="26"/>
      <c r="BO804" s="26"/>
      <c r="BP804" s="16" t="n">
        <v>45737</v>
      </c>
      <c r="BQ804" s="28" t="str">
        <f>HYPERLINK("https://organic.ams.usda.gov/Integrity/Certificate.aspx?cid=31&amp;nopid=3920897565")</f>
        <v>https://organic.ams.usda.gov/Integrity/Certificate.aspx?cid=31&amp;nopid=3920897565</v>
      </c>
    </row>
    <row r="805">
      <c r="A805" t="s">
        <v>3</v>
      </c>
      <c r="B805" s="6" t="s">
        <v>8</v>
      </c>
      <c r="C805" s="6" t="s">
        <v>55</v>
      </c>
      <c r="D805" s="6" t="s">
        <v>101</v>
      </c>
      <c r="E805" s="10" t="s">
        <v>946</v>
      </c>
      <c r="F805" s="6" t="s">
        <v>3675</v>
      </c>
      <c r="G805" s="6" t="s">
        <v>81</v>
      </c>
      <c r="H805" s="6" t="s">
        <v>6626</v>
      </c>
      <c r="I805" s="6" t="s">
        <v>8858</v>
      </c>
      <c r="J805" s="6" t="s">
        <v>9667</v>
      </c>
      <c r="K805" s="6" t="s">
        <v>10886</v>
      </c>
      <c r="L805" s="16" t="n">
        <v>41922</v>
      </c>
      <c r="M805" s="16" t="n">
        <v>45748</v>
      </c>
      <c r="N805" s="6" t="s">
        <v>10886</v>
      </c>
      <c r="O805" s="16" t="n">
        <v>41922</v>
      </c>
      <c r="P805" s="6" t="s">
        <v>11388</v>
      </c>
      <c r="Q805" s="6" t="s">
        <v>81</v>
      </c>
      <c r="R805" s="6" t="s">
        <v>6626</v>
      </c>
      <c r="S805" s="6" t="s">
        <v>10886</v>
      </c>
      <c r="T805" s="16" t="n">
        <v>41922</v>
      </c>
      <c r="U805" s="6" t="s">
        <v>13357</v>
      </c>
      <c r="V805" s="6" t="s">
        <v>81</v>
      </c>
      <c r="W805" s="6" t="s">
        <v>6626</v>
      </c>
      <c r="X805" s="6" t="s">
        <v>81</v>
      </c>
      <c r="Y805" s="21" t="s">
        <v>81</v>
      </c>
      <c r="Z805" s="6" t="s">
        <v>81</v>
      </c>
      <c r="AA805" s="6" t="s">
        <v>81</v>
      </c>
      <c r="AB805" s="6" t="s">
        <v>81</v>
      </c>
      <c r="AC805" s="6" t="s">
        <v>81</v>
      </c>
      <c r="AD805" s="21" t="s">
        <v>81</v>
      </c>
      <c r="AE805" s="6" t="s">
        <v>81</v>
      </c>
      <c r="AF805" s="6" t="s">
        <v>81</v>
      </c>
      <c r="AG805" s="6" t="s">
        <v>81</v>
      </c>
      <c r="AH805" s="6" t="s">
        <v>15389</v>
      </c>
      <c r="AI805" s="6" t="s">
        <v>81</v>
      </c>
      <c r="AJ805" s="6" t="s">
        <v>17337</v>
      </c>
      <c r="AK805" s="6" t="s">
        <v>18377</v>
      </c>
      <c r="AL805" s="6" t="s">
        <v>18444</v>
      </c>
      <c r="AM805" s="6" t="s">
        <v>18491</v>
      </c>
      <c r="AN805" s="6" t="s">
        <v>19643</v>
      </c>
      <c r="AO805" s="6" t="s">
        <v>19730</v>
      </c>
      <c r="AP805" s="6" t="s">
        <v>81</v>
      </c>
      <c r="AQ805" s="6" t="s">
        <v>81</v>
      </c>
      <c r="AR805" s="6" t="s">
        <v>81</v>
      </c>
      <c r="AS805" s="6" t="s">
        <v>81</v>
      </c>
      <c r="AT805" s="6" t="s">
        <v>81</v>
      </c>
      <c r="AU805" s="6" t="s">
        <v>81</v>
      </c>
      <c r="AV805" s="6" t="s">
        <v>81</v>
      </c>
      <c r="AW805" s="6" t="s">
        <v>81</v>
      </c>
      <c r="AX805" s="6" t="s">
        <v>81</v>
      </c>
      <c r="AY805" s="6" t="s">
        <v>81</v>
      </c>
      <c r="AZ805" s="6" t="s">
        <v>81</v>
      </c>
      <c r="BA805" s="6" t="s">
        <v>23819</v>
      </c>
      <c r="BB805" s="24" t="n">
        <v>90</v>
      </c>
      <c r="BC805" s="26"/>
      <c r="BD805" s="26"/>
      <c r="BE805" s="26"/>
      <c r="BF805" s="26" t="s">
        <v>23900</v>
      </c>
      <c r="BG805" s="26"/>
      <c r="BH805" s="26"/>
      <c r="BI805" s="26"/>
      <c r="BJ805" s="26"/>
      <c r="BK805" s="26"/>
      <c r="BL805" s="26"/>
      <c r="BM805" s="26"/>
      <c r="BN805" s="26"/>
      <c r="BO805" s="26"/>
      <c r="BP805" s="16" t="n">
        <v>45635</v>
      </c>
      <c r="BQ805" s="28" t="str">
        <f>HYPERLINK("https://organic.ams.usda.gov/Integrity/Certificate.aspx?cid=45&amp;nopid=9950007675")</f>
        <v>https://organic.ams.usda.gov/Integrity/Certificate.aspx?cid=45&amp;nopid=9950007675</v>
      </c>
    </row>
    <row r="806">
      <c r="A806" t="s">
        <v>3</v>
      </c>
      <c r="B806" s="6" t="s">
        <v>21</v>
      </c>
      <c r="C806" s="6" t="s">
        <v>68</v>
      </c>
      <c r="D806" s="6" t="s">
        <v>114</v>
      </c>
      <c r="E806" s="10" t="s">
        <v>947</v>
      </c>
      <c r="F806" s="6" t="s">
        <v>3676</v>
      </c>
      <c r="G806" s="6" t="s">
        <v>81</v>
      </c>
      <c r="H806" s="6" t="s">
        <v>6627</v>
      </c>
      <c r="I806" s="6" t="s">
        <v>8861</v>
      </c>
      <c r="J806" s="6" t="s">
        <v>10068</v>
      </c>
      <c r="K806" s="6" t="s">
        <v>10886</v>
      </c>
      <c r="L806" s="16" t="n">
        <v>37375</v>
      </c>
      <c r="M806" s="16" t="n">
        <v>46113</v>
      </c>
      <c r="N806" s="6" t="s">
        <v>81</v>
      </c>
      <c r="O806" s="21" t="s">
        <v>81</v>
      </c>
      <c r="P806" s="6" t="s">
        <v>81</v>
      </c>
      <c r="Q806" s="6" t="s">
        <v>81</v>
      </c>
      <c r="R806" s="6" t="s">
        <v>81</v>
      </c>
      <c r="S806" s="6" t="s">
        <v>81</v>
      </c>
      <c r="T806" s="21" t="s">
        <v>81</v>
      </c>
      <c r="U806" s="6" t="s">
        <v>81</v>
      </c>
      <c r="V806" s="6" t="s">
        <v>81</v>
      </c>
      <c r="W806" s="6" t="s">
        <v>81</v>
      </c>
      <c r="X806" s="6" t="s">
        <v>81</v>
      </c>
      <c r="Y806" s="21" t="s">
        <v>81</v>
      </c>
      <c r="Z806" s="6" t="s">
        <v>81</v>
      </c>
      <c r="AA806" s="6" t="s">
        <v>81</v>
      </c>
      <c r="AB806" s="6" t="s">
        <v>81</v>
      </c>
      <c r="AC806" s="6" t="s">
        <v>10886</v>
      </c>
      <c r="AD806" s="16" t="n">
        <v>37375</v>
      </c>
      <c r="AE806" s="6" t="s">
        <v>14159</v>
      </c>
      <c r="AF806" s="6" t="s">
        <v>81</v>
      </c>
      <c r="AG806" s="6" t="s">
        <v>81</v>
      </c>
      <c r="AH806" s="6" t="s">
        <v>81</v>
      </c>
      <c r="AI806" s="6" t="s">
        <v>81</v>
      </c>
      <c r="AJ806" s="6" t="s">
        <v>81</v>
      </c>
      <c r="AK806" s="6" t="s">
        <v>81</v>
      </c>
      <c r="AL806" s="6" t="s">
        <v>81</v>
      </c>
      <c r="AM806" s="6" t="s">
        <v>81</v>
      </c>
      <c r="AN806" s="6" t="s">
        <v>81</v>
      </c>
      <c r="AO806" s="6" t="s">
        <v>81</v>
      </c>
      <c r="AP806" s="6" t="s">
        <v>20201</v>
      </c>
      <c r="AQ806" s="6" t="s">
        <v>81</v>
      </c>
      <c r="AR806" s="6" t="s">
        <v>20521</v>
      </c>
      <c r="AS806" s="6" t="s">
        <v>18409</v>
      </c>
      <c r="AT806" s="6" t="s">
        <v>18444</v>
      </c>
      <c r="AU806" s="6" t="s">
        <v>20636</v>
      </c>
      <c r="AV806" s="6" t="s">
        <v>19651</v>
      </c>
      <c r="AW806" s="6" t="s">
        <v>20729</v>
      </c>
      <c r="AX806" s="6" t="s">
        <v>21251</v>
      </c>
      <c r="AY806" s="6" t="s">
        <v>22844</v>
      </c>
      <c r="AZ806" s="6" t="s">
        <v>23645</v>
      </c>
      <c r="BA806" s="6" t="s">
        <v>81</v>
      </c>
      <c r="BB806" s="6" t="s">
        <v>81</v>
      </c>
      <c r="BC806" s="26" t="s">
        <v>23900</v>
      </c>
      <c r="BD806" s="26"/>
      <c r="BE806" s="26" t="s">
        <v>23900</v>
      </c>
      <c r="BF806" s="26"/>
      <c r="BG806" s="26" t="s">
        <v>23900</v>
      </c>
      <c r="BH806" s="26"/>
      <c r="BI806" s="26"/>
      <c r="BJ806" s="26"/>
      <c r="BK806" s="26"/>
      <c r="BL806" s="26"/>
      <c r="BM806" s="26"/>
      <c r="BN806" s="26"/>
      <c r="BO806" s="26"/>
      <c r="BP806" s="16" t="n">
        <v>45720</v>
      </c>
      <c r="BQ806" s="28" t="str">
        <f>HYPERLINK("https://organic.ams.usda.gov/Integrity/Certificate.aspx?cid=62&amp;nopid=8150000920")</f>
        <v>https://organic.ams.usda.gov/Integrity/Certificate.aspx?cid=62&amp;nopid=8150000920</v>
      </c>
    </row>
    <row r="807">
      <c r="A807" t="s">
        <v>3</v>
      </c>
      <c r="B807" s="6" t="s">
        <v>30</v>
      </c>
      <c r="C807" s="6" t="s">
        <v>77</v>
      </c>
      <c r="D807" s="6" t="s">
        <v>123</v>
      </c>
      <c r="E807" s="10" t="s">
        <v>948</v>
      </c>
      <c r="F807" s="6" t="s">
        <v>3677</v>
      </c>
      <c r="G807" s="6" t="s">
        <v>81</v>
      </c>
      <c r="H807" s="6" t="s">
        <v>6628</v>
      </c>
      <c r="I807" s="6" t="s">
        <v>8862</v>
      </c>
      <c r="J807" s="6" t="s">
        <v>10069</v>
      </c>
      <c r="K807" s="6" t="s">
        <v>10886</v>
      </c>
      <c r="L807" s="16" t="n">
        <v>38931</v>
      </c>
      <c r="M807" s="16" t="n">
        <v>45747</v>
      </c>
      <c r="N807" s="6" t="s">
        <v>10886</v>
      </c>
      <c r="O807" s="16" t="n">
        <v>38931</v>
      </c>
      <c r="P807" s="6" t="s">
        <v>11239</v>
      </c>
      <c r="Q807" s="6" t="s">
        <v>81</v>
      </c>
      <c r="R807" s="6" t="s">
        <v>12649</v>
      </c>
      <c r="S807" s="6" t="s">
        <v>10886</v>
      </c>
      <c r="T807" s="16" t="n">
        <v>38931</v>
      </c>
      <c r="U807" s="6" t="s">
        <v>13218</v>
      </c>
      <c r="V807" s="6" t="s">
        <v>81</v>
      </c>
      <c r="W807" s="6" t="s">
        <v>6628</v>
      </c>
      <c r="X807" s="6" t="s">
        <v>81</v>
      </c>
      <c r="Y807" s="21" t="s">
        <v>81</v>
      </c>
      <c r="Z807" s="6" t="s">
        <v>81</v>
      </c>
      <c r="AA807" s="6" t="s">
        <v>81</v>
      </c>
      <c r="AB807" s="6" t="s">
        <v>81</v>
      </c>
      <c r="AC807" s="6" t="s">
        <v>10893</v>
      </c>
      <c r="AD807" s="16" t="n">
        <v>45167</v>
      </c>
      <c r="AE807" s="6" t="s">
        <v>81</v>
      </c>
      <c r="AF807" s="6" t="s">
        <v>81</v>
      </c>
      <c r="AG807" s="6" t="s">
        <v>81</v>
      </c>
      <c r="AH807" s="6" t="s">
        <v>15390</v>
      </c>
      <c r="AI807" s="6" t="s">
        <v>81</v>
      </c>
      <c r="AJ807" s="6" t="s">
        <v>17759</v>
      </c>
      <c r="AK807" s="6" t="s">
        <v>17712</v>
      </c>
      <c r="AL807" s="6" t="s">
        <v>18444</v>
      </c>
      <c r="AM807" s="6" t="s">
        <v>18931</v>
      </c>
      <c r="AN807" s="6" t="s">
        <v>19645</v>
      </c>
      <c r="AO807" s="6" t="s">
        <v>19770</v>
      </c>
      <c r="AP807" s="6" t="s">
        <v>15390</v>
      </c>
      <c r="AQ807" s="6" t="s">
        <v>81</v>
      </c>
      <c r="AR807" s="6" t="s">
        <v>17759</v>
      </c>
      <c r="AS807" s="6" t="s">
        <v>17712</v>
      </c>
      <c r="AT807" s="6" t="s">
        <v>18444</v>
      </c>
      <c r="AU807" s="6" t="s">
        <v>18931</v>
      </c>
      <c r="AV807" s="6" t="s">
        <v>81</v>
      </c>
      <c r="AW807" s="6" t="s">
        <v>81</v>
      </c>
      <c r="AX807" s="6" t="s">
        <v>21252</v>
      </c>
      <c r="AY807" s="6" t="s">
        <v>22845</v>
      </c>
      <c r="AZ807" s="6" t="s">
        <v>81</v>
      </c>
      <c r="BA807" s="6" t="s">
        <v>81</v>
      </c>
      <c r="BB807" s="24" t="n">
        <v>125</v>
      </c>
      <c r="BC807" s="26"/>
      <c r="BD807" s="26"/>
      <c r="BE807" s="26"/>
      <c r="BF807" s="26"/>
      <c r="BG807" s="26"/>
      <c r="BH807" s="26"/>
      <c r="BI807" s="26"/>
      <c r="BJ807" s="26"/>
      <c r="BK807" s="26"/>
      <c r="BL807" s="26"/>
      <c r="BM807" s="26"/>
      <c r="BN807" s="26"/>
      <c r="BO807" s="26"/>
      <c r="BP807" s="16" t="n">
        <v>45551</v>
      </c>
      <c r="BQ807" s="28" t="str">
        <f>HYPERLINK("https://organic.ams.usda.gov/Integrity/Certificate.aspx?cid=70&amp;nopid=6430612910")</f>
        <v>https://organic.ams.usda.gov/Integrity/Certificate.aspx?cid=70&amp;nopid=6430612910</v>
      </c>
    </row>
    <row r="808">
      <c r="A808" t="s">
        <v>3</v>
      </c>
      <c r="B808" s="6" t="s">
        <v>12</v>
      </c>
      <c r="C808" s="6" t="s">
        <v>59</v>
      </c>
      <c r="D808" s="6" t="s">
        <v>105</v>
      </c>
      <c r="E808" s="10" t="s">
        <v>949</v>
      </c>
      <c r="F808" s="6" t="s">
        <v>3678</v>
      </c>
      <c r="G808" s="6" t="s">
        <v>81</v>
      </c>
      <c r="H808" s="6" t="s">
        <v>6629</v>
      </c>
      <c r="I808" s="6" t="s">
        <v>8452</v>
      </c>
      <c r="J808" s="6" t="s">
        <v>10070</v>
      </c>
      <c r="K808" s="6" t="s">
        <v>10886</v>
      </c>
      <c r="L808" s="16" t="n">
        <v>44379</v>
      </c>
      <c r="M808" s="16" t="n">
        <v>45717</v>
      </c>
      <c r="N808" s="6" t="s">
        <v>10886</v>
      </c>
      <c r="O808" s="16" t="n">
        <v>44379</v>
      </c>
      <c r="P808" s="6" t="s">
        <v>10925</v>
      </c>
      <c r="Q808" s="6" t="s">
        <v>81</v>
      </c>
      <c r="R808" s="6" t="s">
        <v>81</v>
      </c>
      <c r="S808" s="6" t="s">
        <v>10886</v>
      </c>
      <c r="T808" s="16" t="n">
        <v>44379</v>
      </c>
      <c r="U808" s="6" t="s">
        <v>13262</v>
      </c>
      <c r="V808" s="6" t="s">
        <v>81</v>
      </c>
      <c r="W808" s="6" t="s">
        <v>81</v>
      </c>
      <c r="X808" s="6" t="s">
        <v>81</v>
      </c>
      <c r="Y808" s="21" t="s">
        <v>81</v>
      </c>
      <c r="Z808" s="6" t="s">
        <v>81</v>
      </c>
      <c r="AA808" s="6" t="s">
        <v>81</v>
      </c>
      <c r="AB808" s="6" t="s">
        <v>81</v>
      </c>
      <c r="AC808" s="6" t="s">
        <v>81</v>
      </c>
      <c r="AD808" s="21" t="s">
        <v>81</v>
      </c>
      <c r="AE808" s="6" t="s">
        <v>81</v>
      </c>
      <c r="AF808" s="6" t="s">
        <v>81</v>
      </c>
      <c r="AG808" s="6" t="s">
        <v>81</v>
      </c>
      <c r="AH808" s="6" t="s">
        <v>15391</v>
      </c>
      <c r="AI808" s="6" t="s">
        <v>81</v>
      </c>
      <c r="AJ808" s="6" t="s">
        <v>17760</v>
      </c>
      <c r="AK808" s="6" t="s">
        <v>17712</v>
      </c>
      <c r="AL808" s="6" t="s">
        <v>18444</v>
      </c>
      <c r="AM808" s="6" t="s">
        <v>18932</v>
      </c>
      <c r="AN808" s="6" t="s">
        <v>19651</v>
      </c>
      <c r="AO808" s="6" t="s">
        <v>19741</v>
      </c>
      <c r="AP808" s="6" t="s">
        <v>20202</v>
      </c>
      <c r="AQ808" s="6" t="s">
        <v>81</v>
      </c>
      <c r="AR808" s="6" t="s">
        <v>17760</v>
      </c>
      <c r="AS808" s="6" t="s">
        <v>17712</v>
      </c>
      <c r="AT808" s="6" t="s">
        <v>18444</v>
      </c>
      <c r="AU808" s="6" t="s">
        <v>18932</v>
      </c>
      <c r="AV808" s="6" t="s">
        <v>81</v>
      </c>
      <c r="AW808" s="6" t="s">
        <v>81</v>
      </c>
      <c r="AX808" s="6" t="s">
        <v>21253</v>
      </c>
      <c r="AY808" s="6" t="s">
        <v>81</v>
      </c>
      <c r="AZ808" s="6" t="s">
        <v>81</v>
      </c>
      <c r="BA808" s="6" t="s">
        <v>81</v>
      </c>
      <c r="BB808" s="24" t="n">
        <v>523</v>
      </c>
      <c r="BC808" s="26"/>
      <c r="BD808" s="26"/>
      <c r="BE808" s="26"/>
      <c r="BF808" s="26"/>
      <c r="BG808" s="26"/>
      <c r="BH808" s="26"/>
      <c r="BI808" s="26"/>
      <c r="BJ808" s="26"/>
      <c r="BK808" s="26"/>
      <c r="BL808" s="26"/>
      <c r="BM808" s="26"/>
      <c r="BN808" s="26"/>
      <c r="BO808" s="26"/>
      <c r="BP808" s="16" t="n">
        <v>45687</v>
      </c>
      <c r="BQ808" s="28" t="str">
        <f>HYPERLINK("https://organic.ams.usda.gov/Integrity/Certificate.aspx?cid=68&amp;nopid=8210007451")</f>
        <v>https://organic.ams.usda.gov/Integrity/Certificate.aspx?cid=68&amp;nopid=8210007451</v>
      </c>
    </row>
    <row r="809">
      <c r="A809" t="s">
        <v>3</v>
      </c>
      <c r="B809" s="6" t="s">
        <v>12</v>
      </c>
      <c r="C809" s="6" t="s">
        <v>59</v>
      </c>
      <c r="D809" s="6" t="s">
        <v>105</v>
      </c>
      <c r="E809" s="10" t="s">
        <v>950</v>
      </c>
      <c r="F809" s="6" t="s">
        <v>3679</v>
      </c>
      <c r="G809" s="6" t="s">
        <v>81</v>
      </c>
      <c r="H809" s="6" t="s">
        <v>6630</v>
      </c>
      <c r="I809" s="6" t="s">
        <v>8452</v>
      </c>
      <c r="J809" s="6" t="s">
        <v>9233</v>
      </c>
      <c r="K809" s="6" t="s">
        <v>10886</v>
      </c>
      <c r="L809" s="16" t="n">
        <v>42270</v>
      </c>
      <c r="M809" s="16" t="n">
        <v>45717</v>
      </c>
      <c r="N809" s="6" t="s">
        <v>10886</v>
      </c>
      <c r="O809" s="16" t="n">
        <v>42270</v>
      </c>
      <c r="P809" s="6" t="s">
        <v>11389</v>
      </c>
      <c r="Q809" s="6" t="s">
        <v>81</v>
      </c>
      <c r="R809" s="6" t="s">
        <v>81</v>
      </c>
      <c r="S809" s="6" t="s">
        <v>10886</v>
      </c>
      <c r="T809" s="16" t="n">
        <v>42270</v>
      </c>
      <c r="U809" s="6" t="s">
        <v>13166</v>
      </c>
      <c r="V809" s="6" t="s">
        <v>81</v>
      </c>
      <c r="W809" s="6" t="s">
        <v>81</v>
      </c>
      <c r="X809" s="6" t="s">
        <v>81</v>
      </c>
      <c r="Y809" s="21" t="s">
        <v>81</v>
      </c>
      <c r="Z809" s="6" t="s">
        <v>81</v>
      </c>
      <c r="AA809" s="6" t="s">
        <v>81</v>
      </c>
      <c r="AB809" s="6" t="s">
        <v>81</v>
      </c>
      <c r="AC809" s="6" t="s">
        <v>81</v>
      </c>
      <c r="AD809" s="21" t="s">
        <v>81</v>
      </c>
      <c r="AE809" s="6" t="s">
        <v>81</v>
      </c>
      <c r="AF809" s="6" t="s">
        <v>81</v>
      </c>
      <c r="AG809" s="6" t="s">
        <v>81</v>
      </c>
      <c r="AH809" s="6" t="s">
        <v>15392</v>
      </c>
      <c r="AI809" s="6" t="s">
        <v>81</v>
      </c>
      <c r="AJ809" s="6" t="s">
        <v>17311</v>
      </c>
      <c r="AK809" s="6" t="s">
        <v>17712</v>
      </c>
      <c r="AL809" s="6" t="s">
        <v>18444</v>
      </c>
      <c r="AM809" s="6" t="s">
        <v>18463</v>
      </c>
      <c r="AN809" s="6" t="s">
        <v>19634</v>
      </c>
      <c r="AO809" s="6" t="s">
        <v>19719</v>
      </c>
      <c r="AP809" s="6" t="s">
        <v>15392</v>
      </c>
      <c r="AQ809" s="6" t="s">
        <v>81</v>
      </c>
      <c r="AR809" s="6" t="s">
        <v>17311</v>
      </c>
      <c r="AS809" s="6" t="s">
        <v>17712</v>
      </c>
      <c r="AT809" s="6" t="s">
        <v>18444</v>
      </c>
      <c r="AU809" s="6" t="s">
        <v>18463</v>
      </c>
      <c r="AV809" s="6" t="s">
        <v>81</v>
      </c>
      <c r="AW809" s="6" t="s">
        <v>81</v>
      </c>
      <c r="AX809" s="6" t="s">
        <v>21254</v>
      </c>
      <c r="AY809" s="6" t="s">
        <v>81</v>
      </c>
      <c r="AZ809" s="6" t="s">
        <v>81</v>
      </c>
      <c r="BA809" s="6" t="s">
        <v>81</v>
      </c>
      <c r="BB809" s="24" t="n">
        <v>171</v>
      </c>
      <c r="BC809" s="26"/>
      <c r="BD809" s="26"/>
      <c r="BE809" s="26"/>
      <c r="BF809" s="26"/>
      <c r="BG809" s="26"/>
      <c r="BH809" s="26"/>
      <c r="BI809" s="26"/>
      <c r="BJ809" s="26"/>
      <c r="BK809" s="26"/>
      <c r="BL809" s="26"/>
      <c r="BM809" s="26"/>
      <c r="BN809" s="26"/>
      <c r="BO809" s="26"/>
      <c r="BP809" s="16" t="n">
        <v>45684</v>
      </c>
      <c r="BQ809" s="28" t="str">
        <f>HYPERLINK("https://organic.ams.usda.gov/Integrity/Certificate.aspx?cid=68&amp;nopid=8210002701")</f>
        <v>https://organic.ams.usda.gov/Integrity/Certificate.aspx?cid=68&amp;nopid=8210002701</v>
      </c>
    </row>
    <row r="810">
      <c r="A810" t="s">
        <v>3</v>
      </c>
      <c r="B810" s="6" t="s">
        <v>15</v>
      </c>
      <c r="C810" s="6" t="s">
        <v>62</v>
      </c>
      <c r="D810" s="6" t="s">
        <v>108</v>
      </c>
      <c r="E810" s="10" t="s">
        <v>951</v>
      </c>
      <c r="F810" s="6" t="s">
        <v>3680</v>
      </c>
      <c r="G810" s="6" t="s">
        <v>5668</v>
      </c>
      <c r="H810" s="6" t="s">
        <v>6631</v>
      </c>
      <c r="I810" s="6" t="s">
        <v>8863</v>
      </c>
      <c r="J810" s="6" t="s">
        <v>9233</v>
      </c>
      <c r="K810" s="6" t="s">
        <v>10886</v>
      </c>
      <c r="L810" s="16" t="n">
        <v>42529</v>
      </c>
      <c r="M810" s="16" t="n">
        <v>46157</v>
      </c>
      <c r="N810" s="6" t="s">
        <v>10886</v>
      </c>
      <c r="O810" s="16" t="n">
        <v>42529</v>
      </c>
      <c r="P810" s="6" t="s">
        <v>11390</v>
      </c>
      <c r="Q810" s="6" t="s">
        <v>81</v>
      </c>
      <c r="R810" s="6" t="s">
        <v>81</v>
      </c>
      <c r="S810" s="6" t="s">
        <v>10886</v>
      </c>
      <c r="T810" s="16" t="n">
        <v>42529</v>
      </c>
      <c r="U810" s="6" t="s">
        <v>13460</v>
      </c>
      <c r="V810" s="6" t="s">
        <v>81</v>
      </c>
      <c r="W810" s="6" t="s">
        <v>81</v>
      </c>
      <c r="X810" s="6" t="s">
        <v>81</v>
      </c>
      <c r="Y810" s="21" t="s">
        <v>81</v>
      </c>
      <c r="Z810" s="6" t="s">
        <v>81</v>
      </c>
      <c r="AA810" s="6" t="s">
        <v>81</v>
      </c>
      <c r="AB810" s="6" t="s">
        <v>81</v>
      </c>
      <c r="AC810" s="6" t="s">
        <v>81</v>
      </c>
      <c r="AD810" s="21" t="s">
        <v>81</v>
      </c>
      <c r="AE810" s="6" t="s">
        <v>81</v>
      </c>
      <c r="AF810" s="6" t="s">
        <v>81</v>
      </c>
      <c r="AG810" s="6" t="s">
        <v>81</v>
      </c>
      <c r="AH810" s="6" t="s">
        <v>15393</v>
      </c>
      <c r="AI810" s="6" t="s">
        <v>81</v>
      </c>
      <c r="AJ810" s="6" t="s">
        <v>17383</v>
      </c>
      <c r="AK810" s="6" t="s">
        <v>18378</v>
      </c>
      <c r="AL810" s="6" t="s">
        <v>18444</v>
      </c>
      <c r="AM810" s="6" t="s">
        <v>18933</v>
      </c>
      <c r="AN810" s="6" t="s">
        <v>6505</v>
      </c>
      <c r="AO810" s="6" t="s">
        <v>19922</v>
      </c>
      <c r="AP810" s="6" t="s">
        <v>15393</v>
      </c>
      <c r="AQ810" s="6" t="s">
        <v>81</v>
      </c>
      <c r="AR810" s="6" t="s">
        <v>17383</v>
      </c>
      <c r="AS810" s="6" t="s">
        <v>18378</v>
      </c>
      <c r="AT810" s="6" t="s">
        <v>18444</v>
      </c>
      <c r="AU810" s="6" t="s">
        <v>18933</v>
      </c>
      <c r="AV810" s="6" t="s">
        <v>81</v>
      </c>
      <c r="AW810" s="6" t="s">
        <v>81</v>
      </c>
      <c r="AX810" s="6" t="s">
        <v>21255</v>
      </c>
      <c r="AY810" s="6" t="s">
        <v>81</v>
      </c>
      <c r="AZ810" s="6" t="s">
        <v>81</v>
      </c>
      <c r="BA810" s="6" t="s">
        <v>81</v>
      </c>
      <c r="BB810" s="24" t="n">
        <v>276</v>
      </c>
      <c r="BC810" s="26"/>
      <c r="BD810" s="26"/>
      <c r="BE810" s="26"/>
      <c r="BF810" s="26" t="s">
        <v>23900</v>
      </c>
      <c r="BG810" s="26"/>
      <c r="BH810" s="26"/>
      <c r="BI810" s="26"/>
      <c r="BJ810" s="26"/>
      <c r="BK810" s="26"/>
      <c r="BL810" s="26"/>
      <c r="BM810" s="26"/>
      <c r="BN810" s="26"/>
      <c r="BO810" s="26"/>
      <c r="BP810" s="16" t="n">
        <v>45737</v>
      </c>
      <c r="BQ810" s="28" t="str">
        <f>HYPERLINK("https://organic.ams.usda.gov/Integrity/Certificate.aspx?cid=58&amp;nopid=1600002583")</f>
        <v>https://organic.ams.usda.gov/Integrity/Certificate.aspx?cid=58&amp;nopid=1600002583</v>
      </c>
    </row>
    <row r="811">
      <c r="A811" t="s">
        <v>3</v>
      </c>
      <c r="B811" s="6" t="s">
        <v>15</v>
      </c>
      <c r="C811" s="6" t="s">
        <v>62</v>
      </c>
      <c r="D811" s="6" t="s">
        <v>108</v>
      </c>
      <c r="E811" s="10" t="s">
        <v>952</v>
      </c>
      <c r="F811" s="6" t="s">
        <v>3681</v>
      </c>
      <c r="G811" s="6" t="s">
        <v>5669</v>
      </c>
      <c r="H811" s="6" t="s">
        <v>6632</v>
      </c>
      <c r="I811" s="6" t="s">
        <v>8863</v>
      </c>
      <c r="J811" s="6" t="s">
        <v>9233</v>
      </c>
      <c r="K811" s="6" t="s">
        <v>10886</v>
      </c>
      <c r="L811" s="16" t="n">
        <v>37550</v>
      </c>
      <c r="M811" s="16" t="n">
        <v>45792</v>
      </c>
      <c r="N811" s="6" t="s">
        <v>10886</v>
      </c>
      <c r="O811" s="16" t="n">
        <v>37550</v>
      </c>
      <c r="P811" s="6" t="s">
        <v>11332</v>
      </c>
      <c r="Q811" s="6" t="s">
        <v>81</v>
      </c>
      <c r="R811" s="6" t="s">
        <v>81</v>
      </c>
      <c r="S811" s="6" t="s">
        <v>10886</v>
      </c>
      <c r="T811" s="16" t="n">
        <v>37550</v>
      </c>
      <c r="U811" s="6" t="s">
        <v>13461</v>
      </c>
      <c r="V811" s="6" t="s">
        <v>81</v>
      </c>
      <c r="W811" s="6" t="s">
        <v>81</v>
      </c>
      <c r="X811" s="6" t="s">
        <v>81</v>
      </c>
      <c r="Y811" s="21" t="s">
        <v>81</v>
      </c>
      <c r="Z811" s="6" t="s">
        <v>81</v>
      </c>
      <c r="AA811" s="6" t="s">
        <v>81</v>
      </c>
      <c r="AB811" s="6" t="s">
        <v>81</v>
      </c>
      <c r="AC811" s="6" t="s">
        <v>81</v>
      </c>
      <c r="AD811" s="21" t="s">
        <v>81</v>
      </c>
      <c r="AE811" s="6" t="s">
        <v>81</v>
      </c>
      <c r="AF811" s="6" t="s">
        <v>81</v>
      </c>
      <c r="AG811" s="6" t="s">
        <v>81</v>
      </c>
      <c r="AH811" s="6" t="s">
        <v>15394</v>
      </c>
      <c r="AI811" s="6" t="s">
        <v>81</v>
      </c>
      <c r="AJ811" s="6" t="s">
        <v>17403</v>
      </c>
      <c r="AK811" s="6" t="s">
        <v>18378</v>
      </c>
      <c r="AL811" s="6" t="s">
        <v>18444</v>
      </c>
      <c r="AM811" s="6" t="s">
        <v>18559</v>
      </c>
      <c r="AN811" s="6" t="s">
        <v>6817</v>
      </c>
      <c r="AO811" s="6" t="s">
        <v>19849</v>
      </c>
      <c r="AP811" s="6" t="s">
        <v>15394</v>
      </c>
      <c r="AQ811" s="6" t="s">
        <v>81</v>
      </c>
      <c r="AR811" s="6" t="s">
        <v>17403</v>
      </c>
      <c r="AS811" s="6" t="s">
        <v>18378</v>
      </c>
      <c r="AT811" s="6" t="s">
        <v>18444</v>
      </c>
      <c r="AU811" s="6" t="s">
        <v>18559</v>
      </c>
      <c r="AV811" s="6" t="s">
        <v>81</v>
      </c>
      <c r="AW811" s="6" t="s">
        <v>81</v>
      </c>
      <c r="AX811" s="6" t="s">
        <v>21256</v>
      </c>
      <c r="AY811" s="6" t="s">
        <v>81</v>
      </c>
      <c r="AZ811" s="6" t="s">
        <v>81</v>
      </c>
      <c r="BA811" s="6" t="s">
        <v>81</v>
      </c>
      <c r="BB811" s="24" t="n">
        <v>159</v>
      </c>
      <c r="BC811" s="26"/>
      <c r="BD811" s="26"/>
      <c r="BE811" s="26"/>
      <c r="BF811" s="26" t="s">
        <v>23900</v>
      </c>
      <c r="BG811" s="26"/>
      <c r="BH811" s="26"/>
      <c r="BI811" s="26"/>
      <c r="BJ811" s="26"/>
      <c r="BK811" s="26"/>
      <c r="BL811" s="26"/>
      <c r="BM811" s="26"/>
      <c r="BN811" s="26"/>
      <c r="BO811" s="26"/>
      <c r="BP811" s="16" t="n">
        <v>45737</v>
      </c>
      <c r="BQ811" s="28" t="str">
        <f>HYPERLINK("https://organic.ams.usda.gov/Integrity/Certificate.aspx?cid=58&amp;nopid=1600002050")</f>
        <v>https://organic.ams.usda.gov/Integrity/Certificate.aspx?cid=58&amp;nopid=1600002050</v>
      </c>
    </row>
    <row r="812">
      <c r="A812" t="s">
        <v>3</v>
      </c>
      <c r="B812" s="6" t="s">
        <v>10</v>
      </c>
      <c r="C812" s="6" t="s">
        <v>57</v>
      </c>
      <c r="D812" s="6" t="s">
        <v>103</v>
      </c>
      <c r="E812" s="10" t="s">
        <v>953</v>
      </c>
      <c r="F812" s="6" t="s">
        <v>3682</v>
      </c>
      <c r="G812" s="6" t="s">
        <v>81</v>
      </c>
      <c r="H812" s="6" t="s">
        <v>6633</v>
      </c>
      <c r="I812" s="6" t="s">
        <v>8864</v>
      </c>
      <c r="J812" s="6" t="s">
        <v>9669</v>
      </c>
      <c r="K812" s="6" t="s">
        <v>10886</v>
      </c>
      <c r="L812" s="16" t="n">
        <v>44476</v>
      </c>
      <c r="M812" s="16" t="n">
        <v>45748</v>
      </c>
      <c r="N812" s="6" t="s">
        <v>10886</v>
      </c>
      <c r="O812" s="16" t="n">
        <v>44476</v>
      </c>
      <c r="P812" s="6" t="s">
        <v>10910</v>
      </c>
      <c r="Q812" s="6" t="s">
        <v>81</v>
      </c>
      <c r="R812" s="6" t="s">
        <v>12650</v>
      </c>
      <c r="S812" s="6" t="s">
        <v>10886</v>
      </c>
      <c r="T812" s="16" t="n">
        <v>44476</v>
      </c>
      <c r="U812" s="6" t="s">
        <v>13163</v>
      </c>
      <c r="V812" s="6" t="s">
        <v>81</v>
      </c>
      <c r="W812" s="6" t="s">
        <v>81</v>
      </c>
      <c r="X812" s="6" t="s">
        <v>81</v>
      </c>
      <c r="Y812" s="21" t="s">
        <v>81</v>
      </c>
      <c r="Z812" s="6" t="s">
        <v>81</v>
      </c>
      <c r="AA812" s="6" t="s">
        <v>81</v>
      </c>
      <c r="AB812" s="6" t="s">
        <v>81</v>
      </c>
      <c r="AC812" s="6" t="s">
        <v>81</v>
      </c>
      <c r="AD812" s="21" t="s">
        <v>81</v>
      </c>
      <c r="AE812" s="6" t="s">
        <v>81</v>
      </c>
      <c r="AF812" s="6" t="s">
        <v>81</v>
      </c>
      <c r="AG812" s="6" t="s">
        <v>81</v>
      </c>
      <c r="AH812" s="6" t="s">
        <v>15395</v>
      </c>
      <c r="AI812" s="6" t="s">
        <v>81</v>
      </c>
      <c r="AJ812" s="6" t="s">
        <v>17315</v>
      </c>
      <c r="AK812" s="6" t="s">
        <v>18379</v>
      </c>
      <c r="AL812" s="6" t="s">
        <v>18444</v>
      </c>
      <c r="AM812" s="6" t="s">
        <v>18467</v>
      </c>
      <c r="AN812" s="6" t="s">
        <v>19637</v>
      </c>
      <c r="AO812" s="6" t="s">
        <v>19723</v>
      </c>
      <c r="AP812" s="6" t="s">
        <v>15395</v>
      </c>
      <c r="AQ812" s="6" t="s">
        <v>81</v>
      </c>
      <c r="AR812" s="6" t="s">
        <v>17315</v>
      </c>
      <c r="AS812" s="6" t="s">
        <v>18379</v>
      </c>
      <c r="AT812" s="6" t="s">
        <v>18444</v>
      </c>
      <c r="AU812" s="6" t="s">
        <v>18467</v>
      </c>
      <c r="AV812" s="6" t="s">
        <v>81</v>
      </c>
      <c r="AW812" s="6" t="s">
        <v>81</v>
      </c>
      <c r="AX812" s="6" t="s">
        <v>21257</v>
      </c>
      <c r="AY812" s="6" t="s">
        <v>81</v>
      </c>
      <c r="AZ812" s="6" t="s">
        <v>81</v>
      </c>
      <c r="BA812" s="6" t="s">
        <v>81</v>
      </c>
      <c r="BB812" s="24" t="n">
        <v>115</v>
      </c>
      <c r="BC812" s="26"/>
      <c r="BD812" s="26"/>
      <c r="BE812" s="26"/>
      <c r="BF812" s="26"/>
      <c r="BG812" s="26"/>
      <c r="BH812" s="26"/>
      <c r="BI812" s="26"/>
      <c r="BJ812" s="26"/>
      <c r="BK812" s="26"/>
      <c r="BL812" s="26"/>
      <c r="BM812" s="26"/>
      <c r="BN812" s="26"/>
      <c r="BO812" s="26"/>
      <c r="BP812" s="16" t="n">
        <v>45730</v>
      </c>
      <c r="BQ812" s="28" t="str">
        <f>HYPERLINK("https://organic.ams.usda.gov/Integrity/Certificate.aspx?cid=90&amp;nopid=7170210394")</f>
        <v>https://organic.ams.usda.gov/Integrity/Certificate.aspx?cid=90&amp;nopid=7170210394</v>
      </c>
    </row>
    <row r="813">
      <c r="A813" t="s">
        <v>3</v>
      </c>
      <c r="B813" s="6" t="s">
        <v>13</v>
      </c>
      <c r="C813" s="6" t="s">
        <v>60</v>
      </c>
      <c r="D813" s="6" t="s">
        <v>106</v>
      </c>
      <c r="E813" s="10" t="s">
        <v>954</v>
      </c>
      <c r="F813" s="6" t="s">
        <v>3683</v>
      </c>
      <c r="G813" s="6" t="s">
        <v>81</v>
      </c>
      <c r="H813" s="6" t="s">
        <v>6634</v>
      </c>
      <c r="I813" s="6" t="s">
        <v>8863</v>
      </c>
      <c r="J813" s="6" t="s">
        <v>9803</v>
      </c>
      <c r="K813" s="6" t="s">
        <v>10886</v>
      </c>
      <c r="L813" s="16" t="n">
        <v>41183</v>
      </c>
      <c r="M813" s="16" t="n">
        <v>45748</v>
      </c>
      <c r="N813" s="6" t="s">
        <v>10886</v>
      </c>
      <c r="O813" s="16" t="n">
        <v>41183</v>
      </c>
      <c r="P813" s="6" t="s">
        <v>11391</v>
      </c>
      <c r="Q813" s="6" t="s">
        <v>81</v>
      </c>
      <c r="R813" s="6" t="s">
        <v>12651</v>
      </c>
      <c r="S813" s="6" t="s">
        <v>10886</v>
      </c>
      <c r="T813" s="16" t="n">
        <v>41183</v>
      </c>
      <c r="U813" s="6" t="s">
        <v>13462</v>
      </c>
      <c r="V813" s="6" t="s">
        <v>81</v>
      </c>
      <c r="W813" s="6" t="s">
        <v>12651</v>
      </c>
      <c r="X813" s="6" t="s">
        <v>81</v>
      </c>
      <c r="Y813" s="21" t="s">
        <v>81</v>
      </c>
      <c r="Z813" s="6" t="s">
        <v>81</v>
      </c>
      <c r="AA813" s="6" t="s">
        <v>81</v>
      </c>
      <c r="AB813" s="6" t="s">
        <v>81</v>
      </c>
      <c r="AC813" s="6" t="s">
        <v>81</v>
      </c>
      <c r="AD813" s="21" t="s">
        <v>81</v>
      </c>
      <c r="AE813" s="6" t="s">
        <v>81</v>
      </c>
      <c r="AF813" s="6" t="s">
        <v>81</v>
      </c>
      <c r="AG813" s="6" t="s">
        <v>81</v>
      </c>
      <c r="AH813" s="6" t="s">
        <v>15396</v>
      </c>
      <c r="AI813" s="6" t="s">
        <v>81</v>
      </c>
      <c r="AJ813" s="6" t="s">
        <v>17391</v>
      </c>
      <c r="AK813" s="6" t="s">
        <v>18379</v>
      </c>
      <c r="AL813" s="6" t="s">
        <v>18444</v>
      </c>
      <c r="AM813" s="6" t="s">
        <v>18467</v>
      </c>
      <c r="AN813" s="6" t="s">
        <v>19637</v>
      </c>
      <c r="AO813" s="6" t="s">
        <v>19723</v>
      </c>
      <c r="AP813" s="6" t="s">
        <v>15396</v>
      </c>
      <c r="AQ813" s="6" t="s">
        <v>81</v>
      </c>
      <c r="AR813" s="6" t="s">
        <v>17391</v>
      </c>
      <c r="AS813" s="6" t="s">
        <v>18379</v>
      </c>
      <c r="AT813" s="6" t="s">
        <v>18444</v>
      </c>
      <c r="AU813" s="6" t="s">
        <v>18467</v>
      </c>
      <c r="AV813" s="6" t="s">
        <v>81</v>
      </c>
      <c r="AW813" s="6" t="s">
        <v>81</v>
      </c>
      <c r="AX813" s="6" t="s">
        <v>21258</v>
      </c>
      <c r="AY813" s="6" t="s">
        <v>81</v>
      </c>
      <c r="AZ813" s="6" t="s">
        <v>81</v>
      </c>
      <c r="BA813" s="6" t="s">
        <v>81</v>
      </c>
      <c r="BB813" s="24" t="n">
        <v>107</v>
      </c>
      <c r="BC813" s="26"/>
      <c r="BD813" s="26"/>
      <c r="BE813" s="26"/>
      <c r="BF813" s="26" t="s">
        <v>23900</v>
      </c>
      <c r="BG813" s="26"/>
      <c r="BH813" s="26"/>
      <c r="BI813" s="26"/>
      <c r="BJ813" s="26"/>
      <c r="BK813" s="26"/>
      <c r="BL813" s="26"/>
      <c r="BM813" s="26"/>
      <c r="BN813" s="26"/>
      <c r="BO813" s="26"/>
      <c r="BP813" s="16" t="n">
        <v>45688</v>
      </c>
      <c r="BQ813" s="28" t="str">
        <f>HYPERLINK("https://organic.ams.usda.gov/Integrity/Certificate.aspx?cid=72&amp;nopid=5870001395")</f>
        <v>https://organic.ams.usda.gov/Integrity/Certificate.aspx?cid=72&amp;nopid=5870001395</v>
      </c>
    </row>
    <row r="814">
      <c r="A814" t="s">
        <v>3</v>
      </c>
      <c r="B814" s="6" t="s">
        <v>10</v>
      </c>
      <c r="C814" s="6" t="s">
        <v>57</v>
      </c>
      <c r="D814" s="6" t="s">
        <v>103</v>
      </c>
      <c r="E814" s="10" t="s">
        <v>955</v>
      </c>
      <c r="F814" s="6" t="s">
        <v>3684</v>
      </c>
      <c r="G814" s="6" t="s">
        <v>81</v>
      </c>
      <c r="H814" s="6" t="s">
        <v>6635</v>
      </c>
      <c r="I814" s="6" t="s">
        <v>8865</v>
      </c>
      <c r="J814" s="6" t="s">
        <v>9665</v>
      </c>
      <c r="K814" s="6" t="s">
        <v>10886</v>
      </c>
      <c r="L814" s="16" t="n">
        <v>40483</v>
      </c>
      <c r="M814" s="16" t="n">
        <v>45748</v>
      </c>
      <c r="N814" s="6" t="s">
        <v>10886</v>
      </c>
      <c r="O814" s="16" t="n">
        <v>40483</v>
      </c>
      <c r="P814" s="6" t="s">
        <v>10925</v>
      </c>
      <c r="Q814" s="6" t="s">
        <v>81</v>
      </c>
      <c r="R814" s="6" t="s">
        <v>12652</v>
      </c>
      <c r="S814" s="6" t="s">
        <v>10886</v>
      </c>
      <c r="T814" s="16" t="n">
        <v>40483</v>
      </c>
      <c r="U814" s="6" t="s">
        <v>13163</v>
      </c>
      <c r="V814" s="6" t="s">
        <v>81</v>
      </c>
      <c r="W814" s="6" t="s">
        <v>81</v>
      </c>
      <c r="X814" s="6" t="s">
        <v>81</v>
      </c>
      <c r="Y814" s="21" t="s">
        <v>81</v>
      </c>
      <c r="Z814" s="6" t="s">
        <v>81</v>
      </c>
      <c r="AA814" s="6" t="s">
        <v>81</v>
      </c>
      <c r="AB814" s="6" t="s">
        <v>81</v>
      </c>
      <c r="AC814" s="6" t="s">
        <v>81</v>
      </c>
      <c r="AD814" s="21" t="s">
        <v>81</v>
      </c>
      <c r="AE814" s="6" t="s">
        <v>81</v>
      </c>
      <c r="AF814" s="6" t="s">
        <v>81</v>
      </c>
      <c r="AG814" s="6" t="s">
        <v>81</v>
      </c>
      <c r="AH814" s="6" t="s">
        <v>15397</v>
      </c>
      <c r="AI814" s="6" t="s">
        <v>81</v>
      </c>
      <c r="AJ814" s="6" t="s">
        <v>17315</v>
      </c>
      <c r="AK814" s="6" t="s">
        <v>18379</v>
      </c>
      <c r="AL814" s="6" t="s">
        <v>18444</v>
      </c>
      <c r="AM814" s="6" t="s">
        <v>18467</v>
      </c>
      <c r="AN814" s="6" t="s">
        <v>19637</v>
      </c>
      <c r="AO814" s="6" t="s">
        <v>19723</v>
      </c>
      <c r="AP814" s="6" t="s">
        <v>15397</v>
      </c>
      <c r="AQ814" s="6" t="s">
        <v>81</v>
      </c>
      <c r="AR814" s="6" t="s">
        <v>17315</v>
      </c>
      <c r="AS814" s="6" t="s">
        <v>18379</v>
      </c>
      <c r="AT814" s="6" t="s">
        <v>18444</v>
      </c>
      <c r="AU814" s="6" t="s">
        <v>18467</v>
      </c>
      <c r="AV814" s="6" t="s">
        <v>81</v>
      </c>
      <c r="AW814" s="6" t="s">
        <v>81</v>
      </c>
      <c r="AX814" s="6" t="s">
        <v>21259</v>
      </c>
      <c r="AY814" s="6" t="s">
        <v>81</v>
      </c>
      <c r="AZ814" s="6" t="s">
        <v>81</v>
      </c>
      <c r="BA814" s="6" t="s">
        <v>81</v>
      </c>
      <c r="BB814" s="24" t="n">
        <v>174</v>
      </c>
      <c r="BC814" s="26"/>
      <c r="BD814" s="26"/>
      <c r="BE814" s="26"/>
      <c r="BF814" s="26"/>
      <c r="BG814" s="26"/>
      <c r="BH814" s="26"/>
      <c r="BI814" s="26"/>
      <c r="BJ814" s="26"/>
      <c r="BK814" s="26"/>
      <c r="BL814" s="26"/>
      <c r="BM814" s="26"/>
      <c r="BN814" s="26"/>
      <c r="BO814" s="26"/>
      <c r="BP814" s="16" t="n">
        <v>45730</v>
      </c>
      <c r="BQ814" s="28" t="str">
        <f>HYPERLINK("https://organic.ams.usda.gov/Integrity/Certificate.aspx?cid=90&amp;nopid=7170020174")</f>
        <v>https://organic.ams.usda.gov/Integrity/Certificate.aspx?cid=90&amp;nopid=7170020174</v>
      </c>
    </row>
    <row r="815">
      <c r="A815" t="s">
        <v>3</v>
      </c>
      <c r="B815" s="6" t="s">
        <v>13</v>
      </c>
      <c r="C815" s="6" t="s">
        <v>60</v>
      </c>
      <c r="D815" s="6" t="s">
        <v>106</v>
      </c>
      <c r="E815" s="10" t="s">
        <v>956</v>
      </c>
      <c r="F815" s="6" t="s">
        <v>3685</v>
      </c>
      <c r="G815" s="6" t="s">
        <v>81</v>
      </c>
      <c r="H815" s="6" t="s">
        <v>6636</v>
      </c>
      <c r="I815" s="6" t="s">
        <v>8866</v>
      </c>
      <c r="J815" s="6" t="s">
        <v>9734</v>
      </c>
      <c r="K815" s="6" t="s">
        <v>10886</v>
      </c>
      <c r="L815" s="16" t="n">
        <v>45289</v>
      </c>
      <c r="M815" s="16" t="n">
        <v>45748</v>
      </c>
      <c r="N815" s="6" t="s">
        <v>10886</v>
      </c>
      <c r="O815" s="16" t="n">
        <v>45289</v>
      </c>
      <c r="P815" s="6" t="s">
        <v>11392</v>
      </c>
      <c r="Q815" s="6" t="s">
        <v>81</v>
      </c>
      <c r="R815" s="6" t="s">
        <v>12653</v>
      </c>
      <c r="S815" s="6" t="s">
        <v>10886</v>
      </c>
      <c r="T815" s="16" t="n">
        <v>45289</v>
      </c>
      <c r="U815" s="6" t="s">
        <v>13463</v>
      </c>
      <c r="V815" s="6" t="s">
        <v>81</v>
      </c>
      <c r="W815" s="6" t="s">
        <v>12653</v>
      </c>
      <c r="X815" s="6" t="s">
        <v>81</v>
      </c>
      <c r="Y815" s="21" t="s">
        <v>81</v>
      </c>
      <c r="Z815" s="6" t="s">
        <v>81</v>
      </c>
      <c r="AA815" s="6" t="s">
        <v>81</v>
      </c>
      <c r="AB815" s="6" t="s">
        <v>81</v>
      </c>
      <c r="AC815" s="6" t="s">
        <v>81</v>
      </c>
      <c r="AD815" s="21" t="s">
        <v>81</v>
      </c>
      <c r="AE815" s="6" t="s">
        <v>81</v>
      </c>
      <c r="AF815" s="6" t="s">
        <v>81</v>
      </c>
      <c r="AG815" s="6" t="s">
        <v>81</v>
      </c>
      <c r="AH815" s="6" t="s">
        <v>15398</v>
      </c>
      <c r="AI815" s="6" t="s">
        <v>81</v>
      </c>
      <c r="AJ815" s="6" t="s">
        <v>17635</v>
      </c>
      <c r="AK815" s="6" t="s">
        <v>18379</v>
      </c>
      <c r="AL815" s="6" t="s">
        <v>18444</v>
      </c>
      <c r="AM815" s="6" t="s">
        <v>18804</v>
      </c>
      <c r="AN815" s="6" t="s">
        <v>81</v>
      </c>
      <c r="AO815" s="6" t="s">
        <v>81</v>
      </c>
      <c r="AP815" s="6" t="s">
        <v>15398</v>
      </c>
      <c r="AQ815" s="6" t="s">
        <v>81</v>
      </c>
      <c r="AR815" s="6" t="s">
        <v>17635</v>
      </c>
      <c r="AS815" s="6" t="s">
        <v>18379</v>
      </c>
      <c r="AT815" s="6" t="s">
        <v>18444</v>
      </c>
      <c r="AU815" s="6" t="s">
        <v>18804</v>
      </c>
      <c r="AV815" s="6" t="s">
        <v>81</v>
      </c>
      <c r="AW815" s="6" t="s">
        <v>81</v>
      </c>
      <c r="AX815" s="6" t="s">
        <v>21260</v>
      </c>
      <c r="AY815" s="6" t="s">
        <v>81</v>
      </c>
      <c r="AZ815" s="6" t="s">
        <v>81</v>
      </c>
      <c r="BA815" s="6" t="s">
        <v>81</v>
      </c>
      <c r="BB815" s="24" t="n">
        <v>173</v>
      </c>
      <c r="BC815" s="26"/>
      <c r="BD815" s="26"/>
      <c r="BE815" s="26"/>
      <c r="BF815" s="26" t="s">
        <v>23900</v>
      </c>
      <c r="BG815" s="26"/>
      <c r="BH815" s="26"/>
      <c r="BI815" s="26"/>
      <c r="BJ815" s="26"/>
      <c r="BK815" s="26"/>
      <c r="BL815" s="26"/>
      <c r="BM815" s="26"/>
      <c r="BN815" s="26"/>
      <c r="BO815" s="26"/>
      <c r="BP815" s="16" t="n">
        <v>45737</v>
      </c>
      <c r="BQ815" s="28" t="str">
        <f>HYPERLINK("https://organic.ams.usda.gov/Integrity/Certificate.aspx?cid=72&amp;nopid=5870106992")</f>
        <v>https://organic.ams.usda.gov/Integrity/Certificate.aspx?cid=72&amp;nopid=5870106992</v>
      </c>
    </row>
    <row r="816">
      <c r="A816" t="s">
        <v>3</v>
      </c>
      <c r="B816" s="6" t="s">
        <v>10</v>
      </c>
      <c r="C816" s="6" t="s">
        <v>57</v>
      </c>
      <c r="D816" s="6" t="s">
        <v>103</v>
      </c>
      <c r="E816" s="10" t="s">
        <v>957</v>
      </c>
      <c r="F816" s="6" t="s">
        <v>3686</v>
      </c>
      <c r="G816" s="6" t="s">
        <v>81</v>
      </c>
      <c r="H816" s="6" t="s">
        <v>6637</v>
      </c>
      <c r="I816" s="6" t="s">
        <v>8867</v>
      </c>
      <c r="J816" s="6" t="s">
        <v>9742</v>
      </c>
      <c r="K816" s="6" t="s">
        <v>10886</v>
      </c>
      <c r="L816" s="16" t="n">
        <v>42143</v>
      </c>
      <c r="M816" s="16" t="n">
        <v>45748</v>
      </c>
      <c r="N816" s="6" t="s">
        <v>10886</v>
      </c>
      <c r="O816" s="16" t="n">
        <v>42143</v>
      </c>
      <c r="P816" s="6" t="s">
        <v>10925</v>
      </c>
      <c r="Q816" s="6" t="s">
        <v>81</v>
      </c>
      <c r="R816" s="6" t="s">
        <v>12654</v>
      </c>
      <c r="S816" s="6" t="s">
        <v>10886</v>
      </c>
      <c r="T816" s="16" t="n">
        <v>42143</v>
      </c>
      <c r="U816" s="6" t="s">
        <v>13163</v>
      </c>
      <c r="V816" s="6" t="s">
        <v>81</v>
      </c>
      <c r="W816" s="6" t="s">
        <v>81</v>
      </c>
      <c r="X816" s="6" t="s">
        <v>81</v>
      </c>
      <c r="Y816" s="21" t="s">
        <v>81</v>
      </c>
      <c r="Z816" s="6" t="s">
        <v>81</v>
      </c>
      <c r="AA816" s="6" t="s">
        <v>81</v>
      </c>
      <c r="AB816" s="6" t="s">
        <v>81</v>
      </c>
      <c r="AC816" s="6" t="s">
        <v>81</v>
      </c>
      <c r="AD816" s="21" t="s">
        <v>81</v>
      </c>
      <c r="AE816" s="6" t="s">
        <v>81</v>
      </c>
      <c r="AF816" s="6" t="s">
        <v>81</v>
      </c>
      <c r="AG816" s="6" t="s">
        <v>81</v>
      </c>
      <c r="AH816" s="6" t="s">
        <v>15399</v>
      </c>
      <c r="AI816" s="6" t="s">
        <v>81</v>
      </c>
      <c r="AJ816" s="6" t="s">
        <v>17315</v>
      </c>
      <c r="AK816" s="6" t="s">
        <v>18379</v>
      </c>
      <c r="AL816" s="6" t="s">
        <v>18444</v>
      </c>
      <c r="AM816" s="6" t="s">
        <v>18467</v>
      </c>
      <c r="AN816" s="6" t="s">
        <v>19637</v>
      </c>
      <c r="AO816" s="6" t="s">
        <v>19723</v>
      </c>
      <c r="AP816" s="6" t="s">
        <v>15399</v>
      </c>
      <c r="AQ816" s="6" t="s">
        <v>81</v>
      </c>
      <c r="AR816" s="6" t="s">
        <v>17315</v>
      </c>
      <c r="AS816" s="6" t="s">
        <v>18379</v>
      </c>
      <c r="AT816" s="6" t="s">
        <v>18444</v>
      </c>
      <c r="AU816" s="6" t="s">
        <v>18467</v>
      </c>
      <c r="AV816" s="6" t="s">
        <v>81</v>
      </c>
      <c r="AW816" s="6" t="s">
        <v>81</v>
      </c>
      <c r="AX816" s="6" t="s">
        <v>21261</v>
      </c>
      <c r="AY816" s="6" t="s">
        <v>81</v>
      </c>
      <c r="AZ816" s="6" t="s">
        <v>81</v>
      </c>
      <c r="BA816" s="6" t="s">
        <v>81</v>
      </c>
      <c r="BB816" s="24" t="n">
        <v>129</v>
      </c>
      <c r="BC816" s="26"/>
      <c r="BD816" s="26"/>
      <c r="BE816" s="26"/>
      <c r="BF816" s="26"/>
      <c r="BG816" s="26"/>
      <c r="BH816" s="26"/>
      <c r="BI816" s="26"/>
      <c r="BJ816" s="26"/>
      <c r="BK816" s="26"/>
      <c r="BL816" s="26"/>
      <c r="BM816" s="26"/>
      <c r="BN816" s="26"/>
      <c r="BO816" s="26"/>
      <c r="BP816" s="16" t="n">
        <v>45730</v>
      </c>
      <c r="BQ816" s="28" t="str">
        <f>HYPERLINK("https://organic.ams.usda.gov/Integrity/Certificate.aspx?cid=90&amp;nopid=7170020182")</f>
        <v>https://organic.ams.usda.gov/Integrity/Certificate.aspx?cid=90&amp;nopid=7170020182</v>
      </c>
    </row>
    <row r="817">
      <c r="A817" t="s">
        <v>3</v>
      </c>
      <c r="B817" s="6" t="s">
        <v>10</v>
      </c>
      <c r="C817" s="6" t="s">
        <v>57</v>
      </c>
      <c r="D817" s="6" t="s">
        <v>103</v>
      </c>
      <c r="E817" s="10" t="s">
        <v>958</v>
      </c>
      <c r="F817" s="6" t="s">
        <v>3687</v>
      </c>
      <c r="G817" s="6" t="s">
        <v>81</v>
      </c>
      <c r="H817" s="6" t="s">
        <v>6638</v>
      </c>
      <c r="I817" s="6" t="s">
        <v>8866</v>
      </c>
      <c r="J817" s="6" t="s">
        <v>10040</v>
      </c>
      <c r="K817" s="6" t="s">
        <v>10886</v>
      </c>
      <c r="L817" s="16" t="n">
        <v>44341</v>
      </c>
      <c r="M817" s="16" t="n">
        <v>45748</v>
      </c>
      <c r="N817" s="6" t="s">
        <v>10886</v>
      </c>
      <c r="O817" s="16" t="n">
        <v>44341</v>
      </c>
      <c r="P817" s="6" t="s">
        <v>11393</v>
      </c>
      <c r="Q817" s="6" t="s">
        <v>81</v>
      </c>
      <c r="R817" s="6" t="s">
        <v>12655</v>
      </c>
      <c r="S817" s="6" t="s">
        <v>10886</v>
      </c>
      <c r="T817" s="16" t="n">
        <v>45383</v>
      </c>
      <c r="U817" s="6" t="s">
        <v>13163</v>
      </c>
      <c r="V817" s="6" t="s">
        <v>81</v>
      </c>
      <c r="W817" s="6" t="s">
        <v>81</v>
      </c>
      <c r="X817" s="6" t="s">
        <v>81</v>
      </c>
      <c r="Y817" s="21" t="s">
        <v>81</v>
      </c>
      <c r="Z817" s="6" t="s">
        <v>81</v>
      </c>
      <c r="AA817" s="6" t="s">
        <v>81</v>
      </c>
      <c r="AB817" s="6" t="s">
        <v>81</v>
      </c>
      <c r="AC817" s="6" t="s">
        <v>81</v>
      </c>
      <c r="AD817" s="21" t="s">
        <v>81</v>
      </c>
      <c r="AE817" s="6" t="s">
        <v>81</v>
      </c>
      <c r="AF817" s="6" t="s">
        <v>81</v>
      </c>
      <c r="AG817" s="6" t="s">
        <v>81</v>
      </c>
      <c r="AH817" s="6" t="s">
        <v>15400</v>
      </c>
      <c r="AI817" s="6" t="s">
        <v>81</v>
      </c>
      <c r="AJ817" s="6" t="s">
        <v>17761</v>
      </c>
      <c r="AK817" s="6" t="s">
        <v>18379</v>
      </c>
      <c r="AL817" s="6" t="s">
        <v>18444</v>
      </c>
      <c r="AM817" s="6" t="s">
        <v>18934</v>
      </c>
      <c r="AN817" s="6" t="s">
        <v>19642</v>
      </c>
      <c r="AO817" s="6" t="s">
        <v>19799</v>
      </c>
      <c r="AP817" s="6" t="s">
        <v>15400</v>
      </c>
      <c r="AQ817" s="6" t="s">
        <v>81</v>
      </c>
      <c r="AR817" s="6" t="s">
        <v>17761</v>
      </c>
      <c r="AS817" s="6" t="s">
        <v>18379</v>
      </c>
      <c r="AT817" s="6" t="s">
        <v>18444</v>
      </c>
      <c r="AU817" s="6" t="s">
        <v>18934</v>
      </c>
      <c r="AV817" s="6" t="s">
        <v>81</v>
      </c>
      <c r="AW817" s="6" t="s">
        <v>81</v>
      </c>
      <c r="AX817" s="6" t="s">
        <v>21262</v>
      </c>
      <c r="AY817" s="6" t="s">
        <v>81</v>
      </c>
      <c r="AZ817" s="6" t="s">
        <v>81</v>
      </c>
      <c r="BA817" s="6" t="s">
        <v>81</v>
      </c>
      <c r="BB817" s="24" t="n">
        <v>132</v>
      </c>
      <c r="BC817" s="26"/>
      <c r="BD817" s="26"/>
      <c r="BE817" s="26"/>
      <c r="BF817" s="26"/>
      <c r="BG817" s="26"/>
      <c r="BH817" s="26"/>
      <c r="BI817" s="26"/>
      <c r="BJ817" s="26"/>
      <c r="BK817" s="26"/>
      <c r="BL817" s="26"/>
      <c r="BM817" s="26"/>
      <c r="BN817" s="26"/>
      <c r="BO817" s="26"/>
      <c r="BP817" s="16" t="n">
        <v>45730</v>
      </c>
      <c r="BQ817" s="28" t="str">
        <f>HYPERLINK("https://organic.ams.usda.gov/Integrity/Certificate.aspx?cid=90&amp;nopid=7170210335")</f>
        <v>https://organic.ams.usda.gov/Integrity/Certificate.aspx?cid=90&amp;nopid=7170210335</v>
      </c>
    </row>
    <row r="818">
      <c r="A818" t="s">
        <v>3</v>
      </c>
      <c r="B818" s="6" t="s">
        <v>12</v>
      </c>
      <c r="C818" s="6" t="s">
        <v>59</v>
      </c>
      <c r="D818" s="6" t="s">
        <v>105</v>
      </c>
      <c r="E818" s="10" t="s">
        <v>959</v>
      </c>
      <c r="F818" s="6" t="s">
        <v>3688</v>
      </c>
      <c r="G818" s="6" t="s">
        <v>81</v>
      </c>
      <c r="H818" s="6" t="s">
        <v>6639</v>
      </c>
      <c r="I818" s="6" t="s">
        <v>8868</v>
      </c>
      <c r="J818" s="6" t="s">
        <v>9669</v>
      </c>
      <c r="K818" s="6" t="s">
        <v>10886</v>
      </c>
      <c r="L818" s="16" t="n">
        <v>43227</v>
      </c>
      <c r="M818" s="16" t="n">
        <v>45717</v>
      </c>
      <c r="N818" s="6" t="s">
        <v>10886</v>
      </c>
      <c r="O818" s="16" t="n">
        <v>43227</v>
      </c>
      <c r="P818" s="6" t="s">
        <v>11146</v>
      </c>
      <c r="Q818" s="6" t="s">
        <v>81</v>
      </c>
      <c r="R818" s="6" t="s">
        <v>81</v>
      </c>
      <c r="S818" s="6" t="s">
        <v>10886</v>
      </c>
      <c r="T818" s="16" t="n">
        <v>43227</v>
      </c>
      <c r="U818" s="6" t="s">
        <v>13187</v>
      </c>
      <c r="V818" s="6" t="s">
        <v>81</v>
      </c>
      <c r="W818" s="6" t="s">
        <v>81</v>
      </c>
      <c r="X818" s="6" t="s">
        <v>81</v>
      </c>
      <c r="Y818" s="21" t="s">
        <v>81</v>
      </c>
      <c r="Z818" s="6" t="s">
        <v>81</v>
      </c>
      <c r="AA818" s="6" t="s">
        <v>81</v>
      </c>
      <c r="AB818" s="6" t="s">
        <v>81</v>
      </c>
      <c r="AC818" s="6" t="s">
        <v>81</v>
      </c>
      <c r="AD818" s="21" t="s">
        <v>81</v>
      </c>
      <c r="AE818" s="6" t="s">
        <v>81</v>
      </c>
      <c r="AF818" s="6" t="s">
        <v>81</v>
      </c>
      <c r="AG818" s="6" t="s">
        <v>81</v>
      </c>
      <c r="AH818" s="6" t="s">
        <v>15401</v>
      </c>
      <c r="AI818" s="6" t="s">
        <v>81</v>
      </c>
      <c r="AJ818" s="6" t="s">
        <v>17410</v>
      </c>
      <c r="AK818" s="6" t="s">
        <v>17712</v>
      </c>
      <c r="AL818" s="6" t="s">
        <v>18444</v>
      </c>
      <c r="AM818" s="6" t="s">
        <v>18566</v>
      </c>
      <c r="AN818" s="6" t="s">
        <v>19670</v>
      </c>
      <c r="AO818" s="6" t="s">
        <v>19782</v>
      </c>
      <c r="AP818" s="6" t="s">
        <v>20203</v>
      </c>
      <c r="AQ818" s="6" t="s">
        <v>81</v>
      </c>
      <c r="AR818" s="6" t="s">
        <v>17406</v>
      </c>
      <c r="AS818" s="6" t="s">
        <v>17712</v>
      </c>
      <c r="AT818" s="6" t="s">
        <v>18444</v>
      </c>
      <c r="AU818" s="6" t="s">
        <v>18562</v>
      </c>
      <c r="AV818" s="6" t="s">
        <v>81</v>
      </c>
      <c r="AW818" s="6" t="s">
        <v>81</v>
      </c>
      <c r="AX818" s="6" t="s">
        <v>81</v>
      </c>
      <c r="AY818" s="6" t="s">
        <v>81</v>
      </c>
      <c r="AZ818" s="6" t="s">
        <v>81</v>
      </c>
      <c r="BA818" s="6" t="s">
        <v>81</v>
      </c>
      <c r="BB818" s="24" t="n">
        <v>110</v>
      </c>
      <c r="BC818" s="26"/>
      <c r="BD818" s="26"/>
      <c r="BE818" s="26"/>
      <c r="BF818" s="26"/>
      <c r="BG818" s="26"/>
      <c r="BH818" s="26"/>
      <c r="BI818" s="26"/>
      <c r="BJ818" s="26"/>
      <c r="BK818" s="26"/>
      <c r="BL818" s="26"/>
      <c r="BM818" s="26"/>
      <c r="BN818" s="26"/>
      <c r="BO818" s="26"/>
      <c r="BP818" s="16" t="n">
        <v>45720</v>
      </c>
      <c r="BQ818" s="28" t="str">
        <f>HYPERLINK("https://organic.ams.usda.gov/Integrity/Certificate.aspx?cid=68&amp;nopid=8210006307")</f>
        <v>https://organic.ams.usda.gov/Integrity/Certificate.aspx?cid=68&amp;nopid=8210006307</v>
      </c>
    </row>
    <row r="819">
      <c r="A819" t="s">
        <v>3</v>
      </c>
      <c r="B819" s="6" t="s">
        <v>10</v>
      </c>
      <c r="C819" s="6" t="s">
        <v>57</v>
      </c>
      <c r="D819" s="6" t="s">
        <v>103</v>
      </c>
      <c r="E819" s="10" t="s">
        <v>960</v>
      </c>
      <c r="F819" s="6" t="s">
        <v>3689</v>
      </c>
      <c r="G819" s="6" t="s">
        <v>81</v>
      </c>
      <c r="H819" s="6" t="s">
        <v>6640</v>
      </c>
      <c r="I819" s="6" t="s">
        <v>8869</v>
      </c>
      <c r="J819" s="6" t="s">
        <v>9742</v>
      </c>
      <c r="K819" s="6" t="s">
        <v>10886</v>
      </c>
      <c r="L819" s="16" t="n">
        <v>41285</v>
      </c>
      <c r="M819" s="16" t="n">
        <v>45748</v>
      </c>
      <c r="N819" s="6" t="s">
        <v>10886</v>
      </c>
      <c r="O819" s="16" t="n">
        <v>41285</v>
      </c>
      <c r="P819" s="6" t="s">
        <v>10925</v>
      </c>
      <c r="Q819" s="6" t="s">
        <v>81</v>
      </c>
      <c r="R819" s="6" t="s">
        <v>12656</v>
      </c>
      <c r="S819" s="6" t="s">
        <v>10886</v>
      </c>
      <c r="T819" s="16" t="n">
        <v>41285</v>
      </c>
      <c r="U819" s="6" t="s">
        <v>13163</v>
      </c>
      <c r="V819" s="6" t="s">
        <v>81</v>
      </c>
      <c r="W819" s="6" t="s">
        <v>81</v>
      </c>
      <c r="X819" s="6" t="s">
        <v>81</v>
      </c>
      <c r="Y819" s="21" t="s">
        <v>81</v>
      </c>
      <c r="Z819" s="6" t="s">
        <v>81</v>
      </c>
      <c r="AA819" s="6" t="s">
        <v>81</v>
      </c>
      <c r="AB819" s="6" t="s">
        <v>81</v>
      </c>
      <c r="AC819" s="6" t="s">
        <v>81</v>
      </c>
      <c r="AD819" s="21" t="s">
        <v>81</v>
      </c>
      <c r="AE819" s="6" t="s">
        <v>81</v>
      </c>
      <c r="AF819" s="6" t="s">
        <v>81</v>
      </c>
      <c r="AG819" s="6" t="s">
        <v>81</v>
      </c>
      <c r="AH819" s="6" t="s">
        <v>15402</v>
      </c>
      <c r="AI819" s="6" t="s">
        <v>81</v>
      </c>
      <c r="AJ819" s="6" t="s">
        <v>17392</v>
      </c>
      <c r="AK819" s="6" t="s">
        <v>18379</v>
      </c>
      <c r="AL819" s="6" t="s">
        <v>18444</v>
      </c>
      <c r="AM819" s="6" t="s">
        <v>18548</v>
      </c>
      <c r="AN819" s="6" t="s">
        <v>19637</v>
      </c>
      <c r="AO819" s="6" t="s">
        <v>19723</v>
      </c>
      <c r="AP819" s="6" t="s">
        <v>15402</v>
      </c>
      <c r="AQ819" s="6" t="s">
        <v>81</v>
      </c>
      <c r="AR819" s="6" t="s">
        <v>17392</v>
      </c>
      <c r="AS819" s="6" t="s">
        <v>18379</v>
      </c>
      <c r="AT819" s="6" t="s">
        <v>18444</v>
      </c>
      <c r="AU819" s="6" t="s">
        <v>18548</v>
      </c>
      <c r="AV819" s="6" t="s">
        <v>81</v>
      </c>
      <c r="AW819" s="6" t="s">
        <v>81</v>
      </c>
      <c r="AX819" s="6" t="s">
        <v>21263</v>
      </c>
      <c r="AY819" s="6" t="s">
        <v>81</v>
      </c>
      <c r="AZ819" s="6" t="s">
        <v>81</v>
      </c>
      <c r="BA819" s="6" t="s">
        <v>81</v>
      </c>
      <c r="BB819" s="24" t="n">
        <v>108</v>
      </c>
      <c r="BC819" s="26"/>
      <c r="BD819" s="26"/>
      <c r="BE819" s="26"/>
      <c r="BF819" s="26"/>
      <c r="BG819" s="26"/>
      <c r="BH819" s="26"/>
      <c r="BI819" s="26"/>
      <c r="BJ819" s="26"/>
      <c r="BK819" s="26"/>
      <c r="BL819" s="26"/>
      <c r="BM819" s="26"/>
      <c r="BN819" s="26"/>
      <c r="BO819" s="26"/>
      <c r="BP819" s="16" t="n">
        <v>45730</v>
      </c>
      <c r="BQ819" s="28" t="str">
        <f>HYPERLINK("https://organic.ams.usda.gov/Integrity/Certificate.aspx?cid=90&amp;nopid=7170210274")</f>
        <v>https://organic.ams.usda.gov/Integrity/Certificate.aspx?cid=90&amp;nopid=7170210274</v>
      </c>
    </row>
    <row r="820">
      <c r="A820" t="s">
        <v>3</v>
      </c>
      <c r="B820" s="6" t="s">
        <v>30</v>
      </c>
      <c r="C820" s="6" t="s">
        <v>77</v>
      </c>
      <c r="D820" s="6" t="s">
        <v>123</v>
      </c>
      <c r="E820" s="10" t="s">
        <v>961</v>
      </c>
      <c r="F820" s="6" t="s">
        <v>3690</v>
      </c>
      <c r="G820" s="6" t="s">
        <v>81</v>
      </c>
      <c r="H820" s="6" t="s">
        <v>6641</v>
      </c>
      <c r="I820" s="6" t="s">
        <v>8870</v>
      </c>
      <c r="J820" s="6" t="s">
        <v>9960</v>
      </c>
      <c r="K820" s="6" t="s">
        <v>10886</v>
      </c>
      <c r="L820" s="16" t="n">
        <v>43145</v>
      </c>
      <c r="M820" s="16" t="n">
        <v>45747</v>
      </c>
      <c r="N820" s="6" t="s">
        <v>10886</v>
      </c>
      <c r="O820" s="16" t="n">
        <v>43145</v>
      </c>
      <c r="P820" s="6" t="s">
        <v>10900</v>
      </c>
      <c r="Q820" s="6" t="s">
        <v>81</v>
      </c>
      <c r="R820" s="6" t="s">
        <v>81</v>
      </c>
      <c r="S820" s="6" t="s">
        <v>10886</v>
      </c>
      <c r="T820" s="16" t="n">
        <v>43221</v>
      </c>
      <c r="U820" s="6" t="s">
        <v>13216</v>
      </c>
      <c r="V820" s="6" t="s">
        <v>81</v>
      </c>
      <c r="W820" s="6" t="s">
        <v>81</v>
      </c>
      <c r="X820" s="6" t="s">
        <v>81</v>
      </c>
      <c r="Y820" s="21" t="s">
        <v>81</v>
      </c>
      <c r="Z820" s="6" t="s">
        <v>81</v>
      </c>
      <c r="AA820" s="6" t="s">
        <v>81</v>
      </c>
      <c r="AB820" s="6" t="s">
        <v>81</v>
      </c>
      <c r="AC820" s="6" t="s">
        <v>81</v>
      </c>
      <c r="AD820" s="21" t="s">
        <v>81</v>
      </c>
      <c r="AE820" s="6" t="s">
        <v>81</v>
      </c>
      <c r="AF820" s="6" t="s">
        <v>81</v>
      </c>
      <c r="AG820" s="6" t="s">
        <v>81</v>
      </c>
      <c r="AH820" s="6" t="s">
        <v>15403</v>
      </c>
      <c r="AI820" s="6" t="s">
        <v>81</v>
      </c>
      <c r="AJ820" s="6" t="s">
        <v>17406</v>
      </c>
      <c r="AK820" s="6" t="s">
        <v>17712</v>
      </c>
      <c r="AL820" s="6" t="s">
        <v>18444</v>
      </c>
      <c r="AM820" s="6" t="s">
        <v>18562</v>
      </c>
      <c r="AN820" s="6" t="s">
        <v>19657</v>
      </c>
      <c r="AO820" s="6" t="s">
        <v>19751</v>
      </c>
      <c r="AP820" s="6" t="s">
        <v>15403</v>
      </c>
      <c r="AQ820" s="6" t="s">
        <v>81</v>
      </c>
      <c r="AR820" s="6" t="s">
        <v>17406</v>
      </c>
      <c r="AS820" s="6" t="s">
        <v>17712</v>
      </c>
      <c r="AT820" s="6" t="s">
        <v>18444</v>
      </c>
      <c r="AU820" s="6" t="s">
        <v>18562</v>
      </c>
      <c r="AV820" s="6" t="s">
        <v>81</v>
      </c>
      <c r="AW820" s="6" t="s">
        <v>81</v>
      </c>
      <c r="AX820" s="6" t="s">
        <v>81</v>
      </c>
      <c r="AY820" s="6" t="s">
        <v>81</v>
      </c>
      <c r="AZ820" s="6" t="s">
        <v>81</v>
      </c>
      <c r="BA820" s="6" t="s">
        <v>81</v>
      </c>
      <c r="BB820" s="24" t="n">
        <v>58</v>
      </c>
      <c r="BC820" s="26"/>
      <c r="BD820" s="26"/>
      <c r="BE820" s="26"/>
      <c r="BF820" s="26"/>
      <c r="BG820" s="26"/>
      <c r="BH820" s="26"/>
      <c r="BI820" s="26"/>
      <c r="BJ820" s="26"/>
      <c r="BK820" s="26"/>
      <c r="BL820" s="26"/>
      <c r="BM820" s="26"/>
      <c r="BN820" s="26"/>
      <c r="BO820" s="26"/>
      <c r="BP820" s="16" t="n">
        <v>45616</v>
      </c>
      <c r="BQ820" s="28" t="str">
        <f>HYPERLINK("https://organic.ams.usda.gov/Integrity/Certificate.aspx?cid=70&amp;nopid=6431712330")</f>
        <v>https://organic.ams.usda.gov/Integrity/Certificate.aspx?cid=70&amp;nopid=6431712330</v>
      </c>
    </row>
    <row r="821">
      <c r="A821" t="s">
        <v>3</v>
      </c>
      <c r="B821" s="6" t="s">
        <v>9</v>
      </c>
      <c r="C821" s="6" t="s">
        <v>56</v>
      </c>
      <c r="D821" s="6" t="s">
        <v>102</v>
      </c>
      <c r="E821" s="10" t="s">
        <v>962</v>
      </c>
      <c r="F821" s="6" t="s">
        <v>3691</v>
      </c>
      <c r="G821" s="6" t="s">
        <v>81</v>
      </c>
      <c r="H821" s="6" t="s">
        <v>6642</v>
      </c>
      <c r="I821" s="6" t="s">
        <v>8866</v>
      </c>
      <c r="J821" s="6" t="s">
        <v>9744</v>
      </c>
      <c r="K821" s="6" t="s">
        <v>10886</v>
      </c>
      <c r="L821" s="16" t="n">
        <v>43425</v>
      </c>
      <c r="M821" s="16" t="n">
        <v>45748</v>
      </c>
      <c r="N821" s="6" t="s">
        <v>10886</v>
      </c>
      <c r="O821" s="16" t="n">
        <v>43425</v>
      </c>
      <c r="P821" s="6" t="s">
        <v>11394</v>
      </c>
      <c r="Q821" s="6" t="s">
        <v>81</v>
      </c>
      <c r="R821" s="6" t="s">
        <v>12657</v>
      </c>
      <c r="S821" s="6" t="s">
        <v>10886</v>
      </c>
      <c r="T821" s="16" t="n">
        <v>43425</v>
      </c>
      <c r="U821" s="6" t="s">
        <v>13168</v>
      </c>
      <c r="V821" s="6" t="s">
        <v>81</v>
      </c>
      <c r="W821" s="6" t="s">
        <v>12657</v>
      </c>
      <c r="X821" s="6" t="s">
        <v>81</v>
      </c>
      <c r="Y821" s="21" t="s">
        <v>81</v>
      </c>
      <c r="Z821" s="6" t="s">
        <v>81</v>
      </c>
      <c r="AA821" s="6" t="s">
        <v>81</v>
      </c>
      <c r="AB821" s="6" t="s">
        <v>81</v>
      </c>
      <c r="AC821" s="6" t="s">
        <v>81</v>
      </c>
      <c r="AD821" s="21" t="s">
        <v>81</v>
      </c>
      <c r="AE821" s="6" t="s">
        <v>81</v>
      </c>
      <c r="AF821" s="6" t="s">
        <v>81</v>
      </c>
      <c r="AG821" s="6" t="s">
        <v>81</v>
      </c>
      <c r="AH821" s="6" t="s">
        <v>15404</v>
      </c>
      <c r="AI821" s="6" t="s">
        <v>81</v>
      </c>
      <c r="AJ821" s="6" t="s">
        <v>17377</v>
      </c>
      <c r="AK821" s="6" t="s">
        <v>18377</v>
      </c>
      <c r="AL821" s="6" t="s">
        <v>18444</v>
      </c>
      <c r="AM821" s="6" t="s">
        <v>18530</v>
      </c>
      <c r="AN821" s="6" t="s">
        <v>19638</v>
      </c>
      <c r="AO821" s="6" t="s">
        <v>19724</v>
      </c>
      <c r="AP821" s="6" t="s">
        <v>81</v>
      </c>
      <c r="AQ821" s="6" t="s">
        <v>81</v>
      </c>
      <c r="AR821" s="6" t="s">
        <v>81</v>
      </c>
      <c r="AS821" s="6" t="s">
        <v>81</v>
      </c>
      <c r="AT821" s="6" t="s">
        <v>81</v>
      </c>
      <c r="AU821" s="6" t="s">
        <v>81</v>
      </c>
      <c r="AV821" s="6" t="s">
        <v>81</v>
      </c>
      <c r="AW821" s="6" t="s">
        <v>81</v>
      </c>
      <c r="AX821" s="6" t="s">
        <v>81</v>
      </c>
      <c r="AY821" s="6" t="s">
        <v>81</v>
      </c>
      <c r="AZ821" s="6" t="s">
        <v>81</v>
      </c>
      <c r="BA821" s="6" t="s">
        <v>81</v>
      </c>
      <c r="BB821" s="24" t="n">
        <v>50</v>
      </c>
      <c r="BC821" s="26"/>
      <c r="BD821" s="26"/>
      <c r="BE821" s="26"/>
      <c r="BF821" s="26"/>
      <c r="BG821" s="26"/>
      <c r="BH821" s="26"/>
      <c r="BI821" s="26"/>
      <c r="BJ821" s="26"/>
      <c r="BK821" s="26"/>
      <c r="BL821" s="26"/>
      <c r="BM821" s="26"/>
      <c r="BN821" s="26"/>
      <c r="BO821" s="26"/>
      <c r="BP821" s="16" t="n">
        <v>45738</v>
      </c>
      <c r="BQ821" s="28" t="str">
        <f>HYPERLINK("https://organic.ams.usda.gov/Integrity/Certificate.aspx?cid=52&amp;nopid=8431801560")</f>
        <v>https://organic.ams.usda.gov/Integrity/Certificate.aspx?cid=52&amp;nopid=8431801560</v>
      </c>
    </row>
    <row r="822">
      <c r="A822" t="s">
        <v>3</v>
      </c>
      <c r="B822" s="6" t="s">
        <v>9</v>
      </c>
      <c r="C822" s="6" t="s">
        <v>56</v>
      </c>
      <c r="D822" s="6" t="s">
        <v>102</v>
      </c>
      <c r="E822" s="10" t="s">
        <v>963</v>
      </c>
      <c r="F822" s="6" t="s">
        <v>3692</v>
      </c>
      <c r="G822" s="6" t="s">
        <v>81</v>
      </c>
      <c r="H822" s="6" t="s">
        <v>6643</v>
      </c>
      <c r="I822" s="6" t="s">
        <v>8871</v>
      </c>
      <c r="J822" s="6" t="s">
        <v>9730</v>
      </c>
      <c r="K822" s="6" t="s">
        <v>10886</v>
      </c>
      <c r="L822" s="16" t="n">
        <v>45350</v>
      </c>
      <c r="M822" s="16" t="n">
        <v>45748</v>
      </c>
      <c r="N822" s="6" t="s">
        <v>10886</v>
      </c>
      <c r="O822" s="16" t="n">
        <v>45350</v>
      </c>
      <c r="P822" s="6" t="s">
        <v>10907</v>
      </c>
      <c r="Q822" s="6" t="s">
        <v>81</v>
      </c>
      <c r="R822" s="6" t="s">
        <v>12658</v>
      </c>
      <c r="S822" s="6" t="s">
        <v>10886</v>
      </c>
      <c r="T822" s="16" t="n">
        <v>45350</v>
      </c>
      <c r="U822" s="6" t="s">
        <v>13162</v>
      </c>
      <c r="V822" s="6" t="s">
        <v>81</v>
      </c>
      <c r="W822" s="6" t="s">
        <v>12658</v>
      </c>
      <c r="X822" s="6" t="s">
        <v>81</v>
      </c>
      <c r="Y822" s="21" t="s">
        <v>81</v>
      </c>
      <c r="Z822" s="6" t="s">
        <v>81</v>
      </c>
      <c r="AA822" s="6" t="s">
        <v>81</v>
      </c>
      <c r="AB822" s="6" t="s">
        <v>81</v>
      </c>
      <c r="AC822" s="6" t="s">
        <v>81</v>
      </c>
      <c r="AD822" s="21" t="s">
        <v>81</v>
      </c>
      <c r="AE822" s="6" t="s">
        <v>81</v>
      </c>
      <c r="AF822" s="6" t="s">
        <v>81</v>
      </c>
      <c r="AG822" s="6" t="s">
        <v>81</v>
      </c>
      <c r="AH822" s="6" t="s">
        <v>15405</v>
      </c>
      <c r="AI822" s="6" t="s">
        <v>81</v>
      </c>
      <c r="AJ822" s="6" t="s">
        <v>17376</v>
      </c>
      <c r="AK822" s="6" t="s">
        <v>18377</v>
      </c>
      <c r="AL822" s="6" t="s">
        <v>18444</v>
      </c>
      <c r="AM822" s="6" t="s">
        <v>18528</v>
      </c>
      <c r="AN822" s="6" t="s">
        <v>81</v>
      </c>
      <c r="AO822" s="6" t="s">
        <v>81</v>
      </c>
      <c r="AP822" s="6" t="s">
        <v>20204</v>
      </c>
      <c r="AQ822" s="6" t="s">
        <v>81</v>
      </c>
      <c r="AR822" s="6" t="s">
        <v>17376</v>
      </c>
      <c r="AS822" s="6" t="s">
        <v>18377</v>
      </c>
      <c r="AT822" s="6" t="s">
        <v>18444</v>
      </c>
      <c r="AU822" s="6" t="s">
        <v>18528</v>
      </c>
      <c r="AV822" s="6" t="s">
        <v>81</v>
      </c>
      <c r="AW822" s="6" t="s">
        <v>81</v>
      </c>
      <c r="AX822" s="6" t="s">
        <v>81</v>
      </c>
      <c r="AY822" s="6" t="s">
        <v>81</v>
      </c>
      <c r="AZ822" s="6" t="s">
        <v>81</v>
      </c>
      <c r="BA822" s="6" t="s">
        <v>81</v>
      </c>
      <c r="BB822" s="24" t="n">
        <v>118</v>
      </c>
      <c r="BC822" s="26"/>
      <c r="BD822" s="26"/>
      <c r="BE822" s="26"/>
      <c r="BF822" s="26"/>
      <c r="BG822" s="26"/>
      <c r="BH822" s="26"/>
      <c r="BI822" s="26"/>
      <c r="BJ822" s="26"/>
      <c r="BK822" s="26"/>
      <c r="BL822" s="26"/>
      <c r="BM822" s="26"/>
      <c r="BN822" s="26"/>
      <c r="BO822" s="26"/>
      <c r="BP822" s="16" t="n">
        <v>45738</v>
      </c>
      <c r="BQ822" s="28" t="str">
        <f>HYPERLINK("https://organic.ams.usda.gov/Integrity/Certificate.aspx?cid=52&amp;nopid=8432302179")</f>
        <v>https://organic.ams.usda.gov/Integrity/Certificate.aspx?cid=52&amp;nopid=8432302179</v>
      </c>
    </row>
    <row r="823">
      <c r="A823" t="s">
        <v>3</v>
      </c>
      <c r="B823" s="6" t="s">
        <v>8</v>
      </c>
      <c r="C823" s="6" t="s">
        <v>55</v>
      </c>
      <c r="D823" s="6" t="s">
        <v>101</v>
      </c>
      <c r="E823" s="10" t="s">
        <v>964</v>
      </c>
      <c r="F823" s="6" t="s">
        <v>3693</v>
      </c>
      <c r="G823" s="6" t="s">
        <v>81</v>
      </c>
      <c r="H823" s="6" t="s">
        <v>6644</v>
      </c>
      <c r="I823" s="6" t="s">
        <v>8540</v>
      </c>
      <c r="J823" s="6" t="s">
        <v>9679</v>
      </c>
      <c r="K823" s="6" t="s">
        <v>10886</v>
      </c>
      <c r="L823" s="16" t="n">
        <v>43402</v>
      </c>
      <c r="M823" s="16" t="n">
        <v>45748</v>
      </c>
      <c r="N823" s="6" t="s">
        <v>10886</v>
      </c>
      <c r="O823" s="16" t="n">
        <v>43402</v>
      </c>
      <c r="P823" s="6" t="s">
        <v>11395</v>
      </c>
      <c r="Q823" s="6" t="s">
        <v>81</v>
      </c>
      <c r="R823" s="6" t="s">
        <v>6644</v>
      </c>
      <c r="S823" s="6" t="s">
        <v>10886</v>
      </c>
      <c r="T823" s="16" t="n">
        <v>43402</v>
      </c>
      <c r="U823" s="6" t="s">
        <v>13173</v>
      </c>
      <c r="V823" s="6" t="s">
        <v>81</v>
      </c>
      <c r="W823" s="6" t="s">
        <v>6644</v>
      </c>
      <c r="X823" s="6" t="s">
        <v>81</v>
      </c>
      <c r="Y823" s="21" t="s">
        <v>81</v>
      </c>
      <c r="Z823" s="6" t="s">
        <v>81</v>
      </c>
      <c r="AA823" s="6" t="s">
        <v>81</v>
      </c>
      <c r="AB823" s="6" t="s">
        <v>81</v>
      </c>
      <c r="AC823" s="6" t="s">
        <v>81</v>
      </c>
      <c r="AD823" s="21" t="s">
        <v>81</v>
      </c>
      <c r="AE823" s="6" t="s">
        <v>81</v>
      </c>
      <c r="AF823" s="6" t="s">
        <v>81</v>
      </c>
      <c r="AG823" s="6" t="s">
        <v>81</v>
      </c>
      <c r="AH823" s="6" t="s">
        <v>15406</v>
      </c>
      <c r="AI823" s="6" t="s">
        <v>81</v>
      </c>
      <c r="AJ823" s="6" t="s">
        <v>17762</v>
      </c>
      <c r="AK823" s="6" t="s">
        <v>18380</v>
      </c>
      <c r="AL823" s="6" t="s">
        <v>18444</v>
      </c>
      <c r="AM823" s="6" t="s">
        <v>18935</v>
      </c>
      <c r="AN823" s="6" t="s">
        <v>19639</v>
      </c>
      <c r="AO823" s="6" t="s">
        <v>19725</v>
      </c>
      <c r="AP823" s="6" t="s">
        <v>81</v>
      </c>
      <c r="AQ823" s="6" t="s">
        <v>81</v>
      </c>
      <c r="AR823" s="6" t="s">
        <v>81</v>
      </c>
      <c r="AS823" s="6" t="s">
        <v>81</v>
      </c>
      <c r="AT823" s="6" t="s">
        <v>81</v>
      </c>
      <c r="AU823" s="6" t="s">
        <v>81</v>
      </c>
      <c r="AV823" s="6" t="s">
        <v>81</v>
      </c>
      <c r="AW823" s="6" t="s">
        <v>81</v>
      </c>
      <c r="AX823" s="6" t="s">
        <v>21264</v>
      </c>
      <c r="AY823" s="6" t="s">
        <v>81</v>
      </c>
      <c r="AZ823" s="6" t="s">
        <v>81</v>
      </c>
      <c r="BA823" s="6" t="s">
        <v>23819</v>
      </c>
      <c r="BB823" s="24" t="n">
        <v>120</v>
      </c>
      <c r="BC823" s="26"/>
      <c r="BD823" s="26"/>
      <c r="BE823" s="26"/>
      <c r="BF823" s="26" t="s">
        <v>23900</v>
      </c>
      <c r="BG823" s="26"/>
      <c r="BH823" s="26"/>
      <c r="BI823" s="26"/>
      <c r="BJ823" s="26"/>
      <c r="BK823" s="26"/>
      <c r="BL823" s="26"/>
      <c r="BM823" s="26"/>
      <c r="BN823" s="26"/>
      <c r="BO823" s="26"/>
      <c r="BP823" s="16" t="n">
        <v>45660</v>
      </c>
      <c r="BQ823" s="28" t="str">
        <f>HYPERLINK("https://organic.ams.usda.gov/Integrity/Certificate.aspx?cid=45&amp;nopid=9950010983")</f>
        <v>https://organic.ams.usda.gov/Integrity/Certificate.aspx?cid=45&amp;nopid=9950010983</v>
      </c>
    </row>
    <row r="824">
      <c r="A824" t="s">
        <v>3</v>
      </c>
      <c r="B824" s="6" t="s">
        <v>12</v>
      </c>
      <c r="C824" s="6" t="s">
        <v>59</v>
      </c>
      <c r="D824" s="6" t="s">
        <v>105</v>
      </c>
      <c r="E824" s="10" t="s">
        <v>965</v>
      </c>
      <c r="F824" s="6" t="s">
        <v>3694</v>
      </c>
      <c r="G824" s="6" t="s">
        <v>81</v>
      </c>
      <c r="H824" s="6" t="s">
        <v>6645</v>
      </c>
      <c r="I824" s="6" t="s">
        <v>8872</v>
      </c>
      <c r="J824" s="6" t="s">
        <v>10071</v>
      </c>
      <c r="K824" s="6" t="s">
        <v>10886</v>
      </c>
      <c r="L824" s="16" t="n">
        <v>39988</v>
      </c>
      <c r="M824" s="16" t="n">
        <v>45717</v>
      </c>
      <c r="N824" s="6" t="s">
        <v>10886</v>
      </c>
      <c r="O824" s="16" t="n">
        <v>39988</v>
      </c>
      <c r="P824" s="6" t="s">
        <v>11396</v>
      </c>
      <c r="Q824" s="6" t="s">
        <v>81</v>
      </c>
      <c r="R824" s="6" t="s">
        <v>81</v>
      </c>
      <c r="S824" s="6" t="s">
        <v>10886</v>
      </c>
      <c r="T824" s="16" t="n">
        <v>39988</v>
      </c>
      <c r="U824" s="6" t="s">
        <v>13464</v>
      </c>
      <c r="V824" s="6" t="s">
        <v>81</v>
      </c>
      <c r="W824" s="6" t="s">
        <v>81</v>
      </c>
      <c r="X824" s="6" t="s">
        <v>81</v>
      </c>
      <c r="Y824" s="21" t="s">
        <v>81</v>
      </c>
      <c r="Z824" s="6" t="s">
        <v>81</v>
      </c>
      <c r="AA824" s="6" t="s">
        <v>81</v>
      </c>
      <c r="AB824" s="6" t="s">
        <v>81</v>
      </c>
      <c r="AC824" s="6" t="s">
        <v>10886</v>
      </c>
      <c r="AD824" s="16" t="n">
        <v>39988</v>
      </c>
      <c r="AE824" s="6" t="s">
        <v>14160</v>
      </c>
      <c r="AF824" s="6" t="s">
        <v>81</v>
      </c>
      <c r="AG824" s="6" t="s">
        <v>81</v>
      </c>
      <c r="AH824" s="6" t="s">
        <v>15407</v>
      </c>
      <c r="AI824" s="6" t="s">
        <v>81</v>
      </c>
      <c r="AJ824" s="6" t="s">
        <v>17763</v>
      </c>
      <c r="AK824" s="6" t="s">
        <v>8428</v>
      </c>
      <c r="AL824" s="6" t="s">
        <v>18444</v>
      </c>
      <c r="AM824" s="6" t="s">
        <v>18936</v>
      </c>
      <c r="AN824" s="6" t="s">
        <v>19695</v>
      </c>
      <c r="AO824" s="6" t="s">
        <v>19862</v>
      </c>
      <c r="AP824" s="6" t="s">
        <v>20205</v>
      </c>
      <c r="AQ824" s="6" t="s">
        <v>81</v>
      </c>
      <c r="AR824" s="6" t="s">
        <v>17763</v>
      </c>
      <c r="AS824" s="6" t="s">
        <v>8428</v>
      </c>
      <c r="AT824" s="6" t="s">
        <v>18444</v>
      </c>
      <c r="AU824" s="6" t="s">
        <v>18936</v>
      </c>
      <c r="AV824" s="6" t="s">
        <v>81</v>
      </c>
      <c r="AW824" s="6" t="s">
        <v>81</v>
      </c>
      <c r="AX824" s="6" t="s">
        <v>81</v>
      </c>
      <c r="AY824" s="6" t="s">
        <v>22846</v>
      </c>
      <c r="AZ824" s="6" t="s">
        <v>81</v>
      </c>
      <c r="BA824" s="6" t="s">
        <v>81</v>
      </c>
      <c r="BB824" s="24" t="n">
        <v>482</v>
      </c>
      <c r="BC824" s="26"/>
      <c r="BD824" s="26"/>
      <c r="BE824" s="26"/>
      <c r="BF824" s="26"/>
      <c r="BG824" s="26"/>
      <c r="BH824" s="26"/>
      <c r="BI824" s="26"/>
      <c r="BJ824" s="26"/>
      <c r="BK824" s="26"/>
      <c r="BL824" s="26"/>
      <c r="BM824" s="26"/>
      <c r="BN824" s="26"/>
      <c r="BO824" s="26"/>
      <c r="BP824" s="16" t="n">
        <v>45684</v>
      </c>
      <c r="BQ824" s="28" t="str">
        <f>HYPERLINK("https://organic.ams.usda.gov/Integrity/Certificate.aspx?cid=68&amp;nopid=8210003536")</f>
        <v>https://organic.ams.usda.gov/Integrity/Certificate.aspx?cid=68&amp;nopid=8210003536</v>
      </c>
    </row>
    <row r="825">
      <c r="A825" t="s">
        <v>3</v>
      </c>
      <c r="B825" s="6" t="s">
        <v>7</v>
      </c>
      <c r="C825" s="6" t="s">
        <v>54</v>
      </c>
      <c r="D825" s="6" t="s">
        <v>100</v>
      </c>
      <c r="E825" s="10" t="s">
        <v>966</v>
      </c>
      <c r="F825" s="6" t="s">
        <v>3695</v>
      </c>
      <c r="G825" s="6" t="s">
        <v>81</v>
      </c>
      <c r="H825" s="6" t="s">
        <v>6646</v>
      </c>
      <c r="I825" s="6" t="s">
        <v>8513</v>
      </c>
      <c r="J825" s="6" t="s">
        <v>10072</v>
      </c>
      <c r="K825" s="6" t="s">
        <v>10886</v>
      </c>
      <c r="L825" s="16" t="n">
        <v>43844</v>
      </c>
      <c r="M825" s="16" t="n">
        <v>45716</v>
      </c>
      <c r="N825" s="6" t="s">
        <v>10886</v>
      </c>
      <c r="O825" s="16" t="n">
        <v>43844</v>
      </c>
      <c r="P825" s="6" t="s">
        <v>10910</v>
      </c>
      <c r="Q825" s="6" t="s">
        <v>81</v>
      </c>
      <c r="R825" s="6" t="s">
        <v>81</v>
      </c>
      <c r="S825" s="6" t="s">
        <v>10886</v>
      </c>
      <c r="T825" s="16" t="n">
        <v>43844</v>
      </c>
      <c r="U825" s="6" t="s">
        <v>13160</v>
      </c>
      <c r="V825" s="6" t="s">
        <v>81</v>
      </c>
      <c r="W825" s="6" t="s">
        <v>81</v>
      </c>
      <c r="X825" s="6" t="s">
        <v>81</v>
      </c>
      <c r="Y825" s="21" t="s">
        <v>81</v>
      </c>
      <c r="Z825" s="6" t="s">
        <v>81</v>
      </c>
      <c r="AA825" s="6" t="s">
        <v>81</v>
      </c>
      <c r="AB825" s="6" t="s">
        <v>81</v>
      </c>
      <c r="AC825" s="6" t="s">
        <v>81</v>
      </c>
      <c r="AD825" s="21" t="s">
        <v>81</v>
      </c>
      <c r="AE825" s="6" t="s">
        <v>81</v>
      </c>
      <c r="AF825" s="6" t="s">
        <v>81</v>
      </c>
      <c r="AG825" s="6" t="s">
        <v>81</v>
      </c>
      <c r="AH825" s="6" t="s">
        <v>15408</v>
      </c>
      <c r="AI825" s="6" t="s">
        <v>81</v>
      </c>
      <c r="AJ825" s="6" t="s">
        <v>17351</v>
      </c>
      <c r="AK825" s="6" t="s">
        <v>17712</v>
      </c>
      <c r="AL825" s="6" t="s">
        <v>18444</v>
      </c>
      <c r="AM825" s="6" t="s">
        <v>18505</v>
      </c>
      <c r="AN825" s="6" t="s">
        <v>19653</v>
      </c>
      <c r="AO825" s="6" t="s">
        <v>19744</v>
      </c>
      <c r="AP825" s="6" t="s">
        <v>20206</v>
      </c>
      <c r="AQ825" s="6" t="s">
        <v>81</v>
      </c>
      <c r="AR825" s="6" t="s">
        <v>17351</v>
      </c>
      <c r="AS825" s="6" t="s">
        <v>17712</v>
      </c>
      <c r="AT825" s="6" t="s">
        <v>18444</v>
      </c>
      <c r="AU825" s="6" t="s">
        <v>18505</v>
      </c>
      <c r="AV825" s="6" t="s">
        <v>81</v>
      </c>
      <c r="AW825" s="6" t="s">
        <v>81</v>
      </c>
      <c r="AX825" s="6" t="s">
        <v>21265</v>
      </c>
      <c r="AY825" s="6" t="s">
        <v>81</v>
      </c>
      <c r="AZ825" s="6" t="s">
        <v>81</v>
      </c>
      <c r="BA825" s="6" t="s">
        <v>81</v>
      </c>
      <c r="BB825" s="24" t="n">
        <v>98</v>
      </c>
      <c r="BC825" s="26"/>
      <c r="BD825" s="26"/>
      <c r="BE825" s="26"/>
      <c r="BF825" s="26" t="s">
        <v>23900</v>
      </c>
      <c r="BG825" s="26"/>
      <c r="BH825" s="26"/>
      <c r="BI825" s="26"/>
      <c r="BJ825" s="26"/>
      <c r="BK825" s="26"/>
      <c r="BL825" s="26"/>
      <c r="BM825" s="26"/>
      <c r="BN825" s="26"/>
      <c r="BO825" s="26"/>
      <c r="BP825" s="16" t="n">
        <v>45595</v>
      </c>
      <c r="BQ825" s="28" t="str">
        <f>HYPERLINK("https://organic.ams.usda.gov/Integrity/Certificate.aspx?cid=57&amp;nopid=3252019085")</f>
        <v>https://organic.ams.usda.gov/Integrity/Certificate.aspx?cid=57&amp;nopid=3252019085</v>
      </c>
    </row>
    <row r="826">
      <c r="A826" t="s">
        <v>3</v>
      </c>
      <c r="B826" s="6" t="s">
        <v>7</v>
      </c>
      <c r="C826" s="6" t="s">
        <v>54</v>
      </c>
      <c r="D826" s="6" t="s">
        <v>100</v>
      </c>
      <c r="E826" s="10" t="s">
        <v>967</v>
      </c>
      <c r="F826" s="6" t="s">
        <v>3696</v>
      </c>
      <c r="G826" s="6" t="s">
        <v>81</v>
      </c>
      <c r="H826" s="6" t="s">
        <v>6647</v>
      </c>
      <c r="I826" s="6" t="s">
        <v>8478</v>
      </c>
      <c r="J826" s="6" t="s">
        <v>10073</v>
      </c>
      <c r="K826" s="6" t="s">
        <v>10886</v>
      </c>
      <c r="L826" s="16" t="n">
        <v>42318</v>
      </c>
      <c r="M826" s="16" t="n">
        <v>45716</v>
      </c>
      <c r="N826" s="6" t="s">
        <v>10886</v>
      </c>
      <c r="O826" s="16" t="n">
        <v>42318</v>
      </c>
      <c r="P826" s="6" t="s">
        <v>10910</v>
      </c>
      <c r="Q826" s="6" t="s">
        <v>81</v>
      </c>
      <c r="R826" s="6" t="s">
        <v>81</v>
      </c>
      <c r="S826" s="6" t="s">
        <v>10886</v>
      </c>
      <c r="T826" s="16" t="n">
        <v>42979</v>
      </c>
      <c r="U826" s="6" t="s">
        <v>13169</v>
      </c>
      <c r="V826" s="6" t="s">
        <v>81</v>
      </c>
      <c r="W826" s="6" t="s">
        <v>81</v>
      </c>
      <c r="X826" s="6" t="s">
        <v>81</v>
      </c>
      <c r="Y826" s="21" t="s">
        <v>81</v>
      </c>
      <c r="Z826" s="6" t="s">
        <v>81</v>
      </c>
      <c r="AA826" s="6" t="s">
        <v>81</v>
      </c>
      <c r="AB826" s="6" t="s">
        <v>81</v>
      </c>
      <c r="AC826" s="6" t="s">
        <v>81</v>
      </c>
      <c r="AD826" s="21" t="s">
        <v>81</v>
      </c>
      <c r="AE826" s="6" t="s">
        <v>81</v>
      </c>
      <c r="AF826" s="6" t="s">
        <v>81</v>
      </c>
      <c r="AG826" s="6" t="s">
        <v>81</v>
      </c>
      <c r="AH826" s="6" t="s">
        <v>15409</v>
      </c>
      <c r="AI826" s="6" t="s">
        <v>81</v>
      </c>
      <c r="AJ826" s="6" t="s">
        <v>17764</v>
      </c>
      <c r="AK826" s="6" t="s">
        <v>17712</v>
      </c>
      <c r="AL826" s="6" t="s">
        <v>18444</v>
      </c>
      <c r="AM826" s="6" t="s">
        <v>18937</v>
      </c>
      <c r="AN826" s="6" t="s">
        <v>19669</v>
      </c>
      <c r="AO826" s="6" t="s">
        <v>19790</v>
      </c>
      <c r="AP826" s="6" t="s">
        <v>20207</v>
      </c>
      <c r="AQ826" s="6" t="s">
        <v>81</v>
      </c>
      <c r="AR826" s="6" t="s">
        <v>17764</v>
      </c>
      <c r="AS826" s="6" t="s">
        <v>17712</v>
      </c>
      <c r="AT826" s="6" t="s">
        <v>18444</v>
      </c>
      <c r="AU826" s="6" t="s">
        <v>18937</v>
      </c>
      <c r="AV826" s="6" t="s">
        <v>81</v>
      </c>
      <c r="AW826" s="6" t="s">
        <v>81</v>
      </c>
      <c r="AX826" s="6" t="s">
        <v>21266</v>
      </c>
      <c r="AY826" s="6" t="s">
        <v>22847</v>
      </c>
      <c r="AZ826" s="6" t="s">
        <v>81</v>
      </c>
      <c r="BA826" s="6" t="s">
        <v>81</v>
      </c>
      <c r="BB826" s="24" t="n">
        <v>1091</v>
      </c>
      <c r="BC826" s="26"/>
      <c r="BD826" s="26"/>
      <c r="BE826" s="26"/>
      <c r="BF826" s="26"/>
      <c r="BG826" s="26"/>
      <c r="BH826" s="26"/>
      <c r="BI826" s="26"/>
      <c r="BJ826" s="26"/>
      <c r="BK826" s="26"/>
      <c r="BL826" s="26"/>
      <c r="BM826" s="26"/>
      <c r="BN826" s="26"/>
      <c r="BO826" s="26"/>
      <c r="BP826" s="16" t="n">
        <v>45595</v>
      </c>
      <c r="BQ826" s="28" t="str">
        <f>HYPERLINK("https://organic.ams.usda.gov/Integrity/Certificate.aspx?cid=57&amp;nopid=3252015120")</f>
        <v>https://organic.ams.usda.gov/Integrity/Certificate.aspx?cid=57&amp;nopid=3252015120</v>
      </c>
    </row>
    <row r="827">
      <c r="A827" t="s">
        <v>3</v>
      </c>
      <c r="B827" s="6" t="s">
        <v>21</v>
      </c>
      <c r="C827" s="6" t="s">
        <v>68</v>
      </c>
      <c r="D827" s="6" t="s">
        <v>114</v>
      </c>
      <c r="E827" s="10" t="s">
        <v>968</v>
      </c>
      <c r="F827" s="6" t="s">
        <v>3697</v>
      </c>
      <c r="G827" s="6" t="s">
        <v>81</v>
      </c>
      <c r="H827" s="6" t="s">
        <v>6648</v>
      </c>
      <c r="I827" s="6" t="s">
        <v>8873</v>
      </c>
      <c r="J827" s="6" t="s">
        <v>10074</v>
      </c>
      <c r="K827" s="6" t="s">
        <v>10886</v>
      </c>
      <c r="L827" s="16" t="n">
        <v>37375</v>
      </c>
      <c r="M827" s="16" t="n">
        <v>46023</v>
      </c>
      <c r="N827" s="6" t="s">
        <v>81</v>
      </c>
      <c r="O827" s="21" t="s">
        <v>81</v>
      </c>
      <c r="P827" s="6" t="s">
        <v>81</v>
      </c>
      <c r="Q827" s="6" t="s">
        <v>81</v>
      </c>
      <c r="R827" s="6" t="s">
        <v>81</v>
      </c>
      <c r="S827" s="6" t="s">
        <v>81</v>
      </c>
      <c r="T827" s="21" t="s">
        <v>81</v>
      </c>
      <c r="U827" s="6" t="s">
        <v>81</v>
      </c>
      <c r="V827" s="6" t="s">
        <v>81</v>
      </c>
      <c r="W827" s="6" t="s">
        <v>81</v>
      </c>
      <c r="X827" s="6" t="s">
        <v>81</v>
      </c>
      <c r="Y827" s="21" t="s">
        <v>81</v>
      </c>
      <c r="Z827" s="6" t="s">
        <v>81</v>
      </c>
      <c r="AA827" s="6" t="s">
        <v>81</v>
      </c>
      <c r="AB827" s="6" t="s">
        <v>81</v>
      </c>
      <c r="AC827" s="6" t="s">
        <v>10886</v>
      </c>
      <c r="AD827" s="16" t="n">
        <v>37375</v>
      </c>
      <c r="AE827" s="6" t="s">
        <v>14161</v>
      </c>
      <c r="AF827" s="6" t="s">
        <v>81</v>
      </c>
      <c r="AG827" s="6" t="s">
        <v>81</v>
      </c>
      <c r="AH827" s="6" t="s">
        <v>81</v>
      </c>
      <c r="AI827" s="6" t="s">
        <v>81</v>
      </c>
      <c r="AJ827" s="6" t="s">
        <v>81</v>
      </c>
      <c r="AK827" s="6" t="s">
        <v>81</v>
      </c>
      <c r="AL827" s="6" t="s">
        <v>81</v>
      </c>
      <c r="AM827" s="6" t="s">
        <v>81</v>
      </c>
      <c r="AN827" s="6" t="s">
        <v>81</v>
      </c>
      <c r="AO827" s="6" t="s">
        <v>81</v>
      </c>
      <c r="AP827" s="6" t="s">
        <v>20208</v>
      </c>
      <c r="AQ827" s="6" t="s">
        <v>81</v>
      </c>
      <c r="AR827" s="6" t="s">
        <v>20522</v>
      </c>
      <c r="AS827" s="6" t="s">
        <v>18393</v>
      </c>
      <c r="AT827" s="6" t="s">
        <v>18444</v>
      </c>
      <c r="AU827" s="6" t="s">
        <v>20637</v>
      </c>
      <c r="AV827" s="6" t="s">
        <v>19636</v>
      </c>
      <c r="AW827" s="6" t="s">
        <v>20034</v>
      </c>
      <c r="AX827" s="6" t="s">
        <v>21267</v>
      </c>
      <c r="AY827" s="6" t="s">
        <v>22848</v>
      </c>
      <c r="AZ827" s="6" t="s">
        <v>23646</v>
      </c>
      <c r="BA827" s="6" t="s">
        <v>81</v>
      </c>
      <c r="BB827" s="6" t="s">
        <v>81</v>
      </c>
      <c r="BC827" s="26"/>
      <c r="BD827" s="26"/>
      <c r="BE827" s="26"/>
      <c r="BF827" s="26"/>
      <c r="BG827" s="26"/>
      <c r="BH827" s="26"/>
      <c r="BI827" s="26"/>
      <c r="BJ827" s="26"/>
      <c r="BK827" s="26"/>
      <c r="BL827" s="26"/>
      <c r="BM827" s="26"/>
      <c r="BN827" s="26"/>
      <c r="BO827" s="26"/>
      <c r="BP827" s="16" t="n">
        <v>45723</v>
      </c>
      <c r="BQ827" s="28" t="str">
        <f>HYPERLINK("https://organic.ams.usda.gov/Integrity/Certificate.aspx?cid=62&amp;nopid=8150001033")</f>
        <v>https://organic.ams.usda.gov/Integrity/Certificate.aspx?cid=62&amp;nopid=8150001033</v>
      </c>
    </row>
    <row r="828">
      <c r="A828" t="s">
        <v>3</v>
      </c>
      <c r="B828" s="6" t="s">
        <v>8</v>
      </c>
      <c r="C828" s="6" t="s">
        <v>55</v>
      </c>
      <c r="D828" s="6" t="s">
        <v>101</v>
      </c>
      <c r="E828" s="10" t="s">
        <v>969</v>
      </c>
      <c r="F828" s="6" t="s">
        <v>3698</v>
      </c>
      <c r="G828" s="6" t="s">
        <v>81</v>
      </c>
      <c r="H828" s="6" t="s">
        <v>6649</v>
      </c>
      <c r="I828" s="6" t="s">
        <v>8874</v>
      </c>
      <c r="J828" s="6" t="s">
        <v>10075</v>
      </c>
      <c r="K828" s="6" t="s">
        <v>10886</v>
      </c>
      <c r="L828" s="16" t="n">
        <v>44454</v>
      </c>
      <c r="M828" s="16" t="n">
        <v>45383</v>
      </c>
      <c r="N828" s="6" t="s">
        <v>10886</v>
      </c>
      <c r="O828" s="16" t="n">
        <v>44454</v>
      </c>
      <c r="P828" s="6" t="s">
        <v>11397</v>
      </c>
      <c r="Q828" s="6" t="s">
        <v>81</v>
      </c>
      <c r="R828" s="6" t="s">
        <v>6649</v>
      </c>
      <c r="S828" s="6" t="s">
        <v>10886</v>
      </c>
      <c r="T828" s="16" t="n">
        <v>44454</v>
      </c>
      <c r="U828" s="6" t="s">
        <v>13265</v>
      </c>
      <c r="V828" s="6" t="s">
        <v>81</v>
      </c>
      <c r="W828" s="6" t="s">
        <v>6649</v>
      </c>
      <c r="X828" s="6" t="s">
        <v>81</v>
      </c>
      <c r="Y828" s="21" t="s">
        <v>81</v>
      </c>
      <c r="Z828" s="6" t="s">
        <v>81</v>
      </c>
      <c r="AA828" s="6" t="s">
        <v>81</v>
      </c>
      <c r="AB828" s="6" t="s">
        <v>81</v>
      </c>
      <c r="AC828" s="6" t="s">
        <v>81</v>
      </c>
      <c r="AD828" s="21" t="s">
        <v>81</v>
      </c>
      <c r="AE828" s="6" t="s">
        <v>81</v>
      </c>
      <c r="AF828" s="6" t="s">
        <v>81</v>
      </c>
      <c r="AG828" s="6" t="s">
        <v>81</v>
      </c>
      <c r="AH828" s="6" t="s">
        <v>15410</v>
      </c>
      <c r="AI828" s="6" t="s">
        <v>81</v>
      </c>
      <c r="AJ828" s="6" t="s">
        <v>17765</v>
      </c>
      <c r="AK828" s="6" t="s">
        <v>18377</v>
      </c>
      <c r="AL828" s="6" t="s">
        <v>18444</v>
      </c>
      <c r="AM828" s="6" t="s">
        <v>18938</v>
      </c>
      <c r="AN828" s="6" t="s">
        <v>19672</v>
      </c>
      <c r="AO828" s="6" t="s">
        <v>19923</v>
      </c>
      <c r="AP828" s="6" t="s">
        <v>15410</v>
      </c>
      <c r="AQ828" s="6" t="s">
        <v>81</v>
      </c>
      <c r="AR828" s="6" t="s">
        <v>17765</v>
      </c>
      <c r="AS828" s="6" t="s">
        <v>18377</v>
      </c>
      <c r="AT828" s="6" t="s">
        <v>18444</v>
      </c>
      <c r="AU828" s="6" t="s">
        <v>18938</v>
      </c>
      <c r="AV828" s="6" t="s">
        <v>81</v>
      </c>
      <c r="AW828" s="6" t="s">
        <v>81</v>
      </c>
      <c r="AX828" s="6" t="s">
        <v>81</v>
      </c>
      <c r="AY828" s="6" t="s">
        <v>22849</v>
      </c>
      <c r="AZ828" s="6" t="s">
        <v>81</v>
      </c>
      <c r="BA828" s="6" t="s">
        <v>23824</v>
      </c>
      <c r="BB828" s="24" t="n">
        <v>373</v>
      </c>
      <c r="BC828" s="26"/>
      <c r="BD828" s="26"/>
      <c r="BE828" s="26"/>
      <c r="BF828" s="26" t="s">
        <v>23900</v>
      </c>
      <c r="BG828" s="26"/>
      <c r="BH828" s="26"/>
      <c r="BI828" s="26"/>
      <c r="BJ828" s="26"/>
      <c r="BK828" s="26"/>
      <c r="BL828" s="26"/>
      <c r="BM828" s="26"/>
      <c r="BN828" s="26"/>
      <c r="BO828" s="26"/>
      <c r="BP828" s="16" t="n">
        <v>45405</v>
      </c>
      <c r="BQ828" s="28" t="str">
        <f>HYPERLINK("https://organic.ams.usda.gov/Integrity/Certificate.aspx?cid=45&amp;nopid=9950013033")</f>
        <v>https://organic.ams.usda.gov/Integrity/Certificate.aspx?cid=45&amp;nopid=9950013033</v>
      </c>
    </row>
    <row r="829">
      <c r="A829" t="s">
        <v>3</v>
      </c>
      <c r="B829" s="6" t="s">
        <v>22</v>
      </c>
      <c r="C829" s="6" t="s">
        <v>69</v>
      </c>
      <c r="D829" s="6" t="s">
        <v>115</v>
      </c>
      <c r="E829" s="10" t="s">
        <v>970</v>
      </c>
      <c r="F829" s="6" t="s">
        <v>3699</v>
      </c>
      <c r="G829" s="6" t="s">
        <v>81</v>
      </c>
      <c r="H829" s="6" t="s">
        <v>6650</v>
      </c>
      <c r="I829" s="6" t="s">
        <v>8875</v>
      </c>
      <c r="J829" s="6" t="s">
        <v>10076</v>
      </c>
      <c r="K829" s="6" t="s">
        <v>10886</v>
      </c>
      <c r="L829" s="16" t="n">
        <v>44993</v>
      </c>
      <c r="M829" s="16" t="n">
        <v>45724</v>
      </c>
      <c r="N829" s="6" t="s">
        <v>81</v>
      </c>
      <c r="O829" s="21" t="s">
        <v>81</v>
      </c>
      <c r="P829" s="6" t="s">
        <v>81</v>
      </c>
      <c r="Q829" s="6" t="s">
        <v>81</v>
      </c>
      <c r="R829" s="6" t="s">
        <v>81</v>
      </c>
      <c r="S829" s="6" t="s">
        <v>81</v>
      </c>
      <c r="T829" s="21" t="s">
        <v>81</v>
      </c>
      <c r="U829" s="6" t="s">
        <v>81</v>
      </c>
      <c r="V829" s="6" t="s">
        <v>81</v>
      </c>
      <c r="W829" s="6" t="s">
        <v>81</v>
      </c>
      <c r="X829" s="6" t="s">
        <v>81</v>
      </c>
      <c r="Y829" s="21" t="s">
        <v>81</v>
      </c>
      <c r="Z829" s="6" t="s">
        <v>81</v>
      </c>
      <c r="AA829" s="6" t="s">
        <v>81</v>
      </c>
      <c r="AB829" s="6" t="s">
        <v>81</v>
      </c>
      <c r="AC829" s="6" t="s">
        <v>10886</v>
      </c>
      <c r="AD829" s="16" t="n">
        <v>44993</v>
      </c>
      <c r="AE829" s="6" t="s">
        <v>14162</v>
      </c>
      <c r="AF829" s="6" t="s">
        <v>81</v>
      </c>
      <c r="AG829" s="6" t="s">
        <v>81</v>
      </c>
      <c r="AH829" s="6" t="s">
        <v>15411</v>
      </c>
      <c r="AI829" s="6" t="s">
        <v>17284</v>
      </c>
      <c r="AJ829" s="6" t="s">
        <v>17766</v>
      </c>
      <c r="AK829" s="6" t="s">
        <v>18417</v>
      </c>
      <c r="AL829" s="6" t="s">
        <v>18447</v>
      </c>
      <c r="AM829" s="6" t="s">
        <v>81</v>
      </c>
      <c r="AN829" s="6" t="s">
        <v>81</v>
      </c>
      <c r="AO829" s="6" t="s">
        <v>81</v>
      </c>
      <c r="AP829" s="6" t="s">
        <v>20209</v>
      </c>
      <c r="AQ829" s="6" t="s">
        <v>20475</v>
      </c>
      <c r="AR829" s="6" t="s">
        <v>20523</v>
      </c>
      <c r="AS829" s="6" t="s">
        <v>81</v>
      </c>
      <c r="AT829" s="6" t="s">
        <v>18447</v>
      </c>
      <c r="AU829" s="6" t="s">
        <v>81</v>
      </c>
      <c r="AV829" s="6" t="s">
        <v>81</v>
      </c>
      <c r="AW829" s="6" t="s">
        <v>81</v>
      </c>
      <c r="AX829" s="6" t="s">
        <v>21268</v>
      </c>
      <c r="AY829" s="6" t="s">
        <v>22850</v>
      </c>
      <c r="AZ829" s="6" t="s">
        <v>81</v>
      </c>
      <c r="BA829" s="6" t="s">
        <v>81</v>
      </c>
      <c r="BB829" s="6" t="s">
        <v>81</v>
      </c>
      <c r="BC829" s="26"/>
      <c r="BD829" s="26"/>
      <c r="BE829" s="26"/>
      <c r="BF829" s="26"/>
      <c r="BG829" s="26"/>
      <c r="BH829" s="26"/>
      <c r="BI829" s="26"/>
      <c r="BJ829" s="26"/>
      <c r="BK829" s="26"/>
      <c r="BL829" s="26"/>
      <c r="BM829" s="26"/>
      <c r="BN829" s="26"/>
      <c r="BO829" s="26"/>
      <c r="BP829" s="16" t="n">
        <v>45625</v>
      </c>
      <c r="BQ829" s="28" t="str">
        <f>HYPERLINK("https://organic.ams.usda.gov/Integrity/Certificate.aspx?cid=21&amp;nopid=1780893841")</f>
        <v>https://organic.ams.usda.gov/Integrity/Certificate.aspx?cid=21&amp;nopid=1780893841</v>
      </c>
    </row>
    <row r="830">
      <c r="A830" t="s">
        <v>3</v>
      </c>
      <c r="B830" s="6" t="s">
        <v>10</v>
      </c>
      <c r="C830" s="6" t="s">
        <v>57</v>
      </c>
      <c r="D830" s="6" t="s">
        <v>103</v>
      </c>
      <c r="E830" s="10" t="s">
        <v>971</v>
      </c>
      <c r="F830" s="6" t="s">
        <v>3700</v>
      </c>
      <c r="G830" s="6" t="s">
        <v>81</v>
      </c>
      <c r="H830" s="6" t="s">
        <v>6651</v>
      </c>
      <c r="I830" s="6" t="s">
        <v>8876</v>
      </c>
      <c r="J830" s="6" t="s">
        <v>9742</v>
      </c>
      <c r="K830" s="6" t="s">
        <v>10886</v>
      </c>
      <c r="L830" s="16" t="n">
        <v>45545</v>
      </c>
      <c r="M830" s="16" t="n">
        <v>45748</v>
      </c>
      <c r="N830" s="6" t="s">
        <v>10886</v>
      </c>
      <c r="O830" s="16" t="n">
        <v>45545</v>
      </c>
      <c r="P830" s="6" t="s">
        <v>11398</v>
      </c>
      <c r="Q830" s="6" t="s">
        <v>81</v>
      </c>
      <c r="R830" s="6" t="s">
        <v>12659</v>
      </c>
      <c r="S830" s="6" t="s">
        <v>10886</v>
      </c>
      <c r="T830" s="16" t="n">
        <v>45545</v>
      </c>
      <c r="U830" s="6" t="s">
        <v>13163</v>
      </c>
      <c r="V830" s="6" t="s">
        <v>81</v>
      </c>
      <c r="W830" s="6" t="s">
        <v>81</v>
      </c>
      <c r="X830" s="6" t="s">
        <v>81</v>
      </c>
      <c r="Y830" s="21" t="s">
        <v>81</v>
      </c>
      <c r="Z830" s="6" t="s">
        <v>81</v>
      </c>
      <c r="AA830" s="6" t="s">
        <v>81</v>
      </c>
      <c r="AB830" s="6" t="s">
        <v>81</v>
      </c>
      <c r="AC830" s="6" t="s">
        <v>81</v>
      </c>
      <c r="AD830" s="21" t="s">
        <v>81</v>
      </c>
      <c r="AE830" s="6" t="s">
        <v>81</v>
      </c>
      <c r="AF830" s="6" t="s">
        <v>81</v>
      </c>
      <c r="AG830" s="6" t="s">
        <v>81</v>
      </c>
      <c r="AH830" s="6" t="s">
        <v>15412</v>
      </c>
      <c r="AI830" s="6" t="s">
        <v>81</v>
      </c>
      <c r="AJ830" s="6" t="s">
        <v>17315</v>
      </c>
      <c r="AK830" s="6" t="s">
        <v>18379</v>
      </c>
      <c r="AL830" s="6" t="s">
        <v>18444</v>
      </c>
      <c r="AM830" s="6" t="s">
        <v>18467</v>
      </c>
      <c r="AN830" s="6" t="s">
        <v>81</v>
      </c>
      <c r="AO830" s="6" t="s">
        <v>81</v>
      </c>
      <c r="AP830" s="6" t="s">
        <v>15412</v>
      </c>
      <c r="AQ830" s="6" t="s">
        <v>81</v>
      </c>
      <c r="AR830" s="6" t="s">
        <v>17315</v>
      </c>
      <c r="AS830" s="6" t="s">
        <v>18379</v>
      </c>
      <c r="AT830" s="6" t="s">
        <v>18444</v>
      </c>
      <c r="AU830" s="6" t="s">
        <v>18467</v>
      </c>
      <c r="AV830" s="6" t="s">
        <v>81</v>
      </c>
      <c r="AW830" s="6" t="s">
        <v>81</v>
      </c>
      <c r="AX830" s="6" t="s">
        <v>21269</v>
      </c>
      <c r="AY830" s="6" t="s">
        <v>81</v>
      </c>
      <c r="AZ830" s="6" t="s">
        <v>81</v>
      </c>
      <c r="BA830" s="6" t="s">
        <v>81</v>
      </c>
      <c r="BB830" s="24" t="n">
        <v>85</v>
      </c>
      <c r="BC830" s="26"/>
      <c r="BD830" s="26"/>
      <c r="BE830" s="26"/>
      <c r="BF830" s="26"/>
      <c r="BG830" s="26"/>
      <c r="BH830" s="26"/>
      <c r="BI830" s="26"/>
      <c r="BJ830" s="26"/>
      <c r="BK830" s="26"/>
      <c r="BL830" s="26"/>
      <c r="BM830" s="26"/>
      <c r="BN830" s="26"/>
      <c r="BO830" s="26"/>
      <c r="BP830" s="16" t="n">
        <v>45730</v>
      </c>
      <c r="BQ830" s="28" t="str">
        <f>HYPERLINK("https://organic.ams.usda.gov/Integrity/Certificate.aspx?cid=90&amp;nopid=7170240824")</f>
        <v>https://organic.ams.usda.gov/Integrity/Certificate.aspx?cid=90&amp;nopid=7170240824</v>
      </c>
    </row>
    <row r="831">
      <c r="A831" t="s">
        <v>3</v>
      </c>
      <c r="B831" s="6" t="s">
        <v>15</v>
      </c>
      <c r="C831" s="6" t="s">
        <v>62</v>
      </c>
      <c r="D831" s="6" t="s">
        <v>108</v>
      </c>
      <c r="E831" s="10" t="s">
        <v>972</v>
      </c>
      <c r="F831" s="6" t="s">
        <v>3701</v>
      </c>
      <c r="G831" s="6" t="s">
        <v>5670</v>
      </c>
      <c r="H831" s="6" t="s">
        <v>6652</v>
      </c>
      <c r="I831" s="6" t="s">
        <v>8877</v>
      </c>
      <c r="J831" s="6" t="s">
        <v>9675</v>
      </c>
      <c r="K831" s="6" t="s">
        <v>10886</v>
      </c>
      <c r="L831" s="16" t="n">
        <v>41127</v>
      </c>
      <c r="M831" s="16" t="n">
        <v>46157</v>
      </c>
      <c r="N831" s="6" t="s">
        <v>10886</v>
      </c>
      <c r="O831" s="16" t="n">
        <v>41127</v>
      </c>
      <c r="P831" s="6" t="s">
        <v>10935</v>
      </c>
      <c r="Q831" s="6" t="s">
        <v>81</v>
      </c>
      <c r="R831" s="6" t="s">
        <v>81</v>
      </c>
      <c r="S831" s="6" t="s">
        <v>10886</v>
      </c>
      <c r="T831" s="16" t="n">
        <v>41127</v>
      </c>
      <c r="U831" s="6" t="s">
        <v>13465</v>
      </c>
      <c r="V831" s="6" t="s">
        <v>81</v>
      </c>
      <c r="W831" s="6" t="s">
        <v>81</v>
      </c>
      <c r="X831" s="6" t="s">
        <v>81</v>
      </c>
      <c r="Y831" s="21" t="s">
        <v>81</v>
      </c>
      <c r="Z831" s="6" t="s">
        <v>81</v>
      </c>
      <c r="AA831" s="6" t="s">
        <v>81</v>
      </c>
      <c r="AB831" s="6" t="s">
        <v>81</v>
      </c>
      <c r="AC831" s="6" t="s">
        <v>81</v>
      </c>
      <c r="AD831" s="21" t="s">
        <v>81</v>
      </c>
      <c r="AE831" s="6" t="s">
        <v>81</v>
      </c>
      <c r="AF831" s="6" t="s">
        <v>81</v>
      </c>
      <c r="AG831" s="6" t="s">
        <v>81</v>
      </c>
      <c r="AH831" s="6" t="s">
        <v>15413</v>
      </c>
      <c r="AI831" s="6" t="s">
        <v>81</v>
      </c>
      <c r="AJ831" s="6" t="s">
        <v>17669</v>
      </c>
      <c r="AK831" s="6" t="s">
        <v>18384</v>
      </c>
      <c r="AL831" s="6" t="s">
        <v>18444</v>
      </c>
      <c r="AM831" s="6" t="s">
        <v>18836</v>
      </c>
      <c r="AN831" s="6" t="s">
        <v>8053</v>
      </c>
      <c r="AO831" s="6" t="s">
        <v>19894</v>
      </c>
      <c r="AP831" s="6" t="s">
        <v>15413</v>
      </c>
      <c r="AQ831" s="6" t="s">
        <v>81</v>
      </c>
      <c r="AR831" s="6" t="s">
        <v>17669</v>
      </c>
      <c r="AS831" s="6" t="s">
        <v>18384</v>
      </c>
      <c r="AT831" s="6" t="s">
        <v>18444</v>
      </c>
      <c r="AU831" s="6" t="s">
        <v>18836</v>
      </c>
      <c r="AV831" s="6" t="s">
        <v>81</v>
      </c>
      <c r="AW831" s="6" t="s">
        <v>81</v>
      </c>
      <c r="AX831" s="6" t="s">
        <v>21270</v>
      </c>
      <c r="AY831" s="6" t="s">
        <v>81</v>
      </c>
      <c r="AZ831" s="6" t="s">
        <v>81</v>
      </c>
      <c r="BA831" s="6" t="s">
        <v>81</v>
      </c>
      <c r="BB831" s="24" t="n">
        <v>158</v>
      </c>
      <c r="BC831" s="26"/>
      <c r="BD831" s="26"/>
      <c r="BE831" s="26"/>
      <c r="BF831" s="26" t="s">
        <v>23900</v>
      </c>
      <c r="BG831" s="26"/>
      <c r="BH831" s="26"/>
      <c r="BI831" s="26"/>
      <c r="BJ831" s="26"/>
      <c r="BK831" s="26"/>
      <c r="BL831" s="26"/>
      <c r="BM831" s="26"/>
      <c r="BN831" s="26"/>
      <c r="BO831" s="26"/>
      <c r="BP831" s="16" t="n">
        <v>45737</v>
      </c>
      <c r="BQ831" s="28" t="str">
        <f>HYPERLINK("https://organic.ams.usda.gov/Integrity/Certificate.aspx?cid=58&amp;nopid=1600001979")</f>
        <v>https://organic.ams.usda.gov/Integrity/Certificate.aspx?cid=58&amp;nopid=1600001979</v>
      </c>
    </row>
    <row r="832">
      <c r="A832" t="s">
        <v>3</v>
      </c>
      <c r="B832" s="6" t="s">
        <v>12</v>
      </c>
      <c r="C832" s="6" t="s">
        <v>59</v>
      </c>
      <c r="D832" s="6" t="s">
        <v>105</v>
      </c>
      <c r="E832" s="10" t="s">
        <v>973</v>
      </c>
      <c r="F832" s="6" t="s">
        <v>3702</v>
      </c>
      <c r="G832" s="6" t="s">
        <v>81</v>
      </c>
      <c r="H832" s="6" t="s">
        <v>6653</v>
      </c>
      <c r="I832" s="6" t="s">
        <v>8877</v>
      </c>
      <c r="J832" s="6" t="s">
        <v>9669</v>
      </c>
      <c r="K832" s="6" t="s">
        <v>10886</v>
      </c>
      <c r="L832" s="16" t="n">
        <v>39150</v>
      </c>
      <c r="M832" s="16" t="n">
        <v>45717</v>
      </c>
      <c r="N832" s="6" t="s">
        <v>10886</v>
      </c>
      <c r="O832" s="16" t="n">
        <v>39150</v>
      </c>
      <c r="P832" s="6" t="s">
        <v>10944</v>
      </c>
      <c r="Q832" s="6" t="s">
        <v>81</v>
      </c>
      <c r="R832" s="6" t="s">
        <v>81</v>
      </c>
      <c r="S832" s="6" t="s">
        <v>10886</v>
      </c>
      <c r="T832" s="16" t="n">
        <v>39150</v>
      </c>
      <c r="U832" s="6" t="s">
        <v>13290</v>
      </c>
      <c r="V832" s="6" t="s">
        <v>81</v>
      </c>
      <c r="W832" s="6" t="s">
        <v>81</v>
      </c>
      <c r="X832" s="6" t="s">
        <v>81</v>
      </c>
      <c r="Y832" s="21" t="s">
        <v>81</v>
      </c>
      <c r="Z832" s="6" t="s">
        <v>81</v>
      </c>
      <c r="AA832" s="6" t="s">
        <v>81</v>
      </c>
      <c r="AB832" s="6" t="s">
        <v>81</v>
      </c>
      <c r="AC832" s="6" t="s">
        <v>81</v>
      </c>
      <c r="AD832" s="21" t="s">
        <v>81</v>
      </c>
      <c r="AE832" s="6" t="s">
        <v>81</v>
      </c>
      <c r="AF832" s="6" t="s">
        <v>81</v>
      </c>
      <c r="AG832" s="6" t="s">
        <v>81</v>
      </c>
      <c r="AH832" s="6" t="s">
        <v>15414</v>
      </c>
      <c r="AI832" s="6" t="s">
        <v>81</v>
      </c>
      <c r="AJ832" s="6" t="s">
        <v>17670</v>
      </c>
      <c r="AK832" s="6" t="s">
        <v>18380</v>
      </c>
      <c r="AL832" s="6" t="s">
        <v>18444</v>
      </c>
      <c r="AM832" s="6" t="s">
        <v>18837</v>
      </c>
      <c r="AN832" s="6" t="s">
        <v>19686</v>
      </c>
      <c r="AO832" s="6" t="s">
        <v>19817</v>
      </c>
      <c r="AP832" s="6" t="s">
        <v>15414</v>
      </c>
      <c r="AQ832" s="6" t="s">
        <v>81</v>
      </c>
      <c r="AR832" s="6" t="s">
        <v>17670</v>
      </c>
      <c r="AS832" s="6" t="s">
        <v>18380</v>
      </c>
      <c r="AT832" s="6" t="s">
        <v>18444</v>
      </c>
      <c r="AU832" s="6" t="s">
        <v>18837</v>
      </c>
      <c r="AV832" s="6" t="s">
        <v>81</v>
      </c>
      <c r="AW832" s="6" t="s">
        <v>81</v>
      </c>
      <c r="AX832" s="6" t="s">
        <v>21271</v>
      </c>
      <c r="AY832" s="6" t="s">
        <v>81</v>
      </c>
      <c r="AZ832" s="6" t="s">
        <v>81</v>
      </c>
      <c r="BA832" s="6" t="s">
        <v>81</v>
      </c>
      <c r="BB832" s="24" t="n">
        <v>64</v>
      </c>
      <c r="BC832" s="26"/>
      <c r="BD832" s="26"/>
      <c r="BE832" s="26"/>
      <c r="BF832" s="26"/>
      <c r="BG832" s="26"/>
      <c r="BH832" s="26"/>
      <c r="BI832" s="26"/>
      <c r="BJ832" s="26"/>
      <c r="BK832" s="26"/>
      <c r="BL832" s="26"/>
      <c r="BM832" s="26"/>
      <c r="BN832" s="26"/>
      <c r="BO832" s="26"/>
      <c r="BP832" s="16" t="n">
        <v>45699</v>
      </c>
      <c r="BQ832" s="28" t="str">
        <f>HYPERLINK("https://organic.ams.usda.gov/Integrity/Certificate.aspx?cid=68&amp;nopid=8210002714")</f>
        <v>https://organic.ams.usda.gov/Integrity/Certificate.aspx?cid=68&amp;nopid=8210002714</v>
      </c>
    </row>
    <row r="833">
      <c r="A833" t="s">
        <v>3</v>
      </c>
      <c r="B833" s="6" t="s">
        <v>9</v>
      </c>
      <c r="C833" s="6" t="s">
        <v>56</v>
      </c>
      <c r="D833" s="6" t="s">
        <v>102</v>
      </c>
      <c r="E833" s="10" t="s">
        <v>974</v>
      </c>
      <c r="F833" s="6" t="s">
        <v>3703</v>
      </c>
      <c r="G833" s="6" t="s">
        <v>81</v>
      </c>
      <c r="H833" s="6" t="s">
        <v>6654</v>
      </c>
      <c r="I833" s="6" t="s">
        <v>8877</v>
      </c>
      <c r="J833" s="6" t="s">
        <v>9701</v>
      </c>
      <c r="K833" s="6" t="s">
        <v>10886</v>
      </c>
      <c r="L833" s="16" t="n">
        <v>45162</v>
      </c>
      <c r="M833" s="16" t="n">
        <v>46113</v>
      </c>
      <c r="N833" s="6" t="s">
        <v>10886</v>
      </c>
      <c r="O833" s="16" t="n">
        <v>45162</v>
      </c>
      <c r="P833" s="6" t="s">
        <v>11399</v>
      </c>
      <c r="Q833" s="6" t="s">
        <v>81</v>
      </c>
      <c r="R833" s="6" t="s">
        <v>12660</v>
      </c>
      <c r="S833" s="6" t="s">
        <v>10886</v>
      </c>
      <c r="T833" s="16" t="n">
        <v>45162</v>
      </c>
      <c r="U833" s="6" t="s">
        <v>13168</v>
      </c>
      <c r="V833" s="6" t="s">
        <v>81</v>
      </c>
      <c r="W833" s="6" t="s">
        <v>12660</v>
      </c>
      <c r="X833" s="6" t="s">
        <v>81</v>
      </c>
      <c r="Y833" s="21" t="s">
        <v>81</v>
      </c>
      <c r="Z833" s="6" t="s">
        <v>81</v>
      </c>
      <c r="AA833" s="6" t="s">
        <v>81</v>
      </c>
      <c r="AB833" s="6" t="s">
        <v>81</v>
      </c>
      <c r="AC833" s="6" t="s">
        <v>81</v>
      </c>
      <c r="AD833" s="21" t="s">
        <v>81</v>
      </c>
      <c r="AE833" s="6" t="s">
        <v>81</v>
      </c>
      <c r="AF833" s="6" t="s">
        <v>81</v>
      </c>
      <c r="AG833" s="6" t="s">
        <v>81</v>
      </c>
      <c r="AH833" s="6" t="s">
        <v>15415</v>
      </c>
      <c r="AI833" s="6" t="s">
        <v>81</v>
      </c>
      <c r="AJ833" s="6" t="s">
        <v>17413</v>
      </c>
      <c r="AK833" s="6" t="s">
        <v>18380</v>
      </c>
      <c r="AL833" s="6" t="s">
        <v>18444</v>
      </c>
      <c r="AM833" s="6" t="s">
        <v>18569</v>
      </c>
      <c r="AN833" s="6" t="s">
        <v>19639</v>
      </c>
      <c r="AO833" s="6" t="s">
        <v>19725</v>
      </c>
      <c r="AP833" s="6" t="s">
        <v>81</v>
      </c>
      <c r="AQ833" s="6" t="s">
        <v>81</v>
      </c>
      <c r="AR833" s="6" t="s">
        <v>81</v>
      </c>
      <c r="AS833" s="6" t="s">
        <v>81</v>
      </c>
      <c r="AT833" s="6" t="s">
        <v>81</v>
      </c>
      <c r="AU833" s="6" t="s">
        <v>81</v>
      </c>
      <c r="AV833" s="6" t="s">
        <v>81</v>
      </c>
      <c r="AW833" s="6" t="s">
        <v>81</v>
      </c>
      <c r="AX833" s="6" t="s">
        <v>81</v>
      </c>
      <c r="AY833" s="6" t="s">
        <v>81</v>
      </c>
      <c r="AZ833" s="6" t="s">
        <v>81</v>
      </c>
      <c r="BA833" s="6" t="s">
        <v>81</v>
      </c>
      <c r="BB833" s="24" t="n">
        <v>75</v>
      </c>
      <c r="BC833" s="26"/>
      <c r="BD833" s="26"/>
      <c r="BE833" s="26"/>
      <c r="BF833" s="26"/>
      <c r="BG833" s="26"/>
      <c r="BH833" s="26"/>
      <c r="BI833" s="26"/>
      <c r="BJ833" s="26"/>
      <c r="BK833" s="26"/>
      <c r="BL833" s="26"/>
      <c r="BM833" s="26"/>
      <c r="BN833" s="26"/>
      <c r="BO833" s="26"/>
      <c r="BP833" s="16" t="n">
        <v>45738</v>
      </c>
      <c r="BQ833" s="28" t="str">
        <f>HYPERLINK("https://organic.ams.usda.gov/Integrity/Certificate.aspx?cid=52&amp;nopid=8432302135")</f>
        <v>https://organic.ams.usda.gov/Integrity/Certificate.aspx?cid=52&amp;nopid=8432302135</v>
      </c>
    </row>
    <row r="834">
      <c r="A834" t="s">
        <v>3</v>
      </c>
      <c r="B834" s="6" t="s">
        <v>10</v>
      </c>
      <c r="C834" s="6" t="s">
        <v>57</v>
      </c>
      <c r="D834" s="6" t="s">
        <v>103</v>
      </c>
      <c r="E834" s="10" t="s">
        <v>975</v>
      </c>
      <c r="F834" s="6" t="s">
        <v>3704</v>
      </c>
      <c r="G834" s="6" t="s">
        <v>81</v>
      </c>
      <c r="H834" s="6" t="s">
        <v>6655</v>
      </c>
      <c r="I834" s="6" t="s">
        <v>8878</v>
      </c>
      <c r="J834" s="6" t="s">
        <v>9742</v>
      </c>
      <c r="K834" s="6" t="s">
        <v>10886</v>
      </c>
      <c r="L834" s="16" t="n">
        <v>42661</v>
      </c>
      <c r="M834" s="16" t="n">
        <v>45748</v>
      </c>
      <c r="N834" s="6" t="s">
        <v>10886</v>
      </c>
      <c r="O834" s="16" t="n">
        <v>42661</v>
      </c>
      <c r="P834" s="6" t="s">
        <v>11400</v>
      </c>
      <c r="Q834" s="6" t="s">
        <v>81</v>
      </c>
      <c r="R834" s="6" t="s">
        <v>12661</v>
      </c>
      <c r="S834" s="6" t="s">
        <v>10886</v>
      </c>
      <c r="T834" s="16" t="n">
        <v>42661</v>
      </c>
      <c r="U834" s="6" t="s">
        <v>13163</v>
      </c>
      <c r="V834" s="6" t="s">
        <v>81</v>
      </c>
      <c r="W834" s="6" t="s">
        <v>81</v>
      </c>
      <c r="X834" s="6" t="s">
        <v>81</v>
      </c>
      <c r="Y834" s="21" t="s">
        <v>81</v>
      </c>
      <c r="Z834" s="6" t="s">
        <v>81</v>
      </c>
      <c r="AA834" s="6" t="s">
        <v>81</v>
      </c>
      <c r="AB834" s="6" t="s">
        <v>81</v>
      </c>
      <c r="AC834" s="6" t="s">
        <v>81</v>
      </c>
      <c r="AD834" s="21" t="s">
        <v>81</v>
      </c>
      <c r="AE834" s="6" t="s">
        <v>81</v>
      </c>
      <c r="AF834" s="6" t="s">
        <v>81</v>
      </c>
      <c r="AG834" s="6" t="s">
        <v>81</v>
      </c>
      <c r="AH834" s="6" t="s">
        <v>15416</v>
      </c>
      <c r="AI834" s="6" t="s">
        <v>81</v>
      </c>
      <c r="AJ834" s="6" t="s">
        <v>17767</v>
      </c>
      <c r="AK834" s="6" t="s">
        <v>18391</v>
      </c>
      <c r="AL834" s="6" t="s">
        <v>18444</v>
      </c>
      <c r="AM834" s="6" t="s">
        <v>18939</v>
      </c>
      <c r="AN834" s="6" t="s">
        <v>6102</v>
      </c>
      <c r="AO834" s="6" t="s">
        <v>19924</v>
      </c>
      <c r="AP834" s="6" t="s">
        <v>15416</v>
      </c>
      <c r="AQ834" s="6" t="s">
        <v>81</v>
      </c>
      <c r="AR834" s="6" t="s">
        <v>17767</v>
      </c>
      <c r="AS834" s="6" t="s">
        <v>18391</v>
      </c>
      <c r="AT834" s="6" t="s">
        <v>18444</v>
      </c>
      <c r="AU834" s="6" t="s">
        <v>18939</v>
      </c>
      <c r="AV834" s="6" t="s">
        <v>81</v>
      </c>
      <c r="AW834" s="6" t="s">
        <v>81</v>
      </c>
      <c r="AX834" s="6" t="s">
        <v>21272</v>
      </c>
      <c r="AY834" s="6" t="s">
        <v>81</v>
      </c>
      <c r="AZ834" s="6" t="s">
        <v>81</v>
      </c>
      <c r="BA834" s="6" t="s">
        <v>81</v>
      </c>
      <c r="BB834" s="24" t="n">
        <v>168</v>
      </c>
      <c r="BC834" s="26"/>
      <c r="BD834" s="26"/>
      <c r="BE834" s="26"/>
      <c r="BF834" s="26"/>
      <c r="BG834" s="26"/>
      <c r="BH834" s="26"/>
      <c r="BI834" s="26"/>
      <c r="BJ834" s="26"/>
      <c r="BK834" s="26"/>
      <c r="BL834" s="26"/>
      <c r="BM834" s="26"/>
      <c r="BN834" s="26"/>
      <c r="BO834" s="26"/>
      <c r="BP834" s="16" t="n">
        <v>45730</v>
      </c>
      <c r="BQ834" s="28" t="str">
        <f>HYPERLINK("https://organic.ams.usda.gov/Integrity/Certificate.aspx?cid=90&amp;nopid=7170210292")</f>
        <v>https://organic.ams.usda.gov/Integrity/Certificate.aspx?cid=90&amp;nopid=7170210292</v>
      </c>
    </row>
    <row r="835">
      <c r="A835" t="s">
        <v>3</v>
      </c>
      <c r="B835" s="6" t="s">
        <v>12</v>
      </c>
      <c r="C835" s="6" t="s">
        <v>59</v>
      </c>
      <c r="D835" s="6" t="s">
        <v>105</v>
      </c>
      <c r="E835" s="10" t="s">
        <v>976</v>
      </c>
      <c r="F835" s="6" t="s">
        <v>3705</v>
      </c>
      <c r="G835" s="6" t="s">
        <v>81</v>
      </c>
      <c r="H835" s="6" t="s">
        <v>6656</v>
      </c>
      <c r="I835" s="6" t="s">
        <v>8879</v>
      </c>
      <c r="J835" s="6" t="s">
        <v>10053</v>
      </c>
      <c r="K835" s="6" t="s">
        <v>10886</v>
      </c>
      <c r="L835" s="16" t="n">
        <v>43676</v>
      </c>
      <c r="M835" s="16" t="n">
        <v>45717</v>
      </c>
      <c r="N835" s="6" t="s">
        <v>10886</v>
      </c>
      <c r="O835" s="16" t="n">
        <v>43676</v>
      </c>
      <c r="P835" s="6" t="s">
        <v>10977</v>
      </c>
      <c r="Q835" s="6" t="s">
        <v>81</v>
      </c>
      <c r="R835" s="6" t="s">
        <v>81</v>
      </c>
      <c r="S835" s="6" t="s">
        <v>10886</v>
      </c>
      <c r="T835" s="16" t="n">
        <v>43676</v>
      </c>
      <c r="U835" s="6" t="s">
        <v>13466</v>
      </c>
      <c r="V835" s="6" t="s">
        <v>81</v>
      </c>
      <c r="W835" s="6" t="s">
        <v>81</v>
      </c>
      <c r="X835" s="6" t="s">
        <v>81</v>
      </c>
      <c r="Y835" s="21" t="s">
        <v>81</v>
      </c>
      <c r="Z835" s="6" t="s">
        <v>81</v>
      </c>
      <c r="AA835" s="6" t="s">
        <v>81</v>
      </c>
      <c r="AB835" s="6" t="s">
        <v>81</v>
      </c>
      <c r="AC835" s="6" t="s">
        <v>81</v>
      </c>
      <c r="AD835" s="21" t="s">
        <v>81</v>
      </c>
      <c r="AE835" s="6" t="s">
        <v>81</v>
      </c>
      <c r="AF835" s="6" t="s">
        <v>81</v>
      </c>
      <c r="AG835" s="6" t="s">
        <v>81</v>
      </c>
      <c r="AH835" s="6" t="s">
        <v>15417</v>
      </c>
      <c r="AI835" s="6" t="s">
        <v>81</v>
      </c>
      <c r="AJ835" s="6" t="s">
        <v>17743</v>
      </c>
      <c r="AK835" s="6" t="s">
        <v>18380</v>
      </c>
      <c r="AL835" s="6" t="s">
        <v>18444</v>
      </c>
      <c r="AM835" s="6" t="s">
        <v>18911</v>
      </c>
      <c r="AN835" s="6" t="s">
        <v>19637</v>
      </c>
      <c r="AO835" s="6" t="s">
        <v>19904</v>
      </c>
      <c r="AP835" s="6" t="s">
        <v>15417</v>
      </c>
      <c r="AQ835" s="6" t="s">
        <v>81</v>
      </c>
      <c r="AR835" s="6" t="s">
        <v>17743</v>
      </c>
      <c r="AS835" s="6" t="s">
        <v>18380</v>
      </c>
      <c r="AT835" s="6" t="s">
        <v>18444</v>
      </c>
      <c r="AU835" s="6" t="s">
        <v>18911</v>
      </c>
      <c r="AV835" s="6" t="s">
        <v>81</v>
      </c>
      <c r="AW835" s="6" t="s">
        <v>81</v>
      </c>
      <c r="AX835" s="6" t="s">
        <v>21273</v>
      </c>
      <c r="AY835" s="6" t="s">
        <v>81</v>
      </c>
      <c r="AZ835" s="6" t="s">
        <v>81</v>
      </c>
      <c r="BA835" s="6" t="s">
        <v>81</v>
      </c>
      <c r="BB835" s="24" t="n">
        <v>58</v>
      </c>
      <c r="BC835" s="26"/>
      <c r="BD835" s="26"/>
      <c r="BE835" s="26"/>
      <c r="BF835" s="26"/>
      <c r="BG835" s="26"/>
      <c r="BH835" s="26"/>
      <c r="BI835" s="26"/>
      <c r="BJ835" s="26"/>
      <c r="BK835" s="26"/>
      <c r="BL835" s="26"/>
      <c r="BM835" s="26"/>
      <c r="BN835" s="26"/>
      <c r="BO835" s="26"/>
      <c r="BP835" s="16" t="n">
        <v>45684</v>
      </c>
      <c r="BQ835" s="28" t="str">
        <f>HYPERLINK("https://organic.ams.usda.gov/Integrity/Certificate.aspx?cid=68&amp;nopid=8210005765")</f>
        <v>https://organic.ams.usda.gov/Integrity/Certificate.aspx?cid=68&amp;nopid=8210005765</v>
      </c>
    </row>
    <row r="836">
      <c r="A836" t="s">
        <v>3</v>
      </c>
      <c r="B836" s="6" t="s">
        <v>10</v>
      </c>
      <c r="C836" s="6" t="s">
        <v>57</v>
      </c>
      <c r="D836" s="6" t="s">
        <v>103</v>
      </c>
      <c r="E836" s="10" t="s">
        <v>977</v>
      </c>
      <c r="F836" s="6" t="s">
        <v>3706</v>
      </c>
      <c r="G836" s="6" t="s">
        <v>81</v>
      </c>
      <c r="H836" s="6" t="s">
        <v>6657</v>
      </c>
      <c r="I836" s="6" t="s">
        <v>8877</v>
      </c>
      <c r="J836" s="6" t="s">
        <v>9734</v>
      </c>
      <c r="K836" s="6" t="s">
        <v>10886</v>
      </c>
      <c r="L836" s="16" t="n">
        <v>42251</v>
      </c>
      <c r="M836" s="16" t="n">
        <v>45748</v>
      </c>
      <c r="N836" s="6" t="s">
        <v>10886</v>
      </c>
      <c r="O836" s="16" t="n">
        <v>44643</v>
      </c>
      <c r="P836" s="6" t="s">
        <v>11401</v>
      </c>
      <c r="Q836" s="6" t="s">
        <v>81</v>
      </c>
      <c r="R836" s="6" t="s">
        <v>12662</v>
      </c>
      <c r="S836" s="6" t="s">
        <v>10886</v>
      </c>
      <c r="T836" s="16" t="n">
        <v>44643</v>
      </c>
      <c r="U836" s="6" t="s">
        <v>13163</v>
      </c>
      <c r="V836" s="6" t="s">
        <v>81</v>
      </c>
      <c r="W836" s="6" t="s">
        <v>81</v>
      </c>
      <c r="X836" s="6" t="s">
        <v>81</v>
      </c>
      <c r="Y836" s="21" t="s">
        <v>81</v>
      </c>
      <c r="Z836" s="6" t="s">
        <v>81</v>
      </c>
      <c r="AA836" s="6" t="s">
        <v>81</v>
      </c>
      <c r="AB836" s="6" t="s">
        <v>81</v>
      </c>
      <c r="AC836" s="6" t="s">
        <v>81</v>
      </c>
      <c r="AD836" s="21" t="s">
        <v>81</v>
      </c>
      <c r="AE836" s="6" t="s">
        <v>81</v>
      </c>
      <c r="AF836" s="6" t="s">
        <v>81</v>
      </c>
      <c r="AG836" s="6" t="s">
        <v>81</v>
      </c>
      <c r="AH836" s="6" t="s">
        <v>15418</v>
      </c>
      <c r="AI836" s="6" t="s">
        <v>81</v>
      </c>
      <c r="AJ836" s="6" t="s">
        <v>17315</v>
      </c>
      <c r="AK836" s="6" t="s">
        <v>18379</v>
      </c>
      <c r="AL836" s="6" t="s">
        <v>18444</v>
      </c>
      <c r="AM836" s="6" t="s">
        <v>18467</v>
      </c>
      <c r="AN836" s="6" t="s">
        <v>19637</v>
      </c>
      <c r="AO836" s="6" t="s">
        <v>19723</v>
      </c>
      <c r="AP836" s="6" t="s">
        <v>15418</v>
      </c>
      <c r="AQ836" s="6" t="s">
        <v>81</v>
      </c>
      <c r="AR836" s="6" t="s">
        <v>17315</v>
      </c>
      <c r="AS836" s="6" t="s">
        <v>18379</v>
      </c>
      <c r="AT836" s="6" t="s">
        <v>18444</v>
      </c>
      <c r="AU836" s="6" t="s">
        <v>18467</v>
      </c>
      <c r="AV836" s="6" t="s">
        <v>81</v>
      </c>
      <c r="AW836" s="6" t="s">
        <v>81</v>
      </c>
      <c r="AX836" s="6" t="s">
        <v>21274</v>
      </c>
      <c r="AY836" s="6" t="s">
        <v>81</v>
      </c>
      <c r="AZ836" s="6" t="s">
        <v>81</v>
      </c>
      <c r="BA836" s="6" t="s">
        <v>81</v>
      </c>
      <c r="BB836" s="24" t="n">
        <v>76</v>
      </c>
      <c r="BC836" s="26"/>
      <c r="BD836" s="26"/>
      <c r="BE836" s="26"/>
      <c r="BF836" s="26"/>
      <c r="BG836" s="26"/>
      <c r="BH836" s="26"/>
      <c r="BI836" s="26"/>
      <c r="BJ836" s="26"/>
      <c r="BK836" s="26"/>
      <c r="BL836" s="26"/>
      <c r="BM836" s="26"/>
      <c r="BN836" s="26"/>
      <c r="BO836" s="26"/>
      <c r="BP836" s="16" t="n">
        <v>45730</v>
      </c>
      <c r="BQ836" s="28" t="str">
        <f>HYPERLINK("https://organic.ams.usda.gov/Integrity/Certificate.aspx?cid=90&amp;nopid=7170220472")</f>
        <v>https://organic.ams.usda.gov/Integrity/Certificate.aspx?cid=90&amp;nopid=7170220472</v>
      </c>
    </row>
    <row r="837">
      <c r="A837" t="s">
        <v>3</v>
      </c>
      <c r="B837" s="6" t="s">
        <v>25</v>
      </c>
      <c r="C837" s="6" t="s">
        <v>72</v>
      </c>
      <c r="D837" s="6" t="s">
        <v>118</v>
      </c>
      <c r="E837" s="10" t="s">
        <v>978</v>
      </c>
      <c r="F837" s="6" t="s">
        <v>3707</v>
      </c>
      <c r="G837" s="6" t="s">
        <v>81</v>
      </c>
      <c r="H837" s="6" t="s">
        <v>6658</v>
      </c>
      <c r="I837" s="6" t="s">
        <v>8611</v>
      </c>
      <c r="J837" s="6" t="s">
        <v>10077</v>
      </c>
      <c r="K837" s="6" t="s">
        <v>10886</v>
      </c>
      <c r="L837" s="16" t="n">
        <v>37459</v>
      </c>
      <c r="M837" s="16" t="n">
        <v>46023</v>
      </c>
      <c r="N837" s="6" t="s">
        <v>10886</v>
      </c>
      <c r="O837" s="16" t="n">
        <v>37459</v>
      </c>
      <c r="P837" s="6" t="s">
        <v>11402</v>
      </c>
      <c r="Q837" s="6" t="s">
        <v>81</v>
      </c>
      <c r="R837" s="6" t="s">
        <v>81</v>
      </c>
      <c r="S837" s="6" t="s">
        <v>10886</v>
      </c>
      <c r="T837" s="16" t="n">
        <v>37459</v>
      </c>
      <c r="U837" s="6" t="s">
        <v>13467</v>
      </c>
      <c r="V837" s="6" t="s">
        <v>81</v>
      </c>
      <c r="W837" s="6" t="s">
        <v>81</v>
      </c>
      <c r="X837" s="6" t="s">
        <v>81</v>
      </c>
      <c r="Y837" s="21" t="s">
        <v>81</v>
      </c>
      <c r="Z837" s="6" t="s">
        <v>81</v>
      </c>
      <c r="AA837" s="6" t="s">
        <v>81</v>
      </c>
      <c r="AB837" s="6" t="s">
        <v>81</v>
      </c>
      <c r="AC837" s="6" t="s">
        <v>10886</v>
      </c>
      <c r="AD837" s="16" t="n">
        <v>44732</v>
      </c>
      <c r="AE837" s="6" t="s">
        <v>14163</v>
      </c>
      <c r="AF837" s="6" t="s">
        <v>81</v>
      </c>
      <c r="AG837" s="6" t="s">
        <v>81</v>
      </c>
      <c r="AH837" s="6" t="s">
        <v>15419</v>
      </c>
      <c r="AI837" s="6" t="s">
        <v>81</v>
      </c>
      <c r="AJ837" s="6" t="s">
        <v>17768</v>
      </c>
      <c r="AK837" s="6" t="s">
        <v>18386</v>
      </c>
      <c r="AL837" s="6" t="s">
        <v>18444</v>
      </c>
      <c r="AM837" s="6" t="s">
        <v>18940</v>
      </c>
      <c r="AN837" s="6" t="s">
        <v>19659</v>
      </c>
      <c r="AO837" s="6" t="s">
        <v>19925</v>
      </c>
      <c r="AP837" s="6" t="s">
        <v>20210</v>
      </c>
      <c r="AQ837" s="6" t="s">
        <v>81</v>
      </c>
      <c r="AR837" s="6" t="s">
        <v>17768</v>
      </c>
      <c r="AS837" s="6" t="s">
        <v>18386</v>
      </c>
      <c r="AT837" s="6" t="s">
        <v>18444</v>
      </c>
      <c r="AU837" s="6" t="s">
        <v>20638</v>
      </c>
      <c r="AV837" s="6" t="s">
        <v>81</v>
      </c>
      <c r="AW837" s="6" t="s">
        <v>81</v>
      </c>
      <c r="AX837" s="6" t="s">
        <v>21275</v>
      </c>
      <c r="AY837" s="6" t="s">
        <v>22851</v>
      </c>
      <c r="AZ837" s="6" t="s">
        <v>81</v>
      </c>
      <c r="BA837" s="6" t="s">
        <v>23827</v>
      </c>
      <c r="BB837" s="24" t="n">
        <v>59216</v>
      </c>
      <c r="BC837" s="26"/>
      <c r="BD837" s="26"/>
      <c r="BE837" s="26"/>
      <c r="BF837" s="26" t="s">
        <v>23900</v>
      </c>
      <c r="BG837" s="26"/>
      <c r="BH837" s="26"/>
      <c r="BI837" s="26"/>
      <c r="BJ837" s="26"/>
      <c r="BK837" s="26"/>
      <c r="BL837" s="26"/>
      <c r="BM837" s="26"/>
      <c r="BN837" s="26"/>
      <c r="BO837" s="26"/>
      <c r="BP837" s="16" t="n">
        <v>45733</v>
      </c>
      <c r="BQ837" s="28" t="str">
        <f>HYPERLINK("https://organic.ams.usda.gov/Integrity/Certificate.aspx?cid=15&amp;nopid=5561000383")</f>
        <v>https://organic.ams.usda.gov/Integrity/Certificate.aspx?cid=15&amp;nopid=5561000383</v>
      </c>
    </row>
    <row r="838">
      <c r="A838" t="s">
        <v>3</v>
      </c>
      <c r="B838" s="6" t="s">
        <v>12</v>
      </c>
      <c r="C838" s="6" t="s">
        <v>59</v>
      </c>
      <c r="D838" s="6" t="s">
        <v>105</v>
      </c>
      <c r="E838" s="10" t="s">
        <v>979</v>
      </c>
      <c r="F838" s="6" t="s">
        <v>3708</v>
      </c>
      <c r="G838" s="6" t="s">
        <v>81</v>
      </c>
      <c r="H838" s="6" t="s">
        <v>6659</v>
      </c>
      <c r="I838" s="6" t="s">
        <v>8880</v>
      </c>
      <c r="J838" s="6" t="s">
        <v>10078</v>
      </c>
      <c r="K838" s="6" t="s">
        <v>10886</v>
      </c>
      <c r="L838" s="16" t="n">
        <v>42543</v>
      </c>
      <c r="M838" s="16" t="n">
        <v>45717</v>
      </c>
      <c r="N838" s="6" t="s">
        <v>10886</v>
      </c>
      <c r="O838" s="16" t="n">
        <v>42543</v>
      </c>
      <c r="P838" s="6" t="s">
        <v>11403</v>
      </c>
      <c r="Q838" s="6" t="s">
        <v>81</v>
      </c>
      <c r="R838" s="6" t="s">
        <v>81</v>
      </c>
      <c r="S838" s="6" t="s">
        <v>10886</v>
      </c>
      <c r="T838" s="16" t="n">
        <v>42543</v>
      </c>
      <c r="U838" s="6" t="s">
        <v>13209</v>
      </c>
      <c r="V838" s="6" t="s">
        <v>81</v>
      </c>
      <c r="W838" s="6" t="s">
        <v>81</v>
      </c>
      <c r="X838" s="6" t="s">
        <v>81</v>
      </c>
      <c r="Y838" s="21" t="s">
        <v>81</v>
      </c>
      <c r="Z838" s="6" t="s">
        <v>81</v>
      </c>
      <c r="AA838" s="6" t="s">
        <v>81</v>
      </c>
      <c r="AB838" s="6" t="s">
        <v>81</v>
      </c>
      <c r="AC838" s="6" t="s">
        <v>81</v>
      </c>
      <c r="AD838" s="21" t="s">
        <v>81</v>
      </c>
      <c r="AE838" s="6" t="s">
        <v>81</v>
      </c>
      <c r="AF838" s="6" t="s">
        <v>81</v>
      </c>
      <c r="AG838" s="6" t="s">
        <v>81</v>
      </c>
      <c r="AH838" s="6" t="s">
        <v>15420</v>
      </c>
      <c r="AI838" s="6" t="s">
        <v>81</v>
      </c>
      <c r="AJ838" s="6" t="s">
        <v>17769</v>
      </c>
      <c r="AK838" s="6" t="s">
        <v>17759</v>
      </c>
      <c r="AL838" s="6" t="s">
        <v>18444</v>
      </c>
      <c r="AM838" s="6" t="s">
        <v>18941</v>
      </c>
      <c r="AN838" s="6" t="s">
        <v>19665</v>
      </c>
      <c r="AO838" s="6" t="s">
        <v>19926</v>
      </c>
      <c r="AP838" s="6" t="s">
        <v>15420</v>
      </c>
      <c r="AQ838" s="6" t="s">
        <v>81</v>
      </c>
      <c r="AR838" s="6" t="s">
        <v>17769</v>
      </c>
      <c r="AS838" s="6" t="s">
        <v>17759</v>
      </c>
      <c r="AT838" s="6" t="s">
        <v>18444</v>
      </c>
      <c r="AU838" s="6" t="s">
        <v>18941</v>
      </c>
      <c r="AV838" s="6" t="s">
        <v>81</v>
      </c>
      <c r="AW838" s="6" t="s">
        <v>81</v>
      </c>
      <c r="AX838" s="6" t="s">
        <v>21276</v>
      </c>
      <c r="AY838" s="6" t="s">
        <v>22852</v>
      </c>
      <c r="AZ838" s="6" t="s">
        <v>81</v>
      </c>
      <c r="BA838" s="6" t="s">
        <v>81</v>
      </c>
      <c r="BB838" s="24" t="n">
        <v>2569</v>
      </c>
      <c r="BC838" s="26"/>
      <c r="BD838" s="26"/>
      <c r="BE838" s="26"/>
      <c r="BF838" s="26"/>
      <c r="BG838" s="26"/>
      <c r="BH838" s="26"/>
      <c r="BI838" s="26"/>
      <c r="BJ838" s="26"/>
      <c r="BK838" s="26"/>
      <c r="BL838" s="26"/>
      <c r="BM838" s="26"/>
      <c r="BN838" s="26"/>
      <c r="BO838" s="26"/>
      <c r="BP838" s="16" t="n">
        <v>45684</v>
      </c>
      <c r="BQ838" s="28" t="str">
        <f>HYPERLINK("https://organic.ams.usda.gov/Integrity/Certificate.aspx?cid=68&amp;nopid=8210001525")</f>
        <v>https://organic.ams.usda.gov/Integrity/Certificate.aspx?cid=68&amp;nopid=8210001525</v>
      </c>
    </row>
    <row r="839">
      <c r="A839" t="s">
        <v>3</v>
      </c>
      <c r="B839" s="6" t="s">
        <v>35</v>
      </c>
      <c r="C839" s="6" t="s">
        <v>82</v>
      </c>
      <c r="D839" s="6" t="s">
        <v>127</v>
      </c>
      <c r="E839" s="10" t="s">
        <v>980</v>
      </c>
      <c r="F839" s="6" t="s">
        <v>3709</v>
      </c>
      <c r="G839" s="6" t="s">
        <v>81</v>
      </c>
      <c r="H839" s="6" t="s">
        <v>6402</v>
      </c>
      <c r="I839" s="6" t="s">
        <v>8881</v>
      </c>
      <c r="J839" s="6" t="s">
        <v>10079</v>
      </c>
      <c r="K839" s="6" t="s">
        <v>10886</v>
      </c>
      <c r="L839" s="16" t="n">
        <v>38216</v>
      </c>
      <c r="M839" s="16" t="n">
        <v>45762</v>
      </c>
      <c r="N839" s="6" t="s">
        <v>10886</v>
      </c>
      <c r="O839" s="16" t="n">
        <v>38216</v>
      </c>
      <c r="P839" s="6" t="s">
        <v>11404</v>
      </c>
      <c r="Q839" s="6" t="s">
        <v>81</v>
      </c>
      <c r="R839" s="6" t="s">
        <v>12663</v>
      </c>
      <c r="S839" s="6" t="s">
        <v>10886</v>
      </c>
      <c r="T839" s="16" t="n">
        <v>38216</v>
      </c>
      <c r="U839" s="6" t="s">
        <v>13468</v>
      </c>
      <c r="V839" s="6" t="s">
        <v>81</v>
      </c>
      <c r="W839" s="6" t="s">
        <v>12663</v>
      </c>
      <c r="X839" s="6" t="s">
        <v>81</v>
      </c>
      <c r="Y839" s="21" t="s">
        <v>81</v>
      </c>
      <c r="Z839" s="6" t="s">
        <v>81</v>
      </c>
      <c r="AA839" s="6" t="s">
        <v>81</v>
      </c>
      <c r="AB839" s="6" t="s">
        <v>81</v>
      </c>
      <c r="AC839" s="6" t="s">
        <v>81</v>
      </c>
      <c r="AD839" s="21" t="s">
        <v>81</v>
      </c>
      <c r="AE839" s="6" t="s">
        <v>81</v>
      </c>
      <c r="AF839" s="6" t="s">
        <v>81</v>
      </c>
      <c r="AG839" s="6" t="s">
        <v>81</v>
      </c>
      <c r="AH839" s="6" t="s">
        <v>15421</v>
      </c>
      <c r="AI839" s="6" t="s">
        <v>81</v>
      </c>
      <c r="AJ839" s="6" t="s">
        <v>17770</v>
      </c>
      <c r="AK839" s="6" t="s">
        <v>18405</v>
      </c>
      <c r="AL839" s="6" t="s">
        <v>18444</v>
      </c>
      <c r="AM839" s="6" t="s">
        <v>18942</v>
      </c>
      <c r="AN839" s="6" t="s">
        <v>19648</v>
      </c>
      <c r="AO839" s="6" t="s">
        <v>19927</v>
      </c>
      <c r="AP839" s="6" t="s">
        <v>15421</v>
      </c>
      <c r="AQ839" s="6" t="s">
        <v>81</v>
      </c>
      <c r="AR839" s="6" t="s">
        <v>17770</v>
      </c>
      <c r="AS839" s="6" t="s">
        <v>18405</v>
      </c>
      <c r="AT839" s="6" t="s">
        <v>18444</v>
      </c>
      <c r="AU839" s="6" t="s">
        <v>18942</v>
      </c>
      <c r="AV839" s="6" t="s">
        <v>81</v>
      </c>
      <c r="AW839" s="6" t="s">
        <v>81</v>
      </c>
      <c r="AX839" s="6" t="s">
        <v>21277</v>
      </c>
      <c r="AY839" s="6" t="s">
        <v>22853</v>
      </c>
      <c r="AZ839" s="6" t="s">
        <v>81</v>
      </c>
      <c r="BA839" s="6" t="s">
        <v>81</v>
      </c>
      <c r="BB839" s="24" t="n">
        <v>445</v>
      </c>
      <c r="BC839" s="26"/>
      <c r="BD839" s="26"/>
      <c r="BE839" s="26"/>
      <c r="BF839" s="26"/>
      <c r="BG839" s="26"/>
      <c r="BH839" s="26"/>
      <c r="BI839" s="26"/>
      <c r="BJ839" s="26"/>
      <c r="BK839" s="26"/>
      <c r="BL839" s="26"/>
      <c r="BM839" s="26"/>
      <c r="BN839" s="26"/>
      <c r="BO839" s="26"/>
      <c r="BP839" s="16" t="n">
        <v>45693</v>
      </c>
      <c r="BQ839" s="28" t="str">
        <f>HYPERLINK("https://organic.ams.usda.gov/Integrity/Certificate.aspx?cid=47&amp;nopid=7142070902")</f>
        <v>https://organic.ams.usda.gov/Integrity/Certificate.aspx?cid=47&amp;nopid=7142070902</v>
      </c>
    </row>
    <row r="840">
      <c r="A840" t="s">
        <v>3</v>
      </c>
      <c r="B840" s="6" t="s">
        <v>8</v>
      </c>
      <c r="C840" s="6" t="s">
        <v>55</v>
      </c>
      <c r="D840" s="6" t="s">
        <v>101</v>
      </c>
      <c r="E840" s="10" t="s">
        <v>981</v>
      </c>
      <c r="F840" s="6" t="s">
        <v>3710</v>
      </c>
      <c r="G840" s="6" t="s">
        <v>81</v>
      </c>
      <c r="H840" s="6" t="s">
        <v>6660</v>
      </c>
      <c r="I840" s="6" t="s">
        <v>8513</v>
      </c>
      <c r="J840" s="6" t="s">
        <v>10080</v>
      </c>
      <c r="K840" s="6" t="s">
        <v>10886</v>
      </c>
      <c r="L840" s="16" t="n">
        <v>36402</v>
      </c>
      <c r="M840" s="16" t="n">
        <v>45689</v>
      </c>
      <c r="N840" s="6" t="s">
        <v>10886</v>
      </c>
      <c r="O840" s="16" t="n">
        <v>36402</v>
      </c>
      <c r="P840" s="6" t="s">
        <v>11405</v>
      </c>
      <c r="Q840" s="6" t="s">
        <v>81</v>
      </c>
      <c r="R840" s="6" t="s">
        <v>6660</v>
      </c>
      <c r="S840" s="6" t="s">
        <v>10886</v>
      </c>
      <c r="T840" s="16" t="n">
        <v>36402</v>
      </c>
      <c r="U840" s="6" t="s">
        <v>13271</v>
      </c>
      <c r="V840" s="6" t="s">
        <v>81</v>
      </c>
      <c r="W840" s="6" t="s">
        <v>6660</v>
      </c>
      <c r="X840" s="6" t="s">
        <v>81</v>
      </c>
      <c r="Y840" s="21" t="s">
        <v>81</v>
      </c>
      <c r="Z840" s="6" t="s">
        <v>81</v>
      </c>
      <c r="AA840" s="6" t="s">
        <v>81</v>
      </c>
      <c r="AB840" s="6" t="s">
        <v>81</v>
      </c>
      <c r="AC840" s="6" t="s">
        <v>81</v>
      </c>
      <c r="AD840" s="21" t="s">
        <v>81</v>
      </c>
      <c r="AE840" s="6" t="s">
        <v>81</v>
      </c>
      <c r="AF840" s="6" t="s">
        <v>81</v>
      </c>
      <c r="AG840" s="6" t="s">
        <v>81</v>
      </c>
      <c r="AH840" s="6" t="s">
        <v>15422</v>
      </c>
      <c r="AI840" s="6" t="s">
        <v>81</v>
      </c>
      <c r="AJ840" s="6" t="s">
        <v>17771</v>
      </c>
      <c r="AK840" s="6" t="s">
        <v>18377</v>
      </c>
      <c r="AL840" s="6" t="s">
        <v>18444</v>
      </c>
      <c r="AM840" s="6" t="s">
        <v>18943</v>
      </c>
      <c r="AN840" s="6" t="s">
        <v>19652</v>
      </c>
      <c r="AO840" s="6" t="s">
        <v>19772</v>
      </c>
      <c r="AP840" s="6" t="s">
        <v>81</v>
      </c>
      <c r="AQ840" s="6" t="s">
        <v>81</v>
      </c>
      <c r="AR840" s="6" t="s">
        <v>81</v>
      </c>
      <c r="AS840" s="6" t="s">
        <v>81</v>
      </c>
      <c r="AT840" s="6" t="s">
        <v>81</v>
      </c>
      <c r="AU840" s="6" t="s">
        <v>81</v>
      </c>
      <c r="AV840" s="6" t="s">
        <v>81</v>
      </c>
      <c r="AW840" s="6" t="s">
        <v>81</v>
      </c>
      <c r="AX840" s="6" t="s">
        <v>81</v>
      </c>
      <c r="AY840" s="6" t="s">
        <v>22854</v>
      </c>
      <c r="AZ840" s="6" t="s">
        <v>81</v>
      </c>
      <c r="BA840" s="6" t="s">
        <v>23819</v>
      </c>
      <c r="BB840" s="24" t="n">
        <v>307</v>
      </c>
      <c r="BC840" s="26"/>
      <c r="BD840" s="26"/>
      <c r="BE840" s="26"/>
      <c r="BF840" s="26" t="s">
        <v>23900</v>
      </c>
      <c r="BG840" s="26"/>
      <c r="BH840" s="26"/>
      <c r="BI840" s="26"/>
      <c r="BJ840" s="26"/>
      <c r="BK840" s="26"/>
      <c r="BL840" s="26"/>
      <c r="BM840" s="26"/>
      <c r="BN840" s="26"/>
      <c r="BO840" s="26"/>
      <c r="BP840" s="16" t="n">
        <v>45727</v>
      </c>
      <c r="BQ840" s="28" t="str">
        <f>HYPERLINK("https://organic.ams.usda.gov/Integrity/Certificate.aspx?cid=45&amp;nopid=9950000072")</f>
        <v>https://organic.ams.usda.gov/Integrity/Certificate.aspx?cid=45&amp;nopid=9950000072</v>
      </c>
    </row>
    <row r="841">
      <c r="A841" t="s">
        <v>3</v>
      </c>
      <c r="B841" s="6" t="s">
        <v>8</v>
      </c>
      <c r="C841" s="6" t="s">
        <v>55</v>
      </c>
      <c r="D841" s="6" t="s">
        <v>101</v>
      </c>
      <c r="E841" s="10" t="s">
        <v>982</v>
      </c>
      <c r="F841" s="6" t="s">
        <v>3711</v>
      </c>
      <c r="G841" s="6" t="s">
        <v>81</v>
      </c>
      <c r="H841" s="6" t="s">
        <v>6661</v>
      </c>
      <c r="I841" s="6" t="s">
        <v>8552</v>
      </c>
      <c r="J841" s="6" t="s">
        <v>10081</v>
      </c>
      <c r="K841" s="6" t="s">
        <v>10886</v>
      </c>
      <c r="L841" s="16" t="n">
        <v>41263</v>
      </c>
      <c r="M841" s="16" t="n">
        <v>45748</v>
      </c>
      <c r="N841" s="6" t="s">
        <v>10886</v>
      </c>
      <c r="O841" s="16" t="n">
        <v>41263</v>
      </c>
      <c r="P841" s="6" t="s">
        <v>11406</v>
      </c>
      <c r="Q841" s="6" t="s">
        <v>81</v>
      </c>
      <c r="R841" s="6" t="s">
        <v>6661</v>
      </c>
      <c r="S841" s="6" t="s">
        <v>10886</v>
      </c>
      <c r="T841" s="16" t="n">
        <v>41263</v>
      </c>
      <c r="U841" s="6" t="s">
        <v>13469</v>
      </c>
      <c r="V841" s="6" t="s">
        <v>81</v>
      </c>
      <c r="W841" s="6" t="s">
        <v>6661</v>
      </c>
      <c r="X841" s="6" t="s">
        <v>81</v>
      </c>
      <c r="Y841" s="21" t="s">
        <v>81</v>
      </c>
      <c r="Z841" s="6" t="s">
        <v>81</v>
      </c>
      <c r="AA841" s="6" t="s">
        <v>81</v>
      </c>
      <c r="AB841" s="6" t="s">
        <v>81</v>
      </c>
      <c r="AC841" s="6" t="s">
        <v>81</v>
      </c>
      <c r="AD841" s="21" t="s">
        <v>81</v>
      </c>
      <c r="AE841" s="6" t="s">
        <v>81</v>
      </c>
      <c r="AF841" s="6" t="s">
        <v>81</v>
      </c>
      <c r="AG841" s="6" t="s">
        <v>81</v>
      </c>
      <c r="AH841" s="6" t="s">
        <v>15423</v>
      </c>
      <c r="AI841" s="6" t="s">
        <v>81</v>
      </c>
      <c r="AJ841" s="6" t="s">
        <v>17317</v>
      </c>
      <c r="AK841" s="6" t="s">
        <v>18380</v>
      </c>
      <c r="AL841" s="6" t="s">
        <v>18444</v>
      </c>
      <c r="AM841" s="6" t="s">
        <v>18469</v>
      </c>
      <c r="AN841" s="6" t="s">
        <v>19639</v>
      </c>
      <c r="AO841" s="6" t="s">
        <v>19725</v>
      </c>
      <c r="AP841" s="6" t="s">
        <v>81</v>
      </c>
      <c r="AQ841" s="6" t="s">
        <v>81</v>
      </c>
      <c r="AR841" s="6" t="s">
        <v>81</v>
      </c>
      <c r="AS841" s="6" t="s">
        <v>81</v>
      </c>
      <c r="AT841" s="6" t="s">
        <v>81</v>
      </c>
      <c r="AU841" s="6" t="s">
        <v>81</v>
      </c>
      <c r="AV841" s="6" t="s">
        <v>81</v>
      </c>
      <c r="AW841" s="6" t="s">
        <v>81</v>
      </c>
      <c r="AX841" s="6" t="s">
        <v>81</v>
      </c>
      <c r="AY841" s="6" t="s">
        <v>81</v>
      </c>
      <c r="AZ841" s="6" t="s">
        <v>81</v>
      </c>
      <c r="BA841" s="6" t="s">
        <v>23824</v>
      </c>
      <c r="BB841" s="24" t="n">
        <v>94</v>
      </c>
      <c r="BC841" s="26"/>
      <c r="BD841" s="26"/>
      <c r="BE841" s="26"/>
      <c r="BF841" s="26" t="s">
        <v>23900</v>
      </c>
      <c r="BG841" s="26"/>
      <c r="BH841" s="26"/>
      <c r="BI841" s="26"/>
      <c r="BJ841" s="26"/>
      <c r="BK841" s="26"/>
      <c r="BL841" s="26"/>
      <c r="BM841" s="26"/>
      <c r="BN841" s="26"/>
      <c r="BO841" s="26"/>
      <c r="BP841" s="16" t="n">
        <v>45518</v>
      </c>
      <c r="BQ841" s="28" t="str">
        <f>HYPERLINK("https://organic.ams.usda.gov/Integrity/Certificate.aspx?cid=45&amp;nopid=9950004846")</f>
        <v>https://organic.ams.usda.gov/Integrity/Certificate.aspx?cid=45&amp;nopid=9950004846</v>
      </c>
    </row>
    <row r="842">
      <c r="A842" t="s">
        <v>3</v>
      </c>
      <c r="B842" s="6" t="s">
        <v>12</v>
      </c>
      <c r="C842" s="6" t="s">
        <v>59</v>
      </c>
      <c r="D842" s="6" t="s">
        <v>105</v>
      </c>
      <c r="E842" s="10" t="s">
        <v>983</v>
      </c>
      <c r="F842" s="6" t="s">
        <v>3712</v>
      </c>
      <c r="G842" s="6" t="s">
        <v>81</v>
      </c>
      <c r="H842" s="6" t="s">
        <v>6662</v>
      </c>
      <c r="I842" s="6" t="s">
        <v>8882</v>
      </c>
      <c r="J842" s="6" t="s">
        <v>10082</v>
      </c>
      <c r="K842" s="6" t="s">
        <v>10886</v>
      </c>
      <c r="L842" s="16" t="n">
        <v>43811</v>
      </c>
      <c r="M842" s="16" t="n">
        <v>45717</v>
      </c>
      <c r="N842" s="6" t="s">
        <v>81</v>
      </c>
      <c r="O842" s="21" t="s">
        <v>81</v>
      </c>
      <c r="P842" s="6" t="s">
        <v>81</v>
      </c>
      <c r="Q842" s="6" t="s">
        <v>81</v>
      </c>
      <c r="R842" s="6" t="s">
        <v>81</v>
      </c>
      <c r="S842" s="6" t="s">
        <v>81</v>
      </c>
      <c r="T842" s="21" t="s">
        <v>81</v>
      </c>
      <c r="U842" s="6" t="s">
        <v>81</v>
      </c>
      <c r="V842" s="6" t="s">
        <v>81</v>
      </c>
      <c r="W842" s="6" t="s">
        <v>81</v>
      </c>
      <c r="X842" s="6" t="s">
        <v>81</v>
      </c>
      <c r="Y842" s="21" t="s">
        <v>81</v>
      </c>
      <c r="Z842" s="6" t="s">
        <v>81</v>
      </c>
      <c r="AA842" s="6" t="s">
        <v>81</v>
      </c>
      <c r="AB842" s="6" t="s">
        <v>81</v>
      </c>
      <c r="AC842" s="6" t="s">
        <v>10886</v>
      </c>
      <c r="AD842" s="16" t="n">
        <v>43811</v>
      </c>
      <c r="AE842" s="6" t="s">
        <v>14164</v>
      </c>
      <c r="AF842" s="6" t="s">
        <v>81</v>
      </c>
      <c r="AG842" s="6" t="s">
        <v>81</v>
      </c>
      <c r="AH842" s="6" t="s">
        <v>15424</v>
      </c>
      <c r="AI842" s="6" t="s">
        <v>81</v>
      </c>
      <c r="AJ842" s="6" t="s">
        <v>17772</v>
      </c>
      <c r="AK842" s="6" t="s">
        <v>17712</v>
      </c>
      <c r="AL842" s="6" t="s">
        <v>18444</v>
      </c>
      <c r="AM842" s="6" t="s">
        <v>18944</v>
      </c>
      <c r="AN842" s="6" t="s">
        <v>19645</v>
      </c>
      <c r="AO842" s="6" t="s">
        <v>19770</v>
      </c>
      <c r="AP842" s="6" t="s">
        <v>15424</v>
      </c>
      <c r="AQ842" s="6" t="s">
        <v>81</v>
      </c>
      <c r="AR842" s="6" t="s">
        <v>17772</v>
      </c>
      <c r="AS842" s="6" t="s">
        <v>17712</v>
      </c>
      <c r="AT842" s="6" t="s">
        <v>18444</v>
      </c>
      <c r="AU842" s="6" t="s">
        <v>18944</v>
      </c>
      <c r="AV842" s="6" t="s">
        <v>81</v>
      </c>
      <c r="AW842" s="6" t="s">
        <v>81</v>
      </c>
      <c r="AX842" s="6" t="s">
        <v>21278</v>
      </c>
      <c r="AY842" s="6" t="s">
        <v>22855</v>
      </c>
      <c r="AZ842" s="6" t="s">
        <v>81</v>
      </c>
      <c r="BA842" s="6" t="s">
        <v>81</v>
      </c>
      <c r="BB842" s="6" t="s">
        <v>81</v>
      </c>
      <c r="BC842" s="26"/>
      <c r="BD842" s="26"/>
      <c r="BE842" s="26"/>
      <c r="BF842" s="26"/>
      <c r="BG842" s="26"/>
      <c r="BH842" s="26"/>
      <c r="BI842" s="26"/>
      <c r="BJ842" s="26"/>
      <c r="BK842" s="26"/>
      <c r="BL842" s="26"/>
      <c r="BM842" s="26"/>
      <c r="BN842" s="26"/>
      <c r="BO842" s="26"/>
      <c r="BP842" s="16" t="n">
        <v>45684</v>
      </c>
      <c r="BQ842" s="28" t="str">
        <f>HYPERLINK("https://organic.ams.usda.gov/Integrity/Certificate.aspx?cid=68&amp;nopid=8210007139")</f>
        <v>https://organic.ams.usda.gov/Integrity/Certificate.aspx?cid=68&amp;nopid=8210007139</v>
      </c>
    </row>
    <row r="843">
      <c r="A843" t="s">
        <v>3</v>
      </c>
      <c r="B843" s="6" t="s">
        <v>14</v>
      </c>
      <c r="C843" s="6" t="s">
        <v>61</v>
      </c>
      <c r="D843" s="6" t="s">
        <v>107</v>
      </c>
      <c r="E843" s="10" t="s">
        <v>984</v>
      </c>
      <c r="F843" s="6" t="s">
        <v>3713</v>
      </c>
      <c r="G843" s="6" t="s">
        <v>81</v>
      </c>
      <c r="H843" s="6" t="s">
        <v>6663</v>
      </c>
      <c r="I843" s="6" t="s">
        <v>8883</v>
      </c>
      <c r="J843" s="6" t="s">
        <v>10083</v>
      </c>
      <c r="K843" s="6" t="s">
        <v>10886</v>
      </c>
      <c r="L843" s="16" t="n">
        <v>45722</v>
      </c>
      <c r="M843" s="16" t="n">
        <v>45992</v>
      </c>
      <c r="N843" s="6" t="s">
        <v>81</v>
      </c>
      <c r="O843" s="21" t="s">
        <v>81</v>
      </c>
      <c r="P843" s="6" t="s">
        <v>81</v>
      </c>
      <c r="Q843" s="6" t="s">
        <v>81</v>
      </c>
      <c r="R843" s="6" t="s">
        <v>81</v>
      </c>
      <c r="S843" s="6" t="s">
        <v>81</v>
      </c>
      <c r="T843" s="21" t="s">
        <v>81</v>
      </c>
      <c r="U843" s="6" t="s">
        <v>81</v>
      </c>
      <c r="V843" s="6" t="s">
        <v>81</v>
      </c>
      <c r="W843" s="6" t="s">
        <v>81</v>
      </c>
      <c r="X843" s="6" t="s">
        <v>81</v>
      </c>
      <c r="Y843" s="21" t="s">
        <v>81</v>
      </c>
      <c r="Z843" s="6" t="s">
        <v>81</v>
      </c>
      <c r="AA843" s="6" t="s">
        <v>81</v>
      </c>
      <c r="AB843" s="6" t="s">
        <v>81</v>
      </c>
      <c r="AC843" s="6" t="s">
        <v>10886</v>
      </c>
      <c r="AD843" s="16" t="n">
        <v>45722</v>
      </c>
      <c r="AE843" s="6" t="s">
        <v>14165</v>
      </c>
      <c r="AF843" s="6" t="s">
        <v>81</v>
      </c>
      <c r="AG843" s="6" t="s">
        <v>81</v>
      </c>
      <c r="AH843" s="6" t="s">
        <v>15425</v>
      </c>
      <c r="AI843" s="6" t="s">
        <v>81</v>
      </c>
      <c r="AJ843" s="6" t="s">
        <v>17773</v>
      </c>
      <c r="AK843" s="6" t="s">
        <v>18382</v>
      </c>
      <c r="AL843" s="6" t="s">
        <v>18444</v>
      </c>
      <c r="AM843" s="6" t="s">
        <v>18945</v>
      </c>
      <c r="AN843" s="6" t="s">
        <v>81</v>
      </c>
      <c r="AO843" s="6" t="s">
        <v>81</v>
      </c>
      <c r="AP843" s="6" t="s">
        <v>15425</v>
      </c>
      <c r="AQ843" s="6" t="s">
        <v>81</v>
      </c>
      <c r="AR843" s="6" t="s">
        <v>17773</v>
      </c>
      <c r="AS843" s="6" t="s">
        <v>18382</v>
      </c>
      <c r="AT843" s="6" t="s">
        <v>18444</v>
      </c>
      <c r="AU843" s="6" t="s">
        <v>18945</v>
      </c>
      <c r="AV843" s="6" t="s">
        <v>81</v>
      </c>
      <c r="AW843" s="6" t="s">
        <v>81</v>
      </c>
      <c r="AX843" s="6" t="s">
        <v>21279</v>
      </c>
      <c r="AY843" s="6" t="s">
        <v>22856</v>
      </c>
      <c r="AZ843" s="6" t="s">
        <v>81</v>
      </c>
      <c r="BA843" s="6" t="s">
        <v>81</v>
      </c>
      <c r="BB843" s="24" t="n">
        <v>0</v>
      </c>
      <c r="BC843" s="26"/>
      <c r="BD843" s="26"/>
      <c r="BE843" s="26"/>
      <c r="BF843" s="26"/>
      <c r="BG843" s="26"/>
      <c r="BH843" s="26"/>
      <c r="BI843" s="26"/>
      <c r="BJ843" s="26"/>
      <c r="BK843" s="26"/>
      <c r="BL843" s="26"/>
      <c r="BM843" s="26"/>
      <c r="BN843" s="26"/>
      <c r="BO843" s="26"/>
      <c r="BP843" s="16" t="n">
        <v>45737</v>
      </c>
      <c r="BQ843" s="28" t="str">
        <f>HYPERLINK("https://organic.ams.usda.gov/Integrity/Certificate.aspx?cid=51&amp;nopid=8241000246")</f>
        <v>https://organic.ams.usda.gov/Integrity/Certificate.aspx?cid=51&amp;nopid=8241000246</v>
      </c>
    </row>
    <row r="844">
      <c r="A844" t="s">
        <v>3</v>
      </c>
      <c r="B844" s="6" t="s">
        <v>29</v>
      </c>
      <c r="C844" s="6" t="s">
        <v>76</v>
      </c>
      <c r="D844" s="6" t="s">
        <v>122</v>
      </c>
      <c r="E844" s="10" t="s">
        <v>985</v>
      </c>
      <c r="F844" s="6" t="s">
        <v>3714</v>
      </c>
      <c r="G844" s="6" t="s">
        <v>5671</v>
      </c>
      <c r="H844" s="6" t="s">
        <v>6664</v>
      </c>
      <c r="I844" s="6" t="s">
        <v>8884</v>
      </c>
      <c r="J844" s="6" t="s">
        <v>10053</v>
      </c>
      <c r="K844" s="6" t="s">
        <v>10886</v>
      </c>
      <c r="L844" s="16" t="n">
        <v>44718</v>
      </c>
      <c r="M844" s="16" t="n">
        <v>45870</v>
      </c>
      <c r="N844" s="6" t="s">
        <v>10886</v>
      </c>
      <c r="O844" s="16" t="n">
        <v>44718</v>
      </c>
      <c r="P844" s="6" t="s">
        <v>11407</v>
      </c>
      <c r="Q844" s="6" t="s">
        <v>81</v>
      </c>
      <c r="R844" s="6" t="s">
        <v>12664</v>
      </c>
      <c r="S844" s="6" t="s">
        <v>10886</v>
      </c>
      <c r="T844" s="16" t="n">
        <v>44718</v>
      </c>
      <c r="U844" s="6" t="s">
        <v>13212</v>
      </c>
      <c r="V844" s="6" t="s">
        <v>81</v>
      </c>
      <c r="W844" s="6" t="s">
        <v>12664</v>
      </c>
      <c r="X844" s="6" t="s">
        <v>81</v>
      </c>
      <c r="Y844" s="21" t="s">
        <v>81</v>
      </c>
      <c r="Z844" s="6" t="s">
        <v>81</v>
      </c>
      <c r="AA844" s="6" t="s">
        <v>81</v>
      </c>
      <c r="AB844" s="6" t="s">
        <v>81</v>
      </c>
      <c r="AC844" s="6" t="s">
        <v>81</v>
      </c>
      <c r="AD844" s="21" t="s">
        <v>81</v>
      </c>
      <c r="AE844" s="6" t="s">
        <v>81</v>
      </c>
      <c r="AF844" s="6" t="s">
        <v>81</v>
      </c>
      <c r="AG844" s="6" t="s">
        <v>81</v>
      </c>
      <c r="AH844" s="6" t="s">
        <v>15426</v>
      </c>
      <c r="AI844" s="6" t="s">
        <v>81</v>
      </c>
      <c r="AJ844" s="6" t="s">
        <v>17774</v>
      </c>
      <c r="AK844" s="6" t="s">
        <v>18380</v>
      </c>
      <c r="AL844" s="6" t="s">
        <v>18444</v>
      </c>
      <c r="AM844" s="6" t="s">
        <v>18946</v>
      </c>
      <c r="AN844" s="6" t="s">
        <v>19686</v>
      </c>
      <c r="AO844" s="6" t="s">
        <v>19817</v>
      </c>
      <c r="AP844" s="6" t="s">
        <v>81</v>
      </c>
      <c r="AQ844" s="6" t="s">
        <v>81</v>
      </c>
      <c r="AR844" s="6" t="s">
        <v>81</v>
      </c>
      <c r="AS844" s="6" t="s">
        <v>81</v>
      </c>
      <c r="AT844" s="6" t="s">
        <v>81</v>
      </c>
      <c r="AU844" s="6" t="s">
        <v>81</v>
      </c>
      <c r="AV844" s="6" t="s">
        <v>81</v>
      </c>
      <c r="AW844" s="6" t="s">
        <v>81</v>
      </c>
      <c r="AX844" s="6" t="s">
        <v>21280</v>
      </c>
      <c r="AY844" s="6" t="s">
        <v>81</v>
      </c>
      <c r="AZ844" s="6" t="s">
        <v>81</v>
      </c>
      <c r="BA844" s="6" t="s">
        <v>81</v>
      </c>
      <c r="BB844" s="24" t="n">
        <v>95</v>
      </c>
      <c r="BC844" s="26"/>
      <c r="BD844" s="26"/>
      <c r="BE844" s="26"/>
      <c r="BF844" s="26" t="s">
        <v>23900</v>
      </c>
      <c r="BG844" s="26"/>
      <c r="BH844" s="26"/>
      <c r="BI844" s="26"/>
      <c r="BJ844" s="26"/>
      <c r="BK844" s="26"/>
      <c r="BL844" s="26"/>
      <c r="BM844" s="26"/>
      <c r="BN844" s="26"/>
      <c r="BO844" s="26"/>
      <c r="BP844" s="16" t="n">
        <v>45737</v>
      </c>
      <c r="BQ844" s="28" t="str">
        <f>HYPERLINK("https://organic.ams.usda.gov/Integrity/Certificate.aspx?cid=31&amp;nopid=3928972267")</f>
        <v>https://organic.ams.usda.gov/Integrity/Certificate.aspx?cid=31&amp;nopid=3928972267</v>
      </c>
    </row>
    <row r="845">
      <c r="A845" t="s">
        <v>3</v>
      </c>
      <c r="B845" s="6" t="s">
        <v>21</v>
      </c>
      <c r="C845" s="6" t="s">
        <v>68</v>
      </c>
      <c r="D845" s="6" t="s">
        <v>114</v>
      </c>
      <c r="E845" s="10" t="s">
        <v>986</v>
      </c>
      <c r="F845" s="6" t="s">
        <v>3715</v>
      </c>
      <c r="G845" s="6" t="s">
        <v>81</v>
      </c>
      <c r="H845" s="6" t="s">
        <v>6665</v>
      </c>
      <c r="I845" s="6" t="s">
        <v>8885</v>
      </c>
      <c r="J845" s="6" t="s">
        <v>10084</v>
      </c>
      <c r="K845" s="6" t="s">
        <v>10886</v>
      </c>
      <c r="L845" s="16" t="n">
        <v>45365</v>
      </c>
      <c r="M845" s="16" t="n">
        <v>46023</v>
      </c>
      <c r="N845" s="6" t="s">
        <v>81</v>
      </c>
      <c r="O845" s="21" t="s">
        <v>81</v>
      </c>
      <c r="P845" s="6" t="s">
        <v>81</v>
      </c>
      <c r="Q845" s="6" t="s">
        <v>81</v>
      </c>
      <c r="R845" s="6" t="s">
        <v>81</v>
      </c>
      <c r="S845" s="6" t="s">
        <v>81</v>
      </c>
      <c r="T845" s="21" t="s">
        <v>81</v>
      </c>
      <c r="U845" s="6" t="s">
        <v>81</v>
      </c>
      <c r="V845" s="6" t="s">
        <v>81</v>
      </c>
      <c r="W845" s="6" t="s">
        <v>81</v>
      </c>
      <c r="X845" s="6" t="s">
        <v>81</v>
      </c>
      <c r="Y845" s="21" t="s">
        <v>81</v>
      </c>
      <c r="Z845" s="6" t="s">
        <v>81</v>
      </c>
      <c r="AA845" s="6" t="s">
        <v>81</v>
      </c>
      <c r="AB845" s="6" t="s">
        <v>81</v>
      </c>
      <c r="AC845" s="6" t="s">
        <v>10886</v>
      </c>
      <c r="AD845" s="16" t="n">
        <v>45365</v>
      </c>
      <c r="AE845" s="6" t="s">
        <v>14166</v>
      </c>
      <c r="AF845" s="6" t="s">
        <v>81</v>
      </c>
      <c r="AG845" s="6" t="s">
        <v>81</v>
      </c>
      <c r="AH845" s="6" t="s">
        <v>81</v>
      </c>
      <c r="AI845" s="6" t="s">
        <v>81</v>
      </c>
      <c r="AJ845" s="6" t="s">
        <v>81</v>
      </c>
      <c r="AK845" s="6" t="s">
        <v>81</v>
      </c>
      <c r="AL845" s="6" t="s">
        <v>81</v>
      </c>
      <c r="AM845" s="6" t="s">
        <v>81</v>
      </c>
      <c r="AN845" s="6" t="s">
        <v>81</v>
      </c>
      <c r="AO845" s="6" t="s">
        <v>81</v>
      </c>
      <c r="AP845" s="6" t="s">
        <v>20211</v>
      </c>
      <c r="AQ845" s="6" t="s">
        <v>81</v>
      </c>
      <c r="AR845" s="6" t="s">
        <v>17359</v>
      </c>
      <c r="AS845" s="6" t="s">
        <v>18386</v>
      </c>
      <c r="AT845" s="6" t="s">
        <v>18444</v>
      </c>
      <c r="AU845" s="6" t="s">
        <v>19381</v>
      </c>
      <c r="AV845" s="6" t="s">
        <v>81</v>
      </c>
      <c r="AW845" s="6" t="s">
        <v>81</v>
      </c>
      <c r="AX845" s="6" t="s">
        <v>21281</v>
      </c>
      <c r="AY845" s="6" t="s">
        <v>22857</v>
      </c>
      <c r="AZ845" s="6" t="s">
        <v>81</v>
      </c>
      <c r="BA845" s="6" t="s">
        <v>81</v>
      </c>
      <c r="BB845" s="6" t="s">
        <v>81</v>
      </c>
      <c r="BC845" s="26" t="s">
        <v>23900</v>
      </c>
      <c r="BD845" s="26"/>
      <c r="BE845" s="26"/>
      <c r="BF845" s="26"/>
      <c r="BG845" s="26"/>
      <c r="BH845" s="26"/>
      <c r="BI845" s="26"/>
      <c r="BJ845" s="26"/>
      <c r="BK845" s="26"/>
      <c r="BL845" s="26"/>
      <c r="BM845" s="26"/>
      <c r="BN845" s="26" t="s">
        <v>23900</v>
      </c>
      <c r="BO845" s="26"/>
      <c r="BP845" s="16" t="n">
        <v>45693</v>
      </c>
      <c r="BQ845" s="28" t="str">
        <f>HYPERLINK("https://organic.ams.usda.gov/Integrity/Certificate.aspx?cid=62&amp;nopid=8150024145")</f>
        <v>https://organic.ams.usda.gov/Integrity/Certificate.aspx?cid=62&amp;nopid=8150024145</v>
      </c>
    </row>
    <row r="846">
      <c r="A846" t="s">
        <v>3</v>
      </c>
      <c r="B846" s="6" t="s">
        <v>13</v>
      </c>
      <c r="C846" s="6" t="s">
        <v>60</v>
      </c>
      <c r="D846" s="6" t="s">
        <v>106</v>
      </c>
      <c r="E846" s="10" t="s">
        <v>987</v>
      </c>
      <c r="F846" s="6" t="s">
        <v>3716</v>
      </c>
      <c r="G846" s="6" t="s">
        <v>81</v>
      </c>
      <c r="H846" s="6" t="s">
        <v>6666</v>
      </c>
      <c r="I846" s="6" t="s">
        <v>8886</v>
      </c>
      <c r="J846" s="6" t="s">
        <v>10085</v>
      </c>
      <c r="K846" s="6" t="s">
        <v>10886</v>
      </c>
      <c r="L846" s="16" t="n">
        <v>45433</v>
      </c>
      <c r="M846" s="16" t="n">
        <v>45659</v>
      </c>
      <c r="N846" s="6" t="s">
        <v>81</v>
      </c>
      <c r="O846" s="21" t="s">
        <v>81</v>
      </c>
      <c r="P846" s="6" t="s">
        <v>81</v>
      </c>
      <c r="Q846" s="6" t="s">
        <v>81</v>
      </c>
      <c r="R846" s="6" t="s">
        <v>81</v>
      </c>
      <c r="S846" s="6" t="s">
        <v>81</v>
      </c>
      <c r="T846" s="21" t="s">
        <v>81</v>
      </c>
      <c r="U846" s="6" t="s">
        <v>81</v>
      </c>
      <c r="V846" s="6" t="s">
        <v>81</v>
      </c>
      <c r="W846" s="6" t="s">
        <v>81</v>
      </c>
      <c r="X846" s="6" t="s">
        <v>81</v>
      </c>
      <c r="Y846" s="21" t="s">
        <v>81</v>
      </c>
      <c r="Z846" s="6" t="s">
        <v>81</v>
      </c>
      <c r="AA846" s="6" t="s">
        <v>81</v>
      </c>
      <c r="AB846" s="6" t="s">
        <v>81</v>
      </c>
      <c r="AC846" s="6" t="s">
        <v>10886</v>
      </c>
      <c r="AD846" s="16" t="n">
        <v>45433</v>
      </c>
      <c r="AE846" s="6" t="s">
        <v>14167</v>
      </c>
      <c r="AF846" s="6" t="s">
        <v>81</v>
      </c>
      <c r="AG846" s="6" t="s">
        <v>14541</v>
      </c>
      <c r="AH846" s="6" t="s">
        <v>15427</v>
      </c>
      <c r="AI846" s="6" t="s">
        <v>17285</v>
      </c>
      <c r="AJ846" s="6" t="s">
        <v>17775</v>
      </c>
      <c r="AK846" s="6" t="s">
        <v>18387</v>
      </c>
      <c r="AL846" s="6" t="s">
        <v>18444</v>
      </c>
      <c r="AM846" s="6" t="s">
        <v>18947</v>
      </c>
      <c r="AN846" s="6" t="s">
        <v>81</v>
      </c>
      <c r="AO846" s="6" t="s">
        <v>81</v>
      </c>
      <c r="AP846" s="6" t="s">
        <v>15427</v>
      </c>
      <c r="AQ846" s="6" t="s">
        <v>17285</v>
      </c>
      <c r="AR846" s="6" t="s">
        <v>17775</v>
      </c>
      <c r="AS846" s="6" t="s">
        <v>18387</v>
      </c>
      <c r="AT846" s="6" t="s">
        <v>18444</v>
      </c>
      <c r="AU846" s="6" t="s">
        <v>18947</v>
      </c>
      <c r="AV846" s="6" t="s">
        <v>81</v>
      </c>
      <c r="AW846" s="6" t="s">
        <v>81</v>
      </c>
      <c r="AX846" s="6" t="s">
        <v>21282</v>
      </c>
      <c r="AY846" s="6" t="s">
        <v>22858</v>
      </c>
      <c r="AZ846" s="6" t="s">
        <v>23647</v>
      </c>
      <c r="BA846" s="6" t="s">
        <v>81</v>
      </c>
      <c r="BB846" s="6" t="s">
        <v>81</v>
      </c>
      <c r="BC846" s="26"/>
      <c r="BD846" s="26"/>
      <c r="BE846" s="26"/>
      <c r="BF846" s="26" t="s">
        <v>23900</v>
      </c>
      <c r="BG846" s="26" t="s">
        <v>23900</v>
      </c>
      <c r="BH846" s="26" t="s">
        <v>23900</v>
      </c>
      <c r="BI846" s="26"/>
      <c r="BJ846" s="26"/>
      <c r="BK846" s="26"/>
      <c r="BL846" s="26"/>
      <c r="BM846" s="26"/>
      <c r="BN846" s="26"/>
      <c r="BO846" s="26"/>
      <c r="BP846" s="16" t="n">
        <v>45722</v>
      </c>
      <c r="BQ846" s="28" t="str">
        <f>HYPERLINK("https://organic.ams.usda.gov/Integrity/Certificate.aspx?cid=72&amp;nopid=5870107106")</f>
        <v>https://organic.ams.usda.gov/Integrity/Certificate.aspx?cid=72&amp;nopid=5870107106</v>
      </c>
    </row>
    <row r="847">
      <c r="A847" t="s">
        <v>3</v>
      </c>
      <c r="B847" s="6" t="s">
        <v>8</v>
      </c>
      <c r="C847" s="6" t="s">
        <v>55</v>
      </c>
      <c r="D847" s="6" t="s">
        <v>101</v>
      </c>
      <c r="E847" s="10" t="s">
        <v>988</v>
      </c>
      <c r="F847" s="6" t="s">
        <v>3717</v>
      </c>
      <c r="G847" s="6" t="s">
        <v>81</v>
      </c>
      <c r="H847" s="6" t="s">
        <v>6667</v>
      </c>
      <c r="I847" s="6" t="s">
        <v>8887</v>
      </c>
      <c r="J847" s="6" t="s">
        <v>9671</v>
      </c>
      <c r="K847" s="6" t="s">
        <v>10886</v>
      </c>
      <c r="L847" s="16" t="n">
        <v>39960</v>
      </c>
      <c r="M847" s="16" t="n">
        <v>45748</v>
      </c>
      <c r="N847" s="6" t="s">
        <v>10886</v>
      </c>
      <c r="O847" s="16" t="n">
        <v>39960</v>
      </c>
      <c r="P847" s="6" t="s">
        <v>11408</v>
      </c>
      <c r="Q847" s="6" t="s">
        <v>81</v>
      </c>
      <c r="R847" s="6" t="s">
        <v>6667</v>
      </c>
      <c r="S847" s="6" t="s">
        <v>10886</v>
      </c>
      <c r="T847" s="16" t="n">
        <v>45629</v>
      </c>
      <c r="U847" s="6" t="s">
        <v>13470</v>
      </c>
      <c r="V847" s="6" t="s">
        <v>81</v>
      </c>
      <c r="W847" s="6" t="s">
        <v>6667</v>
      </c>
      <c r="X847" s="6" t="s">
        <v>81</v>
      </c>
      <c r="Y847" s="21" t="s">
        <v>81</v>
      </c>
      <c r="Z847" s="6" t="s">
        <v>81</v>
      </c>
      <c r="AA847" s="6" t="s">
        <v>81</v>
      </c>
      <c r="AB847" s="6" t="s">
        <v>81</v>
      </c>
      <c r="AC847" s="6" t="s">
        <v>81</v>
      </c>
      <c r="AD847" s="21" t="s">
        <v>81</v>
      </c>
      <c r="AE847" s="6" t="s">
        <v>81</v>
      </c>
      <c r="AF847" s="6" t="s">
        <v>81</v>
      </c>
      <c r="AG847" s="6" t="s">
        <v>81</v>
      </c>
      <c r="AH847" s="6" t="s">
        <v>15428</v>
      </c>
      <c r="AI847" s="6" t="s">
        <v>81</v>
      </c>
      <c r="AJ847" s="6" t="s">
        <v>17413</v>
      </c>
      <c r="AK847" s="6" t="s">
        <v>18380</v>
      </c>
      <c r="AL847" s="6" t="s">
        <v>18444</v>
      </c>
      <c r="AM847" s="6" t="s">
        <v>18569</v>
      </c>
      <c r="AN847" s="6" t="s">
        <v>19639</v>
      </c>
      <c r="AO847" s="6" t="s">
        <v>19725</v>
      </c>
      <c r="AP847" s="6" t="s">
        <v>81</v>
      </c>
      <c r="AQ847" s="6" t="s">
        <v>81</v>
      </c>
      <c r="AR847" s="6" t="s">
        <v>81</v>
      </c>
      <c r="AS847" s="6" t="s">
        <v>81</v>
      </c>
      <c r="AT847" s="6" t="s">
        <v>81</v>
      </c>
      <c r="AU847" s="6" t="s">
        <v>81</v>
      </c>
      <c r="AV847" s="6" t="s">
        <v>81</v>
      </c>
      <c r="AW847" s="6" t="s">
        <v>81</v>
      </c>
      <c r="AX847" s="6" t="s">
        <v>81</v>
      </c>
      <c r="AY847" s="6" t="s">
        <v>81</v>
      </c>
      <c r="AZ847" s="6" t="s">
        <v>81</v>
      </c>
      <c r="BA847" s="6" t="s">
        <v>23819</v>
      </c>
      <c r="BB847" s="24" t="n">
        <v>43</v>
      </c>
      <c r="BC847" s="26"/>
      <c r="BD847" s="26"/>
      <c r="BE847" s="26"/>
      <c r="BF847" s="26" t="s">
        <v>23900</v>
      </c>
      <c r="BG847" s="26"/>
      <c r="BH847" s="26"/>
      <c r="BI847" s="26"/>
      <c r="BJ847" s="26"/>
      <c r="BK847" s="26"/>
      <c r="BL847" s="26"/>
      <c r="BM847" s="26"/>
      <c r="BN847" s="26"/>
      <c r="BO847" s="26"/>
      <c r="BP847" s="16" t="n">
        <v>45629</v>
      </c>
      <c r="BQ847" s="28" t="str">
        <f>HYPERLINK("https://organic.ams.usda.gov/Integrity/Certificate.aspx?cid=45&amp;nopid=9950003424")</f>
        <v>https://organic.ams.usda.gov/Integrity/Certificate.aspx?cid=45&amp;nopid=9950003424</v>
      </c>
    </row>
    <row r="848">
      <c r="A848" t="s">
        <v>3</v>
      </c>
      <c r="B848" s="6" t="s">
        <v>17</v>
      </c>
      <c r="C848" s="6" t="s">
        <v>64</v>
      </c>
      <c r="D848" s="6" t="s">
        <v>110</v>
      </c>
      <c r="E848" s="10" t="s">
        <v>989</v>
      </c>
      <c r="F848" s="6" t="s">
        <v>3718</v>
      </c>
      <c r="G848" s="6" t="s">
        <v>81</v>
      </c>
      <c r="H848" s="6" t="s">
        <v>6668</v>
      </c>
      <c r="I848" s="6" t="s">
        <v>8501</v>
      </c>
      <c r="J848" s="6" t="s">
        <v>10086</v>
      </c>
      <c r="K848" s="6" t="s">
        <v>10886</v>
      </c>
      <c r="L848" s="16" t="n">
        <v>37986</v>
      </c>
      <c r="M848" s="16" t="n">
        <v>46068</v>
      </c>
      <c r="N848" s="6" t="s">
        <v>81</v>
      </c>
      <c r="O848" s="21" t="s">
        <v>81</v>
      </c>
      <c r="P848" s="6" t="s">
        <v>81</v>
      </c>
      <c r="Q848" s="6" t="s">
        <v>81</v>
      </c>
      <c r="R848" s="6" t="s">
        <v>81</v>
      </c>
      <c r="S848" s="6" t="s">
        <v>81</v>
      </c>
      <c r="T848" s="21" t="s">
        <v>81</v>
      </c>
      <c r="U848" s="6" t="s">
        <v>81</v>
      </c>
      <c r="V848" s="6" t="s">
        <v>81</v>
      </c>
      <c r="W848" s="6" t="s">
        <v>81</v>
      </c>
      <c r="X848" s="6" t="s">
        <v>81</v>
      </c>
      <c r="Y848" s="21" t="s">
        <v>81</v>
      </c>
      <c r="Z848" s="6" t="s">
        <v>81</v>
      </c>
      <c r="AA848" s="6" t="s">
        <v>81</v>
      </c>
      <c r="AB848" s="6" t="s">
        <v>81</v>
      </c>
      <c r="AC848" s="6" t="s">
        <v>10886</v>
      </c>
      <c r="AD848" s="16" t="n">
        <v>37986</v>
      </c>
      <c r="AE848" s="6" t="s">
        <v>14168</v>
      </c>
      <c r="AF848" s="6" t="s">
        <v>81</v>
      </c>
      <c r="AG848" s="6" t="s">
        <v>6668</v>
      </c>
      <c r="AH848" s="6" t="s">
        <v>15429</v>
      </c>
      <c r="AI848" s="6" t="s">
        <v>81</v>
      </c>
      <c r="AJ848" s="6" t="s">
        <v>17776</v>
      </c>
      <c r="AK848" s="6" t="s">
        <v>18384</v>
      </c>
      <c r="AL848" s="6" t="s">
        <v>18444</v>
      </c>
      <c r="AM848" s="6" t="s">
        <v>18948</v>
      </c>
      <c r="AN848" s="6" t="s">
        <v>19690</v>
      </c>
      <c r="AO848" s="6" t="s">
        <v>19852</v>
      </c>
      <c r="AP848" s="6" t="s">
        <v>20212</v>
      </c>
      <c r="AQ848" s="6" t="s">
        <v>81</v>
      </c>
      <c r="AR848" s="6" t="s">
        <v>17426</v>
      </c>
      <c r="AS848" s="6" t="s">
        <v>18384</v>
      </c>
      <c r="AT848" s="6" t="s">
        <v>18444</v>
      </c>
      <c r="AU848" s="6" t="s">
        <v>18583</v>
      </c>
      <c r="AV848" s="6" t="s">
        <v>81</v>
      </c>
      <c r="AW848" s="6" t="s">
        <v>81</v>
      </c>
      <c r="AX848" s="6" t="s">
        <v>21283</v>
      </c>
      <c r="AY848" s="6" t="s">
        <v>22859</v>
      </c>
      <c r="AZ848" s="6" t="s">
        <v>81</v>
      </c>
      <c r="BA848" s="6" t="s">
        <v>81</v>
      </c>
      <c r="BB848" s="6" t="s">
        <v>81</v>
      </c>
      <c r="BC848" s="26"/>
      <c r="BD848" s="26"/>
      <c r="BE848" s="26"/>
      <c r="BF848" s="26" t="s">
        <v>23900</v>
      </c>
      <c r="BG848" s="26" t="s">
        <v>23900</v>
      </c>
      <c r="BH848" s="26"/>
      <c r="BI848" s="26"/>
      <c r="BJ848" s="26"/>
      <c r="BK848" s="26"/>
      <c r="BL848" s="26" t="s">
        <v>23900</v>
      </c>
      <c r="BM848" s="26"/>
      <c r="BN848" s="26"/>
      <c r="BO848" s="26"/>
      <c r="BP848" s="16" t="n">
        <v>45707</v>
      </c>
      <c r="BQ848" s="28" t="str">
        <f>HYPERLINK("https://organic.ams.usda.gov/Integrity/Certificate.aspx?cid=36&amp;nopid=5400000215")</f>
        <v>https://organic.ams.usda.gov/Integrity/Certificate.aspx?cid=36&amp;nopid=5400000215</v>
      </c>
    </row>
    <row r="849">
      <c r="A849" t="s">
        <v>3</v>
      </c>
      <c r="B849" s="6" t="s">
        <v>29</v>
      </c>
      <c r="C849" s="6" t="s">
        <v>76</v>
      </c>
      <c r="D849" s="6" t="s">
        <v>122</v>
      </c>
      <c r="E849" s="10" t="s">
        <v>990</v>
      </c>
      <c r="F849" s="6" t="s">
        <v>3719</v>
      </c>
      <c r="G849" s="6" t="s">
        <v>81</v>
      </c>
      <c r="H849" s="6" t="s">
        <v>6669</v>
      </c>
      <c r="I849" s="6" t="s">
        <v>8888</v>
      </c>
      <c r="J849" s="6" t="s">
        <v>10087</v>
      </c>
      <c r="K849" s="6" t="s">
        <v>10886</v>
      </c>
      <c r="L849" s="16" t="n">
        <v>41549</v>
      </c>
      <c r="M849" s="16" t="n">
        <v>45870</v>
      </c>
      <c r="N849" s="6" t="s">
        <v>10886</v>
      </c>
      <c r="O849" s="16" t="n">
        <v>41549</v>
      </c>
      <c r="P849" s="6" t="s">
        <v>10910</v>
      </c>
      <c r="Q849" s="6" t="s">
        <v>81</v>
      </c>
      <c r="R849" s="6" t="s">
        <v>12665</v>
      </c>
      <c r="S849" s="6" t="s">
        <v>10886</v>
      </c>
      <c r="T849" s="16" t="n">
        <v>43011</v>
      </c>
      <c r="U849" s="6" t="s">
        <v>13471</v>
      </c>
      <c r="V849" s="6" t="s">
        <v>81</v>
      </c>
      <c r="W849" s="6" t="s">
        <v>12665</v>
      </c>
      <c r="X849" s="6" t="s">
        <v>81</v>
      </c>
      <c r="Y849" s="21" t="s">
        <v>81</v>
      </c>
      <c r="Z849" s="6" t="s">
        <v>81</v>
      </c>
      <c r="AA849" s="6" t="s">
        <v>81</v>
      </c>
      <c r="AB849" s="6" t="s">
        <v>81</v>
      </c>
      <c r="AC849" s="6" t="s">
        <v>81</v>
      </c>
      <c r="AD849" s="21" t="s">
        <v>81</v>
      </c>
      <c r="AE849" s="6" t="s">
        <v>81</v>
      </c>
      <c r="AF849" s="6" t="s">
        <v>81</v>
      </c>
      <c r="AG849" s="6" t="s">
        <v>81</v>
      </c>
      <c r="AH849" s="6" t="s">
        <v>15430</v>
      </c>
      <c r="AI849" s="6" t="s">
        <v>81</v>
      </c>
      <c r="AJ849" s="6" t="s">
        <v>17401</v>
      </c>
      <c r="AK849" s="6" t="s">
        <v>17759</v>
      </c>
      <c r="AL849" s="6" t="s">
        <v>18444</v>
      </c>
      <c r="AM849" s="6" t="s">
        <v>18557</v>
      </c>
      <c r="AN849" s="6" t="s">
        <v>19660</v>
      </c>
      <c r="AO849" s="6" t="s">
        <v>19779</v>
      </c>
      <c r="AP849" s="6" t="s">
        <v>81</v>
      </c>
      <c r="AQ849" s="6" t="s">
        <v>81</v>
      </c>
      <c r="AR849" s="6" t="s">
        <v>81</v>
      </c>
      <c r="AS849" s="6" t="s">
        <v>81</v>
      </c>
      <c r="AT849" s="6" t="s">
        <v>81</v>
      </c>
      <c r="AU849" s="6" t="s">
        <v>81</v>
      </c>
      <c r="AV849" s="6" t="s">
        <v>81</v>
      </c>
      <c r="AW849" s="6" t="s">
        <v>81</v>
      </c>
      <c r="AX849" s="6" t="s">
        <v>21284</v>
      </c>
      <c r="AY849" s="6" t="s">
        <v>22860</v>
      </c>
      <c r="AZ849" s="6" t="s">
        <v>81</v>
      </c>
      <c r="BA849" s="6" t="s">
        <v>81</v>
      </c>
      <c r="BB849" s="24" t="n">
        <v>401</v>
      </c>
      <c r="BC849" s="26"/>
      <c r="BD849" s="26"/>
      <c r="BE849" s="26"/>
      <c r="BF849" s="26" t="s">
        <v>23900</v>
      </c>
      <c r="BG849" s="26"/>
      <c r="BH849" s="26"/>
      <c r="BI849" s="26"/>
      <c r="BJ849" s="26"/>
      <c r="BK849" s="26"/>
      <c r="BL849" s="26"/>
      <c r="BM849" s="26"/>
      <c r="BN849" s="26"/>
      <c r="BO849" s="26"/>
      <c r="BP849" s="16" t="n">
        <v>45737</v>
      </c>
      <c r="BQ849" s="28" t="str">
        <f>HYPERLINK("https://organic.ams.usda.gov/Integrity/Certificate.aspx?cid=31&amp;nopid=3928971334")</f>
        <v>https://organic.ams.usda.gov/Integrity/Certificate.aspx?cid=31&amp;nopid=3928971334</v>
      </c>
    </row>
    <row r="850">
      <c r="A850" t="s">
        <v>3</v>
      </c>
      <c r="B850" s="6" t="s">
        <v>8</v>
      </c>
      <c r="C850" s="6" t="s">
        <v>55</v>
      </c>
      <c r="D850" s="6" t="s">
        <v>101</v>
      </c>
      <c r="E850" s="10" t="s">
        <v>991</v>
      </c>
      <c r="F850" s="6" t="s">
        <v>3720</v>
      </c>
      <c r="G850" s="6" t="s">
        <v>81</v>
      </c>
      <c r="H850" s="6" t="s">
        <v>6670</v>
      </c>
      <c r="I850" s="6" t="s">
        <v>8889</v>
      </c>
      <c r="J850" s="6" t="s">
        <v>9665</v>
      </c>
      <c r="K850" s="6" t="s">
        <v>10886</v>
      </c>
      <c r="L850" s="16" t="n">
        <v>40336</v>
      </c>
      <c r="M850" s="16" t="n">
        <v>45383</v>
      </c>
      <c r="N850" s="6" t="s">
        <v>10886</v>
      </c>
      <c r="O850" s="16" t="n">
        <v>40336</v>
      </c>
      <c r="P850" s="6" t="s">
        <v>11409</v>
      </c>
      <c r="Q850" s="6" t="s">
        <v>81</v>
      </c>
      <c r="R850" s="6" t="s">
        <v>6670</v>
      </c>
      <c r="S850" s="6" t="s">
        <v>10886</v>
      </c>
      <c r="T850" s="16" t="n">
        <v>40336</v>
      </c>
      <c r="U850" s="6" t="s">
        <v>13472</v>
      </c>
      <c r="V850" s="6" t="s">
        <v>81</v>
      </c>
      <c r="W850" s="6" t="s">
        <v>6670</v>
      </c>
      <c r="X850" s="6" t="s">
        <v>81</v>
      </c>
      <c r="Y850" s="21" t="s">
        <v>81</v>
      </c>
      <c r="Z850" s="6" t="s">
        <v>81</v>
      </c>
      <c r="AA850" s="6" t="s">
        <v>81</v>
      </c>
      <c r="AB850" s="6" t="s">
        <v>81</v>
      </c>
      <c r="AC850" s="6" t="s">
        <v>81</v>
      </c>
      <c r="AD850" s="21" t="s">
        <v>81</v>
      </c>
      <c r="AE850" s="6" t="s">
        <v>81</v>
      </c>
      <c r="AF850" s="6" t="s">
        <v>81</v>
      </c>
      <c r="AG850" s="6" t="s">
        <v>81</v>
      </c>
      <c r="AH850" s="6" t="s">
        <v>15431</v>
      </c>
      <c r="AI850" s="6" t="s">
        <v>81</v>
      </c>
      <c r="AJ850" s="6" t="s">
        <v>17385</v>
      </c>
      <c r="AK850" s="6" t="s">
        <v>18377</v>
      </c>
      <c r="AL850" s="6" t="s">
        <v>18444</v>
      </c>
      <c r="AM850" s="6" t="s">
        <v>18539</v>
      </c>
      <c r="AN850" s="6" t="s">
        <v>19634</v>
      </c>
      <c r="AO850" s="6" t="s">
        <v>19764</v>
      </c>
      <c r="AP850" s="6" t="s">
        <v>81</v>
      </c>
      <c r="AQ850" s="6" t="s">
        <v>81</v>
      </c>
      <c r="AR850" s="6" t="s">
        <v>81</v>
      </c>
      <c r="AS850" s="6" t="s">
        <v>81</v>
      </c>
      <c r="AT850" s="6" t="s">
        <v>81</v>
      </c>
      <c r="AU850" s="6" t="s">
        <v>81</v>
      </c>
      <c r="AV850" s="6" t="s">
        <v>81</v>
      </c>
      <c r="AW850" s="6" t="s">
        <v>81</v>
      </c>
      <c r="AX850" s="6" t="s">
        <v>81</v>
      </c>
      <c r="AY850" s="6" t="s">
        <v>81</v>
      </c>
      <c r="AZ850" s="6" t="s">
        <v>81</v>
      </c>
      <c r="BA850" s="6" t="s">
        <v>23824</v>
      </c>
      <c r="BB850" s="24" t="n">
        <v>64</v>
      </c>
      <c r="BC850" s="26"/>
      <c r="BD850" s="26"/>
      <c r="BE850" s="26"/>
      <c r="BF850" s="26" t="s">
        <v>23900</v>
      </c>
      <c r="BG850" s="26"/>
      <c r="BH850" s="26"/>
      <c r="BI850" s="26"/>
      <c r="BJ850" s="26"/>
      <c r="BK850" s="26"/>
      <c r="BL850" s="26"/>
      <c r="BM850" s="26"/>
      <c r="BN850" s="26"/>
      <c r="BO850" s="26"/>
      <c r="BP850" s="16" t="n">
        <v>45408</v>
      </c>
      <c r="BQ850" s="28" t="str">
        <f>HYPERLINK("https://organic.ams.usda.gov/Integrity/Certificate.aspx?cid=45&amp;nopid=9950004011")</f>
        <v>https://organic.ams.usda.gov/Integrity/Certificate.aspx?cid=45&amp;nopid=9950004011</v>
      </c>
    </row>
    <row r="851">
      <c r="A851" t="s">
        <v>3</v>
      </c>
      <c r="B851" s="6" t="s">
        <v>16</v>
      </c>
      <c r="C851" s="6" t="s">
        <v>63</v>
      </c>
      <c r="D851" s="6" t="s">
        <v>109</v>
      </c>
      <c r="E851" s="10" t="s">
        <v>992</v>
      </c>
      <c r="F851" s="6" t="s">
        <v>3721</v>
      </c>
      <c r="G851" s="6" t="s">
        <v>81</v>
      </c>
      <c r="H851" s="6" t="s">
        <v>6671</v>
      </c>
      <c r="I851" s="6" t="s">
        <v>8816</v>
      </c>
      <c r="J851" s="6" t="s">
        <v>10088</v>
      </c>
      <c r="K851" s="6" t="s">
        <v>10886</v>
      </c>
      <c r="L851" s="16" t="n">
        <v>43392</v>
      </c>
      <c r="M851" s="16" t="n">
        <v>45731</v>
      </c>
      <c r="N851" s="6" t="s">
        <v>81</v>
      </c>
      <c r="O851" s="21" t="s">
        <v>81</v>
      </c>
      <c r="P851" s="6" t="s">
        <v>81</v>
      </c>
      <c r="Q851" s="6" t="s">
        <v>81</v>
      </c>
      <c r="R851" s="6" t="s">
        <v>81</v>
      </c>
      <c r="S851" s="6" t="s">
        <v>10886</v>
      </c>
      <c r="T851" s="16" t="n">
        <v>43392</v>
      </c>
      <c r="U851" s="6" t="s">
        <v>13473</v>
      </c>
      <c r="V851" s="6" t="s">
        <v>81</v>
      </c>
      <c r="W851" s="6" t="s">
        <v>81</v>
      </c>
      <c r="X851" s="6" t="s">
        <v>81</v>
      </c>
      <c r="Y851" s="21" t="s">
        <v>81</v>
      </c>
      <c r="Z851" s="6" t="s">
        <v>81</v>
      </c>
      <c r="AA851" s="6" t="s">
        <v>81</v>
      </c>
      <c r="AB851" s="6" t="s">
        <v>81</v>
      </c>
      <c r="AC851" s="6" t="s">
        <v>10886</v>
      </c>
      <c r="AD851" s="16" t="n">
        <v>43392</v>
      </c>
      <c r="AE851" s="6" t="s">
        <v>81</v>
      </c>
      <c r="AF851" s="6" t="s">
        <v>81</v>
      </c>
      <c r="AG851" s="6" t="s">
        <v>81</v>
      </c>
      <c r="AH851" s="6" t="s">
        <v>15432</v>
      </c>
      <c r="AI851" s="6" t="s">
        <v>81</v>
      </c>
      <c r="AJ851" s="6" t="s">
        <v>17777</v>
      </c>
      <c r="AK851" s="6" t="s">
        <v>18383</v>
      </c>
      <c r="AL851" s="6" t="s">
        <v>18444</v>
      </c>
      <c r="AM851" s="6" t="s">
        <v>18949</v>
      </c>
      <c r="AN851" s="6" t="s">
        <v>19653</v>
      </c>
      <c r="AO851" s="6" t="s">
        <v>19928</v>
      </c>
      <c r="AP851" s="6" t="s">
        <v>81</v>
      </c>
      <c r="AQ851" s="6" t="s">
        <v>81</v>
      </c>
      <c r="AR851" s="6" t="s">
        <v>81</v>
      </c>
      <c r="AS851" s="6" t="s">
        <v>81</v>
      </c>
      <c r="AT851" s="6" t="s">
        <v>81</v>
      </c>
      <c r="AU851" s="6" t="s">
        <v>81</v>
      </c>
      <c r="AV851" s="6" t="s">
        <v>81</v>
      </c>
      <c r="AW851" s="6" t="s">
        <v>81</v>
      </c>
      <c r="AX851" s="6" t="s">
        <v>21285</v>
      </c>
      <c r="AY851" s="6" t="s">
        <v>81</v>
      </c>
      <c r="AZ851" s="6" t="s">
        <v>81</v>
      </c>
      <c r="BA851" s="6" t="s">
        <v>81</v>
      </c>
      <c r="BB851" s="24" t="n">
        <v>0</v>
      </c>
      <c r="BC851" s="26"/>
      <c r="BD851" s="26"/>
      <c r="BE851" s="26"/>
      <c r="BF851" s="26"/>
      <c r="BG851" s="26"/>
      <c r="BH851" s="26"/>
      <c r="BI851" s="26"/>
      <c r="BJ851" s="26"/>
      <c r="BK851" s="26"/>
      <c r="BL851" s="26"/>
      <c r="BM851" s="26"/>
      <c r="BN851" s="26"/>
      <c r="BO851" s="26"/>
      <c r="BP851" s="16" t="n">
        <v>45701</v>
      </c>
      <c r="BQ851" s="28" t="str">
        <f>HYPERLINK("https://organic.ams.usda.gov/Integrity/Certificate.aspx?cid=81&amp;nopid=4213724487")</f>
        <v>https://organic.ams.usda.gov/Integrity/Certificate.aspx?cid=81&amp;nopid=4213724487</v>
      </c>
    </row>
    <row r="852">
      <c r="A852" t="s">
        <v>3</v>
      </c>
      <c r="B852" s="6" t="s">
        <v>6</v>
      </c>
      <c r="C852" s="6" t="s">
        <v>53</v>
      </c>
      <c r="D852" s="6" t="s">
        <v>99</v>
      </c>
      <c r="E852" s="10" t="s">
        <v>993</v>
      </c>
      <c r="F852" s="6" t="s">
        <v>3722</v>
      </c>
      <c r="G852" s="6" t="s">
        <v>81</v>
      </c>
      <c r="H852" s="6" t="s">
        <v>6672</v>
      </c>
      <c r="I852" s="6" t="s">
        <v>8890</v>
      </c>
      <c r="J852" s="6" t="s">
        <v>10089</v>
      </c>
      <c r="K852" s="6" t="s">
        <v>10886</v>
      </c>
      <c r="L852" s="16" t="n">
        <v>45597</v>
      </c>
      <c r="M852" s="16" t="n">
        <v>45952</v>
      </c>
      <c r="N852" s="6" t="s">
        <v>81</v>
      </c>
      <c r="O852" s="21" t="s">
        <v>81</v>
      </c>
      <c r="P852" s="6" t="s">
        <v>81</v>
      </c>
      <c r="Q852" s="6" t="s">
        <v>81</v>
      </c>
      <c r="R852" s="6" t="s">
        <v>81</v>
      </c>
      <c r="S852" s="6" t="s">
        <v>81</v>
      </c>
      <c r="T852" s="21" t="s">
        <v>81</v>
      </c>
      <c r="U852" s="6" t="s">
        <v>81</v>
      </c>
      <c r="V852" s="6" t="s">
        <v>81</v>
      </c>
      <c r="W852" s="6" t="s">
        <v>81</v>
      </c>
      <c r="X852" s="6" t="s">
        <v>81</v>
      </c>
      <c r="Y852" s="21" t="s">
        <v>81</v>
      </c>
      <c r="Z852" s="6" t="s">
        <v>81</v>
      </c>
      <c r="AA852" s="6" t="s">
        <v>81</v>
      </c>
      <c r="AB852" s="6" t="s">
        <v>81</v>
      </c>
      <c r="AC852" s="6" t="s">
        <v>10886</v>
      </c>
      <c r="AD852" s="16" t="n">
        <v>45597</v>
      </c>
      <c r="AE852" s="6" t="s">
        <v>14169</v>
      </c>
      <c r="AF852" s="6" t="s">
        <v>81</v>
      </c>
      <c r="AG852" s="6" t="s">
        <v>14542</v>
      </c>
      <c r="AH852" s="6" t="s">
        <v>15433</v>
      </c>
      <c r="AI852" s="6" t="s">
        <v>81</v>
      </c>
      <c r="AJ852" s="6" t="s">
        <v>17778</v>
      </c>
      <c r="AK852" s="6" t="s">
        <v>18389</v>
      </c>
      <c r="AL852" s="6" t="s">
        <v>18444</v>
      </c>
      <c r="AM852" s="6" t="s">
        <v>18950</v>
      </c>
      <c r="AN852" s="6" t="s">
        <v>81</v>
      </c>
      <c r="AO852" s="6" t="s">
        <v>81</v>
      </c>
      <c r="AP852" s="6" t="s">
        <v>81</v>
      </c>
      <c r="AQ852" s="6" t="s">
        <v>81</v>
      </c>
      <c r="AR852" s="6" t="s">
        <v>81</v>
      </c>
      <c r="AS852" s="6" t="s">
        <v>81</v>
      </c>
      <c r="AT852" s="6" t="s">
        <v>81</v>
      </c>
      <c r="AU852" s="6" t="s">
        <v>81</v>
      </c>
      <c r="AV852" s="6" t="s">
        <v>81</v>
      </c>
      <c r="AW852" s="6" t="s">
        <v>81</v>
      </c>
      <c r="AX852" s="6" t="s">
        <v>21286</v>
      </c>
      <c r="AY852" s="6" t="s">
        <v>22861</v>
      </c>
      <c r="AZ852" s="6" t="s">
        <v>81</v>
      </c>
      <c r="BA852" s="6" t="s">
        <v>81</v>
      </c>
      <c r="BB852" s="6" t="s">
        <v>81</v>
      </c>
      <c r="BC852" s="26"/>
      <c r="BD852" s="26"/>
      <c r="BE852" s="26"/>
      <c r="BF852" s="26"/>
      <c r="BG852" s="26"/>
      <c r="BH852" s="26"/>
      <c r="BI852" s="26"/>
      <c r="BJ852" s="26"/>
      <c r="BK852" s="26"/>
      <c r="BL852" s="26"/>
      <c r="BM852" s="26"/>
      <c r="BN852" s="26"/>
      <c r="BO852" s="26"/>
      <c r="BP852" s="16" t="n">
        <v>45737</v>
      </c>
      <c r="BQ852" s="28" t="str">
        <f>HYPERLINK("https://organic.ams.usda.gov/Integrity/Certificate.aspx?cid=32&amp;nopid=2230011452")</f>
        <v>https://organic.ams.usda.gov/Integrity/Certificate.aspx?cid=32&amp;nopid=2230011452</v>
      </c>
    </row>
    <row r="853">
      <c r="A853" t="s">
        <v>3</v>
      </c>
      <c r="B853" s="6" t="s">
        <v>7</v>
      </c>
      <c r="C853" s="6" t="s">
        <v>54</v>
      </c>
      <c r="D853" s="6" t="s">
        <v>100</v>
      </c>
      <c r="E853" s="10" t="s">
        <v>994</v>
      </c>
      <c r="F853" s="6" t="s">
        <v>3723</v>
      </c>
      <c r="G853" s="6" t="s">
        <v>81</v>
      </c>
      <c r="H853" s="6" t="s">
        <v>1953</v>
      </c>
      <c r="I853" s="6" t="s">
        <v>8891</v>
      </c>
      <c r="J853" s="6" t="s">
        <v>9672</v>
      </c>
      <c r="K853" s="6" t="s">
        <v>10886</v>
      </c>
      <c r="L853" s="16" t="n">
        <v>44785</v>
      </c>
      <c r="M853" s="16" t="n">
        <v>44816</v>
      </c>
      <c r="N853" s="6" t="s">
        <v>10886</v>
      </c>
      <c r="O853" s="16" t="n">
        <v>44785</v>
      </c>
      <c r="P853" s="6" t="s">
        <v>11031</v>
      </c>
      <c r="Q853" s="6" t="s">
        <v>81</v>
      </c>
      <c r="R853" s="6" t="s">
        <v>1953</v>
      </c>
      <c r="S853" s="6" t="s">
        <v>10886</v>
      </c>
      <c r="T853" s="16" t="n">
        <v>44785</v>
      </c>
      <c r="U853" s="6" t="s">
        <v>13164</v>
      </c>
      <c r="V853" s="6" t="s">
        <v>81</v>
      </c>
      <c r="W853" s="6" t="s">
        <v>1953</v>
      </c>
      <c r="X853" s="6" t="s">
        <v>81</v>
      </c>
      <c r="Y853" s="21" t="s">
        <v>81</v>
      </c>
      <c r="Z853" s="6" t="s">
        <v>81</v>
      </c>
      <c r="AA853" s="6" t="s">
        <v>81</v>
      </c>
      <c r="AB853" s="6" t="s">
        <v>81</v>
      </c>
      <c r="AC853" s="6" t="s">
        <v>10886</v>
      </c>
      <c r="AD853" s="16" t="n">
        <v>44816</v>
      </c>
      <c r="AE853" s="6" t="s">
        <v>81</v>
      </c>
      <c r="AF853" s="6" t="s">
        <v>81</v>
      </c>
      <c r="AG853" s="6" t="s">
        <v>81</v>
      </c>
      <c r="AH853" s="6" t="s">
        <v>15434</v>
      </c>
      <c r="AI853" s="6" t="s">
        <v>81</v>
      </c>
      <c r="AJ853" s="6" t="s">
        <v>17485</v>
      </c>
      <c r="AK853" s="6" t="s">
        <v>17712</v>
      </c>
      <c r="AL853" s="6" t="s">
        <v>18444</v>
      </c>
      <c r="AM853" s="6" t="s">
        <v>18645</v>
      </c>
      <c r="AN853" s="6" t="s">
        <v>19642</v>
      </c>
      <c r="AO853" s="6" t="s">
        <v>19728</v>
      </c>
      <c r="AP853" s="6" t="s">
        <v>81</v>
      </c>
      <c r="AQ853" s="6" t="s">
        <v>81</v>
      </c>
      <c r="AR853" s="6" t="s">
        <v>81</v>
      </c>
      <c r="AS853" s="6" t="s">
        <v>81</v>
      </c>
      <c r="AT853" s="6" t="s">
        <v>81</v>
      </c>
      <c r="AU853" s="6" t="s">
        <v>81</v>
      </c>
      <c r="AV853" s="6" t="s">
        <v>81</v>
      </c>
      <c r="AW853" s="6" t="s">
        <v>81</v>
      </c>
      <c r="AX853" s="6" t="s">
        <v>81</v>
      </c>
      <c r="AY853" s="6" t="s">
        <v>81</v>
      </c>
      <c r="AZ853" s="6" t="s">
        <v>81</v>
      </c>
      <c r="BA853" s="6" t="s">
        <v>81</v>
      </c>
      <c r="BB853" s="24" t="n">
        <v>48</v>
      </c>
      <c r="BC853" s="26"/>
      <c r="BD853" s="26"/>
      <c r="BE853" s="26"/>
      <c r="BF853" s="26"/>
      <c r="BG853" s="26"/>
      <c r="BH853" s="26"/>
      <c r="BI853" s="26"/>
      <c r="BJ853" s="26"/>
      <c r="BK853" s="26"/>
      <c r="BL853" s="26"/>
      <c r="BM853" s="26"/>
      <c r="BN853" s="26"/>
      <c r="BO853" s="26"/>
      <c r="BP853" s="16" t="n">
        <v>44911</v>
      </c>
      <c r="BQ853" s="28" t="str">
        <f>HYPERLINK("https://organic.ams.usda.gov/Integrity/Certificate.aspx?cid=57&amp;nopid=3253348043")</f>
        <v>https://organic.ams.usda.gov/Integrity/Certificate.aspx?cid=57&amp;nopid=3253348043</v>
      </c>
    </row>
    <row r="854">
      <c r="A854" t="s">
        <v>3</v>
      </c>
      <c r="B854" s="6" t="s">
        <v>7</v>
      </c>
      <c r="C854" s="6" t="s">
        <v>54</v>
      </c>
      <c r="D854" s="6" t="s">
        <v>100</v>
      </c>
      <c r="E854" s="10" t="s">
        <v>995</v>
      </c>
      <c r="F854" s="6" t="s">
        <v>3724</v>
      </c>
      <c r="G854" s="6" t="s">
        <v>81</v>
      </c>
      <c r="H854" s="6" t="s">
        <v>6673</v>
      </c>
      <c r="I854" s="6" t="s">
        <v>8493</v>
      </c>
      <c r="J854" s="6" t="s">
        <v>9677</v>
      </c>
      <c r="K854" s="6" t="s">
        <v>10886</v>
      </c>
      <c r="L854" s="16" t="n">
        <v>42633</v>
      </c>
      <c r="M854" s="16" t="n">
        <v>45716</v>
      </c>
      <c r="N854" s="6" t="s">
        <v>10886</v>
      </c>
      <c r="O854" s="16" t="n">
        <v>42633</v>
      </c>
      <c r="P854" s="6" t="s">
        <v>11410</v>
      </c>
      <c r="Q854" s="6" t="s">
        <v>81</v>
      </c>
      <c r="R854" s="6" t="s">
        <v>81</v>
      </c>
      <c r="S854" s="6" t="s">
        <v>10886</v>
      </c>
      <c r="T854" s="16" t="n">
        <v>42633</v>
      </c>
      <c r="U854" s="6" t="s">
        <v>13175</v>
      </c>
      <c r="V854" s="6" t="s">
        <v>81</v>
      </c>
      <c r="W854" s="6" t="s">
        <v>81</v>
      </c>
      <c r="X854" s="6" t="s">
        <v>81</v>
      </c>
      <c r="Y854" s="21" t="s">
        <v>81</v>
      </c>
      <c r="Z854" s="6" t="s">
        <v>81</v>
      </c>
      <c r="AA854" s="6" t="s">
        <v>81</v>
      </c>
      <c r="AB854" s="6" t="s">
        <v>81</v>
      </c>
      <c r="AC854" s="6" t="s">
        <v>81</v>
      </c>
      <c r="AD854" s="21" t="s">
        <v>81</v>
      </c>
      <c r="AE854" s="6" t="s">
        <v>81</v>
      </c>
      <c r="AF854" s="6" t="s">
        <v>81</v>
      </c>
      <c r="AG854" s="6" t="s">
        <v>81</v>
      </c>
      <c r="AH854" s="6" t="s">
        <v>15435</v>
      </c>
      <c r="AI854" s="6" t="s">
        <v>81</v>
      </c>
      <c r="AJ854" s="6" t="s">
        <v>17341</v>
      </c>
      <c r="AK854" s="6" t="s">
        <v>17712</v>
      </c>
      <c r="AL854" s="6" t="s">
        <v>18444</v>
      </c>
      <c r="AM854" s="6" t="s">
        <v>18495</v>
      </c>
      <c r="AN854" s="6" t="s">
        <v>19649</v>
      </c>
      <c r="AO854" s="6" t="s">
        <v>19738</v>
      </c>
      <c r="AP854" s="6" t="s">
        <v>15435</v>
      </c>
      <c r="AQ854" s="6" t="s">
        <v>81</v>
      </c>
      <c r="AR854" s="6" t="s">
        <v>17341</v>
      </c>
      <c r="AS854" s="6" t="s">
        <v>17712</v>
      </c>
      <c r="AT854" s="6" t="s">
        <v>18444</v>
      </c>
      <c r="AU854" s="6" t="s">
        <v>18495</v>
      </c>
      <c r="AV854" s="6" t="s">
        <v>81</v>
      </c>
      <c r="AW854" s="6" t="s">
        <v>81</v>
      </c>
      <c r="AX854" s="6" t="s">
        <v>21287</v>
      </c>
      <c r="AY854" s="6" t="s">
        <v>81</v>
      </c>
      <c r="AZ854" s="6" t="s">
        <v>81</v>
      </c>
      <c r="BA854" s="6" t="s">
        <v>81</v>
      </c>
      <c r="BB854" s="24" t="n">
        <v>35</v>
      </c>
      <c r="BC854" s="26"/>
      <c r="BD854" s="26"/>
      <c r="BE854" s="26"/>
      <c r="BF854" s="26" t="s">
        <v>23900</v>
      </c>
      <c r="BG854" s="26"/>
      <c r="BH854" s="26"/>
      <c r="BI854" s="26"/>
      <c r="BJ854" s="26"/>
      <c r="BK854" s="26"/>
      <c r="BL854" s="26"/>
      <c r="BM854" s="26"/>
      <c r="BN854" s="26"/>
      <c r="BO854" s="26"/>
      <c r="BP854" s="16" t="n">
        <v>45700</v>
      </c>
      <c r="BQ854" s="28" t="str">
        <f>HYPERLINK("https://organic.ams.usda.gov/Integrity/Certificate.aspx?cid=57&amp;nopid=3252016152")</f>
        <v>https://organic.ams.usda.gov/Integrity/Certificate.aspx?cid=57&amp;nopid=3252016152</v>
      </c>
    </row>
    <row r="855">
      <c r="A855" t="s">
        <v>3</v>
      </c>
      <c r="B855" s="6" t="s">
        <v>29</v>
      </c>
      <c r="C855" s="6" t="s">
        <v>76</v>
      </c>
      <c r="D855" s="6" t="s">
        <v>122</v>
      </c>
      <c r="E855" s="10" t="s">
        <v>996</v>
      </c>
      <c r="F855" s="6" t="s">
        <v>3725</v>
      </c>
      <c r="G855" s="6" t="s">
        <v>81</v>
      </c>
      <c r="H855" s="6" t="s">
        <v>6674</v>
      </c>
      <c r="I855" s="6" t="s">
        <v>8892</v>
      </c>
      <c r="J855" s="6" t="s">
        <v>10090</v>
      </c>
      <c r="K855" s="6" t="s">
        <v>10886</v>
      </c>
      <c r="L855" s="16" t="n">
        <v>41524</v>
      </c>
      <c r="M855" s="16" t="n">
        <v>45870</v>
      </c>
      <c r="N855" s="6" t="s">
        <v>81</v>
      </c>
      <c r="O855" s="21" t="s">
        <v>81</v>
      </c>
      <c r="P855" s="6" t="s">
        <v>81</v>
      </c>
      <c r="Q855" s="6" t="s">
        <v>81</v>
      </c>
      <c r="R855" s="6" t="s">
        <v>81</v>
      </c>
      <c r="S855" s="6" t="s">
        <v>81</v>
      </c>
      <c r="T855" s="21" t="s">
        <v>81</v>
      </c>
      <c r="U855" s="6" t="s">
        <v>81</v>
      </c>
      <c r="V855" s="6" t="s">
        <v>81</v>
      </c>
      <c r="W855" s="6" t="s">
        <v>81</v>
      </c>
      <c r="X855" s="6" t="s">
        <v>81</v>
      </c>
      <c r="Y855" s="21" t="s">
        <v>81</v>
      </c>
      <c r="Z855" s="6" t="s">
        <v>81</v>
      </c>
      <c r="AA855" s="6" t="s">
        <v>81</v>
      </c>
      <c r="AB855" s="6" t="s">
        <v>81</v>
      </c>
      <c r="AC855" s="6" t="s">
        <v>10886</v>
      </c>
      <c r="AD855" s="16" t="n">
        <v>41524</v>
      </c>
      <c r="AE855" s="6" t="s">
        <v>14170</v>
      </c>
      <c r="AF855" s="6" t="s">
        <v>81</v>
      </c>
      <c r="AG855" s="6" t="s">
        <v>14543</v>
      </c>
      <c r="AH855" s="6" t="s">
        <v>15436</v>
      </c>
      <c r="AI855" s="6" t="s">
        <v>81</v>
      </c>
      <c r="AJ855" s="6" t="s">
        <v>17440</v>
      </c>
      <c r="AK855" s="6" t="s">
        <v>18415</v>
      </c>
      <c r="AL855" s="6" t="s">
        <v>18444</v>
      </c>
      <c r="AM855" s="6" t="s">
        <v>18951</v>
      </c>
      <c r="AN855" s="6" t="s">
        <v>19657</v>
      </c>
      <c r="AO855" s="6" t="s">
        <v>19929</v>
      </c>
      <c r="AP855" s="6" t="s">
        <v>20213</v>
      </c>
      <c r="AQ855" s="6" t="s">
        <v>81</v>
      </c>
      <c r="AR855" s="6" t="s">
        <v>9562</v>
      </c>
      <c r="AS855" s="6" t="s">
        <v>18415</v>
      </c>
      <c r="AT855" s="6" t="s">
        <v>18444</v>
      </c>
      <c r="AU855" s="6" t="s">
        <v>20639</v>
      </c>
      <c r="AV855" s="6" t="s">
        <v>81</v>
      </c>
      <c r="AW855" s="6" t="s">
        <v>81</v>
      </c>
      <c r="AX855" s="6" t="s">
        <v>21288</v>
      </c>
      <c r="AY855" s="6" t="s">
        <v>22862</v>
      </c>
      <c r="AZ855" s="6" t="s">
        <v>81</v>
      </c>
      <c r="BA855" s="6" t="s">
        <v>81</v>
      </c>
      <c r="BB855" s="6" t="s">
        <v>81</v>
      </c>
      <c r="BC855" s="26"/>
      <c r="BD855" s="26"/>
      <c r="BE855" s="26"/>
      <c r="BF855" s="26"/>
      <c r="BG855" s="26"/>
      <c r="BH855" s="26"/>
      <c r="BI855" s="26"/>
      <c r="BJ855" s="26"/>
      <c r="BK855" s="26"/>
      <c r="BL855" s="26"/>
      <c r="BM855" s="26"/>
      <c r="BN855" s="26" t="s">
        <v>23900</v>
      </c>
      <c r="BO855" s="26"/>
      <c r="BP855" s="16" t="n">
        <v>45737</v>
      </c>
      <c r="BQ855" s="28" t="str">
        <f>HYPERLINK("https://organic.ams.usda.gov/Integrity/Certificate.aspx?cid=31&amp;nopid=3921208003")</f>
        <v>https://organic.ams.usda.gov/Integrity/Certificate.aspx?cid=31&amp;nopid=3921208003</v>
      </c>
    </row>
    <row r="856">
      <c r="A856" t="s">
        <v>3</v>
      </c>
      <c r="B856" s="6" t="s">
        <v>23</v>
      </c>
      <c r="C856" s="6" t="s">
        <v>70</v>
      </c>
      <c r="D856" s="6" t="s">
        <v>116</v>
      </c>
      <c r="E856" s="10" t="s">
        <v>997</v>
      </c>
      <c r="F856" s="6" t="s">
        <v>3726</v>
      </c>
      <c r="G856" s="6" t="s">
        <v>81</v>
      </c>
      <c r="H856" s="6" t="s">
        <v>6675</v>
      </c>
      <c r="I856" s="6" t="s">
        <v>8893</v>
      </c>
      <c r="J856" s="6" t="s">
        <v>10091</v>
      </c>
      <c r="K856" s="6" t="s">
        <v>10886</v>
      </c>
      <c r="L856" s="16" t="n">
        <v>44335</v>
      </c>
      <c r="M856" s="16" t="n">
        <v>45796</v>
      </c>
      <c r="N856" s="6" t="s">
        <v>81</v>
      </c>
      <c r="O856" s="21" t="s">
        <v>81</v>
      </c>
      <c r="P856" s="6" t="s">
        <v>81</v>
      </c>
      <c r="Q856" s="6" t="s">
        <v>81</v>
      </c>
      <c r="R856" s="6" t="s">
        <v>81</v>
      </c>
      <c r="S856" s="6" t="s">
        <v>81</v>
      </c>
      <c r="T856" s="21" t="s">
        <v>81</v>
      </c>
      <c r="U856" s="6" t="s">
        <v>81</v>
      </c>
      <c r="V856" s="6" t="s">
        <v>81</v>
      </c>
      <c r="W856" s="6" t="s">
        <v>81</v>
      </c>
      <c r="X856" s="6" t="s">
        <v>81</v>
      </c>
      <c r="Y856" s="21" t="s">
        <v>81</v>
      </c>
      <c r="Z856" s="6" t="s">
        <v>81</v>
      </c>
      <c r="AA856" s="6" t="s">
        <v>81</v>
      </c>
      <c r="AB856" s="6" t="s">
        <v>81</v>
      </c>
      <c r="AC856" s="6" t="s">
        <v>10886</v>
      </c>
      <c r="AD856" s="16" t="n">
        <v>44335</v>
      </c>
      <c r="AE856" s="6" t="s">
        <v>14171</v>
      </c>
      <c r="AF856" s="6" t="s">
        <v>81</v>
      </c>
      <c r="AG856" s="6" t="s">
        <v>81</v>
      </c>
      <c r="AH856" s="6" t="s">
        <v>15437</v>
      </c>
      <c r="AI856" s="6" t="s">
        <v>81</v>
      </c>
      <c r="AJ856" s="6" t="s">
        <v>17779</v>
      </c>
      <c r="AK856" s="6" t="s">
        <v>18386</v>
      </c>
      <c r="AL856" s="6" t="s">
        <v>18444</v>
      </c>
      <c r="AM856" s="6" t="s">
        <v>18952</v>
      </c>
      <c r="AN856" s="6" t="s">
        <v>81</v>
      </c>
      <c r="AO856" s="6" t="s">
        <v>81</v>
      </c>
      <c r="AP856" s="6" t="s">
        <v>20214</v>
      </c>
      <c r="AQ856" s="6" t="s">
        <v>81</v>
      </c>
      <c r="AR856" s="6" t="s">
        <v>18104</v>
      </c>
      <c r="AS856" s="6" t="s">
        <v>18386</v>
      </c>
      <c r="AT856" s="6" t="s">
        <v>18444</v>
      </c>
      <c r="AU856" s="6" t="s">
        <v>20640</v>
      </c>
      <c r="AV856" s="6" t="s">
        <v>81</v>
      </c>
      <c r="AW856" s="6" t="s">
        <v>81</v>
      </c>
      <c r="AX856" s="6" t="s">
        <v>21289</v>
      </c>
      <c r="AY856" s="6" t="s">
        <v>22863</v>
      </c>
      <c r="AZ856" s="6" t="s">
        <v>81</v>
      </c>
      <c r="BA856" s="6" t="s">
        <v>81</v>
      </c>
      <c r="BB856" s="6" t="s">
        <v>81</v>
      </c>
      <c r="BC856" s="26"/>
      <c r="BD856" s="26"/>
      <c r="BE856" s="26"/>
      <c r="BF856" s="26"/>
      <c r="BG856" s="26"/>
      <c r="BH856" s="26"/>
      <c r="BI856" s="26"/>
      <c r="BJ856" s="26"/>
      <c r="BK856" s="26"/>
      <c r="BL856" s="26"/>
      <c r="BM856" s="26"/>
      <c r="BN856" s="26"/>
      <c r="BO856" s="26"/>
      <c r="BP856" s="16" t="n">
        <v>45544</v>
      </c>
      <c r="BQ856" s="28" t="str">
        <f>HYPERLINK("https://organic.ams.usda.gov/Integrity/Certificate.aspx?cid=63&amp;nopid=6220008545")</f>
        <v>https://organic.ams.usda.gov/Integrity/Certificate.aspx?cid=63&amp;nopid=6220008545</v>
      </c>
    </row>
    <row r="857">
      <c r="A857" t="s">
        <v>3</v>
      </c>
      <c r="B857" s="6" t="s">
        <v>7</v>
      </c>
      <c r="C857" s="6" t="s">
        <v>54</v>
      </c>
      <c r="D857" s="6" t="s">
        <v>100</v>
      </c>
      <c r="E857" s="10" t="s">
        <v>998</v>
      </c>
      <c r="F857" s="6" t="s">
        <v>3727</v>
      </c>
      <c r="G857" s="6" t="s">
        <v>81</v>
      </c>
      <c r="H857" s="6" t="s">
        <v>6676</v>
      </c>
      <c r="I857" s="6" t="s">
        <v>8894</v>
      </c>
      <c r="J857" s="6" t="s">
        <v>9665</v>
      </c>
      <c r="K857" s="6" t="s">
        <v>10886</v>
      </c>
      <c r="L857" s="16" t="n">
        <v>45446</v>
      </c>
      <c r="M857" s="16" t="n">
        <v>45716</v>
      </c>
      <c r="N857" s="6" t="s">
        <v>10886</v>
      </c>
      <c r="O857" s="16" t="n">
        <v>45446</v>
      </c>
      <c r="P857" s="6" t="s">
        <v>10925</v>
      </c>
      <c r="Q857" s="6" t="s">
        <v>81</v>
      </c>
      <c r="R857" s="6" t="s">
        <v>81</v>
      </c>
      <c r="S857" s="6" t="s">
        <v>10886</v>
      </c>
      <c r="T857" s="16" t="n">
        <v>45454</v>
      </c>
      <c r="U857" s="6" t="s">
        <v>13169</v>
      </c>
      <c r="V857" s="6" t="s">
        <v>81</v>
      </c>
      <c r="W857" s="6" t="s">
        <v>81</v>
      </c>
      <c r="X857" s="6" t="s">
        <v>81</v>
      </c>
      <c r="Y857" s="21" t="s">
        <v>81</v>
      </c>
      <c r="Z857" s="6" t="s">
        <v>81</v>
      </c>
      <c r="AA857" s="6" t="s">
        <v>81</v>
      </c>
      <c r="AB857" s="6" t="s">
        <v>81</v>
      </c>
      <c r="AC857" s="6" t="s">
        <v>81</v>
      </c>
      <c r="AD857" s="21" t="s">
        <v>81</v>
      </c>
      <c r="AE857" s="6" t="s">
        <v>81</v>
      </c>
      <c r="AF857" s="6" t="s">
        <v>81</v>
      </c>
      <c r="AG857" s="6" t="s">
        <v>81</v>
      </c>
      <c r="AH857" s="6" t="s">
        <v>15438</v>
      </c>
      <c r="AI857" s="6" t="s">
        <v>81</v>
      </c>
      <c r="AJ857" s="6" t="s">
        <v>17619</v>
      </c>
      <c r="AK857" s="6" t="s">
        <v>17712</v>
      </c>
      <c r="AL857" s="6" t="s">
        <v>18444</v>
      </c>
      <c r="AM857" s="6" t="s">
        <v>5908</v>
      </c>
      <c r="AN857" s="6" t="s">
        <v>81</v>
      </c>
      <c r="AO857" s="6" t="s">
        <v>81</v>
      </c>
      <c r="AP857" s="6" t="s">
        <v>20215</v>
      </c>
      <c r="AQ857" s="6" t="s">
        <v>81</v>
      </c>
      <c r="AR857" s="6" t="s">
        <v>17619</v>
      </c>
      <c r="AS857" s="6" t="s">
        <v>17712</v>
      </c>
      <c r="AT857" s="6" t="s">
        <v>18444</v>
      </c>
      <c r="AU857" s="6" t="s">
        <v>5908</v>
      </c>
      <c r="AV857" s="6" t="s">
        <v>81</v>
      </c>
      <c r="AW857" s="6" t="s">
        <v>81</v>
      </c>
      <c r="AX857" s="6" t="s">
        <v>81</v>
      </c>
      <c r="AY857" s="6" t="s">
        <v>81</v>
      </c>
      <c r="AZ857" s="6" t="s">
        <v>81</v>
      </c>
      <c r="BA857" s="6" t="s">
        <v>81</v>
      </c>
      <c r="BB857" s="24" t="n">
        <v>74</v>
      </c>
      <c r="BC857" s="26"/>
      <c r="BD857" s="26"/>
      <c r="BE857" s="26"/>
      <c r="BF857" s="26"/>
      <c r="BG857" s="26"/>
      <c r="BH857" s="26"/>
      <c r="BI857" s="26"/>
      <c r="BJ857" s="26"/>
      <c r="BK857" s="26"/>
      <c r="BL857" s="26"/>
      <c r="BM857" s="26"/>
      <c r="BN857" s="26"/>
      <c r="BO857" s="26"/>
      <c r="BP857" s="16" t="n">
        <v>45595</v>
      </c>
      <c r="BQ857" s="28" t="str">
        <f>HYPERLINK("https://organic.ams.usda.gov/Integrity/Certificate.aspx?cid=57&amp;nopid=3252024025")</f>
        <v>https://organic.ams.usda.gov/Integrity/Certificate.aspx?cid=57&amp;nopid=3252024025</v>
      </c>
    </row>
    <row r="858">
      <c r="A858" t="s">
        <v>3</v>
      </c>
      <c r="B858" s="6" t="s">
        <v>10</v>
      </c>
      <c r="C858" s="6" t="s">
        <v>57</v>
      </c>
      <c r="D858" s="6" t="s">
        <v>103</v>
      </c>
      <c r="E858" s="10" t="s">
        <v>999</v>
      </c>
      <c r="F858" s="6" t="s">
        <v>3728</v>
      </c>
      <c r="G858" s="6" t="s">
        <v>81</v>
      </c>
      <c r="H858" s="6" t="s">
        <v>6677</v>
      </c>
      <c r="I858" s="6" t="s">
        <v>8895</v>
      </c>
      <c r="J858" s="6" t="s">
        <v>10092</v>
      </c>
      <c r="K858" s="6" t="s">
        <v>10886</v>
      </c>
      <c r="L858" s="16" t="n">
        <v>44741</v>
      </c>
      <c r="M858" s="16" t="n">
        <v>45748</v>
      </c>
      <c r="N858" s="6" t="s">
        <v>10886</v>
      </c>
      <c r="O858" s="16" t="n">
        <v>44741</v>
      </c>
      <c r="P858" s="6" t="s">
        <v>11294</v>
      </c>
      <c r="Q858" s="6" t="s">
        <v>81</v>
      </c>
      <c r="R858" s="6" t="s">
        <v>12666</v>
      </c>
      <c r="S858" s="6" t="s">
        <v>10886</v>
      </c>
      <c r="T858" s="16" t="n">
        <v>44741</v>
      </c>
      <c r="U858" s="6" t="s">
        <v>13164</v>
      </c>
      <c r="V858" s="6" t="s">
        <v>81</v>
      </c>
      <c r="W858" s="6" t="s">
        <v>81</v>
      </c>
      <c r="X858" s="6" t="s">
        <v>81</v>
      </c>
      <c r="Y858" s="21" t="s">
        <v>81</v>
      </c>
      <c r="Z858" s="6" t="s">
        <v>81</v>
      </c>
      <c r="AA858" s="6" t="s">
        <v>81</v>
      </c>
      <c r="AB858" s="6" t="s">
        <v>81</v>
      </c>
      <c r="AC858" s="6" t="s">
        <v>81</v>
      </c>
      <c r="AD858" s="21" t="s">
        <v>81</v>
      </c>
      <c r="AE858" s="6" t="s">
        <v>81</v>
      </c>
      <c r="AF858" s="6" t="s">
        <v>81</v>
      </c>
      <c r="AG858" s="6" t="s">
        <v>81</v>
      </c>
      <c r="AH858" s="6" t="s">
        <v>15439</v>
      </c>
      <c r="AI858" s="6" t="s">
        <v>81</v>
      </c>
      <c r="AJ858" s="6" t="s">
        <v>17635</v>
      </c>
      <c r="AK858" s="6" t="s">
        <v>18379</v>
      </c>
      <c r="AL858" s="6" t="s">
        <v>18444</v>
      </c>
      <c r="AM858" s="6" t="s">
        <v>18804</v>
      </c>
      <c r="AN858" s="6" t="s">
        <v>19637</v>
      </c>
      <c r="AO858" s="6" t="s">
        <v>19723</v>
      </c>
      <c r="AP858" s="6" t="s">
        <v>15439</v>
      </c>
      <c r="AQ858" s="6" t="s">
        <v>81</v>
      </c>
      <c r="AR858" s="6" t="s">
        <v>17635</v>
      </c>
      <c r="AS858" s="6" t="s">
        <v>18379</v>
      </c>
      <c r="AT858" s="6" t="s">
        <v>18444</v>
      </c>
      <c r="AU858" s="6" t="s">
        <v>18804</v>
      </c>
      <c r="AV858" s="6" t="s">
        <v>81</v>
      </c>
      <c r="AW858" s="6" t="s">
        <v>81</v>
      </c>
      <c r="AX858" s="6" t="s">
        <v>21290</v>
      </c>
      <c r="AY858" s="6" t="s">
        <v>81</v>
      </c>
      <c r="AZ858" s="6" t="s">
        <v>81</v>
      </c>
      <c r="BA858" s="6" t="s">
        <v>81</v>
      </c>
      <c r="BB858" s="24" t="n">
        <v>102</v>
      </c>
      <c r="BC858" s="26"/>
      <c r="BD858" s="26"/>
      <c r="BE858" s="26"/>
      <c r="BF858" s="26"/>
      <c r="BG858" s="26"/>
      <c r="BH858" s="26"/>
      <c r="BI858" s="26"/>
      <c r="BJ858" s="26"/>
      <c r="BK858" s="26"/>
      <c r="BL858" s="26"/>
      <c r="BM858" s="26"/>
      <c r="BN858" s="26"/>
      <c r="BO858" s="26"/>
      <c r="BP858" s="16" t="n">
        <v>45730</v>
      </c>
      <c r="BQ858" s="28" t="str">
        <f>HYPERLINK("https://organic.ams.usda.gov/Integrity/Certificate.aspx?cid=90&amp;nopid=7170220515")</f>
        <v>https://organic.ams.usda.gov/Integrity/Certificate.aspx?cid=90&amp;nopid=7170220515</v>
      </c>
    </row>
    <row r="859">
      <c r="A859" t="s">
        <v>3</v>
      </c>
      <c r="B859" s="6" t="s">
        <v>10</v>
      </c>
      <c r="C859" s="6" t="s">
        <v>57</v>
      </c>
      <c r="D859" s="6" t="s">
        <v>103</v>
      </c>
      <c r="E859" s="10" t="s">
        <v>1000</v>
      </c>
      <c r="F859" s="6" t="s">
        <v>3729</v>
      </c>
      <c r="G859" s="6" t="s">
        <v>81</v>
      </c>
      <c r="H859" s="6" t="s">
        <v>6678</v>
      </c>
      <c r="I859" s="6" t="s">
        <v>8896</v>
      </c>
      <c r="J859" s="6" t="s">
        <v>9899</v>
      </c>
      <c r="K859" s="6" t="s">
        <v>10886</v>
      </c>
      <c r="L859" s="16" t="n">
        <v>42217</v>
      </c>
      <c r="M859" s="16" t="n">
        <v>45748</v>
      </c>
      <c r="N859" s="6" t="s">
        <v>10886</v>
      </c>
      <c r="O859" s="16" t="n">
        <v>42217</v>
      </c>
      <c r="P859" s="6" t="s">
        <v>11258</v>
      </c>
      <c r="Q859" s="6" t="s">
        <v>81</v>
      </c>
      <c r="R859" s="6" t="s">
        <v>12667</v>
      </c>
      <c r="S859" s="6" t="s">
        <v>10886</v>
      </c>
      <c r="T859" s="16" t="n">
        <v>42217</v>
      </c>
      <c r="U859" s="6" t="s">
        <v>13377</v>
      </c>
      <c r="V859" s="6" t="s">
        <v>81</v>
      </c>
      <c r="W859" s="6" t="s">
        <v>81</v>
      </c>
      <c r="X859" s="6" t="s">
        <v>81</v>
      </c>
      <c r="Y859" s="21" t="s">
        <v>81</v>
      </c>
      <c r="Z859" s="6" t="s">
        <v>81</v>
      </c>
      <c r="AA859" s="6" t="s">
        <v>81</v>
      </c>
      <c r="AB859" s="6" t="s">
        <v>81</v>
      </c>
      <c r="AC859" s="6" t="s">
        <v>81</v>
      </c>
      <c r="AD859" s="21" t="s">
        <v>81</v>
      </c>
      <c r="AE859" s="6" t="s">
        <v>81</v>
      </c>
      <c r="AF859" s="6" t="s">
        <v>81</v>
      </c>
      <c r="AG859" s="6" t="s">
        <v>81</v>
      </c>
      <c r="AH859" s="6" t="s">
        <v>15440</v>
      </c>
      <c r="AI859" s="6" t="s">
        <v>81</v>
      </c>
      <c r="AJ859" s="6" t="s">
        <v>17635</v>
      </c>
      <c r="AK859" s="6" t="s">
        <v>18379</v>
      </c>
      <c r="AL859" s="6" t="s">
        <v>18444</v>
      </c>
      <c r="AM859" s="6" t="s">
        <v>18804</v>
      </c>
      <c r="AN859" s="6" t="s">
        <v>19637</v>
      </c>
      <c r="AO859" s="6" t="s">
        <v>19723</v>
      </c>
      <c r="AP859" s="6" t="s">
        <v>15440</v>
      </c>
      <c r="AQ859" s="6" t="s">
        <v>81</v>
      </c>
      <c r="AR859" s="6" t="s">
        <v>17635</v>
      </c>
      <c r="AS859" s="6" t="s">
        <v>18379</v>
      </c>
      <c r="AT859" s="6" t="s">
        <v>18444</v>
      </c>
      <c r="AU859" s="6" t="s">
        <v>18804</v>
      </c>
      <c r="AV859" s="6" t="s">
        <v>81</v>
      </c>
      <c r="AW859" s="6" t="s">
        <v>81</v>
      </c>
      <c r="AX859" s="6" t="s">
        <v>21291</v>
      </c>
      <c r="AY859" s="6" t="s">
        <v>81</v>
      </c>
      <c r="AZ859" s="6" t="s">
        <v>81</v>
      </c>
      <c r="BA859" s="6" t="s">
        <v>81</v>
      </c>
      <c r="BB859" s="24" t="n">
        <v>129</v>
      </c>
      <c r="BC859" s="26"/>
      <c r="BD859" s="26"/>
      <c r="BE859" s="26"/>
      <c r="BF859" s="26"/>
      <c r="BG859" s="26"/>
      <c r="BH859" s="26"/>
      <c r="BI859" s="26"/>
      <c r="BJ859" s="26"/>
      <c r="BK859" s="26"/>
      <c r="BL859" s="26"/>
      <c r="BM859" s="26"/>
      <c r="BN859" s="26"/>
      <c r="BO859" s="26"/>
      <c r="BP859" s="16" t="n">
        <v>45730</v>
      </c>
      <c r="BQ859" s="28" t="str">
        <f>HYPERLINK("https://organic.ams.usda.gov/Integrity/Certificate.aspx?cid=90&amp;nopid=7170020181")</f>
        <v>https://organic.ams.usda.gov/Integrity/Certificate.aspx?cid=90&amp;nopid=7170020181</v>
      </c>
    </row>
    <row r="860">
      <c r="A860" t="s">
        <v>3</v>
      </c>
      <c r="B860" s="6" t="s">
        <v>23</v>
      </c>
      <c r="C860" s="6" t="s">
        <v>70</v>
      </c>
      <c r="D860" s="6" t="s">
        <v>116</v>
      </c>
      <c r="E860" s="10" t="s">
        <v>1001</v>
      </c>
      <c r="F860" s="6" t="s">
        <v>3730</v>
      </c>
      <c r="G860" s="6" t="s">
        <v>81</v>
      </c>
      <c r="H860" s="6" t="s">
        <v>6679</v>
      </c>
      <c r="I860" s="6" t="s">
        <v>8478</v>
      </c>
      <c r="J860" s="6" t="s">
        <v>9565</v>
      </c>
      <c r="K860" s="6" t="s">
        <v>10886</v>
      </c>
      <c r="L860" s="16" t="n">
        <v>38565</v>
      </c>
      <c r="M860" s="16" t="n">
        <v>45701</v>
      </c>
      <c r="N860" s="6" t="s">
        <v>10886</v>
      </c>
      <c r="O860" s="16" t="n">
        <v>38565</v>
      </c>
      <c r="P860" s="6" t="s">
        <v>11411</v>
      </c>
      <c r="Q860" s="6" t="s">
        <v>81</v>
      </c>
      <c r="R860" s="6" t="s">
        <v>12668</v>
      </c>
      <c r="S860" s="6" t="s">
        <v>10886</v>
      </c>
      <c r="T860" s="16" t="n">
        <v>38565</v>
      </c>
      <c r="U860" s="6" t="s">
        <v>81</v>
      </c>
      <c r="V860" s="6" t="s">
        <v>81</v>
      </c>
      <c r="W860" s="6" t="s">
        <v>81</v>
      </c>
      <c r="X860" s="6" t="s">
        <v>81</v>
      </c>
      <c r="Y860" s="21" t="s">
        <v>81</v>
      </c>
      <c r="Z860" s="6" t="s">
        <v>81</v>
      </c>
      <c r="AA860" s="6" t="s">
        <v>81</v>
      </c>
      <c r="AB860" s="6" t="s">
        <v>81</v>
      </c>
      <c r="AC860" s="6" t="s">
        <v>81</v>
      </c>
      <c r="AD860" s="21" t="s">
        <v>81</v>
      </c>
      <c r="AE860" s="6" t="s">
        <v>81</v>
      </c>
      <c r="AF860" s="6" t="s">
        <v>81</v>
      </c>
      <c r="AG860" s="6" t="s">
        <v>81</v>
      </c>
      <c r="AH860" s="6" t="s">
        <v>81</v>
      </c>
      <c r="AI860" s="6" t="s">
        <v>81</v>
      </c>
      <c r="AJ860" s="6" t="s">
        <v>81</v>
      </c>
      <c r="AK860" s="6" t="s">
        <v>81</v>
      </c>
      <c r="AL860" s="6" t="s">
        <v>81</v>
      </c>
      <c r="AM860" s="6" t="s">
        <v>81</v>
      </c>
      <c r="AN860" s="6" t="s">
        <v>81</v>
      </c>
      <c r="AO860" s="6" t="s">
        <v>81</v>
      </c>
      <c r="AP860" s="6" t="s">
        <v>20216</v>
      </c>
      <c r="AQ860" s="6" t="s">
        <v>81</v>
      </c>
      <c r="AR860" s="6" t="s">
        <v>17623</v>
      </c>
      <c r="AS860" s="6" t="s">
        <v>18386</v>
      </c>
      <c r="AT860" s="6" t="s">
        <v>18444</v>
      </c>
      <c r="AU860" s="6" t="s">
        <v>18790</v>
      </c>
      <c r="AV860" s="6" t="s">
        <v>19651</v>
      </c>
      <c r="AW860" s="6" t="s">
        <v>19864</v>
      </c>
      <c r="AX860" s="6" t="s">
        <v>21292</v>
      </c>
      <c r="AY860" s="6" t="s">
        <v>22864</v>
      </c>
      <c r="AZ860" s="6" t="s">
        <v>81</v>
      </c>
      <c r="BA860" s="6" t="s">
        <v>81</v>
      </c>
      <c r="BB860" s="24" t="n">
        <v>717</v>
      </c>
      <c r="BC860" s="26"/>
      <c r="BD860" s="26"/>
      <c r="BE860" s="26"/>
      <c r="BF860" s="26"/>
      <c r="BG860" s="26"/>
      <c r="BH860" s="26"/>
      <c r="BI860" s="26"/>
      <c r="BJ860" s="26"/>
      <c r="BK860" s="26"/>
      <c r="BL860" s="26"/>
      <c r="BM860" s="26"/>
      <c r="BN860" s="26"/>
      <c r="BO860" s="26"/>
      <c r="BP860" s="16" t="n">
        <v>45370</v>
      </c>
      <c r="BQ860" s="28" t="str">
        <f>HYPERLINK("https://organic.ams.usda.gov/Integrity/Certificate.aspx?cid=63&amp;nopid=6220005362")</f>
        <v>https://organic.ams.usda.gov/Integrity/Certificate.aspx?cid=63&amp;nopid=6220005362</v>
      </c>
    </row>
    <row r="861">
      <c r="A861" t="s">
        <v>3</v>
      </c>
      <c r="B861" s="6" t="s">
        <v>25</v>
      </c>
      <c r="C861" s="6" t="s">
        <v>72</v>
      </c>
      <c r="D861" s="6" t="s">
        <v>118</v>
      </c>
      <c r="E861" s="10" t="s">
        <v>1002</v>
      </c>
      <c r="F861" s="6" t="s">
        <v>3731</v>
      </c>
      <c r="G861" s="6" t="s">
        <v>81</v>
      </c>
      <c r="H861" s="6" t="s">
        <v>6680</v>
      </c>
      <c r="I861" s="6" t="s">
        <v>8897</v>
      </c>
      <c r="J861" s="6" t="s">
        <v>10093</v>
      </c>
      <c r="K861" s="6" t="s">
        <v>10886</v>
      </c>
      <c r="L861" s="16" t="n">
        <v>44033</v>
      </c>
      <c r="M861" s="16" t="n">
        <v>46023</v>
      </c>
      <c r="N861" s="6" t="s">
        <v>10886</v>
      </c>
      <c r="O861" s="16" t="n">
        <v>44033</v>
      </c>
      <c r="P861" s="6" t="s">
        <v>11412</v>
      </c>
      <c r="Q861" s="6" t="s">
        <v>81</v>
      </c>
      <c r="R861" s="6" t="s">
        <v>81</v>
      </c>
      <c r="S861" s="6" t="s">
        <v>10886</v>
      </c>
      <c r="T861" s="16" t="n">
        <v>44033</v>
      </c>
      <c r="U861" s="6" t="s">
        <v>13474</v>
      </c>
      <c r="V861" s="6" t="s">
        <v>81</v>
      </c>
      <c r="W861" s="6" t="s">
        <v>81</v>
      </c>
      <c r="X861" s="6" t="s">
        <v>81</v>
      </c>
      <c r="Y861" s="21" t="s">
        <v>81</v>
      </c>
      <c r="Z861" s="6" t="s">
        <v>81</v>
      </c>
      <c r="AA861" s="6" t="s">
        <v>81</v>
      </c>
      <c r="AB861" s="6" t="s">
        <v>81</v>
      </c>
      <c r="AC861" s="6" t="s">
        <v>10886</v>
      </c>
      <c r="AD861" s="16" t="n">
        <v>44733</v>
      </c>
      <c r="AE861" s="6" t="s">
        <v>14081</v>
      </c>
      <c r="AF861" s="6" t="s">
        <v>81</v>
      </c>
      <c r="AG861" s="6" t="s">
        <v>81</v>
      </c>
      <c r="AH861" s="6" t="s">
        <v>15441</v>
      </c>
      <c r="AI861" s="6" t="s">
        <v>81</v>
      </c>
      <c r="AJ861" s="6" t="s">
        <v>17780</v>
      </c>
      <c r="AK861" s="6" t="s">
        <v>18386</v>
      </c>
      <c r="AL861" s="6" t="s">
        <v>18444</v>
      </c>
      <c r="AM861" s="6" t="s">
        <v>18953</v>
      </c>
      <c r="AN861" s="6" t="s">
        <v>19651</v>
      </c>
      <c r="AO861" s="6" t="s">
        <v>19864</v>
      </c>
      <c r="AP861" s="6" t="s">
        <v>15441</v>
      </c>
      <c r="AQ861" s="6" t="s">
        <v>81</v>
      </c>
      <c r="AR861" s="6" t="s">
        <v>17780</v>
      </c>
      <c r="AS861" s="6" t="s">
        <v>18386</v>
      </c>
      <c r="AT861" s="6" t="s">
        <v>18444</v>
      </c>
      <c r="AU861" s="6" t="s">
        <v>18953</v>
      </c>
      <c r="AV861" s="6" t="s">
        <v>81</v>
      </c>
      <c r="AW861" s="6" t="s">
        <v>81</v>
      </c>
      <c r="AX861" s="6" t="s">
        <v>21293</v>
      </c>
      <c r="AY861" s="6" t="s">
        <v>22865</v>
      </c>
      <c r="AZ861" s="6" t="s">
        <v>81</v>
      </c>
      <c r="BA861" s="6" t="s">
        <v>23827</v>
      </c>
      <c r="BB861" s="24" t="n">
        <v>316</v>
      </c>
      <c r="BC861" s="26"/>
      <c r="BD861" s="26"/>
      <c r="BE861" s="26"/>
      <c r="BF861" s="26" t="s">
        <v>23900</v>
      </c>
      <c r="BG861" s="26"/>
      <c r="BH861" s="26"/>
      <c r="BI861" s="26"/>
      <c r="BJ861" s="26"/>
      <c r="BK861" s="26"/>
      <c r="BL861" s="26"/>
      <c r="BM861" s="26"/>
      <c r="BN861" s="26"/>
      <c r="BO861" s="26"/>
      <c r="BP861" s="16" t="n">
        <v>45701</v>
      </c>
      <c r="BQ861" s="28" t="str">
        <f>HYPERLINK("https://organic.ams.usda.gov/Integrity/Certificate.aspx?cid=15&amp;nopid=5561000978")</f>
        <v>https://organic.ams.usda.gov/Integrity/Certificate.aspx?cid=15&amp;nopid=5561000978</v>
      </c>
    </row>
    <row r="862">
      <c r="A862" t="s">
        <v>3</v>
      </c>
      <c r="B862" s="6" t="s">
        <v>7</v>
      </c>
      <c r="C862" s="6" t="s">
        <v>54</v>
      </c>
      <c r="D862" s="6" t="s">
        <v>100</v>
      </c>
      <c r="E862" s="10" t="s">
        <v>1003</v>
      </c>
      <c r="F862" s="6" t="s">
        <v>3732</v>
      </c>
      <c r="G862" s="6" t="s">
        <v>81</v>
      </c>
      <c r="H862" s="6" t="s">
        <v>6681</v>
      </c>
      <c r="I862" s="6" t="s">
        <v>8898</v>
      </c>
      <c r="J862" s="6" t="s">
        <v>10094</v>
      </c>
      <c r="K862" s="6" t="s">
        <v>10886</v>
      </c>
      <c r="L862" s="16" t="n">
        <v>42524</v>
      </c>
      <c r="M862" s="16" t="n">
        <v>45716</v>
      </c>
      <c r="N862" s="6" t="s">
        <v>10886</v>
      </c>
      <c r="O862" s="16" t="n">
        <v>42524</v>
      </c>
      <c r="P862" s="6" t="s">
        <v>10910</v>
      </c>
      <c r="Q862" s="6" t="s">
        <v>81</v>
      </c>
      <c r="R862" s="6" t="s">
        <v>81</v>
      </c>
      <c r="S862" s="6" t="s">
        <v>10886</v>
      </c>
      <c r="T862" s="16" t="n">
        <v>42524</v>
      </c>
      <c r="U862" s="6" t="s">
        <v>13475</v>
      </c>
      <c r="V862" s="6" t="s">
        <v>81</v>
      </c>
      <c r="W862" s="6" t="s">
        <v>81</v>
      </c>
      <c r="X862" s="6" t="s">
        <v>81</v>
      </c>
      <c r="Y862" s="21" t="s">
        <v>81</v>
      </c>
      <c r="Z862" s="6" t="s">
        <v>81</v>
      </c>
      <c r="AA862" s="6" t="s">
        <v>81</v>
      </c>
      <c r="AB862" s="6" t="s">
        <v>81</v>
      </c>
      <c r="AC862" s="6" t="s">
        <v>81</v>
      </c>
      <c r="AD862" s="21" t="s">
        <v>81</v>
      </c>
      <c r="AE862" s="6" t="s">
        <v>81</v>
      </c>
      <c r="AF862" s="6" t="s">
        <v>81</v>
      </c>
      <c r="AG862" s="6" t="s">
        <v>81</v>
      </c>
      <c r="AH862" s="6" t="s">
        <v>15442</v>
      </c>
      <c r="AI862" s="6" t="s">
        <v>81</v>
      </c>
      <c r="AJ862" s="6" t="s">
        <v>17435</v>
      </c>
      <c r="AK862" s="6" t="s">
        <v>17712</v>
      </c>
      <c r="AL862" s="6" t="s">
        <v>18444</v>
      </c>
      <c r="AM862" s="6" t="s">
        <v>5928</v>
      </c>
      <c r="AN862" s="6" t="s">
        <v>19651</v>
      </c>
      <c r="AO862" s="6" t="s">
        <v>19741</v>
      </c>
      <c r="AP862" s="6" t="s">
        <v>15442</v>
      </c>
      <c r="AQ862" s="6" t="s">
        <v>81</v>
      </c>
      <c r="AR862" s="6" t="s">
        <v>17435</v>
      </c>
      <c r="AS862" s="6" t="s">
        <v>17712</v>
      </c>
      <c r="AT862" s="6" t="s">
        <v>18444</v>
      </c>
      <c r="AU862" s="6" t="s">
        <v>5928</v>
      </c>
      <c r="AV862" s="6" t="s">
        <v>81</v>
      </c>
      <c r="AW862" s="6" t="s">
        <v>81</v>
      </c>
      <c r="AX862" s="6" t="s">
        <v>21294</v>
      </c>
      <c r="AY862" s="6" t="s">
        <v>22866</v>
      </c>
      <c r="AZ862" s="6" t="s">
        <v>23648</v>
      </c>
      <c r="BA862" s="6" t="s">
        <v>81</v>
      </c>
      <c r="BB862" s="24" t="n">
        <v>372</v>
      </c>
      <c r="BC862" s="26"/>
      <c r="BD862" s="26"/>
      <c r="BE862" s="26"/>
      <c r="BF862" s="26" t="s">
        <v>23900</v>
      </c>
      <c r="BG862" s="26"/>
      <c r="BH862" s="26"/>
      <c r="BI862" s="26"/>
      <c r="BJ862" s="26"/>
      <c r="BK862" s="26"/>
      <c r="BL862" s="26"/>
      <c r="BM862" s="26"/>
      <c r="BN862" s="26"/>
      <c r="BO862" s="26"/>
      <c r="BP862" s="16" t="n">
        <v>45595</v>
      </c>
      <c r="BQ862" s="28" t="str">
        <f>HYPERLINK("https://organic.ams.usda.gov/Integrity/Certificate.aspx?cid=57&amp;nopid=3252016086")</f>
        <v>https://organic.ams.usda.gov/Integrity/Certificate.aspx?cid=57&amp;nopid=3252016086</v>
      </c>
    </row>
    <row r="863">
      <c r="A863" t="s">
        <v>3</v>
      </c>
      <c r="B863" s="6" t="s">
        <v>10</v>
      </c>
      <c r="C863" s="6" t="s">
        <v>57</v>
      </c>
      <c r="D863" s="6" t="s">
        <v>103</v>
      </c>
      <c r="E863" s="10" t="s">
        <v>1004</v>
      </c>
      <c r="F863" s="6" t="s">
        <v>3733</v>
      </c>
      <c r="G863" s="6" t="s">
        <v>81</v>
      </c>
      <c r="H863" s="6" t="s">
        <v>6682</v>
      </c>
      <c r="I863" s="6" t="s">
        <v>8899</v>
      </c>
      <c r="J863" s="6" t="s">
        <v>9666</v>
      </c>
      <c r="K863" s="6" t="s">
        <v>10886</v>
      </c>
      <c r="L863" s="16" t="n">
        <v>42944</v>
      </c>
      <c r="M863" s="16" t="n">
        <v>45748</v>
      </c>
      <c r="N863" s="6" t="s">
        <v>10886</v>
      </c>
      <c r="O863" s="16" t="n">
        <v>44623</v>
      </c>
      <c r="P863" s="6" t="s">
        <v>11413</v>
      </c>
      <c r="Q863" s="6" t="s">
        <v>81</v>
      </c>
      <c r="R863" s="6" t="s">
        <v>12669</v>
      </c>
      <c r="S863" s="6" t="s">
        <v>10886</v>
      </c>
      <c r="T863" s="16" t="n">
        <v>44623</v>
      </c>
      <c r="U863" s="6" t="s">
        <v>13163</v>
      </c>
      <c r="V863" s="6" t="s">
        <v>81</v>
      </c>
      <c r="W863" s="6" t="s">
        <v>81</v>
      </c>
      <c r="X863" s="6" t="s">
        <v>81</v>
      </c>
      <c r="Y863" s="21" t="s">
        <v>81</v>
      </c>
      <c r="Z863" s="6" t="s">
        <v>81</v>
      </c>
      <c r="AA863" s="6" t="s">
        <v>81</v>
      </c>
      <c r="AB863" s="6" t="s">
        <v>81</v>
      </c>
      <c r="AC863" s="6" t="s">
        <v>81</v>
      </c>
      <c r="AD863" s="21" t="s">
        <v>81</v>
      </c>
      <c r="AE863" s="6" t="s">
        <v>81</v>
      </c>
      <c r="AF863" s="6" t="s">
        <v>81</v>
      </c>
      <c r="AG863" s="6" t="s">
        <v>81</v>
      </c>
      <c r="AH863" s="6" t="s">
        <v>15443</v>
      </c>
      <c r="AI863" s="6" t="s">
        <v>81</v>
      </c>
      <c r="AJ863" s="6" t="s">
        <v>8524</v>
      </c>
      <c r="AK863" s="6" t="s">
        <v>18391</v>
      </c>
      <c r="AL863" s="6" t="s">
        <v>18444</v>
      </c>
      <c r="AM863" s="6" t="s">
        <v>18954</v>
      </c>
      <c r="AN863" s="6" t="s">
        <v>19702</v>
      </c>
      <c r="AO863" s="6" t="s">
        <v>19930</v>
      </c>
      <c r="AP863" s="6" t="s">
        <v>15443</v>
      </c>
      <c r="AQ863" s="6" t="s">
        <v>81</v>
      </c>
      <c r="AR863" s="6" t="s">
        <v>8524</v>
      </c>
      <c r="AS863" s="6" t="s">
        <v>18391</v>
      </c>
      <c r="AT863" s="6" t="s">
        <v>18444</v>
      </c>
      <c r="AU863" s="6" t="s">
        <v>18954</v>
      </c>
      <c r="AV863" s="6" t="s">
        <v>81</v>
      </c>
      <c r="AW863" s="6" t="s">
        <v>81</v>
      </c>
      <c r="AX863" s="6" t="s">
        <v>21295</v>
      </c>
      <c r="AY863" s="6" t="s">
        <v>81</v>
      </c>
      <c r="AZ863" s="6" t="s">
        <v>81</v>
      </c>
      <c r="BA863" s="6" t="s">
        <v>81</v>
      </c>
      <c r="BB863" s="24" t="n">
        <v>170</v>
      </c>
      <c r="BC863" s="26"/>
      <c r="BD863" s="26"/>
      <c r="BE863" s="26"/>
      <c r="BF863" s="26"/>
      <c r="BG863" s="26"/>
      <c r="BH863" s="26"/>
      <c r="BI863" s="26"/>
      <c r="BJ863" s="26"/>
      <c r="BK863" s="26"/>
      <c r="BL863" s="26"/>
      <c r="BM863" s="26"/>
      <c r="BN863" s="26"/>
      <c r="BO863" s="26"/>
      <c r="BP863" s="16" t="n">
        <v>45730</v>
      </c>
      <c r="BQ863" s="28" t="str">
        <f>HYPERLINK("https://organic.ams.usda.gov/Integrity/Certificate.aspx?cid=90&amp;nopid=7170220450")</f>
        <v>https://organic.ams.usda.gov/Integrity/Certificate.aspx?cid=90&amp;nopid=7170220450</v>
      </c>
    </row>
    <row r="864">
      <c r="A864" t="s">
        <v>3</v>
      </c>
      <c r="B864" s="6" t="s">
        <v>19</v>
      </c>
      <c r="C864" s="6" t="s">
        <v>66</v>
      </c>
      <c r="D864" s="6" t="s">
        <v>112</v>
      </c>
      <c r="E864" s="10" t="s">
        <v>1005</v>
      </c>
      <c r="F864" s="6" t="s">
        <v>3734</v>
      </c>
      <c r="G864" s="6" t="s">
        <v>81</v>
      </c>
      <c r="H864" s="6" t="s">
        <v>6683</v>
      </c>
      <c r="I864" s="6" t="s">
        <v>81</v>
      </c>
      <c r="J864" s="6" t="s">
        <v>10095</v>
      </c>
      <c r="K864" s="6" t="s">
        <v>10886</v>
      </c>
      <c r="L864" s="16" t="n">
        <v>44621</v>
      </c>
      <c r="M864" s="16" t="n">
        <v>46054</v>
      </c>
      <c r="N864" s="6" t="s">
        <v>81</v>
      </c>
      <c r="O864" s="21" t="s">
        <v>81</v>
      </c>
      <c r="P864" s="6" t="s">
        <v>81</v>
      </c>
      <c r="Q864" s="6" t="s">
        <v>81</v>
      </c>
      <c r="R864" s="6" t="s">
        <v>81</v>
      </c>
      <c r="S864" s="6" t="s">
        <v>81</v>
      </c>
      <c r="T864" s="21" t="s">
        <v>81</v>
      </c>
      <c r="U864" s="6" t="s">
        <v>81</v>
      </c>
      <c r="V864" s="6" t="s">
        <v>81</v>
      </c>
      <c r="W864" s="6" t="s">
        <v>81</v>
      </c>
      <c r="X864" s="6" t="s">
        <v>81</v>
      </c>
      <c r="Y864" s="21" t="s">
        <v>81</v>
      </c>
      <c r="Z864" s="6" t="s">
        <v>81</v>
      </c>
      <c r="AA864" s="6" t="s">
        <v>81</v>
      </c>
      <c r="AB864" s="6" t="s">
        <v>81</v>
      </c>
      <c r="AC864" s="6" t="s">
        <v>10886</v>
      </c>
      <c r="AD864" s="16" t="n">
        <v>44621</v>
      </c>
      <c r="AE864" s="6" t="s">
        <v>14172</v>
      </c>
      <c r="AF864" s="6" t="s">
        <v>81</v>
      </c>
      <c r="AG864" s="6" t="s">
        <v>81</v>
      </c>
      <c r="AH864" s="6" t="s">
        <v>15444</v>
      </c>
      <c r="AI864" s="6" t="s">
        <v>81</v>
      </c>
      <c r="AJ864" s="6" t="s">
        <v>17781</v>
      </c>
      <c r="AK864" s="6" t="s">
        <v>18382</v>
      </c>
      <c r="AL864" s="6" t="s">
        <v>18444</v>
      </c>
      <c r="AM864" s="6" t="s">
        <v>18955</v>
      </c>
      <c r="AN864" s="6" t="s">
        <v>19651</v>
      </c>
      <c r="AO864" s="6" t="s">
        <v>19931</v>
      </c>
      <c r="AP864" s="6" t="s">
        <v>81</v>
      </c>
      <c r="AQ864" s="6" t="s">
        <v>81</v>
      </c>
      <c r="AR864" s="6" t="s">
        <v>81</v>
      </c>
      <c r="AS864" s="6" t="s">
        <v>81</v>
      </c>
      <c r="AT864" s="6" t="s">
        <v>81</v>
      </c>
      <c r="AU864" s="6" t="s">
        <v>81</v>
      </c>
      <c r="AV864" s="6" t="s">
        <v>81</v>
      </c>
      <c r="AW864" s="6" t="s">
        <v>81</v>
      </c>
      <c r="AX864" s="6" t="s">
        <v>21296</v>
      </c>
      <c r="AY864" s="6" t="s">
        <v>22867</v>
      </c>
      <c r="AZ864" s="6" t="s">
        <v>81</v>
      </c>
      <c r="BA864" s="6" t="s">
        <v>23854</v>
      </c>
      <c r="BB864" s="24" t="n">
        <v>0</v>
      </c>
      <c r="BC864" s="26"/>
      <c r="BD864" s="26"/>
      <c r="BE864" s="26"/>
      <c r="BF864" s="26"/>
      <c r="BG864" s="26"/>
      <c r="BH864" s="26"/>
      <c r="BI864" s="26"/>
      <c r="BJ864" s="26"/>
      <c r="BK864" s="26"/>
      <c r="BL864" s="26"/>
      <c r="BM864" s="26"/>
      <c r="BN864" s="26"/>
      <c r="BO864" s="26"/>
      <c r="BP864" s="16" t="n">
        <v>45723</v>
      </c>
      <c r="BQ864" s="28" t="str">
        <f>HYPERLINK("https://organic.ams.usda.gov/Integrity/Certificate.aspx?cid=24&amp;nopid=7880023765")</f>
        <v>https://organic.ams.usda.gov/Integrity/Certificate.aspx?cid=24&amp;nopid=7880023765</v>
      </c>
    </row>
    <row r="865">
      <c r="A865" t="s">
        <v>3</v>
      </c>
      <c r="B865" s="6" t="s">
        <v>8</v>
      </c>
      <c r="C865" s="6" t="s">
        <v>55</v>
      </c>
      <c r="D865" s="6" t="s">
        <v>101</v>
      </c>
      <c r="E865" s="10" t="s">
        <v>1006</v>
      </c>
      <c r="F865" s="6" t="s">
        <v>3735</v>
      </c>
      <c r="G865" s="6" t="s">
        <v>81</v>
      </c>
      <c r="H865" s="6" t="s">
        <v>6684</v>
      </c>
      <c r="I865" s="6" t="s">
        <v>8461</v>
      </c>
      <c r="J865" s="6" t="s">
        <v>9672</v>
      </c>
      <c r="K865" s="6" t="s">
        <v>10886</v>
      </c>
      <c r="L865" s="16" t="n">
        <v>39730</v>
      </c>
      <c r="M865" s="16" t="n">
        <v>45748</v>
      </c>
      <c r="N865" s="6" t="s">
        <v>10886</v>
      </c>
      <c r="O865" s="16" t="n">
        <v>39730</v>
      </c>
      <c r="P865" s="6" t="s">
        <v>11414</v>
      </c>
      <c r="Q865" s="6" t="s">
        <v>81</v>
      </c>
      <c r="R865" s="6" t="s">
        <v>6684</v>
      </c>
      <c r="S865" s="6" t="s">
        <v>10886</v>
      </c>
      <c r="T865" s="16" t="n">
        <v>39730</v>
      </c>
      <c r="U865" s="6" t="s">
        <v>13221</v>
      </c>
      <c r="V865" s="6" t="s">
        <v>81</v>
      </c>
      <c r="W865" s="6" t="s">
        <v>6684</v>
      </c>
      <c r="X865" s="6" t="s">
        <v>81</v>
      </c>
      <c r="Y865" s="21" t="s">
        <v>81</v>
      </c>
      <c r="Z865" s="6" t="s">
        <v>81</v>
      </c>
      <c r="AA865" s="6" t="s">
        <v>81</v>
      </c>
      <c r="AB865" s="6" t="s">
        <v>81</v>
      </c>
      <c r="AC865" s="6" t="s">
        <v>81</v>
      </c>
      <c r="AD865" s="21" t="s">
        <v>81</v>
      </c>
      <c r="AE865" s="6" t="s">
        <v>81</v>
      </c>
      <c r="AF865" s="6" t="s">
        <v>81</v>
      </c>
      <c r="AG865" s="6" t="s">
        <v>81</v>
      </c>
      <c r="AH865" s="6" t="s">
        <v>15445</v>
      </c>
      <c r="AI865" s="6" t="s">
        <v>81</v>
      </c>
      <c r="AJ865" s="6" t="s">
        <v>10323</v>
      </c>
      <c r="AK865" s="6" t="s">
        <v>18379</v>
      </c>
      <c r="AL865" s="6" t="s">
        <v>18444</v>
      </c>
      <c r="AM865" s="6" t="s">
        <v>18485</v>
      </c>
      <c r="AN865" s="6" t="s">
        <v>6842</v>
      </c>
      <c r="AO865" s="6" t="s">
        <v>19781</v>
      </c>
      <c r="AP865" s="6" t="s">
        <v>81</v>
      </c>
      <c r="AQ865" s="6" t="s">
        <v>81</v>
      </c>
      <c r="AR865" s="6" t="s">
        <v>81</v>
      </c>
      <c r="AS865" s="6" t="s">
        <v>81</v>
      </c>
      <c r="AT865" s="6" t="s">
        <v>81</v>
      </c>
      <c r="AU865" s="6" t="s">
        <v>81</v>
      </c>
      <c r="AV865" s="6" t="s">
        <v>81</v>
      </c>
      <c r="AW865" s="6" t="s">
        <v>81</v>
      </c>
      <c r="AX865" s="6" t="s">
        <v>81</v>
      </c>
      <c r="AY865" s="6" t="s">
        <v>81</v>
      </c>
      <c r="AZ865" s="6" t="s">
        <v>81</v>
      </c>
      <c r="BA865" s="6" t="s">
        <v>23824</v>
      </c>
      <c r="BB865" s="24" t="n">
        <v>142</v>
      </c>
      <c r="BC865" s="26"/>
      <c r="BD865" s="26"/>
      <c r="BE865" s="26"/>
      <c r="BF865" s="26" t="s">
        <v>23900</v>
      </c>
      <c r="BG865" s="26"/>
      <c r="BH865" s="26"/>
      <c r="BI865" s="26"/>
      <c r="BJ865" s="26"/>
      <c r="BK865" s="26"/>
      <c r="BL865" s="26"/>
      <c r="BM865" s="26"/>
      <c r="BN865" s="26"/>
      <c r="BO865" s="26"/>
      <c r="BP865" s="16" t="n">
        <v>45639</v>
      </c>
      <c r="BQ865" s="28" t="str">
        <f>HYPERLINK("https://organic.ams.usda.gov/Integrity/Certificate.aspx?cid=45&amp;nopid=9950003164")</f>
        <v>https://organic.ams.usda.gov/Integrity/Certificate.aspx?cid=45&amp;nopid=9950003164</v>
      </c>
    </row>
    <row r="866">
      <c r="A866" t="s">
        <v>3</v>
      </c>
      <c r="B866" s="6" t="s">
        <v>43</v>
      </c>
      <c r="C866" s="6" t="s">
        <v>90</v>
      </c>
      <c r="D866" s="6" t="s">
        <v>135</v>
      </c>
      <c r="E866" s="10" t="s">
        <v>1007</v>
      </c>
      <c r="F866" s="6" t="s">
        <v>3736</v>
      </c>
      <c r="G866" s="6" t="s">
        <v>81</v>
      </c>
      <c r="H866" s="6" t="s">
        <v>6685</v>
      </c>
      <c r="I866" s="6" t="s">
        <v>81</v>
      </c>
      <c r="J866" s="6" t="s">
        <v>81</v>
      </c>
      <c r="K866" s="6" t="s">
        <v>10886</v>
      </c>
      <c r="L866" s="16" t="n">
        <v>43636</v>
      </c>
      <c r="M866" s="16" t="n">
        <v>45523</v>
      </c>
      <c r="N866" s="6" t="s">
        <v>81</v>
      </c>
      <c r="O866" s="21" t="s">
        <v>81</v>
      </c>
      <c r="P866" s="6" t="s">
        <v>81</v>
      </c>
      <c r="Q866" s="6" t="s">
        <v>81</v>
      </c>
      <c r="R866" s="6" t="s">
        <v>81</v>
      </c>
      <c r="S866" s="6" t="s">
        <v>81</v>
      </c>
      <c r="T866" s="21" t="s">
        <v>81</v>
      </c>
      <c r="U866" s="6" t="s">
        <v>81</v>
      </c>
      <c r="V866" s="6" t="s">
        <v>81</v>
      </c>
      <c r="W866" s="6" t="s">
        <v>81</v>
      </c>
      <c r="X866" s="6" t="s">
        <v>81</v>
      </c>
      <c r="Y866" s="21" t="s">
        <v>81</v>
      </c>
      <c r="Z866" s="6" t="s">
        <v>81</v>
      </c>
      <c r="AA866" s="6" t="s">
        <v>81</v>
      </c>
      <c r="AB866" s="6" t="s">
        <v>81</v>
      </c>
      <c r="AC866" s="6" t="s">
        <v>10886</v>
      </c>
      <c r="AD866" s="16" t="n">
        <v>43636</v>
      </c>
      <c r="AE866" s="6" t="s">
        <v>14173</v>
      </c>
      <c r="AF866" s="6" t="s">
        <v>81</v>
      </c>
      <c r="AG866" s="6" t="s">
        <v>81</v>
      </c>
      <c r="AH866" s="6" t="s">
        <v>15446</v>
      </c>
      <c r="AI866" s="6" t="s">
        <v>81</v>
      </c>
      <c r="AJ866" s="6" t="s">
        <v>17782</v>
      </c>
      <c r="AK866" s="6" t="s">
        <v>18418</v>
      </c>
      <c r="AL866" s="6" t="s">
        <v>9834</v>
      </c>
      <c r="AM866" s="6" t="s">
        <v>18956</v>
      </c>
      <c r="AN866" s="6" t="s">
        <v>81</v>
      </c>
      <c r="AO866" s="6" t="s">
        <v>81</v>
      </c>
      <c r="AP866" s="6" t="s">
        <v>15446</v>
      </c>
      <c r="AQ866" s="6" t="s">
        <v>81</v>
      </c>
      <c r="AR866" s="6" t="s">
        <v>17782</v>
      </c>
      <c r="AS866" s="6" t="s">
        <v>18418</v>
      </c>
      <c r="AT866" s="6" t="s">
        <v>9834</v>
      </c>
      <c r="AU866" s="6" t="s">
        <v>18956</v>
      </c>
      <c r="AV866" s="6" t="s">
        <v>81</v>
      </c>
      <c r="AW866" s="6" t="s">
        <v>81</v>
      </c>
      <c r="AX866" s="6" t="s">
        <v>81</v>
      </c>
      <c r="AY866" s="6" t="s">
        <v>81</v>
      </c>
      <c r="AZ866" s="6" t="s">
        <v>81</v>
      </c>
      <c r="BA866" s="6" t="s">
        <v>81</v>
      </c>
      <c r="BB866" s="6" t="s">
        <v>81</v>
      </c>
      <c r="BC866" s="26"/>
      <c r="BD866" s="26"/>
      <c r="BE866" s="26"/>
      <c r="BF866" s="26"/>
      <c r="BG866" s="26"/>
      <c r="BH866" s="26"/>
      <c r="BI866" s="26"/>
      <c r="BJ866" s="26"/>
      <c r="BK866" s="26"/>
      <c r="BL866" s="26"/>
      <c r="BM866" s="26"/>
      <c r="BN866" s="26"/>
      <c r="BO866" s="26"/>
      <c r="BP866" s="16" t="n">
        <v>45369</v>
      </c>
      <c r="BQ866" s="28" t="str">
        <f>HYPERLINK("https://organic.ams.usda.gov/Integrity/Certificate.aspx?cid=66&amp;nopid=5500006158")</f>
        <v>https://organic.ams.usda.gov/Integrity/Certificate.aspx?cid=66&amp;nopid=5500006158</v>
      </c>
    </row>
    <row r="867">
      <c r="A867" t="s">
        <v>3</v>
      </c>
      <c r="B867" s="6" t="s">
        <v>29</v>
      </c>
      <c r="C867" s="6" t="s">
        <v>76</v>
      </c>
      <c r="D867" s="6" t="s">
        <v>122</v>
      </c>
      <c r="E867" s="10" t="s">
        <v>1008</v>
      </c>
      <c r="F867" s="6" t="s">
        <v>3737</v>
      </c>
      <c r="G867" s="6" t="s">
        <v>81</v>
      </c>
      <c r="H867" s="6" t="s">
        <v>6686</v>
      </c>
      <c r="I867" s="6" t="s">
        <v>8900</v>
      </c>
      <c r="J867" s="6" t="s">
        <v>10096</v>
      </c>
      <c r="K867" s="6" t="s">
        <v>10886</v>
      </c>
      <c r="L867" s="16" t="n">
        <v>37104</v>
      </c>
      <c r="M867" s="16" t="n">
        <v>45870</v>
      </c>
      <c r="N867" s="6" t="s">
        <v>10886</v>
      </c>
      <c r="O867" s="16" t="n">
        <v>37104</v>
      </c>
      <c r="P867" s="6" t="s">
        <v>11415</v>
      </c>
      <c r="Q867" s="6" t="s">
        <v>81</v>
      </c>
      <c r="R867" s="6" t="s">
        <v>12670</v>
      </c>
      <c r="S867" s="6" t="s">
        <v>10886</v>
      </c>
      <c r="T867" s="16" t="n">
        <v>37104</v>
      </c>
      <c r="U867" s="6" t="s">
        <v>13476</v>
      </c>
      <c r="V867" s="6" t="s">
        <v>81</v>
      </c>
      <c r="W867" s="6" t="s">
        <v>12670</v>
      </c>
      <c r="X867" s="6" t="s">
        <v>81</v>
      </c>
      <c r="Y867" s="21" t="s">
        <v>81</v>
      </c>
      <c r="Z867" s="6" t="s">
        <v>81</v>
      </c>
      <c r="AA867" s="6" t="s">
        <v>81</v>
      </c>
      <c r="AB867" s="6" t="s">
        <v>81</v>
      </c>
      <c r="AC867" s="6" t="s">
        <v>81</v>
      </c>
      <c r="AD867" s="21" t="s">
        <v>81</v>
      </c>
      <c r="AE867" s="6" t="s">
        <v>81</v>
      </c>
      <c r="AF867" s="6" t="s">
        <v>81</v>
      </c>
      <c r="AG867" s="6" t="s">
        <v>81</v>
      </c>
      <c r="AH867" s="6" t="s">
        <v>15447</v>
      </c>
      <c r="AI867" s="6" t="s">
        <v>81</v>
      </c>
      <c r="AJ867" s="6" t="s">
        <v>17783</v>
      </c>
      <c r="AK867" s="6" t="s">
        <v>18377</v>
      </c>
      <c r="AL867" s="6" t="s">
        <v>18444</v>
      </c>
      <c r="AM867" s="6" t="s">
        <v>18957</v>
      </c>
      <c r="AN867" s="6" t="s">
        <v>19638</v>
      </c>
      <c r="AO867" s="6" t="s">
        <v>19724</v>
      </c>
      <c r="AP867" s="6" t="s">
        <v>81</v>
      </c>
      <c r="AQ867" s="6" t="s">
        <v>81</v>
      </c>
      <c r="AR867" s="6" t="s">
        <v>81</v>
      </c>
      <c r="AS867" s="6" t="s">
        <v>81</v>
      </c>
      <c r="AT867" s="6" t="s">
        <v>81</v>
      </c>
      <c r="AU867" s="6" t="s">
        <v>81</v>
      </c>
      <c r="AV867" s="6" t="s">
        <v>81</v>
      </c>
      <c r="AW867" s="6" t="s">
        <v>81</v>
      </c>
      <c r="AX867" s="6" t="s">
        <v>21297</v>
      </c>
      <c r="AY867" s="6" t="s">
        <v>22868</v>
      </c>
      <c r="AZ867" s="6" t="s">
        <v>81</v>
      </c>
      <c r="BA867" s="6" t="s">
        <v>81</v>
      </c>
      <c r="BB867" s="24" t="n">
        <v>975</v>
      </c>
      <c r="BC867" s="26"/>
      <c r="BD867" s="26"/>
      <c r="BE867" s="26"/>
      <c r="BF867" s="26" t="s">
        <v>23900</v>
      </c>
      <c r="BG867" s="26"/>
      <c r="BH867" s="26"/>
      <c r="BI867" s="26"/>
      <c r="BJ867" s="26"/>
      <c r="BK867" s="26"/>
      <c r="BL867" s="26"/>
      <c r="BM867" s="26"/>
      <c r="BN867" s="26"/>
      <c r="BO867" s="26"/>
      <c r="BP867" s="16" t="n">
        <v>45737</v>
      </c>
      <c r="BQ867" s="28" t="str">
        <f>HYPERLINK("https://organic.ams.usda.gov/Integrity/Certificate.aspx?cid=31&amp;nopid=3920897084")</f>
        <v>https://organic.ams.usda.gov/Integrity/Certificate.aspx?cid=31&amp;nopid=3920897084</v>
      </c>
    </row>
    <row r="868">
      <c r="A868" t="s">
        <v>3</v>
      </c>
      <c r="B868" s="6" t="s">
        <v>20</v>
      </c>
      <c r="C868" s="6" t="s">
        <v>67</v>
      </c>
      <c r="D868" s="6" t="s">
        <v>113</v>
      </c>
      <c r="E868" s="10" t="s">
        <v>1009</v>
      </c>
      <c r="F868" s="6" t="s">
        <v>3738</v>
      </c>
      <c r="G868" s="6" t="s">
        <v>81</v>
      </c>
      <c r="H868" s="6" t="s">
        <v>6687</v>
      </c>
      <c r="I868" s="6" t="s">
        <v>8901</v>
      </c>
      <c r="J868" s="6" t="s">
        <v>9749</v>
      </c>
      <c r="K868" s="6" t="s">
        <v>10886</v>
      </c>
      <c r="L868" s="16" t="n">
        <v>42322</v>
      </c>
      <c r="M868" s="16" t="n">
        <v>45750</v>
      </c>
      <c r="N868" s="6" t="s">
        <v>81</v>
      </c>
      <c r="O868" s="21" t="s">
        <v>81</v>
      </c>
      <c r="P868" s="6" t="s">
        <v>81</v>
      </c>
      <c r="Q868" s="6" t="s">
        <v>81</v>
      </c>
      <c r="R868" s="6" t="s">
        <v>81</v>
      </c>
      <c r="S868" s="6" t="s">
        <v>81</v>
      </c>
      <c r="T868" s="21" t="s">
        <v>81</v>
      </c>
      <c r="U868" s="6" t="s">
        <v>81</v>
      </c>
      <c r="V868" s="6" t="s">
        <v>81</v>
      </c>
      <c r="W868" s="6" t="s">
        <v>81</v>
      </c>
      <c r="X868" s="6" t="s">
        <v>81</v>
      </c>
      <c r="Y868" s="21" t="s">
        <v>81</v>
      </c>
      <c r="Z868" s="6" t="s">
        <v>81</v>
      </c>
      <c r="AA868" s="6" t="s">
        <v>81</v>
      </c>
      <c r="AB868" s="6" t="s">
        <v>81</v>
      </c>
      <c r="AC868" s="6" t="s">
        <v>10886</v>
      </c>
      <c r="AD868" s="16" t="n">
        <v>42322</v>
      </c>
      <c r="AE868" s="6" t="s">
        <v>14174</v>
      </c>
      <c r="AF868" s="6" t="s">
        <v>81</v>
      </c>
      <c r="AG868" s="6" t="s">
        <v>14544</v>
      </c>
      <c r="AH868" s="6" t="s">
        <v>15448</v>
      </c>
      <c r="AI868" s="6" t="s">
        <v>81</v>
      </c>
      <c r="AJ868" s="6" t="s">
        <v>17784</v>
      </c>
      <c r="AK868" s="6" t="s">
        <v>17759</v>
      </c>
      <c r="AL868" s="6" t="s">
        <v>18444</v>
      </c>
      <c r="AM868" s="6" t="s">
        <v>18958</v>
      </c>
      <c r="AN868" s="6" t="s">
        <v>19636</v>
      </c>
      <c r="AO868" s="6" t="s">
        <v>19932</v>
      </c>
      <c r="AP868" s="6" t="s">
        <v>20217</v>
      </c>
      <c r="AQ868" s="6" t="s">
        <v>20476</v>
      </c>
      <c r="AR868" s="6" t="s">
        <v>17784</v>
      </c>
      <c r="AS868" s="6" t="s">
        <v>17759</v>
      </c>
      <c r="AT868" s="6" t="s">
        <v>18444</v>
      </c>
      <c r="AU868" s="6" t="s">
        <v>18958</v>
      </c>
      <c r="AV868" s="6" t="s">
        <v>81</v>
      </c>
      <c r="AW868" s="6" t="s">
        <v>81</v>
      </c>
      <c r="AX868" s="6" t="s">
        <v>21298</v>
      </c>
      <c r="AY868" s="6" t="s">
        <v>22869</v>
      </c>
      <c r="AZ868" s="6" t="s">
        <v>23649</v>
      </c>
      <c r="BA868" s="6" t="s">
        <v>81</v>
      </c>
      <c r="BB868" s="6" t="s">
        <v>81</v>
      </c>
      <c r="BC868" s="26"/>
      <c r="BD868" s="26"/>
      <c r="BE868" s="26"/>
      <c r="BF868" s="26"/>
      <c r="BG868" s="26" t="s">
        <v>23900</v>
      </c>
      <c r="BH868" s="26"/>
      <c r="BI868" s="26"/>
      <c r="BJ868" s="26"/>
      <c r="BK868" s="26"/>
      <c r="BL868" s="26"/>
      <c r="BM868" s="26"/>
      <c r="BN868" s="26"/>
      <c r="BO868" s="26"/>
      <c r="BP868" s="16" t="n">
        <v>45737</v>
      </c>
      <c r="BQ868" s="28" t="str">
        <f>HYPERLINK("https://organic.ams.usda.gov/Integrity/Certificate.aspx?cid=71&amp;nopid=5520263778")</f>
        <v>https://organic.ams.usda.gov/Integrity/Certificate.aspx?cid=71&amp;nopid=5520263778</v>
      </c>
    </row>
    <row r="869">
      <c r="A869" t="s">
        <v>3</v>
      </c>
      <c r="B869" s="6" t="s">
        <v>8</v>
      </c>
      <c r="C869" s="6" t="s">
        <v>55</v>
      </c>
      <c r="D869" s="6" t="s">
        <v>101</v>
      </c>
      <c r="E869" s="10" t="s">
        <v>1010</v>
      </c>
      <c r="F869" s="6" t="s">
        <v>3739</v>
      </c>
      <c r="G869" s="6" t="s">
        <v>81</v>
      </c>
      <c r="H869" s="6" t="s">
        <v>6688</v>
      </c>
      <c r="I869" s="6" t="s">
        <v>8902</v>
      </c>
      <c r="J869" s="6" t="s">
        <v>10097</v>
      </c>
      <c r="K869" s="6" t="s">
        <v>10886</v>
      </c>
      <c r="L869" s="16" t="n">
        <v>39146</v>
      </c>
      <c r="M869" s="16" t="n">
        <v>45748</v>
      </c>
      <c r="N869" s="6" t="s">
        <v>10886</v>
      </c>
      <c r="O869" s="16" t="n">
        <v>39146</v>
      </c>
      <c r="P869" s="6" t="s">
        <v>11416</v>
      </c>
      <c r="Q869" s="6" t="s">
        <v>81</v>
      </c>
      <c r="R869" s="6" t="s">
        <v>6688</v>
      </c>
      <c r="S869" s="6" t="s">
        <v>10886</v>
      </c>
      <c r="T869" s="16" t="n">
        <v>39146</v>
      </c>
      <c r="U869" s="6" t="s">
        <v>13173</v>
      </c>
      <c r="V869" s="6" t="s">
        <v>81</v>
      </c>
      <c r="W869" s="6" t="s">
        <v>6688</v>
      </c>
      <c r="X869" s="6" t="s">
        <v>81</v>
      </c>
      <c r="Y869" s="21" t="s">
        <v>81</v>
      </c>
      <c r="Z869" s="6" t="s">
        <v>81</v>
      </c>
      <c r="AA869" s="6" t="s">
        <v>81</v>
      </c>
      <c r="AB869" s="6" t="s">
        <v>81</v>
      </c>
      <c r="AC869" s="6" t="s">
        <v>81</v>
      </c>
      <c r="AD869" s="21" t="s">
        <v>81</v>
      </c>
      <c r="AE869" s="6" t="s">
        <v>81</v>
      </c>
      <c r="AF869" s="6" t="s">
        <v>81</v>
      </c>
      <c r="AG869" s="6" t="s">
        <v>81</v>
      </c>
      <c r="AH869" s="6" t="s">
        <v>15449</v>
      </c>
      <c r="AI869" s="6" t="s">
        <v>81</v>
      </c>
      <c r="AJ869" s="6" t="s">
        <v>17427</v>
      </c>
      <c r="AK869" s="6" t="s">
        <v>18377</v>
      </c>
      <c r="AL869" s="6" t="s">
        <v>18444</v>
      </c>
      <c r="AM869" s="6" t="s">
        <v>18584</v>
      </c>
      <c r="AN869" s="6" t="s">
        <v>19634</v>
      </c>
      <c r="AO869" s="6" t="s">
        <v>19764</v>
      </c>
      <c r="AP869" s="6" t="s">
        <v>81</v>
      </c>
      <c r="AQ869" s="6" t="s">
        <v>81</v>
      </c>
      <c r="AR869" s="6" t="s">
        <v>81</v>
      </c>
      <c r="AS869" s="6" t="s">
        <v>81</v>
      </c>
      <c r="AT869" s="6" t="s">
        <v>81</v>
      </c>
      <c r="AU869" s="6" t="s">
        <v>81</v>
      </c>
      <c r="AV869" s="6" t="s">
        <v>81</v>
      </c>
      <c r="AW869" s="6" t="s">
        <v>81</v>
      </c>
      <c r="AX869" s="6" t="s">
        <v>81</v>
      </c>
      <c r="AY869" s="6" t="s">
        <v>22870</v>
      </c>
      <c r="AZ869" s="6" t="s">
        <v>81</v>
      </c>
      <c r="BA869" s="6" t="s">
        <v>23819</v>
      </c>
      <c r="BB869" s="24" t="n">
        <v>622</v>
      </c>
      <c r="BC869" s="26"/>
      <c r="BD869" s="26"/>
      <c r="BE869" s="26"/>
      <c r="BF869" s="26" t="s">
        <v>23900</v>
      </c>
      <c r="BG869" s="26"/>
      <c r="BH869" s="26"/>
      <c r="BI869" s="26"/>
      <c r="BJ869" s="26"/>
      <c r="BK869" s="26"/>
      <c r="BL869" s="26"/>
      <c r="BM869" s="26"/>
      <c r="BN869" s="26"/>
      <c r="BO869" s="26"/>
      <c r="BP869" s="16" t="n">
        <v>45516</v>
      </c>
      <c r="BQ869" s="28" t="str">
        <f>HYPERLINK("https://organic.ams.usda.gov/Integrity/Certificate.aspx?cid=45&amp;nopid=9950002344")</f>
        <v>https://organic.ams.usda.gov/Integrity/Certificate.aspx?cid=45&amp;nopid=9950002344</v>
      </c>
    </row>
    <row r="870">
      <c r="A870" t="s">
        <v>3</v>
      </c>
      <c r="B870" s="6" t="s">
        <v>29</v>
      </c>
      <c r="C870" s="6" t="s">
        <v>76</v>
      </c>
      <c r="D870" s="6" t="s">
        <v>122</v>
      </c>
      <c r="E870" s="10" t="s">
        <v>1011</v>
      </c>
      <c r="F870" s="6" t="s">
        <v>3740</v>
      </c>
      <c r="G870" s="6" t="s">
        <v>5672</v>
      </c>
      <c r="H870" s="6" t="s">
        <v>6689</v>
      </c>
      <c r="I870" s="6" t="s">
        <v>8866</v>
      </c>
      <c r="J870" s="6" t="s">
        <v>9665</v>
      </c>
      <c r="K870" s="6" t="s">
        <v>10886</v>
      </c>
      <c r="L870" s="16" t="n">
        <v>38239</v>
      </c>
      <c r="M870" s="16" t="n">
        <v>45870</v>
      </c>
      <c r="N870" s="6" t="s">
        <v>10886</v>
      </c>
      <c r="O870" s="16" t="n">
        <v>38239</v>
      </c>
      <c r="P870" s="6" t="s">
        <v>11417</v>
      </c>
      <c r="Q870" s="6" t="s">
        <v>81</v>
      </c>
      <c r="R870" s="6" t="s">
        <v>12671</v>
      </c>
      <c r="S870" s="6" t="s">
        <v>10886</v>
      </c>
      <c r="T870" s="16" t="n">
        <v>38239</v>
      </c>
      <c r="U870" s="6" t="s">
        <v>13477</v>
      </c>
      <c r="V870" s="6" t="s">
        <v>81</v>
      </c>
      <c r="W870" s="6" t="s">
        <v>12671</v>
      </c>
      <c r="X870" s="6" t="s">
        <v>81</v>
      </c>
      <c r="Y870" s="21" t="s">
        <v>81</v>
      </c>
      <c r="Z870" s="6" t="s">
        <v>81</v>
      </c>
      <c r="AA870" s="6" t="s">
        <v>81</v>
      </c>
      <c r="AB870" s="6" t="s">
        <v>81</v>
      </c>
      <c r="AC870" s="6" t="s">
        <v>10886</v>
      </c>
      <c r="AD870" s="16" t="n">
        <v>42420</v>
      </c>
      <c r="AE870" s="6" t="s">
        <v>14175</v>
      </c>
      <c r="AF870" s="6" t="s">
        <v>81</v>
      </c>
      <c r="AG870" s="6" t="s">
        <v>14545</v>
      </c>
      <c r="AH870" s="6" t="s">
        <v>15450</v>
      </c>
      <c r="AI870" s="6" t="s">
        <v>81</v>
      </c>
      <c r="AJ870" s="6" t="s">
        <v>17426</v>
      </c>
      <c r="AK870" s="6" t="s">
        <v>18384</v>
      </c>
      <c r="AL870" s="6" t="s">
        <v>18444</v>
      </c>
      <c r="AM870" s="6" t="s">
        <v>18583</v>
      </c>
      <c r="AN870" s="6" t="s">
        <v>19675</v>
      </c>
      <c r="AO870" s="6" t="s">
        <v>19721</v>
      </c>
      <c r="AP870" s="6" t="s">
        <v>81</v>
      </c>
      <c r="AQ870" s="6" t="s">
        <v>81</v>
      </c>
      <c r="AR870" s="6" t="s">
        <v>81</v>
      </c>
      <c r="AS870" s="6" t="s">
        <v>81</v>
      </c>
      <c r="AT870" s="6" t="s">
        <v>81</v>
      </c>
      <c r="AU870" s="6" t="s">
        <v>81</v>
      </c>
      <c r="AV870" s="6" t="s">
        <v>81</v>
      </c>
      <c r="AW870" s="6" t="s">
        <v>81</v>
      </c>
      <c r="AX870" s="6" t="s">
        <v>81</v>
      </c>
      <c r="AY870" s="6" t="s">
        <v>81</v>
      </c>
      <c r="AZ870" s="6" t="s">
        <v>81</v>
      </c>
      <c r="BA870" s="6" t="s">
        <v>81</v>
      </c>
      <c r="BB870" s="24" t="n">
        <v>116</v>
      </c>
      <c r="BC870" s="26"/>
      <c r="BD870" s="26"/>
      <c r="BE870" s="26"/>
      <c r="BF870" s="26" t="s">
        <v>23900</v>
      </c>
      <c r="BG870" s="26"/>
      <c r="BH870" s="26"/>
      <c r="BI870" s="26"/>
      <c r="BJ870" s="26"/>
      <c r="BK870" s="26" t="s">
        <v>23900</v>
      </c>
      <c r="BL870" s="26"/>
      <c r="BM870" s="26"/>
      <c r="BN870" s="26"/>
      <c r="BO870" s="26"/>
      <c r="BP870" s="16" t="n">
        <v>45737</v>
      </c>
      <c r="BQ870" s="28" t="str">
        <f>HYPERLINK("https://organic.ams.usda.gov/Integrity/Certificate.aspx?cid=31&amp;nopid=3920897398")</f>
        <v>https://organic.ams.usda.gov/Integrity/Certificate.aspx?cid=31&amp;nopid=3920897398</v>
      </c>
    </row>
    <row r="871">
      <c r="A871" t="s">
        <v>3</v>
      </c>
      <c r="B871" s="6" t="s">
        <v>10</v>
      </c>
      <c r="C871" s="6" t="s">
        <v>57</v>
      </c>
      <c r="D871" s="6" t="s">
        <v>103</v>
      </c>
      <c r="E871" s="10" t="s">
        <v>1012</v>
      </c>
      <c r="F871" s="6" t="s">
        <v>3741</v>
      </c>
      <c r="G871" s="6" t="s">
        <v>81</v>
      </c>
      <c r="H871" s="6" t="s">
        <v>6690</v>
      </c>
      <c r="I871" s="6" t="s">
        <v>8903</v>
      </c>
      <c r="J871" s="6" t="s">
        <v>9669</v>
      </c>
      <c r="K871" s="6" t="s">
        <v>10886</v>
      </c>
      <c r="L871" s="16" t="n">
        <v>41251</v>
      </c>
      <c r="M871" s="16" t="n">
        <v>45748</v>
      </c>
      <c r="N871" s="6" t="s">
        <v>10886</v>
      </c>
      <c r="O871" s="16" t="n">
        <v>44568</v>
      </c>
      <c r="P871" s="6" t="s">
        <v>10925</v>
      </c>
      <c r="Q871" s="6" t="s">
        <v>81</v>
      </c>
      <c r="R871" s="6" t="s">
        <v>12672</v>
      </c>
      <c r="S871" s="6" t="s">
        <v>10886</v>
      </c>
      <c r="T871" s="16" t="n">
        <v>44568</v>
      </c>
      <c r="U871" s="6" t="s">
        <v>13163</v>
      </c>
      <c r="V871" s="6" t="s">
        <v>81</v>
      </c>
      <c r="W871" s="6" t="s">
        <v>81</v>
      </c>
      <c r="X871" s="6" t="s">
        <v>81</v>
      </c>
      <c r="Y871" s="21" t="s">
        <v>81</v>
      </c>
      <c r="Z871" s="6" t="s">
        <v>81</v>
      </c>
      <c r="AA871" s="6" t="s">
        <v>81</v>
      </c>
      <c r="AB871" s="6" t="s">
        <v>81</v>
      </c>
      <c r="AC871" s="6" t="s">
        <v>81</v>
      </c>
      <c r="AD871" s="21" t="s">
        <v>81</v>
      </c>
      <c r="AE871" s="6" t="s">
        <v>81</v>
      </c>
      <c r="AF871" s="6" t="s">
        <v>81</v>
      </c>
      <c r="AG871" s="6" t="s">
        <v>81</v>
      </c>
      <c r="AH871" s="6" t="s">
        <v>15451</v>
      </c>
      <c r="AI871" s="6" t="s">
        <v>81</v>
      </c>
      <c r="AJ871" s="6" t="s">
        <v>17315</v>
      </c>
      <c r="AK871" s="6" t="s">
        <v>18379</v>
      </c>
      <c r="AL871" s="6" t="s">
        <v>18444</v>
      </c>
      <c r="AM871" s="6" t="s">
        <v>18467</v>
      </c>
      <c r="AN871" s="6" t="s">
        <v>19637</v>
      </c>
      <c r="AO871" s="6" t="s">
        <v>19723</v>
      </c>
      <c r="AP871" s="6" t="s">
        <v>15451</v>
      </c>
      <c r="AQ871" s="6" t="s">
        <v>81</v>
      </c>
      <c r="AR871" s="6" t="s">
        <v>17315</v>
      </c>
      <c r="AS871" s="6" t="s">
        <v>18379</v>
      </c>
      <c r="AT871" s="6" t="s">
        <v>18444</v>
      </c>
      <c r="AU871" s="6" t="s">
        <v>18467</v>
      </c>
      <c r="AV871" s="6" t="s">
        <v>81</v>
      </c>
      <c r="AW871" s="6" t="s">
        <v>81</v>
      </c>
      <c r="AX871" s="6" t="s">
        <v>21299</v>
      </c>
      <c r="AY871" s="6" t="s">
        <v>81</v>
      </c>
      <c r="AZ871" s="6" t="s">
        <v>81</v>
      </c>
      <c r="BA871" s="6" t="s">
        <v>81</v>
      </c>
      <c r="BB871" s="24" t="n">
        <v>72</v>
      </c>
      <c r="BC871" s="26"/>
      <c r="BD871" s="26"/>
      <c r="BE871" s="26"/>
      <c r="BF871" s="26"/>
      <c r="BG871" s="26"/>
      <c r="BH871" s="26"/>
      <c r="BI871" s="26"/>
      <c r="BJ871" s="26"/>
      <c r="BK871" s="26"/>
      <c r="BL871" s="26"/>
      <c r="BM871" s="26"/>
      <c r="BN871" s="26"/>
      <c r="BO871" s="26"/>
      <c r="BP871" s="16" t="n">
        <v>45730</v>
      </c>
      <c r="BQ871" s="28" t="str">
        <f>HYPERLINK("https://organic.ams.usda.gov/Integrity/Certificate.aspx?cid=90&amp;nopid=7170220454")</f>
        <v>https://organic.ams.usda.gov/Integrity/Certificate.aspx?cid=90&amp;nopid=7170220454</v>
      </c>
    </row>
    <row r="872">
      <c r="A872" t="s">
        <v>3</v>
      </c>
      <c r="B872" s="6" t="s">
        <v>7</v>
      </c>
      <c r="C872" s="6" t="s">
        <v>54</v>
      </c>
      <c r="D872" s="6" t="s">
        <v>100</v>
      </c>
      <c r="E872" s="10" t="s">
        <v>1013</v>
      </c>
      <c r="F872" s="6" t="s">
        <v>3742</v>
      </c>
      <c r="G872" s="6" t="s">
        <v>81</v>
      </c>
      <c r="H872" s="6" t="s">
        <v>6691</v>
      </c>
      <c r="I872" s="6" t="s">
        <v>8904</v>
      </c>
      <c r="J872" s="6" t="s">
        <v>9752</v>
      </c>
      <c r="K872" s="6" t="s">
        <v>10886</v>
      </c>
      <c r="L872" s="16" t="n">
        <v>45615</v>
      </c>
      <c r="M872" s="16" t="n">
        <v>45716</v>
      </c>
      <c r="N872" s="6" t="s">
        <v>10886</v>
      </c>
      <c r="O872" s="16" t="n">
        <v>45615</v>
      </c>
      <c r="P872" s="6" t="s">
        <v>11418</v>
      </c>
      <c r="Q872" s="6" t="s">
        <v>81</v>
      </c>
      <c r="R872" s="6" t="s">
        <v>81</v>
      </c>
      <c r="S872" s="6" t="s">
        <v>10886</v>
      </c>
      <c r="T872" s="16" t="n">
        <v>45615</v>
      </c>
      <c r="U872" s="6" t="s">
        <v>13169</v>
      </c>
      <c r="V872" s="6" t="s">
        <v>81</v>
      </c>
      <c r="W872" s="6" t="s">
        <v>81</v>
      </c>
      <c r="X872" s="6" t="s">
        <v>81</v>
      </c>
      <c r="Y872" s="21" t="s">
        <v>81</v>
      </c>
      <c r="Z872" s="6" t="s">
        <v>81</v>
      </c>
      <c r="AA872" s="6" t="s">
        <v>81</v>
      </c>
      <c r="AB872" s="6" t="s">
        <v>81</v>
      </c>
      <c r="AC872" s="6" t="s">
        <v>81</v>
      </c>
      <c r="AD872" s="21" t="s">
        <v>81</v>
      </c>
      <c r="AE872" s="6" t="s">
        <v>81</v>
      </c>
      <c r="AF872" s="6" t="s">
        <v>81</v>
      </c>
      <c r="AG872" s="6" t="s">
        <v>81</v>
      </c>
      <c r="AH872" s="6" t="s">
        <v>15452</v>
      </c>
      <c r="AI872" s="6" t="s">
        <v>81</v>
      </c>
      <c r="AJ872" s="6" t="s">
        <v>17741</v>
      </c>
      <c r="AK872" s="6" t="s">
        <v>18380</v>
      </c>
      <c r="AL872" s="6" t="s">
        <v>18444</v>
      </c>
      <c r="AM872" s="6" t="s">
        <v>18908</v>
      </c>
      <c r="AN872" s="6" t="s">
        <v>81</v>
      </c>
      <c r="AO872" s="6" t="s">
        <v>81</v>
      </c>
      <c r="AP872" s="6" t="s">
        <v>15452</v>
      </c>
      <c r="AQ872" s="6" t="s">
        <v>81</v>
      </c>
      <c r="AR872" s="6" t="s">
        <v>17741</v>
      </c>
      <c r="AS872" s="6" t="s">
        <v>18380</v>
      </c>
      <c r="AT872" s="6" t="s">
        <v>18444</v>
      </c>
      <c r="AU872" s="6" t="s">
        <v>18908</v>
      </c>
      <c r="AV872" s="6" t="s">
        <v>81</v>
      </c>
      <c r="AW872" s="6" t="s">
        <v>81</v>
      </c>
      <c r="AX872" s="6" t="s">
        <v>21300</v>
      </c>
      <c r="AY872" s="6" t="s">
        <v>81</v>
      </c>
      <c r="AZ872" s="6" t="s">
        <v>81</v>
      </c>
      <c r="BA872" s="6" t="s">
        <v>81</v>
      </c>
      <c r="BB872" s="24" t="n">
        <v>86</v>
      </c>
      <c r="BC872" s="26"/>
      <c r="BD872" s="26"/>
      <c r="BE872" s="26"/>
      <c r="BF872" s="26" t="s">
        <v>23900</v>
      </c>
      <c r="BG872" s="26"/>
      <c r="BH872" s="26"/>
      <c r="BI872" s="26"/>
      <c r="BJ872" s="26"/>
      <c r="BK872" s="26"/>
      <c r="BL872" s="26"/>
      <c r="BM872" s="26"/>
      <c r="BN872" s="26"/>
      <c r="BO872" s="26"/>
      <c r="BP872" s="16" t="n">
        <v>45618</v>
      </c>
      <c r="BQ872" s="28" t="str">
        <f>HYPERLINK("https://organic.ams.usda.gov/Integrity/Certificate.aspx?cid=57&amp;nopid=3252024095")</f>
        <v>https://organic.ams.usda.gov/Integrity/Certificate.aspx?cid=57&amp;nopid=3252024095</v>
      </c>
    </row>
    <row r="873">
      <c r="A873" t="s">
        <v>3</v>
      </c>
      <c r="B873" s="6" t="s">
        <v>10</v>
      </c>
      <c r="C873" s="6" t="s">
        <v>57</v>
      </c>
      <c r="D873" s="6" t="s">
        <v>103</v>
      </c>
      <c r="E873" s="10" t="s">
        <v>1014</v>
      </c>
      <c r="F873" s="6" t="s">
        <v>3743</v>
      </c>
      <c r="G873" s="6" t="s">
        <v>81</v>
      </c>
      <c r="H873" s="6" t="s">
        <v>6692</v>
      </c>
      <c r="I873" s="6" t="s">
        <v>8905</v>
      </c>
      <c r="J873" s="6" t="s">
        <v>9726</v>
      </c>
      <c r="K873" s="6" t="s">
        <v>10886</v>
      </c>
      <c r="L873" s="16" t="n">
        <v>41522</v>
      </c>
      <c r="M873" s="16" t="n">
        <v>45748</v>
      </c>
      <c r="N873" s="6" t="s">
        <v>10886</v>
      </c>
      <c r="O873" s="16" t="n">
        <v>41522</v>
      </c>
      <c r="P873" s="6" t="s">
        <v>11419</v>
      </c>
      <c r="Q873" s="6" t="s">
        <v>81</v>
      </c>
      <c r="R873" s="6" t="s">
        <v>12673</v>
      </c>
      <c r="S873" s="6" t="s">
        <v>10886</v>
      </c>
      <c r="T873" s="16" t="n">
        <v>41522</v>
      </c>
      <c r="U873" s="6" t="s">
        <v>13163</v>
      </c>
      <c r="V873" s="6" t="s">
        <v>81</v>
      </c>
      <c r="W873" s="6" t="s">
        <v>81</v>
      </c>
      <c r="X873" s="6" t="s">
        <v>81</v>
      </c>
      <c r="Y873" s="21" t="s">
        <v>81</v>
      </c>
      <c r="Z873" s="6" t="s">
        <v>81</v>
      </c>
      <c r="AA873" s="6" t="s">
        <v>81</v>
      </c>
      <c r="AB873" s="6" t="s">
        <v>81</v>
      </c>
      <c r="AC873" s="6" t="s">
        <v>81</v>
      </c>
      <c r="AD873" s="21" t="s">
        <v>81</v>
      </c>
      <c r="AE873" s="6" t="s">
        <v>81</v>
      </c>
      <c r="AF873" s="6" t="s">
        <v>81</v>
      </c>
      <c r="AG873" s="6" t="s">
        <v>81</v>
      </c>
      <c r="AH873" s="6" t="s">
        <v>15453</v>
      </c>
      <c r="AI873" s="6" t="s">
        <v>81</v>
      </c>
      <c r="AJ873" s="6" t="s">
        <v>17315</v>
      </c>
      <c r="AK873" s="6" t="s">
        <v>18379</v>
      </c>
      <c r="AL873" s="6" t="s">
        <v>18444</v>
      </c>
      <c r="AM873" s="6" t="s">
        <v>18467</v>
      </c>
      <c r="AN873" s="6" t="s">
        <v>19637</v>
      </c>
      <c r="AO873" s="6" t="s">
        <v>19723</v>
      </c>
      <c r="AP873" s="6" t="s">
        <v>15453</v>
      </c>
      <c r="AQ873" s="6" t="s">
        <v>81</v>
      </c>
      <c r="AR873" s="6" t="s">
        <v>17315</v>
      </c>
      <c r="AS873" s="6" t="s">
        <v>18379</v>
      </c>
      <c r="AT873" s="6" t="s">
        <v>18444</v>
      </c>
      <c r="AU873" s="6" t="s">
        <v>18467</v>
      </c>
      <c r="AV873" s="6" t="s">
        <v>81</v>
      </c>
      <c r="AW873" s="6" t="s">
        <v>81</v>
      </c>
      <c r="AX873" s="6" t="s">
        <v>21301</v>
      </c>
      <c r="AY873" s="6" t="s">
        <v>81</v>
      </c>
      <c r="AZ873" s="6" t="s">
        <v>81</v>
      </c>
      <c r="BA873" s="6" t="s">
        <v>81</v>
      </c>
      <c r="BB873" s="24" t="n">
        <v>100</v>
      </c>
      <c r="BC873" s="26"/>
      <c r="BD873" s="26"/>
      <c r="BE873" s="26"/>
      <c r="BF873" s="26"/>
      <c r="BG873" s="26"/>
      <c r="BH873" s="26"/>
      <c r="BI873" s="26"/>
      <c r="BJ873" s="26"/>
      <c r="BK873" s="26"/>
      <c r="BL873" s="26"/>
      <c r="BM873" s="26"/>
      <c r="BN873" s="26"/>
      <c r="BO873" s="26"/>
      <c r="BP873" s="16" t="n">
        <v>45730</v>
      </c>
      <c r="BQ873" s="28" t="str">
        <f>HYPERLINK("https://organic.ams.usda.gov/Integrity/Certificate.aspx?cid=90&amp;nopid=7170019013")</f>
        <v>https://organic.ams.usda.gov/Integrity/Certificate.aspx?cid=90&amp;nopid=7170019013</v>
      </c>
    </row>
    <row r="874">
      <c r="A874" t="s">
        <v>3</v>
      </c>
      <c r="B874" s="6" t="s">
        <v>10</v>
      </c>
      <c r="C874" s="6" t="s">
        <v>57</v>
      </c>
      <c r="D874" s="6" t="s">
        <v>103</v>
      </c>
      <c r="E874" s="10" t="s">
        <v>1015</v>
      </c>
      <c r="F874" s="6" t="s">
        <v>3744</v>
      </c>
      <c r="G874" s="6" t="s">
        <v>81</v>
      </c>
      <c r="H874" s="6" t="s">
        <v>6693</v>
      </c>
      <c r="I874" s="6" t="s">
        <v>8906</v>
      </c>
      <c r="J874" s="6" t="s">
        <v>9742</v>
      </c>
      <c r="K874" s="6" t="s">
        <v>10886</v>
      </c>
      <c r="L874" s="16" t="n">
        <v>43228</v>
      </c>
      <c r="M874" s="16" t="n">
        <v>45748</v>
      </c>
      <c r="N874" s="6" t="s">
        <v>10886</v>
      </c>
      <c r="O874" s="16" t="n">
        <v>43228</v>
      </c>
      <c r="P874" s="6" t="s">
        <v>11420</v>
      </c>
      <c r="Q874" s="6" t="s">
        <v>81</v>
      </c>
      <c r="R874" s="6" t="s">
        <v>12674</v>
      </c>
      <c r="S874" s="6" t="s">
        <v>10886</v>
      </c>
      <c r="T874" s="16" t="n">
        <v>43228</v>
      </c>
      <c r="U874" s="6" t="s">
        <v>13163</v>
      </c>
      <c r="V874" s="6" t="s">
        <v>81</v>
      </c>
      <c r="W874" s="6" t="s">
        <v>81</v>
      </c>
      <c r="X874" s="6" t="s">
        <v>81</v>
      </c>
      <c r="Y874" s="21" t="s">
        <v>81</v>
      </c>
      <c r="Z874" s="6" t="s">
        <v>81</v>
      </c>
      <c r="AA874" s="6" t="s">
        <v>81</v>
      </c>
      <c r="AB874" s="6" t="s">
        <v>81</v>
      </c>
      <c r="AC874" s="6" t="s">
        <v>81</v>
      </c>
      <c r="AD874" s="21" t="s">
        <v>81</v>
      </c>
      <c r="AE874" s="6" t="s">
        <v>81</v>
      </c>
      <c r="AF874" s="6" t="s">
        <v>81</v>
      </c>
      <c r="AG874" s="6" t="s">
        <v>81</v>
      </c>
      <c r="AH874" s="6" t="s">
        <v>15454</v>
      </c>
      <c r="AI874" s="6" t="s">
        <v>81</v>
      </c>
      <c r="AJ874" s="6" t="s">
        <v>17392</v>
      </c>
      <c r="AK874" s="6" t="s">
        <v>18379</v>
      </c>
      <c r="AL874" s="6" t="s">
        <v>18444</v>
      </c>
      <c r="AM874" s="6" t="s">
        <v>18548</v>
      </c>
      <c r="AN874" s="6" t="s">
        <v>19637</v>
      </c>
      <c r="AO874" s="6" t="s">
        <v>19723</v>
      </c>
      <c r="AP874" s="6" t="s">
        <v>15454</v>
      </c>
      <c r="AQ874" s="6" t="s">
        <v>81</v>
      </c>
      <c r="AR874" s="6" t="s">
        <v>17392</v>
      </c>
      <c r="AS874" s="6" t="s">
        <v>18379</v>
      </c>
      <c r="AT874" s="6" t="s">
        <v>18444</v>
      </c>
      <c r="AU874" s="6" t="s">
        <v>18548</v>
      </c>
      <c r="AV874" s="6" t="s">
        <v>81</v>
      </c>
      <c r="AW874" s="6" t="s">
        <v>81</v>
      </c>
      <c r="AX874" s="6" t="s">
        <v>21302</v>
      </c>
      <c r="AY874" s="6" t="s">
        <v>81</v>
      </c>
      <c r="AZ874" s="6" t="s">
        <v>81</v>
      </c>
      <c r="BA874" s="6" t="s">
        <v>81</v>
      </c>
      <c r="BB874" s="24" t="n">
        <v>100</v>
      </c>
      <c r="BC874" s="26"/>
      <c r="BD874" s="26"/>
      <c r="BE874" s="26"/>
      <c r="BF874" s="26"/>
      <c r="BG874" s="26"/>
      <c r="BH874" s="26"/>
      <c r="BI874" s="26"/>
      <c r="BJ874" s="26"/>
      <c r="BK874" s="26"/>
      <c r="BL874" s="26"/>
      <c r="BM874" s="26"/>
      <c r="BN874" s="26"/>
      <c r="BO874" s="26"/>
      <c r="BP874" s="16" t="n">
        <v>45730</v>
      </c>
      <c r="BQ874" s="28" t="str">
        <f>HYPERLINK("https://organic.ams.usda.gov/Integrity/Certificate.aspx?cid=90&amp;nopid=7170220540")</f>
        <v>https://organic.ams.usda.gov/Integrity/Certificate.aspx?cid=90&amp;nopid=7170220540</v>
      </c>
    </row>
    <row r="875">
      <c r="A875" t="s">
        <v>3</v>
      </c>
      <c r="B875" s="6" t="s">
        <v>10</v>
      </c>
      <c r="C875" s="6" t="s">
        <v>57</v>
      </c>
      <c r="D875" s="6" t="s">
        <v>103</v>
      </c>
      <c r="E875" s="10" t="s">
        <v>1016</v>
      </c>
      <c r="F875" s="6" t="s">
        <v>3745</v>
      </c>
      <c r="G875" s="6" t="s">
        <v>81</v>
      </c>
      <c r="H875" s="6" t="s">
        <v>6694</v>
      </c>
      <c r="I875" s="6" t="s">
        <v>8906</v>
      </c>
      <c r="J875" s="6" t="s">
        <v>9665</v>
      </c>
      <c r="K875" s="6" t="s">
        <v>10886</v>
      </c>
      <c r="L875" s="16" t="n">
        <v>40664</v>
      </c>
      <c r="M875" s="16" t="n">
        <v>45748</v>
      </c>
      <c r="N875" s="6" t="s">
        <v>10886</v>
      </c>
      <c r="O875" s="16" t="n">
        <v>40664</v>
      </c>
      <c r="P875" s="6" t="s">
        <v>11421</v>
      </c>
      <c r="Q875" s="6" t="s">
        <v>81</v>
      </c>
      <c r="R875" s="6" t="s">
        <v>12675</v>
      </c>
      <c r="S875" s="6" t="s">
        <v>10886</v>
      </c>
      <c r="T875" s="16" t="n">
        <v>44691</v>
      </c>
      <c r="U875" s="6" t="s">
        <v>13478</v>
      </c>
      <c r="V875" s="6" t="s">
        <v>81</v>
      </c>
      <c r="W875" s="6" t="s">
        <v>81</v>
      </c>
      <c r="X875" s="6" t="s">
        <v>81</v>
      </c>
      <c r="Y875" s="21" t="s">
        <v>81</v>
      </c>
      <c r="Z875" s="6" t="s">
        <v>81</v>
      </c>
      <c r="AA875" s="6" t="s">
        <v>81</v>
      </c>
      <c r="AB875" s="6" t="s">
        <v>81</v>
      </c>
      <c r="AC875" s="6" t="s">
        <v>81</v>
      </c>
      <c r="AD875" s="21" t="s">
        <v>81</v>
      </c>
      <c r="AE875" s="6" t="s">
        <v>81</v>
      </c>
      <c r="AF875" s="6" t="s">
        <v>81</v>
      </c>
      <c r="AG875" s="6" t="s">
        <v>81</v>
      </c>
      <c r="AH875" s="6" t="s">
        <v>15455</v>
      </c>
      <c r="AI875" s="6" t="s">
        <v>81</v>
      </c>
      <c r="AJ875" s="6" t="s">
        <v>17785</v>
      </c>
      <c r="AK875" s="6" t="s">
        <v>18385</v>
      </c>
      <c r="AL875" s="6" t="s">
        <v>18444</v>
      </c>
      <c r="AM875" s="6" t="s">
        <v>18959</v>
      </c>
      <c r="AN875" s="6" t="s">
        <v>6817</v>
      </c>
      <c r="AO875" s="6" t="s">
        <v>19933</v>
      </c>
      <c r="AP875" s="6" t="s">
        <v>15455</v>
      </c>
      <c r="AQ875" s="6" t="s">
        <v>81</v>
      </c>
      <c r="AR875" s="6" t="s">
        <v>17785</v>
      </c>
      <c r="AS875" s="6" t="s">
        <v>18385</v>
      </c>
      <c r="AT875" s="6" t="s">
        <v>18444</v>
      </c>
      <c r="AU875" s="6" t="s">
        <v>18959</v>
      </c>
      <c r="AV875" s="6" t="s">
        <v>81</v>
      </c>
      <c r="AW875" s="6" t="s">
        <v>81</v>
      </c>
      <c r="AX875" s="6" t="s">
        <v>21303</v>
      </c>
      <c r="AY875" s="6" t="s">
        <v>81</v>
      </c>
      <c r="AZ875" s="6" t="s">
        <v>81</v>
      </c>
      <c r="BA875" s="6" t="s">
        <v>81</v>
      </c>
      <c r="BB875" s="24" t="n">
        <v>172</v>
      </c>
      <c r="BC875" s="26"/>
      <c r="BD875" s="26"/>
      <c r="BE875" s="26"/>
      <c r="BF875" s="26"/>
      <c r="BG875" s="26"/>
      <c r="BH875" s="26"/>
      <c r="BI875" s="26"/>
      <c r="BJ875" s="26"/>
      <c r="BK875" s="26"/>
      <c r="BL875" s="26"/>
      <c r="BM875" s="26"/>
      <c r="BN875" s="26"/>
      <c r="BO875" s="26"/>
      <c r="BP875" s="16" t="n">
        <v>45730</v>
      </c>
      <c r="BQ875" s="28" t="str">
        <f>HYPERLINK("https://organic.ams.usda.gov/Integrity/Certificate.aspx?cid=90&amp;nopid=7170220478")</f>
        <v>https://organic.ams.usda.gov/Integrity/Certificate.aspx?cid=90&amp;nopid=7170220478</v>
      </c>
    </row>
    <row r="876">
      <c r="A876" t="s">
        <v>3</v>
      </c>
      <c r="B876" s="6" t="s">
        <v>25</v>
      </c>
      <c r="C876" s="6" t="s">
        <v>72</v>
      </c>
      <c r="D876" s="6" t="s">
        <v>118</v>
      </c>
      <c r="E876" s="10" t="s">
        <v>1017</v>
      </c>
      <c r="F876" s="6" t="s">
        <v>3746</v>
      </c>
      <c r="G876" s="6" t="s">
        <v>81</v>
      </c>
      <c r="H876" s="6" t="s">
        <v>6695</v>
      </c>
      <c r="I876" s="6" t="s">
        <v>8907</v>
      </c>
      <c r="J876" s="6" t="s">
        <v>10098</v>
      </c>
      <c r="K876" s="6" t="s">
        <v>10886</v>
      </c>
      <c r="L876" s="16" t="n">
        <v>42800</v>
      </c>
      <c r="M876" s="16" t="n">
        <v>46023</v>
      </c>
      <c r="N876" s="6" t="s">
        <v>81</v>
      </c>
      <c r="O876" s="21" t="s">
        <v>81</v>
      </c>
      <c r="P876" s="6" t="s">
        <v>81</v>
      </c>
      <c r="Q876" s="6" t="s">
        <v>81</v>
      </c>
      <c r="R876" s="6" t="s">
        <v>81</v>
      </c>
      <c r="S876" s="6" t="s">
        <v>81</v>
      </c>
      <c r="T876" s="21" t="s">
        <v>81</v>
      </c>
      <c r="U876" s="6" t="s">
        <v>81</v>
      </c>
      <c r="V876" s="6" t="s">
        <v>81</v>
      </c>
      <c r="W876" s="6" t="s">
        <v>81</v>
      </c>
      <c r="X876" s="6" t="s">
        <v>81</v>
      </c>
      <c r="Y876" s="21" t="s">
        <v>81</v>
      </c>
      <c r="Z876" s="6" t="s">
        <v>81</v>
      </c>
      <c r="AA876" s="6" t="s">
        <v>81</v>
      </c>
      <c r="AB876" s="6" t="s">
        <v>81</v>
      </c>
      <c r="AC876" s="6" t="s">
        <v>10886</v>
      </c>
      <c r="AD876" s="16" t="n">
        <v>42800</v>
      </c>
      <c r="AE876" s="6" t="s">
        <v>14176</v>
      </c>
      <c r="AF876" s="6" t="s">
        <v>81</v>
      </c>
      <c r="AG876" s="6" t="s">
        <v>81</v>
      </c>
      <c r="AH876" s="6" t="s">
        <v>15456</v>
      </c>
      <c r="AI876" s="6" t="s">
        <v>81</v>
      </c>
      <c r="AJ876" s="6" t="s">
        <v>17449</v>
      </c>
      <c r="AK876" s="6" t="s">
        <v>18152</v>
      </c>
      <c r="AL876" s="6" t="s">
        <v>18444</v>
      </c>
      <c r="AM876" s="6" t="s">
        <v>18960</v>
      </c>
      <c r="AN876" s="6" t="s">
        <v>19657</v>
      </c>
      <c r="AO876" s="6" t="s">
        <v>19914</v>
      </c>
      <c r="AP876" s="6" t="s">
        <v>15456</v>
      </c>
      <c r="AQ876" s="6" t="s">
        <v>81</v>
      </c>
      <c r="AR876" s="6" t="s">
        <v>17449</v>
      </c>
      <c r="AS876" s="6" t="s">
        <v>18152</v>
      </c>
      <c r="AT876" s="6" t="s">
        <v>18444</v>
      </c>
      <c r="AU876" s="6" t="s">
        <v>18960</v>
      </c>
      <c r="AV876" s="6" t="s">
        <v>81</v>
      </c>
      <c r="AW876" s="6" t="s">
        <v>81</v>
      </c>
      <c r="AX876" s="6" t="s">
        <v>21304</v>
      </c>
      <c r="AY876" s="6" t="s">
        <v>22871</v>
      </c>
      <c r="AZ876" s="6" t="s">
        <v>23650</v>
      </c>
      <c r="BA876" s="6" t="s">
        <v>23855</v>
      </c>
      <c r="BB876" s="6" t="s">
        <v>81</v>
      </c>
      <c r="BC876" s="26"/>
      <c r="BD876" s="26"/>
      <c r="BE876" s="26"/>
      <c r="BF876" s="26"/>
      <c r="BG876" s="26"/>
      <c r="BH876" s="26"/>
      <c r="BI876" s="26"/>
      <c r="BJ876" s="26"/>
      <c r="BK876" s="26"/>
      <c r="BL876" s="26"/>
      <c r="BM876" s="26"/>
      <c r="BN876" s="26"/>
      <c r="BO876" s="26"/>
      <c r="BP876" s="16" t="n">
        <v>45667</v>
      </c>
      <c r="BQ876" s="28" t="str">
        <f>HYPERLINK("https://organic.ams.usda.gov/Integrity/Certificate.aspx?cid=15&amp;nopid=5561004661")</f>
        <v>https://organic.ams.usda.gov/Integrity/Certificate.aspx?cid=15&amp;nopid=5561004661</v>
      </c>
    </row>
    <row r="877">
      <c r="A877" t="s">
        <v>3</v>
      </c>
      <c r="B877" s="6" t="s">
        <v>9</v>
      </c>
      <c r="C877" s="6" t="s">
        <v>56</v>
      </c>
      <c r="D877" s="6" t="s">
        <v>102</v>
      </c>
      <c r="E877" s="10" t="s">
        <v>1018</v>
      </c>
      <c r="F877" s="6" t="s">
        <v>3747</v>
      </c>
      <c r="G877" s="6" t="s">
        <v>81</v>
      </c>
      <c r="H877" s="6" t="s">
        <v>6696</v>
      </c>
      <c r="I877" s="6" t="s">
        <v>8908</v>
      </c>
      <c r="J877" s="6" t="s">
        <v>9734</v>
      </c>
      <c r="K877" s="6" t="s">
        <v>10886</v>
      </c>
      <c r="L877" s="16" t="n">
        <v>41479</v>
      </c>
      <c r="M877" s="16" t="n">
        <v>46113</v>
      </c>
      <c r="N877" s="6" t="s">
        <v>10886</v>
      </c>
      <c r="O877" s="16" t="n">
        <v>41479</v>
      </c>
      <c r="P877" s="6" t="s">
        <v>10907</v>
      </c>
      <c r="Q877" s="6" t="s">
        <v>81</v>
      </c>
      <c r="R877" s="6" t="s">
        <v>12676</v>
      </c>
      <c r="S877" s="6" t="s">
        <v>10886</v>
      </c>
      <c r="T877" s="16" t="n">
        <v>41479</v>
      </c>
      <c r="U877" s="6" t="s">
        <v>13479</v>
      </c>
      <c r="V877" s="6" t="s">
        <v>81</v>
      </c>
      <c r="W877" s="6" t="s">
        <v>12676</v>
      </c>
      <c r="X877" s="6" t="s">
        <v>81</v>
      </c>
      <c r="Y877" s="21" t="s">
        <v>81</v>
      </c>
      <c r="Z877" s="6" t="s">
        <v>81</v>
      </c>
      <c r="AA877" s="6" t="s">
        <v>81</v>
      </c>
      <c r="AB877" s="6" t="s">
        <v>81</v>
      </c>
      <c r="AC877" s="6" t="s">
        <v>81</v>
      </c>
      <c r="AD877" s="21" t="s">
        <v>81</v>
      </c>
      <c r="AE877" s="6" t="s">
        <v>81</v>
      </c>
      <c r="AF877" s="6" t="s">
        <v>81</v>
      </c>
      <c r="AG877" s="6" t="s">
        <v>81</v>
      </c>
      <c r="AH877" s="6" t="s">
        <v>15457</v>
      </c>
      <c r="AI877" s="6" t="s">
        <v>81</v>
      </c>
      <c r="AJ877" s="6" t="s">
        <v>17315</v>
      </c>
      <c r="AK877" s="6" t="s">
        <v>18379</v>
      </c>
      <c r="AL877" s="6" t="s">
        <v>18444</v>
      </c>
      <c r="AM877" s="6" t="s">
        <v>18467</v>
      </c>
      <c r="AN877" s="6" t="s">
        <v>19637</v>
      </c>
      <c r="AO877" s="6" t="s">
        <v>19723</v>
      </c>
      <c r="AP877" s="6" t="s">
        <v>81</v>
      </c>
      <c r="AQ877" s="6" t="s">
        <v>81</v>
      </c>
      <c r="AR877" s="6" t="s">
        <v>81</v>
      </c>
      <c r="AS877" s="6" t="s">
        <v>81</v>
      </c>
      <c r="AT877" s="6" t="s">
        <v>81</v>
      </c>
      <c r="AU877" s="6" t="s">
        <v>81</v>
      </c>
      <c r="AV877" s="6" t="s">
        <v>81</v>
      </c>
      <c r="AW877" s="6" t="s">
        <v>81</v>
      </c>
      <c r="AX877" s="6" t="s">
        <v>81</v>
      </c>
      <c r="AY877" s="6" t="s">
        <v>81</v>
      </c>
      <c r="AZ877" s="6" t="s">
        <v>81</v>
      </c>
      <c r="BA877" s="6" t="s">
        <v>81</v>
      </c>
      <c r="BB877" s="24" t="n">
        <v>87</v>
      </c>
      <c r="BC877" s="26"/>
      <c r="BD877" s="26"/>
      <c r="BE877" s="26"/>
      <c r="BF877" s="26"/>
      <c r="BG877" s="26"/>
      <c r="BH877" s="26"/>
      <c r="BI877" s="26"/>
      <c r="BJ877" s="26"/>
      <c r="BK877" s="26"/>
      <c r="BL877" s="26"/>
      <c r="BM877" s="26"/>
      <c r="BN877" s="26"/>
      <c r="BO877" s="26"/>
      <c r="BP877" s="16" t="n">
        <v>45738</v>
      </c>
      <c r="BQ877" s="28" t="str">
        <f>HYPERLINK("https://organic.ams.usda.gov/Integrity/Certificate.aspx?cid=52&amp;nopid=8431300510")</f>
        <v>https://organic.ams.usda.gov/Integrity/Certificate.aspx?cid=52&amp;nopid=8431300510</v>
      </c>
    </row>
    <row r="878">
      <c r="A878" t="s">
        <v>3</v>
      </c>
      <c r="B878" s="6" t="s">
        <v>9</v>
      </c>
      <c r="C878" s="6" t="s">
        <v>56</v>
      </c>
      <c r="D878" s="6" t="s">
        <v>102</v>
      </c>
      <c r="E878" s="10" t="s">
        <v>1019</v>
      </c>
      <c r="F878" s="6" t="s">
        <v>3748</v>
      </c>
      <c r="G878" s="6" t="s">
        <v>81</v>
      </c>
      <c r="H878" s="6" t="s">
        <v>6697</v>
      </c>
      <c r="I878" s="6" t="s">
        <v>81</v>
      </c>
      <c r="J878" s="6" t="s">
        <v>81</v>
      </c>
      <c r="K878" s="6" t="s">
        <v>10886</v>
      </c>
      <c r="L878" s="16" t="n">
        <v>42366</v>
      </c>
      <c r="M878" s="16" t="n">
        <v>45748</v>
      </c>
      <c r="N878" s="6" t="s">
        <v>10886</v>
      </c>
      <c r="O878" s="16" t="n">
        <v>42366</v>
      </c>
      <c r="P878" s="6" t="s">
        <v>11394</v>
      </c>
      <c r="Q878" s="6" t="s">
        <v>81</v>
      </c>
      <c r="R878" s="6" t="s">
        <v>12677</v>
      </c>
      <c r="S878" s="6" t="s">
        <v>10886</v>
      </c>
      <c r="T878" s="16" t="n">
        <v>42366</v>
      </c>
      <c r="U878" s="6" t="s">
        <v>13168</v>
      </c>
      <c r="V878" s="6" t="s">
        <v>81</v>
      </c>
      <c r="W878" s="6" t="s">
        <v>12677</v>
      </c>
      <c r="X878" s="6" t="s">
        <v>81</v>
      </c>
      <c r="Y878" s="21" t="s">
        <v>81</v>
      </c>
      <c r="Z878" s="6" t="s">
        <v>81</v>
      </c>
      <c r="AA878" s="6" t="s">
        <v>81</v>
      </c>
      <c r="AB878" s="6" t="s">
        <v>81</v>
      </c>
      <c r="AC878" s="6" t="s">
        <v>81</v>
      </c>
      <c r="AD878" s="21" t="s">
        <v>81</v>
      </c>
      <c r="AE878" s="6" t="s">
        <v>81</v>
      </c>
      <c r="AF878" s="6" t="s">
        <v>81</v>
      </c>
      <c r="AG878" s="6" t="s">
        <v>81</v>
      </c>
      <c r="AH878" s="6" t="s">
        <v>15458</v>
      </c>
      <c r="AI878" s="6" t="s">
        <v>81</v>
      </c>
      <c r="AJ878" s="6" t="s">
        <v>17786</v>
      </c>
      <c r="AK878" s="6" t="s">
        <v>18378</v>
      </c>
      <c r="AL878" s="6" t="s">
        <v>18444</v>
      </c>
      <c r="AM878" s="6" t="s">
        <v>18961</v>
      </c>
      <c r="AN878" s="6" t="s">
        <v>19673</v>
      </c>
      <c r="AO878" s="6" t="s">
        <v>19786</v>
      </c>
      <c r="AP878" s="6" t="s">
        <v>81</v>
      </c>
      <c r="AQ878" s="6" t="s">
        <v>81</v>
      </c>
      <c r="AR878" s="6" t="s">
        <v>81</v>
      </c>
      <c r="AS878" s="6" t="s">
        <v>81</v>
      </c>
      <c r="AT878" s="6" t="s">
        <v>81</v>
      </c>
      <c r="AU878" s="6" t="s">
        <v>81</v>
      </c>
      <c r="AV878" s="6" t="s">
        <v>81</v>
      </c>
      <c r="AW878" s="6" t="s">
        <v>81</v>
      </c>
      <c r="AX878" s="6" t="s">
        <v>81</v>
      </c>
      <c r="AY878" s="6" t="s">
        <v>81</v>
      </c>
      <c r="AZ878" s="6" t="s">
        <v>81</v>
      </c>
      <c r="BA878" s="6" t="s">
        <v>81</v>
      </c>
      <c r="BB878" s="24" t="n">
        <v>76</v>
      </c>
      <c r="BC878" s="26"/>
      <c r="BD878" s="26"/>
      <c r="BE878" s="26"/>
      <c r="BF878" s="26"/>
      <c r="BG878" s="26"/>
      <c r="BH878" s="26"/>
      <c r="BI878" s="26"/>
      <c r="BJ878" s="26"/>
      <c r="BK878" s="26"/>
      <c r="BL878" s="26"/>
      <c r="BM878" s="26"/>
      <c r="BN878" s="26"/>
      <c r="BO878" s="26"/>
      <c r="BP878" s="16" t="n">
        <v>45738</v>
      </c>
      <c r="BQ878" s="28" t="str">
        <f>HYPERLINK("https://organic.ams.usda.gov/Integrity/Certificate.aspx?cid=52&amp;nopid=8431501132")</f>
        <v>https://organic.ams.usda.gov/Integrity/Certificate.aspx?cid=52&amp;nopid=8431501132</v>
      </c>
    </row>
    <row r="879">
      <c r="A879" t="s">
        <v>3</v>
      </c>
      <c r="B879" s="6" t="s">
        <v>7</v>
      </c>
      <c r="C879" s="6" t="s">
        <v>54</v>
      </c>
      <c r="D879" s="6" t="s">
        <v>100</v>
      </c>
      <c r="E879" s="10" t="s">
        <v>1020</v>
      </c>
      <c r="F879" s="6" t="s">
        <v>3749</v>
      </c>
      <c r="G879" s="6" t="s">
        <v>81</v>
      </c>
      <c r="H879" s="6" t="s">
        <v>6698</v>
      </c>
      <c r="I879" s="6" t="s">
        <v>8909</v>
      </c>
      <c r="J879" s="6" t="s">
        <v>9665</v>
      </c>
      <c r="K879" s="6" t="s">
        <v>10886</v>
      </c>
      <c r="L879" s="16" t="n">
        <v>38022</v>
      </c>
      <c r="M879" s="16" t="n">
        <v>45716</v>
      </c>
      <c r="N879" s="6" t="s">
        <v>10886</v>
      </c>
      <c r="O879" s="16" t="n">
        <v>38022</v>
      </c>
      <c r="P879" s="6" t="s">
        <v>11422</v>
      </c>
      <c r="Q879" s="6" t="s">
        <v>81</v>
      </c>
      <c r="R879" s="6" t="s">
        <v>81</v>
      </c>
      <c r="S879" s="6" t="s">
        <v>10886</v>
      </c>
      <c r="T879" s="16" t="n">
        <v>38078</v>
      </c>
      <c r="U879" s="6" t="s">
        <v>13225</v>
      </c>
      <c r="V879" s="6" t="s">
        <v>81</v>
      </c>
      <c r="W879" s="6" t="s">
        <v>81</v>
      </c>
      <c r="X879" s="6" t="s">
        <v>81</v>
      </c>
      <c r="Y879" s="21" t="s">
        <v>81</v>
      </c>
      <c r="Z879" s="6" t="s">
        <v>81</v>
      </c>
      <c r="AA879" s="6" t="s">
        <v>81</v>
      </c>
      <c r="AB879" s="6" t="s">
        <v>81</v>
      </c>
      <c r="AC879" s="6" t="s">
        <v>81</v>
      </c>
      <c r="AD879" s="21" t="s">
        <v>81</v>
      </c>
      <c r="AE879" s="6" t="s">
        <v>81</v>
      </c>
      <c r="AF879" s="6" t="s">
        <v>81</v>
      </c>
      <c r="AG879" s="6" t="s">
        <v>81</v>
      </c>
      <c r="AH879" s="6" t="s">
        <v>15459</v>
      </c>
      <c r="AI879" s="6" t="s">
        <v>81</v>
      </c>
      <c r="AJ879" s="6" t="s">
        <v>17653</v>
      </c>
      <c r="AK879" s="6" t="s">
        <v>17712</v>
      </c>
      <c r="AL879" s="6" t="s">
        <v>18444</v>
      </c>
      <c r="AM879" s="6" t="s">
        <v>18822</v>
      </c>
      <c r="AN879" s="6" t="s">
        <v>19662</v>
      </c>
      <c r="AO879" s="6" t="s">
        <v>19762</v>
      </c>
      <c r="AP879" s="6" t="s">
        <v>15459</v>
      </c>
      <c r="AQ879" s="6" t="s">
        <v>81</v>
      </c>
      <c r="AR879" s="6" t="s">
        <v>17653</v>
      </c>
      <c r="AS879" s="6" t="s">
        <v>17712</v>
      </c>
      <c r="AT879" s="6" t="s">
        <v>18444</v>
      </c>
      <c r="AU879" s="6" t="s">
        <v>18822</v>
      </c>
      <c r="AV879" s="6" t="s">
        <v>81</v>
      </c>
      <c r="AW879" s="6" t="s">
        <v>81</v>
      </c>
      <c r="AX879" s="6" t="s">
        <v>21305</v>
      </c>
      <c r="AY879" s="6" t="s">
        <v>81</v>
      </c>
      <c r="AZ879" s="6" t="s">
        <v>81</v>
      </c>
      <c r="BA879" s="6" t="s">
        <v>81</v>
      </c>
      <c r="BB879" s="24" t="n">
        <v>98</v>
      </c>
      <c r="BC879" s="26"/>
      <c r="BD879" s="26"/>
      <c r="BE879" s="26"/>
      <c r="BF879" s="26" t="s">
        <v>23900</v>
      </c>
      <c r="BG879" s="26"/>
      <c r="BH879" s="26"/>
      <c r="BI879" s="26"/>
      <c r="BJ879" s="26"/>
      <c r="BK879" s="26"/>
      <c r="BL879" s="26"/>
      <c r="BM879" s="26"/>
      <c r="BN879" s="26"/>
      <c r="BO879" s="26"/>
      <c r="BP879" s="16" t="n">
        <v>45630</v>
      </c>
      <c r="BQ879" s="28" t="str">
        <f>HYPERLINK("https://organic.ams.usda.gov/Integrity/Certificate.aspx?cid=57&amp;nopid=3250200401")</f>
        <v>https://organic.ams.usda.gov/Integrity/Certificate.aspx?cid=57&amp;nopid=3250200401</v>
      </c>
    </row>
    <row r="880">
      <c r="A880" t="s">
        <v>3</v>
      </c>
      <c r="B880" s="6" t="s">
        <v>20</v>
      </c>
      <c r="C880" s="6" t="s">
        <v>67</v>
      </c>
      <c r="D880" s="6" t="s">
        <v>113</v>
      </c>
      <c r="E880" s="10" t="s">
        <v>1021</v>
      </c>
      <c r="F880" s="6" t="s">
        <v>3750</v>
      </c>
      <c r="G880" s="6" t="s">
        <v>81</v>
      </c>
      <c r="H880" s="6" t="s">
        <v>6699</v>
      </c>
      <c r="I880" s="6" t="s">
        <v>8792</v>
      </c>
      <c r="J880" s="6" t="s">
        <v>10099</v>
      </c>
      <c r="K880" s="6" t="s">
        <v>10886</v>
      </c>
      <c r="L880" s="16" t="n">
        <v>43747</v>
      </c>
      <c r="M880" s="16" t="n">
        <v>45735</v>
      </c>
      <c r="N880" s="6" t="s">
        <v>81</v>
      </c>
      <c r="O880" s="21" t="s">
        <v>81</v>
      </c>
      <c r="P880" s="6" t="s">
        <v>81</v>
      </c>
      <c r="Q880" s="6" t="s">
        <v>81</v>
      </c>
      <c r="R880" s="6" t="s">
        <v>81</v>
      </c>
      <c r="S880" s="6" t="s">
        <v>81</v>
      </c>
      <c r="T880" s="21" t="s">
        <v>81</v>
      </c>
      <c r="U880" s="6" t="s">
        <v>81</v>
      </c>
      <c r="V880" s="6" t="s">
        <v>81</v>
      </c>
      <c r="W880" s="6" t="s">
        <v>81</v>
      </c>
      <c r="X880" s="6" t="s">
        <v>81</v>
      </c>
      <c r="Y880" s="21" t="s">
        <v>81</v>
      </c>
      <c r="Z880" s="6" t="s">
        <v>81</v>
      </c>
      <c r="AA880" s="6" t="s">
        <v>81</v>
      </c>
      <c r="AB880" s="6" t="s">
        <v>81</v>
      </c>
      <c r="AC880" s="6" t="s">
        <v>10886</v>
      </c>
      <c r="AD880" s="16" t="n">
        <v>43747</v>
      </c>
      <c r="AE880" s="6" t="s">
        <v>14177</v>
      </c>
      <c r="AF880" s="6" t="s">
        <v>81</v>
      </c>
      <c r="AG880" s="6" t="s">
        <v>14546</v>
      </c>
      <c r="AH880" s="6" t="s">
        <v>15460</v>
      </c>
      <c r="AI880" s="6" t="s">
        <v>81</v>
      </c>
      <c r="AJ880" s="6" t="s">
        <v>17395</v>
      </c>
      <c r="AK880" s="6" t="s">
        <v>18385</v>
      </c>
      <c r="AL880" s="6" t="s">
        <v>18444</v>
      </c>
      <c r="AM880" s="6" t="s">
        <v>18962</v>
      </c>
      <c r="AN880" s="6" t="s">
        <v>19670</v>
      </c>
      <c r="AO880" s="6" t="s">
        <v>19934</v>
      </c>
      <c r="AP880" s="6" t="s">
        <v>15460</v>
      </c>
      <c r="AQ880" s="6" t="s">
        <v>81</v>
      </c>
      <c r="AR880" s="6" t="s">
        <v>17395</v>
      </c>
      <c r="AS880" s="6" t="s">
        <v>18385</v>
      </c>
      <c r="AT880" s="6" t="s">
        <v>18444</v>
      </c>
      <c r="AU880" s="6" t="s">
        <v>18962</v>
      </c>
      <c r="AV880" s="6" t="s">
        <v>81</v>
      </c>
      <c r="AW880" s="6" t="s">
        <v>81</v>
      </c>
      <c r="AX880" s="6" t="s">
        <v>21306</v>
      </c>
      <c r="AY880" s="6" t="s">
        <v>22872</v>
      </c>
      <c r="AZ880" s="6" t="s">
        <v>23651</v>
      </c>
      <c r="BA880" s="6" t="s">
        <v>81</v>
      </c>
      <c r="BB880" s="6" t="s">
        <v>81</v>
      </c>
      <c r="BC880" s="26"/>
      <c r="BD880" s="26"/>
      <c r="BE880" s="26"/>
      <c r="BF880" s="26"/>
      <c r="BG880" s="26"/>
      <c r="BH880" s="26"/>
      <c r="BI880" s="26"/>
      <c r="BJ880" s="26"/>
      <c r="BK880" s="26"/>
      <c r="BL880" s="26"/>
      <c r="BM880" s="26"/>
      <c r="BN880" s="26"/>
      <c r="BO880" s="26"/>
      <c r="BP880" s="16" t="n">
        <v>45737</v>
      </c>
      <c r="BQ880" s="28" t="str">
        <f>HYPERLINK("https://organic.ams.usda.gov/Integrity/Certificate.aspx?cid=71&amp;nopid=5520506071")</f>
        <v>https://organic.ams.usda.gov/Integrity/Certificate.aspx?cid=71&amp;nopid=5520506071</v>
      </c>
    </row>
    <row r="881">
      <c r="A881" t="s">
        <v>3</v>
      </c>
      <c r="B881" s="6" t="s">
        <v>8</v>
      </c>
      <c r="C881" s="6" t="s">
        <v>55</v>
      </c>
      <c r="D881" s="6" t="s">
        <v>101</v>
      </c>
      <c r="E881" s="10" t="s">
        <v>1022</v>
      </c>
      <c r="F881" s="6" t="s">
        <v>3751</v>
      </c>
      <c r="G881" s="6" t="s">
        <v>81</v>
      </c>
      <c r="H881" s="6" t="s">
        <v>6700</v>
      </c>
      <c r="I881" s="6" t="s">
        <v>8412</v>
      </c>
      <c r="J881" s="6" t="s">
        <v>10100</v>
      </c>
      <c r="K881" s="6" t="s">
        <v>10886</v>
      </c>
      <c r="L881" s="16" t="n">
        <v>41187</v>
      </c>
      <c r="M881" s="16" t="n">
        <v>45748</v>
      </c>
      <c r="N881" s="6" t="s">
        <v>10886</v>
      </c>
      <c r="O881" s="16" t="n">
        <v>41187</v>
      </c>
      <c r="P881" s="6" t="s">
        <v>11423</v>
      </c>
      <c r="Q881" s="6" t="s">
        <v>81</v>
      </c>
      <c r="R881" s="6" t="s">
        <v>6700</v>
      </c>
      <c r="S881" s="6" t="s">
        <v>10886</v>
      </c>
      <c r="T881" s="16" t="n">
        <v>41187</v>
      </c>
      <c r="U881" s="6" t="s">
        <v>13161</v>
      </c>
      <c r="V881" s="6" t="s">
        <v>81</v>
      </c>
      <c r="W881" s="6" t="s">
        <v>6700</v>
      </c>
      <c r="X881" s="6" t="s">
        <v>81</v>
      </c>
      <c r="Y881" s="21" t="s">
        <v>81</v>
      </c>
      <c r="Z881" s="6" t="s">
        <v>81</v>
      </c>
      <c r="AA881" s="6" t="s">
        <v>81</v>
      </c>
      <c r="AB881" s="6" t="s">
        <v>81</v>
      </c>
      <c r="AC881" s="6" t="s">
        <v>81</v>
      </c>
      <c r="AD881" s="21" t="s">
        <v>81</v>
      </c>
      <c r="AE881" s="6" t="s">
        <v>81</v>
      </c>
      <c r="AF881" s="6" t="s">
        <v>81</v>
      </c>
      <c r="AG881" s="6" t="s">
        <v>81</v>
      </c>
      <c r="AH881" s="6" t="s">
        <v>15461</v>
      </c>
      <c r="AI881" s="6" t="s">
        <v>81</v>
      </c>
      <c r="AJ881" s="6" t="s">
        <v>17787</v>
      </c>
      <c r="AK881" s="6" t="s">
        <v>18419</v>
      </c>
      <c r="AL881" s="6" t="s">
        <v>18444</v>
      </c>
      <c r="AM881" s="6" t="s">
        <v>18963</v>
      </c>
      <c r="AN881" s="6" t="s">
        <v>8053</v>
      </c>
      <c r="AO881" s="6" t="s">
        <v>19737</v>
      </c>
      <c r="AP881" s="6" t="s">
        <v>20218</v>
      </c>
      <c r="AQ881" s="6" t="s">
        <v>81</v>
      </c>
      <c r="AR881" s="6" t="s">
        <v>20524</v>
      </c>
      <c r="AS881" s="6" t="s">
        <v>18419</v>
      </c>
      <c r="AT881" s="6" t="s">
        <v>18444</v>
      </c>
      <c r="AU881" s="6" t="s">
        <v>20641</v>
      </c>
      <c r="AV881" s="6" t="s">
        <v>81</v>
      </c>
      <c r="AW881" s="6" t="s">
        <v>81</v>
      </c>
      <c r="AX881" s="6" t="s">
        <v>81</v>
      </c>
      <c r="AY881" s="6" t="s">
        <v>22873</v>
      </c>
      <c r="AZ881" s="6" t="s">
        <v>81</v>
      </c>
      <c r="BA881" s="6" t="s">
        <v>23819</v>
      </c>
      <c r="BB881" s="24" t="n">
        <v>421</v>
      </c>
      <c r="BC881" s="26"/>
      <c r="BD881" s="26"/>
      <c r="BE881" s="26"/>
      <c r="BF881" s="26"/>
      <c r="BG881" s="26"/>
      <c r="BH881" s="26"/>
      <c r="BI881" s="26"/>
      <c r="BJ881" s="26"/>
      <c r="BK881" s="26"/>
      <c r="BL881" s="26"/>
      <c r="BM881" s="26"/>
      <c r="BN881" s="26"/>
      <c r="BO881" s="26"/>
      <c r="BP881" s="16" t="n">
        <v>45617</v>
      </c>
      <c r="BQ881" s="28" t="str">
        <f>HYPERLINK("https://organic.ams.usda.gov/Integrity/Certificate.aspx?cid=45&amp;nopid=9950004927")</f>
        <v>https://organic.ams.usda.gov/Integrity/Certificate.aspx?cid=45&amp;nopid=9950004927</v>
      </c>
    </row>
    <row r="882">
      <c r="A882" t="s">
        <v>3</v>
      </c>
      <c r="B882" s="6" t="s">
        <v>25</v>
      </c>
      <c r="C882" s="6" t="s">
        <v>72</v>
      </c>
      <c r="D882" s="6" t="s">
        <v>118</v>
      </c>
      <c r="E882" s="10" t="s">
        <v>1023</v>
      </c>
      <c r="F882" s="6" t="s">
        <v>3752</v>
      </c>
      <c r="G882" s="6" t="s">
        <v>5673</v>
      </c>
      <c r="H882" s="6" t="s">
        <v>6701</v>
      </c>
      <c r="I882" s="6" t="s">
        <v>8910</v>
      </c>
      <c r="J882" s="6" t="s">
        <v>10101</v>
      </c>
      <c r="K882" s="6" t="s">
        <v>10886</v>
      </c>
      <c r="L882" s="16" t="n">
        <v>41906</v>
      </c>
      <c r="M882" s="16" t="n">
        <v>46023</v>
      </c>
      <c r="N882" s="6" t="s">
        <v>81</v>
      </c>
      <c r="O882" s="21" t="s">
        <v>81</v>
      </c>
      <c r="P882" s="6" t="s">
        <v>81</v>
      </c>
      <c r="Q882" s="6" t="s">
        <v>81</v>
      </c>
      <c r="R882" s="6" t="s">
        <v>81</v>
      </c>
      <c r="S882" s="6" t="s">
        <v>81</v>
      </c>
      <c r="T882" s="21" t="s">
        <v>81</v>
      </c>
      <c r="U882" s="6" t="s">
        <v>81</v>
      </c>
      <c r="V882" s="6" t="s">
        <v>81</v>
      </c>
      <c r="W882" s="6" t="s">
        <v>81</v>
      </c>
      <c r="X882" s="6" t="s">
        <v>81</v>
      </c>
      <c r="Y882" s="21" t="s">
        <v>81</v>
      </c>
      <c r="Z882" s="6" t="s">
        <v>81</v>
      </c>
      <c r="AA882" s="6" t="s">
        <v>81</v>
      </c>
      <c r="AB882" s="6" t="s">
        <v>81</v>
      </c>
      <c r="AC882" s="6" t="s">
        <v>10886</v>
      </c>
      <c r="AD882" s="16" t="n">
        <v>41906</v>
      </c>
      <c r="AE882" s="6" t="s">
        <v>14178</v>
      </c>
      <c r="AF882" s="6" t="s">
        <v>81</v>
      </c>
      <c r="AG882" s="6" t="s">
        <v>81</v>
      </c>
      <c r="AH882" s="6" t="s">
        <v>15462</v>
      </c>
      <c r="AI882" s="6" t="s">
        <v>81</v>
      </c>
      <c r="AJ882" s="6" t="s">
        <v>17788</v>
      </c>
      <c r="AK882" s="6" t="s">
        <v>18386</v>
      </c>
      <c r="AL882" s="6" t="s">
        <v>18444</v>
      </c>
      <c r="AM882" s="6" t="s">
        <v>18964</v>
      </c>
      <c r="AN882" s="6" t="s">
        <v>19643</v>
      </c>
      <c r="AO882" s="6" t="s">
        <v>19758</v>
      </c>
      <c r="AP882" s="6" t="s">
        <v>20219</v>
      </c>
      <c r="AQ882" s="6" t="s">
        <v>20477</v>
      </c>
      <c r="AR882" s="6" t="s">
        <v>17632</v>
      </c>
      <c r="AS882" s="6" t="s">
        <v>18386</v>
      </c>
      <c r="AT882" s="6" t="s">
        <v>18444</v>
      </c>
      <c r="AU882" s="6" t="s">
        <v>20642</v>
      </c>
      <c r="AV882" s="6" t="s">
        <v>81</v>
      </c>
      <c r="AW882" s="6" t="s">
        <v>81</v>
      </c>
      <c r="AX882" s="6" t="s">
        <v>21307</v>
      </c>
      <c r="AY882" s="6" t="s">
        <v>22874</v>
      </c>
      <c r="AZ882" s="6" t="s">
        <v>23652</v>
      </c>
      <c r="BA882" s="6" t="s">
        <v>23856</v>
      </c>
      <c r="BB882" s="6" t="s">
        <v>81</v>
      </c>
      <c r="BC882" s="26"/>
      <c r="BD882" s="26"/>
      <c r="BE882" s="26"/>
      <c r="BF882" s="26"/>
      <c r="BG882" s="26"/>
      <c r="BH882" s="26"/>
      <c r="BI882" s="26"/>
      <c r="BJ882" s="26"/>
      <c r="BK882" s="26"/>
      <c r="BL882" s="26"/>
      <c r="BM882" s="26"/>
      <c r="BN882" s="26"/>
      <c r="BO882" s="26"/>
      <c r="BP882" s="16" t="n">
        <v>45667</v>
      </c>
      <c r="BQ882" s="28" t="str">
        <f>HYPERLINK("https://organic.ams.usda.gov/Integrity/Certificate.aspx?cid=15&amp;nopid=5561001956")</f>
        <v>https://organic.ams.usda.gov/Integrity/Certificate.aspx?cid=15&amp;nopid=5561001956</v>
      </c>
    </row>
    <row r="883">
      <c r="A883" t="s">
        <v>3</v>
      </c>
      <c r="B883" s="6" t="s">
        <v>10</v>
      </c>
      <c r="C883" s="6" t="s">
        <v>57</v>
      </c>
      <c r="D883" s="6" t="s">
        <v>103</v>
      </c>
      <c r="E883" s="10" t="s">
        <v>1024</v>
      </c>
      <c r="F883" s="6" t="s">
        <v>3753</v>
      </c>
      <c r="G883" s="6" t="s">
        <v>81</v>
      </c>
      <c r="H883" s="6" t="s">
        <v>6702</v>
      </c>
      <c r="I883" s="6" t="s">
        <v>8911</v>
      </c>
      <c r="J883" s="6" t="s">
        <v>10102</v>
      </c>
      <c r="K883" s="6" t="s">
        <v>10886</v>
      </c>
      <c r="L883" s="16" t="n">
        <v>40009</v>
      </c>
      <c r="M883" s="16" t="n">
        <v>45748</v>
      </c>
      <c r="N883" s="6" t="s">
        <v>10886</v>
      </c>
      <c r="O883" s="16" t="n">
        <v>40009</v>
      </c>
      <c r="P883" s="6" t="s">
        <v>11424</v>
      </c>
      <c r="Q883" s="6" t="s">
        <v>81</v>
      </c>
      <c r="R883" s="6" t="s">
        <v>12678</v>
      </c>
      <c r="S883" s="6" t="s">
        <v>10886</v>
      </c>
      <c r="T883" s="16" t="n">
        <v>40009</v>
      </c>
      <c r="U883" s="6" t="s">
        <v>13163</v>
      </c>
      <c r="V883" s="6" t="s">
        <v>81</v>
      </c>
      <c r="W883" s="6" t="s">
        <v>81</v>
      </c>
      <c r="X883" s="6" t="s">
        <v>81</v>
      </c>
      <c r="Y883" s="21" t="s">
        <v>81</v>
      </c>
      <c r="Z883" s="6" t="s">
        <v>81</v>
      </c>
      <c r="AA883" s="6" t="s">
        <v>81</v>
      </c>
      <c r="AB883" s="6" t="s">
        <v>81</v>
      </c>
      <c r="AC883" s="6" t="s">
        <v>81</v>
      </c>
      <c r="AD883" s="21" t="s">
        <v>81</v>
      </c>
      <c r="AE883" s="6" t="s">
        <v>81</v>
      </c>
      <c r="AF883" s="6" t="s">
        <v>81</v>
      </c>
      <c r="AG883" s="6" t="s">
        <v>81</v>
      </c>
      <c r="AH883" s="6" t="s">
        <v>15463</v>
      </c>
      <c r="AI883" s="6" t="s">
        <v>81</v>
      </c>
      <c r="AJ883" s="6" t="s">
        <v>17645</v>
      </c>
      <c r="AK883" s="6" t="s">
        <v>18379</v>
      </c>
      <c r="AL883" s="6" t="s">
        <v>18444</v>
      </c>
      <c r="AM883" s="6" t="s">
        <v>18965</v>
      </c>
      <c r="AN883" s="6" t="s">
        <v>81</v>
      </c>
      <c r="AO883" s="6" t="s">
        <v>81</v>
      </c>
      <c r="AP883" s="6" t="s">
        <v>15463</v>
      </c>
      <c r="AQ883" s="6" t="s">
        <v>81</v>
      </c>
      <c r="AR883" s="6" t="s">
        <v>17645</v>
      </c>
      <c r="AS883" s="6" t="s">
        <v>18379</v>
      </c>
      <c r="AT883" s="6" t="s">
        <v>18444</v>
      </c>
      <c r="AU883" s="6" t="s">
        <v>18965</v>
      </c>
      <c r="AV883" s="6" t="s">
        <v>81</v>
      </c>
      <c r="AW883" s="6" t="s">
        <v>81</v>
      </c>
      <c r="AX883" s="6" t="s">
        <v>21308</v>
      </c>
      <c r="AY883" s="6" t="s">
        <v>22875</v>
      </c>
      <c r="AZ883" s="6" t="s">
        <v>81</v>
      </c>
      <c r="BA883" s="6" t="s">
        <v>81</v>
      </c>
      <c r="BB883" s="24" t="n">
        <v>954</v>
      </c>
      <c r="BC883" s="26"/>
      <c r="BD883" s="26"/>
      <c r="BE883" s="26"/>
      <c r="BF883" s="26"/>
      <c r="BG883" s="26"/>
      <c r="BH883" s="26"/>
      <c r="BI883" s="26"/>
      <c r="BJ883" s="26"/>
      <c r="BK883" s="26"/>
      <c r="BL883" s="26"/>
      <c r="BM883" s="26"/>
      <c r="BN883" s="26"/>
      <c r="BO883" s="26"/>
      <c r="BP883" s="16" t="n">
        <v>45730</v>
      </c>
      <c r="BQ883" s="28" t="str">
        <f>HYPERLINK("https://organic.ams.usda.gov/Integrity/Certificate.aspx?cid=90&amp;nopid=7170240743")</f>
        <v>https://organic.ams.usda.gov/Integrity/Certificate.aspx?cid=90&amp;nopid=7170240743</v>
      </c>
    </row>
    <row r="884">
      <c r="A884" t="s">
        <v>3</v>
      </c>
      <c r="B884" s="6" t="s">
        <v>7</v>
      </c>
      <c r="C884" s="6" t="s">
        <v>54</v>
      </c>
      <c r="D884" s="6" t="s">
        <v>100</v>
      </c>
      <c r="E884" s="10" t="s">
        <v>1025</v>
      </c>
      <c r="F884" s="6" t="s">
        <v>3754</v>
      </c>
      <c r="G884" s="6" t="s">
        <v>81</v>
      </c>
      <c r="H884" s="6" t="s">
        <v>6703</v>
      </c>
      <c r="I884" s="6" t="s">
        <v>8912</v>
      </c>
      <c r="J884" s="6" t="s">
        <v>10103</v>
      </c>
      <c r="K884" s="6" t="s">
        <v>10886</v>
      </c>
      <c r="L884" s="16" t="n">
        <v>38868</v>
      </c>
      <c r="M884" s="16" t="n">
        <v>45716</v>
      </c>
      <c r="N884" s="6" t="s">
        <v>10886</v>
      </c>
      <c r="O884" s="16" t="n">
        <v>38868</v>
      </c>
      <c r="P884" s="6" t="s">
        <v>11252</v>
      </c>
      <c r="Q884" s="6" t="s">
        <v>81</v>
      </c>
      <c r="R884" s="6" t="s">
        <v>81</v>
      </c>
      <c r="S884" s="6" t="s">
        <v>10886</v>
      </c>
      <c r="T884" s="16" t="n">
        <v>38868</v>
      </c>
      <c r="U884" s="6" t="s">
        <v>13169</v>
      </c>
      <c r="V884" s="6" t="s">
        <v>81</v>
      </c>
      <c r="W884" s="6" t="s">
        <v>81</v>
      </c>
      <c r="X884" s="6" t="s">
        <v>81</v>
      </c>
      <c r="Y884" s="21" t="s">
        <v>81</v>
      </c>
      <c r="Z884" s="6" t="s">
        <v>81</v>
      </c>
      <c r="AA884" s="6" t="s">
        <v>81</v>
      </c>
      <c r="AB884" s="6" t="s">
        <v>81</v>
      </c>
      <c r="AC884" s="6" t="s">
        <v>81</v>
      </c>
      <c r="AD884" s="21" t="s">
        <v>81</v>
      </c>
      <c r="AE884" s="6" t="s">
        <v>81</v>
      </c>
      <c r="AF884" s="6" t="s">
        <v>81</v>
      </c>
      <c r="AG884" s="6" t="s">
        <v>81</v>
      </c>
      <c r="AH884" s="6" t="s">
        <v>15464</v>
      </c>
      <c r="AI884" s="6" t="s">
        <v>81</v>
      </c>
      <c r="AJ884" s="6" t="s">
        <v>17789</v>
      </c>
      <c r="AK884" s="6" t="s">
        <v>17712</v>
      </c>
      <c r="AL884" s="6" t="s">
        <v>18444</v>
      </c>
      <c r="AM884" s="6" t="s">
        <v>18966</v>
      </c>
      <c r="AN884" s="6" t="s">
        <v>7450</v>
      </c>
      <c r="AO884" s="6" t="s">
        <v>19897</v>
      </c>
      <c r="AP884" s="6" t="s">
        <v>20220</v>
      </c>
      <c r="AQ884" s="6" t="s">
        <v>81</v>
      </c>
      <c r="AR884" s="6" t="s">
        <v>17789</v>
      </c>
      <c r="AS884" s="6" t="s">
        <v>17712</v>
      </c>
      <c r="AT884" s="6" t="s">
        <v>18444</v>
      </c>
      <c r="AU884" s="6" t="s">
        <v>18966</v>
      </c>
      <c r="AV884" s="6" t="s">
        <v>81</v>
      </c>
      <c r="AW884" s="6" t="s">
        <v>81</v>
      </c>
      <c r="AX884" s="6" t="s">
        <v>21309</v>
      </c>
      <c r="AY884" s="6" t="s">
        <v>22876</v>
      </c>
      <c r="AZ884" s="6" t="s">
        <v>81</v>
      </c>
      <c r="BA884" s="6" t="s">
        <v>81</v>
      </c>
      <c r="BB884" s="24" t="n">
        <v>184</v>
      </c>
      <c r="BC884" s="26"/>
      <c r="BD884" s="26"/>
      <c r="BE884" s="26"/>
      <c r="BF884" s="26" t="s">
        <v>23900</v>
      </c>
      <c r="BG884" s="26"/>
      <c r="BH884" s="26"/>
      <c r="BI884" s="26"/>
      <c r="BJ884" s="26"/>
      <c r="BK884" s="26"/>
      <c r="BL884" s="26"/>
      <c r="BM884" s="26"/>
      <c r="BN884" s="26"/>
      <c r="BO884" s="26"/>
      <c r="BP884" s="16" t="n">
        <v>45595</v>
      </c>
      <c r="BQ884" s="28" t="str">
        <f>HYPERLINK("https://organic.ams.usda.gov/Integrity/Certificate.aspx?cid=57&amp;nopid=3250200604")</f>
        <v>https://organic.ams.usda.gov/Integrity/Certificate.aspx?cid=57&amp;nopid=3250200604</v>
      </c>
    </row>
    <row r="885">
      <c r="A885" t="s">
        <v>3</v>
      </c>
      <c r="B885" s="6" t="s">
        <v>7</v>
      </c>
      <c r="C885" s="6" t="s">
        <v>54</v>
      </c>
      <c r="D885" s="6" t="s">
        <v>100</v>
      </c>
      <c r="E885" s="10" t="s">
        <v>1026</v>
      </c>
      <c r="F885" s="6" t="s">
        <v>3755</v>
      </c>
      <c r="G885" s="6" t="s">
        <v>81</v>
      </c>
      <c r="H885" s="6" t="s">
        <v>6704</v>
      </c>
      <c r="I885" s="6" t="s">
        <v>8913</v>
      </c>
      <c r="J885" s="6" t="s">
        <v>10103</v>
      </c>
      <c r="K885" s="6" t="s">
        <v>10886</v>
      </c>
      <c r="L885" s="16" t="n">
        <v>39190</v>
      </c>
      <c r="M885" s="16" t="n">
        <v>45716</v>
      </c>
      <c r="N885" s="6" t="s">
        <v>10886</v>
      </c>
      <c r="O885" s="16" t="n">
        <v>39190</v>
      </c>
      <c r="P885" s="6" t="s">
        <v>11425</v>
      </c>
      <c r="Q885" s="6" t="s">
        <v>81</v>
      </c>
      <c r="R885" s="6" t="s">
        <v>81</v>
      </c>
      <c r="S885" s="6" t="s">
        <v>10886</v>
      </c>
      <c r="T885" s="16" t="n">
        <v>39239</v>
      </c>
      <c r="U885" s="6" t="s">
        <v>13480</v>
      </c>
      <c r="V885" s="6" t="s">
        <v>81</v>
      </c>
      <c r="W885" s="6" t="s">
        <v>81</v>
      </c>
      <c r="X885" s="6" t="s">
        <v>81</v>
      </c>
      <c r="Y885" s="21" t="s">
        <v>81</v>
      </c>
      <c r="Z885" s="6" t="s">
        <v>81</v>
      </c>
      <c r="AA885" s="6" t="s">
        <v>81</v>
      </c>
      <c r="AB885" s="6" t="s">
        <v>81</v>
      </c>
      <c r="AC885" s="6" t="s">
        <v>81</v>
      </c>
      <c r="AD885" s="21" t="s">
        <v>81</v>
      </c>
      <c r="AE885" s="6" t="s">
        <v>81</v>
      </c>
      <c r="AF885" s="6" t="s">
        <v>81</v>
      </c>
      <c r="AG885" s="6" t="s">
        <v>81</v>
      </c>
      <c r="AH885" s="6" t="s">
        <v>15465</v>
      </c>
      <c r="AI885" s="6" t="s">
        <v>81</v>
      </c>
      <c r="AJ885" s="6" t="s">
        <v>17790</v>
      </c>
      <c r="AK885" s="6" t="s">
        <v>18380</v>
      </c>
      <c r="AL885" s="6" t="s">
        <v>18444</v>
      </c>
      <c r="AM885" s="6" t="s">
        <v>18967</v>
      </c>
      <c r="AN885" s="6" t="s">
        <v>19660</v>
      </c>
      <c r="AO885" s="6" t="s">
        <v>19833</v>
      </c>
      <c r="AP885" s="6" t="s">
        <v>15465</v>
      </c>
      <c r="AQ885" s="6" t="s">
        <v>81</v>
      </c>
      <c r="AR885" s="6" t="s">
        <v>17790</v>
      </c>
      <c r="AS885" s="6" t="s">
        <v>18380</v>
      </c>
      <c r="AT885" s="6" t="s">
        <v>18444</v>
      </c>
      <c r="AU885" s="6" t="s">
        <v>18967</v>
      </c>
      <c r="AV885" s="6" t="s">
        <v>81</v>
      </c>
      <c r="AW885" s="6" t="s">
        <v>81</v>
      </c>
      <c r="AX885" s="6" t="s">
        <v>21310</v>
      </c>
      <c r="AY885" s="6" t="s">
        <v>22877</v>
      </c>
      <c r="AZ885" s="6" t="s">
        <v>81</v>
      </c>
      <c r="BA885" s="6" t="s">
        <v>81</v>
      </c>
      <c r="BB885" s="24" t="n">
        <v>267</v>
      </c>
      <c r="BC885" s="26"/>
      <c r="BD885" s="26"/>
      <c r="BE885" s="26"/>
      <c r="BF885" s="26" t="s">
        <v>23900</v>
      </c>
      <c r="BG885" s="26"/>
      <c r="BH885" s="26"/>
      <c r="BI885" s="26"/>
      <c r="BJ885" s="26"/>
      <c r="BK885" s="26"/>
      <c r="BL885" s="26"/>
      <c r="BM885" s="26"/>
      <c r="BN885" s="26"/>
      <c r="BO885" s="26"/>
      <c r="BP885" s="16" t="n">
        <v>45707</v>
      </c>
      <c r="BQ885" s="28" t="str">
        <f>HYPERLINK("https://organic.ams.usda.gov/Integrity/Certificate.aspx?cid=57&amp;nopid=3252006120")</f>
        <v>https://organic.ams.usda.gov/Integrity/Certificate.aspx?cid=57&amp;nopid=3252006120</v>
      </c>
    </row>
    <row r="886">
      <c r="A886" t="s">
        <v>3</v>
      </c>
      <c r="B886" s="6" t="s">
        <v>21</v>
      </c>
      <c r="C886" s="6" t="s">
        <v>68</v>
      </c>
      <c r="D886" s="6" t="s">
        <v>114</v>
      </c>
      <c r="E886" s="10" t="s">
        <v>1027</v>
      </c>
      <c r="F886" s="6" t="s">
        <v>3756</v>
      </c>
      <c r="G886" s="6" t="s">
        <v>81</v>
      </c>
      <c r="H886" s="6" t="s">
        <v>6705</v>
      </c>
      <c r="I886" s="6" t="s">
        <v>8914</v>
      </c>
      <c r="J886" s="6" t="s">
        <v>10104</v>
      </c>
      <c r="K886" s="6" t="s">
        <v>10886</v>
      </c>
      <c r="L886" s="16" t="n">
        <v>44832</v>
      </c>
      <c r="M886" s="16" t="n">
        <v>46023</v>
      </c>
      <c r="N886" s="6" t="s">
        <v>10886</v>
      </c>
      <c r="O886" s="16" t="n">
        <v>44832</v>
      </c>
      <c r="P886" s="6" t="s">
        <v>11426</v>
      </c>
      <c r="Q886" s="6" t="s">
        <v>81</v>
      </c>
      <c r="R886" s="6" t="s">
        <v>81</v>
      </c>
      <c r="S886" s="6" t="s">
        <v>10886</v>
      </c>
      <c r="T886" s="16" t="n">
        <v>44832</v>
      </c>
      <c r="U886" s="6" t="s">
        <v>13481</v>
      </c>
      <c r="V886" s="6" t="s">
        <v>81</v>
      </c>
      <c r="W886" s="6" t="s">
        <v>81</v>
      </c>
      <c r="X886" s="6" t="s">
        <v>81</v>
      </c>
      <c r="Y886" s="21" t="s">
        <v>81</v>
      </c>
      <c r="Z886" s="6" t="s">
        <v>81</v>
      </c>
      <c r="AA886" s="6" t="s">
        <v>81</v>
      </c>
      <c r="AB886" s="6" t="s">
        <v>81</v>
      </c>
      <c r="AC886" s="6" t="s">
        <v>10886</v>
      </c>
      <c r="AD886" s="16" t="n">
        <v>44832</v>
      </c>
      <c r="AE886" s="6" t="s">
        <v>14179</v>
      </c>
      <c r="AF886" s="6" t="s">
        <v>81</v>
      </c>
      <c r="AG886" s="6" t="s">
        <v>81</v>
      </c>
      <c r="AH886" s="6" t="s">
        <v>81</v>
      </c>
      <c r="AI886" s="6" t="s">
        <v>81</v>
      </c>
      <c r="AJ886" s="6" t="s">
        <v>81</v>
      </c>
      <c r="AK886" s="6" t="s">
        <v>81</v>
      </c>
      <c r="AL886" s="6" t="s">
        <v>81</v>
      </c>
      <c r="AM886" s="6" t="s">
        <v>81</v>
      </c>
      <c r="AN886" s="6" t="s">
        <v>81</v>
      </c>
      <c r="AO886" s="6" t="s">
        <v>81</v>
      </c>
      <c r="AP886" s="6" t="s">
        <v>20221</v>
      </c>
      <c r="AQ886" s="6" t="s">
        <v>81</v>
      </c>
      <c r="AR886" s="6" t="s">
        <v>17580</v>
      </c>
      <c r="AS886" s="6" t="s">
        <v>18393</v>
      </c>
      <c r="AT886" s="6" t="s">
        <v>18444</v>
      </c>
      <c r="AU886" s="6" t="s">
        <v>20643</v>
      </c>
      <c r="AV886" s="6" t="s">
        <v>19639</v>
      </c>
      <c r="AW886" s="6" t="s">
        <v>20730</v>
      </c>
      <c r="AX886" s="6" t="s">
        <v>21311</v>
      </c>
      <c r="AY886" s="6" t="s">
        <v>22878</v>
      </c>
      <c r="AZ886" s="6" t="s">
        <v>81</v>
      </c>
      <c r="BA886" s="6" t="s">
        <v>81</v>
      </c>
      <c r="BB886" s="24" t="n">
        <v>3584</v>
      </c>
      <c r="BC886" s="26"/>
      <c r="BD886" s="26"/>
      <c r="BE886" s="26"/>
      <c r="BF886" s="26" t="s">
        <v>23900</v>
      </c>
      <c r="BG886" s="26"/>
      <c r="BH886" s="26"/>
      <c r="BI886" s="26"/>
      <c r="BJ886" s="26"/>
      <c r="BK886" s="26"/>
      <c r="BL886" s="26"/>
      <c r="BM886" s="26"/>
      <c r="BN886" s="26"/>
      <c r="BO886" s="26"/>
      <c r="BP886" s="16" t="n">
        <v>45722</v>
      </c>
      <c r="BQ886" s="28" t="str">
        <f>HYPERLINK("https://organic.ams.usda.gov/Integrity/Certificate.aspx?cid=62&amp;nopid=8150020292")</f>
        <v>https://organic.ams.usda.gov/Integrity/Certificate.aspx?cid=62&amp;nopid=8150020292</v>
      </c>
    </row>
    <row r="887">
      <c r="A887" t="s">
        <v>3</v>
      </c>
      <c r="B887" s="6" t="s">
        <v>6</v>
      </c>
      <c r="C887" s="6" t="s">
        <v>53</v>
      </c>
      <c r="D887" s="6" t="s">
        <v>99</v>
      </c>
      <c r="E887" s="10" t="s">
        <v>1028</v>
      </c>
      <c r="F887" s="6" t="s">
        <v>3757</v>
      </c>
      <c r="G887" s="6" t="s">
        <v>81</v>
      </c>
      <c r="H887" s="6" t="s">
        <v>6706</v>
      </c>
      <c r="I887" s="6" t="s">
        <v>8915</v>
      </c>
      <c r="J887" s="6" t="s">
        <v>10105</v>
      </c>
      <c r="K887" s="6" t="s">
        <v>10886</v>
      </c>
      <c r="L887" s="16" t="n">
        <v>45422</v>
      </c>
      <c r="M887" s="16" t="n">
        <v>45766</v>
      </c>
      <c r="N887" s="6" t="s">
        <v>81</v>
      </c>
      <c r="O887" s="21" t="s">
        <v>81</v>
      </c>
      <c r="P887" s="6" t="s">
        <v>81</v>
      </c>
      <c r="Q887" s="6" t="s">
        <v>81</v>
      </c>
      <c r="R887" s="6" t="s">
        <v>81</v>
      </c>
      <c r="S887" s="6" t="s">
        <v>81</v>
      </c>
      <c r="T887" s="21" t="s">
        <v>81</v>
      </c>
      <c r="U887" s="6" t="s">
        <v>81</v>
      </c>
      <c r="V887" s="6" t="s">
        <v>81</v>
      </c>
      <c r="W887" s="6" t="s">
        <v>81</v>
      </c>
      <c r="X887" s="6" t="s">
        <v>81</v>
      </c>
      <c r="Y887" s="21" t="s">
        <v>81</v>
      </c>
      <c r="Z887" s="6" t="s">
        <v>81</v>
      </c>
      <c r="AA887" s="6" t="s">
        <v>81</v>
      </c>
      <c r="AB887" s="6" t="s">
        <v>81</v>
      </c>
      <c r="AC887" s="6" t="s">
        <v>10886</v>
      </c>
      <c r="AD887" s="16" t="n">
        <v>45422</v>
      </c>
      <c r="AE887" s="6" t="s">
        <v>14180</v>
      </c>
      <c r="AF887" s="6" t="s">
        <v>81</v>
      </c>
      <c r="AG887" s="6" t="s">
        <v>14547</v>
      </c>
      <c r="AH887" s="6" t="s">
        <v>15466</v>
      </c>
      <c r="AI887" s="6" t="s">
        <v>81</v>
      </c>
      <c r="AJ887" s="6" t="s">
        <v>17791</v>
      </c>
      <c r="AK887" s="6" t="s">
        <v>18382</v>
      </c>
      <c r="AL887" s="6" t="s">
        <v>18444</v>
      </c>
      <c r="AM887" s="6" t="s">
        <v>18968</v>
      </c>
      <c r="AN887" s="6" t="s">
        <v>81</v>
      </c>
      <c r="AO887" s="6" t="s">
        <v>81</v>
      </c>
      <c r="AP887" s="6" t="s">
        <v>81</v>
      </c>
      <c r="AQ887" s="6" t="s">
        <v>81</v>
      </c>
      <c r="AR887" s="6" t="s">
        <v>81</v>
      </c>
      <c r="AS887" s="6" t="s">
        <v>81</v>
      </c>
      <c r="AT887" s="6" t="s">
        <v>81</v>
      </c>
      <c r="AU887" s="6" t="s">
        <v>81</v>
      </c>
      <c r="AV887" s="6" t="s">
        <v>81</v>
      </c>
      <c r="AW887" s="6" t="s">
        <v>81</v>
      </c>
      <c r="AX887" s="6" t="s">
        <v>21312</v>
      </c>
      <c r="AY887" s="6" t="s">
        <v>22879</v>
      </c>
      <c r="AZ887" s="6" t="s">
        <v>81</v>
      </c>
      <c r="BA887" s="6" t="s">
        <v>81</v>
      </c>
      <c r="BB887" s="6" t="s">
        <v>81</v>
      </c>
      <c r="BC887" s="26"/>
      <c r="BD887" s="26"/>
      <c r="BE887" s="26"/>
      <c r="BF887" s="26"/>
      <c r="BG887" s="26"/>
      <c r="BH887" s="26"/>
      <c r="BI887" s="26"/>
      <c r="BJ887" s="26"/>
      <c r="BK887" s="26"/>
      <c r="BL887" s="26"/>
      <c r="BM887" s="26"/>
      <c r="BN887" s="26"/>
      <c r="BO887" s="26"/>
      <c r="BP887" s="16" t="n">
        <v>45737</v>
      </c>
      <c r="BQ887" s="28" t="str">
        <f>HYPERLINK("https://organic.ams.usda.gov/Integrity/Certificate.aspx?cid=32&amp;nopid=2230011314")</f>
        <v>https://organic.ams.usda.gov/Integrity/Certificate.aspx?cid=32&amp;nopid=2230011314</v>
      </c>
    </row>
    <row r="888">
      <c r="A888" t="s">
        <v>3</v>
      </c>
      <c r="B888" s="6" t="s">
        <v>19</v>
      </c>
      <c r="C888" s="6" t="s">
        <v>66</v>
      </c>
      <c r="D888" s="6" t="s">
        <v>112</v>
      </c>
      <c r="E888" s="10" t="s">
        <v>1029</v>
      </c>
      <c r="F888" s="6" t="s">
        <v>3758</v>
      </c>
      <c r="G888" s="6" t="s">
        <v>81</v>
      </c>
      <c r="H888" s="6" t="s">
        <v>6707</v>
      </c>
      <c r="I888" s="6" t="s">
        <v>81</v>
      </c>
      <c r="J888" s="6" t="s">
        <v>81</v>
      </c>
      <c r="K888" s="6" t="s">
        <v>10886</v>
      </c>
      <c r="L888" s="16" t="n">
        <v>43621</v>
      </c>
      <c r="M888" s="16" t="n">
        <v>45505</v>
      </c>
      <c r="N888" s="6" t="s">
        <v>10886</v>
      </c>
      <c r="O888" s="16" t="n">
        <v>43621</v>
      </c>
      <c r="P888" s="6" t="s">
        <v>11427</v>
      </c>
      <c r="Q888" s="6" t="s">
        <v>81</v>
      </c>
      <c r="R888" s="6" t="s">
        <v>81</v>
      </c>
      <c r="S888" s="6" t="s">
        <v>10886</v>
      </c>
      <c r="T888" s="16" t="n">
        <v>43621</v>
      </c>
      <c r="U888" s="6" t="s">
        <v>13482</v>
      </c>
      <c r="V888" s="6" t="s">
        <v>81</v>
      </c>
      <c r="W888" s="6" t="s">
        <v>81</v>
      </c>
      <c r="X888" s="6" t="s">
        <v>81</v>
      </c>
      <c r="Y888" s="21" t="s">
        <v>81</v>
      </c>
      <c r="Z888" s="6" t="s">
        <v>81</v>
      </c>
      <c r="AA888" s="6" t="s">
        <v>81</v>
      </c>
      <c r="AB888" s="6" t="s">
        <v>81</v>
      </c>
      <c r="AC888" s="6" t="s">
        <v>81</v>
      </c>
      <c r="AD888" s="21" t="s">
        <v>81</v>
      </c>
      <c r="AE888" s="6" t="s">
        <v>81</v>
      </c>
      <c r="AF888" s="6" t="s">
        <v>81</v>
      </c>
      <c r="AG888" s="6" t="s">
        <v>81</v>
      </c>
      <c r="AH888" s="6" t="s">
        <v>15467</v>
      </c>
      <c r="AI888" s="6" t="s">
        <v>81</v>
      </c>
      <c r="AJ888" s="6" t="s">
        <v>17792</v>
      </c>
      <c r="AK888" s="6" t="s">
        <v>18420</v>
      </c>
      <c r="AL888" s="6" t="s">
        <v>18451</v>
      </c>
      <c r="AM888" s="6" t="s">
        <v>18969</v>
      </c>
      <c r="AN888" s="6" t="s">
        <v>81</v>
      </c>
      <c r="AO888" s="6" t="s">
        <v>81</v>
      </c>
      <c r="AP888" s="6" t="s">
        <v>81</v>
      </c>
      <c r="AQ888" s="6" t="s">
        <v>81</v>
      </c>
      <c r="AR888" s="6" t="s">
        <v>81</v>
      </c>
      <c r="AS888" s="6" t="s">
        <v>81</v>
      </c>
      <c r="AT888" s="6" t="s">
        <v>81</v>
      </c>
      <c r="AU888" s="6" t="s">
        <v>81</v>
      </c>
      <c r="AV888" s="6" t="s">
        <v>81</v>
      </c>
      <c r="AW888" s="6" t="s">
        <v>81</v>
      </c>
      <c r="AX888" s="6" t="s">
        <v>81</v>
      </c>
      <c r="AY888" s="6" t="s">
        <v>22880</v>
      </c>
      <c r="AZ888" s="6" t="s">
        <v>81</v>
      </c>
      <c r="BA888" s="6" t="s">
        <v>81</v>
      </c>
      <c r="BB888" s="24" t="n">
        <v>3040</v>
      </c>
      <c r="BC888" s="26"/>
      <c r="BD888" s="26"/>
      <c r="BE888" s="26"/>
      <c r="BF888" s="26"/>
      <c r="BG888" s="26"/>
      <c r="BH888" s="26"/>
      <c r="BI888" s="26"/>
      <c r="BJ888" s="26"/>
      <c r="BK888" s="26"/>
      <c r="BL888" s="26"/>
      <c r="BM888" s="26"/>
      <c r="BN888" s="26"/>
      <c r="BO888" s="26"/>
      <c r="BP888" s="16" t="n">
        <v>45504</v>
      </c>
      <c r="BQ888" s="28" t="str">
        <f>HYPERLINK("https://organic.ams.usda.gov/Integrity/Certificate.aspx?cid=24&amp;nopid=7880013001")</f>
        <v>https://organic.ams.usda.gov/Integrity/Certificate.aspx?cid=24&amp;nopid=7880013001</v>
      </c>
    </row>
    <row r="889">
      <c r="A889" t="s">
        <v>3</v>
      </c>
      <c r="B889" s="6" t="s">
        <v>44</v>
      </c>
      <c r="C889" s="6" t="s">
        <v>91</v>
      </c>
      <c r="D889" s="6" t="s">
        <v>136</v>
      </c>
      <c r="E889" s="10" t="s">
        <v>1030</v>
      </c>
      <c r="F889" s="6" t="s">
        <v>3759</v>
      </c>
      <c r="G889" s="6" t="s">
        <v>81</v>
      </c>
      <c r="H889" s="6" t="s">
        <v>6708</v>
      </c>
      <c r="I889" s="6" t="s">
        <v>8916</v>
      </c>
      <c r="J889" s="6" t="s">
        <v>10106</v>
      </c>
      <c r="K889" s="6" t="s">
        <v>10886</v>
      </c>
      <c r="L889" s="16" t="n">
        <v>39163</v>
      </c>
      <c r="M889" s="16" t="n">
        <v>46103</v>
      </c>
      <c r="N889" s="6" t="s">
        <v>81</v>
      </c>
      <c r="O889" s="21" t="s">
        <v>81</v>
      </c>
      <c r="P889" s="6" t="s">
        <v>81</v>
      </c>
      <c r="Q889" s="6" t="s">
        <v>81</v>
      </c>
      <c r="R889" s="6" t="s">
        <v>81</v>
      </c>
      <c r="S889" s="6" t="s">
        <v>81</v>
      </c>
      <c r="T889" s="21" t="s">
        <v>81</v>
      </c>
      <c r="U889" s="6" t="s">
        <v>81</v>
      </c>
      <c r="V889" s="6" t="s">
        <v>81</v>
      </c>
      <c r="W889" s="6" t="s">
        <v>81</v>
      </c>
      <c r="X889" s="6" t="s">
        <v>81</v>
      </c>
      <c r="Y889" s="21" t="s">
        <v>81</v>
      </c>
      <c r="Z889" s="6" t="s">
        <v>81</v>
      </c>
      <c r="AA889" s="6" t="s">
        <v>81</v>
      </c>
      <c r="AB889" s="6" t="s">
        <v>81</v>
      </c>
      <c r="AC889" s="6" t="s">
        <v>10886</v>
      </c>
      <c r="AD889" s="16" t="n">
        <v>39163</v>
      </c>
      <c r="AE889" s="6" t="s">
        <v>14181</v>
      </c>
      <c r="AF889" s="6" t="s">
        <v>81</v>
      </c>
      <c r="AG889" s="6" t="s">
        <v>6708</v>
      </c>
      <c r="AH889" s="6" t="s">
        <v>15468</v>
      </c>
      <c r="AI889" s="6" t="s">
        <v>81</v>
      </c>
      <c r="AJ889" s="6" t="s">
        <v>17793</v>
      </c>
      <c r="AK889" s="6" t="s">
        <v>18380</v>
      </c>
      <c r="AL889" s="6" t="s">
        <v>18444</v>
      </c>
      <c r="AM889" s="6" t="s">
        <v>18970</v>
      </c>
      <c r="AN889" s="6" t="s">
        <v>19639</v>
      </c>
      <c r="AO889" s="6" t="s">
        <v>19725</v>
      </c>
      <c r="AP889" s="6" t="s">
        <v>15468</v>
      </c>
      <c r="AQ889" s="6" t="s">
        <v>81</v>
      </c>
      <c r="AR889" s="6" t="s">
        <v>17793</v>
      </c>
      <c r="AS889" s="6" t="s">
        <v>18380</v>
      </c>
      <c r="AT889" s="6" t="s">
        <v>18444</v>
      </c>
      <c r="AU889" s="6" t="s">
        <v>18970</v>
      </c>
      <c r="AV889" s="6" t="s">
        <v>81</v>
      </c>
      <c r="AW889" s="6" t="s">
        <v>81</v>
      </c>
      <c r="AX889" s="6" t="s">
        <v>21313</v>
      </c>
      <c r="AY889" s="6" t="s">
        <v>22881</v>
      </c>
      <c r="AZ889" s="6" t="s">
        <v>81</v>
      </c>
      <c r="BA889" s="6" t="s">
        <v>81</v>
      </c>
      <c r="BB889" s="6" t="s">
        <v>81</v>
      </c>
      <c r="BC889" s="26"/>
      <c r="BD889" s="26"/>
      <c r="BE889" s="26"/>
      <c r="BF889" s="26"/>
      <c r="BG889" s="26"/>
      <c r="BH889" s="26"/>
      <c r="BI889" s="26"/>
      <c r="BJ889" s="26"/>
      <c r="BK889" s="26"/>
      <c r="BL889" s="26"/>
      <c r="BM889" s="26"/>
      <c r="BN889" s="26"/>
      <c r="BO889" s="26"/>
      <c r="BP889" s="16" t="n">
        <v>45736</v>
      </c>
      <c r="BQ889" s="28" t="str">
        <f>HYPERLINK("https://organic.ams.usda.gov/Integrity/Certificate.aspx?cid=69&amp;nopid=1560061000")</f>
        <v>https://organic.ams.usda.gov/Integrity/Certificate.aspx?cid=69&amp;nopid=1560061000</v>
      </c>
    </row>
    <row r="890">
      <c r="A890" t="s">
        <v>3</v>
      </c>
      <c r="B890" s="6" t="s">
        <v>22</v>
      </c>
      <c r="C890" s="6" t="s">
        <v>69</v>
      </c>
      <c r="D890" s="6" t="s">
        <v>115</v>
      </c>
      <c r="E890" s="10" t="s">
        <v>1031</v>
      </c>
      <c r="F890" s="6" t="s">
        <v>3760</v>
      </c>
      <c r="G890" s="6" t="s">
        <v>5674</v>
      </c>
      <c r="H890" s="6" t="s">
        <v>5674</v>
      </c>
      <c r="I890" s="6" t="s">
        <v>8917</v>
      </c>
      <c r="J890" s="6" t="s">
        <v>10107</v>
      </c>
      <c r="K890" s="6" t="s">
        <v>10886</v>
      </c>
      <c r="L890" s="16" t="n">
        <v>42353</v>
      </c>
      <c r="M890" s="16" t="n">
        <v>45778</v>
      </c>
      <c r="N890" s="6" t="s">
        <v>10886</v>
      </c>
      <c r="O890" s="16" t="n">
        <v>42353</v>
      </c>
      <c r="P890" s="6" t="s">
        <v>11428</v>
      </c>
      <c r="Q890" s="6" t="s">
        <v>81</v>
      </c>
      <c r="R890" s="6" t="s">
        <v>5674</v>
      </c>
      <c r="S890" s="6" t="s">
        <v>81</v>
      </c>
      <c r="T890" s="21" t="s">
        <v>81</v>
      </c>
      <c r="U890" s="6" t="s">
        <v>81</v>
      </c>
      <c r="V890" s="6" t="s">
        <v>81</v>
      </c>
      <c r="W890" s="6" t="s">
        <v>81</v>
      </c>
      <c r="X890" s="6" t="s">
        <v>81</v>
      </c>
      <c r="Y890" s="21" t="s">
        <v>81</v>
      </c>
      <c r="Z890" s="6" t="s">
        <v>81</v>
      </c>
      <c r="AA890" s="6" t="s">
        <v>81</v>
      </c>
      <c r="AB890" s="6" t="s">
        <v>81</v>
      </c>
      <c r="AC890" s="6" t="s">
        <v>10886</v>
      </c>
      <c r="AD890" s="16" t="n">
        <v>42353</v>
      </c>
      <c r="AE890" s="6" t="s">
        <v>14182</v>
      </c>
      <c r="AF890" s="6" t="s">
        <v>81</v>
      </c>
      <c r="AG890" s="6" t="s">
        <v>14548</v>
      </c>
      <c r="AH890" s="6" t="s">
        <v>15469</v>
      </c>
      <c r="AI890" s="6" t="s">
        <v>81</v>
      </c>
      <c r="AJ890" s="6" t="s">
        <v>17794</v>
      </c>
      <c r="AK890" s="6" t="s">
        <v>17360</v>
      </c>
      <c r="AL890" s="6" t="s">
        <v>18445</v>
      </c>
      <c r="AM890" s="6" t="s">
        <v>18971</v>
      </c>
      <c r="AN890" s="6" t="s">
        <v>81</v>
      </c>
      <c r="AO890" s="6" t="s">
        <v>81</v>
      </c>
      <c r="AP890" s="6" t="s">
        <v>15469</v>
      </c>
      <c r="AQ890" s="6" t="s">
        <v>81</v>
      </c>
      <c r="AR890" s="6" t="s">
        <v>17794</v>
      </c>
      <c r="AS890" s="6" t="s">
        <v>17360</v>
      </c>
      <c r="AT890" s="6" t="s">
        <v>18445</v>
      </c>
      <c r="AU890" s="6" t="s">
        <v>18971</v>
      </c>
      <c r="AV890" s="6" t="s">
        <v>81</v>
      </c>
      <c r="AW890" s="6" t="s">
        <v>81</v>
      </c>
      <c r="AX890" s="6" t="s">
        <v>81</v>
      </c>
      <c r="AY890" s="6" t="s">
        <v>22882</v>
      </c>
      <c r="AZ890" s="6" t="s">
        <v>81</v>
      </c>
      <c r="BA890" s="6" t="s">
        <v>23821</v>
      </c>
      <c r="BB890" s="24" t="n">
        <v>13100</v>
      </c>
      <c r="BC890" s="26"/>
      <c r="BD890" s="26"/>
      <c r="BE890" s="26"/>
      <c r="BF890" s="26"/>
      <c r="BG890" s="26"/>
      <c r="BH890" s="26"/>
      <c r="BI890" s="26"/>
      <c r="BJ890" s="26"/>
      <c r="BK890" s="26"/>
      <c r="BL890" s="26"/>
      <c r="BM890" s="26"/>
      <c r="BN890" s="26"/>
      <c r="BO890" s="26" t="s">
        <v>23900</v>
      </c>
      <c r="BP890" s="16" t="n">
        <v>45565</v>
      </c>
      <c r="BQ890" s="28" t="str">
        <f>HYPERLINK("https://organic.ams.usda.gov/Integrity/Certificate.aspx?cid=21&amp;nopid=1780842817")</f>
        <v>https://organic.ams.usda.gov/Integrity/Certificate.aspx?cid=21&amp;nopid=1780842817</v>
      </c>
    </row>
    <row r="891">
      <c r="A891" t="s">
        <v>3</v>
      </c>
      <c r="B891" s="6" t="s">
        <v>16</v>
      </c>
      <c r="C891" s="6" t="s">
        <v>63</v>
      </c>
      <c r="D891" s="6" t="s">
        <v>109</v>
      </c>
      <c r="E891" s="10" t="s">
        <v>1032</v>
      </c>
      <c r="F891" s="6" t="s">
        <v>3761</v>
      </c>
      <c r="G891" s="6" t="s">
        <v>81</v>
      </c>
      <c r="H891" s="6" t="s">
        <v>6709</v>
      </c>
      <c r="I891" s="6" t="s">
        <v>8552</v>
      </c>
      <c r="J891" s="6" t="s">
        <v>8918</v>
      </c>
      <c r="K891" s="6" t="s">
        <v>10886</v>
      </c>
      <c r="L891" s="16" t="n">
        <v>38327</v>
      </c>
      <c r="M891" s="16" t="n">
        <v>45731</v>
      </c>
      <c r="N891" s="6" t="s">
        <v>10886</v>
      </c>
      <c r="O891" s="16" t="n">
        <v>38327</v>
      </c>
      <c r="P891" s="6" t="s">
        <v>11085</v>
      </c>
      <c r="Q891" s="6" t="s">
        <v>81</v>
      </c>
      <c r="R891" s="6" t="s">
        <v>81</v>
      </c>
      <c r="S891" s="6" t="s">
        <v>10886</v>
      </c>
      <c r="T891" s="16" t="n">
        <v>38327</v>
      </c>
      <c r="U891" s="6" t="s">
        <v>13350</v>
      </c>
      <c r="V891" s="6" t="s">
        <v>81</v>
      </c>
      <c r="W891" s="6" t="s">
        <v>81</v>
      </c>
      <c r="X891" s="6" t="s">
        <v>81</v>
      </c>
      <c r="Y891" s="21" t="s">
        <v>81</v>
      </c>
      <c r="Z891" s="6" t="s">
        <v>81</v>
      </c>
      <c r="AA891" s="6" t="s">
        <v>81</v>
      </c>
      <c r="AB891" s="6" t="s">
        <v>81</v>
      </c>
      <c r="AC891" s="6" t="s">
        <v>10886</v>
      </c>
      <c r="AD891" s="16" t="n">
        <v>38327</v>
      </c>
      <c r="AE891" s="6" t="s">
        <v>14065</v>
      </c>
      <c r="AF891" s="6" t="s">
        <v>81</v>
      </c>
      <c r="AG891" s="6" t="s">
        <v>81</v>
      </c>
      <c r="AH891" s="6" t="s">
        <v>15470</v>
      </c>
      <c r="AI891" s="6" t="s">
        <v>81</v>
      </c>
      <c r="AJ891" s="6" t="s">
        <v>17795</v>
      </c>
      <c r="AK891" s="6" t="s">
        <v>18383</v>
      </c>
      <c r="AL891" s="6" t="s">
        <v>18444</v>
      </c>
      <c r="AM891" s="6" t="s">
        <v>18972</v>
      </c>
      <c r="AN891" s="6" t="s">
        <v>19696</v>
      </c>
      <c r="AO891" s="6" t="s">
        <v>19935</v>
      </c>
      <c r="AP891" s="6" t="s">
        <v>81</v>
      </c>
      <c r="AQ891" s="6" t="s">
        <v>81</v>
      </c>
      <c r="AR891" s="6" t="s">
        <v>81</v>
      </c>
      <c r="AS891" s="6" t="s">
        <v>81</v>
      </c>
      <c r="AT891" s="6" t="s">
        <v>81</v>
      </c>
      <c r="AU891" s="6" t="s">
        <v>81</v>
      </c>
      <c r="AV891" s="6" t="s">
        <v>81</v>
      </c>
      <c r="AW891" s="6" t="s">
        <v>81</v>
      </c>
      <c r="AX891" s="6" t="s">
        <v>21314</v>
      </c>
      <c r="AY891" s="6" t="s">
        <v>81</v>
      </c>
      <c r="AZ891" s="6" t="s">
        <v>23653</v>
      </c>
      <c r="BA891" s="6" t="s">
        <v>81</v>
      </c>
      <c r="BB891" s="24" t="n">
        <v>382</v>
      </c>
      <c r="BC891" s="26"/>
      <c r="BD891" s="26"/>
      <c r="BE891" s="26"/>
      <c r="BF891" s="26"/>
      <c r="BG891" s="26"/>
      <c r="BH891" s="26"/>
      <c r="BI891" s="26"/>
      <c r="BJ891" s="26"/>
      <c r="BK891" s="26"/>
      <c r="BL891" s="26"/>
      <c r="BM891" s="26"/>
      <c r="BN891" s="26"/>
      <c r="BO891" s="26"/>
      <c r="BP891" s="16" t="n">
        <v>45701</v>
      </c>
      <c r="BQ891" s="28" t="str">
        <f>HYPERLINK("https://organic.ams.usda.gov/Integrity/Certificate.aspx?cid=81&amp;nopid=4210004068")</f>
        <v>https://organic.ams.usda.gov/Integrity/Certificate.aspx?cid=81&amp;nopid=4210004068</v>
      </c>
    </row>
    <row r="892">
      <c r="A892" t="s">
        <v>3</v>
      </c>
      <c r="B892" s="6" t="s">
        <v>13</v>
      </c>
      <c r="C892" s="6" t="s">
        <v>60</v>
      </c>
      <c r="D892" s="6" t="s">
        <v>106</v>
      </c>
      <c r="E892" s="10" t="s">
        <v>1033</v>
      </c>
      <c r="F892" s="6" t="s">
        <v>3762</v>
      </c>
      <c r="G892" s="6" t="s">
        <v>81</v>
      </c>
      <c r="H892" s="6" t="s">
        <v>6710</v>
      </c>
      <c r="I892" s="6" t="s">
        <v>8918</v>
      </c>
      <c r="J892" s="6" t="s">
        <v>10108</v>
      </c>
      <c r="K892" s="6" t="s">
        <v>10886</v>
      </c>
      <c r="L892" s="16" t="n">
        <v>43412</v>
      </c>
      <c r="M892" s="16" t="n">
        <v>45659</v>
      </c>
      <c r="N892" s="6" t="s">
        <v>10886</v>
      </c>
      <c r="O892" s="16" t="n">
        <v>43412</v>
      </c>
      <c r="P892" s="6" t="s">
        <v>11108</v>
      </c>
      <c r="Q892" s="6" t="s">
        <v>81</v>
      </c>
      <c r="R892" s="6" t="s">
        <v>12679</v>
      </c>
      <c r="S892" s="6" t="s">
        <v>10886</v>
      </c>
      <c r="T892" s="16" t="n">
        <v>43412</v>
      </c>
      <c r="U892" s="6" t="s">
        <v>13381</v>
      </c>
      <c r="V892" s="6" t="s">
        <v>81</v>
      </c>
      <c r="W892" s="6" t="s">
        <v>12679</v>
      </c>
      <c r="X892" s="6" t="s">
        <v>81</v>
      </c>
      <c r="Y892" s="21" t="s">
        <v>81</v>
      </c>
      <c r="Z892" s="6" t="s">
        <v>81</v>
      </c>
      <c r="AA892" s="6" t="s">
        <v>81</v>
      </c>
      <c r="AB892" s="6" t="s">
        <v>81</v>
      </c>
      <c r="AC892" s="6" t="s">
        <v>81</v>
      </c>
      <c r="AD892" s="21" t="s">
        <v>81</v>
      </c>
      <c r="AE892" s="6" t="s">
        <v>81</v>
      </c>
      <c r="AF892" s="6" t="s">
        <v>81</v>
      </c>
      <c r="AG892" s="6" t="s">
        <v>81</v>
      </c>
      <c r="AH892" s="6" t="s">
        <v>15471</v>
      </c>
      <c r="AI892" s="6" t="s">
        <v>81</v>
      </c>
      <c r="AJ892" s="6" t="s">
        <v>17717</v>
      </c>
      <c r="AK892" s="6" t="s">
        <v>17712</v>
      </c>
      <c r="AL892" s="6" t="s">
        <v>18444</v>
      </c>
      <c r="AM892" s="6" t="s">
        <v>18884</v>
      </c>
      <c r="AN892" s="6" t="s">
        <v>7195</v>
      </c>
      <c r="AO892" s="6" t="s">
        <v>19735</v>
      </c>
      <c r="AP892" s="6" t="s">
        <v>15471</v>
      </c>
      <c r="AQ892" s="6" t="s">
        <v>81</v>
      </c>
      <c r="AR892" s="6" t="s">
        <v>17717</v>
      </c>
      <c r="AS892" s="6" t="s">
        <v>17712</v>
      </c>
      <c r="AT892" s="6" t="s">
        <v>18444</v>
      </c>
      <c r="AU892" s="6" t="s">
        <v>18884</v>
      </c>
      <c r="AV892" s="6" t="s">
        <v>81</v>
      </c>
      <c r="AW892" s="6" t="s">
        <v>81</v>
      </c>
      <c r="AX892" s="6" t="s">
        <v>21315</v>
      </c>
      <c r="AY892" s="6" t="s">
        <v>81</v>
      </c>
      <c r="AZ892" s="6" t="s">
        <v>81</v>
      </c>
      <c r="BA892" s="6" t="s">
        <v>81</v>
      </c>
      <c r="BB892" s="24" t="n">
        <v>215</v>
      </c>
      <c r="BC892" s="26"/>
      <c r="BD892" s="26"/>
      <c r="BE892" s="26"/>
      <c r="BF892" s="26" t="s">
        <v>23900</v>
      </c>
      <c r="BG892" s="26"/>
      <c r="BH892" s="26"/>
      <c r="BI892" s="26"/>
      <c r="BJ892" s="26"/>
      <c r="BK892" s="26"/>
      <c r="BL892" s="26"/>
      <c r="BM892" s="26"/>
      <c r="BN892" s="26"/>
      <c r="BO892" s="26"/>
      <c r="BP892" s="16" t="n">
        <v>45667</v>
      </c>
      <c r="BQ892" s="28" t="str">
        <f>HYPERLINK("https://organic.ams.usda.gov/Integrity/Certificate.aspx?cid=72&amp;nopid=5878516276")</f>
        <v>https://organic.ams.usda.gov/Integrity/Certificate.aspx?cid=72&amp;nopid=5878516276</v>
      </c>
    </row>
    <row r="893">
      <c r="A893" t="s">
        <v>3</v>
      </c>
      <c r="B893" s="6" t="s">
        <v>7</v>
      </c>
      <c r="C893" s="6" t="s">
        <v>54</v>
      </c>
      <c r="D893" s="6" t="s">
        <v>100</v>
      </c>
      <c r="E893" s="10" t="s">
        <v>1034</v>
      </c>
      <c r="F893" s="6" t="s">
        <v>3763</v>
      </c>
      <c r="G893" s="6" t="s">
        <v>81</v>
      </c>
      <c r="H893" s="6" t="s">
        <v>6711</v>
      </c>
      <c r="I893" s="6" t="s">
        <v>8919</v>
      </c>
      <c r="J893" s="6" t="s">
        <v>10109</v>
      </c>
      <c r="K893" s="6" t="s">
        <v>10886</v>
      </c>
      <c r="L893" s="16" t="n">
        <v>37621</v>
      </c>
      <c r="M893" s="16" t="n">
        <v>45716</v>
      </c>
      <c r="N893" s="6" t="s">
        <v>10886</v>
      </c>
      <c r="O893" s="16" t="n">
        <v>37621</v>
      </c>
      <c r="P893" s="6" t="s">
        <v>10910</v>
      </c>
      <c r="Q893" s="6" t="s">
        <v>81</v>
      </c>
      <c r="R893" s="6" t="s">
        <v>81</v>
      </c>
      <c r="S893" s="6" t="s">
        <v>10886</v>
      </c>
      <c r="T893" s="16" t="n">
        <v>37621</v>
      </c>
      <c r="U893" s="6" t="s">
        <v>13483</v>
      </c>
      <c r="V893" s="6" t="s">
        <v>81</v>
      </c>
      <c r="W893" s="6" t="s">
        <v>81</v>
      </c>
      <c r="X893" s="6" t="s">
        <v>81</v>
      </c>
      <c r="Y893" s="21" t="s">
        <v>81</v>
      </c>
      <c r="Z893" s="6" t="s">
        <v>81</v>
      </c>
      <c r="AA893" s="6" t="s">
        <v>81</v>
      </c>
      <c r="AB893" s="6" t="s">
        <v>81</v>
      </c>
      <c r="AC893" s="6" t="s">
        <v>81</v>
      </c>
      <c r="AD893" s="21" t="s">
        <v>81</v>
      </c>
      <c r="AE893" s="6" t="s">
        <v>81</v>
      </c>
      <c r="AF893" s="6" t="s">
        <v>81</v>
      </c>
      <c r="AG893" s="6" t="s">
        <v>81</v>
      </c>
      <c r="AH893" s="6" t="s">
        <v>15472</v>
      </c>
      <c r="AI893" s="6" t="s">
        <v>81</v>
      </c>
      <c r="AJ893" s="6" t="s">
        <v>17796</v>
      </c>
      <c r="AK893" s="6" t="s">
        <v>17712</v>
      </c>
      <c r="AL893" s="6" t="s">
        <v>18444</v>
      </c>
      <c r="AM893" s="6" t="s">
        <v>18973</v>
      </c>
      <c r="AN893" s="6" t="s">
        <v>7195</v>
      </c>
      <c r="AO893" s="6" t="s">
        <v>19735</v>
      </c>
      <c r="AP893" s="6" t="s">
        <v>15472</v>
      </c>
      <c r="AQ893" s="6" t="s">
        <v>81</v>
      </c>
      <c r="AR893" s="6" t="s">
        <v>17796</v>
      </c>
      <c r="AS893" s="6" t="s">
        <v>17712</v>
      </c>
      <c r="AT893" s="6" t="s">
        <v>18444</v>
      </c>
      <c r="AU893" s="6" t="s">
        <v>18973</v>
      </c>
      <c r="AV893" s="6" t="s">
        <v>81</v>
      </c>
      <c r="AW893" s="6" t="s">
        <v>81</v>
      </c>
      <c r="AX893" s="6" t="s">
        <v>21316</v>
      </c>
      <c r="AY893" s="6" t="s">
        <v>22883</v>
      </c>
      <c r="AZ893" s="6" t="s">
        <v>81</v>
      </c>
      <c r="BA893" s="6" t="s">
        <v>81</v>
      </c>
      <c r="BB893" s="24" t="n">
        <v>499</v>
      </c>
      <c r="BC893" s="26"/>
      <c r="BD893" s="26"/>
      <c r="BE893" s="26"/>
      <c r="BF893" s="26" t="s">
        <v>23900</v>
      </c>
      <c r="BG893" s="26"/>
      <c r="BH893" s="26"/>
      <c r="BI893" s="26"/>
      <c r="BJ893" s="26"/>
      <c r="BK893" s="26"/>
      <c r="BL893" s="26"/>
      <c r="BM893" s="26"/>
      <c r="BN893" s="26"/>
      <c r="BO893" s="26"/>
      <c r="BP893" s="16" t="n">
        <v>45709</v>
      </c>
      <c r="BQ893" s="28" t="str">
        <f>HYPERLINK("https://organic.ams.usda.gov/Integrity/Certificate.aspx?cid=57&amp;nopid=3250200020")</f>
        <v>https://organic.ams.usda.gov/Integrity/Certificate.aspx?cid=57&amp;nopid=3250200020</v>
      </c>
    </row>
    <row r="894">
      <c r="A894" t="s">
        <v>3</v>
      </c>
      <c r="B894" s="6" t="s">
        <v>8</v>
      </c>
      <c r="C894" s="6" t="s">
        <v>55</v>
      </c>
      <c r="D894" s="6" t="s">
        <v>101</v>
      </c>
      <c r="E894" s="10" t="s">
        <v>1035</v>
      </c>
      <c r="F894" s="6" t="s">
        <v>3764</v>
      </c>
      <c r="G894" s="6" t="s">
        <v>81</v>
      </c>
      <c r="H894" s="6" t="s">
        <v>6712</v>
      </c>
      <c r="I894" s="6" t="s">
        <v>8920</v>
      </c>
      <c r="J894" s="6" t="s">
        <v>10110</v>
      </c>
      <c r="K894" s="6" t="s">
        <v>10886</v>
      </c>
      <c r="L894" s="16" t="n">
        <v>44726</v>
      </c>
      <c r="M894" s="16" t="n">
        <v>45748</v>
      </c>
      <c r="N894" s="6" t="s">
        <v>10886</v>
      </c>
      <c r="O894" s="16" t="n">
        <v>44726</v>
      </c>
      <c r="P894" s="6" t="s">
        <v>11429</v>
      </c>
      <c r="Q894" s="6" t="s">
        <v>81</v>
      </c>
      <c r="R894" s="6" t="s">
        <v>6712</v>
      </c>
      <c r="S894" s="6" t="s">
        <v>10886</v>
      </c>
      <c r="T894" s="16" t="n">
        <v>44726</v>
      </c>
      <c r="U894" s="6" t="s">
        <v>13484</v>
      </c>
      <c r="V894" s="6" t="s">
        <v>81</v>
      </c>
      <c r="W894" s="6" t="s">
        <v>6712</v>
      </c>
      <c r="X894" s="6" t="s">
        <v>81</v>
      </c>
      <c r="Y894" s="21" t="s">
        <v>81</v>
      </c>
      <c r="Z894" s="6" t="s">
        <v>81</v>
      </c>
      <c r="AA894" s="6" t="s">
        <v>81</v>
      </c>
      <c r="AB894" s="6" t="s">
        <v>81</v>
      </c>
      <c r="AC894" s="6" t="s">
        <v>81</v>
      </c>
      <c r="AD894" s="21" t="s">
        <v>81</v>
      </c>
      <c r="AE894" s="6" t="s">
        <v>81</v>
      </c>
      <c r="AF894" s="6" t="s">
        <v>81</v>
      </c>
      <c r="AG894" s="6" t="s">
        <v>81</v>
      </c>
      <c r="AH894" s="6" t="s">
        <v>15473</v>
      </c>
      <c r="AI894" s="6" t="s">
        <v>81</v>
      </c>
      <c r="AJ894" s="6" t="s">
        <v>17797</v>
      </c>
      <c r="AK894" s="6" t="s">
        <v>18378</v>
      </c>
      <c r="AL894" s="6" t="s">
        <v>18444</v>
      </c>
      <c r="AM894" s="6" t="s">
        <v>18974</v>
      </c>
      <c r="AN894" s="6" t="s">
        <v>19636</v>
      </c>
      <c r="AO894" s="6" t="s">
        <v>19722</v>
      </c>
      <c r="AP894" s="6" t="s">
        <v>81</v>
      </c>
      <c r="AQ894" s="6" t="s">
        <v>81</v>
      </c>
      <c r="AR894" s="6" t="s">
        <v>81</v>
      </c>
      <c r="AS894" s="6" t="s">
        <v>81</v>
      </c>
      <c r="AT894" s="6" t="s">
        <v>81</v>
      </c>
      <c r="AU894" s="6" t="s">
        <v>81</v>
      </c>
      <c r="AV894" s="6" t="s">
        <v>81</v>
      </c>
      <c r="AW894" s="6" t="s">
        <v>81</v>
      </c>
      <c r="AX894" s="6" t="s">
        <v>21317</v>
      </c>
      <c r="AY894" s="6" t="s">
        <v>22884</v>
      </c>
      <c r="AZ894" s="6" t="s">
        <v>81</v>
      </c>
      <c r="BA894" s="6" t="s">
        <v>23819</v>
      </c>
      <c r="BB894" s="24" t="n">
        <v>340</v>
      </c>
      <c r="BC894" s="26"/>
      <c r="BD894" s="26"/>
      <c r="BE894" s="26"/>
      <c r="BF894" s="26"/>
      <c r="BG894" s="26"/>
      <c r="BH894" s="26"/>
      <c r="BI894" s="26"/>
      <c r="BJ894" s="26"/>
      <c r="BK894" s="26"/>
      <c r="BL894" s="26"/>
      <c r="BM894" s="26"/>
      <c r="BN894" s="26"/>
      <c r="BO894" s="26"/>
      <c r="BP894" s="16" t="n">
        <v>45637</v>
      </c>
      <c r="BQ894" s="28" t="str">
        <f>HYPERLINK("https://organic.ams.usda.gov/Integrity/Certificate.aspx?cid=45&amp;nopid=9950013136")</f>
        <v>https://organic.ams.usda.gov/Integrity/Certificate.aspx?cid=45&amp;nopid=9950013136</v>
      </c>
    </row>
    <row r="895">
      <c r="A895" t="s">
        <v>3</v>
      </c>
      <c r="B895" s="6" t="s">
        <v>9</v>
      </c>
      <c r="C895" s="6" t="s">
        <v>56</v>
      </c>
      <c r="D895" s="6" t="s">
        <v>102</v>
      </c>
      <c r="E895" s="10" t="s">
        <v>1036</v>
      </c>
      <c r="F895" s="6" t="s">
        <v>3765</v>
      </c>
      <c r="G895" s="6" t="s">
        <v>81</v>
      </c>
      <c r="H895" s="6" t="s">
        <v>6713</v>
      </c>
      <c r="I895" s="6" t="s">
        <v>8921</v>
      </c>
      <c r="J895" s="6" t="s">
        <v>9731</v>
      </c>
      <c r="K895" s="6" t="s">
        <v>10886</v>
      </c>
      <c r="L895" s="16" t="n">
        <v>41863</v>
      </c>
      <c r="M895" s="16" t="n">
        <v>46113</v>
      </c>
      <c r="N895" s="6" t="s">
        <v>10886</v>
      </c>
      <c r="O895" s="16" t="n">
        <v>41863</v>
      </c>
      <c r="P895" s="6" t="s">
        <v>10900</v>
      </c>
      <c r="Q895" s="6" t="s">
        <v>81</v>
      </c>
      <c r="R895" s="6" t="s">
        <v>12680</v>
      </c>
      <c r="S895" s="6" t="s">
        <v>10886</v>
      </c>
      <c r="T895" s="16" t="n">
        <v>41863</v>
      </c>
      <c r="U895" s="6" t="s">
        <v>13168</v>
      </c>
      <c r="V895" s="6" t="s">
        <v>81</v>
      </c>
      <c r="W895" s="6" t="s">
        <v>12680</v>
      </c>
      <c r="X895" s="6" t="s">
        <v>81</v>
      </c>
      <c r="Y895" s="21" t="s">
        <v>81</v>
      </c>
      <c r="Z895" s="6" t="s">
        <v>81</v>
      </c>
      <c r="AA895" s="6" t="s">
        <v>81</v>
      </c>
      <c r="AB895" s="6" t="s">
        <v>81</v>
      </c>
      <c r="AC895" s="6" t="s">
        <v>81</v>
      </c>
      <c r="AD895" s="21" t="s">
        <v>81</v>
      </c>
      <c r="AE895" s="6" t="s">
        <v>81</v>
      </c>
      <c r="AF895" s="6" t="s">
        <v>81</v>
      </c>
      <c r="AG895" s="6" t="s">
        <v>81</v>
      </c>
      <c r="AH895" s="6" t="s">
        <v>15474</v>
      </c>
      <c r="AI895" s="6" t="s">
        <v>81</v>
      </c>
      <c r="AJ895" s="6" t="s">
        <v>17749</v>
      </c>
      <c r="AK895" s="6" t="s">
        <v>18377</v>
      </c>
      <c r="AL895" s="6" t="s">
        <v>18444</v>
      </c>
      <c r="AM895" s="6" t="s">
        <v>18917</v>
      </c>
      <c r="AN895" s="6" t="s">
        <v>19634</v>
      </c>
      <c r="AO895" s="6" t="s">
        <v>19764</v>
      </c>
      <c r="AP895" s="6" t="s">
        <v>81</v>
      </c>
      <c r="AQ895" s="6" t="s">
        <v>81</v>
      </c>
      <c r="AR895" s="6" t="s">
        <v>81</v>
      </c>
      <c r="AS895" s="6" t="s">
        <v>81</v>
      </c>
      <c r="AT895" s="6" t="s">
        <v>81</v>
      </c>
      <c r="AU895" s="6" t="s">
        <v>81</v>
      </c>
      <c r="AV895" s="6" t="s">
        <v>81</v>
      </c>
      <c r="AW895" s="6" t="s">
        <v>81</v>
      </c>
      <c r="AX895" s="6" t="s">
        <v>81</v>
      </c>
      <c r="AY895" s="6" t="s">
        <v>81</v>
      </c>
      <c r="AZ895" s="6" t="s">
        <v>81</v>
      </c>
      <c r="BA895" s="6" t="s">
        <v>81</v>
      </c>
      <c r="BB895" s="24" t="n">
        <v>38</v>
      </c>
      <c r="BC895" s="26"/>
      <c r="BD895" s="26"/>
      <c r="BE895" s="26"/>
      <c r="BF895" s="26"/>
      <c r="BG895" s="26"/>
      <c r="BH895" s="26"/>
      <c r="BI895" s="26"/>
      <c r="BJ895" s="26"/>
      <c r="BK895" s="26"/>
      <c r="BL895" s="26"/>
      <c r="BM895" s="26"/>
      <c r="BN895" s="26"/>
      <c r="BO895" s="26"/>
      <c r="BP895" s="16" t="n">
        <v>45738</v>
      </c>
      <c r="BQ895" s="28" t="str">
        <f>HYPERLINK("https://organic.ams.usda.gov/Integrity/Certificate.aspx?cid=52&amp;nopid=8431400762")</f>
        <v>https://organic.ams.usda.gov/Integrity/Certificate.aspx?cid=52&amp;nopid=8431400762</v>
      </c>
    </row>
    <row r="896">
      <c r="A896" t="s">
        <v>3</v>
      </c>
      <c r="B896" s="6" t="s">
        <v>9</v>
      </c>
      <c r="C896" s="6" t="s">
        <v>56</v>
      </c>
      <c r="D896" s="6" t="s">
        <v>102</v>
      </c>
      <c r="E896" s="10" t="s">
        <v>1037</v>
      </c>
      <c r="F896" s="6" t="s">
        <v>3766</v>
      </c>
      <c r="G896" s="6" t="s">
        <v>81</v>
      </c>
      <c r="H896" s="6" t="s">
        <v>6714</v>
      </c>
      <c r="I896" s="6" t="s">
        <v>8921</v>
      </c>
      <c r="J896" s="6" t="s">
        <v>9742</v>
      </c>
      <c r="K896" s="6" t="s">
        <v>10886</v>
      </c>
      <c r="L896" s="16" t="n">
        <v>44874</v>
      </c>
      <c r="M896" s="16" t="n">
        <v>45748</v>
      </c>
      <c r="N896" s="6" t="s">
        <v>10886</v>
      </c>
      <c r="O896" s="16" t="n">
        <v>44874</v>
      </c>
      <c r="P896" s="6" t="s">
        <v>10939</v>
      </c>
      <c r="Q896" s="6" t="s">
        <v>81</v>
      </c>
      <c r="R896" s="6" t="s">
        <v>12681</v>
      </c>
      <c r="S896" s="6" t="s">
        <v>10886</v>
      </c>
      <c r="T896" s="16" t="n">
        <v>44874</v>
      </c>
      <c r="U896" s="6" t="s">
        <v>13485</v>
      </c>
      <c r="V896" s="6" t="s">
        <v>81</v>
      </c>
      <c r="W896" s="6" t="s">
        <v>12681</v>
      </c>
      <c r="X896" s="6" t="s">
        <v>81</v>
      </c>
      <c r="Y896" s="21" t="s">
        <v>81</v>
      </c>
      <c r="Z896" s="6" t="s">
        <v>81</v>
      </c>
      <c r="AA896" s="6" t="s">
        <v>81</v>
      </c>
      <c r="AB896" s="6" t="s">
        <v>81</v>
      </c>
      <c r="AC896" s="6" t="s">
        <v>81</v>
      </c>
      <c r="AD896" s="21" t="s">
        <v>81</v>
      </c>
      <c r="AE896" s="6" t="s">
        <v>81</v>
      </c>
      <c r="AF896" s="6" t="s">
        <v>81</v>
      </c>
      <c r="AG896" s="6" t="s">
        <v>81</v>
      </c>
      <c r="AH896" s="6" t="s">
        <v>15475</v>
      </c>
      <c r="AI896" s="6" t="s">
        <v>81</v>
      </c>
      <c r="AJ896" s="6" t="s">
        <v>17426</v>
      </c>
      <c r="AK896" s="6" t="s">
        <v>18384</v>
      </c>
      <c r="AL896" s="6" t="s">
        <v>18444</v>
      </c>
      <c r="AM896" s="6" t="s">
        <v>18583</v>
      </c>
      <c r="AN896" s="6" t="s">
        <v>19690</v>
      </c>
      <c r="AO896" s="6" t="s">
        <v>19852</v>
      </c>
      <c r="AP896" s="6" t="s">
        <v>81</v>
      </c>
      <c r="AQ896" s="6" t="s">
        <v>81</v>
      </c>
      <c r="AR896" s="6" t="s">
        <v>81</v>
      </c>
      <c r="AS896" s="6" t="s">
        <v>81</v>
      </c>
      <c r="AT896" s="6" t="s">
        <v>81</v>
      </c>
      <c r="AU896" s="6" t="s">
        <v>81</v>
      </c>
      <c r="AV896" s="6" t="s">
        <v>81</v>
      </c>
      <c r="AW896" s="6" t="s">
        <v>81</v>
      </c>
      <c r="AX896" s="6" t="s">
        <v>81</v>
      </c>
      <c r="AY896" s="6" t="s">
        <v>81</v>
      </c>
      <c r="AZ896" s="6" t="s">
        <v>81</v>
      </c>
      <c r="BA896" s="6" t="s">
        <v>81</v>
      </c>
      <c r="BB896" s="24" t="n">
        <v>71</v>
      </c>
      <c r="BC896" s="26"/>
      <c r="BD896" s="26"/>
      <c r="BE896" s="26"/>
      <c r="BF896" s="26"/>
      <c r="BG896" s="26"/>
      <c r="BH896" s="26"/>
      <c r="BI896" s="26"/>
      <c r="BJ896" s="26"/>
      <c r="BK896" s="26"/>
      <c r="BL896" s="26"/>
      <c r="BM896" s="26"/>
      <c r="BN896" s="26"/>
      <c r="BO896" s="26"/>
      <c r="BP896" s="16" t="n">
        <v>45738</v>
      </c>
      <c r="BQ896" s="28" t="str">
        <f>HYPERLINK("https://organic.ams.usda.gov/Integrity/Certificate.aspx?cid=52&amp;nopid=8432202088")</f>
        <v>https://organic.ams.usda.gov/Integrity/Certificate.aspx?cid=52&amp;nopid=8432202088</v>
      </c>
    </row>
    <row r="897">
      <c r="A897" t="s">
        <v>3</v>
      </c>
      <c r="B897" s="6" t="s">
        <v>10</v>
      </c>
      <c r="C897" s="6" t="s">
        <v>57</v>
      </c>
      <c r="D897" s="6" t="s">
        <v>103</v>
      </c>
      <c r="E897" s="10" t="s">
        <v>1038</v>
      </c>
      <c r="F897" s="6" t="s">
        <v>3767</v>
      </c>
      <c r="G897" s="6" t="s">
        <v>81</v>
      </c>
      <c r="H897" s="6" t="s">
        <v>6715</v>
      </c>
      <c r="I897" s="6" t="s">
        <v>8922</v>
      </c>
      <c r="J897" s="6" t="s">
        <v>9742</v>
      </c>
      <c r="K897" s="6" t="s">
        <v>10886</v>
      </c>
      <c r="L897" s="16" t="n">
        <v>43711</v>
      </c>
      <c r="M897" s="16" t="n">
        <v>45748</v>
      </c>
      <c r="N897" s="6" t="s">
        <v>10886</v>
      </c>
      <c r="O897" s="16" t="n">
        <v>43711</v>
      </c>
      <c r="P897" s="6" t="s">
        <v>11430</v>
      </c>
      <c r="Q897" s="6" t="s">
        <v>81</v>
      </c>
      <c r="R897" s="6" t="s">
        <v>12682</v>
      </c>
      <c r="S897" s="6" t="s">
        <v>10886</v>
      </c>
      <c r="T897" s="16" t="n">
        <v>44020</v>
      </c>
      <c r="U897" s="6" t="s">
        <v>13164</v>
      </c>
      <c r="V897" s="6" t="s">
        <v>81</v>
      </c>
      <c r="W897" s="6" t="s">
        <v>81</v>
      </c>
      <c r="X897" s="6" t="s">
        <v>81</v>
      </c>
      <c r="Y897" s="21" t="s">
        <v>81</v>
      </c>
      <c r="Z897" s="6" t="s">
        <v>81</v>
      </c>
      <c r="AA897" s="6" t="s">
        <v>81</v>
      </c>
      <c r="AB897" s="6" t="s">
        <v>81</v>
      </c>
      <c r="AC897" s="6" t="s">
        <v>81</v>
      </c>
      <c r="AD897" s="21" t="s">
        <v>81</v>
      </c>
      <c r="AE897" s="6" t="s">
        <v>81</v>
      </c>
      <c r="AF897" s="6" t="s">
        <v>81</v>
      </c>
      <c r="AG897" s="6" t="s">
        <v>81</v>
      </c>
      <c r="AH897" s="6" t="s">
        <v>15476</v>
      </c>
      <c r="AI897" s="6" t="s">
        <v>81</v>
      </c>
      <c r="AJ897" s="6" t="s">
        <v>17381</v>
      </c>
      <c r="AK897" s="6" t="s">
        <v>18379</v>
      </c>
      <c r="AL897" s="6" t="s">
        <v>18444</v>
      </c>
      <c r="AM897" s="6" t="s">
        <v>18534</v>
      </c>
      <c r="AN897" s="6" t="s">
        <v>19637</v>
      </c>
      <c r="AO897" s="6" t="s">
        <v>19723</v>
      </c>
      <c r="AP897" s="6" t="s">
        <v>15476</v>
      </c>
      <c r="AQ897" s="6" t="s">
        <v>81</v>
      </c>
      <c r="AR897" s="6" t="s">
        <v>17381</v>
      </c>
      <c r="AS897" s="6" t="s">
        <v>18379</v>
      </c>
      <c r="AT897" s="6" t="s">
        <v>18444</v>
      </c>
      <c r="AU897" s="6" t="s">
        <v>18534</v>
      </c>
      <c r="AV897" s="6" t="s">
        <v>81</v>
      </c>
      <c r="AW897" s="6" t="s">
        <v>81</v>
      </c>
      <c r="AX897" s="6" t="s">
        <v>21318</v>
      </c>
      <c r="AY897" s="6" t="s">
        <v>81</v>
      </c>
      <c r="AZ897" s="6" t="s">
        <v>81</v>
      </c>
      <c r="BA897" s="6" t="s">
        <v>81</v>
      </c>
      <c r="BB897" s="24" t="n">
        <v>105</v>
      </c>
      <c r="BC897" s="26"/>
      <c r="BD897" s="26"/>
      <c r="BE897" s="26"/>
      <c r="BF897" s="26"/>
      <c r="BG897" s="26"/>
      <c r="BH897" s="26"/>
      <c r="BI897" s="26"/>
      <c r="BJ897" s="26"/>
      <c r="BK897" s="26"/>
      <c r="BL897" s="26"/>
      <c r="BM897" s="26"/>
      <c r="BN897" s="26"/>
      <c r="BO897" s="26"/>
      <c r="BP897" s="16" t="n">
        <v>45730</v>
      </c>
      <c r="BQ897" s="28" t="str">
        <f>HYPERLINK("https://organic.ams.usda.gov/Integrity/Certificate.aspx?cid=90&amp;nopid=7170019011")</f>
        <v>https://organic.ams.usda.gov/Integrity/Certificate.aspx?cid=90&amp;nopid=7170019011</v>
      </c>
    </row>
    <row r="898">
      <c r="A898" t="s">
        <v>3</v>
      </c>
      <c r="B898" s="6" t="s">
        <v>9</v>
      </c>
      <c r="C898" s="6" t="s">
        <v>56</v>
      </c>
      <c r="D898" s="6" t="s">
        <v>102</v>
      </c>
      <c r="E898" s="10" t="s">
        <v>1039</v>
      </c>
      <c r="F898" s="6" t="s">
        <v>3768</v>
      </c>
      <c r="G898" s="6" t="s">
        <v>81</v>
      </c>
      <c r="H898" s="6" t="s">
        <v>6716</v>
      </c>
      <c r="I898" s="6" t="s">
        <v>8923</v>
      </c>
      <c r="J898" s="6" t="s">
        <v>9698</v>
      </c>
      <c r="K898" s="6" t="s">
        <v>10886</v>
      </c>
      <c r="L898" s="16" t="n">
        <v>41262</v>
      </c>
      <c r="M898" s="16" t="n">
        <v>45748</v>
      </c>
      <c r="N898" s="6" t="s">
        <v>10886</v>
      </c>
      <c r="O898" s="16" t="n">
        <v>41262</v>
      </c>
      <c r="P898" s="6" t="s">
        <v>10939</v>
      </c>
      <c r="Q898" s="6" t="s">
        <v>81</v>
      </c>
      <c r="R898" s="6" t="s">
        <v>12683</v>
      </c>
      <c r="S898" s="6" t="s">
        <v>10886</v>
      </c>
      <c r="T898" s="16" t="n">
        <v>41262</v>
      </c>
      <c r="U898" s="6" t="s">
        <v>13451</v>
      </c>
      <c r="V898" s="6" t="s">
        <v>81</v>
      </c>
      <c r="W898" s="6" t="s">
        <v>12683</v>
      </c>
      <c r="X898" s="6" t="s">
        <v>81</v>
      </c>
      <c r="Y898" s="21" t="s">
        <v>81</v>
      </c>
      <c r="Z898" s="6" t="s">
        <v>81</v>
      </c>
      <c r="AA898" s="6" t="s">
        <v>81</v>
      </c>
      <c r="AB898" s="6" t="s">
        <v>81</v>
      </c>
      <c r="AC898" s="6" t="s">
        <v>81</v>
      </c>
      <c r="AD898" s="21" t="s">
        <v>81</v>
      </c>
      <c r="AE898" s="6" t="s">
        <v>81</v>
      </c>
      <c r="AF898" s="6" t="s">
        <v>81</v>
      </c>
      <c r="AG898" s="6" t="s">
        <v>81</v>
      </c>
      <c r="AH898" s="6" t="s">
        <v>15477</v>
      </c>
      <c r="AI898" s="6" t="s">
        <v>81</v>
      </c>
      <c r="AJ898" s="6" t="s">
        <v>17353</v>
      </c>
      <c r="AK898" s="6" t="s">
        <v>18384</v>
      </c>
      <c r="AL898" s="6" t="s">
        <v>18444</v>
      </c>
      <c r="AM898" s="6" t="s">
        <v>18507</v>
      </c>
      <c r="AN898" s="6" t="s">
        <v>19646</v>
      </c>
      <c r="AO898" s="6" t="s">
        <v>19746</v>
      </c>
      <c r="AP898" s="6" t="s">
        <v>81</v>
      </c>
      <c r="AQ898" s="6" t="s">
        <v>81</v>
      </c>
      <c r="AR898" s="6" t="s">
        <v>81</v>
      </c>
      <c r="AS898" s="6" t="s">
        <v>81</v>
      </c>
      <c r="AT898" s="6" t="s">
        <v>81</v>
      </c>
      <c r="AU898" s="6" t="s">
        <v>81</v>
      </c>
      <c r="AV898" s="6" t="s">
        <v>81</v>
      </c>
      <c r="AW898" s="6" t="s">
        <v>81</v>
      </c>
      <c r="AX898" s="6" t="s">
        <v>21319</v>
      </c>
      <c r="AY898" s="6" t="s">
        <v>81</v>
      </c>
      <c r="AZ898" s="6" t="s">
        <v>81</v>
      </c>
      <c r="BA898" s="6" t="s">
        <v>81</v>
      </c>
      <c r="BB898" s="24" t="n">
        <v>115</v>
      </c>
      <c r="BC898" s="26"/>
      <c r="BD898" s="26"/>
      <c r="BE898" s="26"/>
      <c r="BF898" s="26"/>
      <c r="BG898" s="26"/>
      <c r="BH898" s="26"/>
      <c r="BI898" s="26"/>
      <c r="BJ898" s="26"/>
      <c r="BK898" s="26"/>
      <c r="BL898" s="26"/>
      <c r="BM898" s="26"/>
      <c r="BN898" s="26"/>
      <c r="BO898" s="26"/>
      <c r="BP898" s="16" t="n">
        <v>45738</v>
      </c>
      <c r="BQ898" s="28" t="str">
        <f>HYPERLINK("https://organic.ams.usda.gov/Integrity/Certificate.aspx?cid=52&amp;nopid=8431200400")</f>
        <v>https://organic.ams.usda.gov/Integrity/Certificate.aspx?cid=52&amp;nopid=8431200400</v>
      </c>
    </row>
    <row r="899">
      <c r="A899" t="s">
        <v>3</v>
      </c>
      <c r="B899" s="6" t="s">
        <v>8</v>
      </c>
      <c r="C899" s="6" t="s">
        <v>55</v>
      </c>
      <c r="D899" s="6" t="s">
        <v>101</v>
      </c>
      <c r="E899" s="10" t="s">
        <v>1040</v>
      </c>
      <c r="F899" s="6" t="s">
        <v>3769</v>
      </c>
      <c r="G899" s="6" t="s">
        <v>81</v>
      </c>
      <c r="H899" s="6" t="s">
        <v>6717</v>
      </c>
      <c r="I899" s="6" t="s">
        <v>8921</v>
      </c>
      <c r="J899" s="6" t="s">
        <v>9698</v>
      </c>
      <c r="K899" s="6" t="s">
        <v>10886</v>
      </c>
      <c r="L899" s="16" t="n">
        <v>40739</v>
      </c>
      <c r="M899" s="16" t="n">
        <v>45383</v>
      </c>
      <c r="N899" s="6" t="s">
        <v>10886</v>
      </c>
      <c r="O899" s="16" t="n">
        <v>40739</v>
      </c>
      <c r="P899" s="6" t="s">
        <v>11431</v>
      </c>
      <c r="Q899" s="6" t="s">
        <v>81</v>
      </c>
      <c r="R899" s="6" t="s">
        <v>6717</v>
      </c>
      <c r="S899" s="6" t="s">
        <v>10886</v>
      </c>
      <c r="T899" s="16" t="n">
        <v>40739</v>
      </c>
      <c r="U899" s="6" t="s">
        <v>13486</v>
      </c>
      <c r="V899" s="6" t="s">
        <v>81</v>
      </c>
      <c r="W899" s="6" t="s">
        <v>6717</v>
      </c>
      <c r="X899" s="6" t="s">
        <v>81</v>
      </c>
      <c r="Y899" s="21" t="s">
        <v>81</v>
      </c>
      <c r="Z899" s="6" t="s">
        <v>81</v>
      </c>
      <c r="AA899" s="6" t="s">
        <v>81</v>
      </c>
      <c r="AB899" s="6" t="s">
        <v>81</v>
      </c>
      <c r="AC899" s="6" t="s">
        <v>81</v>
      </c>
      <c r="AD899" s="21" t="s">
        <v>81</v>
      </c>
      <c r="AE899" s="6" t="s">
        <v>81</v>
      </c>
      <c r="AF899" s="6" t="s">
        <v>81</v>
      </c>
      <c r="AG899" s="6" t="s">
        <v>81</v>
      </c>
      <c r="AH899" s="6" t="s">
        <v>15478</v>
      </c>
      <c r="AI899" s="6" t="s">
        <v>81</v>
      </c>
      <c r="AJ899" s="6" t="s">
        <v>17798</v>
      </c>
      <c r="AK899" s="6" t="s">
        <v>18384</v>
      </c>
      <c r="AL899" s="6" t="s">
        <v>18444</v>
      </c>
      <c r="AM899" s="6" t="s">
        <v>18975</v>
      </c>
      <c r="AN899" s="6" t="s">
        <v>19670</v>
      </c>
      <c r="AO899" s="6" t="s">
        <v>19870</v>
      </c>
      <c r="AP899" s="6" t="s">
        <v>20222</v>
      </c>
      <c r="AQ899" s="6" t="s">
        <v>81</v>
      </c>
      <c r="AR899" s="6" t="s">
        <v>17798</v>
      </c>
      <c r="AS899" s="6" t="s">
        <v>18384</v>
      </c>
      <c r="AT899" s="6" t="s">
        <v>18444</v>
      </c>
      <c r="AU899" s="6" t="s">
        <v>18975</v>
      </c>
      <c r="AV899" s="6" t="s">
        <v>81</v>
      </c>
      <c r="AW899" s="6" t="s">
        <v>81</v>
      </c>
      <c r="AX899" s="6" t="s">
        <v>81</v>
      </c>
      <c r="AY899" s="6" t="s">
        <v>81</v>
      </c>
      <c r="AZ899" s="6" t="s">
        <v>81</v>
      </c>
      <c r="BA899" s="6" t="s">
        <v>6717</v>
      </c>
      <c r="BB899" s="24" t="n">
        <v>112</v>
      </c>
      <c r="BC899" s="26"/>
      <c r="BD899" s="26"/>
      <c r="BE899" s="26"/>
      <c r="BF899" s="26"/>
      <c r="BG899" s="26"/>
      <c r="BH899" s="26"/>
      <c r="BI899" s="26"/>
      <c r="BJ899" s="26"/>
      <c r="BK899" s="26"/>
      <c r="BL899" s="26"/>
      <c r="BM899" s="26"/>
      <c r="BN899" s="26"/>
      <c r="BO899" s="26"/>
      <c r="BP899" s="16" t="n">
        <v>45425</v>
      </c>
      <c r="BQ899" s="28" t="str">
        <f>HYPERLINK("https://organic.ams.usda.gov/Integrity/Certificate.aspx?cid=45&amp;nopid=9950004487")</f>
        <v>https://organic.ams.usda.gov/Integrity/Certificate.aspx?cid=45&amp;nopid=9950004487</v>
      </c>
    </row>
    <row r="900">
      <c r="A900" t="s">
        <v>3</v>
      </c>
      <c r="B900" s="6" t="s">
        <v>9</v>
      </c>
      <c r="C900" s="6" t="s">
        <v>56</v>
      </c>
      <c r="D900" s="6" t="s">
        <v>102</v>
      </c>
      <c r="E900" s="10" t="s">
        <v>1041</v>
      </c>
      <c r="F900" s="6" t="s">
        <v>3770</v>
      </c>
      <c r="G900" s="6" t="s">
        <v>81</v>
      </c>
      <c r="H900" s="6" t="s">
        <v>6718</v>
      </c>
      <c r="I900" s="6" t="s">
        <v>8921</v>
      </c>
      <c r="J900" s="6" t="s">
        <v>9665</v>
      </c>
      <c r="K900" s="6" t="s">
        <v>10886</v>
      </c>
      <c r="L900" s="16" t="n">
        <v>41267</v>
      </c>
      <c r="M900" s="16" t="n">
        <v>45748</v>
      </c>
      <c r="N900" s="6" t="s">
        <v>10886</v>
      </c>
      <c r="O900" s="16" t="n">
        <v>41267</v>
      </c>
      <c r="P900" s="6" t="s">
        <v>10900</v>
      </c>
      <c r="Q900" s="6" t="s">
        <v>81</v>
      </c>
      <c r="R900" s="6" t="s">
        <v>12684</v>
      </c>
      <c r="S900" s="6" t="s">
        <v>10886</v>
      </c>
      <c r="T900" s="16" t="n">
        <v>41267</v>
      </c>
      <c r="U900" s="6" t="s">
        <v>13487</v>
      </c>
      <c r="V900" s="6" t="s">
        <v>81</v>
      </c>
      <c r="W900" s="6" t="s">
        <v>12684</v>
      </c>
      <c r="X900" s="6" t="s">
        <v>81</v>
      </c>
      <c r="Y900" s="21" t="s">
        <v>81</v>
      </c>
      <c r="Z900" s="6" t="s">
        <v>81</v>
      </c>
      <c r="AA900" s="6" t="s">
        <v>81</v>
      </c>
      <c r="AB900" s="6" t="s">
        <v>81</v>
      </c>
      <c r="AC900" s="6" t="s">
        <v>81</v>
      </c>
      <c r="AD900" s="21" t="s">
        <v>81</v>
      </c>
      <c r="AE900" s="6" t="s">
        <v>81</v>
      </c>
      <c r="AF900" s="6" t="s">
        <v>81</v>
      </c>
      <c r="AG900" s="6" t="s">
        <v>81</v>
      </c>
      <c r="AH900" s="6" t="s">
        <v>15479</v>
      </c>
      <c r="AI900" s="6" t="s">
        <v>81</v>
      </c>
      <c r="AJ900" s="6" t="s">
        <v>17427</v>
      </c>
      <c r="AK900" s="6" t="s">
        <v>18377</v>
      </c>
      <c r="AL900" s="6" t="s">
        <v>18444</v>
      </c>
      <c r="AM900" s="6" t="s">
        <v>18584</v>
      </c>
      <c r="AN900" s="6" t="s">
        <v>19634</v>
      </c>
      <c r="AO900" s="6" t="s">
        <v>19764</v>
      </c>
      <c r="AP900" s="6" t="s">
        <v>81</v>
      </c>
      <c r="AQ900" s="6" t="s">
        <v>81</v>
      </c>
      <c r="AR900" s="6" t="s">
        <v>81</v>
      </c>
      <c r="AS900" s="6" t="s">
        <v>81</v>
      </c>
      <c r="AT900" s="6" t="s">
        <v>81</v>
      </c>
      <c r="AU900" s="6" t="s">
        <v>81</v>
      </c>
      <c r="AV900" s="6" t="s">
        <v>81</v>
      </c>
      <c r="AW900" s="6" t="s">
        <v>81</v>
      </c>
      <c r="AX900" s="6" t="s">
        <v>81</v>
      </c>
      <c r="AY900" s="6" t="s">
        <v>81</v>
      </c>
      <c r="AZ900" s="6" t="s">
        <v>81</v>
      </c>
      <c r="BA900" s="6" t="s">
        <v>81</v>
      </c>
      <c r="BB900" s="24" t="n">
        <v>126</v>
      </c>
      <c r="BC900" s="26"/>
      <c r="BD900" s="26"/>
      <c r="BE900" s="26"/>
      <c r="BF900" s="26"/>
      <c r="BG900" s="26"/>
      <c r="BH900" s="26"/>
      <c r="BI900" s="26"/>
      <c r="BJ900" s="26"/>
      <c r="BK900" s="26"/>
      <c r="BL900" s="26"/>
      <c r="BM900" s="26"/>
      <c r="BN900" s="26"/>
      <c r="BO900" s="26"/>
      <c r="BP900" s="16" t="n">
        <v>45738</v>
      </c>
      <c r="BQ900" s="28" t="str">
        <f>HYPERLINK("https://organic.ams.usda.gov/Integrity/Certificate.aspx?cid=52&amp;nopid=8431200401")</f>
        <v>https://organic.ams.usda.gov/Integrity/Certificate.aspx?cid=52&amp;nopid=8431200401</v>
      </c>
    </row>
    <row r="901">
      <c r="A901" t="s">
        <v>3</v>
      </c>
      <c r="B901" s="6" t="s">
        <v>9</v>
      </c>
      <c r="C901" s="6" t="s">
        <v>56</v>
      </c>
      <c r="D901" s="6" t="s">
        <v>102</v>
      </c>
      <c r="E901" s="10" t="s">
        <v>1042</v>
      </c>
      <c r="F901" s="6" t="s">
        <v>3771</v>
      </c>
      <c r="G901" s="6" t="s">
        <v>81</v>
      </c>
      <c r="H901" s="6" t="s">
        <v>6719</v>
      </c>
      <c r="I901" s="6" t="s">
        <v>8921</v>
      </c>
      <c r="J901" s="6" t="s">
        <v>9729</v>
      </c>
      <c r="K901" s="6" t="s">
        <v>10886</v>
      </c>
      <c r="L901" s="16" t="n">
        <v>41843</v>
      </c>
      <c r="M901" s="16" t="n">
        <v>46113</v>
      </c>
      <c r="N901" s="6" t="s">
        <v>10886</v>
      </c>
      <c r="O901" s="16" t="n">
        <v>41843</v>
      </c>
      <c r="P901" s="6" t="s">
        <v>10939</v>
      </c>
      <c r="Q901" s="6" t="s">
        <v>81</v>
      </c>
      <c r="R901" s="6" t="s">
        <v>12685</v>
      </c>
      <c r="S901" s="6" t="s">
        <v>10886</v>
      </c>
      <c r="T901" s="16" t="n">
        <v>41843</v>
      </c>
      <c r="U901" s="6" t="s">
        <v>13162</v>
      </c>
      <c r="V901" s="6" t="s">
        <v>81</v>
      </c>
      <c r="W901" s="6" t="s">
        <v>12685</v>
      </c>
      <c r="X901" s="6" t="s">
        <v>81</v>
      </c>
      <c r="Y901" s="21" t="s">
        <v>81</v>
      </c>
      <c r="Z901" s="6" t="s">
        <v>81</v>
      </c>
      <c r="AA901" s="6" t="s">
        <v>81</v>
      </c>
      <c r="AB901" s="6" t="s">
        <v>81</v>
      </c>
      <c r="AC901" s="6" t="s">
        <v>81</v>
      </c>
      <c r="AD901" s="21" t="s">
        <v>81</v>
      </c>
      <c r="AE901" s="6" t="s">
        <v>81</v>
      </c>
      <c r="AF901" s="6" t="s">
        <v>81</v>
      </c>
      <c r="AG901" s="6" t="s">
        <v>81</v>
      </c>
      <c r="AH901" s="6" t="s">
        <v>15480</v>
      </c>
      <c r="AI901" s="6" t="s">
        <v>81</v>
      </c>
      <c r="AJ901" s="6" t="s">
        <v>17799</v>
      </c>
      <c r="AK901" s="6" t="s">
        <v>18377</v>
      </c>
      <c r="AL901" s="6" t="s">
        <v>18444</v>
      </c>
      <c r="AM901" s="6" t="s">
        <v>18976</v>
      </c>
      <c r="AN901" s="6" t="s">
        <v>19653</v>
      </c>
      <c r="AO901" s="6" t="s">
        <v>19838</v>
      </c>
      <c r="AP901" s="6" t="s">
        <v>81</v>
      </c>
      <c r="AQ901" s="6" t="s">
        <v>81</v>
      </c>
      <c r="AR901" s="6" t="s">
        <v>81</v>
      </c>
      <c r="AS901" s="6" t="s">
        <v>81</v>
      </c>
      <c r="AT901" s="6" t="s">
        <v>81</v>
      </c>
      <c r="AU901" s="6" t="s">
        <v>81</v>
      </c>
      <c r="AV901" s="6" t="s">
        <v>81</v>
      </c>
      <c r="AW901" s="6" t="s">
        <v>81</v>
      </c>
      <c r="AX901" s="6" t="s">
        <v>81</v>
      </c>
      <c r="AY901" s="6" t="s">
        <v>81</v>
      </c>
      <c r="AZ901" s="6" t="s">
        <v>81</v>
      </c>
      <c r="BA901" s="6" t="s">
        <v>23837</v>
      </c>
      <c r="BB901" s="24" t="n">
        <v>224</v>
      </c>
      <c r="BC901" s="26"/>
      <c r="BD901" s="26"/>
      <c r="BE901" s="26"/>
      <c r="BF901" s="26"/>
      <c r="BG901" s="26"/>
      <c r="BH901" s="26"/>
      <c r="BI901" s="26"/>
      <c r="BJ901" s="26"/>
      <c r="BK901" s="26"/>
      <c r="BL901" s="26"/>
      <c r="BM901" s="26"/>
      <c r="BN901" s="26"/>
      <c r="BO901" s="26"/>
      <c r="BP901" s="16" t="n">
        <v>45738</v>
      </c>
      <c r="BQ901" s="28" t="str">
        <f>HYPERLINK("https://organic.ams.usda.gov/Integrity/Certificate.aspx?cid=52&amp;nopid=8431400745")</f>
        <v>https://organic.ams.usda.gov/Integrity/Certificate.aspx?cid=52&amp;nopid=8431400745</v>
      </c>
    </row>
    <row r="902">
      <c r="A902" t="s">
        <v>3</v>
      </c>
      <c r="B902" s="6" t="s">
        <v>9</v>
      </c>
      <c r="C902" s="6" t="s">
        <v>56</v>
      </c>
      <c r="D902" s="6" t="s">
        <v>102</v>
      </c>
      <c r="E902" s="10" t="s">
        <v>1043</v>
      </c>
      <c r="F902" s="6" t="s">
        <v>3772</v>
      </c>
      <c r="G902" s="6" t="s">
        <v>81</v>
      </c>
      <c r="H902" s="6" t="s">
        <v>6720</v>
      </c>
      <c r="I902" s="6" t="s">
        <v>8921</v>
      </c>
      <c r="J902" s="6" t="s">
        <v>9803</v>
      </c>
      <c r="K902" s="6" t="s">
        <v>10886</v>
      </c>
      <c r="L902" s="16" t="n">
        <v>41858</v>
      </c>
      <c r="M902" s="16" t="n">
        <v>46113</v>
      </c>
      <c r="N902" s="6" t="s">
        <v>10886</v>
      </c>
      <c r="O902" s="16" t="n">
        <v>41858</v>
      </c>
      <c r="P902" s="6" t="s">
        <v>10900</v>
      </c>
      <c r="Q902" s="6" t="s">
        <v>81</v>
      </c>
      <c r="R902" s="6" t="s">
        <v>12686</v>
      </c>
      <c r="S902" s="6" t="s">
        <v>10886</v>
      </c>
      <c r="T902" s="16" t="n">
        <v>41858</v>
      </c>
      <c r="U902" s="6" t="s">
        <v>13168</v>
      </c>
      <c r="V902" s="6" t="s">
        <v>81</v>
      </c>
      <c r="W902" s="6" t="s">
        <v>12686</v>
      </c>
      <c r="X902" s="6" t="s">
        <v>81</v>
      </c>
      <c r="Y902" s="21" t="s">
        <v>81</v>
      </c>
      <c r="Z902" s="6" t="s">
        <v>81</v>
      </c>
      <c r="AA902" s="6" t="s">
        <v>81</v>
      </c>
      <c r="AB902" s="6" t="s">
        <v>81</v>
      </c>
      <c r="AC902" s="6" t="s">
        <v>81</v>
      </c>
      <c r="AD902" s="21" t="s">
        <v>81</v>
      </c>
      <c r="AE902" s="6" t="s">
        <v>81</v>
      </c>
      <c r="AF902" s="6" t="s">
        <v>81</v>
      </c>
      <c r="AG902" s="6" t="s">
        <v>81</v>
      </c>
      <c r="AH902" s="6" t="s">
        <v>15481</v>
      </c>
      <c r="AI902" s="6" t="s">
        <v>81</v>
      </c>
      <c r="AJ902" s="6" t="s">
        <v>17325</v>
      </c>
      <c r="AK902" s="6" t="s">
        <v>18378</v>
      </c>
      <c r="AL902" s="6" t="s">
        <v>18444</v>
      </c>
      <c r="AM902" s="6" t="s">
        <v>18477</v>
      </c>
      <c r="AN902" s="6" t="s">
        <v>19641</v>
      </c>
      <c r="AO902" s="6" t="s">
        <v>19727</v>
      </c>
      <c r="AP902" s="6" t="s">
        <v>81</v>
      </c>
      <c r="AQ902" s="6" t="s">
        <v>81</v>
      </c>
      <c r="AR902" s="6" t="s">
        <v>81</v>
      </c>
      <c r="AS902" s="6" t="s">
        <v>81</v>
      </c>
      <c r="AT902" s="6" t="s">
        <v>81</v>
      </c>
      <c r="AU902" s="6" t="s">
        <v>81</v>
      </c>
      <c r="AV902" s="6" t="s">
        <v>81</v>
      </c>
      <c r="AW902" s="6" t="s">
        <v>81</v>
      </c>
      <c r="AX902" s="6" t="s">
        <v>21320</v>
      </c>
      <c r="AY902" s="6" t="s">
        <v>81</v>
      </c>
      <c r="AZ902" s="6" t="s">
        <v>81</v>
      </c>
      <c r="BA902" s="6" t="s">
        <v>81</v>
      </c>
      <c r="BB902" s="24" t="n">
        <v>69</v>
      </c>
      <c r="BC902" s="26"/>
      <c r="BD902" s="26"/>
      <c r="BE902" s="26"/>
      <c r="BF902" s="26"/>
      <c r="BG902" s="26"/>
      <c r="BH902" s="26"/>
      <c r="BI902" s="26"/>
      <c r="BJ902" s="26"/>
      <c r="BK902" s="26"/>
      <c r="BL902" s="26"/>
      <c r="BM902" s="26"/>
      <c r="BN902" s="26"/>
      <c r="BO902" s="26"/>
      <c r="BP902" s="16" t="n">
        <v>45738</v>
      </c>
      <c r="BQ902" s="28" t="str">
        <f>HYPERLINK("https://organic.ams.usda.gov/Integrity/Certificate.aspx?cid=52&amp;nopid=8431400759")</f>
        <v>https://organic.ams.usda.gov/Integrity/Certificate.aspx?cid=52&amp;nopid=8431400759</v>
      </c>
    </row>
    <row r="903">
      <c r="A903" t="s">
        <v>3</v>
      </c>
      <c r="B903" s="6" t="s">
        <v>23</v>
      </c>
      <c r="C903" s="6" t="s">
        <v>70</v>
      </c>
      <c r="D903" s="6" t="s">
        <v>116</v>
      </c>
      <c r="E903" s="10" t="s">
        <v>1044</v>
      </c>
      <c r="F903" s="6" t="s">
        <v>3773</v>
      </c>
      <c r="G903" s="6" t="s">
        <v>81</v>
      </c>
      <c r="H903" s="6" t="s">
        <v>6721</v>
      </c>
      <c r="I903" s="6" t="s">
        <v>8924</v>
      </c>
      <c r="J903" s="6" t="s">
        <v>10111</v>
      </c>
      <c r="K903" s="6" t="s">
        <v>10886</v>
      </c>
      <c r="L903" s="16" t="n">
        <v>45064</v>
      </c>
      <c r="M903" s="16" t="n">
        <v>45795</v>
      </c>
      <c r="N903" s="6" t="s">
        <v>10886</v>
      </c>
      <c r="O903" s="16" t="n">
        <v>45064</v>
      </c>
      <c r="P903" s="6" t="s">
        <v>11432</v>
      </c>
      <c r="Q903" s="6" t="s">
        <v>81</v>
      </c>
      <c r="R903" s="6" t="s">
        <v>12687</v>
      </c>
      <c r="S903" s="6" t="s">
        <v>10886</v>
      </c>
      <c r="T903" s="16" t="n">
        <v>45064</v>
      </c>
      <c r="U903" s="6" t="s">
        <v>13488</v>
      </c>
      <c r="V903" s="6" t="s">
        <v>81</v>
      </c>
      <c r="W903" s="6" t="s">
        <v>12687</v>
      </c>
      <c r="X903" s="6" t="s">
        <v>81</v>
      </c>
      <c r="Y903" s="21" t="s">
        <v>81</v>
      </c>
      <c r="Z903" s="6" t="s">
        <v>81</v>
      </c>
      <c r="AA903" s="6" t="s">
        <v>81</v>
      </c>
      <c r="AB903" s="6" t="s">
        <v>81</v>
      </c>
      <c r="AC903" s="6" t="s">
        <v>81</v>
      </c>
      <c r="AD903" s="21" t="s">
        <v>81</v>
      </c>
      <c r="AE903" s="6" t="s">
        <v>81</v>
      </c>
      <c r="AF903" s="6" t="s">
        <v>81</v>
      </c>
      <c r="AG903" s="6" t="s">
        <v>81</v>
      </c>
      <c r="AH903" s="6" t="s">
        <v>15482</v>
      </c>
      <c r="AI903" s="6" t="s">
        <v>81</v>
      </c>
      <c r="AJ903" s="6" t="s">
        <v>17800</v>
      </c>
      <c r="AK903" s="6" t="s">
        <v>18152</v>
      </c>
      <c r="AL903" s="6" t="s">
        <v>18444</v>
      </c>
      <c r="AM903" s="6" t="s">
        <v>18977</v>
      </c>
      <c r="AN903" s="6" t="s">
        <v>81</v>
      </c>
      <c r="AO903" s="6" t="s">
        <v>81</v>
      </c>
      <c r="AP903" s="6" t="s">
        <v>15482</v>
      </c>
      <c r="AQ903" s="6" t="s">
        <v>81</v>
      </c>
      <c r="AR903" s="6" t="s">
        <v>17800</v>
      </c>
      <c r="AS903" s="6" t="s">
        <v>18152</v>
      </c>
      <c r="AT903" s="6" t="s">
        <v>18444</v>
      </c>
      <c r="AU903" s="6" t="s">
        <v>18977</v>
      </c>
      <c r="AV903" s="6" t="s">
        <v>19661</v>
      </c>
      <c r="AW903" s="6" t="s">
        <v>20731</v>
      </c>
      <c r="AX903" s="6" t="s">
        <v>21321</v>
      </c>
      <c r="AY903" s="6" t="s">
        <v>22885</v>
      </c>
      <c r="AZ903" s="6" t="s">
        <v>81</v>
      </c>
      <c r="BA903" s="6" t="s">
        <v>81</v>
      </c>
      <c r="BB903" s="24" t="n">
        <v>463</v>
      </c>
      <c r="BC903" s="26"/>
      <c r="BD903" s="26"/>
      <c r="BE903" s="26"/>
      <c r="BF903" s="26"/>
      <c r="BG903" s="26"/>
      <c r="BH903" s="26"/>
      <c r="BI903" s="26"/>
      <c r="BJ903" s="26"/>
      <c r="BK903" s="26"/>
      <c r="BL903" s="26"/>
      <c r="BM903" s="26"/>
      <c r="BN903" s="26"/>
      <c r="BO903" s="26"/>
      <c r="BP903" s="16" t="n">
        <v>45603</v>
      </c>
      <c r="BQ903" s="28" t="str">
        <f>HYPERLINK("https://organic.ams.usda.gov/Integrity/Certificate.aspx?cid=63&amp;nopid=6220009234")</f>
        <v>https://organic.ams.usda.gov/Integrity/Certificate.aspx?cid=63&amp;nopid=6220009234</v>
      </c>
    </row>
    <row r="904">
      <c r="A904" t="s">
        <v>3</v>
      </c>
      <c r="B904" s="6" t="s">
        <v>25</v>
      </c>
      <c r="C904" s="6" t="s">
        <v>72</v>
      </c>
      <c r="D904" s="6" t="s">
        <v>118</v>
      </c>
      <c r="E904" s="10" t="s">
        <v>1045</v>
      </c>
      <c r="F904" s="6" t="s">
        <v>3774</v>
      </c>
      <c r="G904" s="6" t="s">
        <v>81</v>
      </c>
      <c r="H904" s="6" t="s">
        <v>6722</v>
      </c>
      <c r="I904" s="6" t="s">
        <v>8925</v>
      </c>
      <c r="J904" s="6" t="s">
        <v>10112</v>
      </c>
      <c r="K904" s="6" t="s">
        <v>10886</v>
      </c>
      <c r="L904" s="16" t="n">
        <v>44797</v>
      </c>
      <c r="M904" s="16" t="n">
        <v>46023</v>
      </c>
      <c r="N904" s="6" t="s">
        <v>81</v>
      </c>
      <c r="O904" s="21" t="s">
        <v>81</v>
      </c>
      <c r="P904" s="6" t="s">
        <v>81</v>
      </c>
      <c r="Q904" s="6" t="s">
        <v>81</v>
      </c>
      <c r="R904" s="6" t="s">
        <v>81</v>
      </c>
      <c r="S904" s="6" t="s">
        <v>81</v>
      </c>
      <c r="T904" s="21" t="s">
        <v>81</v>
      </c>
      <c r="U904" s="6" t="s">
        <v>81</v>
      </c>
      <c r="V904" s="6" t="s">
        <v>81</v>
      </c>
      <c r="W904" s="6" t="s">
        <v>81</v>
      </c>
      <c r="X904" s="6" t="s">
        <v>81</v>
      </c>
      <c r="Y904" s="21" t="s">
        <v>81</v>
      </c>
      <c r="Z904" s="6" t="s">
        <v>81</v>
      </c>
      <c r="AA904" s="6" t="s">
        <v>81</v>
      </c>
      <c r="AB904" s="6" t="s">
        <v>81</v>
      </c>
      <c r="AC904" s="6" t="s">
        <v>10886</v>
      </c>
      <c r="AD904" s="16" t="n">
        <v>44797</v>
      </c>
      <c r="AE904" s="6" t="s">
        <v>14183</v>
      </c>
      <c r="AF904" s="6" t="s">
        <v>81</v>
      </c>
      <c r="AG904" s="6" t="s">
        <v>81</v>
      </c>
      <c r="AH904" s="6" t="s">
        <v>15483</v>
      </c>
      <c r="AI904" s="6" t="s">
        <v>81</v>
      </c>
      <c r="AJ904" s="6" t="s">
        <v>17801</v>
      </c>
      <c r="AK904" s="6" t="s">
        <v>18389</v>
      </c>
      <c r="AL904" s="6" t="s">
        <v>18444</v>
      </c>
      <c r="AM904" s="6" t="s">
        <v>18978</v>
      </c>
      <c r="AN904" s="6" t="s">
        <v>19697</v>
      </c>
      <c r="AO904" s="6" t="s">
        <v>19928</v>
      </c>
      <c r="AP904" s="6" t="s">
        <v>15483</v>
      </c>
      <c r="AQ904" s="6" t="s">
        <v>81</v>
      </c>
      <c r="AR904" s="6" t="s">
        <v>17801</v>
      </c>
      <c r="AS904" s="6" t="s">
        <v>18389</v>
      </c>
      <c r="AT904" s="6" t="s">
        <v>18444</v>
      </c>
      <c r="AU904" s="6" t="s">
        <v>18978</v>
      </c>
      <c r="AV904" s="6" t="s">
        <v>81</v>
      </c>
      <c r="AW904" s="6" t="s">
        <v>81</v>
      </c>
      <c r="AX904" s="6" t="s">
        <v>21322</v>
      </c>
      <c r="AY904" s="6" t="s">
        <v>22886</v>
      </c>
      <c r="AZ904" s="6" t="s">
        <v>23654</v>
      </c>
      <c r="BA904" s="6" t="s">
        <v>23827</v>
      </c>
      <c r="BB904" s="6" t="s">
        <v>81</v>
      </c>
      <c r="BC904" s="26" t="s">
        <v>23900</v>
      </c>
      <c r="BD904" s="26"/>
      <c r="BE904" s="26"/>
      <c r="BF904" s="26"/>
      <c r="BG904" s="26" t="s">
        <v>23900</v>
      </c>
      <c r="BH904" s="26" t="s">
        <v>23900</v>
      </c>
      <c r="BI904" s="26"/>
      <c r="BJ904" s="26"/>
      <c r="BK904" s="26"/>
      <c r="BL904" s="26"/>
      <c r="BM904" s="26"/>
      <c r="BN904" s="26"/>
      <c r="BO904" s="26"/>
      <c r="BP904" s="16" t="n">
        <v>45698</v>
      </c>
      <c r="BQ904" s="28" t="str">
        <f>HYPERLINK("https://organic.ams.usda.gov/Integrity/Certificate.aspx?cid=15&amp;nopid=5561007369")</f>
        <v>https://organic.ams.usda.gov/Integrity/Certificate.aspx?cid=15&amp;nopid=5561007369</v>
      </c>
    </row>
    <row r="905">
      <c r="A905" t="s">
        <v>3</v>
      </c>
      <c r="B905" s="6" t="s">
        <v>25</v>
      </c>
      <c r="C905" s="6" t="s">
        <v>72</v>
      </c>
      <c r="D905" s="6" t="s">
        <v>118</v>
      </c>
      <c r="E905" s="10" t="s">
        <v>1046</v>
      </c>
      <c r="F905" s="6" t="s">
        <v>3775</v>
      </c>
      <c r="G905" s="6" t="s">
        <v>81</v>
      </c>
      <c r="H905" s="6" t="s">
        <v>6723</v>
      </c>
      <c r="I905" s="6" t="s">
        <v>8666</v>
      </c>
      <c r="J905" s="6" t="s">
        <v>10113</v>
      </c>
      <c r="K905" s="6" t="s">
        <v>10886</v>
      </c>
      <c r="L905" s="16" t="n">
        <v>44551</v>
      </c>
      <c r="M905" s="16" t="n">
        <v>46023</v>
      </c>
      <c r="N905" s="6" t="s">
        <v>81</v>
      </c>
      <c r="O905" s="21" t="s">
        <v>81</v>
      </c>
      <c r="P905" s="6" t="s">
        <v>81</v>
      </c>
      <c r="Q905" s="6" t="s">
        <v>81</v>
      </c>
      <c r="R905" s="6" t="s">
        <v>81</v>
      </c>
      <c r="S905" s="6" t="s">
        <v>81</v>
      </c>
      <c r="T905" s="21" t="s">
        <v>81</v>
      </c>
      <c r="U905" s="6" t="s">
        <v>81</v>
      </c>
      <c r="V905" s="6" t="s">
        <v>81</v>
      </c>
      <c r="W905" s="6" t="s">
        <v>81</v>
      </c>
      <c r="X905" s="6" t="s">
        <v>81</v>
      </c>
      <c r="Y905" s="21" t="s">
        <v>81</v>
      </c>
      <c r="Z905" s="6" t="s">
        <v>81</v>
      </c>
      <c r="AA905" s="6" t="s">
        <v>81</v>
      </c>
      <c r="AB905" s="6" t="s">
        <v>81</v>
      </c>
      <c r="AC905" s="6" t="s">
        <v>10886</v>
      </c>
      <c r="AD905" s="16" t="n">
        <v>44551</v>
      </c>
      <c r="AE905" s="6" t="s">
        <v>14184</v>
      </c>
      <c r="AF905" s="6" t="s">
        <v>81</v>
      </c>
      <c r="AG905" s="6" t="s">
        <v>81</v>
      </c>
      <c r="AH905" s="6" t="s">
        <v>15484</v>
      </c>
      <c r="AI905" s="6" t="s">
        <v>81</v>
      </c>
      <c r="AJ905" s="6" t="s">
        <v>17802</v>
      </c>
      <c r="AK905" s="6" t="s">
        <v>18421</v>
      </c>
      <c r="AL905" s="6" t="s">
        <v>18444</v>
      </c>
      <c r="AM905" s="6" t="s">
        <v>18979</v>
      </c>
      <c r="AN905" s="6" t="s">
        <v>8233</v>
      </c>
      <c r="AO905" s="6" t="s">
        <v>19936</v>
      </c>
      <c r="AP905" s="6" t="s">
        <v>15484</v>
      </c>
      <c r="AQ905" s="6" t="s">
        <v>81</v>
      </c>
      <c r="AR905" s="6" t="s">
        <v>17802</v>
      </c>
      <c r="AS905" s="6" t="s">
        <v>18421</v>
      </c>
      <c r="AT905" s="6" t="s">
        <v>18444</v>
      </c>
      <c r="AU905" s="6" t="s">
        <v>18979</v>
      </c>
      <c r="AV905" s="6" t="s">
        <v>81</v>
      </c>
      <c r="AW905" s="6" t="s">
        <v>81</v>
      </c>
      <c r="AX905" s="6" t="s">
        <v>21323</v>
      </c>
      <c r="AY905" s="6" t="s">
        <v>22887</v>
      </c>
      <c r="AZ905" s="6" t="s">
        <v>81</v>
      </c>
      <c r="BA905" s="6" t="s">
        <v>81</v>
      </c>
      <c r="BB905" s="6" t="s">
        <v>81</v>
      </c>
      <c r="BC905" s="26"/>
      <c r="BD905" s="26"/>
      <c r="BE905" s="26"/>
      <c r="BF905" s="26"/>
      <c r="BG905" s="26"/>
      <c r="BH905" s="26"/>
      <c r="BI905" s="26"/>
      <c r="BJ905" s="26"/>
      <c r="BK905" s="26"/>
      <c r="BL905" s="26"/>
      <c r="BM905" s="26"/>
      <c r="BN905" s="26"/>
      <c r="BO905" s="26"/>
      <c r="BP905" s="16" t="n">
        <v>45667</v>
      </c>
      <c r="BQ905" s="28" t="str">
        <f>HYPERLINK("https://organic.ams.usda.gov/Integrity/Certificate.aspx?cid=15&amp;nopid=5561007133")</f>
        <v>https://organic.ams.usda.gov/Integrity/Certificate.aspx?cid=15&amp;nopid=5561007133</v>
      </c>
    </row>
    <row r="906">
      <c r="A906" t="s">
        <v>3</v>
      </c>
      <c r="B906" s="6" t="s">
        <v>25</v>
      </c>
      <c r="C906" s="6" t="s">
        <v>72</v>
      </c>
      <c r="D906" s="6" t="s">
        <v>118</v>
      </c>
      <c r="E906" s="10" t="s">
        <v>1047</v>
      </c>
      <c r="F906" s="6" t="s">
        <v>3776</v>
      </c>
      <c r="G906" s="6" t="s">
        <v>81</v>
      </c>
      <c r="H906" s="6" t="s">
        <v>6724</v>
      </c>
      <c r="I906" s="6" t="s">
        <v>8914</v>
      </c>
      <c r="J906" s="6" t="s">
        <v>10114</v>
      </c>
      <c r="K906" s="6" t="s">
        <v>10886</v>
      </c>
      <c r="L906" s="16" t="n">
        <v>43125</v>
      </c>
      <c r="M906" s="16" t="n">
        <v>46023</v>
      </c>
      <c r="N906" s="6" t="s">
        <v>81</v>
      </c>
      <c r="O906" s="21" t="s">
        <v>81</v>
      </c>
      <c r="P906" s="6" t="s">
        <v>81</v>
      </c>
      <c r="Q906" s="6" t="s">
        <v>81</v>
      </c>
      <c r="R906" s="6" t="s">
        <v>81</v>
      </c>
      <c r="S906" s="6" t="s">
        <v>81</v>
      </c>
      <c r="T906" s="21" t="s">
        <v>81</v>
      </c>
      <c r="U906" s="6" t="s">
        <v>81</v>
      </c>
      <c r="V906" s="6" t="s">
        <v>81</v>
      </c>
      <c r="W906" s="6" t="s">
        <v>81</v>
      </c>
      <c r="X906" s="6" t="s">
        <v>81</v>
      </c>
      <c r="Y906" s="21" t="s">
        <v>81</v>
      </c>
      <c r="Z906" s="6" t="s">
        <v>81</v>
      </c>
      <c r="AA906" s="6" t="s">
        <v>81</v>
      </c>
      <c r="AB906" s="6" t="s">
        <v>81</v>
      </c>
      <c r="AC906" s="6" t="s">
        <v>10886</v>
      </c>
      <c r="AD906" s="16" t="n">
        <v>43125</v>
      </c>
      <c r="AE906" s="6" t="s">
        <v>14185</v>
      </c>
      <c r="AF906" s="6" t="s">
        <v>81</v>
      </c>
      <c r="AG906" s="6" t="s">
        <v>81</v>
      </c>
      <c r="AH906" s="6" t="s">
        <v>15485</v>
      </c>
      <c r="AI906" s="6" t="s">
        <v>81</v>
      </c>
      <c r="AJ906" s="6" t="s">
        <v>17677</v>
      </c>
      <c r="AK906" s="6" t="s">
        <v>18386</v>
      </c>
      <c r="AL906" s="6" t="s">
        <v>18444</v>
      </c>
      <c r="AM906" s="6" t="s">
        <v>18843</v>
      </c>
      <c r="AN906" s="6" t="s">
        <v>19655</v>
      </c>
      <c r="AO906" s="6" t="s">
        <v>19759</v>
      </c>
      <c r="AP906" s="6" t="s">
        <v>15485</v>
      </c>
      <c r="AQ906" s="6" t="s">
        <v>81</v>
      </c>
      <c r="AR906" s="6" t="s">
        <v>17677</v>
      </c>
      <c r="AS906" s="6" t="s">
        <v>18386</v>
      </c>
      <c r="AT906" s="6" t="s">
        <v>18444</v>
      </c>
      <c r="AU906" s="6" t="s">
        <v>18843</v>
      </c>
      <c r="AV906" s="6" t="s">
        <v>81</v>
      </c>
      <c r="AW906" s="6" t="s">
        <v>81</v>
      </c>
      <c r="AX906" s="6" t="s">
        <v>21324</v>
      </c>
      <c r="AY906" s="6" t="s">
        <v>22888</v>
      </c>
      <c r="AZ906" s="6" t="s">
        <v>23655</v>
      </c>
      <c r="BA906" s="6" t="s">
        <v>23857</v>
      </c>
      <c r="BB906" s="6" t="s">
        <v>81</v>
      </c>
      <c r="BC906" s="26"/>
      <c r="BD906" s="26"/>
      <c r="BE906" s="26"/>
      <c r="BF906" s="26"/>
      <c r="BG906" s="26"/>
      <c r="BH906" s="26"/>
      <c r="BI906" s="26"/>
      <c r="BJ906" s="26"/>
      <c r="BK906" s="26"/>
      <c r="BL906" s="26"/>
      <c r="BM906" s="26"/>
      <c r="BN906" s="26"/>
      <c r="BO906" s="26"/>
      <c r="BP906" s="16" t="n">
        <v>45712</v>
      </c>
      <c r="BQ906" s="28" t="str">
        <f>HYPERLINK("https://organic.ams.usda.gov/Integrity/Certificate.aspx?cid=15&amp;nopid=5561005070")</f>
        <v>https://organic.ams.usda.gov/Integrity/Certificate.aspx?cid=15&amp;nopid=5561005070</v>
      </c>
    </row>
    <row r="907">
      <c r="A907" t="s">
        <v>3</v>
      </c>
      <c r="B907" s="6" t="s">
        <v>25</v>
      </c>
      <c r="C907" s="6" t="s">
        <v>72</v>
      </c>
      <c r="D907" s="6" t="s">
        <v>118</v>
      </c>
      <c r="E907" s="10" t="s">
        <v>1048</v>
      </c>
      <c r="F907" s="6" t="s">
        <v>3777</v>
      </c>
      <c r="G907" s="6" t="s">
        <v>81</v>
      </c>
      <c r="H907" s="6" t="s">
        <v>6725</v>
      </c>
      <c r="I907" s="6" t="s">
        <v>8926</v>
      </c>
      <c r="J907" s="6" t="s">
        <v>10115</v>
      </c>
      <c r="K907" s="6" t="s">
        <v>10886</v>
      </c>
      <c r="L907" s="16" t="n">
        <v>44547</v>
      </c>
      <c r="M907" s="16" t="n">
        <v>46023</v>
      </c>
      <c r="N907" s="6" t="s">
        <v>81</v>
      </c>
      <c r="O907" s="21" t="s">
        <v>81</v>
      </c>
      <c r="P907" s="6" t="s">
        <v>81</v>
      </c>
      <c r="Q907" s="6" t="s">
        <v>81</v>
      </c>
      <c r="R907" s="6" t="s">
        <v>81</v>
      </c>
      <c r="S907" s="6" t="s">
        <v>81</v>
      </c>
      <c r="T907" s="21" t="s">
        <v>81</v>
      </c>
      <c r="U907" s="6" t="s">
        <v>81</v>
      </c>
      <c r="V907" s="6" t="s">
        <v>81</v>
      </c>
      <c r="W907" s="6" t="s">
        <v>81</v>
      </c>
      <c r="X907" s="6" t="s">
        <v>81</v>
      </c>
      <c r="Y907" s="21" t="s">
        <v>81</v>
      </c>
      <c r="Z907" s="6" t="s">
        <v>81</v>
      </c>
      <c r="AA907" s="6" t="s">
        <v>81</v>
      </c>
      <c r="AB907" s="6" t="s">
        <v>81</v>
      </c>
      <c r="AC907" s="6" t="s">
        <v>10886</v>
      </c>
      <c r="AD907" s="16" t="n">
        <v>44547</v>
      </c>
      <c r="AE907" s="6" t="s">
        <v>14186</v>
      </c>
      <c r="AF907" s="6" t="s">
        <v>81</v>
      </c>
      <c r="AG907" s="6" t="s">
        <v>81</v>
      </c>
      <c r="AH907" s="6" t="s">
        <v>15486</v>
      </c>
      <c r="AI907" s="6" t="s">
        <v>81</v>
      </c>
      <c r="AJ907" s="6" t="s">
        <v>17803</v>
      </c>
      <c r="AK907" s="6" t="s">
        <v>18389</v>
      </c>
      <c r="AL907" s="6" t="s">
        <v>18444</v>
      </c>
      <c r="AM907" s="6" t="s">
        <v>18980</v>
      </c>
      <c r="AN907" s="6" t="s">
        <v>19683</v>
      </c>
      <c r="AO907" s="6" t="s">
        <v>19937</v>
      </c>
      <c r="AP907" s="6" t="s">
        <v>15486</v>
      </c>
      <c r="AQ907" s="6" t="s">
        <v>81</v>
      </c>
      <c r="AR907" s="6" t="s">
        <v>17803</v>
      </c>
      <c r="AS907" s="6" t="s">
        <v>18389</v>
      </c>
      <c r="AT907" s="6" t="s">
        <v>18444</v>
      </c>
      <c r="AU907" s="6" t="s">
        <v>18980</v>
      </c>
      <c r="AV907" s="6" t="s">
        <v>19683</v>
      </c>
      <c r="AW907" s="6" t="s">
        <v>19937</v>
      </c>
      <c r="AX907" s="6" t="s">
        <v>21325</v>
      </c>
      <c r="AY907" s="6" t="s">
        <v>22889</v>
      </c>
      <c r="AZ907" s="6" t="s">
        <v>23656</v>
      </c>
      <c r="BA907" s="6" t="s">
        <v>81</v>
      </c>
      <c r="BB907" s="6" t="s">
        <v>81</v>
      </c>
      <c r="BC907" s="26"/>
      <c r="BD907" s="26"/>
      <c r="BE907" s="26"/>
      <c r="BF907" s="26"/>
      <c r="BG907" s="26"/>
      <c r="BH907" s="26"/>
      <c r="BI907" s="26"/>
      <c r="BJ907" s="26"/>
      <c r="BK907" s="26"/>
      <c r="BL907" s="26"/>
      <c r="BM907" s="26"/>
      <c r="BN907" s="26"/>
      <c r="BO907" s="26"/>
      <c r="BP907" s="16" t="n">
        <v>45667</v>
      </c>
      <c r="BQ907" s="28" t="str">
        <f>HYPERLINK("https://organic.ams.usda.gov/Integrity/Certificate.aspx?cid=15&amp;nopid=5561007136")</f>
        <v>https://organic.ams.usda.gov/Integrity/Certificate.aspx?cid=15&amp;nopid=5561007136</v>
      </c>
    </row>
    <row r="908">
      <c r="A908" t="s">
        <v>3</v>
      </c>
      <c r="B908" s="6" t="s">
        <v>25</v>
      </c>
      <c r="C908" s="6" t="s">
        <v>72</v>
      </c>
      <c r="D908" s="6" t="s">
        <v>118</v>
      </c>
      <c r="E908" s="10" t="s">
        <v>1049</v>
      </c>
      <c r="F908" s="6" t="s">
        <v>3778</v>
      </c>
      <c r="G908" s="6" t="s">
        <v>81</v>
      </c>
      <c r="H908" s="6" t="s">
        <v>6726</v>
      </c>
      <c r="I908" s="6" t="s">
        <v>8927</v>
      </c>
      <c r="J908" s="6" t="s">
        <v>10116</v>
      </c>
      <c r="K908" s="6" t="s">
        <v>10886</v>
      </c>
      <c r="L908" s="16" t="n">
        <v>42712</v>
      </c>
      <c r="M908" s="16" t="n">
        <v>46023</v>
      </c>
      <c r="N908" s="6" t="s">
        <v>81</v>
      </c>
      <c r="O908" s="21" t="s">
        <v>81</v>
      </c>
      <c r="P908" s="6" t="s">
        <v>81</v>
      </c>
      <c r="Q908" s="6" t="s">
        <v>81</v>
      </c>
      <c r="R908" s="6" t="s">
        <v>81</v>
      </c>
      <c r="S908" s="6" t="s">
        <v>81</v>
      </c>
      <c r="T908" s="21" t="s">
        <v>81</v>
      </c>
      <c r="U908" s="6" t="s">
        <v>81</v>
      </c>
      <c r="V908" s="6" t="s">
        <v>81</v>
      </c>
      <c r="W908" s="6" t="s">
        <v>81</v>
      </c>
      <c r="X908" s="6" t="s">
        <v>81</v>
      </c>
      <c r="Y908" s="21" t="s">
        <v>81</v>
      </c>
      <c r="Z908" s="6" t="s">
        <v>81</v>
      </c>
      <c r="AA908" s="6" t="s">
        <v>81</v>
      </c>
      <c r="AB908" s="6" t="s">
        <v>81</v>
      </c>
      <c r="AC908" s="6" t="s">
        <v>10886</v>
      </c>
      <c r="AD908" s="16" t="n">
        <v>42712</v>
      </c>
      <c r="AE908" s="6" t="s">
        <v>14187</v>
      </c>
      <c r="AF908" s="6" t="s">
        <v>81</v>
      </c>
      <c r="AG908" s="6" t="s">
        <v>81</v>
      </c>
      <c r="AH908" s="6" t="s">
        <v>15487</v>
      </c>
      <c r="AI908" s="6" t="s">
        <v>81</v>
      </c>
      <c r="AJ908" s="6" t="s">
        <v>17804</v>
      </c>
      <c r="AK908" s="6" t="s">
        <v>18386</v>
      </c>
      <c r="AL908" s="6" t="s">
        <v>18444</v>
      </c>
      <c r="AM908" s="6" t="s">
        <v>18981</v>
      </c>
      <c r="AN908" s="6" t="s">
        <v>8233</v>
      </c>
      <c r="AO908" s="6" t="s">
        <v>19802</v>
      </c>
      <c r="AP908" s="6" t="s">
        <v>15487</v>
      </c>
      <c r="AQ908" s="6" t="s">
        <v>81</v>
      </c>
      <c r="AR908" s="6" t="s">
        <v>17804</v>
      </c>
      <c r="AS908" s="6" t="s">
        <v>18386</v>
      </c>
      <c r="AT908" s="6" t="s">
        <v>18444</v>
      </c>
      <c r="AU908" s="6" t="s">
        <v>18981</v>
      </c>
      <c r="AV908" s="6" t="s">
        <v>81</v>
      </c>
      <c r="AW908" s="6" t="s">
        <v>81</v>
      </c>
      <c r="AX908" s="6" t="s">
        <v>21326</v>
      </c>
      <c r="AY908" s="6" t="s">
        <v>22890</v>
      </c>
      <c r="AZ908" s="6" t="s">
        <v>23657</v>
      </c>
      <c r="BA908" s="6" t="s">
        <v>23858</v>
      </c>
      <c r="BB908" s="6" t="s">
        <v>81</v>
      </c>
      <c r="BC908" s="26"/>
      <c r="BD908" s="26"/>
      <c r="BE908" s="26"/>
      <c r="BF908" s="26"/>
      <c r="BG908" s="26"/>
      <c r="BH908" s="26"/>
      <c r="BI908" s="26"/>
      <c r="BJ908" s="26"/>
      <c r="BK908" s="26"/>
      <c r="BL908" s="26"/>
      <c r="BM908" s="26"/>
      <c r="BN908" s="26"/>
      <c r="BO908" s="26"/>
      <c r="BP908" s="16" t="n">
        <v>45667</v>
      </c>
      <c r="BQ908" s="28" t="str">
        <f>HYPERLINK("https://organic.ams.usda.gov/Integrity/Certificate.aspx?cid=15&amp;nopid=5561004525")</f>
        <v>https://organic.ams.usda.gov/Integrity/Certificate.aspx?cid=15&amp;nopid=5561004525</v>
      </c>
    </row>
    <row r="909">
      <c r="A909" t="s">
        <v>3</v>
      </c>
      <c r="B909" s="6" t="s">
        <v>25</v>
      </c>
      <c r="C909" s="6" t="s">
        <v>72</v>
      </c>
      <c r="D909" s="6" t="s">
        <v>118</v>
      </c>
      <c r="E909" s="10" t="s">
        <v>1050</v>
      </c>
      <c r="F909" s="6" t="s">
        <v>3779</v>
      </c>
      <c r="G909" s="6" t="s">
        <v>81</v>
      </c>
      <c r="H909" s="6" t="s">
        <v>6727</v>
      </c>
      <c r="I909" s="6" t="s">
        <v>8925</v>
      </c>
      <c r="J909" s="6" t="s">
        <v>10112</v>
      </c>
      <c r="K909" s="6" t="s">
        <v>10886</v>
      </c>
      <c r="L909" s="16" t="n">
        <v>44812</v>
      </c>
      <c r="M909" s="16" t="n">
        <v>46023</v>
      </c>
      <c r="N909" s="6" t="s">
        <v>81</v>
      </c>
      <c r="O909" s="21" t="s">
        <v>81</v>
      </c>
      <c r="P909" s="6" t="s">
        <v>81</v>
      </c>
      <c r="Q909" s="6" t="s">
        <v>81</v>
      </c>
      <c r="R909" s="6" t="s">
        <v>81</v>
      </c>
      <c r="S909" s="6" t="s">
        <v>81</v>
      </c>
      <c r="T909" s="21" t="s">
        <v>81</v>
      </c>
      <c r="U909" s="6" t="s">
        <v>81</v>
      </c>
      <c r="V909" s="6" t="s">
        <v>81</v>
      </c>
      <c r="W909" s="6" t="s">
        <v>81</v>
      </c>
      <c r="X909" s="6" t="s">
        <v>81</v>
      </c>
      <c r="Y909" s="21" t="s">
        <v>81</v>
      </c>
      <c r="Z909" s="6" t="s">
        <v>81</v>
      </c>
      <c r="AA909" s="6" t="s">
        <v>81</v>
      </c>
      <c r="AB909" s="6" t="s">
        <v>81</v>
      </c>
      <c r="AC909" s="6" t="s">
        <v>10886</v>
      </c>
      <c r="AD909" s="16" t="n">
        <v>44812</v>
      </c>
      <c r="AE909" s="6" t="s">
        <v>14188</v>
      </c>
      <c r="AF909" s="6" t="s">
        <v>81</v>
      </c>
      <c r="AG909" s="6" t="s">
        <v>81</v>
      </c>
      <c r="AH909" s="6" t="s">
        <v>15488</v>
      </c>
      <c r="AI909" s="6" t="s">
        <v>81</v>
      </c>
      <c r="AJ909" s="6" t="s">
        <v>17805</v>
      </c>
      <c r="AK909" s="6" t="s">
        <v>18389</v>
      </c>
      <c r="AL909" s="6" t="s">
        <v>18444</v>
      </c>
      <c r="AM909" s="6" t="s">
        <v>18982</v>
      </c>
      <c r="AN909" s="6" t="s">
        <v>19649</v>
      </c>
      <c r="AO909" s="6" t="s">
        <v>19844</v>
      </c>
      <c r="AP909" s="6" t="s">
        <v>15488</v>
      </c>
      <c r="AQ909" s="6" t="s">
        <v>81</v>
      </c>
      <c r="AR909" s="6" t="s">
        <v>17805</v>
      </c>
      <c r="AS909" s="6" t="s">
        <v>18389</v>
      </c>
      <c r="AT909" s="6" t="s">
        <v>18444</v>
      </c>
      <c r="AU909" s="6" t="s">
        <v>18982</v>
      </c>
      <c r="AV909" s="6" t="s">
        <v>81</v>
      </c>
      <c r="AW909" s="6" t="s">
        <v>81</v>
      </c>
      <c r="AX909" s="6" t="s">
        <v>21327</v>
      </c>
      <c r="AY909" s="6" t="s">
        <v>22886</v>
      </c>
      <c r="AZ909" s="6" t="s">
        <v>23658</v>
      </c>
      <c r="BA909" s="6" t="s">
        <v>23827</v>
      </c>
      <c r="BB909" s="6" t="s">
        <v>81</v>
      </c>
      <c r="BC909" s="26" t="s">
        <v>23900</v>
      </c>
      <c r="BD909" s="26"/>
      <c r="BE909" s="26"/>
      <c r="BF909" s="26"/>
      <c r="BG909" s="26" t="s">
        <v>23900</v>
      </c>
      <c r="BH909" s="26" t="s">
        <v>23900</v>
      </c>
      <c r="BI909" s="26"/>
      <c r="BJ909" s="26"/>
      <c r="BK909" s="26"/>
      <c r="BL909" s="26"/>
      <c r="BM909" s="26"/>
      <c r="BN909" s="26" t="s">
        <v>23900</v>
      </c>
      <c r="BO909" s="26"/>
      <c r="BP909" s="16" t="n">
        <v>45701</v>
      </c>
      <c r="BQ909" s="28" t="str">
        <f>HYPERLINK("https://organic.ams.usda.gov/Integrity/Certificate.aspx?cid=15&amp;nopid=5561007451")</f>
        <v>https://organic.ams.usda.gov/Integrity/Certificate.aspx?cid=15&amp;nopid=5561007451</v>
      </c>
    </row>
    <row r="910">
      <c r="A910" t="s">
        <v>3</v>
      </c>
      <c r="B910" s="6" t="s">
        <v>38</v>
      </c>
      <c r="C910" s="6" t="s">
        <v>85</v>
      </c>
      <c r="D910" s="6" t="s">
        <v>130</v>
      </c>
      <c r="E910" s="10" t="s">
        <v>1051</v>
      </c>
      <c r="F910" s="6" t="s">
        <v>3780</v>
      </c>
      <c r="G910" s="6" t="s">
        <v>81</v>
      </c>
      <c r="H910" s="6" t="s">
        <v>6728</v>
      </c>
      <c r="I910" s="6" t="s">
        <v>8928</v>
      </c>
      <c r="J910" s="6" t="s">
        <v>9981</v>
      </c>
      <c r="K910" s="6" t="s">
        <v>10886</v>
      </c>
      <c r="L910" s="16" t="n">
        <v>43909</v>
      </c>
      <c r="M910" s="16" t="n">
        <v>45717</v>
      </c>
      <c r="N910" s="6" t="s">
        <v>10886</v>
      </c>
      <c r="O910" s="16" t="n">
        <v>43909</v>
      </c>
      <c r="P910" s="6" t="s">
        <v>11433</v>
      </c>
      <c r="Q910" s="6" t="s">
        <v>81</v>
      </c>
      <c r="R910" s="6" t="s">
        <v>81</v>
      </c>
      <c r="S910" s="6" t="s">
        <v>10886</v>
      </c>
      <c r="T910" s="16" t="n">
        <v>43909</v>
      </c>
      <c r="U910" s="6" t="s">
        <v>13489</v>
      </c>
      <c r="V910" s="6" t="s">
        <v>81</v>
      </c>
      <c r="W910" s="6" t="s">
        <v>81</v>
      </c>
      <c r="X910" s="6" t="s">
        <v>81</v>
      </c>
      <c r="Y910" s="21" t="s">
        <v>81</v>
      </c>
      <c r="Z910" s="6" t="s">
        <v>81</v>
      </c>
      <c r="AA910" s="6" t="s">
        <v>81</v>
      </c>
      <c r="AB910" s="6" t="s">
        <v>81</v>
      </c>
      <c r="AC910" s="6" t="s">
        <v>81</v>
      </c>
      <c r="AD910" s="21" t="s">
        <v>81</v>
      </c>
      <c r="AE910" s="6" t="s">
        <v>81</v>
      </c>
      <c r="AF910" s="6" t="s">
        <v>81</v>
      </c>
      <c r="AG910" s="6" t="s">
        <v>81</v>
      </c>
      <c r="AH910" s="6" t="s">
        <v>15489</v>
      </c>
      <c r="AI910" s="6" t="s">
        <v>81</v>
      </c>
      <c r="AJ910" s="6" t="s">
        <v>17680</v>
      </c>
      <c r="AK910" s="6" t="s">
        <v>18412</v>
      </c>
      <c r="AL910" s="6" t="s">
        <v>18444</v>
      </c>
      <c r="AM910" s="6" t="s">
        <v>18846</v>
      </c>
      <c r="AN910" s="6" t="s">
        <v>19659</v>
      </c>
      <c r="AO910" s="6" t="s">
        <v>19899</v>
      </c>
      <c r="AP910" s="6" t="s">
        <v>15489</v>
      </c>
      <c r="AQ910" s="6" t="s">
        <v>81</v>
      </c>
      <c r="AR910" s="6" t="s">
        <v>17680</v>
      </c>
      <c r="AS910" s="6" t="s">
        <v>18412</v>
      </c>
      <c r="AT910" s="6" t="s">
        <v>18444</v>
      </c>
      <c r="AU910" s="6" t="s">
        <v>18846</v>
      </c>
      <c r="AV910" s="6" t="s">
        <v>81</v>
      </c>
      <c r="AW910" s="6" t="s">
        <v>81</v>
      </c>
      <c r="AX910" s="6" t="s">
        <v>21328</v>
      </c>
      <c r="AY910" s="6" t="s">
        <v>22891</v>
      </c>
      <c r="AZ910" s="6" t="s">
        <v>81</v>
      </c>
      <c r="BA910" s="6" t="s">
        <v>81</v>
      </c>
      <c r="BB910" s="24" t="n">
        <v>70</v>
      </c>
      <c r="BC910" s="26"/>
      <c r="BD910" s="26"/>
      <c r="BE910" s="26"/>
      <c r="BF910" s="26"/>
      <c r="BG910" s="26"/>
      <c r="BH910" s="26"/>
      <c r="BI910" s="26"/>
      <c r="BJ910" s="26"/>
      <c r="BK910" s="26"/>
      <c r="BL910" s="26"/>
      <c r="BM910" s="26"/>
      <c r="BN910" s="26"/>
      <c r="BO910" s="26"/>
      <c r="BP910" s="16" t="n">
        <v>45723</v>
      </c>
      <c r="BQ910" s="28" t="str">
        <f>HYPERLINK("https://organic.ams.usda.gov/Integrity/Certificate.aspx?cid=33&amp;nopid=2170241103")</f>
        <v>https://organic.ams.usda.gov/Integrity/Certificate.aspx?cid=33&amp;nopid=2170241103</v>
      </c>
    </row>
    <row r="911">
      <c r="A911" t="s">
        <v>3</v>
      </c>
      <c r="B911" s="6" t="s">
        <v>20</v>
      </c>
      <c r="C911" s="6" t="s">
        <v>67</v>
      </c>
      <c r="D911" s="6" t="s">
        <v>113</v>
      </c>
      <c r="E911" s="10" t="s">
        <v>1052</v>
      </c>
      <c r="F911" s="6" t="s">
        <v>3781</v>
      </c>
      <c r="G911" s="6" t="s">
        <v>81</v>
      </c>
      <c r="H911" s="6" t="s">
        <v>6729</v>
      </c>
      <c r="I911" s="6" t="s">
        <v>3781</v>
      </c>
      <c r="J911" s="6" t="s">
        <v>10117</v>
      </c>
      <c r="K911" s="6" t="s">
        <v>10886</v>
      </c>
      <c r="L911" s="16" t="n">
        <v>40973</v>
      </c>
      <c r="M911" s="16" t="n">
        <v>45622</v>
      </c>
      <c r="N911" s="6" t="s">
        <v>81</v>
      </c>
      <c r="O911" s="21" t="s">
        <v>81</v>
      </c>
      <c r="P911" s="6" t="s">
        <v>81</v>
      </c>
      <c r="Q911" s="6" t="s">
        <v>81</v>
      </c>
      <c r="R911" s="6" t="s">
        <v>81</v>
      </c>
      <c r="S911" s="6" t="s">
        <v>81</v>
      </c>
      <c r="T911" s="21" t="s">
        <v>81</v>
      </c>
      <c r="U911" s="6" t="s">
        <v>81</v>
      </c>
      <c r="V911" s="6" t="s">
        <v>81</v>
      </c>
      <c r="W911" s="6" t="s">
        <v>81</v>
      </c>
      <c r="X911" s="6" t="s">
        <v>81</v>
      </c>
      <c r="Y911" s="21" t="s">
        <v>81</v>
      </c>
      <c r="Z911" s="6" t="s">
        <v>81</v>
      </c>
      <c r="AA911" s="6" t="s">
        <v>81</v>
      </c>
      <c r="AB911" s="6" t="s">
        <v>81</v>
      </c>
      <c r="AC911" s="6" t="s">
        <v>10886</v>
      </c>
      <c r="AD911" s="16" t="n">
        <v>40973</v>
      </c>
      <c r="AE911" s="6" t="s">
        <v>14189</v>
      </c>
      <c r="AF911" s="6" t="s">
        <v>81</v>
      </c>
      <c r="AG911" s="6" t="s">
        <v>14549</v>
      </c>
      <c r="AH911" s="6" t="s">
        <v>15490</v>
      </c>
      <c r="AI911" s="6" t="s">
        <v>81</v>
      </c>
      <c r="AJ911" s="6" t="s">
        <v>17806</v>
      </c>
      <c r="AK911" s="6" t="s">
        <v>18384</v>
      </c>
      <c r="AL911" s="6" t="s">
        <v>18444</v>
      </c>
      <c r="AM911" s="6" t="s">
        <v>18983</v>
      </c>
      <c r="AN911" s="6" t="s">
        <v>19690</v>
      </c>
      <c r="AO911" s="6" t="s">
        <v>19852</v>
      </c>
      <c r="AP911" s="6" t="s">
        <v>15491</v>
      </c>
      <c r="AQ911" s="6" t="s">
        <v>20478</v>
      </c>
      <c r="AR911" s="6" t="s">
        <v>17807</v>
      </c>
      <c r="AS911" s="6" t="s">
        <v>18384</v>
      </c>
      <c r="AT911" s="6" t="s">
        <v>18444</v>
      </c>
      <c r="AU911" s="6" t="s">
        <v>18984</v>
      </c>
      <c r="AV911" s="6" t="s">
        <v>81</v>
      </c>
      <c r="AW911" s="6" t="s">
        <v>81</v>
      </c>
      <c r="AX911" s="6" t="s">
        <v>20782</v>
      </c>
      <c r="AY911" s="6" t="s">
        <v>22892</v>
      </c>
      <c r="AZ911" s="6" t="s">
        <v>23659</v>
      </c>
      <c r="BA911" s="6" t="s">
        <v>81</v>
      </c>
      <c r="BB911" s="6" t="s">
        <v>81</v>
      </c>
      <c r="BC911" s="26"/>
      <c r="BD911" s="26"/>
      <c r="BE911" s="26"/>
      <c r="BF911" s="26"/>
      <c r="BG911" s="26"/>
      <c r="BH911" s="26"/>
      <c r="BI911" s="26"/>
      <c r="BJ911" s="26"/>
      <c r="BK911" s="26"/>
      <c r="BL911" s="26"/>
      <c r="BM911" s="26"/>
      <c r="BN911" s="26"/>
      <c r="BO911" s="26"/>
      <c r="BP911" s="16" t="n">
        <v>45737</v>
      </c>
      <c r="BQ911" s="28" t="str">
        <f>HYPERLINK("https://organic.ams.usda.gov/Integrity/Certificate.aspx?cid=71&amp;nopid=5520104556")</f>
        <v>https://organic.ams.usda.gov/Integrity/Certificate.aspx?cid=71&amp;nopid=5520104556</v>
      </c>
    </row>
    <row r="912">
      <c r="A912" t="s">
        <v>3</v>
      </c>
      <c r="B912" s="6" t="s">
        <v>20</v>
      </c>
      <c r="C912" s="6" t="s">
        <v>67</v>
      </c>
      <c r="D912" s="6" t="s">
        <v>113</v>
      </c>
      <c r="E912" s="10" t="s">
        <v>1053</v>
      </c>
      <c r="F912" s="6" t="s">
        <v>3781</v>
      </c>
      <c r="G912" s="6" t="s">
        <v>81</v>
      </c>
      <c r="H912" s="6" t="s">
        <v>6730</v>
      </c>
      <c r="I912" s="6" t="s">
        <v>3781</v>
      </c>
      <c r="J912" s="6" t="s">
        <v>10117</v>
      </c>
      <c r="K912" s="6" t="s">
        <v>10886</v>
      </c>
      <c r="L912" s="16" t="n">
        <v>37375</v>
      </c>
      <c r="M912" s="16" t="n">
        <v>45623</v>
      </c>
      <c r="N912" s="6" t="s">
        <v>81</v>
      </c>
      <c r="O912" s="21" t="s">
        <v>81</v>
      </c>
      <c r="P912" s="6" t="s">
        <v>81</v>
      </c>
      <c r="Q912" s="6" t="s">
        <v>81</v>
      </c>
      <c r="R912" s="6" t="s">
        <v>81</v>
      </c>
      <c r="S912" s="6" t="s">
        <v>81</v>
      </c>
      <c r="T912" s="21" t="s">
        <v>81</v>
      </c>
      <c r="U912" s="6" t="s">
        <v>81</v>
      </c>
      <c r="V912" s="6" t="s">
        <v>81</v>
      </c>
      <c r="W912" s="6" t="s">
        <v>81</v>
      </c>
      <c r="X912" s="6" t="s">
        <v>81</v>
      </c>
      <c r="Y912" s="21" t="s">
        <v>81</v>
      </c>
      <c r="Z912" s="6" t="s">
        <v>81</v>
      </c>
      <c r="AA912" s="6" t="s">
        <v>81</v>
      </c>
      <c r="AB912" s="6" t="s">
        <v>81</v>
      </c>
      <c r="AC912" s="6" t="s">
        <v>10886</v>
      </c>
      <c r="AD912" s="16" t="n">
        <v>37375</v>
      </c>
      <c r="AE912" s="6" t="s">
        <v>14190</v>
      </c>
      <c r="AF912" s="6" t="s">
        <v>81</v>
      </c>
      <c r="AG912" s="6" t="s">
        <v>14550</v>
      </c>
      <c r="AH912" s="6" t="s">
        <v>15491</v>
      </c>
      <c r="AI912" s="6" t="s">
        <v>81</v>
      </c>
      <c r="AJ912" s="6" t="s">
        <v>17807</v>
      </c>
      <c r="AK912" s="6" t="s">
        <v>18384</v>
      </c>
      <c r="AL912" s="6" t="s">
        <v>18444</v>
      </c>
      <c r="AM912" s="6" t="s">
        <v>18984</v>
      </c>
      <c r="AN912" s="6" t="s">
        <v>19683</v>
      </c>
      <c r="AO912" s="6" t="s">
        <v>19938</v>
      </c>
      <c r="AP912" s="6" t="s">
        <v>15491</v>
      </c>
      <c r="AQ912" s="6" t="s">
        <v>20478</v>
      </c>
      <c r="AR912" s="6" t="s">
        <v>17807</v>
      </c>
      <c r="AS912" s="6" t="s">
        <v>18384</v>
      </c>
      <c r="AT912" s="6" t="s">
        <v>18444</v>
      </c>
      <c r="AU912" s="6" t="s">
        <v>18984</v>
      </c>
      <c r="AV912" s="6" t="s">
        <v>81</v>
      </c>
      <c r="AW912" s="6" t="s">
        <v>81</v>
      </c>
      <c r="AX912" s="6" t="s">
        <v>20782</v>
      </c>
      <c r="AY912" s="6" t="s">
        <v>22892</v>
      </c>
      <c r="AZ912" s="6" t="s">
        <v>23659</v>
      </c>
      <c r="BA912" s="6" t="s">
        <v>81</v>
      </c>
      <c r="BB912" s="6" t="s">
        <v>81</v>
      </c>
      <c r="BC912" s="26"/>
      <c r="BD912" s="26"/>
      <c r="BE912" s="26" t="s">
        <v>23900</v>
      </c>
      <c r="BF912" s="26"/>
      <c r="BG912" s="26"/>
      <c r="BH912" s="26"/>
      <c r="BI912" s="26"/>
      <c r="BJ912" s="26"/>
      <c r="BK912" s="26"/>
      <c r="BL912" s="26"/>
      <c r="BM912" s="26"/>
      <c r="BN912" s="26"/>
      <c r="BO912" s="26"/>
      <c r="BP912" s="16" t="n">
        <v>45737</v>
      </c>
      <c r="BQ912" s="28" t="str">
        <f>HYPERLINK("https://organic.ams.usda.gov/Integrity/Certificate.aspx?cid=71&amp;nopid=5520030614")</f>
        <v>https://organic.ams.usda.gov/Integrity/Certificate.aspx?cid=71&amp;nopid=5520030614</v>
      </c>
    </row>
    <row r="913">
      <c r="A913" t="s">
        <v>3</v>
      </c>
      <c r="B913" s="6" t="s">
        <v>25</v>
      </c>
      <c r="C913" s="6" t="s">
        <v>72</v>
      </c>
      <c r="D913" s="6" t="s">
        <v>118</v>
      </c>
      <c r="E913" s="10" t="s">
        <v>1054</v>
      </c>
      <c r="F913" s="6" t="s">
        <v>3782</v>
      </c>
      <c r="G913" s="6" t="s">
        <v>5675</v>
      </c>
      <c r="H913" s="6" t="s">
        <v>6731</v>
      </c>
      <c r="I913" s="6" t="s">
        <v>8478</v>
      </c>
      <c r="J913" s="6" t="s">
        <v>10118</v>
      </c>
      <c r="K913" s="6" t="s">
        <v>10886</v>
      </c>
      <c r="L913" s="16" t="n">
        <v>31107</v>
      </c>
      <c r="M913" s="16" t="n">
        <v>46023</v>
      </c>
      <c r="N913" s="6" t="s">
        <v>10886</v>
      </c>
      <c r="O913" s="16" t="n">
        <v>31107</v>
      </c>
      <c r="P913" s="6" t="s">
        <v>11434</v>
      </c>
      <c r="Q913" s="6" t="s">
        <v>81</v>
      </c>
      <c r="R913" s="6" t="s">
        <v>81</v>
      </c>
      <c r="S913" s="6" t="s">
        <v>10886</v>
      </c>
      <c r="T913" s="16" t="n">
        <v>39036</v>
      </c>
      <c r="U913" s="6" t="s">
        <v>13490</v>
      </c>
      <c r="V913" s="6" t="s">
        <v>81</v>
      </c>
      <c r="W913" s="6" t="s">
        <v>81</v>
      </c>
      <c r="X913" s="6" t="s">
        <v>81</v>
      </c>
      <c r="Y913" s="21" t="s">
        <v>81</v>
      </c>
      <c r="Z913" s="6" t="s">
        <v>81</v>
      </c>
      <c r="AA913" s="6" t="s">
        <v>81</v>
      </c>
      <c r="AB913" s="6" t="s">
        <v>81</v>
      </c>
      <c r="AC913" s="6" t="s">
        <v>10886</v>
      </c>
      <c r="AD913" s="16" t="n">
        <v>38224</v>
      </c>
      <c r="AE913" s="6" t="s">
        <v>14191</v>
      </c>
      <c r="AF913" s="6" t="s">
        <v>81</v>
      </c>
      <c r="AG913" s="6" t="s">
        <v>81</v>
      </c>
      <c r="AH913" s="6" t="s">
        <v>15492</v>
      </c>
      <c r="AI913" s="6" t="s">
        <v>81</v>
      </c>
      <c r="AJ913" s="6" t="s">
        <v>17808</v>
      </c>
      <c r="AK913" s="6" t="s">
        <v>18386</v>
      </c>
      <c r="AL913" s="6" t="s">
        <v>18444</v>
      </c>
      <c r="AM913" s="6" t="s">
        <v>18985</v>
      </c>
      <c r="AN913" s="6" t="s">
        <v>19678</v>
      </c>
      <c r="AO913" s="6" t="s">
        <v>19939</v>
      </c>
      <c r="AP913" s="6" t="s">
        <v>20223</v>
      </c>
      <c r="AQ913" s="6" t="s">
        <v>81</v>
      </c>
      <c r="AR913" s="6" t="s">
        <v>17808</v>
      </c>
      <c r="AS913" s="6" t="s">
        <v>18386</v>
      </c>
      <c r="AT913" s="6" t="s">
        <v>18444</v>
      </c>
      <c r="AU913" s="6" t="s">
        <v>18985</v>
      </c>
      <c r="AV913" s="6" t="s">
        <v>81</v>
      </c>
      <c r="AW913" s="6" t="s">
        <v>81</v>
      </c>
      <c r="AX913" s="6" t="s">
        <v>21329</v>
      </c>
      <c r="AY913" s="6" t="s">
        <v>22893</v>
      </c>
      <c r="AZ913" s="6" t="s">
        <v>23660</v>
      </c>
      <c r="BA913" s="6" t="s">
        <v>23859</v>
      </c>
      <c r="BB913" s="24" t="n">
        <v>550</v>
      </c>
      <c r="BC913" s="26"/>
      <c r="BD913" s="26" t="s">
        <v>23900</v>
      </c>
      <c r="BE913" s="26"/>
      <c r="BF913" s="26"/>
      <c r="BG913" s="26"/>
      <c r="BH913" s="26"/>
      <c r="BI913" s="26"/>
      <c r="BJ913" s="26"/>
      <c r="BK913" s="26" t="s">
        <v>23900</v>
      </c>
      <c r="BL913" s="26"/>
      <c r="BM913" s="26"/>
      <c r="BN913" s="26"/>
      <c r="BO913" s="26"/>
      <c r="BP913" s="16" t="n">
        <v>45737</v>
      </c>
      <c r="BQ913" s="28" t="str">
        <f>HYPERLINK("https://organic.ams.usda.gov/Integrity/Certificate.aspx?cid=15&amp;nopid=5561003058")</f>
        <v>https://organic.ams.usda.gov/Integrity/Certificate.aspx?cid=15&amp;nopid=5561003058</v>
      </c>
    </row>
    <row r="914">
      <c r="A914" t="s">
        <v>3</v>
      </c>
      <c r="B914" s="6" t="s">
        <v>24</v>
      </c>
      <c r="C914" s="6" t="s">
        <v>71</v>
      </c>
      <c r="D914" s="6" t="s">
        <v>117</v>
      </c>
      <c r="E914" s="10" t="s">
        <v>1055</v>
      </c>
      <c r="F914" s="6" t="s">
        <v>3783</v>
      </c>
      <c r="G914" s="6" t="s">
        <v>81</v>
      </c>
      <c r="H914" s="6" t="s">
        <v>81</v>
      </c>
      <c r="I914" s="6" t="s">
        <v>8401</v>
      </c>
      <c r="J914" s="6" t="s">
        <v>10119</v>
      </c>
      <c r="K914" s="6" t="s">
        <v>10886</v>
      </c>
      <c r="L914" s="16" t="n">
        <v>44244</v>
      </c>
      <c r="M914" s="16" t="n">
        <v>45685</v>
      </c>
      <c r="N914" s="6" t="s">
        <v>81</v>
      </c>
      <c r="O914" s="21" t="s">
        <v>81</v>
      </c>
      <c r="P914" s="6" t="s">
        <v>81</v>
      </c>
      <c r="Q914" s="6" t="s">
        <v>81</v>
      </c>
      <c r="R914" s="6" t="s">
        <v>81</v>
      </c>
      <c r="S914" s="6" t="s">
        <v>81</v>
      </c>
      <c r="T914" s="21" t="s">
        <v>81</v>
      </c>
      <c r="U914" s="6" t="s">
        <v>81</v>
      </c>
      <c r="V914" s="6" t="s">
        <v>81</v>
      </c>
      <c r="W914" s="6" t="s">
        <v>81</v>
      </c>
      <c r="X914" s="6" t="s">
        <v>81</v>
      </c>
      <c r="Y914" s="21" t="s">
        <v>81</v>
      </c>
      <c r="Z914" s="6" t="s">
        <v>81</v>
      </c>
      <c r="AA914" s="6" t="s">
        <v>81</v>
      </c>
      <c r="AB914" s="6" t="s">
        <v>81</v>
      </c>
      <c r="AC914" s="6" t="s">
        <v>10886</v>
      </c>
      <c r="AD914" s="16" t="n">
        <v>44244</v>
      </c>
      <c r="AE914" s="6" t="s">
        <v>14192</v>
      </c>
      <c r="AF914" s="6" t="s">
        <v>81</v>
      </c>
      <c r="AG914" s="6" t="s">
        <v>14551</v>
      </c>
      <c r="AH914" s="6" t="s">
        <v>15493</v>
      </c>
      <c r="AI914" s="6" t="s">
        <v>81</v>
      </c>
      <c r="AJ914" s="6" t="s">
        <v>17756</v>
      </c>
      <c r="AK914" s="6" t="s">
        <v>18377</v>
      </c>
      <c r="AL914" s="6" t="s">
        <v>18444</v>
      </c>
      <c r="AM914" s="6" t="s">
        <v>18986</v>
      </c>
      <c r="AN914" s="6" t="s">
        <v>19682</v>
      </c>
      <c r="AO914" s="6" t="s">
        <v>19806</v>
      </c>
      <c r="AP914" s="6" t="s">
        <v>20224</v>
      </c>
      <c r="AQ914" s="6" t="s">
        <v>81</v>
      </c>
      <c r="AR914" s="6" t="s">
        <v>20525</v>
      </c>
      <c r="AS914" s="6" t="s">
        <v>18385</v>
      </c>
      <c r="AT914" s="6" t="s">
        <v>18444</v>
      </c>
      <c r="AU914" s="6" t="s">
        <v>20644</v>
      </c>
      <c r="AV914" s="6" t="s">
        <v>81</v>
      </c>
      <c r="AW914" s="6" t="s">
        <v>81</v>
      </c>
      <c r="AX914" s="6" t="s">
        <v>81</v>
      </c>
      <c r="AY914" s="6" t="s">
        <v>22894</v>
      </c>
      <c r="AZ914" s="6" t="s">
        <v>81</v>
      </c>
      <c r="BA914" s="6" t="s">
        <v>81</v>
      </c>
      <c r="BB914" s="6" t="s">
        <v>81</v>
      </c>
      <c r="BC914" s="26"/>
      <c r="BD914" s="26"/>
      <c r="BE914" s="26"/>
      <c r="BF914" s="26"/>
      <c r="BG914" s="26"/>
      <c r="BH914" s="26"/>
      <c r="BI914" s="26"/>
      <c r="BJ914" s="26"/>
      <c r="BK914" s="26"/>
      <c r="BL914" s="26"/>
      <c r="BM914" s="26"/>
      <c r="BN914" s="26"/>
      <c r="BO914" s="26"/>
      <c r="BP914" s="16" t="n">
        <v>45677</v>
      </c>
      <c r="BQ914" s="28" t="str">
        <f>HYPERLINK("https://organic.ams.usda.gov/Integrity/Certificate.aspx?cid=1&amp;nopid=9092102802")</f>
        <v>https://organic.ams.usda.gov/Integrity/Certificate.aspx?cid=1&amp;nopid=9092102802</v>
      </c>
    </row>
    <row r="915">
      <c r="A915" t="s">
        <v>3</v>
      </c>
      <c r="B915" s="6" t="s">
        <v>14</v>
      </c>
      <c r="C915" s="6" t="s">
        <v>61</v>
      </c>
      <c r="D915" s="6" t="s">
        <v>107</v>
      </c>
      <c r="E915" s="10" t="s">
        <v>1056</v>
      </c>
      <c r="F915" s="6" t="s">
        <v>3784</v>
      </c>
      <c r="G915" s="6" t="s">
        <v>81</v>
      </c>
      <c r="H915" s="6" t="s">
        <v>6732</v>
      </c>
      <c r="I915" s="6" t="s">
        <v>8929</v>
      </c>
      <c r="J915" s="6" t="s">
        <v>10120</v>
      </c>
      <c r="K915" s="6" t="s">
        <v>10886</v>
      </c>
      <c r="L915" s="16" t="n">
        <v>45471</v>
      </c>
      <c r="M915" s="16" t="n">
        <v>45778</v>
      </c>
      <c r="N915" s="6" t="s">
        <v>81</v>
      </c>
      <c r="O915" s="21" t="s">
        <v>81</v>
      </c>
      <c r="P915" s="6" t="s">
        <v>81</v>
      </c>
      <c r="Q915" s="6" t="s">
        <v>81</v>
      </c>
      <c r="R915" s="6" t="s">
        <v>81</v>
      </c>
      <c r="S915" s="6" t="s">
        <v>81</v>
      </c>
      <c r="T915" s="21" t="s">
        <v>81</v>
      </c>
      <c r="U915" s="6" t="s">
        <v>81</v>
      </c>
      <c r="V915" s="6" t="s">
        <v>81</v>
      </c>
      <c r="W915" s="6" t="s">
        <v>81</v>
      </c>
      <c r="X915" s="6" t="s">
        <v>81</v>
      </c>
      <c r="Y915" s="21" t="s">
        <v>81</v>
      </c>
      <c r="Z915" s="6" t="s">
        <v>81</v>
      </c>
      <c r="AA915" s="6" t="s">
        <v>81</v>
      </c>
      <c r="AB915" s="6" t="s">
        <v>81</v>
      </c>
      <c r="AC915" s="6" t="s">
        <v>10886</v>
      </c>
      <c r="AD915" s="16" t="n">
        <v>45471</v>
      </c>
      <c r="AE915" s="6" t="s">
        <v>14193</v>
      </c>
      <c r="AF915" s="6" t="s">
        <v>81</v>
      </c>
      <c r="AG915" s="6" t="s">
        <v>81</v>
      </c>
      <c r="AH915" s="6" t="s">
        <v>15494</v>
      </c>
      <c r="AI915" s="6" t="s">
        <v>81</v>
      </c>
      <c r="AJ915" s="6" t="s">
        <v>17809</v>
      </c>
      <c r="AK915" s="6" t="s">
        <v>18386</v>
      </c>
      <c r="AL915" s="6" t="s">
        <v>18444</v>
      </c>
      <c r="AM915" s="6" t="s">
        <v>18987</v>
      </c>
      <c r="AN915" s="6" t="s">
        <v>81</v>
      </c>
      <c r="AO915" s="6" t="s">
        <v>81</v>
      </c>
      <c r="AP915" s="6" t="s">
        <v>15494</v>
      </c>
      <c r="AQ915" s="6" t="s">
        <v>81</v>
      </c>
      <c r="AR915" s="6" t="s">
        <v>17809</v>
      </c>
      <c r="AS915" s="6" t="s">
        <v>18386</v>
      </c>
      <c r="AT915" s="6" t="s">
        <v>18444</v>
      </c>
      <c r="AU915" s="6" t="s">
        <v>18987</v>
      </c>
      <c r="AV915" s="6" t="s">
        <v>81</v>
      </c>
      <c r="AW915" s="6" t="s">
        <v>81</v>
      </c>
      <c r="AX915" s="6" t="s">
        <v>21330</v>
      </c>
      <c r="AY915" s="6" t="s">
        <v>22895</v>
      </c>
      <c r="AZ915" s="6" t="s">
        <v>81</v>
      </c>
      <c r="BA915" s="6" t="s">
        <v>81</v>
      </c>
      <c r="BB915" s="24" t="n">
        <v>0</v>
      </c>
      <c r="BC915" s="26"/>
      <c r="BD915" s="26"/>
      <c r="BE915" s="26"/>
      <c r="BF915" s="26"/>
      <c r="BG915" s="26"/>
      <c r="BH915" s="26" t="s">
        <v>23900</v>
      </c>
      <c r="BI915" s="26"/>
      <c r="BJ915" s="26"/>
      <c r="BK915" s="26"/>
      <c r="BL915" s="26"/>
      <c r="BM915" s="26"/>
      <c r="BN915" s="26"/>
      <c r="BO915" s="26"/>
      <c r="BP915" s="16" t="n">
        <v>45664</v>
      </c>
      <c r="BQ915" s="28" t="str">
        <f>HYPERLINK("https://organic.ams.usda.gov/Integrity/Certificate.aspx?cid=51&amp;nopid=8241000047")</f>
        <v>https://organic.ams.usda.gov/Integrity/Certificate.aspx?cid=51&amp;nopid=8241000047</v>
      </c>
    </row>
    <row r="916">
      <c r="A916" t="s">
        <v>3</v>
      </c>
      <c r="B916" s="6" t="s">
        <v>23</v>
      </c>
      <c r="C916" s="6" t="s">
        <v>70</v>
      </c>
      <c r="D916" s="6" t="s">
        <v>116</v>
      </c>
      <c r="E916" s="10" t="s">
        <v>1057</v>
      </c>
      <c r="F916" s="6" t="s">
        <v>3785</v>
      </c>
      <c r="G916" s="6" t="s">
        <v>81</v>
      </c>
      <c r="H916" s="6" t="s">
        <v>6733</v>
      </c>
      <c r="I916" s="6" t="s">
        <v>8565</v>
      </c>
      <c r="J916" s="6" t="s">
        <v>10121</v>
      </c>
      <c r="K916" s="6" t="s">
        <v>10886</v>
      </c>
      <c r="L916" s="16" t="n">
        <v>42814</v>
      </c>
      <c r="M916" s="16" t="n">
        <v>45858</v>
      </c>
      <c r="N916" s="6" t="s">
        <v>10886</v>
      </c>
      <c r="O916" s="16" t="n">
        <v>42814</v>
      </c>
      <c r="P916" s="6" t="s">
        <v>11031</v>
      </c>
      <c r="Q916" s="6" t="s">
        <v>81</v>
      </c>
      <c r="R916" s="6" t="s">
        <v>12688</v>
      </c>
      <c r="S916" s="6" t="s">
        <v>10886</v>
      </c>
      <c r="T916" s="16" t="n">
        <v>42814</v>
      </c>
      <c r="U916" s="6" t="s">
        <v>13491</v>
      </c>
      <c r="V916" s="6" t="s">
        <v>81</v>
      </c>
      <c r="W916" s="6" t="s">
        <v>12688</v>
      </c>
      <c r="X916" s="6" t="s">
        <v>81</v>
      </c>
      <c r="Y916" s="21" t="s">
        <v>81</v>
      </c>
      <c r="Z916" s="6" t="s">
        <v>81</v>
      </c>
      <c r="AA916" s="6" t="s">
        <v>81</v>
      </c>
      <c r="AB916" s="6" t="s">
        <v>81</v>
      </c>
      <c r="AC916" s="6" t="s">
        <v>81</v>
      </c>
      <c r="AD916" s="21" t="s">
        <v>81</v>
      </c>
      <c r="AE916" s="6" t="s">
        <v>81</v>
      </c>
      <c r="AF916" s="6" t="s">
        <v>81</v>
      </c>
      <c r="AG916" s="6" t="s">
        <v>81</v>
      </c>
      <c r="AH916" s="6" t="s">
        <v>81</v>
      </c>
      <c r="AI916" s="6" t="s">
        <v>81</v>
      </c>
      <c r="AJ916" s="6" t="s">
        <v>81</v>
      </c>
      <c r="AK916" s="6" t="s">
        <v>81</v>
      </c>
      <c r="AL916" s="6" t="s">
        <v>81</v>
      </c>
      <c r="AM916" s="6" t="s">
        <v>81</v>
      </c>
      <c r="AN916" s="6" t="s">
        <v>81</v>
      </c>
      <c r="AO916" s="6" t="s">
        <v>81</v>
      </c>
      <c r="AP916" s="6" t="s">
        <v>20225</v>
      </c>
      <c r="AQ916" s="6" t="s">
        <v>81</v>
      </c>
      <c r="AR916" s="6" t="s">
        <v>17954</v>
      </c>
      <c r="AS916" s="6" t="s">
        <v>18386</v>
      </c>
      <c r="AT916" s="6" t="s">
        <v>18444</v>
      </c>
      <c r="AU916" s="6" t="s">
        <v>18725</v>
      </c>
      <c r="AV916" s="6" t="s">
        <v>19672</v>
      </c>
      <c r="AW916" s="6" t="s">
        <v>19787</v>
      </c>
      <c r="AX916" s="6" t="s">
        <v>21331</v>
      </c>
      <c r="AY916" s="6" t="s">
        <v>22896</v>
      </c>
      <c r="AZ916" s="6" t="s">
        <v>81</v>
      </c>
      <c r="BA916" s="6" t="s">
        <v>81</v>
      </c>
      <c r="BB916" s="24" t="n">
        <v>535</v>
      </c>
      <c r="BC916" s="26"/>
      <c r="BD916" s="26"/>
      <c r="BE916" s="26"/>
      <c r="BF916" s="26"/>
      <c r="BG916" s="26"/>
      <c r="BH916" s="26"/>
      <c r="BI916" s="26"/>
      <c r="BJ916" s="26"/>
      <c r="BK916" s="26"/>
      <c r="BL916" s="26"/>
      <c r="BM916" s="26"/>
      <c r="BN916" s="26"/>
      <c r="BO916" s="26"/>
      <c r="BP916" s="16" t="n">
        <v>45700</v>
      </c>
      <c r="BQ916" s="28" t="str">
        <f>HYPERLINK("https://organic.ams.usda.gov/Integrity/Certificate.aspx?cid=63&amp;nopid=6220007393")</f>
        <v>https://organic.ams.usda.gov/Integrity/Certificate.aspx?cid=63&amp;nopid=6220007393</v>
      </c>
    </row>
    <row r="917">
      <c r="A917" t="s">
        <v>3</v>
      </c>
      <c r="B917" s="6" t="s">
        <v>16</v>
      </c>
      <c r="C917" s="6" t="s">
        <v>63</v>
      </c>
      <c r="D917" s="6" t="s">
        <v>109</v>
      </c>
      <c r="E917" s="10" t="s">
        <v>1058</v>
      </c>
      <c r="F917" s="6" t="s">
        <v>3786</v>
      </c>
      <c r="G917" s="6" t="s">
        <v>81</v>
      </c>
      <c r="H917" s="6" t="s">
        <v>6734</v>
      </c>
      <c r="I917" s="6" t="s">
        <v>8930</v>
      </c>
      <c r="J917" s="6" t="s">
        <v>10122</v>
      </c>
      <c r="K917" s="6" t="s">
        <v>10886</v>
      </c>
      <c r="L917" s="16" t="n">
        <v>38018</v>
      </c>
      <c r="M917" s="16" t="n">
        <v>45731</v>
      </c>
      <c r="N917" s="6" t="s">
        <v>10886</v>
      </c>
      <c r="O917" s="16" t="n">
        <v>38018</v>
      </c>
      <c r="P917" s="6" t="s">
        <v>11435</v>
      </c>
      <c r="Q917" s="6" t="s">
        <v>81</v>
      </c>
      <c r="R917" s="6" t="s">
        <v>81</v>
      </c>
      <c r="S917" s="6" t="s">
        <v>10886</v>
      </c>
      <c r="T917" s="16" t="n">
        <v>38018</v>
      </c>
      <c r="U917" s="6" t="s">
        <v>13350</v>
      </c>
      <c r="V917" s="6" t="s">
        <v>81</v>
      </c>
      <c r="W917" s="6" t="s">
        <v>81</v>
      </c>
      <c r="X917" s="6" t="s">
        <v>81</v>
      </c>
      <c r="Y917" s="21" t="s">
        <v>81</v>
      </c>
      <c r="Z917" s="6" t="s">
        <v>81</v>
      </c>
      <c r="AA917" s="6" t="s">
        <v>81</v>
      </c>
      <c r="AB917" s="6" t="s">
        <v>81</v>
      </c>
      <c r="AC917" s="6" t="s">
        <v>10886</v>
      </c>
      <c r="AD917" s="16" t="n">
        <v>38018</v>
      </c>
      <c r="AE917" s="6" t="s">
        <v>14065</v>
      </c>
      <c r="AF917" s="6" t="s">
        <v>81</v>
      </c>
      <c r="AG917" s="6" t="s">
        <v>81</v>
      </c>
      <c r="AH917" s="6" t="s">
        <v>15495</v>
      </c>
      <c r="AI917" s="6" t="s">
        <v>81</v>
      </c>
      <c r="AJ917" s="6" t="s">
        <v>17810</v>
      </c>
      <c r="AK917" s="6" t="s">
        <v>18383</v>
      </c>
      <c r="AL917" s="6" t="s">
        <v>18444</v>
      </c>
      <c r="AM917" s="6" t="s">
        <v>18988</v>
      </c>
      <c r="AN917" s="6" t="s">
        <v>19662</v>
      </c>
      <c r="AO917" s="6" t="s">
        <v>19940</v>
      </c>
      <c r="AP917" s="6" t="s">
        <v>20226</v>
      </c>
      <c r="AQ917" s="6" t="s">
        <v>81</v>
      </c>
      <c r="AR917" s="6" t="s">
        <v>20526</v>
      </c>
      <c r="AS917" s="6" t="s">
        <v>18383</v>
      </c>
      <c r="AT917" s="6" t="s">
        <v>18444</v>
      </c>
      <c r="AU917" s="6" t="s">
        <v>20645</v>
      </c>
      <c r="AV917" s="6" t="s">
        <v>81</v>
      </c>
      <c r="AW917" s="6" t="s">
        <v>81</v>
      </c>
      <c r="AX917" s="6" t="s">
        <v>21332</v>
      </c>
      <c r="AY917" s="6" t="s">
        <v>81</v>
      </c>
      <c r="AZ917" s="6" t="s">
        <v>23661</v>
      </c>
      <c r="BA917" s="6" t="s">
        <v>81</v>
      </c>
      <c r="BB917" s="24" t="n">
        <v>509</v>
      </c>
      <c r="BC917" s="26"/>
      <c r="BD917" s="26"/>
      <c r="BE917" s="26"/>
      <c r="BF917" s="26"/>
      <c r="BG917" s="26"/>
      <c r="BH917" s="26"/>
      <c r="BI917" s="26"/>
      <c r="BJ917" s="26"/>
      <c r="BK917" s="26"/>
      <c r="BL917" s="26"/>
      <c r="BM917" s="26"/>
      <c r="BN917" s="26"/>
      <c r="BO917" s="26"/>
      <c r="BP917" s="16" t="n">
        <v>45701</v>
      </c>
      <c r="BQ917" s="28" t="str">
        <f>HYPERLINK("https://organic.ams.usda.gov/Integrity/Certificate.aspx?cid=81&amp;nopid=4210003055")</f>
        <v>https://organic.ams.usda.gov/Integrity/Certificate.aspx?cid=81&amp;nopid=4210003055</v>
      </c>
    </row>
    <row r="918">
      <c r="A918" t="s">
        <v>3</v>
      </c>
      <c r="B918" s="6" t="s">
        <v>11</v>
      </c>
      <c r="C918" s="6" t="s">
        <v>58</v>
      </c>
      <c r="D918" s="6" t="s">
        <v>104</v>
      </c>
      <c r="E918" s="10" t="s">
        <v>1059</v>
      </c>
      <c r="F918" s="6" t="s">
        <v>3787</v>
      </c>
      <c r="G918" s="6" t="s">
        <v>81</v>
      </c>
      <c r="H918" s="6" t="s">
        <v>81</v>
      </c>
      <c r="I918" s="6" t="s">
        <v>8931</v>
      </c>
      <c r="J918" s="6" t="s">
        <v>9669</v>
      </c>
      <c r="K918" s="6" t="s">
        <v>10886</v>
      </c>
      <c r="L918" s="16" t="n">
        <v>44680</v>
      </c>
      <c r="M918" s="16" t="n">
        <v>45383</v>
      </c>
      <c r="N918" s="6" t="s">
        <v>10886</v>
      </c>
      <c r="O918" s="16" t="n">
        <v>44680</v>
      </c>
      <c r="P918" s="6" t="s">
        <v>11436</v>
      </c>
      <c r="Q918" s="6" t="s">
        <v>81</v>
      </c>
      <c r="R918" s="6" t="s">
        <v>81</v>
      </c>
      <c r="S918" s="6" t="s">
        <v>10886</v>
      </c>
      <c r="T918" s="16" t="n">
        <v>44680</v>
      </c>
      <c r="U918" s="6" t="s">
        <v>13492</v>
      </c>
      <c r="V918" s="6" t="s">
        <v>81</v>
      </c>
      <c r="W918" s="6" t="s">
        <v>81</v>
      </c>
      <c r="X918" s="6" t="s">
        <v>81</v>
      </c>
      <c r="Y918" s="21" t="s">
        <v>81</v>
      </c>
      <c r="Z918" s="6" t="s">
        <v>81</v>
      </c>
      <c r="AA918" s="6" t="s">
        <v>81</v>
      </c>
      <c r="AB918" s="6" t="s">
        <v>81</v>
      </c>
      <c r="AC918" s="6" t="s">
        <v>81</v>
      </c>
      <c r="AD918" s="21" t="s">
        <v>81</v>
      </c>
      <c r="AE918" s="6" t="s">
        <v>81</v>
      </c>
      <c r="AF918" s="6" t="s">
        <v>81</v>
      </c>
      <c r="AG918" s="6" t="s">
        <v>81</v>
      </c>
      <c r="AH918" s="6" t="s">
        <v>15496</v>
      </c>
      <c r="AI918" s="6" t="s">
        <v>81</v>
      </c>
      <c r="AJ918" s="6" t="s">
        <v>17384</v>
      </c>
      <c r="AK918" s="6" t="s">
        <v>18377</v>
      </c>
      <c r="AL918" s="6" t="s">
        <v>18444</v>
      </c>
      <c r="AM918" s="6" t="s">
        <v>18538</v>
      </c>
      <c r="AN918" s="6" t="s">
        <v>19664</v>
      </c>
      <c r="AO918" s="6" t="s">
        <v>19767</v>
      </c>
      <c r="AP918" s="6" t="s">
        <v>15496</v>
      </c>
      <c r="AQ918" s="6" t="s">
        <v>81</v>
      </c>
      <c r="AR918" s="6" t="s">
        <v>17384</v>
      </c>
      <c r="AS918" s="6" t="s">
        <v>18377</v>
      </c>
      <c r="AT918" s="6" t="s">
        <v>18444</v>
      </c>
      <c r="AU918" s="6" t="s">
        <v>18538</v>
      </c>
      <c r="AV918" s="6" t="s">
        <v>81</v>
      </c>
      <c r="AW918" s="6" t="s">
        <v>81</v>
      </c>
      <c r="AX918" s="6" t="s">
        <v>21333</v>
      </c>
      <c r="AY918" s="6" t="s">
        <v>81</v>
      </c>
      <c r="AZ918" s="6" t="s">
        <v>81</v>
      </c>
      <c r="BA918" s="6" t="s">
        <v>81</v>
      </c>
      <c r="BB918" s="24" t="n">
        <v>84</v>
      </c>
      <c r="BC918" s="26"/>
      <c r="BD918" s="26"/>
      <c r="BE918" s="26"/>
      <c r="BF918" s="26"/>
      <c r="BG918" s="26"/>
      <c r="BH918" s="26"/>
      <c r="BI918" s="26"/>
      <c r="BJ918" s="26"/>
      <c r="BK918" s="26"/>
      <c r="BL918" s="26"/>
      <c r="BM918" s="26"/>
      <c r="BN918" s="26"/>
      <c r="BO918" s="26"/>
      <c r="BP918" s="16" t="n">
        <v>45442</v>
      </c>
      <c r="BQ918" s="28" t="str">
        <f>HYPERLINK("https://organic.ams.usda.gov/Integrity/Certificate.aspx?cid=46&amp;nopid=3672200009")</f>
        <v>https://organic.ams.usda.gov/Integrity/Certificate.aspx?cid=46&amp;nopid=3672200009</v>
      </c>
    </row>
    <row r="919">
      <c r="A919" t="s">
        <v>3</v>
      </c>
      <c r="B919" s="6" t="s">
        <v>7</v>
      </c>
      <c r="C919" s="6" t="s">
        <v>54</v>
      </c>
      <c r="D919" s="6" t="s">
        <v>100</v>
      </c>
      <c r="E919" s="10" t="s">
        <v>1060</v>
      </c>
      <c r="F919" s="6" t="s">
        <v>3788</v>
      </c>
      <c r="G919" s="6" t="s">
        <v>81</v>
      </c>
      <c r="H919" s="6" t="s">
        <v>6735</v>
      </c>
      <c r="I919" s="6" t="s">
        <v>8932</v>
      </c>
      <c r="J919" s="6" t="s">
        <v>10123</v>
      </c>
      <c r="K919" s="6" t="s">
        <v>10886</v>
      </c>
      <c r="L919" s="16" t="n">
        <v>39038</v>
      </c>
      <c r="M919" s="16" t="n">
        <v>45716</v>
      </c>
      <c r="N919" s="6" t="s">
        <v>10886</v>
      </c>
      <c r="O919" s="16" t="n">
        <v>39038</v>
      </c>
      <c r="P919" s="6" t="s">
        <v>11437</v>
      </c>
      <c r="Q919" s="6" t="s">
        <v>81</v>
      </c>
      <c r="R919" s="6" t="s">
        <v>81</v>
      </c>
      <c r="S919" s="6" t="s">
        <v>10886</v>
      </c>
      <c r="T919" s="16" t="n">
        <v>39038</v>
      </c>
      <c r="U919" s="6" t="s">
        <v>13169</v>
      </c>
      <c r="V919" s="6" t="s">
        <v>81</v>
      </c>
      <c r="W919" s="6" t="s">
        <v>81</v>
      </c>
      <c r="X919" s="6" t="s">
        <v>81</v>
      </c>
      <c r="Y919" s="21" t="s">
        <v>81</v>
      </c>
      <c r="Z919" s="6" t="s">
        <v>81</v>
      </c>
      <c r="AA919" s="6" t="s">
        <v>81</v>
      </c>
      <c r="AB919" s="6" t="s">
        <v>81</v>
      </c>
      <c r="AC919" s="6" t="s">
        <v>10886</v>
      </c>
      <c r="AD919" s="16" t="n">
        <v>42104</v>
      </c>
      <c r="AE919" s="6" t="s">
        <v>14194</v>
      </c>
      <c r="AF919" s="6" t="s">
        <v>81</v>
      </c>
      <c r="AG919" s="6" t="s">
        <v>81</v>
      </c>
      <c r="AH919" s="6" t="s">
        <v>15497</v>
      </c>
      <c r="AI919" s="6" t="s">
        <v>81</v>
      </c>
      <c r="AJ919" s="6" t="s">
        <v>17811</v>
      </c>
      <c r="AK919" s="6" t="s">
        <v>17712</v>
      </c>
      <c r="AL919" s="6" t="s">
        <v>18444</v>
      </c>
      <c r="AM919" s="6" t="s">
        <v>18989</v>
      </c>
      <c r="AN919" s="6" t="s">
        <v>19665</v>
      </c>
      <c r="AO919" s="6" t="s">
        <v>19834</v>
      </c>
      <c r="AP919" s="6" t="s">
        <v>15497</v>
      </c>
      <c r="AQ919" s="6" t="s">
        <v>81</v>
      </c>
      <c r="AR919" s="6" t="s">
        <v>17811</v>
      </c>
      <c r="AS919" s="6" t="s">
        <v>17712</v>
      </c>
      <c r="AT919" s="6" t="s">
        <v>18444</v>
      </c>
      <c r="AU919" s="6" t="s">
        <v>18989</v>
      </c>
      <c r="AV919" s="6" t="s">
        <v>81</v>
      </c>
      <c r="AW919" s="6" t="s">
        <v>81</v>
      </c>
      <c r="AX919" s="6" t="s">
        <v>21334</v>
      </c>
      <c r="AY919" s="6" t="s">
        <v>22897</v>
      </c>
      <c r="AZ919" s="6" t="s">
        <v>23662</v>
      </c>
      <c r="BA919" s="6" t="s">
        <v>81</v>
      </c>
      <c r="BB919" s="24" t="n">
        <v>2913</v>
      </c>
      <c r="BC919" s="26"/>
      <c r="BD919" s="26"/>
      <c r="BE919" s="26"/>
      <c r="BF919" s="26" t="s">
        <v>23900</v>
      </c>
      <c r="BG919" s="26"/>
      <c r="BH919" s="26"/>
      <c r="BI919" s="26"/>
      <c r="BJ919" s="26"/>
      <c r="BK919" s="26"/>
      <c r="BL919" s="26"/>
      <c r="BM919" s="26"/>
      <c r="BN919" s="26"/>
      <c r="BO919" s="26"/>
      <c r="BP919" s="16" t="n">
        <v>45616</v>
      </c>
      <c r="BQ919" s="28" t="str">
        <f>HYPERLINK("https://organic.ams.usda.gov/Integrity/Certificate.aspx?cid=57&amp;nopid=3250200646")</f>
        <v>https://organic.ams.usda.gov/Integrity/Certificate.aspx?cid=57&amp;nopid=3250200646</v>
      </c>
    </row>
    <row r="920">
      <c r="A920" t="s">
        <v>3</v>
      </c>
      <c r="B920" s="6" t="s">
        <v>10</v>
      </c>
      <c r="C920" s="6" t="s">
        <v>57</v>
      </c>
      <c r="D920" s="6" t="s">
        <v>103</v>
      </c>
      <c r="E920" s="10" t="s">
        <v>1061</v>
      </c>
      <c r="F920" s="6" t="s">
        <v>3789</v>
      </c>
      <c r="G920" s="6" t="s">
        <v>81</v>
      </c>
      <c r="H920" s="6" t="s">
        <v>6736</v>
      </c>
      <c r="I920" s="6" t="s">
        <v>8933</v>
      </c>
      <c r="J920" s="6" t="s">
        <v>10040</v>
      </c>
      <c r="K920" s="6" t="s">
        <v>10886</v>
      </c>
      <c r="L920" s="16" t="n">
        <v>44333</v>
      </c>
      <c r="M920" s="16" t="n">
        <v>45748</v>
      </c>
      <c r="N920" s="6" t="s">
        <v>10886</v>
      </c>
      <c r="O920" s="16" t="n">
        <v>44333</v>
      </c>
      <c r="P920" s="6" t="s">
        <v>11424</v>
      </c>
      <c r="Q920" s="6" t="s">
        <v>81</v>
      </c>
      <c r="R920" s="6" t="s">
        <v>12689</v>
      </c>
      <c r="S920" s="6" t="s">
        <v>10886</v>
      </c>
      <c r="T920" s="16" t="n">
        <v>45398</v>
      </c>
      <c r="U920" s="6" t="s">
        <v>13163</v>
      </c>
      <c r="V920" s="6" t="s">
        <v>81</v>
      </c>
      <c r="W920" s="6" t="s">
        <v>81</v>
      </c>
      <c r="X920" s="6" t="s">
        <v>81</v>
      </c>
      <c r="Y920" s="21" t="s">
        <v>81</v>
      </c>
      <c r="Z920" s="6" t="s">
        <v>81</v>
      </c>
      <c r="AA920" s="6" t="s">
        <v>81</v>
      </c>
      <c r="AB920" s="6" t="s">
        <v>81</v>
      </c>
      <c r="AC920" s="6" t="s">
        <v>81</v>
      </c>
      <c r="AD920" s="21" t="s">
        <v>81</v>
      </c>
      <c r="AE920" s="6" t="s">
        <v>81</v>
      </c>
      <c r="AF920" s="6" t="s">
        <v>81</v>
      </c>
      <c r="AG920" s="6" t="s">
        <v>81</v>
      </c>
      <c r="AH920" s="6" t="s">
        <v>15498</v>
      </c>
      <c r="AI920" s="6" t="s">
        <v>81</v>
      </c>
      <c r="AJ920" s="6" t="s">
        <v>17727</v>
      </c>
      <c r="AK920" s="6" t="s">
        <v>18379</v>
      </c>
      <c r="AL920" s="6" t="s">
        <v>18444</v>
      </c>
      <c r="AM920" s="6" t="s">
        <v>18896</v>
      </c>
      <c r="AN920" s="6" t="s">
        <v>19642</v>
      </c>
      <c r="AO920" s="6" t="s">
        <v>19799</v>
      </c>
      <c r="AP920" s="6" t="s">
        <v>15498</v>
      </c>
      <c r="AQ920" s="6" t="s">
        <v>81</v>
      </c>
      <c r="AR920" s="6" t="s">
        <v>17727</v>
      </c>
      <c r="AS920" s="6" t="s">
        <v>18379</v>
      </c>
      <c r="AT920" s="6" t="s">
        <v>18444</v>
      </c>
      <c r="AU920" s="6" t="s">
        <v>18896</v>
      </c>
      <c r="AV920" s="6" t="s">
        <v>81</v>
      </c>
      <c r="AW920" s="6" t="s">
        <v>81</v>
      </c>
      <c r="AX920" s="6" t="s">
        <v>21335</v>
      </c>
      <c r="AY920" s="6" t="s">
        <v>81</v>
      </c>
      <c r="AZ920" s="6" t="s">
        <v>81</v>
      </c>
      <c r="BA920" s="6" t="s">
        <v>81</v>
      </c>
      <c r="BB920" s="24" t="n">
        <v>130</v>
      </c>
      <c r="BC920" s="26"/>
      <c r="BD920" s="26"/>
      <c r="BE920" s="26"/>
      <c r="BF920" s="26"/>
      <c r="BG920" s="26"/>
      <c r="BH920" s="26"/>
      <c r="BI920" s="26"/>
      <c r="BJ920" s="26"/>
      <c r="BK920" s="26"/>
      <c r="BL920" s="26"/>
      <c r="BM920" s="26"/>
      <c r="BN920" s="26"/>
      <c r="BO920" s="26"/>
      <c r="BP920" s="16" t="n">
        <v>45730</v>
      </c>
      <c r="BQ920" s="28" t="str">
        <f>HYPERLINK("https://organic.ams.usda.gov/Integrity/Certificate.aspx?cid=90&amp;nopid=7170210347")</f>
        <v>https://organic.ams.usda.gov/Integrity/Certificate.aspx?cid=90&amp;nopid=7170210347</v>
      </c>
    </row>
    <row r="921">
      <c r="A921" t="s">
        <v>3</v>
      </c>
      <c r="B921" s="6" t="s">
        <v>8</v>
      </c>
      <c r="C921" s="6" t="s">
        <v>55</v>
      </c>
      <c r="D921" s="6" t="s">
        <v>101</v>
      </c>
      <c r="E921" s="10" t="s">
        <v>1062</v>
      </c>
      <c r="F921" s="6" t="s">
        <v>3790</v>
      </c>
      <c r="G921" s="6" t="s">
        <v>81</v>
      </c>
      <c r="H921" s="6" t="s">
        <v>6737</v>
      </c>
      <c r="I921" s="6" t="s">
        <v>8934</v>
      </c>
      <c r="J921" s="6" t="s">
        <v>10124</v>
      </c>
      <c r="K921" s="6" t="s">
        <v>10886</v>
      </c>
      <c r="L921" s="16" t="n">
        <v>39800</v>
      </c>
      <c r="M921" s="16" t="n">
        <v>45748</v>
      </c>
      <c r="N921" s="6" t="s">
        <v>10886</v>
      </c>
      <c r="O921" s="16" t="n">
        <v>39800</v>
      </c>
      <c r="P921" s="6" t="s">
        <v>11438</v>
      </c>
      <c r="Q921" s="6" t="s">
        <v>81</v>
      </c>
      <c r="R921" s="6" t="s">
        <v>6737</v>
      </c>
      <c r="S921" s="6" t="s">
        <v>10886</v>
      </c>
      <c r="T921" s="16" t="n">
        <v>39800</v>
      </c>
      <c r="U921" s="6" t="s">
        <v>13271</v>
      </c>
      <c r="V921" s="6" t="s">
        <v>81</v>
      </c>
      <c r="W921" s="6" t="s">
        <v>6737</v>
      </c>
      <c r="X921" s="6" t="s">
        <v>81</v>
      </c>
      <c r="Y921" s="21" t="s">
        <v>81</v>
      </c>
      <c r="Z921" s="6" t="s">
        <v>81</v>
      </c>
      <c r="AA921" s="6" t="s">
        <v>81</v>
      </c>
      <c r="AB921" s="6" t="s">
        <v>81</v>
      </c>
      <c r="AC921" s="6" t="s">
        <v>81</v>
      </c>
      <c r="AD921" s="21" t="s">
        <v>81</v>
      </c>
      <c r="AE921" s="6" t="s">
        <v>81</v>
      </c>
      <c r="AF921" s="6" t="s">
        <v>81</v>
      </c>
      <c r="AG921" s="6" t="s">
        <v>81</v>
      </c>
      <c r="AH921" s="6" t="s">
        <v>15499</v>
      </c>
      <c r="AI921" s="6" t="s">
        <v>81</v>
      </c>
      <c r="AJ921" s="6" t="s">
        <v>17812</v>
      </c>
      <c r="AK921" s="6" t="s">
        <v>18377</v>
      </c>
      <c r="AL921" s="6" t="s">
        <v>18444</v>
      </c>
      <c r="AM921" s="6" t="s">
        <v>18990</v>
      </c>
      <c r="AN921" s="6" t="s">
        <v>19652</v>
      </c>
      <c r="AO921" s="6" t="s">
        <v>19772</v>
      </c>
      <c r="AP921" s="6" t="s">
        <v>81</v>
      </c>
      <c r="AQ921" s="6" t="s">
        <v>81</v>
      </c>
      <c r="AR921" s="6" t="s">
        <v>81</v>
      </c>
      <c r="AS921" s="6" t="s">
        <v>81</v>
      </c>
      <c r="AT921" s="6" t="s">
        <v>81</v>
      </c>
      <c r="AU921" s="6" t="s">
        <v>81</v>
      </c>
      <c r="AV921" s="6" t="s">
        <v>81</v>
      </c>
      <c r="AW921" s="6" t="s">
        <v>81</v>
      </c>
      <c r="AX921" s="6" t="s">
        <v>81</v>
      </c>
      <c r="AY921" s="6" t="s">
        <v>22898</v>
      </c>
      <c r="AZ921" s="6" t="s">
        <v>81</v>
      </c>
      <c r="BA921" s="6" t="s">
        <v>23819</v>
      </c>
      <c r="BB921" s="24" t="n">
        <v>405</v>
      </c>
      <c r="BC921" s="26"/>
      <c r="BD921" s="26"/>
      <c r="BE921" s="26"/>
      <c r="BF921" s="26" t="s">
        <v>23900</v>
      </c>
      <c r="BG921" s="26"/>
      <c r="BH921" s="26"/>
      <c r="BI921" s="26"/>
      <c r="BJ921" s="26"/>
      <c r="BK921" s="26"/>
      <c r="BL921" s="26"/>
      <c r="BM921" s="26"/>
      <c r="BN921" s="26"/>
      <c r="BO921" s="26"/>
      <c r="BP921" s="16" t="n">
        <v>45597</v>
      </c>
      <c r="BQ921" s="28" t="str">
        <f>HYPERLINK("https://organic.ams.usda.gov/Integrity/Certificate.aspx?cid=45&amp;nopid=9950003312")</f>
        <v>https://organic.ams.usda.gov/Integrity/Certificate.aspx?cid=45&amp;nopid=9950003312</v>
      </c>
    </row>
    <row r="922">
      <c r="A922" t="s">
        <v>3</v>
      </c>
      <c r="B922" s="6" t="s">
        <v>8</v>
      </c>
      <c r="C922" s="6" t="s">
        <v>55</v>
      </c>
      <c r="D922" s="6" t="s">
        <v>101</v>
      </c>
      <c r="E922" s="10" t="s">
        <v>1063</v>
      </c>
      <c r="F922" s="6" t="s">
        <v>3791</v>
      </c>
      <c r="G922" s="6" t="s">
        <v>81</v>
      </c>
      <c r="H922" s="6" t="s">
        <v>6738</v>
      </c>
      <c r="I922" s="6" t="s">
        <v>8935</v>
      </c>
      <c r="J922" s="6" t="s">
        <v>10125</v>
      </c>
      <c r="K922" s="6" t="s">
        <v>10886</v>
      </c>
      <c r="L922" s="16" t="n">
        <v>41239</v>
      </c>
      <c r="M922" s="16" t="n">
        <v>45689</v>
      </c>
      <c r="N922" s="6" t="s">
        <v>10886</v>
      </c>
      <c r="O922" s="16" t="n">
        <v>41239</v>
      </c>
      <c r="P922" s="6" t="s">
        <v>11439</v>
      </c>
      <c r="Q922" s="6" t="s">
        <v>81</v>
      </c>
      <c r="R922" s="6" t="s">
        <v>6738</v>
      </c>
      <c r="S922" s="6" t="s">
        <v>10886</v>
      </c>
      <c r="T922" s="16" t="n">
        <v>41239</v>
      </c>
      <c r="U922" s="6" t="s">
        <v>13179</v>
      </c>
      <c r="V922" s="6" t="s">
        <v>81</v>
      </c>
      <c r="W922" s="6" t="s">
        <v>6738</v>
      </c>
      <c r="X922" s="6" t="s">
        <v>81</v>
      </c>
      <c r="Y922" s="21" t="s">
        <v>81</v>
      </c>
      <c r="Z922" s="6" t="s">
        <v>81</v>
      </c>
      <c r="AA922" s="6" t="s">
        <v>81</v>
      </c>
      <c r="AB922" s="6" t="s">
        <v>81</v>
      </c>
      <c r="AC922" s="6" t="s">
        <v>81</v>
      </c>
      <c r="AD922" s="21" t="s">
        <v>81</v>
      </c>
      <c r="AE922" s="6" t="s">
        <v>81</v>
      </c>
      <c r="AF922" s="6" t="s">
        <v>81</v>
      </c>
      <c r="AG922" s="6" t="s">
        <v>81</v>
      </c>
      <c r="AH922" s="6" t="s">
        <v>15500</v>
      </c>
      <c r="AI922" s="6" t="s">
        <v>81</v>
      </c>
      <c r="AJ922" s="6" t="s">
        <v>17457</v>
      </c>
      <c r="AK922" s="6" t="s">
        <v>18377</v>
      </c>
      <c r="AL922" s="6" t="s">
        <v>18444</v>
      </c>
      <c r="AM922" s="6" t="s">
        <v>18616</v>
      </c>
      <c r="AN922" s="6" t="s">
        <v>19660</v>
      </c>
      <c r="AO922" s="6" t="s">
        <v>19804</v>
      </c>
      <c r="AP922" s="6" t="s">
        <v>81</v>
      </c>
      <c r="AQ922" s="6" t="s">
        <v>81</v>
      </c>
      <c r="AR922" s="6" t="s">
        <v>81</v>
      </c>
      <c r="AS922" s="6" t="s">
        <v>81</v>
      </c>
      <c r="AT922" s="6" t="s">
        <v>81</v>
      </c>
      <c r="AU922" s="6" t="s">
        <v>81</v>
      </c>
      <c r="AV922" s="6" t="s">
        <v>81</v>
      </c>
      <c r="AW922" s="6" t="s">
        <v>81</v>
      </c>
      <c r="AX922" s="6" t="s">
        <v>81</v>
      </c>
      <c r="AY922" s="6" t="s">
        <v>81</v>
      </c>
      <c r="AZ922" s="6" t="s">
        <v>81</v>
      </c>
      <c r="BA922" s="6" t="s">
        <v>23819</v>
      </c>
      <c r="BB922" s="24" t="n">
        <v>346</v>
      </c>
      <c r="BC922" s="26"/>
      <c r="BD922" s="26"/>
      <c r="BE922" s="26"/>
      <c r="BF922" s="26" t="s">
        <v>23900</v>
      </c>
      <c r="BG922" s="26"/>
      <c r="BH922" s="26"/>
      <c r="BI922" s="26"/>
      <c r="BJ922" s="26"/>
      <c r="BK922" s="26"/>
      <c r="BL922" s="26"/>
      <c r="BM922" s="26"/>
      <c r="BN922" s="26"/>
      <c r="BO922" s="26"/>
      <c r="BP922" s="16" t="n">
        <v>45708</v>
      </c>
      <c r="BQ922" s="28" t="str">
        <f>HYPERLINK("https://organic.ams.usda.gov/Integrity/Certificate.aspx?cid=45&amp;nopid=9950004960")</f>
        <v>https://organic.ams.usda.gov/Integrity/Certificate.aspx?cid=45&amp;nopid=9950004960</v>
      </c>
    </row>
    <row r="923">
      <c r="A923" t="s">
        <v>3</v>
      </c>
      <c r="B923" s="6" t="s">
        <v>21</v>
      </c>
      <c r="C923" s="6" t="s">
        <v>68</v>
      </c>
      <c r="D923" s="6" t="s">
        <v>114</v>
      </c>
      <c r="E923" s="10" t="s">
        <v>1064</v>
      </c>
      <c r="F923" s="6" t="s">
        <v>3792</v>
      </c>
      <c r="G923" s="6" t="s">
        <v>81</v>
      </c>
      <c r="H923" s="6" t="s">
        <v>6739</v>
      </c>
      <c r="I923" s="6" t="s">
        <v>8936</v>
      </c>
      <c r="J923" s="6" t="s">
        <v>10126</v>
      </c>
      <c r="K923" s="6" t="s">
        <v>10886</v>
      </c>
      <c r="L923" s="16" t="n">
        <v>44551</v>
      </c>
      <c r="M923" s="16" t="n">
        <v>46023</v>
      </c>
      <c r="N923" s="6" t="s">
        <v>81</v>
      </c>
      <c r="O923" s="21" t="s">
        <v>81</v>
      </c>
      <c r="P923" s="6" t="s">
        <v>81</v>
      </c>
      <c r="Q923" s="6" t="s">
        <v>81</v>
      </c>
      <c r="R923" s="6" t="s">
        <v>81</v>
      </c>
      <c r="S923" s="6" t="s">
        <v>81</v>
      </c>
      <c r="T923" s="21" t="s">
        <v>81</v>
      </c>
      <c r="U923" s="6" t="s">
        <v>81</v>
      </c>
      <c r="V923" s="6" t="s">
        <v>81</v>
      </c>
      <c r="W923" s="6" t="s">
        <v>81</v>
      </c>
      <c r="X923" s="6" t="s">
        <v>81</v>
      </c>
      <c r="Y923" s="21" t="s">
        <v>81</v>
      </c>
      <c r="Z923" s="6" t="s">
        <v>81</v>
      </c>
      <c r="AA923" s="6" t="s">
        <v>81</v>
      </c>
      <c r="AB923" s="6" t="s">
        <v>81</v>
      </c>
      <c r="AC923" s="6" t="s">
        <v>10886</v>
      </c>
      <c r="AD923" s="16" t="n">
        <v>44551</v>
      </c>
      <c r="AE923" s="6" t="s">
        <v>14195</v>
      </c>
      <c r="AF923" s="6" t="s">
        <v>81</v>
      </c>
      <c r="AG923" s="6" t="s">
        <v>81</v>
      </c>
      <c r="AH923" s="6" t="s">
        <v>81</v>
      </c>
      <c r="AI923" s="6" t="s">
        <v>81</v>
      </c>
      <c r="AJ923" s="6" t="s">
        <v>81</v>
      </c>
      <c r="AK923" s="6" t="s">
        <v>81</v>
      </c>
      <c r="AL923" s="6" t="s">
        <v>81</v>
      </c>
      <c r="AM923" s="6" t="s">
        <v>81</v>
      </c>
      <c r="AN923" s="6" t="s">
        <v>81</v>
      </c>
      <c r="AO923" s="6" t="s">
        <v>81</v>
      </c>
      <c r="AP923" s="6" t="s">
        <v>20227</v>
      </c>
      <c r="AQ923" s="6" t="s">
        <v>81</v>
      </c>
      <c r="AR923" s="6" t="s">
        <v>18054</v>
      </c>
      <c r="AS923" s="6" t="s">
        <v>18381</v>
      </c>
      <c r="AT923" s="6" t="s">
        <v>18444</v>
      </c>
      <c r="AU923" s="6" t="s">
        <v>20646</v>
      </c>
      <c r="AV923" s="6" t="s">
        <v>19652</v>
      </c>
      <c r="AW923" s="6" t="s">
        <v>20732</v>
      </c>
      <c r="AX923" s="6" t="s">
        <v>21336</v>
      </c>
      <c r="AY923" s="6" t="s">
        <v>22899</v>
      </c>
      <c r="AZ923" s="6" t="s">
        <v>23663</v>
      </c>
      <c r="BA923" s="6" t="s">
        <v>81</v>
      </c>
      <c r="BB923" s="6" t="s">
        <v>81</v>
      </c>
      <c r="BC923" s="26" t="s">
        <v>23900</v>
      </c>
      <c r="BD923" s="26"/>
      <c r="BE923" s="26"/>
      <c r="BF923" s="26"/>
      <c r="BG923" s="26"/>
      <c r="BH923" s="26" t="s">
        <v>23900</v>
      </c>
      <c r="BI923" s="26"/>
      <c r="BJ923" s="26"/>
      <c r="BK923" s="26"/>
      <c r="BL923" s="26" t="s">
        <v>23900</v>
      </c>
      <c r="BM923" s="26"/>
      <c r="BN923" s="26"/>
      <c r="BO923" s="26"/>
      <c r="BP923" s="16" t="n">
        <v>45720</v>
      </c>
      <c r="BQ923" s="28" t="str">
        <f>HYPERLINK("https://organic.ams.usda.gov/Integrity/Certificate.aspx?cid=62&amp;nopid=8150000355")</f>
        <v>https://organic.ams.usda.gov/Integrity/Certificate.aspx?cid=62&amp;nopid=8150000355</v>
      </c>
    </row>
    <row r="924">
      <c r="A924" t="s">
        <v>3</v>
      </c>
      <c r="B924" s="6" t="s">
        <v>25</v>
      </c>
      <c r="C924" s="6" t="s">
        <v>72</v>
      </c>
      <c r="D924" s="6" t="s">
        <v>118</v>
      </c>
      <c r="E924" s="10" t="s">
        <v>1065</v>
      </c>
      <c r="F924" s="6" t="s">
        <v>3793</v>
      </c>
      <c r="G924" s="6" t="s">
        <v>81</v>
      </c>
      <c r="H924" s="6" t="s">
        <v>6740</v>
      </c>
      <c r="I924" s="6" t="s">
        <v>8613</v>
      </c>
      <c r="J924" s="6" t="s">
        <v>10127</v>
      </c>
      <c r="K924" s="6" t="s">
        <v>10886</v>
      </c>
      <c r="L924" s="16" t="n">
        <v>38949</v>
      </c>
      <c r="M924" s="16" t="n">
        <v>46023</v>
      </c>
      <c r="N924" s="6" t="s">
        <v>10886</v>
      </c>
      <c r="O924" s="16" t="n">
        <v>38949</v>
      </c>
      <c r="P924" s="6" t="s">
        <v>11128</v>
      </c>
      <c r="Q924" s="6" t="s">
        <v>81</v>
      </c>
      <c r="R924" s="6" t="s">
        <v>81</v>
      </c>
      <c r="S924" s="6" t="s">
        <v>10886</v>
      </c>
      <c r="T924" s="16" t="n">
        <v>38949</v>
      </c>
      <c r="U924" s="6" t="s">
        <v>13493</v>
      </c>
      <c r="V924" s="6" t="s">
        <v>81</v>
      </c>
      <c r="W924" s="6" t="s">
        <v>81</v>
      </c>
      <c r="X924" s="6" t="s">
        <v>81</v>
      </c>
      <c r="Y924" s="21" t="s">
        <v>81</v>
      </c>
      <c r="Z924" s="6" t="s">
        <v>81</v>
      </c>
      <c r="AA924" s="6" t="s">
        <v>81</v>
      </c>
      <c r="AB924" s="6" t="s">
        <v>81</v>
      </c>
      <c r="AC924" s="6" t="s">
        <v>10886</v>
      </c>
      <c r="AD924" s="16" t="n">
        <v>44733</v>
      </c>
      <c r="AE924" s="6" t="s">
        <v>14081</v>
      </c>
      <c r="AF924" s="6" t="s">
        <v>81</v>
      </c>
      <c r="AG924" s="6" t="s">
        <v>81</v>
      </c>
      <c r="AH924" s="6" t="s">
        <v>15501</v>
      </c>
      <c r="AI924" s="6" t="s">
        <v>81</v>
      </c>
      <c r="AJ924" s="6" t="s">
        <v>17561</v>
      </c>
      <c r="AK924" s="6" t="s">
        <v>18386</v>
      </c>
      <c r="AL924" s="6" t="s">
        <v>18444</v>
      </c>
      <c r="AM924" s="6" t="s">
        <v>18760</v>
      </c>
      <c r="AN924" s="6" t="s">
        <v>19672</v>
      </c>
      <c r="AO924" s="6" t="s">
        <v>19787</v>
      </c>
      <c r="AP924" s="6" t="s">
        <v>15501</v>
      </c>
      <c r="AQ924" s="6" t="s">
        <v>81</v>
      </c>
      <c r="AR924" s="6" t="s">
        <v>17561</v>
      </c>
      <c r="AS924" s="6" t="s">
        <v>18386</v>
      </c>
      <c r="AT924" s="6" t="s">
        <v>18444</v>
      </c>
      <c r="AU924" s="6" t="s">
        <v>18760</v>
      </c>
      <c r="AV924" s="6" t="s">
        <v>81</v>
      </c>
      <c r="AW924" s="6" t="s">
        <v>81</v>
      </c>
      <c r="AX924" s="6" t="s">
        <v>21337</v>
      </c>
      <c r="AY924" s="6" t="s">
        <v>22900</v>
      </c>
      <c r="AZ924" s="6" t="s">
        <v>81</v>
      </c>
      <c r="BA924" s="6" t="s">
        <v>81</v>
      </c>
      <c r="BB924" s="24" t="n">
        <v>1221</v>
      </c>
      <c r="BC924" s="26"/>
      <c r="BD924" s="26"/>
      <c r="BE924" s="26"/>
      <c r="BF924" s="26"/>
      <c r="BG924" s="26"/>
      <c r="BH924" s="26"/>
      <c r="BI924" s="26"/>
      <c r="BJ924" s="26"/>
      <c r="BK924" s="26"/>
      <c r="BL924" s="26"/>
      <c r="BM924" s="26"/>
      <c r="BN924" s="26"/>
      <c r="BO924" s="26"/>
      <c r="BP924" s="16" t="n">
        <v>45667</v>
      </c>
      <c r="BQ924" s="28" t="str">
        <f>HYPERLINK("https://organic.ams.usda.gov/Integrity/Certificate.aspx?cid=15&amp;nopid=5561001284")</f>
        <v>https://organic.ams.usda.gov/Integrity/Certificate.aspx?cid=15&amp;nopid=5561001284</v>
      </c>
    </row>
    <row r="925">
      <c r="A925" t="s">
        <v>3</v>
      </c>
      <c r="B925" s="6" t="s">
        <v>23</v>
      </c>
      <c r="C925" s="6" t="s">
        <v>70</v>
      </c>
      <c r="D925" s="6" t="s">
        <v>116</v>
      </c>
      <c r="E925" s="10" t="s">
        <v>1066</v>
      </c>
      <c r="F925" s="6" t="s">
        <v>3794</v>
      </c>
      <c r="G925" s="6" t="s">
        <v>81</v>
      </c>
      <c r="H925" s="6" t="s">
        <v>6741</v>
      </c>
      <c r="I925" s="6" t="s">
        <v>8937</v>
      </c>
      <c r="J925" s="6" t="s">
        <v>10128</v>
      </c>
      <c r="K925" s="6" t="s">
        <v>10886</v>
      </c>
      <c r="L925" s="16" t="n">
        <v>43559</v>
      </c>
      <c r="M925" s="16" t="n">
        <v>45720</v>
      </c>
      <c r="N925" s="6" t="s">
        <v>10886</v>
      </c>
      <c r="O925" s="16" t="n">
        <v>43559</v>
      </c>
      <c r="P925" s="6" t="s">
        <v>11076</v>
      </c>
      <c r="Q925" s="6" t="s">
        <v>81</v>
      </c>
      <c r="R925" s="6" t="s">
        <v>12690</v>
      </c>
      <c r="S925" s="6" t="s">
        <v>10886</v>
      </c>
      <c r="T925" s="16" t="n">
        <v>43559</v>
      </c>
      <c r="U925" s="6" t="s">
        <v>13494</v>
      </c>
      <c r="V925" s="6" t="s">
        <v>81</v>
      </c>
      <c r="W925" s="6" t="s">
        <v>12690</v>
      </c>
      <c r="X925" s="6" t="s">
        <v>81</v>
      </c>
      <c r="Y925" s="21" t="s">
        <v>81</v>
      </c>
      <c r="Z925" s="6" t="s">
        <v>81</v>
      </c>
      <c r="AA925" s="6" t="s">
        <v>81</v>
      </c>
      <c r="AB925" s="6" t="s">
        <v>81</v>
      </c>
      <c r="AC925" s="6" t="s">
        <v>81</v>
      </c>
      <c r="AD925" s="21" t="s">
        <v>81</v>
      </c>
      <c r="AE925" s="6" t="s">
        <v>81</v>
      </c>
      <c r="AF925" s="6" t="s">
        <v>81</v>
      </c>
      <c r="AG925" s="6" t="s">
        <v>81</v>
      </c>
      <c r="AH925" s="6" t="s">
        <v>81</v>
      </c>
      <c r="AI925" s="6" t="s">
        <v>81</v>
      </c>
      <c r="AJ925" s="6" t="s">
        <v>81</v>
      </c>
      <c r="AK925" s="6" t="s">
        <v>81</v>
      </c>
      <c r="AL925" s="6" t="s">
        <v>81</v>
      </c>
      <c r="AM925" s="6" t="s">
        <v>81</v>
      </c>
      <c r="AN925" s="6" t="s">
        <v>81</v>
      </c>
      <c r="AO925" s="6" t="s">
        <v>81</v>
      </c>
      <c r="AP925" s="6" t="s">
        <v>20228</v>
      </c>
      <c r="AQ925" s="6" t="s">
        <v>81</v>
      </c>
      <c r="AR925" s="6" t="s">
        <v>17954</v>
      </c>
      <c r="AS925" s="6" t="s">
        <v>18386</v>
      </c>
      <c r="AT925" s="6" t="s">
        <v>18444</v>
      </c>
      <c r="AU925" s="6" t="s">
        <v>20647</v>
      </c>
      <c r="AV925" s="6" t="s">
        <v>19672</v>
      </c>
      <c r="AW925" s="6" t="s">
        <v>19787</v>
      </c>
      <c r="AX925" s="6" t="s">
        <v>21338</v>
      </c>
      <c r="AY925" s="6" t="s">
        <v>22901</v>
      </c>
      <c r="AZ925" s="6" t="s">
        <v>81</v>
      </c>
      <c r="BA925" s="6" t="s">
        <v>81</v>
      </c>
      <c r="BB925" s="24" t="n">
        <v>1250</v>
      </c>
      <c r="BC925" s="26"/>
      <c r="BD925" s="26"/>
      <c r="BE925" s="26"/>
      <c r="BF925" s="26"/>
      <c r="BG925" s="26"/>
      <c r="BH925" s="26"/>
      <c r="BI925" s="26"/>
      <c r="BJ925" s="26"/>
      <c r="BK925" s="26"/>
      <c r="BL925" s="26"/>
      <c r="BM925" s="26"/>
      <c r="BN925" s="26"/>
      <c r="BO925" s="26"/>
      <c r="BP925" s="16" t="n">
        <v>45594</v>
      </c>
      <c r="BQ925" s="28" t="str">
        <f>HYPERLINK("https://organic.ams.usda.gov/Integrity/Certificate.aspx?cid=63&amp;nopid=6220006475")</f>
        <v>https://organic.ams.usda.gov/Integrity/Certificate.aspx?cid=63&amp;nopid=6220006475</v>
      </c>
    </row>
    <row r="926">
      <c r="A926" t="s">
        <v>3</v>
      </c>
      <c r="B926" s="6" t="s">
        <v>7</v>
      </c>
      <c r="C926" s="6" t="s">
        <v>54</v>
      </c>
      <c r="D926" s="6" t="s">
        <v>100</v>
      </c>
      <c r="E926" s="10" t="s">
        <v>1067</v>
      </c>
      <c r="F926" s="6" t="s">
        <v>3795</v>
      </c>
      <c r="G926" s="6" t="s">
        <v>81</v>
      </c>
      <c r="H926" s="6" t="s">
        <v>6742</v>
      </c>
      <c r="I926" s="6" t="s">
        <v>8938</v>
      </c>
      <c r="J926" s="6" t="s">
        <v>10129</v>
      </c>
      <c r="K926" s="6" t="s">
        <v>10886</v>
      </c>
      <c r="L926" s="16" t="n">
        <v>42670</v>
      </c>
      <c r="M926" s="16" t="n">
        <v>45716</v>
      </c>
      <c r="N926" s="6" t="s">
        <v>10886</v>
      </c>
      <c r="O926" s="16" t="n">
        <v>42670</v>
      </c>
      <c r="P926" s="6" t="s">
        <v>10910</v>
      </c>
      <c r="Q926" s="6" t="s">
        <v>81</v>
      </c>
      <c r="R926" s="6" t="s">
        <v>81</v>
      </c>
      <c r="S926" s="6" t="s">
        <v>10886</v>
      </c>
      <c r="T926" s="16" t="n">
        <v>42950</v>
      </c>
      <c r="U926" s="6" t="s">
        <v>13169</v>
      </c>
      <c r="V926" s="6" t="s">
        <v>81</v>
      </c>
      <c r="W926" s="6" t="s">
        <v>81</v>
      </c>
      <c r="X926" s="6" t="s">
        <v>81</v>
      </c>
      <c r="Y926" s="21" t="s">
        <v>81</v>
      </c>
      <c r="Z926" s="6" t="s">
        <v>81</v>
      </c>
      <c r="AA926" s="6" t="s">
        <v>81</v>
      </c>
      <c r="AB926" s="6" t="s">
        <v>81</v>
      </c>
      <c r="AC926" s="6" t="s">
        <v>81</v>
      </c>
      <c r="AD926" s="21" t="s">
        <v>81</v>
      </c>
      <c r="AE926" s="6" t="s">
        <v>81</v>
      </c>
      <c r="AF926" s="6" t="s">
        <v>81</v>
      </c>
      <c r="AG926" s="6" t="s">
        <v>81</v>
      </c>
      <c r="AH926" s="6" t="s">
        <v>15502</v>
      </c>
      <c r="AI926" s="6" t="s">
        <v>81</v>
      </c>
      <c r="AJ926" s="6" t="s">
        <v>17453</v>
      </c>
      <c r="AK926" s="6" t="s">
        <v>17712</v>
      </c>
      <c r="AL926" s="6" t="s">
        <v>18444</v>
      </c>
      <c r="AM926" s="6" t="s">
        <v>18612</v>
      </c>
      <c r="AN926" s="6" t="s">
        <v>19670</v>
      </c>
      <c r="AO926" s="6" t="s">
        <v>19782</v>
      </c>
      <c r="AP926" s="6" t="s">
        <v>15502</v>
      </c>
      <c r="AQ926" s="6" t="s">
        <v>81</v>
      </c>
      <c r="AR926" s="6" t="s">
        <v>17453</v>
      </c>
      <c r="AS926" s="6" t="s">
        <v>17712</v>
      </c>
      <c r="AT926" s="6" t="s">
        <v>18444</v>
      </c>
      <c r="AU926" s="6" t="s">
        <v>18612</v>
      </c>
      <c r="AV926" s="6" t="s">
        <v>81</v>
      </c>
      <c r="AW926" s="6" t="s">
        <v>81</v>
      </c>
      <c r="AX926" s="6" t="s">
        <v>21339</v>
      </c>
      <c r="AY926" s="6" t="s">
        <v>81</v>
      </c>
      <c r="AZ926" s="6" t="s">
        <v>81</v>
      </c>
      <c r="BA926" s="6" t="s">
        <v>81</v>
      </c>
      <c r="BB926" s="24" t="n">
        <v>1167</v>
      </c>
      <c r="BC926" s="26"/>
      <c r="BD926" s="26"/>
      <c r="BE926" s="26"/>
      <c r="BF926" s="26" t="s">
        <v>23900</v>
      </c>
      <c r="BG926" s="26"/>
      <c r="BH926" s="26"/>
      <c r="BI926" s="26"/>
      <c r="BJ926" s="26"/>
      <c r="BK926" s="26"/>
      <c r="BL926" s="26"/>
      <c r="BM926" s="26"/>
      <c r="BN926" s="26"/>
      <c r="BO926" s="26"/>
      <c r="BP926" s="16" t="n">
        <v>45679</v>
      </c>
      <c r="BQ926" s="28" t="str">
        <f>HYPERLINK("https://organic.ams.usda.gov/Integrity/Certificate.aspx?cid=57&amp;nopid=3252016171")</f>
        <v>https://organic.ams.usda.gov/Integrity/Certificate.aspx?cid=57&amp;nopid=3252016171</v>
      </c>
    </row>
    <row r="927">
      <c r="A927" t="s">
        <v>3</v>
      </c>
      <c r="B927" s="6" t="s">
        <v>24</v>
      </c>
      <c r="C927" s="6" t="s">
        <v>71</v>
      </c>
      <c r="D927" s="6" t="s">
        <v>117</v>
      </c>
      <c r="E927" s="10" t="s">
        <v>1068</v>
      </c>
      <c r="F927" s="6" t="s">
        <v>3796</v>
      </c>
      <c r="G927" s="6" t="s">
        <v>81</v>
      </c>
      <c r="H927" s="6" t="s">
        <v>81</v>
      </c>
      <c r="I927" s="6" t="s">
        <v>8501</v>
      </c>
      <c r="J927" s="6" t="s">
        <v>9772</v>
      </c>
      <c r="K927" s="6" t="s">
        <v>10886</v>
      </c>
      <c r="L927" s="16" t="n">
        <v>44978</v>
      </c>
      <c r="M927" s="16" t="n">
        <v>45748</v>
      </c>
      <c r="N927" s="6" t="s">
        <v>10886</v>
      </c>
      <c r="O927" s="16" t="n">
        <v>44978</v>
      </c>
      <c r="P927" s="6" t="s">
        <v>11034</v>
      </c>
      <c r="Q927" s="6" t="s">
        <v>81</v>
      </c>
      <c r="R927" s="6" t="s">
        <v>81</v>
      </c>
      <c r="S927" s="6" t="s">
        <v>10886</v>
      </c>
      <c r="T927" s="16" t="n">
        <v>44978</v>
      </c>
      <c r="U927" s="6" t="s">
        <v>13495</v>
      </c>
      <c r="V927" s="6" t="s">
        <v>81</v>
      </c>
      <c r="W927" s="6" t="s">
        <v>81</v>
      </c>
      <c r="X927" s="6" t="s">
        <v>81</v>
      </c>
      <c r="Y927" s="21" t="s">
        <v>81</v>
      </c>
      <c r="Z927" s="6" t="s">
        <v>81</v>
      </c>
      <c r="AA927" s="6" t="s">
        <v>81</v>
      </c>
      <c r="AB927" s="6" t="s">
        <v>81</v>
      </c>
      <c r="AC927" s="6" t="s">
        <v>81</v>
      </c>
      <c r="AD927" s="21" t="s">
        <v>81</v>
      </c>
      <c r="AE927" s="6" t="s">
        <v>81</v>
      </c>
      <c r="AF927" s="6" t="s">
        <v>81</v>
      </c>
      <c r="AG927" s="6" t="s">
        <v>81</v>
      </c>
      <c r="AH927" s="6" t="s">
        <v>15503</v>
      </c>
      <c r="AI927" s="6" t="s">
        <v>81</v>
      </c>
      <c r="AJ927" s="6" t="s">
        <v>17813</v>
      </c>
      <c r="AK927" s="6" t="s">
        <v>18398</v>
      </c>
      <c r="AL927" s="6" t="s">
        <v>18444</v>
      </c>
      <c r="AM927" s="6" t="s">
        <v>18991</v>
      </c>
      <c r="AN927" s="6" t="s">
        <v>19697</v>
      </c>
      <c r="AO927" s="6" t="s">
        <v>19941</v>
      </c>
      <c r="AP927" s="6" t="s">
        <v>20229</v>
      </c>
      <c r="AQ927" s="6" t="s">
        <v>81</v>
      </c>
      <c r="AR927" s="6" t="s">
        <v>17991</v>
      </c>
      <c r="AS927" s="6" t="s">
        <v>18398</v>
      </c>
      <c r="AT927" s="6" t="s">
        <v>18444</v>
      </c>
      <c r="AU927" s="6" t="s">
        <v>19182</v>
      </c>
      <c r="AV927" s="6" t="s">
        <v>81</v>
      </c>
      <c r="AW927" s="6" t="s">
        <v>81</v>
      </c>
      <c r="AX927" s="6" t="s">
        <v>81</v>
      </c>
      <c r="AY927" s="6" t="s">
        <v>22607</v>
      </c>
      <c r="AZ927" s="6" t="s">
        <v>81</v>
      </c>
      <c r="BA927" s="6" t="s">
        <v>81</v>
      </c>
      <c r="BB927" s="24" t="n">
        <v>1802</v>
      </c>
      <c r="BC927" s="26"/>
      <c r="BD927" s="26"/>
      <c r="BE927" s="26"/>
      <c r="BF927" s="26"/>
      <c r="BG927" s="26"/>
      <c r="BH927" s="26"/>
      <c r="BI927" s="26"/>
      <c r="BJ927" s="26"/>
      <c r="BK927" s="26"/>
      <c r="BL927" s="26"/>
      <c r="BM927" s="26"/>
      <c r="BN927" s="26"/>
      <c r="BO927" s="26"/>
      <c r="BP927" s="16" t="n">
        <v>45628</v>
      </c>
      <c r="BQ927" s="28" t="str">
        <f>HYPERLINK("https://organic.ams.usda.gov/Integrity/Certificate.aspx?cid=1&amp;nopid=9092225802")</f>
        <v>https://organic.ams.usda.gov/Integrity/Certificate.aspx?cid=1&amp;nopid=9092225802</v>
      </c>
    </row>
    <row r="928">
      <c r="A928" t="s">
        <v>3</v>
      </c>
      <c r="B928" s="6" t="s">
        <v>25</v>
      </c>
      <c r="C928" s="6" t="s">
        <v>72</v>
      </c>
      <c r="D928" s="6" t="s">
        <v>118</v>
      </c>
      <c r="E928" s="10" t="s">
        <v>1069</v>
      </c>
      <c r="F928" s="6" t="s">
        <v>3797</v>
      </c>
      <c r="G928" s="6" t="s">
        <v>5676</v>
      </c>
      <c r="H928" s="6" t="s">
        <v>6743</v>
      </c>
      <c r="I928" s="6" t="s">
        <v>8651</v>
      </c>
      <c r="J928" s="6" t="s">
        <v>10130</v>
      </c>
      <c r="K928" s="6" t="s">
        <v>10886</v>
      </c>
      <c r="L928" s="16" t="n">
        <v>38837</v>
      </c>
      <c r="M928" s="16" t="n">
        <v>46023</v>
      </c>
      <c r="N928" s="6" t="s">
        <v>10886</v>
      </c>
      <c r="O928" s="16" t="n">
        <v>38837</v>
      </c>
      <c r="P928" s="6" t="s">
        <v>11440</v>
      </c>
      <c r="Q928" s="6" t="s">
        <v>81</v>
      </c>
      <c r="R928" s="6" t="s">
        <v>81</v>
      </c>
      <c r="S928" s="6" t="s">
        <v>10886</v>
      </c>
      <c r="T928" s="16" t="n">
        <v>38837</v>
      </c>
      <c r="U928" s="6" t="s">
        <v>13496</v>
      </c>
      <c r="V928" s="6" t="s">
        <v>81</v>
      </c>
      <c r="W928" s="6" t="s">
        <v>81</v>
      </c>
      <c r="X928" s="6" t="s">
        <v>81</v>
      </c>
      <c r="Y928" s="21" t="s">
        <v>81</v>
      </c>
      <c r="Z928" s="6" t="s">
        <v>81</v>
      </c>
      <c r="AA928" s="6" t="s">
        <v>81</v>
      </c>
      <c r="AB928" s="6" t="s">
        <v>81</v>
      </c>
      <c r="AC928" s="6" t="s">
        <v>10886</v>
      </c>
      <c r="AD928" s="16" t="n">
        <v>44733</v>
      </c>
      <c r="AE928" s="6" t="s">
        <v>14081</v>
      </c>
      <c r="AF928" s="6" t="s">
        <v>81</v>
      </c>
      <c r="AG928" s="6" t="s">
        <v>81</v>
      </c>
      <c r="AH928" s="6" t="s">
        <v>15504</v>
      </c>
      <c r="AI928" s="6" t="s">
        <v>81</v>
      </c>
      <c r="AJ928" s="6" t="s">
        <v>17506</v>
      </c>
      <c r="AK928" s="6" t="s">
        <v>18386</v>
      </c>
      <c r="AL928" s="6" t="s">
        <v>18444</v>
      </c>
      <c r="AM928" s="6" t="s">
        <v>18667</v>
      </c>
      <c r="AN928" s="6" t="s">
        <v>19651</v>
      </c>
      <c r="AO928" s="6" t="s">
        <v>19864</v>
      </c>
      <c r="AP928" s="6" t="s">
        <v>15504</v>
      </c>
      <c r="AQ928" s="6" t="s">
        <v>81</v>
      </c>
      <c r="AR928" s="6" t="s">
        <v>17506</v>
      </c>
      <c r="AS928" s="6" t="s">
        <v>18386</v>
      </c>
      <c r="AT928" s="6" t="s">
        <v>18444</v>
      </c>
      <c r="AU928" s="6" t="s">
        <v>18667</v>
      </c>
      <c r="AV928" s="6" t="s">
        <v>81</v>
      </c>
      <c r="AW928" s="6" t="s">
        <v>81</v>
      </c>
      <c r="AX928" s="6" t="s">
        <v>21340</v>
      </c>
      <c r="AY928" s="6" t="s">
        <v>22902</v>
      </c>
      <c r="AZ928" s="6" t="s">
        <v>81</v>
      </c>
      <c r="BA928" s="6" t="s">
        <v>81</v>
      </c>
      <c r="BB928" s="24" t="n">
        <v>180</v>
      </c>
      <c r="BC928" s="26"/>
      <c r="BD928" s="26"/>
      <c r="BE928" s="26"/>
      <c r="BF928" s="26"/>
      <c r="BG928" s="26"/>
      <c r="BH928" s="26"/>
      <c r="BI928" s="26"/>
      <c r="BJ928" s="26"/>
      <c r="BK928" s="26"/>
      <c r="BL928" s="26"/>
      <c r="BM928" s="26"/>
      <c r="BN928" s="26"/>
      <c r="BO928" s="26"/>
      <c r="BP928" s="16" t="n">
        <v>45667</v>
      </c>
      <c r="BQ928" s="28" t="str">
        <f>HYPERLINK("https://organic.ams.usda.gov/Integrity/Certificate.aspx?cid=15&amp;nopid=5561000989")</f>
        <v>https://organic.ams.usda.gov/Integrity/Certificate.aspx?cid=15&amp;nopid=5561000989</v>
      </c>
    </row>
    <row r="929">
      <c r="A929" t="s">
        <v>3</v>
      </c>
      <c r="B929" s="6" t="s">
        <v>21</v>
      </c>
      <c r="C929" s="6" t="s">
        <v>68</v>
      </c>
      <c r="D929" s="6" t="s">
        <v>114</v>
      </c>
      <c r="E929" s="10" t="s">
        <v>1070</v>
      </c>
      <c r="F929" s="6" t="s">
        <v>3798</v>
      </c>
      <c r="G929" s="6" t="s">
        <v>81</v>
      </c>
      <c r="H929" s="6" t="s">
        <v>6744</v>
      </c>
      <c r="I929" s="6" t="s">
        <v>8939</v>
      </c>
      <c r="J929" s="6" t="s">
        <v>10131</v>
      </c>
      <c r="K929" s="6" t="s">
        <v>10886</v>
      </c>
      <c r="L929" s="16" t="n">
        <v>37375</v>
      </c>
      <c r="M929" s="16" t="n">
        <v>46023</v>
      </c>
      <c r="N929" s="6" t="s">
        <v>81</v>
      </c>
      <c r="O929" s="21" t="s">
        <v>81</v>
      </c>
      <c r="P929" s="6" t="s">
        <v>81</v>
      </c>
      <c r="Q929" s="6" t="s">
        <v>81</v>
      </c>
      <c r="R929" s="6" t="s">
        <v>81</v>
      </c>
      <c r="S929" s="6" t="s">
        <v>81</v>
      </c>
      <c r="T929" s="21" t="s">
        <v>81</v>
      </c>
      <c r="U929" s="6" t="s">
        <v>81</v>
      </c>
      <c r="V929" s="6" t="s">
        <v>81</v>
      </c>
      <c r="W929" s="6" t="s">
        <v>81</v>
      </c>
      <c r="X929" s="6" t="s">
        <v>81</v>
      </c>
      <c r="Y929" s="21" t="s">
        <v>81</v>
      </c>
      <c r="Z929" s="6" t="s">
        <v>81</v>
      </c>
      <c r="AA929" s="6" t="s">
        <v>81</v>
      </c>
      <c r="AB929" s="6" t="s">
        <v>81</v>
      </c>
      <c r="AC929" s="6" t="s">
        <v>10886</v>
      </c>
      <c r="AD929" s="16" t="n">
        <v>37375</v>
      </c>
      <c r="AE929" s="6" t="s">
        <v>14196</v>
      </c>
      <c r="AF929" s="6" t="s">
        <v>81</v>
      </c>
      <c r="AG929" s="6" t="s">
        <v>81</v>
      </c>
      <c r="AH929" s="6" t="s">
        <v>81</v>
      </c>
      <c r="AI929" s="6" t="s">
        <v>81</v>
      </c>
      <c r="AJ929" s="6" t="s">
        <v>81</v>
      </c>
      <c r="AK929" s="6" t="s">
        <v>81</v>
      </c>
      <c r="AL929" s="6" t="s">
        <v>81</v>
      </c>
      <c r="AM929" s="6" t="s">
        <v>81</v>
      </c>
      <c r="AN929" s="6" t="s">
        <v>81</v>
      </c>
      <c r="AO929" s="6" t="s">
        <v>81</v>
      </c>
      <c r="AP929" s="6" t="s">
        <v>20230</v>
      </c>
      <c r="AQ929" s="6" t="s">
        <v>81</v>
      </c>
      <c r="AR929" s="6" t="s">
        <v>20527</v>
      </c>
      <c r="AS929" s="6" t="s">
        <v>18377</v>
      </c>
      <c r="AT929" s="6" t="s">
        <v>18444</v>
      </c>
      <c r="AU929" s="6" t="s">
        <v>20648</v>
      </c>
      <c r="AV929" s="6" t="s">
        <v>19684</v>
      </c>
      <c r="AW929" s="6" t="s">
        <v>19813</v>
      </c>
      <c r="AX929" s="6" t="s">
        <v>21341</v>
      </c>
      <c r="AY929" s="6" t="s">
        <v>22903</v>
      </c>
      <c r="AZ929" s="6" t="s">
        <v>23664</v>
      </c>
      <c r="BA929" s="6" t="s">
        <v>81</v>
      </c>
      <c r="BB929" s="6" t="s">
        <v>81</v>
      </c>
      <c r="BC929" s="26"/>
      <c r="BD929" s="26"/>
      <c r="BE929" s="26" t="s">
        <v>23900</v>
      </c>
      <c r="BF929" s="26"/>
      <c r="BG929" s="26"/>
      <c r="BH929" s="26"/>
      <c r="BI929" s="26"/>
      <c r="BJ929" s="26"/>
      <c r="BK929" s="26"/>
      <c r="BL929" s="26"/>
      <c r="BM929" s="26"/>
      <c r="BN929" s="26"/>
      <c r="BO929" s="26"/>
      <c r="BP929" s="16" t="n">
        <v>45713</v>
      </c>
      <c r="BQ929" s="28" t="str">
        <f>HYPERLINK("https://organic.ams.usda.gov/Integrity/Certificate.aspx?cid=62&amp;nopid=8150000516")</f>
        <v>https://organic.ams.usda.gov/Integrity/Certificate.aspx?cid=62&amp;nopid=8150000516</v>
      </c>
    </row>
    <row r="930">
      <c r="A930" t="s">
        <v>3</v>
      </c>
      <c r="B930" s="6" t="s">
        <v>8</v>
      </c>
      <c r="C930" s="6" t="s">
        <v>55</v>
      </c>
      <c r="D930" s="6" t="s">
        <v>101</v>
      </c>
      <c r="E930" s="10" t="s">
        <v>1071</v>
      </c>
      <c r="F930" s="6" t="s">
        <v>3799</v>
      </c>
      <c r="G930" s="6" t="s">
        <v>81</v>
      </c>
      <c r="H930" s="6" t="s">
        <v>6745</v>
      </c>
      <c r="I930" s="6" t="s">
        <v>8940</v>
      </c>
      <c r="J930" s="6" t="s">
        <v>9667</v>
      </c>
      <c r="K930" s="6" t="s">
        <v>10886</v>
      </c>
      <c r="L930" s="16" t="n">
        <v>40966</v>
      </c>
      <c r="M930" s="16" t="n">
        <v>45748</v>
      </c>
      <c r="N930" s="6" t="s">
        <v>10886</v>
      </c>
      <c r="O930" s="16" t="n">
        <v>40966</v>
      </c>
      <c r="P930" s="6" t="s">
        <v>11441</v>
      </c>
      <c r="Q930" s="6" t="s">
        <v>81</v>
      </c>
      <c r="R930" s="6" t="s">
        <v>6745</v>
      </c>
      <c r="S930" s="6" t="s">
        <v>10886</v>
      </c>
      <c r="T930" s="16" t="n">
        <v>40966</v>
      </c>
      <c r="U930" s="6" t="s">
        <v>13265</v>
      </c>
      <c r="V930" s="6" t="s">
        <v>81</v>
      </c>
      <c r="W930" s="6" t="s">
        <v>6745</v>
      </c>
      <c r="X930" s="6" t="s">
        <v>81</v>
      </c>
      <c r="Y930" s="21" t="s">
        <v>81</v>
      </c>
      <c r="Z930" s="6" t="s">
        <v>81</v>
      </c>
      <c r="AA930" s="6" t="s">
        <v>81</v>
      </c>
      <c r="AB930" s="6" t="s">
        <v>81</v>
      </c>
      <c r="AC930" s="6" t="s">
        <v>81</v>
      </c>
      <c r="AD930" s="21" t="s">
        <v>81</v>
      </c>
      <c r="AE930" s="6" t="s">
        <v>81</v>
      </c>
      <c r="AF930" s="6" t="s">
        <v>81</v>
      </c>
      <c r="AG930" s="6" t="s">
        <v>81</v>
      </c>
      <c r="AH930" s="6" t="s">
        <v>15505</v>
      </c>
      <c r="AI930" s="6" t="s">
        <v>81</v>
      </c>
      <c r="AJ930" s="6" t="s">
        <v>17418</v>
      </c>
      <c r="AK930" s="6" t="s">
        <v>18379</v>
      </c>
      <c r="AL930" s="6" t="s">
        <v>18444</v>
      </c>
      <c r="AM930" s="6" t="s">
        <v>18575</v>
      </c>
      <c r="AN930" s="6" t="s">
        <v>19671</v>
      </c>
      <c r="AO930" s="6" t="s">
        <v>19784</v>
      </c>
      <c r="AP930" s="6" t="s">
        <v>81</v>
      </c>
      <c r="AQ930" s="6" t="s">
        <v>81</v>
      </c>
      <c r="AR930" s="6" t="s">
        <v>81</v>
      </c>
      <c r="AS930" s="6" t="s">
        <v>81</v>
      </c>
      <c r="AT930" s="6" t="s">
        <v>81</v>
      </c>
      <c r="AU930" s="6" t="s">
        <v>81</v>
      </c>
      <c r="AV930" s="6" t="s">
        <v>81</v>
      </c>
      <c r="AW930" s="6" t="s">
        <v>81</v>
      </c>
      <c r="AX930" s="6" t="s">
        <v>81</v>
      </c>
      <c r="AY930" s="6" t="s">
        <v>81</v>
      </c>
      <c r="AZ930" s="6" t="s">
        <v>81</v>
      </c>
      <c r="BA930" s="6" t="s">
        <v>23824</v>
      </c>
      <c r="BB930" s="24" t="n">
        <v>86</v>
      </c>
      <c r="BC930" s="26"/>
      <c r="BD930" s="26"/>
      <c r="BE930" s="26"/>
      <c r="BF930" s="26" t="s">
        <v>23900</v>
      </c>
      <c r="BG930" s="26"/>
      <c r="BH930" s="26"/>
      <c r="BI930" s="26"/>
      <c r="BJ930" s="26"/>
      <c r="BK930" s="26"/>
      <c r="BL930" s="26"/>
      <c r="BM930" s="26"/>
      <c r="BN930" s="26"/>
      <c r="BO930" s="26"/>
      <c r="BP930" s="16" t="n">
        <v>45631</v>
      </c>
      <c r="BQ930" s="28" t="str">
        <f>HYPERLINK("https://organic.ams.usda.gov/Integrity/Certificate.aspx?cid=45&amp;nopid=9950004707")</f>
        <v>https://organic.ams.usda.gov/Integrity/Certificate.aspx?cid=45&amp;nopid=9950004707</v>
      </c>
    </row>
    <row r="931">
      <c r="A931" t="s">
        <v>3</v>
      </c>
      <c r="B931" s="6" t="s">
        <v>8</v>
      </c>
      <c r="C931" s="6" t="s">
        <v>55</v>
      </c>
      <c r="D931" s="6" t="s">
        <v>101</v>
      </c>
      <c r="E931" s="10" t="s">
        <v>1072</v>
      </c>
      <c r="F931" s="6" t="s">
        <v>3800</v>
      </c>
      <c r="G931" s="6" t="s">
        <v>81</v>
      </c>
      <c r="H931" s="6" t="s">
        <v>6746</v>
      </c>
      <c r="I931" s="6" t="s">
        <v>8940</v>
      </c>
      <c r="J931" s="6" t="s">
        <v>9799</v>
      </c>
      <c r="K931" s="6" t="s">
        <v>10886</v>
      </c>
      <c r="L931" s="16" t="n">
        <v>43773</v>
      </c>
      <c r="M931" s="16" t="n">
        <v>45748</v>
      </c>
      <c r="N931" s="6" t="s">
        <v>10886</v>
      </c>
      <c r="O931" s="16" t="n">
        <v>43773</v>
      </c>
      <c r="P931" s="6" t="s">
        <v>11442</v>
      </c>
      <c r="Q931" s="6" t="s">
        <v>81</v>
      </c>
      <c r="R931" s="6" t="s">
        <v>6746</v>
      </c>
      <c r="S931" s="6" t="s">
        <v>10886</v>
      </c>
      <c r="T931" s="16" t="n">
        <v>43773</v>
      </c>
      <c r="U931" s="6" t="s">
        <v>13357</v>
      </c>
      <c r="V931" s="6" t="s">
        <v>81</v>
      </c>
      <c r="W931" s="6" t="s">
        <v>6746</v>
      </c>
      <c r="X931" s="6" t="s">
        <v>81</v>
      </c>
      <c r="Y931" s="21" t="s">
        <v>81</v>
      </c>
      <c r="Z931" s="6" t="s">
        <v>81</v>
      </c>
      <c r="AA931" s="6" t="s">
        <v>81</v>
      </c>
      <c r="AB931" s="6" t="s">
        <v>81</v>
      </c>
      <c r="AC931" s="6" t="s">
        <v>81</v>
      </c>
      <c r="AD931" s="21" t="s">
        <v>81</v>
      </c>
      <c r="AE931" s="6" t="s">
        <v>81</v>
      </c>
      <c r="AF931" s="6" t="s">
        <v>81</v>
      </c>
      <c r="AG931" s="6" t="s">
        <v>81</v>
      </c>
      <c r="AH931" s="6" t="s">
        <v>15506</v>
      </c>
      <c r="AI931" s="6" t="s">
        <v>81</v>
      </c>
      <c r="AJ931" s="6" t="s">
        <v>17681</v>
      </c>
      <c r="AK931" s="6" t="s">
        <v>18377</v>
      </c>
      <c r="AL931" s="6" t="s">
        <v>18444</v>
      </c>
      <c r="AM931" s="6" t="s">
        <v>18847</v>
      </c>
      <c r="AN931" s="6" t="s">
        <v>19638</v>
      </c>
      <c r="AO931" s="6" t="s">
        <v>19724</v>
      </c>
      <c r="AP931" s="6" t="s">
        <v>81</v>
      </c>
      <c r="AQ931" s="6" t="s">
        <v>81</v>
      </c>
      <c r="AR931" s="6" t="s">
        <v>81</v>
      </c>
      <c r="AS931" s="6" t="s">
        <v>81</v>
      </c>
      <c r="AT931" s="6" t="s">
        <v>81</v>
      </c>
      <c r="AU931" s="6" t="s">
        <v>81</v>
      </c>
      <c r="AV931" s="6" t="s">
        <v>81</v>
      </c>
      <c r="AW931" s="6" t="s">
        <v>81</v>
      </c>
      <c r="AX931" s="6" t="s">
        <v>81</v>
      </c>
      <c r="AY931" s="6" t="s">
        <v>81</v>
      </c>
      <c r="AZ931" s="6" t="s">
        <v>81</v>
      </c>
      <c r="BA931" s="6" t="s">
        <v>23819</v>
      </c>
      <c r="BB931" s="24" t="n">
        <v>188</v>
      </c>
      <c r="BC931" s="26"/>
      <c r="BD931" s="26"/>
      <c r="BE931" s="26"/>
      <c r="BF931" s="26" t="s">
        <v>23900</v>
      </c>
      <c r="BG931" s="26"/>
      <c r="BH931" s="26"/>
      <c r="BI931" s="26"/>
      <c r="BJ931" s="26"/>
      <c r="BK931" s="26"/>
      <c r="BL931" s="26"/>
      <c r="BM931" s="26"/>
      <c r="BN931" s="26"/>
      <c r="BO931" s="26"/>
      <c r="BP931" s="16" t="n">
        <v>45590</v>
      </c>
      <c r="BQ931" s="28" t="str">
        <f>HYPERLINK("https://organic.ams.usda.gov/Integrity/Certificate.aspx?cid=45&amp;nopid=9950010136")</f>
        <v>https://organic.ams.usda.gov/Integrity/Certificate.aspx?cid=45&amp;nopid=9950010136</v>
      </c>
    </row>
    <row r="932">
      <c r="A932" t="s">
        <v>3</v>
      </c>
      <c r="B932" s="6" t="s">
        <v>7</v>
      </c>
      <c r="C932" s="6" t="s">
        <v>54</v>
      </c>
      <c r="D932" s="6" t="s">
        <v>100</v>
      </c>
      <c r="E932" s="10" t="s">
        <v>1073</v>
      </c>
      <c r="F932" s="6" t="s">
        <v>3801</v>
      </c>
      <c r="G932" s="6" t="s">
        <v>81</v>
      </c>
      <c r="H932" s="6" t="s">
        <v>6747</v>
      </c>
      <c r="I932" s="6" t="s">
        <v>8940</v>
      </c>
      <c r="J932" s="6" t="s">
        <v>9727</v>
      </c>
      <c r="K932" s="6" t="s">
        <v>10886</v>
      </c>
      <c r="L932" s="16" t="n">
        <v>41908</v>
      </c>
      <c r="M932" s="16" t="n">
        <v>45716</v>
      </c>
      <c r="N932" s="6" t="s">
        <v>10886</v>
      </c>
      <c r="O932" s="16" t="n">
        <v>41908</v>
      </c>
      <c r="P932" s="6" t="s">
        <v>11443</v>
      </c>
      <c r="Q932" s="6" t="s">
        <v>81</v>
      </c>
      <c r="R932" s="6" t="s">
        <v>81</v>
      </c>
      <c r="S932" s="6" t="s">
        <v>10886</v>
      </c>
      <c r="T932" s="16" t="n">
        <v>42139</v>
      </c>
      <c r="U932" s="6" t="s">
        <v>13169</v>
      </c>
      <c r="V932" s="6" t="s">
        <v>81</v>
      </c>
      <c r="W932" s="6" t="s">
        <v>81</v>
      </c>
      <c r="X932" s="6" t="s">
        <v>81</v>
      </c>
      <c r="Y932" s="21" t="s">
        <v>81</v>
      </c>
      <c r="Z932" s="6" t="s">
        <v>81</v>
      </c>
      <c r="AA932" s="6" t="s">
        <v>81</v>
      </c>
      <c r="AB932" s="6" t="s">
        <v>81</v>
      </c>
      <c r="AC932" s="6" t="s">
        <v>81</v>
      </c>
      <c r="AD932" s="21" t="s">
        <v>81</v>
      </c>
      <c r="AE932" s="6" t="s">
        <v>81</v>
      </c>
      <c r="AF932" s="6" t="s">
        <v>81</v>
      </c>
      <c r="AG932" s="6" t="s">
        <v>81</v>
      </c>
      <c r="AH932" s="6" t="s">
        <v>15507</v>
      </c>
      <c r="AI932" s="6" t="s">
        <v>81</v>
      </c>
      <c r="AJ932" s="6" t="s">
        <v>17406</v>
      </c>
      <c r="AK932" s="6" t="s">
        <v>17712</v>
      </c>
      <c r="AL932" s="6" t="s">
        <v>18444</v>
      </c>
      <c r="AM932" s="6" t="s">
        <v>18562</v>
      </c>
      <c r="AN932" s="6" t="s">
        <v>19670</v>
      </c>
      <c r="AO932" s="6" t="s">
        <v>19782</v>
      </c>
      <c r="AP932" s="6" t="s">
        <v>15507</v>
      </c>
      <c r="AQ932" s="6" t="s">
        <v>81</v>
      </c>
      <c r="AR932" s="6" t="s">
        <v>17406</v>
      </c>
      <c r="AS932" s="6" t="s">
        <v>17712</v>
      </c>
      <c r="AT932" s="6" t="s">
        <v>18444</v>
      </c>
      <c r="AU932" s="6" t="s">
        <v>18562</v>
      </c>
      <c r="AV932" s="6" t="s">
        <v>81</v>
      </c>
      <c r="AW932" s="6" t="s">
        <v>81</v>
      </c>
      <c r="AX932" s="6" t="s">
        <v>81</v>
      </c>
      <c r="AY932" s="6" t="s">
        <v>81</v>
      </c>
      <c r="AZ932" s="6" t="s">
        <v>81</v>
      </c>
      <c r="BA932" s="6" t="s">
        <v>81</v>
      </c>
      <c r="BB932" s="24" t="n">
        <v>172</v>
      </c>
      <c r="BC932" s="26"/>
      <c r="BD932" s="26"/>
      <c r="BE932" s="26"/>
      <c r="BF932" s="26" t="s">
        <v>23900</v>
      </c>
      <c r="BG932" s="26"/>
      <c r="BH932" s="26"/>
      <c r="BI932" s="26"/>
      <c r="BJ932" s="26"/>
      <c r="BK932" s="26"/>
      <c r="BL932" s="26"/>
      <c r="BM932" s="26"/>
      <c r="BN932" s="26"/>
      <c r="BO932" s="26"/>
      <c r="BP932" s="16" t="n">
        <v>45609</v>
      </c>
      <c r="BQ932" s="28" t="str">
        <f>HYPERLINK("https://organic.ams.usda.gov/Integrity/Certificate.aspx?cid=57&amp;nopid=3252014047")</f>
        <v>https://organic.ams.usda.gov/Integrity/Certificate.aspx?cid=57&amp;nopid=3252014047</v>
      </c>
    </row>
    <row r="933">
      <c r="A933" t="s">
        <v>3</v>
      </c>
      <c r="B933" s="6" t="s">
        <v>18</v>
      </c>
      <c r="C933" s="6" t="s">
        <v>65</v>
      </c>
      <c r="D933" s="6" t="s">
        <v>111</v>
      </c>
      <c r="E933" s="10" t="s">
        <v>1074</v>
      </c>
      <c r="F933" s="6" t="s">
        <v>3802</v>
      </c>
      <c r="G933" s="6" t="s">
        <v>81</v>
      </c>
      <c r="H933" s="6" t="s">
        <v>1074</v>
      </c>
      <c r="I933" s="6" t="s">
        <v>8940</v>
      </c>
      <c r="J933" s="6" t="s">
        <v>9669</v>
      </c>
      <c r="K933" s="6" t="s">
        <v>10886</v>
      </c>
      <c r="L933" s="16" t="n">
        <v>45502</v>
      </c>
      <c r="M933" s="16" t="n">
        <v>45748</v>
      </c>
      <c r="N933" s="6" t="s">
        <v>10886</v>
      </c>
      <c r="O933" s="16" t="n">
        <v>45502</v>
      </c>
      <c r="P933" s="6" t="s">
        <v>11444</v>
      </c>
      <c r="Q933" s="6" t="s">
        <v>81</v>
      </c>
      <c r="R933" s="6" t="s">
        <v>3802</v>
      </c>
      <c r="S933" s="6" t="s">
        <v>10886</v>
      </c>
      <c r="T933" s="16" t="n">
        <v>45502</v>
      </c>
      <c r="U933" s="6" t="s">
        <v>13497</v>
      </c>
      <c r="V933" s="6" t="s">
        <v>81</v>
      </c>
      <c r="W933" s="6" t="s">
        <v>3802</v>
      </c>
      <c r="X933" s="6" t="s">
        <v>81</v>
      </c>
      <c r="Y933" s="21" t="s">
        <v>81</v>
      </c>
      <c r="Z933" s="6" t="s">
        <v>81</v>
      </c>
      <c r="AA933" s="6" t="s">
        <v>81</v>
      </c>
      <c r="AB933" s="6" t="s">
        <v>81</v>
      </c>
      <c r="AC933" s="6" t="s">
        <v>81</v>
      </c>
      <c r="AD933" s="21" t="s">
        <v>81</v>
      </c>
      <c r="AE933" s="6" t="s">
        <v>81</v>
      </c>
      <c r="AF933" s="6" t="s">
        <v>81</v>
      </c>
      <c r="AG933" s="6" t="s">
        <v>81</v>
      </c>
      <c r="AH933" s="6" t="s">
        <v>15508</v>
      </c>
      <c r="AI933" s="6" t="s">
        <v>81</v>
      </c>
      <c r="AJ933" s="6" t="s">
        <v>17657</v>
      </c>
      <c r="AK933" s="6" t="s">
        <v>17712</v>
      </c>
      <c r="AL933" s="6" t="s">
        <v>18444</v>
      </c>
      <c r="AM933" s="6" t="s">
        <v>18825</v>
      </c>
      <c r="AN933" s="6" t="s">
        <v>81</v>
      </c>
      <c r="AO933" s="6" t="s">
        <v>81</v>
      </c>
      <c r="AP933" s="6" t="s">
        <v>15508</v>
      </c>
      <c r="AQ933" s="6" t="s">
        <v>81</v>
      </c>
      <c r="AR933" s="6" t="s">
        <v>17657</v>
      </c>
      <c r="AS933" s="6" t="s">
        <v>17712</v>
      </c>
      <c r="AT933" s="6" t="s">
        <v>18444</v>
      </c>
      <c r="AU933" s="6" t="s">
        <v>18825</v>
      </c>
      <c r="AV933" s="6" t="s">
        <v>81</v>
      </c>
      <c r="AW933" s="6" t="s">
        <v>81</v>
      </c>
      <c r="AX933" s="6" t="s">
        <v>81</v>
      </c>
      <c r="AY933" s="6" t="s">
        <v>81</v>
      </c>
      <c r="AZ933" s="6" t="s">
        <v>81</v>
      </c>
      <c r="BA933" s="6" t="s">
        <v>81</v>
      </c>
      <c r="BB933" s="24" t="n">
        <v>129</v>
      </c>
      <c r="BC933" s="26"/>
      <c r="BD933" s="26"/>
      <c r="BE933" s="26"/>
      <c r="BF933" s="26"/>
      <c r="BG933" s="26"/>
      <c r="BH933" s="26"/>
      <c r="BI933" s="26"/>
      <c r="BJ933" s="26"/>
      <c r="BK933" s="26"/>
      <c r="BL933" s="26"/>
      <c r="BM933" s="26"/>
      <c r="BN933" s="26"/>
      <c r="BO933" s="26"/>
      <c r="BP933" s="16" t="n">
        <v>45504</v>
      </c>
      <c r="BQ933" s="28" t="str">
        <f>HYPERLINK("https://organic.ams.usda.gov/Integrity/Certificate.aspx?cid=8&amp;nopid=2202412700")</f>
        <v>https://organic.ams.usda.gov/Integrity/Certificate.aspx?cid=8&amp;nopid=2202412700</v>
      </c>
    </row>
    <row r="934">
      <c r="A934" t="s">
        <v>3</v>
      </c>
      <c r="B934" s="6" t="s">
        <v>7</v>
      </c>
      <c r="C934" s="6" t="s">
        <v>54</v>
      </c>
      <c r="D934" s="6" t="s">
        <v>100</v>
      </c>
      <c r="E934" s="10" t="s">
        <v>1075</v>
      </c>
      <c r="F934" s="6" t="s">
        <v>3803</v>
      </c>
      <c r="G934" s="6" t="s">
        <v>81</v>
      </c>
      <c r="H934" s="6" t="s">
        <v>6748</v>
      </c>
      <c r="I934" s="6" t="s">
        <v>8940</v>
      </c>
      <c r="J934" s="6" t="s">
        <v>9665</v>
      </c>
      <c r="K934" s="6" t="s">
        <v>10886</v>
      </c>
      <c r="L934" s="16" t="n">
        <v>44663</v>
      </c>
      <c r="M934" s="16" t="n">
        <v>45716</v>
      </c>
      <c r="N934" s="6" t="s">
        <v>10886</v>
      </c>
      <c r="O934" s="16" t="n">
        <v>44663</v>
      </c>
      <c r="P934" s="6" t="s">
        <v>11445</v>
      </c>
      <c r="Q934" s="6" t="s">
        <v>81</v>
      </c>
      <c r="R934" s="6" t="s">
        <v>81</v>
      </c>
      <c r="S934" s="6" t="s">
        <v>10886</v>
      </c>
      <c r="T934" s="16" t="n">
        <v>44663</v>
      </c>
      <c r="U934" s="6" t="s">
        <v>13160</v>
      </c>
      <c r="V934" s="6" t="s">
        <v>81</v>
      </c>
      <c r="W934" s="6" t="s">
        <v>81</v>
      </c>
      <c r="X934" s="6" t="s">
        <v>81</v>
      </c>
      <c r="Y934" s="21" t="s">
        <v>81</v>
      </c>
      <c r="Z934" s="6" t="s">
        <v>81</v>
      </c>
      <c r="AA934" s="6" t="s">
        <v>81</v>
      </c>
      <c r="AB934" s="6" t="s">
        <v>81</v>
      </c>
      <c r="AC934" s="6" t="s">
        <v>81</v>
      </c>
      <c r="AD934" s="21" t="s">
        <v>81</v>
      </c>
      <c r="AE934" s="6" t="s">
        <v>81</v>
      </c>
      <c r="AF934" s="6" t="s">
        <v>81</v>
      </c>
      <c r="AG934" s="6" t="s">
        <v>81</v>
      </c>
      <c r="AH934" s="6" t="s">
        <v>15509</v>
      </c>
      <c r="AI934" s="6" t="s">
        <v>81</v>
      </c>
      <c r="AJ934" s="6" t="s">
        <v>17644</v>
      </c>
      <c r="AK934" s="6" t="s">
        <v>17712</v>
      </c>
      <c r="AL934" s="6" t="s">
        <v>18444</v>
      </c>
      <c r="AM934" s="6" t="s">
        <v>18813</v>
      </c>
      <c r="AN934" s="6" t="s">
        <v>19684</v>
      </c>
      <c r="AO934" s="6" t="s">
        <v>19784</v>
      </c>
      <c r="AP934" s="6" t="s">
        <v>15509</v>
      </c>
      <c r="AQ934" s="6" t="s">
        <v>81</v>
      </c>
      <c r="AR934" s="6" t="s">
        <v>17644</v>
      </c>
      <c r="AS934" s="6" t="s">
        <v>17712</v>
      </c>
      <c r="AT934" s="6" t="s">
        <v>18444</v>
      </c>
      <c r="AU934" s="6" t="s">
        <v>18813</v>
      </c>
      <c r="AV934" s="6" t="s">
        <v>81</v>
      </c>
      <c r="AW934" s="6" t="s">
        <v>81</v>
      </c>
      <c r="AX934" s="6" t="s">
        <v>21342</v>
      </c>
      <c r="AY934" s="6" t="s">
        <v>81</v>
      </c>
      <c r="AZ934" s="6" t="s">
        <v>81</v>
      </c>
      <c r="BA934" s="6" t="s">
        <v>81</v>
      </c>
      <c r="BB934" s="24" t="n">
        <v>50</v>
      </c>
      <c r="BC934" s="26"/>
      <c r="BD934" s="26"/>
      <c r="BE934" s="26"/>
      <c r="BF934" s="26" t="s">
        <v>23900</v>
      </c>
      <c r="BG934" s="26"/>
      <c r="BH934" s="26"/>
      <c r="BI934" s="26"/>
      <c r="BJ934" s="26"/>
      <c r="BK934" s="26"/>
      <c r="BL934" s="26"/>
      <c r="BM934" s="26"/>
      <c r="BN934" s="26"/>
      <c r="BO934" s="26"/>
      <c r="BP934" s="16" t="n">
        <v>45735</v>
      </c>
      <c r="BQ934" s="28" t="str">
        <f>HYPERLINK("https://organic.ams.usda.gov/Integrity/Certificate.aspx?cid=57&amp;nopid=3252022041")</f>
        <v>https://organic.ams.usda.gov/Integrity/Certificate.aspx?cid=57&amp;nopid=3252022041</v>
      </c>
    </row>
    <row r="935">
      <c r="A935" t="s">
        <v>3</v>
      </c>
      <c r="B935" s="6" t="s">
        <v>12</v>
      </c>
      <c r="C935" s="6" t="s">
        <v>59</v>
      </c>
      <c r="D935" s="6" t="s">
        <v>105</v>
      </c>
      <c r="E935" s="10" t="s">
        <v>1076</v>
      </c>
      <c r="F935" s="6" t="s">
        <v>3804</v>
      </c>
      <c r="G935" s="6" t="s">
        <v>81</v>
      </c>
      <c r="H935" s="6" t="s">
        <v>6749</v>
      </c>
      <c r="I935" s="6" t="s">
        <v>8941</v>
      </c>
      <c r="J935" s="6" t="s">
        <v>9808</v>
      </c>
      <c r="K935" s="6" t="s">
        <v>10886</v>
      </c>
      <c r="L935" s="16" t="n">
        <v>40118</v>
      </c>
      <c r="M935" s="16" t="n">
        <v>45717</v>
      </c>
      <c r="N935" s="6" t="s">
        <v>10886</v>
      </c>
      <c r="O935" s="16" t="n">
        <v>40118</v>
      </c>
      <c r="P935" s="6" t="s">
        <v>11446</v>
      </c>
      <c r="Q935" s="6" t="s">
        <v>81</v>
      </c>
      <c r="R935" s="6" t="s">
        <v>81</v>
      </c>
      <c r="S935" s="6" t="s">
        <v>10886</v>
      </c>
      <c r="T935" s="16" t="n">
        <v>40118</v>
      </c>
      <c r="U935" s="6" t="s">
        <v>13166</v>
      </c>
      <c r="V935" s="6" t="s">
        <v>81</v>
      </c>
      <c r="W935" s="6" t="s">
        <v>81</v>
      </c>
      <c r="X935" s="6" t="s">
        <v>81</v>
      </c>
      <c r="Y935" s="21" t="s">
        <v>81</v>
      </c>
      <c r="Z935" s="6" t="s">
        <v>81</v>
      </c>
      <c r="AA935" s="6" t="s">
        <v>81</v>
      </c>
      <c r="AB935" s="6" t="s">
        <v>81</v>
      </c>
      <c r="AC935" s="6" t="s">
        <v>81</v>
      </c>
      <c r="AD935" s="21" t="s">
        <v>81</v>
      </c>
      <c r="AE935" s="6" t="s">
        <v>81</v>
      </c>
      <c r="AF935" s="6" t="s">
        <v>81</v>
      </c>
      <c r="AG935" s="6" t="s">
        <v>81</v>
      </c>
      <c r="AH935" s="6" t="s">
        <v>15510</v>
      </c>
      <c r="AI935" s="6" t="s">
        <v>81</v>
      </c>
      <c r="AJ935" s="6" t="s">
        <v>17413</v>
      </c>
      <c r="AK935" s="6" t="s">
        <v>18380</v>
      </c>
      <c r="AL935" s="6" t="s">
        <v>18444</v>
      </c>
      <c r="AM935" s="6" t="s">
        <v>18569</v>
      </c>
      <c r="AN935" s="6" t="s">
        <v>19639</v>
      </c>
      <c r="AO935" s="6" t="s">
        <v>19725</v>
      </c>
      <c r="AP935" s="6" t="s">
        <v>15510</v>
      </c>
      <c r="AQ935" s="6" t="s">
        <v>81</v>
      </c>
      <c r="AR935" s="6" t="s">
        <v>17413</v>
      </c>
      <c r="AS935" s="6" t="s">
        <v>18380</v>
      </c>
      <c r="AT935" s="6" t="s">
        <v>18444</v>
      </c>
      <c r="AU935" s="6" t="s">
        <v>18569</v>
      </c>
      <c r="AV935" s="6" t="s">
        <v>81</v>
      </c>
      <c r="AW935" s="6" t="s">
        <v>81</v>
      </c>
      <c r="AX935" s="6" t="s">
        <v>21343</v>
      </c>
      <c r="AY935" s="6" t="s">
        <v>81</v>
      </c>
      <c r="AZ935" s="6" t="s">
        <v>81</v>
      </c>
      <c r="BA935" s="6" t="s">
        <v>81</v>
      </c>
      <c r="BB935" s="24" t="n">
        <v>94</v>
      </c>
      <c r="BC935" s="26"/>
      <c r="BD935" s="26"/>
      <c r="BE935" s="26"/>
      <c r="BF935" s="26"/>
      <c r="BG935" s="26"/>
      <c r="BH935" s="26"/>
      <c r="BI935" s="26"/>
      <c r="BJ935" s="26"/>
      <c r="BK935" s="26"/>
      <c r="BL935" s="26"/>
      <c r="BM935" s="26"/>
      <c r="BN935" s="26"/>
      <c r="BO935" s="26"/>
      <c r="BP935" s="16" t="n">
        <v>45684</v>
      </c>
      <c r="BQ935" s="28" t="str">
        <f>HYPERLINK("https://organic.ams.usda.gov/Integrity/Certificate.aspx?cid=68&amp;nopid=8210002651")</f>
        <v>https://organic.ams.usda.gov/Integrity/Certificate.aspx?cid=68&amp;nopid=8210002651</v>
      </c>
    </row>
    <row r="936">
      <c r="A936" t="s">
        <v>3</v>
      </c>
      <c r="B936" s="6" t="s">
        <v>12</v>
      </c>
      <c r="C936" s="6" t="s">
        <v>59</v>
      </c>
      <c r="D936" s="6" t="s">
        <v>105</v>
      </c>
      <c r="E936" s="10" t="s">
        <v>1077</v>
      </c>
      <c r="F936" s="6" t="s">
        <v>3805</v>
      </c>
      <c r="G936" s="6" t="s">
        <v>81</v>
      </c>
      <c r="H936" s="6" t="s">
        <v>6750</v>
      </c>
      <c r="I936" s="6" t="s">
        <v>8941</v>
      </c>
      <c r="J936" s="6" t="s">
        <v>9701</v>
      </c>
      <c r="K936" s="6" t="s">
        <v>10886</v>
      </c>
      <c r="L936" s="16" t="n">
        <v>42601</v>
      </c>
      <c r="M936" s="16" t="n">
        <v>45717</v>
      </c>
      <c r="N936" s="6" t="s">
        <v>10886</v>
      </c>
      <c r="O936" s="16" t="n">
        <v>42601</v>
      </c>
      <c r="P936" s="6" t="s">
        <v>11447</v>
      </c>
      <c r="Q936" s="6" t="s">
        <v>81</v>
      </c>
      <c r="R936" s="6" t="s">
        <v>81</v>
      </c>
      <c r="S936" s="6" t="s">
        <v>10886</v>
      </c>
      <c r="T936" s="16" t="n">
        <v>42601</v>
      </c>
      <c r="U936" s="6" t="s">
        <v>13183</v>
      </c>
      <c r="V936" s="6" t="s">
        <v>81</v>
      </c>
      <c r="W936" s="6" t="s">
        <v>81</v>
      </c>
      <c r="X936" s="6" t="s">
        <v>81</v>
      </c>
      <c r="Y936" s="21" t="s">
        <v>81</v>
      </c>
      <c r="Z936" s="6" t="s">
        <v>81</v>
      </c>
      <c r="AA936" s="6" t="s">
        <v>81</v>
      </c>
      <c r="AB936" s="6" t="s">
        <v>81</v>
      </c>
      <c r="AC936" s="6" t="s">
        <v>81</v>
      </c>
      <c r="AD936" s="21" t="s">
        <v>81</v>
      </c>
      <c r="AE936" s="6" t="s">
        <v>81</v>
      </c>
      <c r="AF936" s="6" t="s">
        <v>81</v>
      </c>
      <c r="AG936" s="6" t="s">
        <v>81</v>
      </c>
      <c r="AH936" s="6" t="s">
        <v>15511</v>
      </c>
      <c r="AI936" s="6" t="s">
        <v>81</v>
      </c>
      <c r="AJ936" s="6" t="s">
        <v>17814</v>
      </c>
      <c r="AK936" s="6" t="s">
        <v>18380</v>
      </c>
      <c r="AL936" s="6" t="s">
        <v>18444</v>
      </c>
      <c r="AM936" s="6" t="s">
        <v>18992</v>
      </c>
      <c r="AN936" s="6" t="s">
        <v>6139</v>
      </c>
      <c r="AO936" s="6" t="s">
        <v>19729</v>
      </c>
      <c r="AP936" s="6" t="s">
        <v>15511</v>
      </c>
      <c r="AQ936" s="6" t="s">
        <v>81</v>
      </c>
      <c r="AR936" s="6" t="s">
        <v>17814</v>
      </c>
      <c r="AS936" s="6" t="s">
        <v>18380</v>
      </c>
      <c r="AT936" s="6" t="s">
        <v>18444</v>
      </c>
      <c r="AU936" s="6" t="s">
        <v>18992</v>
      </c>
      <c r="AV936" s="6" t="s">
        <v>81</v>
      </c>
      <c r="AW936" s="6" t="s">
        <v>81</v>
      </c>
      <c r="AX936" s="6" t="s">
        <v>21344</v>
      </c>
      <c r="AY936" s="6" t="s">
        <v>81</v>
      </c>
      <c r="AZ936" s="6" t="s">
        <v>81</v>
      </c>
      <c r="BA936" s="6" t="s">
        <v>81</v>
      </c>
      <c r="BB936" s="24" t="n">
        <v>93</v>
      </c>
      <c r="BC936" s="26"/>
      <c r="BD936" s="26"/>
      <c r="BE936" s="26"/>
      <c r="BF936" s="26"/>
      <c r="BG936" s="26"/>
      <c r="BH936" s="26"/>
      <c r="BI936" s="26"/>
      <c r="BJ936" s="26"/>
      <c r="BK936" s="26"/>
      <c r="BL936" s="26"/>
      <c r="BM936" s="26"/>
      <c r="BN936" s="26"/>
      <c r="BO936" s="26"/>
      <c r="BP936" s="16" t="n">
        <v>45684</v>
      </c>
      <c r="BQ936" s="28" t="str">
        <f>HYPERLINK("https://organic.ams.usda.gov/Integrity/Certificate.aspx?cid=68&amp;nopid=8210004682")</f>
        <v>https://organic.ams.usda.gov/Integrity/Certificate.aspx?cid=68&amp;nopid=8210004682</v>
      </c>
    </row>
    <row r="937">
      <c r="A937" t="s">
        <v>3</v>
      </c>
      <c r="B937" s="6" t="s">
        <v>8</v>
      </c>
      <c r="C937" s="6" t="s">
        <v>55</v>
      </c>
      <c r="D937" s="6" t="s">
        <v>101</v>
      </c>
      <c r="E937" s="10" t="s">
        <v>1078</v>
      </c>
      <c r="F937" s="6" t="s">
        <v>3806</v>
      </c>
      <c r="G937" s="6" t="s">
        <v>81</v>
      </c>
      <c r="H937" s="6" t="s">
        <v>6751</v>
      </c>
      <c r="I937" s="6" t="s">
        <v>8940</v>
      </c>
      <c r="J937" s="6" t="s">
        <v>9671</v>
      </c>
      <c r="K937" s="6" t="s">
        <v>10886</v>
      </c>
      <c r="L937" s="16" t="n">
        <v>42975</v>
      </c>
      <c r="M937" s="16" t="n">
        <v>45383</v>
      </c>
      <c r="N937" s="6" t="s">
        <v>10886</v>
      </c>
      <c r="O937" s="16" t="n">
        <v>42975</v>
      </c>
      <c r="P937" s="6" t="s">
        <v>11448</v>
      </c>
      <c r="Q937" s="6" t="s">
        <v>81</v>
      </c>
      <c r="R937" s="6" t="s">
        <v>6751</v>
      </c>
      <c r="S937" s="6" t="s">
        <v>10886</v>
      </c>
      <c r="T937" s="16" t="n">
        <v>42975</v>
      </c>
      <c r="U937" s="6" t="s">
        <v>13498</v>
      </c>
      <c r="V937" s="6" t="s">
        <v>81</v>
      </c>
      <c r="W937" s="6" t="s">
        <v>6751</v>
      </c>
      <c r="X937" s="6" t="s">
        <v>81</v>
      </c>
      <c r="Y937" s="21" t="s">
        <v>81</v>
      </c>
      <c r="Z937" s="6" t="s">
        <v>81</v>
      </c>
      <c r="AA937" s="6" t="s">
        <v>81</v>
      </c>
      <c r="AB937" s="6" t="s">
        <v>81</v>
      </c>
      <c r="AC937" s="6" t="s">
        <v>81</v>
      </c>
      <c r="AD937" s="21" t="s">
        <v>81</v>
      </c>
      <c r="AE937" s="6" t="s">
        <v>81</v>
      </c>
      <c r="AF937" s="6" t="s">
        <v>81</v>
      </c>
      <c r="AG937" s="6" t="s">
        <v>81</v>
      </c>
      <c r="AH937" s="6" t="s">
        <v>15512</v>
      </c>
      <c r="AI937" s="6" t="s">
        <v>81</v>
      </c>
      <c r="AJ937" s="6" t="s">
        <v>17418</v>
      </c>
      <c r="AK937" s="6" t="s">
        <v>18379</v>
      </c>
      <c r="AL937" s="6" t="s">
        <v>18444</v>
      </c>
      <c r="AM937" s="6" t="s">
        <v>18575</v>
      </c>
      <c r="AN937" s="6" t="s">
        <v>19666</v>
      </c>
      <c r="AO937" s="6" t="s">
        <v>19942</v>
      </c>
      <c r="AP937" s="6" t="s">
        <v>81</v>
      </c>
      <c r="AQ937" s="6" t="s">
        <v>81</v>
      </c>
      <c r="AR937" s="6" t="s">
        <v>81</v>
      </c>
      <c r="AS937" s="6" t="s">
        <v>81</v>
      </c>
      <c r="AT937" s="6" t="s">
        <v>81</v>
      </c>
      <c r="AU937" s="6" t="s">
        <v>81</v>
      </c>
      <c r="AV937" s="6" t="s">
        <v>81</v>
      </c>
      <c r="AW937" s="6" t="s">
        <v>81</v>
      </c>
      <c r="AX937" s="6" t="s">
        <v>81</v>
      </c>
      <c r="AY937" s="6" t="s">
        <v>81</v>
      </c>
      <c r="AZ937" s="6" t="s">
        <v>81</v>
      </c>
      <c r="BA937" s="6" t="s">
        <v>6751</v>
      </c>
      <c r="BB937" s="24" t="n">
        <v>115</v>
      </c>
      <c r="BC937" s="26"/>
      <c r="BD937" s="26"/>
      <c r="BE937" s="26"/>
      <c r="BF937" s="26"/>
      <c r="BG937" s="26"/>
      <c r="BH937" s="26"/>
      <c r="BI937" s="26"/>
      <c r="BJ937" s="26"/>
      <c r="BK937" s="26"/>
      <c r="BL937" s="26"/>
      <c r="BM937" s="26"/>
      <c r="BN937" s="26"/>
      <c r="BO937" s="26"/>
      <c r="BP937" s="16" t="n">
        <v>45425</v>
      </c>
      <c r="BQ937" s="28" t="str">
        <f>HYPERLINK("https://organic.ams.usda.gov/Integrity/Certificate.aspx?cid=45&amp;nopid=9950008379")</f>
        <v>https://organic.ams.usda.gov/Integrity/Certificate.aspx?cid=45&amp;nopid=9950008379</v>
      </c>
    </row>
    <row r="938">
      <c r="A938" t="s">
        <v>3</v>
      </c>
      <c r="B938" s="6" t="s">
        <v>13</v>
      </c>
      <c r="C938" s="6" t="s">
        <v>60</v>
      </c>
      <c r="D938" s="6" t="s">
        <v>106</v>
      </c>
      <c r="E938" s="10" t="s">
        <v>1079</v>
      </c>
      <c r="F938" s="6" t="s">
        <v>3807</v>
      </c>
      <c r="G938" s="6" t="s">
        <v>81</v>
      </c>
      <c r="H938" s="6" t="s">
        <v>6752</v>
      </c>
      <c r="I938" s="6" t="s">
        <v>8412</v>
      </c>
      <c r="J938" s="6" t="s">
        <v>10132</v>
      </c>
      <c r="K938" s="6" t="s">
        <v>10886</v>
      </c>
      <c r="L938" s="16" t="n">
        <v>42684</v>
      </c>
      <c r="M938" s="16" t="n">
        <v>45992</v>
      </c>
      <c r="N938" s="6" t="s">
        <v>10886</v>
      </c>
      <c r="O938" s="16" t="n">
        <v>42684</v>
      </c>
      <c r="P938" s="6" t="s">
        <v>11449</v>
      </c>
      <c r="Q938" s="6" t="s">
        <v>81</v>
      </c>
      <c r="R938" s="6" t="s">
        <v>12691</v>
      </c>
      <c r="S938" s="6" t="s">
        <v>10886</v>
      </c>
      <c r="T938" s="16" t="n">
        <v>43969</v>
      </c>
      <c r="U938" s="6" t="s">
        <v>13499</v>
      </c>
      <c r="V938" s="6" t="s">
        <v>81</v>
      </c>
      <c r="W938" s="6" t="s">
        <v>12691</v>
      </c>
      <c r="X938" s="6" t="s">
        <v>81</v>
      </c>
      <c r="Y938" s="21" t="s">
        <v>81</v>
      </c>
      <c r="Z938" s="6" t="s">
        <v>81</v>
      </c>
      <c r="AA938" s="6" t="s">
        <v>81</v>
      </c>
      <c r="AB938" s="6" t="s">
        <v>81</v>
      </c>
      <c r="AC938" s="6" t="s">
        <v>81</v>
      </c>
      <c r="AD938" s="21" t="s">
        <v>81</v>
      </c>
      <c r="AE938" s="6" t="s">
        <v>81</v>
      </c>
      <c r="AF938" s="6" t="s">
        <v>81</v>
      </c>
      <c r="AG938" s="6" t="s">
        <v>81</v>
      </c>
      <c r="AH938" s="6" t="s">
        <v>15513</v>
      </c>
      <c r="AI938" s="6" t="s">
        <v>81</v>
      </c>
      <c r="AJ938" s="6" t="s">
        <v>17815</v>
      </c>
      <c r="AK938" s="6" t="s">
        <v>18391</v>
      </c>
      <c r="AL938" s="6" t="s">
        <v>18444</v>
      </c>
      <c r="AM938" s="6" t="s">
        <v>18993</v>
      </c>
      <c r="AN938" s="6" t="s">
        <v>19664</v>
      </c>
      <c r="AO938" s="6" t="s">
        <v>19915</v>
      </c>
      <c r="AP938" s="6" t="s">
        <v>15513</v>
      </c>
      <c r="AQ938" s="6" t="s">
        <v>81</v>
      </c>
      <c r="AR938" s="6" t="s">
        <v>17815</v>
      </c>
      <c r="AS938" s="6" t="s">
        <v>18391</v>
      </c>
      <c r="AT938" s="6" t="s">
        <v>18444</v>
      </c>
      <c r="AU938" s="6" t="s">
        <v>18993</v>
      </c>
      <c r="AV938" s="6" t="s">
        <v>81</v>
      </c>
      <c r="AW938" s="6" t="s">
        <v>81</v>
      </c>
      <c r="AX938" s="6" t="s">
        <v>21345</v>
      </c>
      <c r="AY938" s="6" t="s">
        <v>81</v>
      </c>
      <c r="AZ938" s="6" t="s">
        <v>81</v>
      </c>
      <c r="BA938" s="6" t="s">
        <v>81</v>
      </c>
      <c r="BB938" s="24" t="n">
        <v>355</v>
      </c>
      <c r="BC938" s="26"/>
      <c r="BD938" s="26"/>
      <c r="BE938" s="26"/>
      <c r="BF938" s="26" t="s">
        <v>23900</v>
      </c>
      <c r="BG938" s="26"/>
      <c r="BH938" s="26"/>
      <c r="BI938" s="26"/>
      <c r="BJ938" s="26"/>
      <c r="BK938" s="26"/>
      <c r="BL938" s="26"/>
      <c r="BM938" s="26"/>
      <c r="BN938" s="26"/>
      <c r="BO938" s="26"/>
      <c r="BP938" s="16" t="n">
        <v>45695</v>
      </c>
      <c r="BQ938" s="28" t="str">
        <f>HYPERLINK("https://organic.ams.usda.gov/Integrity/Certificate.aspx?cid=72&amp;nopid=5870002549")</f>
        <v>https://organic.ams.usda.gov/Integrity/Certificate.aspx?cid=72&amp;nopid=5870002549</v>
      </c>
    </row>
    <row r="939">
      <c r="A939" t="s">
        <v>3</v>
      </c>
      <c r="B939" s="6" t="s">
        <v>20</v>
      </c>
      <c r="C939" s="6" t="s">
        <v>67</v>
      </c>
      <c r="D939" s="6" t="s">
        <v>113</v>
      </c>
      <c r="E939" s="10" t="s">
        <v>1080</v>
      </c>
      <c r="F939" s="6" t="s">
        <v>3808</v>
      </c>
      <c r="G939" s="6" t="s">
        <v>81</v>
      </c>
      <c r="H939" s="6" t="s">
        <v>6753</v>
      </c>
      <c r="I939" s="6" t="s">
        <v>8942</v>
      </c>
      <c r="J939" s="6" t="s">
        <v>10133</v>
      </c>
      <c r="K939" s="6" t="s">
        <v>10886</v>
      </c>
      <c r="L939" s="16" t="n">
        <v>41025</v>
      </c>
      <c r="M939" s="16" t="n">
        <v>45686</v>
      </c>
      <c r="N939" s="6" t="s">
        <v>81</v>
      </c>
      <c r="O939" s="21" t="s">
        <v>81</v>
      </c>
      <c r="P939" s="6" t="s">
        <v>81</v>
      </c>
      <c r="Q939" s="6" t="s">
        <v>81</v>
      </c>
      <c r="R939" s="6" t="s">
        <v>81</v>
      </c>
      <c r="S939" s="6" t="s">
        <v>81</v>
      </c>
      <c r="T939" s="21" t="s">
        <v>81</v>
      </c>
      <c r="U939" s="6" t="s">
        <v>81</v>
      </c>
      <c r="V939" s="6" t="s">
        <v>81</v>
      </c>
      <c r="W939" s="6" t="s">
        <v>81</v>
      </c>
      <c r="X939" s="6" t="s">
        <v>81</v>
      </c>
      <c r="Y939" s="21" t="s">
        <v>81</v>
      </c>
      <c r="Z939" s="6" t="s">
        <v>81</v>
      </c>
      <c r="AA939" s="6" t="s">
        <v>81</v>
      </c>
      <c r="AB939" s="6" t="s">
        <v>81</v>
      </c>
      <c r="AC939" s="6" t="s">
        <v>10886</v>
      </c>
      <c r="AD939" s="16" t="n">
        <v>41025</v>
      </c>
      <c r="AE939" s="6" t="s">
        <v>14197</v>
      </c>
      <c r="AF939" s="6" t="s">
        <v>81</v>
      </c>
      <c r="AG939" s="6" t="s">
        <v>14552</v>
      </c>
      <c r="AH939" s="6" t="s">
        <v>15514</v>
      </c>
      <c r="AI939" s="6" t="s">
        <v>17286</v>
      </c>
      <c r="AJ939" s="6" t="s">
        <v>17816</v>
      </c>
      <c r="AK939" s="6" t="s">
        <v>18386</v>
      </c>
      <c r="AL939" s="6" t="s">
        <v>18444</v>
      </c>
      <c r="AM939" s="6" t="s">
        <v>18994</v>
      </c>
      <c r="AN939" s="6" t="s">
        <v>19674</v>
      </c>
      <c r="AO939" s="6" t="s">
        <v>19803</v>
      </c>
      <c r="AP939" s="6" t="s">
        <v>15514</v>
      </c>
      <c r="AQ939" s="6" t="s">
        <v>17286</v>
      </c>
      <c r="AR939" s="6" t="s">
        <v>17816</v>
      </c>
      <c r="AS939" s="6" t="s">
        <v>18386</v>
      </c>
      <c r="AT939" s="6" t="s">
        <v>18444</v>
      </c>
      <c r="AU939" s="6" t="s">
        <v>18994</v>
      </c>
      <c r="AV939" s="6" t="s">
        <v>81</v>
      </c>
      <c r="AW939" s="6" t="s">
        <v>81</v>
      </c>
      <c r="AX939" s="6" t="s">
        <v>20782</v>
      </c>
      <c r="AY939" s="6" t="s">
        <v>22904</v>
      </c>
      <c r="AZ939" s="6" t="s">
        <v>23665</v>
      </c>
      <c r="BA939" s="6" t="s">
        <v>81</v>
      </c>
      <c r="BB939" s="6" t="s">
        <v>81</v>
      </c>
      <c r="BC939" s="26"/>
      <c r="BD939" s="26"/>
      <c r="BE939" s="26"/>
      <c r="BF939" s="26"/>
      <c r="BG939" s="26"/>
      <c r="BH939" s="26" t="s">
        <v>23900</v>
      </c>
      <c r="BI939" s="26"/>
      <c r="BJ939" s="26"/>
      <c r="BK939" s="26"/>
      <c r="BL939" s="26" t="s">
        <v>23900</v>
      </c>
      <c r="BM939" s="26"/>
      <c r="BN939" s="26"/>
      <c r="BO939" s="26"/>
      <c r="BP939" s="16" t="n">
        <v>45737</v>
      </c>
      <c r="BQ939" s="28" t="str">
        <f>HYPERLINK("https://organic.ams.usda.gov/Integrity/Certificate.aspx?cid=71&amp;nopid=5520106855")</f>
        <v>https://organic.ams.usda.gov/Integrity/Certificate.aspx?cid=71&amp;nopid=5520106855</v>
      </c>
    </row>
    <row r="940">
      <c r="A940" t="s">
        <v>3</v>
      </c>
      <c r="B940" s="6" t="s">
        <v>8</v>
      </c>
      <c r="C940" s="6" t="s">
        <v>55</v>
      </c>
      <c r="D940" s="6" t="s">
        <v>101</v>
      </c>
      <c r="E940" s="10" t="s">
        <v>1081</v>
      </c>
      <c r="F940" s="6" t="s">
        <v>3809</v>
      </c>
      <c r="G940" s="6" t="s">
        <v>81</v>
      </c>
      <c r="H940" s="6" t="s">
        <v>6754</v>
      </c>
      <c r="I940" s="6" t="s">
        <v>8928</v>
      </c>
      <c r="J940" s="6" t="s">
        <v>9718</v>
      </c>
      <c r="K940" s="6" t="s">
        <v>10886</v>
      </c>
      <c r="L940" s="16" t="n">
        <v>42613</v>
      </c>
      <c r="M940" s="16" t="n">
        <v>45748</v>
      </c>
      <c r="N940" s="6" t="s">
        <v>10886</v>
      </c>
      <c r="O940" s="16" t="n">
        <v>42613</v>
      </c>
      <c r="P940" s="6" t="s">
        <v>11450</v>
      </c>
      <c r="Q940" s="6" t="s">
        <v>81</v>
      </c>
      <c r="R940" s="6" t="s">
        <v>6754</v>
      </c>
      <c r="S940" s="6" t="s">
        <v>10886</v>
      </c>
      <c r="T940" s="16" t="n">
        <v>42613</v>
      </c>
      <c r="U940" s="6" t="s">
        <v>13173</v>
      </c>
      <c r="V940" s="6" t="s">
        <v>81</v>
      </c>
      <c r="W940" s="6" t="s">
        <v>6754</v>
      </c>
      <c r="X940" s="6" t="s">
        <v>81</v>
      </c>
      <c r="Y940" s="21" t="s">
        <v>81</v>
      </c>
      <c r="Z940" s="6" t="s">
        <v>81</v>
      </c>
      <c r="AA940" s="6" t="s">
        <v>81</v>
      </c>
      <c r="AB940" s="6" t="s">
        <v>81</v>
      </c>
      <c r="AC940" s="6" t="s">
        <v>81</v>
      </c>
      <c r="AD940" s="21" t="s">
        <v>81</v>
      </c>
      <c r="AE940" s="6" t="s">
        <v>81</v>
      </c>
      <c r="AF940" s="6" t="s">
        <v>81</v>
      </c>
      <c r="AG940" s="6" t="s">
        <v>81</v>
      </c>
      <c r="AH940" s="6" t="s">
        <v>15515</v>
      </c>
      <c r="AI940" s="6" t="s">
        <v>81</v>
      </c>
      <c r="AJ940" s="6" t="s">
        <v>17325</v>
      </c>
      <c r="AK940" s="6" t="s">
        <v>18378</v>
      </c>
      <c r="AL940" s="6" t="s">
        <v>18444</v>
      </c>
      <c r="AM940" s="6" t="s">
        <v>18477</v>
      </c>
      <c r="AN940" s="6" t="s">
        <v>6132</v>
      </c>
      <c r="AO940" s="6" t="s">
        <v>19943</v>
      </c>
      <c r="AP940" s="6" t="s">
        <v>20231</v>
      </c>
      <c r="AQ940" s="6" t="s">
        <v>81</v>
      </c>
      <c r="AR940" s="6" t="s">
        <v>17325</v>
      </c>
      <c r="AS940" s="6" t="s">
        <v>18378</v>
      </c>
      <c r="AT940" s="6" t="s">
        <v>18444</v>
      </c>
      <c r="AU940" s="6" t="s">
        <v>18477</v>
      </c>
      <c r="AV940" s="6" t="s">
        <v>81</v>
      </c>
      <c r="AW940" s="6" t="s">
        <v>81</v>
      </c>
      <c r="AX940" s="6" t="s">
        <v>81</v>
      </c>
      <c r="AY940" s="6" t="s">
        <v>81</v>
      </c>
      <c r="AZ940" s="6" t="s">
        <v>81</v>
      </c>
      <c r="BA940" s="6" t="s">
        <v>23819</v>
      </c>
      <c r="BB940" s="24" t="n">
        <v>160</v>
      </c>
      <c r="BC940" s="26"/>
      <c r="BD940" s="26"/>
      <c r="BE940" s="26"/>
      <c r="BF940" s="26" t="s">
        <v>23900</v>
      </c>
      <c r="BG940" s="26"/>
      <c r="BH940" s="26"/>
      <c r="BI940" s="26"/>
      <c r="BJ940" s="26"/>
      <c r="BK940" s="26"/>
      <c r="BL940" s="26"/>
      <c r="BM940" s="26"/>
      <c r="BN940" s="26"/>
      <c r="BO940" s="26"/>
      <c r="BP940" s="16" t="n">
        <v>45629</v>
      </c>
      <c r="BQ940" s="28" t="str">
        <f>HYPERLINK("https://organic.ams.usda.gov/Integrity/Certificate.aspx?cid=45&amp;nopid=9950009167")</f>
        <v>https://organic.ams.usda.gov/Integrity/Certificate.aspx?cid=45&amp;nopid=9950009167</v>
      </c>
    </row>
    <row r="941">
      <c r="A941" t="s">
        <v>3</v>
      </c>
      <c r="B941" s="6" t="s">
        <v>13</v>
      </c>
      <c r="C941" s="6" t="s">
        <v>60</v>
      </c>
      <c r="D941" s="6" t="s">
        <v>106</v>
      </c>
      <c r="E941" s="10" t="s">
        <v>1082</v>
      </c>
      <c r="F941" s="6" t="s">
        <v>3810</v>
      </c>
      <c r="G941" s="6" t="s">
        <v>81</v>
      </c>
      <c r="H941" s="6" t="s">
        <v>6755</v>
      </c>
      <c r="I941" s="6" t="s">
        <v>8943</v>
      </c>
      <c r="J941" s="6" t="s">
        <v>10134</v>
      </c>
      <c r="K941" s="6" t="s">
        <v>10886</v>
      </c>
      <c r="L941" s="16" t="n">
        <v>39680</v>
      </c>
      <c r="M941" s="16" t="n">
        <v>45748</v>
      </c>
      <c r="N941" s="6" t="s">
        <v>10886</v>
      </c>
      <c r="O941" s="16" t="n">
        <v>39680</v>
      </c>
      <c r="P941" s="6" t="s">
        <v>11451</v>
      </c>
      <c r="Q941" s="6" t="s">
        <v>81</v>
      </c>
      <c r="R941" s="6" t="s">
        <v>12692</v>
      </c>
      <c r="S941" s="6" t="s">
        <v>81</v>
      </c>
      <c r="T941" s="21" t="s">
        <v>81</v>
      </c>
      <c r="U941" s="6" t="s">
        <v>81</v>
      </c>
      <c r="V941" s="6" t="s">
        <v>81</v>
      </c>
      <c r="W941" s="6" t="s">
        <v>81</v>
      </c>
      <c r="X941" s="6" t="s">
        <v>81</v>
      </c>
      <c r="Y941" s="21" t="s">
        <v>81</v>
      </c>
      <c r="Z941" s="6" t="s">
        <v>81</v>
      </c>
      <c r="AA941" s="6" t="s">
        <v>81</v>
      </c>
      <c r="AB941" s="6" t="s">
        <v>81</v>
      </c>
      <c r="AC941" s="6" t="s">
        <v>10886</v>
      </c>
      <c r="AD941" s="16" t="n">
        <v>39680</v>
      </c>
      <c r="AE941" s="6" t="s">
        <v>14198</v>
      </c>
      <c r="AF941" s="6" t="s">
        <v>81</v>
      </c>
      <c r="AG941" s="6" t="s">
        <v>12692</v>
      </c>
      <c r="AH941" s="6" t="s">
        <v>15516</v>
      </c>
      <c r="AI941" s="6" t="s">
        <v>81</v>
      </c>
      <c r="AJ941" s="6" t="s">
        <v>17684</v>
      </c>
      <c r="AK941" s="6" t="s">
        <v>18389</v>
      </c>
      <c r="AL941" s="6" t="s">
        <v>18444</v>
      </c>
      <c r="AM941" s="6" t="s">
        <v>18995</v>
      </c>
      <c r="AN941" s="6" t="s">
        <v>19703</v>
      </c>
      <c r="AO941" s="6" t="s">
        <v>19944</v>
      </c>
      <c r="AP941" s="6" t="s">
        <v>20232</v>
      </c>
      <c r="AQ941" s="6" t="s">
        <v>81</v>
      </c>
      <c r="AR941" s="6" t="s">
        <v>17684</v>
      </c>
      <c r="AS941" s="6" t="s">
        <v>18389</v>
      </c>
      <c r="AT941" s="6" t="s">
        <v>18444</v>
      </c>
      <c r="AU941" s="6" t="s">
        <v>18995</v>
      </c>
      <c r="AV941" s="6" t="s">
        <v>81</v>
      </c>
      <c r="AW941" s="6" t="s">
        <v>81</v>
      </c>
      <c r="AX941" s="6" t="s">
        <v>21346</v>
      </c>
      <c r="AY941" s="6" t="s">
        <v>22905</v>
      </c>
      <c r="AZ941" s="6" t="s">
        <v>23666</v>
      </c>
      <c r="BA941" s="6" t="s">
        <v>81</v>
      </c>
      <c r="BB941" s="24" t="n">
        <v>32</v>
      </c>
      <c r="BC941" s="26"/>
      <c r="BD941" s="26"/>
      <c r="BE941" s="26"/>
      <c r="BF941" s="26"/>
      <c r="BG941" s="26" t="s">
        <v>23900</v>
      </c>
      <c r="BH941" s="26"/>
      <c r="BI941" s="26"/>
      <c r="BJ941" s="26" t="s">
        <v>23900</v>
      </c>
      <c r="BK941" s="26"/>
      <c r="BL941" s="26"/>
      <c r="BM941" s="26"/>
      <c r="BN941" s="26"/>
      <c r="BO941" s="26"/>
      <c r="BP941" s="16" t="n">
        <v>45737</v>
      </c>
      <c r="BQ941" s="28" t="str">
        <f>HYPERLINK("https://organic.ams.usda.gov/Integrity/Certificate.aspx?cid=72&amp;nopid=5870000012")</f>
        <v>https://organic.ams.usda.gov/Integrity/Certificate.aspx?cid=72&amp;nopid=5870000012</v>
      </c>
    </row>
    <row r="942">
      <c r="A942" t="s">
        <v>3</v>
      </c>
      <c r="B942" s="6" t="s">
        <v>13</v>
      </c>
      <c r="C942" s="6" t="s">
        <v>60</v>
      </c>
      <c r="D942" s="6" t="s">
        <v>106</v>
      </c>
      <c r="E942" s="10" t="s">
        <v>1083</v>
      </c>
      <c r="F942" s="6" t="s">
        <v>3811</v>
      </c>
      <c r="G942" s="6" t="s">
        <v>81</v>
      </c>
      <c r="H942" s="6" t="s">
        <v>6756</v>
      </c>
      <c r="I942" s="6" t="s">
        <v>8944</v>
      </c>
      <c r="J942" s="6" t="s">
        <v>10135</v>
      </c>
      <c r="K942" s="6" t="s">
        <v>10886</v>
      </c>
      <c r="L942" s="16" t="n">
        <v>41320</v>
      </c>
      <c r="M942" s="16" t="n">
        <v>46024</v>
      </c>
      <c r="N942" s="6" t="s">
        <v>10886</v>
      </c>
      <c r="O942" s="16" t="n">
        <v>41320</v>
      </c>
      <c r="P942" s="6" t="s">
        <v>11452</v>
      </c>
      <c r="Q942" s="6" t="s">
        <v>81</v>
      </c>
      <c r="R942" s="6" t="s">
        <v>12693</v>
      </c>
      <c r="S942" s="6" t="s">
        <v>10886</v>
      </c>
      <c r="T942" s="16" t="n">
        <v>41320</v>
      </c>
      <c r="U942" s="6" t="s">
        <v>13381</v>
      </c>
      <c r="V942" s="6" t="s">
        <v>81</v>
      </c>
      <c r="W942" s="6" t="s">
        <v>12693</v>
      </c>
      <c r="X942" s="6" t="s">
        <v>81</v>
      </c>
      <c r="Y942" s="21" t="s">
        <v>81</v>
      </c>
      <c r="Z942" s="6" t="s">
        <v>81</v>
      </c>
      <c r="AA942" s="6" t="s">
        <v>81</v>
      </c>
      <c r="AB942" s="6" t="s">
        <v>81</v>
      </c>
      <c r="AC942" s="6" t="s">
        <v>81</v>
      </c>
      <c r="AD942" s="21" t="s">
        <v>81</v>
      </c>
      <c r="AE942" s="6" t="s">
        <v>81</v>
      </c>
      <c r="AF942" s="6" t="s">
        <v>81</v>
      </c>
      <c r="AG942" s="6" t="s">
        <v>81</v>
      </c>
      <c r="AH942" s="6" t="s">
        <v>15517</v>
      </c>
      <c r="AI942" s="6" t="s">
        <v>81</v>
      </c>
      <c r="AJ942" s="6" t="s">
        <v>17785</v>
      </c>
      <c r="AK942" s="6" t="s">
        <v>18385</v>
      </c>
      <c r="AL942" s="6" t="s">
        <v>18444</v>
      </c>
      <c r="AM942" s="6" t="s">
        <v>18959</v>
      </c>
      <c r="AN942" s="6" t="s">
        <v>6817</v>
      </c>
      <c r="AO942" s="6" t="s">
        <v>19933</v>
      </c>
      <c r="AP942" s="6" t="s">
        <v>15517</v>
      </c>
      <c r="AQ942" s="6" t="s">
        <v>81</v>
      </c>
      <c r="AR942" s="6" t="s">
        <v>17785</v>
      </c>
      <c r="AS942" s="6" t="s">
        <v>18385</v>
      </c>
      <c r="AT942" s="6" t="s">
        <v>18444</v>
      </c>
      <c r="AU942" s="6" t="s">
        <v>18959</v>
      </c>
      <c r="AV942" s="6" t="s">
        <v>81</v>
      </c>
      <c r="AW942" s="6" t="s">
        <v>81</v>
      </c>
      <c r="AX942" s="6" t="s">
        <v>21347</v>
      </c>
      <c r="AY942" s="6" t="s">
        <v>81</v>
      </c>
      <c r="AZ942" s="6" t="s">
        <v>81</v>
      </c>
      <c r="BA942" s="6" t="s">
        <v>81</v>
      </c>
      <c r="BB942" s="24" t="n">
        <v>182</v>
      </c>
      <c r="BC942" s="26"/>
      <c r="BD942" s="26"/>
      <c r="BE942" s="26"/>
      <c r="BF942" s="26" t="s">
        <v>23900</v>
      </c>
      <c r="BG942" s="26"/>
      <c r="BH942" s="26"/>
      <c r="BI942" s="26"/>
      <c r="BJ942" s="26"/>
      <c r="BK942" s="26"/>
      <c r="BL942" s="26"/>
      <c r="BM942" s="26"/>
      <c r="BN942" s="26"/>
      <c r="BO942" s="26"/>
      <c r="BP942" s="16" t="n">
        <v>45663</v>
      </c>
      <c r="BQ942" s="28" t="str">
        <f>HYPERLINK("https://organic.ams.usda.gov/Integrity/Certificate.aspx?cid=72&amp;nopid=5870001544")</f>
        <v>https://organic.ams.usda.gov/Integrity/Certificate.aspx?cid=72&amp;nopid=5870001544</v>
      </c>
    </row>
    <row r="943">
      <c r="A943" t="s">
        <v>3</v>
      </c>
      <c r="B943" s="6" t="s">
        <v>7</v>
      </c>
      <c r="C943" s="6" t="s">
        <v>54</v>
      </c>
      <c r="D943" s="6" t="s">
        <v>100</v>
      </c>
      <c r="E943" s="10" t="s">
        <v>1084</v>
      </c>
      <c r="F943" s="6" t="s">
        <v>3812</v>
      </c>
      <c r="G943" s="6" t="s">
        <v>81</v>
      </c>
      <c r="H943" s="6" t="s">
        <v>6757</v>
      </c>
      <c r="I943" s="6" t="s">
        <v>8928</v>
      </c>
      <c r="J943" s="6" t="s">
        <v>10136</v>
      </c>
      <c r="K943" s="6" t="s">
        <v>10886</v>
      </c>
      <c r="L943" s="16" t="n">
        <v>39758</v>
      </c>
      <c r="M943" s="16" t="n">
        <v>45716</v>
      </c>
      <c r="N943" s="6" t="s">
        <v>10886</v>
      </c>
      <c r="O943" s="16" t="n">
        <v>39758</v>
      </c>
      <c r="P943" s="6" t="s">
        <v>10910</v>
      </c>
      <c r="Q943" s="6" t="s">
        <v>81</v>
      </c>
      <c r="R943" s="6" t="s">
        <v>81</v>
      </c>
      <c r="S943" s="6" t="s">
        <v>10886</v>
      </c>
      <c r="T943" s="16" t="n">
        <v>39758</v>
      </c>
      <c r="U943" s="6" t="s">
        <v>13160</v>
      </c>
      <c r="V943" s="6" t="s">
        <v>81</v>
      </c>
      <c r="W943" s="6" t="s">
        <v>81</v>
      </c>
      <c r="X943" s="6" t="s">
        <v>81</v>
      </c>
      <c r="Y943" s="21" t="s">
        <v>81</v>
      </c>
      <c r="Z943" s="6" t="s">
        <v>81</v>
      </c>
      <c r="AA943" s="6" t="s">
        <v>81</v>
      </c>
      <c r="AB943" s="6" t="s">
        <v>81</v>
      </c>
      <c r="AC943" s="6" t="s">
        <v>81</v>
      </c>
      <c r="AD943" s="21" t="s">
        <v>81</v>
      </c>
      <c r="AE943" s="6" t="s">
        <v>81</v>
      </c>
      <c r="AF943" s="6" t="s">
        <v>81</v>
      </c>
      <c r="AG943" s="6" t="s">
        <v>81</v>
      </c>
      <c r="AH943" s="6" t="s">
        <v>15518</v>
      </c>
      <c r="AI943" s="6" t="s">
        <v>81</v>
      </c>
      <c r="AJ943" s="6" t="s">
        <v>17817</v>
      </c>
      <c r="AK943" s="6" t="s">
        <v>17712</v>
      </c>
      <c r="AL943" s="6" t="s">
        <v>18444</v>
      </c>
      <c r="AM943" s="6" t="s">
        <v>18996</v>
      </c>
      <c r="AN943" s="6" t="s">
        <v>19692</v>
      </c>
      <c r="AO943" s="6" t="s">
        <v>19945</v>
      </c>
      <c r="AP943" s="6" t="s">
        <v>15518</v>
      </c>
      <c r="AQ943" s="6" t="s">
        <v>81</v>
      </c>
      <c r="AR943" s="6" t="s">
        <v>17817</v>
      </c>
      <c r="AS943" s="6" t="s">
        <v>17712</v>
      </c>
      <c r="AT943" s="6" t="s">
        <v>18444</v>
      </c>
      <c r="AU943" s="6" t="s">
        <v>18996</v>
      </c>
      <c r="AV943" s="6" t="s">
        <v>81</v>
      </c>
      <c r="AW943" s="6" t="s">
        <v>81</v>
      </c>
      <c r="AX943" s="6" t="s">
        <v>21348</v>
      </c>
      <c r="AY943" s="6" t="s">
        <v>81</v>
      </c>
      <c r="AZ943" s="6" t="s">
        <v>81</v>
      </c>
      <c r="BA943" s="6" t="s">
        <v>81</v>
      </c>
      <c r="BB943" s="24" t="n">
        <v>306</v>
      </c>
      <c r="BC943" s="26"/>
      <c r="BD943" s="26"/>
      <c r="BE943" s="26"/>
      <c r="BF943" s="26" t="s">
        <v>23900</v>
      </c>
      <c r="BG943" s="26"/>
      <c r="BH943" s="26"/>
      <c r="BI943" s="26"/>
      <c r="BJ943" s="26"/>
      <c r="BK943" s="26"/>
      <c r="BL943" s="26"/>
      <c r="BM943" s="26"/>
      <c r="BN943" s="26"/>
      <c r="BO943" s="26"/>
      <c r="BP943" s="16" t="n">
        <v>45595</v>
      </c>
      <c r="BQ943" s="28" t="str">
        <f>HYPERLINK("https://organic.ams.usda.gov/Integrity/Certificate.aspx?cid=57&amp;nopid=3252008026")</f>
        <v>https://organic.ams.usda.gov/Integrity/Certificate.aspx?cid=57&amp;nopid=3252008026</v>
      </c>
    </row>
    <row r="944">
      <c r="A944" t="s">
        <v>3</v>
      </c>
      <c r="B944" s="6" t="s">
        <v>10</v>
      </c>
      <c r="C944" s="6" t="s">
        <v>57</v>
      </c>
      <c r="D944" s="6" t="s">
        <v>103</v>
      </c>
      <c r="E944" s="10" t="s">
        <v>1085</v>
      </c>
      <c r="F944" s="6" t="s">
        <v>3813</v>
      </c>
      <c r="G944" s="6" t="s">
        <v>81</v>
      </c>
      <c r="H944" s="6" t="s">
        <v>6758</v>
      </c>
      <c r="I944" s="6" t="s">
        <v>8945</v>
      </c>
      <c r="J944" s="6" t="s">
        <v>9669</v>
      </c>
      <c r="K944" s="6" t="s">
        <v>10886</v>
      </c>
      <c r="L944" s="16" t="n">
        <v>40840</v>
      </c>
      <c r="M944" s="16" t="n">
        <v>45748</v>
      </c>
      <c r="N944" s="6" t="s">
        <v>10886</v>
      </c>
      <c r="O944" s="16" t="n">
        <v>44652</v>
      </c>
      <c r="P944" s="6" t="s">
        <v>11209</v>
      </c>
      <c r="Q944" s="6" t="s">
        <v>81</v>
      </c>
      <c r="R944" s="6" t="s">
        <v>12694</v>
      </c>
      <c r="S944" s="6" t="s">
        <v>10886</v>
      </c>
      <c r="T944" s="16" t="n">
        <v>44652</v>
      </c>
      <c r="U944" s="6" t="s">
        <v>13163</v>
      </c>
      <c r="V944" s="6" t="s">
        <v>81</v>
      </c>
      <c r="W944" s="6" t="s">
        <v>81</v>
      </c>
      <c r="X944" s="6" t="s">
        <v>81</v>
      </c>
      <c r="Y944" s="21" t="s">
        <v>81</v>
      </c>
      <c r="Z944" s="6" t="s">
        <v>81</v>
      </c>
      <c r="AA944" s="6" t="s">
        <v>81</v>
      </c>
      <c r="AB944" s="6" t="s">
        <v>81</v>
      </c>
      <c r="AC944" s="6" t="s">
        <v>81</v>
      </c>
      <c r="AD944" s="21" t="s">
        <v>81</v>
      </c>
      <c r="AE944" s="6" t="s">
        <v>81</v>
      </c>
      <c r="AF944" s="6" t="s">
        <v>81</v>
      </c>
      <c r="AG944" s="6" t="s">
        <v>81</v>
      </c>
      <c r="AH944" s="6" t="s">
        <v>15519</v>
      </c>
      <c r="AI944" s="6" t="s">
        <v>81</v>
      </c>
      <c r="AJ944" s="6" t="s">
        <v>17392</v>
      </c>
      <c r="AK944" s="6" t="s">
        <v>18379</v>
      </c>
      <c r="AL944" s="6" t="s">
        <v>18444</v>
      </c>
      <c r="AM944" s="6" t="s">
        <v>18548</v>
      </c>
      <c r="AN944" s="6" t="s">
        <v>19637</v>
      </c>
      <c r="AO944" s="6" t="s">
        <v>19723</v>
      </c>
      <c r="AP944" s="6" t="s">
        <v>15519</v>
      </c>
      <c r="AQ944" s="6" t="s">
        <v>81</v>
      </c>
      <c r="AR944" s="6" t="s">
        <v>17392</v>
      </c>
      <c r="AS944" s="6" t="s">
        <v>18379</v>
      </c>
      <c r="AT944" s="6" t="s">
        <v>18444</v>
      </c>
      <c r="AU944" s="6" t="s">
        <v>18548</v>
      </c>
      <c r="AV944" s="6" t="s">
        <v>81</v>
      </c>
      <c r="AW944" s="6" t="s">
        <v>81</v>
      </c>
      <c r="AX944" s="6" t="s">
        <v>21349</v>
      </c>
      <c r="AY944" s="6" t="s">
        <v>81</v>
      </c>
      <c r="AZ944" s="6" t="s">
        <v>81</v>
      </c>
      <c r="BA944" s="6" t="s">
        <v>81</v>
      </c>
      <c r="BB944" s="24" t="n">
        <v>133</v>
      </c>
      <c r="BC944" s="26"/>
      <c r="BD944" s="26"/>
      <c r="BE944" s="26"/>
      <c r="BF944" s="26"/>
      <c r="BG944" s="26"/>
      <c r="BH944" s="26"/>
      <c r="BI944" s="26"/>
      <c r="BJ944" s="26"/>
      <c r="BK944" s="26"/>
      <c r="BL944" s="26"/>
      <c r="BM944" s="26"/>
      <c r="BN944" s="26"/>
      <c r="BO944" s="26"/>
      <c r="BP944" s="16" t="n">
        <v>45730</v>
      </c>
      <c r="BQ944" s="28" t="str">
        <f>HYPERLINK("https://organic.ams.usda.gov/Integrity/Certificate.aspx?cid=90&amp;nopid=7170220474")</f>
        <v>https://organic.ams.usda.gov/Integrity/Certificate.aspx?cid=90&amp;nopid=7170220474</v>
      </c>
    </row>
    <row r="945">
      <c r="A945" t="s">
        <v>3</v>
      </c>
      <c r="B945" s="6" t="s">
        <v>10</v>
      </c>
      <c r="C945" s="6" t="s">
        <v>57</v>
      </c>
      <c r="D945" s="6" t="s">
        <v>103</v>
      </c>
      <c r="E945" s="10" t="s">
        <v>1086</v>
      </c>
      <c r="F945" s="6" t="s">
        <v>3814</v>
      </c>
      <c r="G945" s="6" t="s">
        <v>81</v>
      </c>
      <c r="H945" s="6" t="s">
        <v>6759</v>
      </c>
      <c r="I945" s="6" t="s">
        <v>8946</v>
      </c>
      <c r="J945" s="6" t="s">
        <v>9665</v>
      </c>
      <c r="K945" s="6" t="s">
        <v>10886</v>
      </c>
      <c r="L945" s="16" t="n">
        <v>41120</v>
      </c>
      <c r="M945" s="16" t="n">
        <v>45748</v>
      </c>
      <c r="N945" s="6" t="s">
        <v>10886</v>
      </c>
      <c r="O945" s="16" t="n">
        <v>44644</v>
      </c>
      <c r="P945" s="6" t="s">
        <v>11453</v>
      </c>
      <c r="Q945" s="6" t="s">
        <v>81</v>
      </c>
      <c r="R945" s="6" t="s">
        <v>12695</v>
      </c>
      <c r="S945" s="6" t="s">
        <v>10886</v>
      </c>
      <c r="T945" s="16" t="n">
        <v>44644</v>
      </c>
      <c r="U945" s="6" t="s">
        <v>13234</v>
      </c>
      <c r="V945" s="6" t="s">
        <v>81</v>
      </c>
      <c r="W945" s="6" t="s">
        <v>81</v>
      </c>
      <c r="X945" s="6" t="s">
        <v>81</v>
      </c>
      <c r="Y945" s="21" t="s">
        <v>81</v>
      </c>
      <c r="Z945" s="6" t="s">
        <v>81</v>
      </c>
      <c r="AA945" s="6" t="s">
        <v>81</v>
      </c>
      <c r="AB945" s="6" t="s">
        <v>81</v>
      </c>
      <c r="AC945" s="6" t="s">
        <v>81</v>
      </c>
      <c r="AD945" s="21" t="s">
        <v>81</v>
      </c>
      <c r="AE945" s="6" t="s">
        <v>81</v>
      </c>
      <c r="AF945" s="6" t="s">
        <v>81</v>
      </c>
      <c r="AG945" s="6" t="s">
        <v>81</v>
      </c>
      <c r="AH945" s="6" t="s">
        <v>15520</v>
      </c>
      <c r="AI945" s="6" t="s">
        <v>81</v>
      </c>
      <c r="AJ945" s="6" t="s">
        <v>17315</v>
      </c>
      <c r="AK945" s="6" t="s">
        <v>18379</v>
      </c>
      <c r="AL945" s="6" t="s">
        <v>18444</v>
      </c>
      <c r="AM945" s="6" t="s">
        <v>18467</v>
      </c>
      <c r="AN945" s="6" t="s">
        <v>19637</v>
      </c>
      <c r="AO945" s="6" t="s">
        <v>19723</v>
      </c>
      <c r="AP945" s="6" t="s">
        <v>15520</v>
      </c>
      <c r="AQ945" s="6" t="s">
        <v>81</v>
      </c>
      <c r="AR945" s="6" t="s">
        <v>17315</v>
      </c>
      <c r="AS945" s="6" t="s">
        <v>18379</v>
      </c>
      <c r="AT945" s="6" t="s">
        <v>18444</v>
      </c>
      <c r="AU945" s="6" t="s">
        <v>18467</v>
      </c>
      <c r="AV945" s="6" t="s">
        <v>81</v>
      </c>
      <c r="AW945" s="6" t="s">
        <v>81</v>
      </c>
      <c r="AX945" s="6" t="s">
        <v>21350</v>
      </c>
      <c r="AY945" s="6" t="s">
        <v>81</v>
      </c>
      <c r="AZ945" s="6" t="s">
        <v>81</v>
      </c>
      <c r="BA945" s="6" t="s">
        <v>81</v>
      </c>
      <c r="BB945" s="24" t="n">
        <v>95</v>
      </c>
      <c r="BC945" s="26"/>
      <c r="BD945" s="26"/>
      <c r="BE945" s="26"/>
      <c r="BF945" s="26"/>
      <c r="BG945" s="26"/>
      <c r="BH945" s="26"/>
      <c r="BI945" s="26"/>
      <c r="BJ945" s="26"/>
      <c r="BK945" s="26"/>
      <c r="BL945" s="26"/>
      <c r="BM945" s="26"/>
      <c r="BN945" s="26"/>
      <c r="BO945" s="26"/>
      <c r="BP945" s="16" t="n">
        <v>45730</v>
      </c>
      <c r="BQ945" s="28" t="str">
        <f>HYPERLINK("https://organic.ams.usda.gov/Integrity/Certificate.aspx?cid=90&amp;nopid=7170220492")</f>
        <v>https://organic.ams.usda.gov/Integrity/Certificate.aspx?cid=90&amp;nopid=7170220492</v>
      </c>
    </row>
    <row r="946">
      <c r="A946" t="s">
        <v>3</v>
      </c>
      <c r="B946" s="6" t="s">
        <v>8</v>
      </c>
      <c r="C946" s="6" t="s">
        <v>55</v>
      </c>
      <c r="D946" s="6" t="s">
        <v>101</v>
      </c>
      <c r="E946" s="10" t="s">
        <v>1087</v>
      </c>
      <c r="F946" s="6" t="s">
        <v>3815</v>
      </c>
      <c r="G946" s="6" t="s">
        <v>81</v>
      </c>
      <c r="H946" s="6" t="s">
        <v>6760</v>
      </c>
      <c r="I946" s="6" t="s">
        <v>8569</v>
      </c>
      <c r="J946" s="6" t="s">
        <v>10137</v>
      </c>
      <c r="K946" s="6" t="s">
        <v>10886</v>
      </c>
      <c r="L946" s="16" t="n">
        <v>39216</v>
      </c>
      <c r="M946" s="18" t="s">
        <v>81</v>
      </c>
      <c r="N946" s="6" t="s">
        <v>10886</v>
      </c>
      <c r="O946" s="16" t="n">
        <v>39216</v>
      </c>
      <c r="P946" s="6" t="s">
        <v>11454</v>
      </c>
      <c r="Q946" s="6" t="s">
        <v>81</v>
      </c>
      <c r="R946" s="6" t="s">
        <v>81</v>
      </c>
      <c r="S946" s="6" t="s">
        <v>10886</v>
      </c>
      <c r="T946" s="16" t="n">
        <v>39216</v>
      </c>
      <c r="U946" s="6" t="s">
        <v>13500</v>
      </c>
      <c r="V946" s="6" t="s">
        <v>81</v>
      </c>
      <c r="W946" s="6" t="s">
        <v>81</v>
      </c>
      <c r="X946" s="6" t="s">
        <v>81</v>
      </c>
      <c r="Y946" s="21" t="s">
        <v>81</v>
      </c>
      <c r="Z946" s="6" t="s">
        <v>81</v>
      </c>
      <c r="AA946" s="6" t="s">
        <v>81</v>
      </c>
      <c r="AB946" s="6" t="s">
        <v>81</v>
      </c>
      <c r="AC946" s="6" t="s">
        <v>81</v>
      </c>
      <c r="AD946" s="21" t="s">
        <v>81</v>
      </c>
      <c r="AE946" s="6" t="s">
        <v>81</v>
      </c>
      <c r="AF946" s="6" t="s">
        <v>81</v>
      </c>
      <c r="AG946" s="6" t="s">
        <v>81</v>
      </c>
      <c r="AH946" s="6" t="s">
        <v>15521</v>
      </c>
      <c r="AI946" s="6" t="s">
        <v>81</v>
      </c>
      <c r="AJ946" s="6" t="s">
        <v>17818</v>
      </c>
      <c r="AK946" s="6" t="s">
        <v>18377</v>
      </c>
      <c r="AL946" s="6" t="s">
        <v>18444</v>
      </c>
      <c r="AM946" s="6" t="s">
        <v>18997</v>
      </c>
      <c r="AN946" s="6" t="s">
        <v>6332</v>
      </c>
      <c r="AO946" s="6" t="s">
        <v>19885</v>
      </c>
      <c r="AP946" s="6" t="s">
        <v>20233</v>
      </c>
      <c r="AQ946" s="6" t="s">
        <v>81</v>
      </c>
      <c r="AR946" s="6" t="s">
        <v>17956</v>
      </c>
      <c r="AS946" s="6" t="s">
        <v>18377</v>
      </c>
      <c r="AT946" s="6" t="s">
        <v>18444</v>
      </c>
      <c r="AU946" s="6" t="s">
        <v>19143</v>
      </c>
      <c r="AV946" s="6" t="s">
        <v>81</v>
      </c>
      <c r="AW946" s="6" t="s">
        <v>81</v>
      </c>
      <c r="AX946" s="6" t="s">
        <v>81</v>
      </c>
      <c r="AY946" s="6" t="s">
        <v>81</v>
      </c>
      <c r="AZ946" s="6" t="s">
        <v>81</v>
      </c>
      <c r="BA946" s="6" t="s">
        <v>81</v>
      </c>
      <c r="BB946" s="24" t="n">
        <v>412</v>
      </c>
      <c r="BC946" s="26"/>
      <c r="BD946" s="26"/>
      <c r="BE946" s="26"/>
      <c r="BF946" s="26"/>
      <c r="BG946" s="26"/>
      <c r="BH946" s="26"/>
      <c r="BI946" s="26"/>
      <c r="BJ946" s="26"/>
      <c r="BK946" s="26"/>
      <c r="BL946" s="26"/>
      <c r="BM946" s="26"/>
      <c r="BN946" s="26"/>
      <c r="BO946" s="26"/>
      <c r="BP946" s="16" t="n">
        <v>45292</v>
      </c>
      <c r="BQ946" s="28" t="str">
        <f>HYPERLINK("https://organic.ams.usda.gov/Integrity/Certificate.aspx?cid=45&amp;nopid=9950002657")</f>
        <v>https://organic.ams.usda.gov/Integrity/Certificate.aspx?cid=45&amp;nopid=9950002657</v>
      </c>
    </row>
    <row r="947">
      <c r="A947" t="s">
        <v>3</v>
      </c>
      <c r="B947" s="6" t="s">
        <v>8</v>
      </c>
      <c r="C947" s="6" t="s">
        <v>55</v>
      </c>
      <c r="D947" s="6" t="s">
        <v>101</v>
      </c>
      <c r="E947" s="10" t="s">
        <v>1088</v>
      </c>
      <c r="F947" s="6" t="s">
        <v>3816</v>
      </c>
      <c r="G947" s="6" t="s">
        <v>81</v>
      </c>
      <c r="H947" s="6" t="s">
        <v>6761</v>
      </c>
      <c r="I947" s="6" t="s">
        <v>8589</v>
      </c>
      <c r="J947" s="6" t="s">
        <v>9740</v>
      </c>
      <c r="K947" s="6" t="s">
        <v>10886</v>
      </c>
      <c r="L947" s="16" t="n">
        <v>43409</v>
      </c>
      <c r="M947" s="16" t="n">
        <v>45689</v>
      </c>
      <c r="N947" s="6" t="s">
        <v>10886</v>
      </c>
      <c r="O947" s="16" t="n">
        <v>43409</v>
      </c>
      <c r="P947" s="6" t="s">
        <v>11455</v>
      </c>
      <c r="Q947" s="6" t="s">
        <v>81</v>
      </c>
      <c r="R947" s="6" t="s">
        <v>6761</v>
      </c>
      <c r="S947" s="6" t="s">
        <v>10886</v>
      </c>
      <c r="T947" s="16" t="n">
        <v>44530</v>
      </c>
      <c r="U947" s="6" t="s">
        <v>13501</v>
      </c>
      <c r="V947" s="6" t="s">
        <v>81</v>
      </c>
      <c r="W947" s="6" t="s">
        <v>6761</v>
      </c>
      <c r="X947" s="6" t="s">
        <v>81</v>
      </c>
      <c r="Y947" s="21" t="s">
        <v>81</v>
      </c>
      <c r="Z947" s="6" t="s">
        <v>81</v>
      </c>
      <c r="AA947" s="6" t="s">
        <v>81</v>
      </c>
      <c r="AB947" s="6" t="s">
        <v>81</v>
      </c>
      <c r="AC947" s="6" t="s">
        <v>81</v>
      </c>
      <c r="AD947" s="21" t="s">
        <v>81</v>
      </c>
      <c r="AE947" s="6" t="s">
        <v>81</v>
      </c>
      <c r="AF947" s="6" t="s">
        <v>81</v>
      </c>
      <c r="AG947" s="6" t="s">
        <v>81</v>
      </c>
      <c r="AH947" s="6" t="s">
        <v>15522</v>
      </c>
      <c r="AI947" s="6" t="s">
        <v>81</v>
      </c>
      <c r="AJ947" s="6" t="s">
        <v>17402</v>
      </c>
      <c r="AK947" s="6" t="s">
        <v>18391</v>
      </c>
      <c r="AL947" s="6" t="s">
        <v>18444</v>
      </c>
      <c r="AM947" s="6" t="s">
        <v>18558</v>
      </c>
      <c r="AN947" s="6" t="s">
        <v>19669</v>
      </c>
      <c r="AO947" s="6" t="s">
        <v>19780</v>
      </c>
      <c r="AP947" s="6" t="s">
        <v>81</v>
      </c>
      <c r="AQ947" s="6" t="s">
        <v>81</v>
      </c>
      <c r="AR947" s="6" t="s">
        <v>81</v>
      </c>
      <c r="AS947" s="6" t="s">
        <v>81</v>
      </c>
      <c r="AT947" s="6" t="s">
        <v>81</v>
      </c>
      <c r="AU947" s="6" t="s">
        <v>81</v>
      </c>
      <c r="AV947" s="6" t="s">
        <v>81</v>
      </c>
      <c r="AW947" s="6" t="s">
        <v>81</v>
      </c>
      <c r="AX947" s="6" t="s">
        <v>81</v>
      </c>
      <c r="AY947" s="6" t="s">
        <v>81</v>
      </c>
      <c r="AZ947" s="6" t="s">
        <v>81</v>
      </c>
      <c r="BA947" s="6" t="s">
        <v>23819</v>
      </c>
      <c r="BB947" s="24" t="n">
        <v>101</v>
      </c>
      <c r="BC947" s="26"/>
      <c r="BD947" s="26"/>
      <c r="BE947" s="26"/>
      <c r="BF947" s="26"/>
      <c r="BG947" s="26"/>
      <c r="BH947" s="26"/>
      <c r="BI947" s="26"/>
      <c r="BJ947" s="26"/>
      <c r="BK947" s="26"/>
      <c r="BL947" s="26"/>
      <c r="BM947" s="26"/>
      <c r="BN947" s="26"/>
      <c r="BO947" s="26"/>
      <c r="BP947" s="16" t="n">
        <v>45712</v>
      </c>
      <c r="BQ947" s="28" t="str">
        <f>HYPERLINK("https://organic.ams.usda.gov/Integrity/Certificate.aspx?cid=45&amp;nopid=9950009695")</f>
        <v>https://organic.ams.usda.gov/Integrity/Certificate.aspx?cid=45&amp;nopid=9950009695</v>
      </c>
    </row>
    <row r="948">
      <c r="A948" t="s">
        <v>3</v>
      </c>
      <c r="B948" s="6" t="s">
        <v>29</v>
      </c>
      <c r="C948" s="6" t="s">
        <v>76</v>
      </c>
      <c r="D948" s="6" t="s">
        <v>122</v>
      </c>
      <c r="E948" s="10" t="s">
        <v>1089</v>
      </c>
      <c r="F948" s="6" t="s">
        <v>3817</v>
      </c>
      <c r="G948" s="6" t="s">
        <v>81</v>
      </c>
      <c r="H948" s="6" t="s">
        <v>6762</v>
      </c>
      <c r="I948" s="6" t="s">
        <v>8947</v>
      </c>
      <c r="J948" s="6" t="s">
        <v>9669</v>
      </c>
      <c r="K948" s="6" t="s">
        <v>10886</v>
      </c>
      <c r="L948" s="16" t="n">
        <v>38973</v>
      </c>
      <c r="M948" s="16" t="n">
        <v>45870</v>
      </c>
      <c r="N948" s="6" t="s">
        <v>10886</v>
      </c>
      <c r="O948" s="16" t="n">
        <v>38973</v>
      </c>
      <c r="P948" s="6" t="s">
        <v>11456</v>
      </c>
      <c r="Q948" s="6" t="s">
        <v>81</v>
      </c>
      <c r="R948" s="6" t="s">
        <v>12696</v>
      </c>
      <c r="S948" s="6" t="s">
        <v>10886</v>
      </c>
      <c r="T948" s="16" t="n">
        <v>38973</v>
      </c>
      <c r="U948" s="6" t="s">
        <v>13502</v>
      </c>
      <c r="V948" s="6" t="s">
        <v>81</v>
      </c>
      <c r="W948" s="6" t="s">
        <v>12696</v>
      </c>
      <c r="X948" s="6" t="s">
        <v>81</v>
      </c>
      <c r="Y948" s="21" t="s">
        <v>81</v>
      </c>
      <c r="Z948" s="6" t="s">
        <v>81</v>
      </c>
      <c r="AA948" s="6" t="s">
        <v>81</v>
      </c>
      <c r="AB948" s="6" t="s">
        <v>81</v>
      </c>
      <c r="AC948" s="6" t="s">
        <v>81</v>
      </c>
      <c r="AD948" s="21" t="s">
        <v>81</v>
      </c>
      <c r="AE948" s="6" t="s">
        <v>81</v>
      </c>
      <c r="AF948" s="6" t="s">
        <v>81</v>
      </c>
      <c r="AG948" s="6" t="s">
        <v>81</v>
      </c>
      <c r="AH948" s="6" t="s">
        <v>15523</v>
      </c>
      <c r="AI948" s="6" t="s">
        <v>81</v>
      </c>
      <c r="AJ948" s="6" t="s">
        <v>17819</v>
      </c>
      <c r="AK948" s="6" t="s">
        <v>18384</v>
      </c>
      <c r="AL948" s="6" t="s">
        <v>18444</v>
      </c>
      <c r="AM948" s="6" t="s">
        <v>18998</v>
      </c>
      <c r="AN948" s="6" t="s">
        <v>19690</v>
      </c>
      <c r="AO948" s="6" t="s">
        <v>19852</v>
      </c>
      <c r="AP948" s="6" t="s">
        <v>81</v>
      </c>
      <c r="AQ948" s="6" t="s">
        <v>81</v>
      </c>
      <c r="AR948" s="6" t="s">
        <v>81</v>
      </c>
      <c r="AS948" s="6" t="s">
        <v>81</v>
      </c>
      <c r="AT948" s="6" t="s">
        <v>81</v>
      </c>
      <c r="AU948" s="6" t="s">
        <v>81</v>
      </c>
      <c r="AV948" s="6" t="s">
        <v>81</v>
      </c>
      <c r="AW948" s="6" t="s">
        <v>81</v>
      </c>
      <c r="AX948" s="6" t="s">
        <v>81</v>
      </c>
      <c r="AY948" s="6" t="s">
        <v>81</v>
      </c>
      <c r="AZ948" s="6" t="s">
        <v>81</v>
      </c>
      <c r="BA948" s="6" t="s">
        <v>81</v>
      </c>
      <c r="BB948" s="24" t="n">
        <v>91</v>
      </c>
      <c r="BC948" s="26"/>
      <c r="BD948" s="26"/>
      <c r="BE948" s="26"/>
      <c r="BF948" s="26" t="s">
        <v>23900</v>
      </c>
      <c r="BG948" s="26"/>
      <c r="BH948" s="26"/>
      <c r="BI948" s="26"/>
      <c r="BJ948" s="26"/>
      <c r="BK948" s="26"/>
      <c r="BL948" s="26"/>
      <c r="BM948" s="26"/>
      <c r="BN948" s="26"/>
      <c r="BO948" s="26"/>
      <c r="BP948" s="16" t="n">
        <v>45737</v>
      </c>
      <c r="BQ948" s="28" t="str">
        <f>HYPERLINK("https://organic.ams.usda.gov/Integrity/Certificate.aspx?cid=31&amp;nopid=3920897581")</f>
        <v>https://organic.ams.usda.gov/Integrity/Certificate.aspx?cid=31&amp;nopid=3920897581</v>
      </c>
    </row>
    <row r="949">
      <c r="A949" t="s">
        <v>3</v>
      </c>
      <c r="B949" s="6" t="s">
        <v>7</v>
      </c>
      <c r="C949" s="6" t="s">
        <v>54</v>
      </c>
      <c r="D949" s="6" t="s">
        <v>100</v>
      </c>
      <c r="E949" s="10" t="s">
        <v>1090</v>
      </c>
      <c r="F949" s="6" t="s">
        <v>3818</v>
      </c>
      <c r="G949" s="6" t="s">
        <v>81</v>
      </c>
      <c r="H949" s="6" t="s">
        <v>6763</v>
      </c>
      <c r="I949" s="6" t="s">
        <v>8948</v>
      </c>
      <c r="J949" s="6" t="s">
        <v>9906</v>
      </c>
      <c r="K949" s="6" t="s">
        <v>10886</v>
      </c>
      <c r="L949" s="16" t="n">
        <v>45098</v>
      </c>
      <c r="M949" s="16" t="n">
        <v>45716</v>
      </c>
      <c r="N949" s="6" t="s">
        <v>10886</v>
      </c>
      <c r="O949" s="16" t="n">
        <v>45098</v>
      </c>
      <c r="P949" s="6" t="s">
        <v>11457</v>
      </c>
      <c r="Q949" s="6" t="s">
        <v>81</v>
      </c>
      <c r="R949" s="6" t="s">
        <v>81</v>
      </c>
      <c r="S949" s="6" t="s">
        <v>10886</v>
      </c>
      <c r="T949" s="16" t="n">
        <v>45098</v>
      </c>
      <c r="U949" s="6" t="s">
        <v>13169</v>
      </c>
      <c r="V949" s="6" t="s">
        <v>81</v>
      </c>
      <c r="W949" s="6" t="s">
        <v>81</v>
      </c>
      <c r="X949" s="6" t="s">
        <v>81</v>
      </c>
      <c r="Y949" s="21" t="s">
        <v>81</v>
      </c>
      <c r="Z949" s="6" t="s">
        <v>81</v>
      </c>
      <c r="AA949" s="6" t="s">
        <v>81</v>
      </c>
      <c r="AB949" s="6" t="s">
        <v>81</v>
      </c>
      <c r="AC949" s="6" t="s">
        <v>81</v>
      </c>
      <c r="AD949" s="21" t="s">
        <v>81</v>
      </c>
      <c r="AE949" s="6" t="s">
        <v>81</v>
      </c>
      <c r="AF949" s="6" t="s">
        <v>81</v>
      </c>
      <c r="AG949" s="6" t="s">
        <v>81</v>
      </c>
      <c r="AH949" s="6" t="s">
        <v>15524</v>
      </c>
      <c r="AI949" s="6" t="s">
        <v>81</v>
      </c>
      <c r="AJ949" s="6" t="s">
        <v>17593</v>
      </c>
      <c r="AK949" s="6" t="s">
        <v>17712</v>
      </c>
      <c r="AL949" s="6" t="s">
        <v>18444</v>
      </c>
      <c r="AM949" s="6" t="s">
        <v>18758</v>
      </c>
      <c r="AN949" s="6" t="s">
        <v>81</v>
      </c>
      <c r="AO949" s="6" t="s">
        <v>81</v>
      </c>
      <c r="AP949" s="6" t="s">
        <v>15524</v>
      </c>
      <c r="AQ949" s="6" t="s">
        <v>81</v>
      </c>
      <c r="AR949" s="6" t="s">
        <v>17593</v>
      </c>
      <c r="AS949" s="6" t="s">
        <v>17712</v>
      </c>
      <c r="AT949" s="6" t="s">
        <v>18444</v>
      </c>
      <c r="AU949" s="6" t="s">
        <v>18758</v>
      </c>
      <c r="AV949" s="6" t="s">
        <v>81</v>
      </c>
      <c r="AW949" s="6" t="s">
        <v>81</v>
      </c>
      <c r="AX949" s="6" t="s">
        <v>21351</v>
      </c>
      <c r="AY949" s="6" t="s">
        <v>81</v>
      </c>
      <c r="AZ949" s="6" t="s">
        <v>81</v>
      </c>
      <c r="BA949" s="6" t="s">
        <v>81</v>
      </c>
      <c r="BB949" s="24" t="n">
        <v>279</v>
      </c>
      <c r="BC949" s="26"/>
      <c r="BD949" s="26"/>
      <c r="BE949" s="26"/>
      <c r="BF949" s="26" t="s">
        <v>23900</v>
      </c>
      <c r="BG949" s="26"/>
      <c r="BH949" s="26"/>
      <c r="BI949" s="26"/>
      <c r="BJ949" s="26"/>
      <c r="BK949" s="26"/>
      <c r="BL949" s="26"/>
      <c r="BM949" s="26"/>
      <c r="BN949" s="26"/>
      <c r="BO949" s="26"/>
      <c r="BP949" s="16" t="n">
        <v>45667</v>
      </c>
      <c r="BQ949" s="28" t="str">
        <f>HYPERLINK("https://organic.ams.usda.gov/Integrity/Certificate.aspx?cid=57&amp;nopid=3252023064")</f>
        <v>https://organic.ams.usda.gov/Integrity/Certificate.aspx?cid=57&amp;nopid=3252023064</v>
      </c>
    </row>
    <row r="950">
      <c r="A950" t="s">
        <v>3</v>
      </c>
      <c r="B950" s="6" t="s">
        <v>29</v>
      </c>
      <c r="C950" s="6" t="s">
        <v>76</v>
      </c>
      <c r="D950" s="6" t="s">
        <v>122</v>
      </c>
      <c r="E950" s="10" t="s">
        <v>1091</v>
      </c>
      <c r="F950" s="6" t="s">
        <v>3819</v>
      </c>
      <c r="G950" s="6" t="s">
        <v>81</v>
      </c>
      <c r="H950" s="6" t="s">
        <v>6764</v>
      </c>
      <c r="I950" s="6" t="s">
        <v>8949</v>
      </c>
      <c r="J950" s="6" t="s">
        <v>9741</v>
      </c>
      <c r="K950" s="6" t="s">
        <v>10886</v>
      </c>
      <c r="L950" s="16" t="n">
        <v>41227</v>
      </c>
      <c r="M950" s="16" t="n">
        <v>45505</v>
      </c>
      <c r="N950" s="6" t="s">
        <v>10886</v>
      </c>
      <c r="O950" s="16" t="n">
        <v>41227</v>
      </c>
      <c r="P950" s="6" t="s">
        <v>11458</v>
      </c>
      <c r="Q950" s="6" t="s">
        <v>81</v>
      </c>
      <c r="R950" s="6" t="s">
        <v>12697</v>
      </c>
      <c r="S950" s="6" t="s">
        <v>10886</v>
      </c>
      <c r="T950" s="16" t="n">
        <v>41227</v>
      </c>
      <c r="U950" s="6" t="s">
        <v>13222</v>
      </c>
      <c r="V950" s="6" t="s">
        <v>81</v>
      </c>
      <c r="W950" s="6" t="s">
        <v>12697</v>
      </c>
      <c r="X950" s="6" t="s">
        <v>81</v>
      </c>
      <c r="Y950" s="21" t="s">
        <v>81</v>
      </c>
      <c r="Z950" s="6" t="s">
        <v>81</v>
      </c>
      <c r="AA950" s="6" t="s">
        <v>81</v>
      </c>
      <c r="AB950" s="6" t="s">
        <v>81</v>
      </c>
      <c r="AC950" s="6" t="s">
        <v>81</v>
      </c>
      <c r="AD950" s="21" t="s">
        <v>81</v>
      </c>
      <c r="AE950" s="6" t="s">
        <v>81</v>
      </c>
      <c r="AF950" s="6" t="s">
        <v>81</v>
      </c>
      <c r="AG950" s="6" t="s">
        <v>81</v>
      </c>
      <c r="AH950" s="6" t="s">
        <v>15525</v>
      </c>
      <c r="AI950" s="6" t="s">
        <v>81</v>
      </c>
      <c r="AJ950" s="6" t="s">
        <v>17820</v>
      </c>
      <c r="AK950" s="6" t="s">
        <v>18391</v>
      </c>
      <c r="AL950" s="6" t="s">
        <v>18444</v>
      </c>
      <c r="AM950" s="6" t="s">
        <v>18999</v>
      </c>
      <c r="AN950" s="6" t="s">
        <v>5924</v>
      </c>
      <c r="AO950" s="6" t="s">
        <v>19796</v>
      </c>
      <c r="AP950" s="6" t="s">
        <v>81</v>
      </c>
      <c r="AQ950" s="6" t="s">
        <v>81</v>
      </c>
      <c r="AR950" s="6" t="s">
        <v>81</v>
      </c>
      <c r="AS950" s="6" t="s">
        <v>81</v>
      </c>
      <c r="AT950" s="6" t="s">
        <v>81</v>
      </c>
      <c r="AU950" s="6" t="s">
        <v>81</v>
      </c>
      <c r="AV950" s="6" t="s">
        <v>81</v>
      </c>
      <c r="AW950" s="6" t="s">
        <v>81</v>
      </c>
      <c r="AX950" s="6" t="s">
        <v>81</v>
      </c>
      <c r="AY950" s="6" t="s">
        <v>81</v>
      </c>
      <c r="AZ950" s="6" t="s">
        <v>81</v>
      </c>
      <c r="BA950" s="6" t="s">
        <v>81</v>
      </c>
      <c r="BB950" s="24" t="n">
        <v>44</v>
      </c>
      <c r="BC950" s="26"/>
      <c r="BD950" s="26"/>
      <c r="BE950" s="26"/>
      <c r="BF950" s="26" t="s">
        <v>23900</v>
      </c>
      <c r="BG950" s="26"/>
      <c r="BH950" s="26"/>
      <c r="BI950" s="26"/>
      <c r="BJ950" s="26"/>
      <c r="BK950" s="26"/>
      <c r="BL950" s="26"/>
      <c r="BM950" s="26"/>
      <c r="BN950" s="26"/>
      <c r="BO950" s="26"/>
      <c r="BP950" s="16" t="n">
        <v>45737</v>
      </c>
      <c r="BQ950" s="28" t="str">
        <f>HYPERLINK("https://organic.ams.usda.gov/Integrity/Certificate.aspx?cid=31&amp;nopid=3928971250")</f>
        <v>https://organic.ams.usda.gov/Integrity/Certificate.aspx?cid=31&amp;nopid=3928971250</v>
      </c>
    </row>
    <row r="951">
      <c r="A951" t="s">
        <v>3</v>
      </c>
      <c r="B951" s="6" t="s">
        <v>30</v>
      </c>
      <c r="C951" s="6" t="s">
        <v>77</v>
      </c>
      <c r="D951" s="6" t="s">
        <v>123</v>
      </c>
      <c r="E951" s="10" t="s">
        <v>1092</v>
      </c>
      <c r="F951" s="6" t="s">
        <v>3820</v>
      </c>
      <c r="G951" s="6" t="s">
        <v>81</v>
      </c>
      <c r="H951" s="6" t="s">
        <v>6765</v>
      </c>
      <c r="I951" s="6" t="s">
        <v>8950</v>
      </c>
      <c r="J951" s="6" t="s">
        <v>10138</v>
      </c>
      <c r="K951" s="6" t="s">
        <v>10886</v>
      </c>
      <c r="L951" s="16" t="n">
        <v>42584</v>
      </c>
      <c r="M951" s="16" t="n">
        <v>45519</v>
      </c>
      <c r="N951" s="6" t="s">
        <v>81</v>
      </c>
      <c r="O951" s="21" t="s">
        <v>81</v>
      </c>
      <c r="P951" s="6" t="s">
        <v>81</v>
      </c>
      <c r="Q951" s="6" t="s">
        <v>81</v>
      </c>
      <c r="R951" s="6" t="s">
        <v>81</v>
      </c>
      <c r="S951" s="6" t="s">
        <v>81</v>
      </c>
      <c r="T951" s="21" t="s">
        <v>81</v>
      </c>
      <c r="U951" s="6" t="s">
        <v>81</v>
      </c>
      <c r="V951" s="6" t="s">
        <v>81</v>
      </c>
      <c r="W951" s="6" t="s">
        <v>81</v>
      </c>
      <c r="X951" s="6" t="s">
        <v>81</v>
      </c>
      <c r="Y951" s="21" t="s">
        <v>81</v>
      </c>
      <c r="Z951" s="6" t="s">
        <v>81</v>
      </c>
      <c r="AA951" s="6" t="s">
        <v>81</v>
      </c>
      <c r="AB951" s="6" t="s">
        <v>81</v>
      </c>
      <c r="AC951" s="6" t="s">
        <v>10886</v>
      </c>
      <c r="AD951" s="16" t="n">
        <v>42584</v>
      </c>
      <c r="AE951" s="6" t="s">
        <v>14199</v>
      </c>
      <c r="AF951" s="6" t="s">
        <v>81</v>
      </c>
      <c r="AG951" s="6" t="s">
        <v>81</v>
      </c>
      <c r="AH951" s="6" t="s">
        <v>15526</v>
      </c>
      <c r="AI951" s="6" t="s">
        <v>81</v>
      </c>
      <c r="AJ951" s="6" t="s">
        <v>17821</v>
      </c>
      <c r="AK951" s="6" t="s">
        <v>18386</v>
      </c>
      <c r="AL951" s="6" t="s">
        <v>18444</v>
      </c>
      <c r="AM951" s="6" t="s">
        <v>19000</v>
      </c>
      <c r="AN951" s="6" t="s">
        <v>19639</v>
      </c>
      <c r="AO951" s="6" t="s">
        <v>19793</v>
      </c>
      <c r="AP951" s="6" t="s">
        <v>15526</v>
      </c>
      <c r="AQ951" s="6" t="s">
        <v>81</v>
      </c>
      <c r="AR951" s="6" t="s">
        <v>17821</v>
      </c>
      <c r="AS951" s="6" t="s">
        <v>18386</v>
      </c>
      <c r="AT951" s="6" t="s">
        <v>18444</v>
      </c>
      <c r="AU951" s="6" t="s">
        <v>19000</v>
      </c>
      <c r="AV951" s="6" t="s">
        <v>81</v>
      </c>
      <c r="AW951" s="6" t="s">
        <v>81</v>
      </c>
      <c r="AX951" s="6" t="s">
        <v>21352</v>
      </c>
      <c r="AY951" s="6" t="s">
        <v>22906</v>
      </c>
      <c r="AZ951" s="6" t="s">
        <v>81</v>
      </c>
      <c r="BA951" s="6" t="s">
        <v>81</v>
      </c>
      <c r="BB951" s="6" t="s">
        <v>81</v>
      </c>
      <c r="BC951" s="26"/>
      <c r="BD951" s="26"/>
      <c r="BE951" s="26"/>
      <c r="BF951" s="26"/>
      <c r="BG951" s="26"/>
      <c r="BH951" s="26" t="s">
        <v>23900</v>
      </c>
      <c r="BI951" s="26"/>
      <c r="BJ951" s="26"/>
      <c r="BK951" s="26"/>
      <c r="BL951" s="26"/>
      <c r="BM951" s="26"/>
      <c r="BN951" s="26"/>
      <c r="BO951" s="26"/>
      <c r="BP951" s="16" t="n">
        <v>45463</v>
      </c>
      <c r="BQ951" s="28" t="str">
        <f>HYPERLINK("https://organic.ams.usda.gov/Integrity/Certificate.aspx?cid=70&amp;nopid=6431131263")</f>
        <v>https://organic.ams.usda.gov/Integrity/Certificate.aspx?cid=70&amp;nopid=6431131263</v>
      </c>
    </row>
    <row r="952">
      <c r="A952" t="s">
        <v>3</v>
      </c>
      <c r="B952" s="6" t="s">
        <v>8</v>
      </c>
      <c r="C952" s="6" t="s">
        <v>55</v>
      </c>
      <c r="D952" s="6" t="s">
        <v>101</v>
      </c>
      <c r="E952" s="10" t="s">
        <v>1093</v>
      </c>
      <c r="F952" s="6" t="s">
        <v>3821</v>
      </c>
      <c r="G952" s="6" t="s">
        <v>81</v>
      </c>
      <c r="H952" s="6" t="s">
        <v>6766</v>
      </c>
      <c r="I952" s="6" t="s">
        <v>8951</v>
      </c>
      <c r="J952" s="6" t="s">
        <v>10139</v>
      </c>
      <c r="K952" s="6" t="s">
        <v>10886</v>
      </c>
      <c r="L952" s="16" t="n">
        <v>39029</v>
      </c>
      <c r="M952" s="16" t="n">
        <v>45689</v>
      </c>
      <c r="N952" s="6" t="s">
        <v>10886</v>
      </c>
      <c r="O952" s="16" t="n">
        <v>39029</v>
      </c>
      <c r="P952" s="6" t="s">
        <v>11459</v>
      </c>
      <c r="Q952" s="6" t="s">
        <v>81</v>
      </c>
      <c r="R952" s="6" t="s">
        <v>6766</v>
      </c>
      <c r="S952" s="6" t="s">
        <v>10886</v>
      </c>
      <c r="T952" s="16" t="n">
        <v>39029</v>
      </c>
      <c r="U952" s="6" t="s">
        <v>13173</v>
      </c>
      <c r="V952" s="6" t="s">
        <v>81</v>
      </c>
      <c r="W952" s="6" t="s">
        <v>6766</v>
      </c>
      <c r="X952" s="6" t="s">
        <v>81</v>
      </c>
      <c r="Y952" s="21" t="s">
        <v>81</v>
      </c>
      <c r="Z952" s="6" t="s">
        <v>81</v>
      </c>
      <c r="AA952" s="6" t="s">
        <v>81</v>
      </c>
      <c r="AB952" s="6" t="s">
        <v>81</v>
      </c>
      <c r="AC952" s="6" t="s">
        <v>81</v>
      </c>
      <c r="AD952" s="21" t="s">
        <v>81</v>
      </c>
      <c r="AE952" s="6" t="s">
        <v>81</v>
      </c>
      <c r="AF952" s="6" t="s">
        <v>81</v>
      </c>
      <c r="AG952" s="6" t="s">
        <v>81</v>
      </c>
      <c r="AH952" s="6" t="s">
        <v>15527</v>
      </c>
      <c r="AI952" s="6" t="s">
        <v>81</v>
      </c>
      <c r="AJ952" s="6" t="s">
        <v>17682</v>
      </c>
      <c r="AK952" s="6" t="s">
        <v>18377</v>
      </c>
      <c r="AL952" s="6" t="s">
        <v>18444</v>
      </c>
      <c r="AM952" s="6" t="s">
        <v>19001</v>
      </c>
      <c r="AN952" s="6" t="s">
        <v>19634</v>
      </c>
      <c r="AO952" s="6" t="s">
        <v>19764</v>
      </c>
      <c r="AP952" s="6" t="s">
        <v>81</v>
      </c>
      <c r="AQ952" s="6" t="s">
        <v>81</v>
      </c>
      <c r="AR952" s="6" t="s">
        <v>81</v>
      </c>
      <c r="AS952" s="6" t="s">
        <v>81</v>
      </c>
      <c r="AT952" s="6" t="s">
        <v>81</v>
      </c>
      <c r="AU952" s="6" t="s">
        <v>81</v>
      </c>
      <c r="AV952" s="6" t="s">
        <v>81</v>
      </c>
      <c r="AW952" s="6" t="s">
        <v>81</v>
      </c>
      <c r="AX952" s="6" t="s">
        <v>81</v>
      </c>
      <c r="AY952" s="6" t="s">
        <v>22907</v>
      </c>
      <c r="AZ952" s="6" t="s">
        <v>81</v>
      </c>
      <c r="BA952" s="6" t="s">
        <v>23819</v>
      </c>
      <c r="BB952" s="24" t="n">
        <v>375</v>
      </c>
      <c r="BC952" s="26"/>
      <c r="BD952" s="26"/>
      <c r="BE952" s="26"/>
      <c r="BF952" s="26" t="s">
        <v>23900</v>
      </c>
      <c r="BG952" s="26"/>
      <c r="BH952" s="26"/>
      <c r="BI952" s="26"/>
      <c r="BJ952" s="26"/>
      <c r="BK952" s="26"/>
      <c r="BL952" s="26"/>
      <c r="BM952" s="26"/>
      <c r="BN952" s="26"/>
      <c r="BO952" s="26"/>
      <c r="BP952" s="16" t="n">
        <v>45712</v>
      </c>
      <c r="BQ952" s="28" t="str">
        <f>HYPERLINK("https://organic.ams.usda.gov/Integrity/Certificate.aspx?cid=45&amp;nopid=9950002525")</f>
        <v>https://organic.ams.usda.gov/Integrity/Certificate.aspx?cid=45&amp;nopid=9950002525</v>
      </c>
    </row>
    <row r="953">
      <c r="A953" t="s">
        <v>3</v>
      </c>
      <c r="B953" s="6" t="s">
        <v>29</v>
      </c>
      <c r="C953" s="6" t="s">
        <v>76</v>
      </c>
      <c r="D953" s="6" t="s">
        <v>122</v>
      </c>
      <c r="E953" s="10" t="s">
        <v>1094</v>
      </c>
      <c r="F953" s="6" t="s">
        <v>3822</v>
      </c>
      <c r="G953" s="6" t="s">
        <v>81</v>
      </c>
      <c r="H953" s="6" t="s">
        <v>6767</v>
      </c>
      <c r="I953" s="6" t="s">
        <v>8568</v>
      </c>
      <c r="J953" s="6" t="s">
        <v>10140</v>
      </c>
      <c r="K953" s="6" t="s">
        <v>10886</v>
      </c>
      <c r="L953" s="16" t="n">
        <v>38661</v>
      </c>
      <c r="M953" s="16" t="n">
        <v>45870</v>
      </c>
      <c r="N953" s="6" t="s">
        <v>10886</v>
      </c>
      <c r="O953" s="16" t="n">
        <v>38661</v>
      </c>
      <c r="P953" s="6" t="s">
        <v>10910</v>
      </c>
      <c r="Q953" s="6" t="s">
        <v>81</v>
      </c>
      <c r="R953" s="6" t="s">
        <v>12698</v>
      </c>
      <c r="S953" s="6" t="s">
        <v>10886</v>
      </c>
      <c r="T953" s="16" t="n">
        <v>38661</v>
      </c>
      <c r="U953" s="6" t="s">
        <v>13222</v>
      </c>
      <c r="V953" s="6" t="s">
        <v>81</v>
      </c>
      <c r="W953" s="6" t="s">
        <v>12698</v>
      </c>
      <c r="X953" s="6" t="s">
        <v>81</v>
      </c>
      <c r="Y953" s="21" t="s">
        <v>81</v>
      </c>
      <c r="Z953" s="6" t="s">
        <v>81</v>
      </c>
      <c r="AA953" s="6" t="s">
        <v>81</v>
      </c>
      <c r="AB953" s="6" t="s">
        <v>81</v>
      </c>
      <c r="AC953" s="6" t="s">
        <v>81</v>
      </c>
      <c r="AD953" s="21" t="s">
        <v>81</v>
      </c>
      <c r="AE953" s="6" t="s">
        <v>81</v>
      </c>
      <c r="AF953" s="6" t="s">
        <v>81</v>
      </c>
      <c r="AG953" s="6" t="s">
        <v>81</v>
      </c>
      <c r="AH953" s="6" t="s">
        <v>15528</v>
      </c>
      <c r="AI953" s="6" t="s">
        <v>81</v>
      </c>
      <c r="AJ953" s="6" t="s">
        <v>17708</v>
      </c>
      <c r="AK953" s="6" t="s">
        <v>18377</v>
      </c>
      <c r="AL953" s="6" t="s">
        <v>18444</v>
      </c>
      <c r="AM953" s="6" t="s">
        <v>18875</v>
      </c>
      <c r="AN953" s="6" t="s">
        <v>19646</v>
      </c>
      <c r="AO953" s="6" t="s">
        <v>19733</v>
      </c>
      <c r="AP953" s="6" t="s">
        <v>81</v>
      </c>
      <c r="AQ953" s="6" t="s">
        <v>81</v>
      </c>
      <c r="AR953" s="6" t="s">
        <v>81</v>
      </c>
      <c r="AS953" s="6" t="s">
        <v>81</v>
      </c>
      <c r="AT953" s="6" t="s">
        <v>81</v>
      </c>
      <c r="AU953" s="6" t="s">
        <v>81</v>
      </c>
      <c r="AV953" s="6" t="s">
        <v>81</v>
      </c>
      <c r="AW953" s="6" t="s">
        <v>81</v>
      </c>
      <c r="AX953" s="6" t="s">
        <v>21353</v>
      </c>
      <c r="AY953" s="6" t="s">
        <v>81</v>
      </c>
      <c r="AZ953" s="6" t="s">
        <v>81</v>
      </c>
      <c r="BA953" s="6" t="s">
        <v>81</v>
      </c>
      <c r="BB953" s="24" t="n">
        <v>154</v>
      </c>
      <c r="BC953" s="26"/>
      <c r="BD953" s="26"/>
      <c r="BE953" s="26"/>
      <c r="BF953" s="26" t="s">
        <v>23900</v>
      </c>
      <c r="BG953" s="26"/>
      <c r="BH953" s="26"/>
      <c r="BI953" s="26"/>
      <c r="BJ953" s="26"/>
      <c r="BK953" s="26"/>
      <c r="BL953" s="26"/>
      <c r="BM953" s="26"/>
      <c r="BN953" s="26"/>
      <c r="BO953" s="26"/>
      <c r="BP953" s="16" t="n">
        <v>45737</v>
      </c>
      <c r="BQ953" s="28" t="str">
        <f>HYPERLINK("https://organic.ams.usda.gov/Integrity/Certificate.aspx?cid=31&amp;nopid=3920897516")</f>
        <v>https://organic.ams.usda.gov/Integrity/Certificate.aspx?cid=31&amp;nopid=3920897516</v>
      </c>
    </row>
    <row r="954">
      <c r="A954" t="s">
        <v>3</v>
      </c>
      <c r="B954" s="6" t="s">
        <v>8</v>
      </c>
      <c r="C954" s="6" t="s">
        <v>55</v>
      </c>
      <c r="D954" s="6" t="s">
        <v>101</v>
      </c>
      <c r="E954" s="10" t="s">
        <v>1095</v>
      </c>
      <c r="F954" s="6" t="s">
        <v>3823</v>
      </c>
      <c r="G954" s="6" t="s">
        <v>5677</v>
      </c>
      <c r="H954" s="6" t="s">
        <v>6768</v>
      </c>
      <c r="I954" s="6" t="s">
        <v>8774</v>
      </c>
      <c r="J954" s="6" t="s">
        <v>10141</v>
      </c>
      <c r="K954" s="6" t="s">
        <v>10886</v>
      </c>
      <c r="L954" s="16" t="n">
        <v>44622</v>
      </c>
      <c r="M954" s="16" t="n">
        <v>45748</v>
      </c>
      <c r="N954" s="6" t="s">
        <v>81</v>
      </c>
      <c r="O954" s="21" t="s">
        <v>81</v>
      </c>
      <c r="P954" s="6" t="s">
        <v>81</v>
      </c>
      <c r="Q954" s="6" t="s">
        <v>81</v>
      </c>
      <c r="R954" s="6" t="s">
        <v>81</v>
      </c>
      <c r="S954" s="6" t="s">
        <v>81</v>
      </c>
      <c r="T954" s="21" t="s">
        <v>81</v>
      </c>
      <c r="U954" s="6" t="s">
        <v>81</v>
      </c>
      <c r="V954" s="6" t="s">
        <v>81</v>
      </c>
      <c r="W954" s="6" t="s">
        <v>81</v>
      </c>
      <c r="X954" s="6" t="s">
        <v>81</v>
      </c>
      <c r="Y954" s="21" t="s">
        <v>81</v>
      </c>
      <c r="Z954" s="6" t="s">
        <v>81</v>
      </c>
      <c r="AA954" s="6" t="s">
        <v>81</v>
      </c>
      <c r="AB954" s="6" t="s">
        <v>81</v>
      </c>
      <c r="AC954" s="6" t="s">
        <v>10886</v>
      </c>
      <c r="AD954" s="16" t="n">
        <v>44622</v>
      </c>
      <c r="AE954" s="6" t="s">
        <v>14200</v>
      </c>
      <c r="AF954" s="6" t="s">
        <v>81</v>
      </c>
      <c r="AG954" s="6" t="s">
        <v>6768</v>
      </c>
      <c r="AH954" s="6" t="s">
        <v>15529</v>
      </c>
      <c r="AI954" s="6" t="s">
        <v>81</v>
      </c>
      <c r="AJ954" s="6" t="s">
        <v>17427</v>
      </c>
      <c r="AK954" s="6" t="s">
        <v>18377</v>
      </c>
      <c r="AL954" s="6" t="s">
        <v>18444</v>
      </c>
      <c r="AM954" s="6" t="s">
        <v>18584</v>
      </c>
      <c r="AN954" s="6" t="s">
        <v>19634</v>
      </c>
      <c r="AO954" s="6" t="s">
        <v>19764</v>
      </c>
      <c r="AP954" s="6" t="s">
        <v>20234</v>
      </c>
      <c r="AQ954" s="6" t="s">
        <v>81</v>
      </c>
      <c r="AR954" s="6" t="s">
        <v>20528</v>
      </c>
      <c r="AS954" s="6" t="s">
        <v>18386</v>
      </c>
      <c r="AT954" s="6" t="s">
        <v>18444</v>
      </c>
      <c r="AU954" s="6" t="s">
        <v>20649</v>
      </c>
      <c r="AV954" s="6" t="s">
        <v>81</v>
      </c>
      <c r="AW954" s="6" t="s">
        <v>81</v>
      </c>
      <c r="AX954" s="6" t="s">
        <v>21354</v>
      </c>
      <c r="AY954" s="6" t="s">
        <v>22908</v>
      </c>
      <c r="AZ954" s="6" t="s">
        <v>23667</v>
      </c>
      <c r="BA954" s="6" t="s">
        <v>81</v>
      </c>
      <c r="BB954" s="24" t="n">
        <v>0</v>
      </c>
      <c r="BC954" s="26" t="s">
        <v>23900</v>
      </c>
      <c r="BD954" s="26"/>
      <c r="BE954" s="26"/>
      <c r="BF954" s="26"/>
      <c r="BG954" s="26"/>
      <c r="BH954" s="26"/>
      <c r="BI954" s="26"/>
      <c r="BJ954" s="26"/>
      <c r="BK954" s="26"/>
      <c r="BL954" s="26"/>
      <c r="BM954" s="26"/>
      <c r="BN954" s="26"/>
      <c r="BO954" s="26"/>
      <c r="BP954" s="16" t="n">
        <v>45660</v>
      </c>
      <c r="BQ954" s="28" t="str">
        <f>HYPERLINK("https://organic.ams.usda.gov/Integrity/Certificate.aspx?cid=45&amp;nopid=9950013202")</f>
        <v>https://organic.ams.usda.gov/Integrity/Certificate.aspx?cid=45&amp;nopid=9950013202</v>
      </c>
    </row>
    <row r="955">
      <c r="A955" t="s">
        <v>3</v>
      </c>
      <c r="B955" s="6" t="s">
        <v>24</v>
      </c>
      <c r="C955" s="6" t="s">
        <v>71</v>
      </c>
      <c r="D955" s="6" t="s">
        <v>117</v>
      </c>
      <c r="E955" s="10" t="s">
        <v>1096</v>
      </c>
      <c r="F955" s="6" t="s">
        <v>3824</v>
      </c>
      <c r="G955" s="6" t="s">
        <v>81</v>
      </c>
      <c r="H955" s="6" t="s">
        <v>81</v>
      </c>
      <c r="I955" s="6" t="s">
        <v>8952</v>
      </c>
      <c r="J955" s="6" t="s">
        <v>10142</v>
      </c>
      <c r="K955" s="6" t="s">
        <v>10886</v>
      </c>
      <c r="L955" s="16" t="n">
        <v>44645</v>
      </c>
      <c r="M955" s="16" t="n">
        <v>45917</v>
      </c>
      <c r="N955" s="6" t="s">
        <v>81</v>
      </c>
      <c r="O955" s="21" t="s">
        <v>81</v>
      </c>
      <c r="P955" s="6" t="s">
        <v>81</v>
      </c>
      <c r="Q955" s="6" t="s">
        <v>81</v>
      </c>
      <c r="R955" s="6" t="s">
        <v>81</v>
      </c>
      <c r="S955" s="6" t="s">
        <v>81</v>
      </c>
      <c r="T955" s="21" t="s">
        <v>81</v>
      </c>
      <c r="U955" s="6" t="s">
        <v>81</v>
      </c>
      <c r="V955" s="6" t="s">
        <v>81</v>
      </c>
      <c r="W955" s="6" t="s">
        <v>81</v>
      </c>
      <c r="X955" s="6" t="s">
        <v>81</v>
      </c>
      <c r="Y955" s="21" t="s">
        <v>81</v>
      </c>
      <c r="Z955" s="6" t="s">
        <v>81</v>
      </c>
      <c r="AA955" s="6" t="s">
        <v>81</v>
      </c>
      <c r="AB955" s="6" t="s">
        <v>81</v>
      </c>
      <c r="AC955" s="6" t="s">
        <v>10886</v>
      </c>
      <c r="AD955" s="16" t="n">
        <v>44645</v>
      </c>
      <c r="AE955" s="6" t="s">
        <v>14201</v>
      </c>
      <c r="AF955" s="6" t="s">
        <v>81</v>
      </c>
      <c r="AG955" s="6" t="s">
        <v>81</v>
      </c>
      <c r="AH955" s="6" t="s">
        <v>15530</v>
      </c>
      <c r="AI955" s="6" t="s">
        <v>81</v>
      </c>
      <c r="AJ955" s="6" t="s">
        <v>17822</v>
      </c>
      <c r="AK955" s="6" t="s">
        <v>17955</v>
      </c>
      <c r="AL955" s="6" t="s">
        <v>18444</v>
      </c>
      <c r="AM955" s="6" t="s">
        <v>19002</v>
      </c>
      <c r="AN955" s="6" t="s">
        <v>19686</v>
      </c>
      <c r="AO955" s="6" t="s">
        <v>19946</v>
      </c>
      <c r="AP955" s="6" t="s">
        <v>15530</v>
      </c>
      <c r="AQ955" s="6" t="s">
        <v>81</v>
      </c>
      <c r="AR955" s="6" t="s">
        <v>17822</v>
      </c>
      <c r="AS955" s="6" t="s">
        <v>17955</v>
      </c>
      <c r="AT955" s="6" t="s">
        <v>18444</v>
      </c>
      <c r="AU955" s="6" t="s">
        <v>19002</v>
      </c>
      <c r="AV955" s="6" t="s">
        <v>81</v>
      </c>
      <c r="AW955" s="6" t="s">
        <v>81</v>
      </c>
      <c r="AX955" s="6" t="s">
        <v>81</v>
      </c>
      <c r="AY955" s="6" t="s">
        <v>22909</v>
      </c>
      <c r="AZ955" s="6" t="s">
        <v>81</v>
      </c>
      <c r="BA955" s="6" t="s">
        <v>81</v>
      </c>
      <c r="BB955" s="6" t="s">
        <v>81</v>
      </c>
      <c r="BC955" s="26"/>
      <c r="BD955" s="26"/>
      <c r="BE955" s="26"/>
      <c r="BF955" s="26"/>
      <c r="BG955" s="26"/>
      <c r="BH955" s="26"/>
      <c r="BI955" s="26"/>
      <c r="BJ955" s="26"/>
      <c r="BK955" s="26"/>
      <c r="BL955" s="26"/>
      <c r="BM955" s="26"/>
      <c r="BN955" s="26"/>
      <c r="BO955" s="26"/>
      <c r="BP955" s="16" t="n">
        <v>45628</v>
      </c>
      <c r="BQ955" s="28" t="str">
        <f>HYPERLINK("https://organic.ams.usda.gov/Integrity/Certificate.aspx?cid=1&amp;nopid=9092204201")</f>
        <v>https://organic.ams.usda.gov/Integrity/Certificate.aspx?cid=1&amp;nopid=9092204201</v>
      </c>
    </row>
    <row r="956">
      <c r="A956" t="s">
        <v>3</v>
      </c>
      <c r="B956" s="6" t="s">
        <v>15</v>
      </c>
      <c r="C956" s="6" t="s">
        <v>62</v>
      </c>
      <c r="D956" s="6" t="s">
        <v>108</v>
      </c>
      <c r="E956" s="10" t="s">
        <v>1097</v>
      </c>
      <c r="F956" s="6" t="s">
        <v>3825</v>
      </c>
      <c r="G956" s="6" t="s">
        <v>5678</v>
      </c>
      <c r="H956" s="6" t="s">
        <v>6769</v>
      </c>
      <c r="I956" s="6" t="s">
        <v>8586</v>
      </c>
      <c r="J956" s="6" t="s">
        <v>10143</v>
      </c>
      <c r="K956" s="6" t="s">
        <v>10886</v>
      </c>
      <c r="L956" s="16" t="n">
        <v>39689</v>
      </c>
      <c r="M956" s="16" t="n">
        <v>45792</v>
      </c>
      <c r="N956" s="6" t="s">
        <v>10886</v>
      </c>
      <c r="O956" s="16" t="n">
        <v>39689</v>
      </c>
      <c r="P956" s="6" t="s">
        <v>11460</v>
      </c>
      <c r="Q956" s="6" t="s">
        <v>81</v>
      </c>
      <c r="R956" s="6" t="s">
        <v>81</v>
      </c>
      <c r="S956" s="6" t="s">
        <v>10886</v>
      </c>
      <c r="T956" s="16" t="n">
        <v>39689</v>
      </c>
      <c r="U956" s="6" t="s">
        <v>13503</v>
      </c>
      <c r="V956" s="6" t="s">
        <v>81</v>
      </c>
      <c r="W956" s="6" t="s">
        <v>81</v>
      </c>
      <c r="X956" s="6" t="s">
        <v>81</v>
      </c>
      <c r="Y956" s="21" t="s">
        <v>81</v>
      </c>
      <c r="Z956" s="6" t="s">
        <v>81</v>
      </c>
      <c r="AA956" s="6" t="s">
        <v>81</v>
      </c>
      <c r="AB956" s="6" t="s">
        <v>81</v>
      </c>
      <c r="AC956" s="6" t="s">
        <v>10886</v>
      </c>
      <c r="AD956" s="16" t="n">
        <v>39689</v>
      </c>
      <c r="AE956" s="6" t="s">
        <v>14202</v>
      </c>
      <c r="AF956" s="6" t="s">
        <v>81</v>
      </c>
      <c r="AG956" s="6" t="s">
        <v>81</v>
      </c>
      <c r="AH956" s="6" t="s">
        <v>15531</v>
      </c>
      <c r="AI956" s="6" t="s">
        <v>81</v>
      </c>
      <c r="AJ956" s="6" t="s">
        <v>17823</v>
      </c>
      <c r="AK956" s="6" t="s">
        <v>18378</v>
      </c>
      <c r="AL956" s="6" t="s">
        <v>18444</v>
      </c>
      <c r="AM956" s="6" t="s">
        <v>19003</v>
      </c>
      <c r="AN956" s="6" t="s">
        <v>19702</v>
      </c>
      <c r="AO956" s="6" t="s">
        <v>19923</v>
      </c>
      <c r="AP956" s="6" t="s">
        <v>15531</v>
      </c>
      <c r="AQ956" s="6" t="s">
        <v>81</v>
      </c>
      <c r="AR956" s="6" t="s">
        <v>17823</v>
      </c>
      <c r="AS956" s="6" t="s">
        <v>18378</v>
      </c>
      <c r="AT956" s="6" t="s">
        <v>18444</v>
      </c>
      <c r="AU956" s="6" t="s">
        <v>19003</v>
      </c>
      <c r="AV956" s="6" t="s">
        <v>81</v>
      </c>
      <c r="AW956" s="6" t="s">
        <v>81</v>
      </c>
      <c r="AX956" s="6" t="s">
        <v>21355</v>
      </c>
      <c r="AY956" s="6" t="s">
        <v>22910</v>
      </c>
      <c r="AZ956" s="6" t="s">
        <v>81</v>
      </c>
      <c r="BA956" s="6" t="s">
        <v>81</v>
      </c>
      <c r="BB956" s="24" t="n">
        <v>418</v>
      </c>
      <c r="BC956" s="26"/>
      <c r="BD956" s="26"/>
      <c r="BE956" s="26"/>
      <c r="BF956" s="26" t="s">
        <v>23900</v>
      </c>
      <c r="BG956" s="26"/>
      <c r="BH956" s="26"/>
      <c r="BI956" s="26"/>
      <c r="BJ956" s="26"/>
      <c r="BK956" s="26"/>
      <c r="BL956" s="26"/>
      <c r="BM956" s="26"/>
      <c r="BN956" s="26"/>
      <c r="BO956" s="26"/>
      <c r="BP956" s="16" t="n">
        <v>45737</v>
      </c>
      <c r="BQ956" s="28" t="str">
        <f>HYPERLINK("https://organic.ams.usda.gov/Integrity/Certificate.aspx?cid=58&amp;nopid=1600001460")</f>
        <v>https://organic.ams.usda.gov/Integrity/Certificate.aspx?cid=58&amp;nopid=1600001460</v>
      </c>
    </row>
    <row r="957">
      <c r="A957" t="s">
        <v>3</v>
      </c>
      <c r="B957" s="6" t="s">
        <v>29</v>
      </c>
      <c r="C957" s="6" t="s">
        <v>76</v>
      </c>
      <c r="D957" s="6" t="s">
        <v>122</v>
      </c>
      <c r="E957" s="10" t="s">
        <v>1098</v>
      </c>
      <c r="F957" s="6" t="s">
        <v>3826</v>
      </c>
      <c r="G957" s="6" t="s">
        <v>81</v>
      </c>
      <c r="H957" s="6" t="s">
        <v>6770</v>
      </c>
      <c r="I957" s="6" t="s">
        <v>8953</v>
      </c>
      <c r="J957" s="6" t="s">
        <v>10144</v>
      </c>
      <c r="K957" s="6" t="s">
        <v>10886</v>
      </c>
      <c r="L957" s="16" t="n">
        <v>45607</v>
      </c>
      <c r="M957" s="16" t="n">
        <v>45972</v>
      </c>
      <c r="N957" s="6" t="s">
        <v>81</v>
      </c>
      <c r="O957" s="21" t="s">
        <v>81</v>
      </c>
      <c r="P957" s="6" t="s">
        <v>81</v>
      </c>
      <c r="Q957" s="6" t="s">
        <v>81</v>
      </c>
      <c r="R957" s="6" t="s">
        <v>81</v>
      </c>
      <c r="S957" s="6" t="s">
        <v>81</v>
      </c>
      <c r="T957" s="21" t="s">
        <v>81</v>
      </c>
      <c r="U957" s="6" t="s">
        <v>81</v>
      </c>
      <c r="V957" s="6" t="s">
        <v>81</v>
      </c>
      <c r="W957" s="6" t="s">
        <v>81</v>
      </c>
      <c r="X957" s="6" t="s">
        <v>81</v>
      </c>
      <c r="Y957" s="21" t="s">
        <v>81</v>
      </c>
      <c r="Z957" s="6" t="s">
        <v>81</v>
      </c>
      <c r="AA957" s="6" t="s">
        <v>81</v>
      </c>
      <c r="AB957" s="6" t="s">
        <v>81</v>
      </c>
      <c r="AC957" s="6" t="s">
        <v>10886</v>
      </c>
      <c r="AD957" s="16" t="n">
        <v>45607</v>
      </c>
      <c r="AE957" s="6" t="s">
        <v>14203</v>
      </c>
      <c r="AF957" s="6" t="s">
        <v>81</v>
      </c>
      <c r="AG957" s="6" t="s">
        <v>14553</v>
      </c>
      <c r="AH957" s="6" t="s">
        <v>15532</v>
      </c>
      <c r="AI957" s="6" t="s">
        <v>81</v>
      </c>
      <c r="AJ957" s="6" t="s">
        <v>17824</v>
      </c>
      <c r="AK957" s="6" t="s">
        <v>8428</v>
      </c>
      <c r="AL957" s="6" t="s">
        <v>18444</v>
      </c>
      <c r="AM957" s="6" t="s">
        <v>19004</v>
      </c>
      <c r="AN957" s="6" t="s">
        <v>81</v>
      </c>
      <c r="AO957" s="6" t="s">
        <v>81</v>
      </c>
      <c r="AP957" s="6" t="s">
        <v>20235</v>
      </c>
      <c r="AQ957" s="6" t="s">
        <v>81</v>
      </c>
      <c r="AR957" s="6" t="s">
        <v>17824</v>
      </c>
      <c r="AS957" s="6" t="s">
        <v>8428</v>
      </c>
      <c r="AT957" s="6" t="s">
        <v>18444</v>
      </c>
      <c r="AU957" s="6" t="s">
        <v>20650</v>
      </c>
      <c r="AV957" s="6" t="s">
        <v>81</v>
      </c>
      <c r="AW957" s="6" t="s">
        <v>81</v>
      </c>
      <c r="AX957" s="6" t="s">
        <v>21356</v>
      </c>
      <c r="AY957" s="6" t="s">
        <v>22911</v>
      </c>
      <c r="AZ957" s="6" t="s">
        <v>81</v>
      </c>
      <c r="BA957" s="6" t="s">
        <v>81</v>
      </c>
      <c r="BB957" s="6" t="s">
        <v>81</v>
      </c>
      <c r="BC957" s="26"/>
      <c r="BD957" s="26"/>
      <c r="BE957" s="26"/>
      <c r="BF957" s="26"/>
      <c r="BG957" s="26"/>
      <c r="BH957" s="26"/>
      <c r="BI957" s="26"/>
      <c r="BJ957" s="26"/>
      <c r="BK957" s="26"/>
      <c r="BL957" s="26"/>
      <c r="BM957" s="26"/>
      <c r="BN957" s="26"/>
      <c r="BO957" s="26"/>
      <c r="BP957" s="16" t="n">
        <v>45737</v>
      </c>
      <c r="BQ957" s="28" t="str">
        <f>HYPERLINK("https://organic.ams.usda.gov/Integrity/Certificate.aspx?cid=31&amp;nopid=3928972467")</f>
        <v>https://organic.ams.usda.gov/Integrity/Certificate.aspx?cid=31&amp;nopid=3928972467</v>
      </c>
    </row>
    <row r="958">
      <c r="A958" t="s">
        <v>3</v>
      </c>
      <c r="B958" s="6" t="s">
        <v>8</v>
      </c>
      <c r="C958" s="6" t="s">
        <v>55</v>
      </c>
      <c r="D958" s="6" t="s">
        <v>101</v>
      </c>
      <c r="E958" s="10" t="s">
        <v>1099</v>
      </c>
      <c r="F958" s="6" t="s">
        <v>3827</v>
      </c>
      <c r="G958" s="6" t="s">
        <v>81</v>
      </c>
      <c r="H958" s="6" t="s">
        <v>6771</v>
      </c>
      <c r="I958" s="6" t="s">
        <v>8713</v>
      </c>
      <c r="J958" s="6" t="s">
        <v>9665</v>
      </c>
      <c r="K958" s="6" t="s">
        <v>10886</v>
      </c>
      <c r="L958" s="16" t="n">
        <v>40759</v>
      </c>
      <c r="M958" s="16" t="n">
        <v>45689</v>
      </c>
      <c r="N958" s="6" t="s">
        <v>10886</v>
      </c>
      <c r="O958" s="16" t="n">
        <v>40759</v>
      </c>
      <c r="P958" s="6" t="s">
        <v>11461</v>
      </c>
      <c r="Q958" s="6" t="s">
        <v>81</v>
      </c>
      <c r="R958" s="6" t="s">
        <v>6771</v>
      </c>
      <c r="S958" s="6" t="s">
        <v>10886</v>
      </c>
      <c r="T958" s="16" t="n">
        <v>40759</v>
      </c>
      <c r="U958" s="6" t="s">
        <v>13179</v>
      </c>
      <c r="V958" s="6" t="s">
        <v>81</v>
      </c>
      <c r="W958" s="6" t="s">
        <v>6771</v>
      </c>
      <c r="X958" s="6" t="s">
        <v>81</v>
      </c>
      <c r="Y958" s="21" t="s">
        <v>81</v>
      </c>
      <c r="Z958" s="6" t="s">
        <v>81</v>
      </c>
      <c r="AA958" s="6" t="s">
        <v>81</v>
      </c>
      <c r="AB958" s="6" t="s">
        <v>81</v>
      </c>
      <c r="AC958" s="6" t="s">
        <v>81</v>
      </c>
      <c r="AD958" s="21" t="s">
        <v>81</v>
      </c>
      <c r="AE958" s="6" t="s">
        <v>81</v>
      </c>
      <c r="AF958" s="6" t="s">
        <v>81</v>
      </c>
      <c r="AG958" s="6" t="s">
        <v>81</v>
      </c>
      <c r="AH958" s="6" t="s">
        <v>15533</v>
      </c>
      <c r="AI958" s="6" t="s">
        <v>81</v>
      </c>
      <c r="AJ958" s="6" t="s">
        <v>17324</v>
      </c>
      <c r="AK958" s="6" t="s">
        <v>18378</v>
      </c>
      <c r="AL958" s="6" t="s">
        <v>18444</v>
      </c>
      <c r="AM958" s="6" t="s">
        <v>18476</v>
      </c>
      <c r="AN958" s="6" t="s">
        <v>19640</v>
      </c>
      <c r="AO958" s="6" t="s">
        <v>19726</v>
      </c>
      <c r="AP958" s="6" t="s">
        <v>81</v>
      </c>
      <c r="AQ958" s="6" t="s">
        <v>81</v>
      </c>
      <c r="AR958" s="6" t="s">
        <v>81</v>
      </c>
      <c r="AS958" s="6" t="s">
        <v>81</v>
      </c>
      <c r="AT958" s="6" t="s">
        <v>81</v>
      </c>
      <c r="AU958" s="6" t="s">
        <v>81</v>
      </c>
      <c r="AV958" s="6" t="s">
        <v>81</v>
      </c>
      <c r="AW958" s="6" t="s">
        <v>81</v>
      </c>
      <c r="AX958" s="6" t="s">
        <v>81</v>
      </c>
      <c r="AY958" s="6" t="s">
        <v>81</v>
      </c>
      <c r="AZ958" s="6" t="s">
        <v>81</v>
      </c>
      <c r="BA958" s="6" t="s">
        <v>23819</v>
      </c>
      <c r="BB958" s="24" t="n">
        <v>140</v>
      </c>
      <c r="BC958" s="26"/>
      <c r="BD958" s="26"/>
      <c r="BE958" s="26"/>
      <c r="BF958" s="26" t="s">
        <v>23900</v>
      </c>
      <c r="BG958" s="26"/>
      <c r="BH958" s="26"/>
      <c r="BI958" s="26"/>
      <c r="BJ958" s="26"/>
      <c r="BK958" s="26"/>
      <c r="BL958" s="26"/>
      <c r="BM958" s="26"/>
      <c r="BN958" s="26"/>
      <c r="BO958" s="26"/>
      <c r="BP958" s="16" t="n">
        <v>45702</v>
      </c>
      <c r="BQ958" s="28" t="str">
        <f>HYPERLINK("https://organic.ams.usda.gov/Integrity/Certificate.aspx?cid=45&amp;nopid=9950004464")</f>
        <v>https://organic.ams.usda.gov/Integrity/Certificate.aspx?cid=45&amp;nopid=9950004464</v>
      </c>
    </row>
    <row r="959">
      <c r="A959" t="s">
        <v>3</v>
      </c>
      <c r="B959" s="6" t="s">
        <v>35</v>
      </c>
      <c r="C959" s="6" t="s">
        <v>82</v>
      </c>
      <c r="D959" s="6" t="s">
        <v>127</v>
      </c>
      <c r="E959" s="10" t="s">
        <v>1100</v>
      </c>
      <c r="F959" s="6" t="s">
        <v>3828</v>
      </c>
      <c r="G959" s="6" t="s">
        <v>81</v>
      </c>
      <c r="H959" s="6" t="s">
        <v>6772</v>
      </c>
      <c r="I959" s="6" t="s">
        <v>8954</v>
      </c>
      <c r="J959" s="6" t="s">
        <v>10145</v>
      </c>
      <c r="K959" s="6" t="s">
        <v>10886</v>
      </c>
      <c r="L959" s="16" t="n">
        <v>42191</v>
      </c>
      <c r="M959" s="16" t="n">
        <v>45762</v>
      </c>
      <c r="N959" s="6" t="s">
        <v>10886</v>
      </c>
      <c r="O959" s="16" t="n">
        <v>42191</v>
      </c>
      <c r="P959" s="6" t="s">
        <v>11140</v>
      </c>
      <c r="Q959" s="6" t="s">
        <v>81</v>
      </c>
      <c r="R959" s="6" t="s">
        <v>12699</v>
      </c>
      <c r="S959" s="6" t="s">
        <v>10886</v>
      </c>
      <c r="T959" s="16" t="n">
        <v>42191</v>
      </c>
      <c r="U959" s="6" t="s">
        <v>13504</v>
      </c>
      <c r="V959" s="6" t="s">
        <v>81</v>
      </c>
      <c r="W959" s="6" t="s">
        <v>12699</v>
      </c>
      <c r="X959" s="6" t="s">
        <v>81</v>
      </c>
      <c r="Y959" s="21" t="s">
        <v>81</v>
      </c>
      <c r="Z959" s="6" t="s">
        <v>81</v>
      </c>
      <c r="AA959" s="6" t="s">
        <v>81</v>
      </c>
      <c r="AB959" s="6" t="s">
        <v>81</v>
      </c>
      <c r="AC959" s="6" t="s">
        <v>10886</v>
      </c>
      <c r="AD959" s="16" t="n">
        <v>42191</v>
      </c>
      <c r="AE959" s="6" t="s">
        <v>14204</v>
      </c>
      <c r="AF959" s="6" t="s">
        <v>81</v>
      </c>
      <c r="AG959" s="6" t="s">
        <v>12699</v>
      </c>
      <c r="AH959" s="6" t="s">
        <v>15534</v>
      </c>
      <c r="AI959" s="6" t="s">
        <v>81</v>
      </c>
      <c r="AJ959" s="6" t="s">
        <v>17825</v>
      </c>
      <c r="AK959" s="6" t="s">
        <v>18405</v>
      </c>
      <c r="AL959" s="6" t="s">
        <v>18444</v>
      </c>
      <c r="AM959" s="6" t="s">
        <v>19005</v>
      </c>
      <c r="AN959" s="6" t="s">
        <v>19693</v>
      </c>
      <c r="AO959" s="6" t="s">
        <v>19786</v>
      </c>
      <c r="AP959" s="6" t="s">
        <v>15534</v>
      </c>
      <c r="AQ959" s="6" t="s">
        <v>81</v>
      </c>
      <c r="AR959" s="6" t="s">
        <v>17825</v>
      </c>
      <c r="AS959" s="6" t="s">
        <v>18405</v>
      </c>
      <c r="AT959" s="6" t="s">
        <v>18444</v>
      </c>
      <c r="AU959" s="6" t="s">
        <v>19005</v>
      </c>
      <c r="AV959" s="6" t="s">
        <v>81</v>
      </c>
      <c r="AW959" s="6" t="s">
        <v>81</v>
      </c>
      <c r="AX959" s="6" t="s">
        <v>21357</v>
      </c>
      <c r="AY959" s="6" t="s">
        <v>22912</v>
      </c>
      <c r="AZ959" s="6" t="s">
        <v>23668</v>
      </c>
      <c r="BA959" s="6" t="s">
        <v>81</v>
      </c>
      <c r="BB959" s="24" t="n">
        <v>136</v>
      </c>
      <c r="BC959" s="26"/>
      <c r="BD959" s="26"/>
      <c r="BE959" s="26"/>
      <c r="BF959" s="26"/>
      <c r="BG959" s="26"/>
      <c r="BH959" s="26"/>
      <c r="BI959" s="26"/>
      <c r="BJ959" s="26"/>
      <c r="BK959" s="26"/>
      <c r="BL959" s="26"/>
      <c r="BM959" s="26"/>
      <c r="BN959" s="26"/>
      <c r="BO959" s="26"/>
      <c r="BP959" s="16" t="n">
        <v>45694</v>
      </c>
      <c r="BQ959" s="28" t="str">
        <f>HYPERLINK("https://organic.ams.usda.gov/Integrity/Certificate.aspx?cid=47&amp;nopid=7142074636")</f>
        <v>https://organic.ams.usda.gov/Integrity/Certificate.aspx?cid=47&amp;nopid=7142074636</v>
      </c>
    </row>
    <row r="960">
      <c r="A960" t="s">
        <v>3</v>
      </c>
      <c r="B960" s="6" t="s">
        <v>7</v>
      </c>
      <c r="C960" s="6" t="s">
        <v>54</v>
      </c>
      <c r="D960" s="6" t="s">
        <v>100</v>
      </c>
      <c r="E960" s="10" t="s">
        <v>1101</v>
      </c>
      <c r="F960" s="6" t="s">
        <v>3829</v>
      </c>
      <c r="G960" s="6" t="s">
        <v>81</v>
      </c>
      <c r="H960" s="6" t="s">
        <v>6773</v>
      </c>
      <c r="I960" s="6" t="s">
        <v>8391</v>
      </c>
      <c r="J960" s="6" t="s">
        <v>10146</v>
      </c>
      <c r="K960" s="6" t="s">
        <v>10886</v>
      </c>
      <c r="L960" s="16" t="n">
        <v>39182</v>
      </c>
      <c r="M960" s="16" t="n">
        <v>45716</v>
      </c>
      <c r="N960" s="6" t="s">
        <v>10886</v>
      </c>
      <c r="O960" s="16" t="n">
        <v>39182</v>
      </c>
      <c r="P960" s="6" t="s">
        <v>10910</v>
      </c>
      <c r="Q960" s="6" t="s">
        <v>81</v>
      </c>
      <c r="R960" s="6" t="s">
        <v>81</v>
      </c>
      <c r="S960" s="6" t="s">
        <v>10886</v>
      </c>
      <c r="T960" s="16" t="n">
        <v>39221</v>
      </c>
      <c r="U960" s="6" t="s">
        <v>13225</v>
      </c>
      <c r="V960" s="6" t="s">
        <v>81</v>
      </c>
      <c r="W960" s="6" t="s">
        <v>81</v>
      </c>
      <c r="X960" s="6" t="s">
        <v>81</v>
      </c>
      <c r="Y960" s="21" t="s">
        <v>81</v>
      </c>
      <c r="Z960" s="6" t="s">
        <v>81</v>
      </c>
      <c r="AA960" s="6" t="s">
        <v>81</v>
      </c>
      <c r="AB960" s="6" t="s">
        <v>81</v>
      </c>
      <c r="AC960" s="6" t="s">
        <v>81</v>
      </c>
      <c r="AD960" s="21" t="s">
        <v>81</v>
      </c>
      <c r="AE960" s="6" t="s">
        <v>81</v>
      </c>
      <c r="AF960" s="6" t="s">
        <v>81</v>
      </c>
      <c r="AG960" s="6" t="s">
        <v>81</v>
      </c>
      <c r="AH960" s="6" t="s">
        <v>15535</v>
      </c>
      <c r="AI960" s="6" t="s">
        <v>81</v>
      </c>
      <c r="AJ960" s="6" t="s">
        <v>17826</v>
      </c>
      <c r="AK960" s="6" t="s">
        <v>17712</v>
      </c>
      <c r="AL960" s="6" t="s">
        <v>18444</v>
      </c>
      <c r="AM960" s="6" t="s">
        <v>19006</v>
      </c>
      <c r="AN960" s="6" t="s">
        <v>19669</v>
      </c>
      <c r="AO960" s="6" t="s">
        <v>19790</v>
      </c>
      <c r="AP960" s="6" t="s">
        <v>15535</v>
      </c>
      <c r="AQ960" s="6" t="s">
        <v>81</v>
      </c>
      <c r="AR960" s="6" t="s">
        <v>17826</v>
      </c>
      <c r="AS960" s="6" t="s">
        <v>17712</v>
      </c>
      <c r="AT960" s="6" t="s">
        <v>18444</v>
      </c>
      <c r="AU960" s="6" t="s">
        <v>19006</v>
      </c>
      <c r="AV960" s="6" t="s">
        <v>81</v>
      </c>
      <c r="AW960" s="6" t="s">
        <v>81</v>
      </c>
      <c r="AX960" s="6" t="s">
        <v>21358</v>
      </c>
      <c r="AY960" s="6" t="s">
        <v>81</v>
      </c>
      <c r="AZ960" s="6" t="s">
        <v>81</v>
      </c>
      <c r="BA960" s="6" t="s">
        <v>81</v>
      </c>
      <c r="BB960" s="24" t="n">
        <v>593</v>
      </c>
      <c r="BC960" s="26"/>
      <c r="BD960" s="26"/>
      <c r="BE960" s="26"/>
      <c r="BF960" s="26"/>
      <c r="BG960" s="26"/>
      <c r="BH960" s="26"/>
      <c r="BI960" s="26"/>
      <c r="BJ960" s="26"/>
      <c r="BK960" s="26"/>
      <c r="BL960" s="26"/>
      <c r="BM960" s="26"/>
      <c r="BN960" s="26"/>
      <c r="BO960" s="26"/>
      <c r="BP960" s="16" t="n">
        <v>45595</v>
      </c>
      <c r="BQ960" s="28" t="str">
        <f>HYPERLINK("https://organic.ams.usda.gov/Integrity/Certificate.aspx?cid=57&amp;nopid=3252006114")</f>
        <v>https://organic.ams.usda.gov/Integrity/Certificate.aspx?cid=57&amp;nopid=3252006114</v>
      </c>
    </row>
    <row r="961">
      <c r="A961" t="s">
        <v>3</v>
      </c>
      <c r="B961" s="6" t="s">
        <v>15</v>
      </c>
      <c r="C961" s="6" t="s">
        <v>62</v>
      </c>
      <c r="D961" s="6" t="s">
        <v>108</v>
      </c>
      <c r="E961" s="10" t="s">
        <v>1102</v>
      </c>
      <c r="F961" s="6" t="s">
        <v>3830</v>
      </c>
      <c r="G961" s="6" t="s">
        <v>5679</v>
      </c>
      <c r="H961" s="6" t="s">
        <v>6774</v>
      </c>
      <c r="I961" s="6" t="s">
        <v>8391</v>
      </c>
      <c r="J961" s="6" t="s">
        <v>10147</v>
      </c>
      <c r="K961" s="6" t="s">
        <v>10886</v>
      </c>
      <c r="L961" s="16" t="n">
        <v>37621</v>
      </c>
      <c r="M961" s="16" t="n">
        <v>46157</v>
      </c>
      <c r="N961" s="6" t="s">
        <v>10886</v>
      </c>
      <c r="O961" s="16" t="n">
        <v>37621</v>
      </c>
      <c r="P961" s="6" t="s">
        <v>11462</v>
      </c>
      <c r="Q961" s="6" t="s">
        <v>81</v>
      </c>
      <c r="R961" s="6" t="s">
        <v>81</v>
      </c>
      <c r="S961" s="6" t="s">
        <v>10893</v>
      </c>
      <c r="T961" s="16" t="n">
        <v>45208</v>
      </c>
      <c r="U961" s="6" t="s">
        <v>81</v>
      </c>
      <c r="V961" s="6" t="s">
        <v>81</v>
      </c>
      <c r="W961" s="6" t="s">
        <v>81</v>
      </c>
      <c r="X961" s="6" t="s">
        <v>81</v>
      </c>
      <c r="Y961" s="21" t="s">
        <v>81</v>
      </c>
      <c r="Z961" s="6" t="s">
        <v>81</v>
      </c>
      <c r="AA961" s="6" t="s">
        <v>81</v>
      </c>
      <c r="AB961" s="6" t="s">
        <v>81</v>
      </c>
      <c r="AC961" s="6" t="s">
        <v>10886</v>
      </c>
      <c r="AD961" s="16" t="n">
        <v>37621</v>
      </c>
      <c r="AE961" s="6" t="s">
        <v>14205</v>
      </c>
      <c r="AF961" s="6" t="s">
        <v>81</v>
      </c>
      <c r="AG961" s="6" t="s">
        <v>81</v>
      </c>
      <c r="AH961" s="6" t="s">
        <v>15536</v>
      </c>
      <c r="AI961" s="6" t="s">
        <v>81</v>
      </c>
      <c r="AJ961" s="6" t="s">
        <v>17827</v>
      </c>
      <c r="AK961" s="6" t="s">
        <v>18391</v>
      </c>
      <c r="AL961" s="6" t="s">
        <v>18444</v>
      </c>
      <c r="AM961" s="6" t="s">
        <v>19007</v>
      </c>
      <c r="AN961" s="6" t="s">
        <v>19661</v>
      </c>
      <c r="AO961" s="6" t="s">
        <v>19947</v>
      </c>
      <c r="AP961" s="6" t="s">
        <v>15536</v>
      </c>
      <c r="AQ961" s="6" t="s">
        <v>81</v>
      </c>
      <c r="AR961" s="6" t="s">
        <v>17827</v>
      </c>
      <c r="AS961" s="6" t="s">
        <v>18391</v>
      </c>
      <c r="AT961" s="6" t="s">
        <v>18444</v>
      </c>
      <c r="AU961" s="6" t="s">
        <v>19007</v>
      </c>
      <c r="AV961" s="6" t="s">
        <v>81</v>
      </c>
      <c r="AW961" s="6" t="s">
        <v>81</v>
      </c>
      <c r="AX961" s="6" t="s">
        <v>21359</v>
      </c>
      <c r="AY961" s="6" t="s">
        <v>22913</v>
      </c>
      <c r="AZ961" s="6" t="s">
        <v>81</v>
      </c>
      <c r="BA961" s="6" t="s">
        <v>81</v>
      </c>
      <c r="BB961" s="24" t="n">
        <v>1510</v>
      </c>
      <c r="BC961" s="26" t="s">
        <v>23900</v>
      </c>
      <c r="BD961" s="26"/>
      <c r="BE961" s="26"/>
      <c r="BF961" s="26"/>
      <c r="BG961" s="26"/>
      <c r="BH961" s="26"/>
      <c r="BI961" s="26"/>
      <c r="BJ961" s="26"/>
      <c r="BK961" s="26"/>
      <c r="BL961" s="26"/>
      <c r="BM961" s="26"/>
      <c r="BN961" s="26"/>
      <c r="BO961" s="26"/>
      <c r="BP961" s="16" t="n">
        <v>45737</v>
      </c>
      <c r="BQ961" s="28" t="str">
        <f>HYPERLINK("https://organic.ams.usda.gov/Integrity/Certificate.aspx?cid=58&amp;nopid=1600002037")</f>
        <v>https://organic.ams.usda.gov/Integrity/Certificate.aspx?cid=58&amp;nopid=1600002037</v>
      </c>
    </row>
    <row r="962">
      <c r="A962" t="s">
        <v>3</v>
      </c>
      <c r="B962" s="6" t="s">
        <v>23</v>
      </c>
      <c r="C962" s="6" t="s">
        <v>70</v>
      </c>
      <c r="D962" s="6" t="s">
        <v>116</v>
      </c>
      <c r="E962" s="10" t="s">
        <v>1103</v>
      </c>
      <c r="F962" s="6" t="s">
        <v>3831</v>
      </c>
      <c r="G962" s="6" t="s">
        <v>81</v>
      </c>
      <c r="H962" s="6" t="s">
        <v>6775</v>
      </c>
      <c r="I962" s="6" t="s">
        <v>8955</v>
      </c>
      <c r="J962" s="6" t="s">
        <v>10148</v>
      </c>
      <c r="K962" s="6" t="s">
        <v>10886</v>
      </c>
      <c r="L962" s="16" t="n">
        <v>40145</v>
      </c>
      <c r="M962" s="16" t="n">
        <v>45624</v>
      </c>
      <c r="N962" s="6" t="s">
        <v>10886</v>
      </c>
      <c r="O962" s="16" t="n">
        <v>44462</v>
      </c>
      <c r="P962" s="6" t="s">
        <v>11463</v>
      </c>
      <c r="Q962" s="6" t="s">
        <v>81</v>
      </c>
      <c r="R962" s="6" t="s">
        <v>12700</v>
      </c>
      <c r="S962" s="6" t="s">
        <v>10886</v>
      </c>
      <c r="T962" s="16" t="n">
        <v>44462</v>
      </c>
      <c r="U962" s="6" t="s">
        <v>13505</v>
      </c>
      <c r="V962" s="6" t="s">
        <v>81</v>
      </c>
      <c r="W962" s="6" t="s">
        <v>12700</v>
      </c>
      <c r="X962" s="6" t="s">
        <v>81</v>
      </c>
      <c r="Y962" s="21" t="s">
        <v>81</v>
      </c>
      <c r="Z962" s="6" t="s">
        <v>81</v>
      </c>
      <c r="AA962" s="6" t="s">
        <v>81</v>
      </c>
      <c r="AB962" s="6" t="s">
        <v>81</v>
      </c>
      <c r="AC962" s="6" t="s">
        <v>81</v>
      </c>
      <c r="AD962" s="21" t="s">
        <v>81</v>
      </c>
      <c r="AE962" s="6" t="s">
        <v>81</v>
      </c>
      <c r="AF962" s="6" t="s">
        <v>81</v>
      </c>
      <c r="AG962" s="6" t="s">
        <v>81</v>
      </c>
      <c r="AH962" s="6" t="s">
        <v>81</v>
      </c>
      <c r="AI962" s="6" t="s">
        <v>81</v>
      </c>
      <c r="AJ962" s="6" t="s">
        <v>81</v>
      </c>
      <c r="AK962" s="6" t="s">
        <v>81</v>
      </c>
      <c r="AL962" s="6" t="s">
        <v>81</v>
      </c>
      <c r="AM962" s="6" t="s">
        <v>81</v>
      </c>
      <c r="AN962" s="6" t="s">
        <v>81</v>
      </c>
      <c r="AO962" s="6" t="s">
        <v>81</v>
      </c>
      <c r="AP962" s="6" t="s">
        <v>20236</v>
      </c>
      <c r="AQ962" s="6" t="s">
        <v>81</v>
      </c>
      <c r="AR962" s="6" t="s">
        <v>17372</v>
      </c>
      <c r="AS962" s="6" t="s">
        <v>18395</v>
      </c>
      <c r="AT962" s="6" t="s">
        <v>18444</v>
      </c>
      <c r="AU962" s="6" t="s">
        <v>18602</v>
      </c>
      <c r="AV962" s="6" t="s">
        <v>19651</v>
      </c>
      <c r="AW962" s="6" t="s">
        <v>20733</v>
      </c>
      <c r="AX962" s="6" t="s">
        <v>21360</v>
      </c>
      <c r="AY962" s="6" t="s">
        <v>22914</v>
      </c>
      <c r="AZ962" s="6" t="s">
        <v>81</v>
      </c>
      <c r="BA962" s="6" t="s">
        <v>81</v>
      </c>
      <c r="BB962" s="24" t="n">
        <v>1533</v>
      </c>
      <c r="BC962" s="26"/>
      <c r="BD962" s="26"/>
      <c r="BE962" s="26"/>
      <c r="BF962" s="26"/>
      <c r="BG962" s="26"/>
      <c r="BH962" s="26"/>
      <c r="BI962" s="26"/>
      <c r="BJ962" s="26"/>
      <c r="BK962" s="26"/>
      <c r="BL962" s="26"/>
      <c r="BM962" s="26"/>
      <c r="BN962" s="26"/>
      <c r="BO962" s="26"/>
      <c r="BP962" s="16" t="n">
        <v>45530</v>
      </c>
      <c r="BQ962" s="28" t="str">
        <f>HYPERLINK("https://organic.ams.usda.gov/Integrity/Certificate.aspx?cid=63&amp;nopid=6220005804")</f>
        <v>https://organic.ams.usda.gov/Integrity/Certificate.aspx?cid=63&amp;nopid=6220005804</v>
      </c>
    </row>
    <row r="963">
      <c r="A963" t="s">
        <v>3</v>
      </c>
      <c r="B963" s="6" t="s">
        <v>21</v>
      </c>
      <c r="C963" s="6" t="s">
        <v>68</v>
      </c>
      <c r="D963" s="6" t="s">
        <v>114</v>
      </c>
      <c r="E963" s="10" t="s">
        <v>1104</v>
      </c>
      <c r="F963" s="6" t="s">
        <v>3832</v>
      </c>
      <c r="G963" s="6" t="s">
        <v>81</v>
      </c>
      <c r="H963" s="6" t="s">
        <v>6776</v>
      </c>
      <c r="I963" s="6" t="s">
        <v>8707</v>
      </c>
      <c r="J963" s="6" t="s">
        <v>10149</v>
      </c>
      <c r="K963" s="6" t="s">
        <v>10886</v>
      </c>
      <c r="L963" s="16" t="n">
        <v>43545</v>
      </c>
      <c r="M963" s="16" t="n">
        <v>46023</v>
      </c>
      <c r="N963" s="6" t="s">
        <v>81</v>
      </c>
      <c r="O963" s="21" t="s">
        <v>81</v>
      </c>
      <c r="P963" s="6" t="s">
        <v>81</v>
      </c>
      <c r="Q963" s="6" t="s">
        <v>81</v>
      </c>
      <c r="R963" s="6" t="s">
        <v>81</v>
      </c>
      <c r="S963" s="6" t="s">
        <v>81</v>
      </c>
      <c r="T963" s="21" t="s">
        <v>81</v>
      </c>
      <c r="U963" s="6" t="s">
        <v>81</v>
      </c>
      <c r="V963" s="6" t="s">
        <v>81</v>
      </c>
      <c r="W963" s="6" t="s">
        <v>81</v>
      </c>
      <c r="X963" s="6" t="s">
        <v>81</v>
      </c>
      <c r="Y963" s="21" t="s">
        <v>81</v>
      </c>
      <c r="Z963" s="6" t="s">
        <v>81</v>
      </c>
      <c r="AA963" s="6" t="s">
        <v>81</v>
      </c>
      <c r="AB963" s="6" t="s">
        <v>81</v>
      </c>
      <c r="AC963" s="6" t="s">
        <v>10886</v>
      </c>
      <c r="AD963" s="16" t="n">
        <v>43545</v>
      </c>
      <c r="AE963" s="6" t="s">
        <v>14206</v>
      </c>
      <c r="AF963" s="6" t="s">
        <v>81</v>
      </c>
      <c r="AG963" s="6" t="s">
        <v>81</v>
      </c>
      <c r="AH963" s="6" t="s">
        <v>81</v>
      </c>
      <c r="AI963" s="6" t="s">
        <v>81</v>
      </c>
      <c r="AJ963" s="6" t="s">
        <v>81</v>
      </c>
      <c r="AK963" s="6" t="s">
        <v>81</v>
      </c>
      <c r="AL963" s="6" t="s">
        <v>81</v>
      </c>
      <c r="AM963" s="6" t="s">
        <v>81</v>
      </c>
      <c r="AN963" s="6" t="s">
        <v>81</v>
      </c>
      <c r="AO963" s="6" t="s">
        <v>81</v>
      </c>
      <c r="AP963" s="6" t="s">
        <v>20237</v>
      </c>
      <c r="AQ963" s="6" t="s">
        <v>81</v>
      </c>
      <c r="AR963" s="6" t="s">
        <v>17420</v>
      </c>
      <c r="AS963" s="6" t="s">
        <v>18393</v>
      </c>
      <c r="AT963" s="6" t="s">
        <v>18444</v>
      </c>
      <c r="AU963" s="6" t="s">
        <v>18577</v>
      </c>
      <c r="AV963" s="6" t="s">
        <v>19665</v>
      </c>
      <c r="AW963" s="6" t="s">
        <v>19772</v>
      </c>
      <c r="AX963" s="6" t="s">
        <v>21361</v>
      </c>
      <c r="AY963" s="6" t="s">
        <v>22915</v>
      </c>
      <c r="AZ963" s="6" t="s">
        <v>81</v>
      </c>
      <c r="BA963" s="6" t="s">
        <v>81</v>
      </c>
      <c r="BB963" s="6" t="s">
        <v>81</v>
      </c>
      <c r="BC963" s="26"/>
      <c r="BD963" s="26"/>
      <c r="BE963" s="26" t="s">
        <v>23900</v>
      </c>
      <c r="BF963" s="26"/>
      <c r="BG963" s="26"/>
      <c r="BH963" s="26"/>
      <c r="BI963" s="26"/>
      <c r="BJ963" s="26"/>
      <c r="BK963" s="26"/>
      <c r="BL963" s="26"/>
      <c r="BM963" s="26"/>
      <c r="BN963" s="26" t="s">
        <v>23900</v>
      </c>
      <c r="BO963" s="26"/>
      <c r="BP963" s="16" t="n">
        <v>45713</v>
      </c>
      <c r="BQ963" s="28" t="str">
        <f>HYPERLINK("https://organic.ams.usda.gov/Integrity/Certificate.aspx?cid=62&amp;nopid=8150009953")</f>
        <v>https://organic.ams.usda.gov/Integrity/Certificate.aspx?cid=62&amp;nopid=8150009953</v>
      </c>
    </row>
    <row r="964">
      <c r="A964" t="s">
        <v>3</v>
      </c>
      <c r="B964" s="6" t="s">
        <v>35</v>
      </c>
      <c r="C964" s="6" t="s">
        <v>82</v>
      </c>
      <c r="D964" s="6" t="s">
        <v>127</v>
      </c>
      <c r="E964" s="10" t="s">
        <v>1105</v>
      </c>
      <c r="F964" s="6" t="s">
        <v>3833</v>
      </c>
      <c r="G964" s="6" t="s">
        <v>81</v>
      </c>
      <c r="H964" s="6" t="s">
        <v>6777</v>
      </c>
      <c r="I964" s="6" t="s">
        <v>8514</v>
      </c>
      <c r="J964" s="6" t="s">
        <v>10150</v>
      </c>
      <c r="K964" s="6" t="s">
        <v>10886</v>
      </c>
      <c r="L964" s="16" t="n">
        <v>45505</v>
      </c>
      <c r="M964" s="16" t="n">
        <v>45777</v>
      </c>
      <c r="N964" s="6" t="s">
        <v>81</v>
      </c>
      <c r="O964" s="21" t="s">
        <v>81</v>
      </c>
      <c r="P964" s="6" t="s">
        <v>81</v>
      </c>
      <c r="Q964" s="6" t="s">
        <v>81</v>
      </c>
      <c r="R964" s="6" t="s">
        <v>81</v>
      </c>
      <c r="S964" s="6" t="s">
        <v>81</v>
      </c>
      <c r="T964" s="21" t="s">
        <v>81</v>
      </c>
      <c r="U964" s="6" t="s">
        <v>81</v>
      </c>
      <c r="V964" s="6" t="s">
        <v>81</v>
      </c>
      <c r="W964" s="6" t="s">
        <v>81</v>
      </c>
      <c r="X964" s="6" t="s">
        <v>81</v>
      </c>
      <c r="Y964" s="21" t="s">
        <v>81</v>
      </c>
      <c r="Z964" s="6" t="s">
        <v>81</v>
      </c>
      <c r="AA964" s="6" t="s">
        <v>81</v>
      </c>
      <c r="AB964" s="6" t="s">
        <v>81</v>
      </c>
      <c r="AC964" s="6" t="s">
        <v>10886</v>
      </c>
      <c r="AD964" s="16" t="n">
        <v>45505</v>
      </c>
      <c r="AE964" s="6" t="s">
        <v>14207</v>
      </c>
      <c r="AF964" s="6" t="s">
        <v>81</v>
      </c>
      <c r="AG964" s="6" t="s">
        <v>14554</v>
      </c>
      <c r="AH964" s="6" t="s">
        <v>15537</v>
      </c>
      <c r="AI964" s="6" t="s">
        <v>81</v>
      </c>
      <c r="AJ964" s="6" t="s">
        <v>17828</v>
      </c>
      <c r="AK964" s="6" t="s">
        <v>18388</v>
      </c>
      <c r="AL964" s="6" t="s">
        <v>18444</v>
      </c>
      <c r="AM964" s="6" t="s">
        <v>19008</v>
      </c>
      <c r="AN964" s="6" t="s">
        <v>19683</v>
      </c>
      <c r="AO964" s="6" t="s">
        <v>19844</v>
      </c>
      <c r="AP964" s="6" t="s">
        <v>15537</v>
      </c>
      <c r="AQ964" s="6" t="s">
        <v>81</v>
      </c>
      <c r="AR964" s="6" t="s">
        <v>17828</v>
      </c>
      <c r="AS964" s="6" t="s">
        <v>18388</v>
      </c>
      <c r="AT964" s="6" t="s">
        <v>18444</v>
      </c>
      <c r="AU964" s="6" t="s">
        <v>19008</v>
      </c>
      <c r="AV964" s="6" t="s">
        <v>81</v>
      </c>
      <c r="AW964" s="6" t="s">
        <v>81</v>
      </c>
      <c r="AX964" s="6" t="s">
        <v>21362</v>
      </c>
      <c r="AY964" s="6" t="s">
        <v>22916</v>
      </c>
      <c r="AZ964" s="6" t="s">
        <v>23669</v>
      </c>
      <c r="BA964" s="6" t="s">
        <v>81</v>
      </c>
      <c r="BB964" s="24" t="n">
        <v>0</v>
      </c>
      <c r="BC964" s="26"/>
      <c r="BD964" s="26"/>
      <c r="BE964" s="26"/>
      <c r="BF964" s="26"/>
      <c r="BG964" s="26"/>
      <c r="BH964" s="26"/>
      <c r="BI964" s="26"/>
      <c r="BJ964" s="26"/>
      <c r="BK964" s="26"/>
      <c r="BL964" s="26"/>
      <c r="BM964" s="26"/>
      <c r="BN964" s="26"/>
      <c r="BO964" s="26"/>
      <c r="BP964" s="16" t="n">
        <v>45726</v>
      </c>
      <c r="BQ964" s="28" t="str">
        <f>HYPERLINK("https://organic.ams.usda.gov/Integrity/Certificate.aspx?cid=47&amp;nopid=7142077703")</f>
        <v>https://organic.ams.usda.gov/Integrity/Certificate.aspx?cid=47&amp;nopid=7142077703</v>
      </c>
    </row>
    <row r="965">
      <c r="A965" t="s">
        <v>3</v>
      </c>
      <c r="B965" s="6" t="s">
        <v>8</v>
      </c>
      <c r="C965" s="6" t="s">
        <v>55</v>
      </c>
      <c r="D965" s="6" t="s">
        <v>101</v>
      </c>
      <c r="E965" s="10" t="s">
        <v>1106</v>
      </c>
      <c r="F965" s="6" t="s">
        <v>3834</v>
      </c>
      <c r="G965" s="6" t="s">
        <v>81</v>
      </c>
      <c r="H965" s="6" t="s">
        <v>6778</v>
      </c>
      <c r="I965" s="6" t="s">
        <v>8956</v>
      </c>
      <c r="J965" s="6" t="s">
        <v>10043</v>
      </c>
      <c r="K965" s="6" t="s">
        <v>10886</v>
      </c>
      <c r="L965" s="16" t="n">
        <v>38671</v>
      </c>
      <c r="M965" s="16" t="n">
        <v>45689</v>
      </c>
      <c r="N965" s="6" t="s">
        <v>10886</v>
      </c>
      <c r="O965" s="16" t="n">
        <v>38671</v>
      </c>
      <c r="P965" s="6" t="s">
        <v>11464</v>
      </c>
      <c r="Q965" s="6" t="s">
        <v>81</v>
      </c>
      <c r="R965" s="6" t="s">
        <v>6778</v>
      </c>
      <c r="S965" s="6" t="s">
        <v>10886</v>
      </c>
      <c r="T965" s="16" t="n">
        <v>38671</v>
      </c>
      <c r="U965" s="6" t="s">
        <v>13271</v>
      </c>
      <c r="V965" s="6" t="s">
        <v>81</v>
      </c>
      <c r="W965" s="6" t="s">
        <v>6778</v>
      </c>
      <c r="X965" s="6" t="s">
        <v>81</v>
      </c>
      <c r="Y965" s="21" t="s">
        <v>81</v>
      </c>
      <c r="Z965" s="6" t="s">
        <v>81</v>
      </c>
      <c r="AA965" s="6" t="s">
        <v>81</v>
      </c>
      <c r="AB965" s="6" t="s">
        <v>81</v>
      </c>
      <c r="AC965" s="6" t="s">
        <v>81</v>
      </c>
      <c r="AD965" s="21" t="s">
        <v>81</v>
      </c>
      <c r="AE965" s="6" t="s">
        <v>81</v>
      </c>
      <c r="AF965" s="6" t="s">
        <v>81</v>
      </c>
      <c r="AG965" s="6" t="s">
        <v>81</v>
      </c>
      <c r="AH965" s="6" t="s">
        <v>15538</v>
      </c>
      <c r="AI965" s="6" t="s">
        <v>81</v>
      </c>
      <c r="AJ965" s="6" t="s">
        <v>17829</v>
      </c>
      <c r="AK965" s="6" t="s">
        <v>18377</v>
      </c>
      <c r="AL965" s="6" t="s">
        <v>18444</v>
      </c>
      <c r="AM965" s="6" t="s">
        <v>19009</v>
      </c>
      <c r="AN965" s="6" t="s">
        <v>19646</v>
      </c>
      <c r="AO965" s="6" t="s">
        <v>19733</v>
      </c>
      <c r="AP965" s="6" t="s">
        <v>81</v>
      </c>
      <c r="AQ965" s="6" t="s">
        <v>81</v>
      </c>
      <c r="AR965" s="6" t="s">
        <v>81</v>
      </c>
      <c r="AS965" s="6" t="s">
        <v>81</v>
      </c>
      <c r="AT965" s="6" t="s">
        <v>81</v>
      </c>
      <c r="AU965" s="6" t="s">
        <v>81</v>
      </c>
      <c r="AV965" s="6" t="s">
        <v>81</v>
      </c>
      <c r="AW965" s="6" t="s">
        <v>81</v>
      </c>
      <c r="AX965" s="6" t="s">
        <v>21363</v>
      </c>
      <c r="AY965" s="6" t="s">
        <v>22917</v>
      </c>
      <c r="AZ965" s="6" t="s">
        <v>81</v>
      </c>
      <c r="BA965" s="6" t="s">
        <v>23819</v>
      </c>
      <c r="BB965" s="24" t="n">
        <v>303</v>
      </c>
      <c r="BC965" s="26"/>
      <c r="BD965" s="26"/>
      <c r="BE965" s="26"/>
      <c r="BF965" s="26" t="s">
        <v>23900</v>
      </c>
      <c r="BG965" s="26"/>
      <c r="BH965" s="26"/>
      <c r="BI965" s="26"/>
      <c r="BJ965" s="26"/>
      <c r="BK965" s="26"/>
      <c r="BL965" s="26"/>
      <c r="BM965" s="26"/>
      <c r="BN965" s="26"/>
      <c r="BO965" s="26"/>
      <c r="BP965" s="16" t="n">
        <v>45735</v>
      </c>
      <c r="BQ965" s="28" t="str">
        <f>HYPERLINK("https://organic.ams.usda.gov/Integrity/Certificate.aspx?cid=45&amp;nopid=9950002059")</f>
        <v>https://organic.ams.usda.gov/Integrity/Certificate.aspx?cid=45&amp;nopid=9950002059</v>
      </c>
    </row>
    <row r="966">
      <c r="A966" t="s">
        <v>3</v>
      </c>
      <c r="B966" s="6" t="s">
        <v>12</v>
      </c>
      <c r="C966" s="6" t="s">
        <v>59</v>
      </c>
      <c r="D966" s="6" t="s">
        <v>105</v>
      </c>
      <c r="E966" s="10" t="s">
        <v>1107</v>
      </c>
      <c r="F966" s="6" t="s">
        <v>3835</v>
      </c>
      <c r="G966" s="6" t="s">
        <v>81</v>
      </c>
      <c r="H966" s="6" t="s">
        <v>6779</v>
      </c>
      <c r="I966" s="6" t="s">
        <v>8576</v>
      </c>
      <c r="J966" s="6" t="s">
        <v>10151</v>
      </c>
      <c r="K966" s="6" t="s">
        <v>10886</v>
      </c>
      <c r="L966" s="16" t="n">
        <v>39693</v>
      </c>
      <c r="M966" s="16" t="n">
        <v>45717</v>
      </c>
      <c r="N966" s="6" t="s">
        <v>10886</v>
      </c>
      <c r="O966" s="16" t="n">
        <v>39693</v>
      </c>
      <c r="P966" s="6" t="s">
        <v>11006</v>
      </c>
      <c r="Q966" s="6" t="s">
        <v>81</v>
      </c>
      <c r="R966" s="6" t="s">
        <v>81</v>
      </c>
      <c r="S966" s="6" t="s">
        <v>10886</v>
      </c>
      <c r="T966" s="16" t="n">
        <v>39693</v>
      </c>
      <c r="U966" s="6" t="s">
        <v>13183</v>
      </c>
      <c r="V966" s="6" t="s">
        <v>81</v>
      </c>
      <c r="W966" s="6" t="s">
        <v>81</v>
      </c>
      <c r="X966" s="6" t="s">
        <v>81</v>
      </c>
      <c r="Y966" s="21" t="s">
        <v>81</v>
      </c>
      <c r="Z966" s="6" t="s">
        <v>81</v>
      </c>
      <c r="AA966" s="6" t="s">
        <v>81</v>
      </c>
      <c r="AB966" s="6" t="s">
        <v>81</v>
      </c>
      <c r="AC966" s="6" t="s">
        <v>81</v>
      </c>
      <c r="AD966" s="21" t="s">
        <v>81</v>
      </c>
      <c r="AE966" s="6" t="s">
        <v>81</v>
      </c>
      <c r="AF966" s="6" t="s">
        <v>81</v>
      </c>
      <c r="AG966" s="6" t="s">
        <v>81</v>
      </c>
      <c r="AH966" s="6" t="s">
        <v>15539</v>
      </c>
      <c r="AI966" s="6" t="s">
        <v>81</v>
      </c>
      <c r="AJ966" s="6" t="s">
        <v>17607</v>
      </c>
      <c r="AK966" s="6" t="s">
        <v>17712</v>
      </c>
      <c r="AL966" s="6" t="s">
        <v>18444</v>
      </c>
      <c r="AM966" s="6" t="s">
        <v>18773</v>
      </c>
      <c r="AN966" s="6" t="s">
        <v>8233</v>
      </c>
      <c r="AO966" s="6" t="s">
        <v>19877</v>
      </c>
      <c r="AP966" s="6" t="s">
        <v>15539</v>
      </c>
      <c r="AQ966" s="6" t="s">
        <v>81</v>
      </c>
      <c r="AR966" s="6" t="s">
        <v>17607</v>
      </c>
      <c r="AS966" s="6" t="s">
        <v>17712</v>
      </c>
      <c r="AT966" s="6" t="s">
        <v>18444</v>
      </c>
      <c r="AU966" s="6" t="s">
        <v>18773</v>
      </c>
      <c r="AV966" s="6" t="s">
        <v>81</v>
      </c>
      <c r="AW966" s="6" t="s">
        <v>81</v>
      </c>
      <c r="AX966" s="6" t="s">
        <v>81</v>
      </c>
      <c r="AY966" s="6" t="s">
        <v>22918</v>
      </c>
      <c r="AZ966" s="6" t="s">
        <v>81</v>
      </c>
      <c r="BA966" s="6" t="s">
        <v>81</v>
      </c>
      <c r="BB966" s="24" t="n">
        <v>821</v>
      </c>
      <c r="BC966" s="26"/>
      <c r="BD966" s="26"/>
      <c r="BE966" s="26"/>
      <c r="BF966" s="26"/>
      <c r="BG966" s="26"/>
      <c r="BH966" s="26"/>
      <c r="BI966" s="26"/>
      <c r="BJ966" s="26"/>
      <c r="BK966" s="26"/>
      <c r="BL966" s="26"/>
      <c r="BM966" s="26"/>
      <c r="BN966" s="26"/>
      <c r="BO966" s="26"/>
      <c r="BP966" s="16" t="n">
        <v>45684</v>
      </c>
      <c r="BQ966" s="28" t="str">
        <f>HYPERLINK("https://organic.ams.usda.gov/Integrity/Certificate.aspx?cid=68&amp;nopid=8210001699")</f>
        <v>https://organic.ams.usda.gov/Integrity/Certificate.aspx?cid=68&amp;nopid=8210001699</v>
      </c>
    </row>
    <row r="967">
      <c r="A967" t="s">
        <v>3</v>
      </c>
      <c r="B967" s="6" t="s">
        <v>8</v>
      </c>
      <c r="C967" s="6" t="s">
        <v>55</v>
      </c>
      <c r="D967" s="6" t="s">
        <v>101</v>
      </c>
      <c r="E967" s="10" t="s">
        <v>1108</v>
      </c>
      <c r="F967" s="6" t="s">
        <v>3836</v>
      </c>
      <c r="G967" s="6" t="s">
        <v>81</v>
      </c>
      <c r="H967" s="6" t="s">
        <v>6780</v>
      </c>
      <c r="I967" s="6" t="s">
        <v>8693</v>
      </c>
      <c r="J967" s="6" t="s">
        <v>10152</v>
      </c>
      <c r="K967" s="6" t="s">
        <v>10886</v>
      </c>
      <c r="L967" s="16" t="n">
        <v>43019</v>
      </c>
      <c r="M967" s="16" t="n">
        <v>45689</v>
      </c>
      <c r="N967" s="6" t="s">
        <v>10886</v>
      </c>
      <c r="O967" s="16" t="n">
        <v>43019</v>
      </c>
      <c r="P967" s="6" t="s">
        <v>11465</v>
      </c>
      <c r="Q967" s="6" t="s">
        <v>81</v>
      </c>
      <c r="R967" s="6" t="s">
        <v>6780</v>
      </c>
      <c r="S967" s="6" t="s">
        <v>10886</v>
      </c>
      <c r="T967" s="16" t="n">
        <v>43019</v>
      </c>
      <c r="U967" s="6" t="s">
        <v>13173</v>
      </c>
      <c r="V967" s="6" t="s">
        <v>81</v>
      </c>
      <c r="W967" s="6" t="s">
        <v>6780</v>
      </c>
      <c r="X967" s="6" t="s">
        <v>81</v>
      </c>
      <c r="Y967" s="21" t="s">
        <v>81</v>
      </c>
      <c r="Z967" s="6" t="s">
        <v>81</v>
      </c>
      <c r="AA967" s="6" t="s">
        <v>81</v>
      </c>
      <c r="AB967" s="6" t="s">
        <v>81</v>
      </c>
      <c r="AC967" s="6" t="s">
        <v>81</v>
      </c>
      <c r="AD967" s="21" t="s">
        <v>81</v>
      </c>
      <c r="AE967" s="6" t="s">
        <v>81</v>
      </c>
      <c r="AF967" s="6" t="s">
        <v>81</v>
      </c>
      <c r="AG967" s="6" t="s">
        <v>81</v>
      </c>
      <c r="AH967" s="6" t="s">
        <v>15540</v>
      </c>
      <c r="AI967" s="6" t="s">
        <v>81</v>
      </c>
      <c r="AJ967" s="6" t="s">
        <v>9250</v>
      </c>
      <c r="AK967" s="6" t="s">
        <v>18384</v>
      </c>
      <c r="AL967" s="6" t="s">
        <v>18444</v>
      </c>
      <c r="AM967" s="6" t="s">
        <v>19010</v>
      </c>
      <c r="AN967" s="6" t="s">
        <v>19643</v>
      </c>
      <c r="AO967" s="6" t="s">
        <v>19948</v>
      </c>
      <c r="AP967" s="6" t="s">
        <v>81</v>
      </c>
      <c r="AQ967" s="6" t="s">
        <v>81</v>
      </c>
      <c r="AR967" s="6" t="s">
        <v>81</v>
      </c>
      <c r="AS967" s="6" t="s">
        <v>81</v>
      </c>
      <c r="AT967" s="6" t="s">
        <v>81</v>
      </c>
      <c r="AU967" s="6" t="s">
        <v>81</v>
      </c>
      <c r="AV967" s="6" t="s">
        <v>81</v>
      </c>
      <c r="AW967" s="6" t="s">
        <v>81</v>
      </c>
      <c r="AX967" s="6" t="s">
        <v>81</v>
      </c>
      <c r="AY967" s="6" t="s">
        <v>22919</v>
      </c>
      <c r="AZ967" s="6" t="s">
        <v>81</v>
      </c>
      <c r="BA967" s="6" t="s">
        <v>23819</v>
      </c>
      <c r="BB967" s="24" t="n">
        <v>903</v>
      </c>
      <c r="BC967" s="26"/>
      <c r="BD967" s="26"/>
      <c r="BE967" s="26"/>
      <c r="BF967" s="26" t="s">
        <v>23900</v>
      </c>
      <c r="BG967" s="26"/>
      <c r="BH967" s="26"/>
      <c r="BI967" s="26"/>
      <c r="BJ967" s="26"/>
      <c r="BK967" s="26"/>
      <c r="BL967" s="26"/>
      <c r="BM967" s="26"/>
      <c r="BN967" s="26"/>
      <c r="BO967" s="26"/>
      <c r="BP967" s="16" t="n">
        <v>45723</v>
      </c>
      <c r="BQ967" s="28" t="str">
        <f>HYPERLINK("https://organic.ams.usda.gov/Integrity/Certificate.aspx?cid=45&amp;nopid=9950008937")</f>
        <v>https://organic.ams.usda.gov/Integrity/Certificate.aspx?cid=45&amp;nopid=9950008937</v>
      </c>
    </row>
    <row r="968">
      <c r="A968" t="s">
        <v>3</v>
      </c>
      <c r="B968" s="6" t="s">
        <v>16</v>
      </c>
      <c r="C968" s="6" t="s">
        <v>63</v>
      </c>
      <c r="D968" s="6" t="s">
        <v>109</v>
      </c>
      <c r="E968" s="10" t="s">
        <v>1109</v>
      </c>
      <c r="F968" s="6" t="s">
        <v>3837</v>
      </c>
      <c r="G968" s="6" t="s">
        <v>81</v>
      </c>
      <c r="H968" s="6" t="s">
        <v>6781</v>
      </c>
      <c r="I968" s="6" t="s">
        <v>8957</v>
      </c>
      <c r="J968" s="6" t="s">
        <v>10153</v>
      </c>
      <c r="K968" s="6" t="s">
        <v>10886</v>
      </c>
      <c r="L968" s="16" t="n">
        <v>42025</v>
      </c>
      <c r="M968" s="16" t="n">
        <v>45731</v>
      </c>
      <c r="N968" s="6" t="s">
        <v>10886</v>
      </c>
      <c r="O968" s="16" t="n">
        <v>42025</v>
      </c>
      <c r="P968" s="6" t="s">
        <v>11085</v>
      </c>
      <c r="Q968" s="6" t="s">
        <v>81</v>
      </c>
      <c r="R968" s="6" t="s">
        <v>81</v>
      </c>
      <c r="S968" s="6" t="s">
        <v>10886</v>
      </c>
      <c r="T968" s="16" t="n">
        <v>42025</v>
      </c>
      <c r="U968" s="6" t="s">
        <v>13506</v>
      </c>
      <c r="V968" s="6" t="s">
        <v>81</v>
      </c>
      <c r="W968" s="6" t="s">
        <v>81</v>
      </c>
      <c r="X968" s="6" t="s">
        <v>81</v>
      </c>
      <c r="Y968" s="21" t="s">
        <v>81</v>
      </c>
      <c r="Z968" s="6" t="s">
        <v>81</v>
      </c>
      <c r="AA968" s="6" t="s">
        <v>81</v>
      </c>
      <c r="AB968" s="6" t="s">
        <v>81</v>
      </c>
      <c r="AC968" s="6" t="s">
        <v>10886</v>
      </c>
      <c r="AD968" s="16" t="n">
        <v>42025</v>
      </c>
      <c r="AE968" s="6" t="s">
        <v>81</v>
      </c>
      <c r="AF968" s="6" t="s">
        <v>81</v>
      </c>
      <c r="AG968" s="6" t="s">
        <v>81</v>
      </c>
      <c r="AH968" s="6" t="s">
        <v>15541</v>
      </c>
      <c r="AI968" s="6" t="s">
        <v>81</v>
      </c>
      <c r="AJ968" s="6" t="s">
        <v>17830</v>
      </c>
      <c r="AK968" s="6" t="s">
        <v>18383</v>
      </c>
      <c r="AL968" s="6" t="s">
        <v>18444</v>
      </c>
      <c r="AM968" s="6" t="s">
        <v>19011</v>
      </c>
      <c r="AN968" s="6" t="s">
        <v>19662</v>
      </c>
      <c r="AO968" s="6" t="s">
        <v>19940</v>
      </c>
      <c r="AP968" s="6" t="s">
        <v>81</v>
      </c>
      <c r="AQ968" s="6" t="s">
        <v>81</v>
      </c>
      <c r="AR968" s="6" t="s">
        <v>81</v>
      </c>
      <c r="AS968" s="6" t="s">
        <v>81</v>
      </c>
      <c r="AT968" s="6" t="s">
        <v>81</v>
      </c>
      <c r="AU968" s="6" t="s">
        <v>81</v>
      </c>
      <c r="AV968" s="6" t="s">
        <v>81</v>
      </c>
      <c r="AW968" s="6" t="s">
        <v>81</v>
      </c>
      <c r="AX968" s="6" t="s">
        <v>21364</v>
      </c>
      <c r="AY968" s="6" t="s">
        <v>81</v>
      </c>
      <c r="AZ968" s="6" t="s">
        <v>23670</v>
      </c>
      <c r="BA968" s="6" t="s">
        <v>81</v>
      </c>
      <c r="BB968" s="24" t="n">
        <v>183</v>
      </c>
      <c r="BC968" s="26"/>
      <c r="BD968" s="26"/>
      <c r="BE968" s="26"/>
      <c r="BF968" s="26"/>
      <c r="BG968" s="26"/>
      <c r="BH968" s="26"/>
      <c r="BI968" s="26"/>
      <c r="BJ968" s="26"/>
      <c r="BK968" s="26"/>
      <c r="BL968" s="26"/>
      <c r="BM968" s="26"/>
      <c r="BN968" s="26"/>
      <c r="BO968" s="26"/>
      <c r="BP968" s="16" t="n">
        <v>45701</v>
      </c>
      <c r="BQ968" s="28" t="str">
        <f>HYPERLINK("https://organic.ams.usda.gov/Integrity/Certificate.aspx?cid=81&amp;nopid=4210015002")</f>
        <v>https://organic.ams.usda.gov/Integrity/Certificate.aspx?cid=81&amp;nopid=4210015002</v>
      </c>
    </row>
    <row r="969">
      <c r="A969" t="s">
        <v>3</v>
      </c>
      <c r="B969" s="6" t="s">
        <v>8</v>
      </c>
      <c r="C969" s="6" t="s">
        <v>55</v>
      </c>
      <c r="D969" s="6" t="s">
        <v>101</v>
      </c>
      <c r="E969" s="10" t="s">
        <v>1110</v>
      </c>
      <c r="F969" s="6" t="s">
        <v>3838</v>
      </c>
      <c r="G969" s="6" t="s">
        <v>81</v>
      </c>
      <c r="H969" s="6" t="s">
        <v>6782</v>
      </c>
      <c r="I969" s="6" t="s">
        <v>8958</v>
      </c>
      <c r="J969" s="6" t="s">
        <v>10154</v>
      </c>
      <c r="K969" s="6" t="s">
        <v>10886</v>
      </c>
      <c r="L969" s="16" t="n">
        <v>36473</v>
      </c>
      <c r="M969" s="16" t="n">
        <v>45748</v>
      </c>
      <c r="N969" s="6" t="s">
        <v>10886</v>
      </c>
      <c r="O969" s="16" t="n">
        <v>36473</v>
      </c>
      <c r="P969" s="6" t="s">
        <v>11466</v>
      </c>
      <c r="Q969" s="6" t="s">
        <v>81</v>
      </c>
      <c r="R969" s="6" t="s">
        <v>6782</v>
      </c>
      <c r="S969" s="6" t="s">
        <v>10886</v>
      </c>
      <c r="T969" s="16" t="n">
        <v>36473</v>
      </c>
      <c r="U969" s="6" t="s">
        <v>13286</v>
      </c>
      <c r="V969" s="6" t="s">
        <v>81</v>
      </c>
      <c r="W969" s="6" t="s">
        <v>6782</v>
      </c>
      <c r="X969" s="6" t="s">
        <v>81</v>
      </c>
      <c r="Y969" s="21" t="s">
        <v>81</v>
      </c>
      <c r="Z969" s="6" t="s">
        <v>81</v>
      </c>
      <c r="AA969" s="6" t="s">
        <v>81</v>
      </c>
      <c r="AB969" s="6" t="s">
        <v>81</v>
      </c>
      <c r="AC969" s="6" t="s">
        <v>81</v>
      </c>
      <c r="AD969" s="21" t="s">
        <v>81</v>
      </c>
      <c r="AE969" s="6" t="s">
        <v>81</v>
      </c>
      <c r="AF969" s="6" t="s">
        <v>81</v>
      </c>
      <c r="AG969" s="6" t="s">
        <v>81</v>
      </c>
      <c r="AH969" s="6" t="s">
        <v>15542</v>
      </c>
      <c r="AI969" s="6" t="s">
        <v>81</v>
      </c>
      <c r="AJ969" s="6" t="s">
        <v>17831</v>
      </c>
      <c r="AK969" s="6" t="s">
        <v>18377</v>
      </c>
      <c r="AL969" s="6" t="s">
        <v>18444</v>
      </c>
      <c r="AM969" s="6" t="s">
        <v>19012</v>
      </c>
      <c r="AN969" s="6" t="s">
        <v>19636</v>
      </c>
      <c r="AO969" s="6" t="s">
        <v>19783</v>
      </c>
      <c r="AP969" s="6" t="s">
        <v>81</v>
      </c>
      <c r="AQ969" s="6" t="s">
        <v>81</v>
      </c>
      <c r="AR969" s="6" t="s">
        <v>81</v>
      </c>
      <c r="AS969" s="6" t="s">
        <v>81</v>
      </c>
      <c r="AT969" s="6" t="s">
        <v>81</v>
      </c>
      <c r="AU969" s="6" t="s">
        <v>81</v>
      </c>
      <c r="AV969" s="6" t="s">
        <v>81</v>
      </c>
      <c r="AW969" s="6" t="s">
        <v>81</v>
      </c>
      <c r="AX969" s="6" t="s">
        <v>81</v>
      </c>
      <c r="AY969" s="6" t="s">
        <v>22920</v>
      </c>
      <c r="AZ969" s="6" t="s">
        <v>81</v>
      </c>
      <c r="BA969" s="6" t="s">
        <v>23824</v>
      </c>
      <c r="BB969" s="24" t="n">
        <v>291</v>
      </c>
      <c r="BC969" s="26"/>
      <c r="BD969" s="26"/>
      <c r="BE969" s="26"/>
      <c r="BF969" s="26" t="s">
        <v>23900</v>
      </c>
      <c r="BG969" s="26"/>
      <c r="BH969" s="26"/>
      <c r="BI969" s="26"/>
      <c r="BJ969" s="26"/>
      <c r="BK969" s="26"/>
      <c r="BL969" s="26"/>
      <c r="BM969" s="26"/>
      <c r="BN969" s="26"/>
      <c r="BO969" s="26"/>
      <c r="BP969" s="16" t="n">
        <v>45610</v>
      </c>
      <c r="BQ969" s="28" t="str">
        <f>HYPERLINK("https://organic.ams.usda.gov/Integrity/Certificate.aspx?cid=45&amp;nopid=9950000374")</f>
        <v>https://organic.ams.usda.gov/Integrity/Certificate.aspx?cid=45&amp;nopid=9950000374</v>
      </c>
    </row>
    <row r="970">
      <c r="A970" t="s">
        <v>3</v>
      </c>
      <c r="B970" s="6" t="s">
        <v>10</v>
      </c>
      <c r="C970" s="6" t="s">
        <v>57</v>
      </c>
      <c r="D970" s="6" t="s">
        <v>103</v>
      </c>
      <c r="E970" s="10" t="s">
        <v>1111</v>
      </c>
      <c r="F970" s="6" t="s">
        <v>3839</v>
      </c>
      <c r="G970" s="6" t="s">
        <v>81</v>
      </c>
      <c r="H970" s="6" t="s">
        <v>6783</v>
      </c>
      <c r="I970" s="6" t="s">
        <v>8959</v>
      </c>
      <c r="J970" s="6" t="s">
        <v>9665</v>
      </c>
      <c r="K970" s="6" t="s">
        <v>10886</v>
      </c>
      <c r="L970" s="16" t="n">
        <v>40745</v>
      </c>
      <c r="M970" s="16" t="n">
        <v>45748</v>
      </c>
      <c r="N970" s="6" t="s">
        <v>10886</v>
      </c>
      <c r="O970" s="16" t="n">
        <v>40745</v>
      </c>
      <c r="P970" s="6" t="s">
        <v>11467</v>
      </c>
      <c r="Q970" s="6" t="s">
        <v>81</v>
      </c>
      <c r="R970" s="6" t="s">
        <v>12701</v>
      </c>
      <c r="S970" s="6" t="s">
        <v>10886</v>
      </c>
      <c r="T970" s="16" t="n">
        <v>40745</v>
      </c>
      <c r="U970" s="6" t="s">
        <v>13163</v>
      </c>
      <c r="V970" s="6" t="s">
        <v>81</v>
      </c>
      <c r="W970" s="6" t="s">
        <v>81</v>
      </c>
      <c r="X970" s="6" t="s">
        <v>81</v>
      </c>
      <c r="Y970" s="21" t="s">
        <v>81</v>
      </c>
      <c r="Z970" s="6" t="s">
        <v>81</v>
      </c>
      <c r="AA970" s="6" t="s">
        <v>81</v>
      </c>
      <c r="AB970" s="6" t="s">
        <v>81</v>
      </c>
      <c r="AC970" s="6" t="s">
        <v>81</v>
      </c>
      <c r="AD970" s="21" t="s">
        <v>81</v>
      </c>
      <c r="AE970" s="6" t="s">
        <v>81</v>
      </c>
      <c r="AF970" s="6" t="s">
        <v>81</v>
      </c>
      <c r="AG970" s="6" t="s">
        <v>81</v>
      </c>
      <c r="AH970" s="6" t="s">
        <v>15543</v>
      </c>
      <c r="AI970" s="6" t="s">
        <v>81</v>
      </c>
      <c r="AJ970" s="6" t="s">
        <v>17832</v>
      </c>
      <c r="AK970" s="6" t="s">
        <v>18379</v>
      </c>
      <c r="AL970" s="6" t="s">
        <v>18444</v>
      </c>
      <c r="AM970" s="6" t="s">
        <v>19013</v>
      </c>
      <c r="AN970" s="6" t="s">
        <v>19686</v>
      </c>
      <c r="AO970" s="6" t="s">
        <v>19870</v>
      </c>
      <c r="AP970" s="6" t="s">
        <v>15543</v>
      </c>
      <c r="AQ970" s="6" t="s">
        <v>81</v>
      </c>
      <c r="AR970" s="6" t="s">
        <v>17832</v>
      </c>
      <c r="AS970" s="6" t="s">
        <v>18379</v>
      </c>
      <c r="AT970" s="6" t="s">
        <v>18444</v>
      </c>
      <c r="AU970" s="6" t="s">
        <v>19013</v>
      </c>
      <c r="AV970" s="6" t="s">
        <v>81</v>
      </c>
      <c r="AW970" s="6" t="s">
        <v>81</v>
      </c>
      <c r="AX970" s="6" t="s">
        <v>21365</v>
      </c>
      <c r="AY970" s="6" t="s">
        <v>81</v>
      </c>
      <c r="AZ970" s="6" t="s">
        <v>81</v>
      </c>
      <c r="BA970" s="6" t="s">
        <v>81</v>
      </c>
      <c r="BB970" s="24" t="n">
        <v>260</v>
      </c>
      <c r="BC970" s="26"/>
      <c r="BD970" s="26"/>
      <c r="BE970" s="26"/>
      <c r="BF970" s="26"/>
      <c r="BG970" s="26"/>
      <c r="BH970" s="26"/>
      <c r="BI970" s="26"/>
      <c r="BJ970" s="26"/>
      <c r="BK970" s="26"/>
      <c r="BL970" s="26"/>
      <c r="BM970" s="26"/>
      <c r="BN970" s="26"/>
      <c r="BO970" s="26"/>
      <c r="BP970" s="16" t="n">
        <v>45730</v>
      </c>
      <c r="BQ970" s="28" t="str">
        <f>HYPERLINK("https://organic.ams.usda.gov/Integrity/Certificate.aspx?cid=90&amp;nopid=7170230637")</f>
        <v>https://organic.ams.usda.gov/Integrity/Certificate.aspx?cid=90&amp;nopid=7170230637</v>
      </c>
    </row>
    <row r="971">
      <c r="A971" t="s">
        <v>3</v>
      </c>
      <c r="B971" s="6" t="s">
        <v>24</v>
      </c>
      <c r="C971" s="6" t="s">
        <v>71</v>
      </c>
      <c r="D971" s="6" t="s">
        <v>117</v>
      </c>
      <c r="E971" s="10" t="s">
        <v>1112</v>
      </c>
      <c r="F971" s="6" t="s">
        <v>3840</v>
      </c>
      <c r="G971" s="6" t="s">
        <v>81</v>
      </c>
      <c r="H971" s="6" t="s">
        <v>81</v>
      </c>
      <c r="I971" s="6" t="s">
        <v>8960</v>
      </c>
      <c r="J971" s="6" t="s">
        <v>9663</v>
      </c>
      <c r="K971" s="6" t="s">
        <v>10886</v>
      </c>
      <c r="L971" s="16" t="n">
        <v>44519</v>
      </c>
      <c r="M971" s="16" t="n">
        <v>45962</v>
      </c>
      <c r="N971" s="6" t="s">
        <v>81</v>
      </c>
      <c r="O971" s="21" t="s">
        <v>81</v>
      </c>
      <c r="P971" s="6" t="s">
        <v>81</v>
      </c>
      <c r="Q971" s="6" t="s">
        <v>81</v>
      </c>
      <c r="R971" s="6" t="s">
        <v>81</v>
      </c>
      <c r="S971" s="6" t="s">
        <v>81</v>
      </c>
      <c r="T971" s="21" t="s">
        <v>81</v>
      </c>
      <c r="U971" s="6" t="s">
        <v>81</v>
      </c>
      <c r="V971" s="6" t="s">
        <v>81</v>
      </c>
      <c r="W971" s="6" t="s">
        <v>81</v>
      </c>
      <c r="X971" s="6" t="s">
        <v>81</v>
      </c>
      <c r="Y971" s="21" t="s">
        <v>81</v>
      </c>
      <c r="Z971" s="6" t="s">
        <v>81</v>
      </c>
      <c r="AA971" s="6" t="s">
        <v>81</v>
      </c>
      <c r="AB971" s="6" t="s">
        <v>81</v>
      </c>
      <c r="AC971" s="6" t="s">
        <v>10886</v>
      </c>
      <c r="AD971" s="16" t="n">
        <v>44519</v>
      </c>
      <c r="AE971" s="6" t="s">
        <v>14208</v>
      </c>
      <c r="AF971" s="6" t="s">
        <v>81</v>
      </c>
      <c r="AG971" s="6" t="s">
        <v>81</v>
      </c>
      <c r="AH971" s="6" t="s">
        <v>15544</v>
      </c>
      <c r="AI971" s="6" t="s">
        <v>81</v>
      </c>
      <c r="AJ971" s="6" t="s">
        <v>17833</v>
      </c>
      <c r="AK971" s="6" t="s">
        <v>18381</v>
      </c>
      <c r="AL971" s="6" t="s">
        <v>18444</v>
      </c>
      <c r="AM971" s="6" t="s">
        <v>19014</v>
      </c>
      <c r="AN971" s="6" t="s">
        <v>19636</v>
      </c>
      <c r="AO971" s="6" t="s">
        <v>19949</v>
      </c>
      <c r="AP971" s="6" t="s">
        <v>20238</v>
      </c>
      <c r="AQ971" s="6" t="s">
        <v>81</v>
      </c>
      <c r="AR971" s="6" t="s">
        <v>17548</v>
      </c>
      <c r="AS971" s="6" t="s">
        <v>18377</v>
      </c>
      <c r="AT971" s="6" t="s">
        <v>18444</v>
      </c>
      <c r="AU971" s="6" t="s">
        <v>18711</v>
      </c>
      <c r="AV971" s="6" t="s">
        <v>81</v>
      </c>
      <c r="AW971" s="6" t="s">
        <v>81</v>
      </c>
      <c r="AX971" s="6" t="s">
        <v>81</v>
      </c>
      <c r="AY971" s="6" t="s">
        <v>22921</v>
      </c>
      <c r="AZ971" s="6" t="s">
        <v>81</v>
      </c>
      <c r="BA971" s="6" t="s">
        <v>81</v>
      </c>
      <c r="BB971" s="6" t="s">
        <v>81</v>
      </c>
      <c r="BC971" s="26"/>
      <c r="BD971" s="26"/>
      <c r="BE971" s="26"/>
      <c r="BF971" s="26"/>
      <c r="BG971" s="26"/>
      <c r="BH971" s="26"/>
      <c r="BI971" s="26"/>
      <c r="BJ971" s="26"/>
      <c r="BK971" s="26"/>
      <c r="BL971" s="26"/>
      <c r="BM971" s="26"/>
      <c r="BN971" s="26"/>
      <c r="BO971" s="26"/>
      <c r="BP971" s="16" t="n">
        <v>45628</v>
      </c>
      <c r="BQ971" s="28" t="str">
        <f>HYPERLINK("https://organic.ams.usda.gov/Integrity/Certificate.aspx?cid=1&amp;nopid=9092132201")</f>
        <v>https://organic.ams.usda.gov/Integrity/Certificate.aspx?cid=1&amp;nopid=9092132201</v>
      </c>
    </row>
    <row r="972">
      <c r="A972" t="s">
        <v>3</v>
      </c>
      <c r="B972" s="6" t="s">
        <v>8</v>
      </c>
      <c r="C972" s="6" t="s">
        <v>55</v>
      </c>
      <c r="D972" s="6" t="s">
        <v>101</v>
      </c>
      <c r="E972" s="10" t="s">
        <v>1113</v>
      </c>
      <c r="F972" s="6" t="s">
        <v>3841</v>
      </c>
      <c r="G972" s="6" t="s">
        <v>81</v>
      </c>
      <c r="H972" s="6" t="s">
        <v>6784</v>
      </c>
      <c r="I972" s="6" t="s">
        <v>8489</v>
      </c>
      <c r="J972" s="6" t="s">
        <v>9233</v>
      </c>
      <c r="K972" s="6" t="s">
        <v>10886</v>
      </c>
      <c r="L972" s="16" t="n">
        <v>41526</v>
      </c>
      <c r="M972" s="16" t="n">
        <v>45689</v>
      </c>
      <c r="N972" s="6" t="s">
        <v>10886</v>
      </c>
      <c r="O972" s="16" t="n">
        <v>41526</v>
      </c>
      <c r="P972" s="6" t="s">
        <v>11468</v>
      </c>
      <c r="Q972" s="6" t="s">
        <v>81</v>
      </c>
      <c r="R972" s="6" t="s">
        <v>6784</v>
      </c>
      <c r="S972" s="6" t="s">
        <v>10886</v>
      </c>
      <c r="T972" s="16" t="n">
        <v>41526</v>
      </c>
      <c r="U972" s="6" t="s">
        <v>13173</v>
      </c>
      <c r="V972" s="6" t="s">
        <v>81</v>
      </c>
      <c r="W972" s="6" t="s">
        <v>6784</v>
      </c>
      <c r="X972" s="6" t="s">
        <v>81</v>
      </c>
      <c r="Y972" s="21" t="s">
        <v>81</v>
      </c>
      <c r="Z972" s="6" t="s">
        <v>81</v>
      </c>
      <c r="AA972" s="6" t="s">
        <v>81</v>
      </c>
      <c r="AB972" s="6" t="s">
        <v>81</v>
      </c>
      <c r="AC972" s="6" t="s">
        <v>81</v>
      </c>
      <c r="AD972" s="21" t="s">
        <v>81</v>
      </c>
      <c r="AE972" s="6" t="s">
        <v>81</v>
      </c>
      <c r="AF972" s="6" t="s">
        <v>81</v>
      </c>
      <c r="AG972" s="6" t="s">
        <v>81</v>
      </c>
      <c r="AH972" s="6" t="s">
        <v>15545</v>
      </c>
      <c r="AI972" s="6" t="s">
        <v>81</v>
      </c>
      <c r="AJ972" s="6" t="s">
        <v>17510</v>
      </c>
      <c r="AK972" s="6" t="s">
        <v>18403</v>
      </c>
      <c r="AL972" s="6" t="s">
        <v>18444</v>
      </c>
      <c r="AM972" s="6" t="s">
        <v>19015</v>
      </c>
      <c r="AN972" s="6" t="s">
        <v>19701</v>
      </c>
      <c r="AO972" s="6" t="s">
        <v>19918</v>
      </c>
      <c r="AP972" s="6" t="s">
        <v>81</v>
      </c>
      <c r="AQ972" s="6" t="s">
        <v>81</v>
      </c>
      <c r="AR972" s="6" t="s">
        <v>81</v>
      </c>
      <c r="AS972" s="6" t="s">
        <v>81</v>
      </c>
      <c r="AT972" s="6" t="s">
        <v>81</v>
      </c>
      <c r="AU972" s="6" t="s">
        <v>81</v>
      </c>
      <c r="AV972" s="6" t="s">
        <v>81</v>
      </c>
      <c r="AW972" s="6" t="s">
        <v>81</v>
      </c>
      <c r="AX972" s="6" t="s">
        <v>81</v>
      </c>
      <c r="AY972" s="6" t="s">
        <v>81</v>
      </c>
      <c r="AZ972" s="6" t="s">
        <v>81</v>
      </c>
      <c r="BA972" s="6" t="s">
        <v>23819</v>
      </c>
      <c r="BB972" s="24" t="n">
        <v>346</v>
      </c>
      <c r="BC972" s="26"/>
      <c r="BD972" s="26"/>
      <c r="BE972" s="26"/>
      <c r="BF972" s="26" t="s">
        <v>23900</v>
      </c>
      <c r="BG972" s="26"/>
      <c r="BH972" s="26"/>
      <c r="BI972" s="26"/>
      <c r="BJ972" s="26"/>
      <c r="BK972" s="26"/>
      <c r="BL972" s="26"/>
      <c r="BM972" s="26"/>
      <c r="BN972" s="26"/>
      <c r="BO972" s="26"/>
      <c r="BP972" s="16" t="n">
        <v>45681</v>
      </c>
      <c r="BQ972" s="28" t="str">
        <f>HYPERLINK("https://organic.ams.usda.gov/Integrity/Certificate.aspx?cid=45&amp;nopid=9950005089")</f>
        <v>https://organic.ams.usda.gov/Integrity/Certificate.aspx?cid=45&amp;nopid=9950005089</v>
      </c>
    </row>
    <row r="973">
      <c r="A973" t="s">
        <v>3</v>
      </c>
      <c r="B973" s="6" t="s">
        <v>8</v>
      </c>
      <c r="C973" s="6" t="s">
        <v>55</v>
      </c>
      <c r="D973" s="6" t="s">
        <v>101</v>
      </c>
      <c r="E973" s="10" t="s">
        <v>1114</v>
      </c>
      <c r="F973" s="6" t="s">
        <v>3842</v>
      </c>
      <c r="G973" s="6" t="s">
        <v>81</v>
      </c>
      <c r="H973" s="6" t="s">
        <v>6785</v>
      </c>
      <c r="I973" s="6" t="s">
        <v>8409</v>
      </c>
      <c r="J973" s="6" t="s">
        <v>10155</v>
      </c>
      <c r="K973" s="6" t="s">
        <v>10886</v>
      </c>
      <c r="L973" s="16" t="n">
        <v>39444</v>
      </c>
      <c r="M973" s="16" t="n">
        <v>45383</v>
      </c>
      <c r="N973" s="6" t="s">
        <v>10886</v>
      </c>
      <c r="O973" s="16" t="n">
        <v>39444</v>
      </c>
      <c r="P973" s="6" t="s">
        <v>11469</v>
      </c>
      <c r="Q973" s="6" t="s">
        <v>81</v>
      </c>
      <c r="R973" s="6" t="s">
        <v>6785</v>
      </c>
      <c r="S973" s="6" t="s">
        <v>10886</v>
      </c>
      <c r="T973" s="16" t="n">
        <v>39444</v>
      </c>
      <c r="U973" s="6" t="s">
        <v>13202</v>
      </c>
      <c r="V973" s="6" t="s">
        <v>81</v>
      </c>
      <c r="W973" s="6" t="s">
        <v>6785</v>
      </c>
      <c r="X973" s="6" t="s">
        <v>81</v>
      </c>
      <c r="Y973" s="21" t="s">
        <v>81</v>
      </c>
      <c r="Z973" s="6" t="s">
        <v>81</v>
      </c>
      <c r="AA973" s="6" t="s">
        <v>81</v>
      </c>
      <c r="AB973" s="6" t="s">
        <v>81</v>
      </c>
      <c r="AC973" s="6" t="s">
        <v>81</v>
      </c>
      <c r="AD973" s="21" t="s">
        <v>81</v>
      </c>
      <c r="AE973" s="6" t="s">
        <v>81</v>
      </c>
      <c r="AF973" s="6" t="s">
        <v>81</v>
      </c>
      <c r="AG973" s="6" t="s">
        <v>81</v>
      </c>
      <c r="AH973" s="6" t="s">
        <v>15546</v>
      </c>
      <c r="AI973" s="6" t="s">
        <v>81</v>
      </c>
      <c r="AJ973" s="6" t="s">
        <v>17834</v>
      </c>
      <c r="AK973" s="6" t="s">
        <v>18377</v>
      </c>
      <c r="AL973" s="6" t="s">
        <v>18444</v>
      </c>
      <c r="AM973" s="6" t="s">
        <v>19016</v>
      </c>
      <c r="AN973" s="6" t="s">
        <v>19669</v>
      </c>
      <c r="AO973" s="6" t="s">
        <v>19913</v>
      </c>
      <c r="AP973" s="6" t="s">
        <v>81</v>
      </c>
      <c r="AQ973" s="6" t="s">
        <v>81</v>
      </c>
      <c r="AR973" s="6" t="s">
        <v>81</v>
      </c>
      <c r="AS973" s="6" t="s">
        <v>81</v>
      </c>
      <c r="AT973" s="6" t="s">
        <v>81</v>
      </c>
      <c r="AU973" s="6" t="s">
        <v>81</v>
      </c>
      <c r="AV973" s="6" t="s">
        <v>81</v>
      </c>
      <c r="AW973" s="6" t="s">
        <v>81</v>
      </c>
      <c r="AX973" s="6" t="s">
        <v>81</v>
      </c>
      <c r="AY973" s="6" t="s">
        <v>22922</v>
      </c>
      <c r="AZ973" s="6" t="s">
        <v>81</v>
      </c>
      <c r="BA973" s="6" t="s">
        <v>23819</v>
      </c>
      <c r="BB973" s="24" t="n">
        <v>564</v>
      </c>
      <c r="BC973" s="26"/>
      <c r="BD973" s="26"/>
      <c r="BE973" s="26"/>
      <c r="BF973" s="26" t="s">
        <v>23900</v>
      </c>
      <c r="BG973" s="26"/>
      <c r="BH973" s="26"/>
      <c r="BI973" s="26"/>
      <c r="BJ973" s="26"/>
      <c r="BK973" s="26"/>
      <c r="BL973" s="26"/>
      <c r="BM973" s="26"/>
      <c r="BN973" s="26"/>
      <c r="BO973" s="26"/>
      <c r="BP973" s="16" t="n">
        <v>45397</v>
      </c>
      <c r="BQ973" s="28" t="str">
        <f>HYPERLINK("https://organic.ams.usda.gov/Integrity/Certificate.aspx?cid=45&amp;nopid=9950002891")</f>
        <v>https://organic.ams.usda.gov/Integrity/Certificate.aspx?cid=45&amp;nopid=9950002891</v>
      </c>
    </row>
    <row r="974">
      <c r="A974" t="s">
        <v>3</v>
      </c>
      <c r="B974" s="6" t="s">
        <v>25</v>
      </c>
      <c r="C974" s="6" t="s">
        <v>72</v>
      </c>
      <c r="D974" s="6" t="s">
        <v>118</v>
      </c>
      <c r="E974" s="10" t="s">
        <v>1115</v>
      </c>
      <c r="F974" s="6" t="s">
        <v>3843</v>
      </c>
      <c r="G974" s="6" t="s">
        <v>81</v>
      </c>
      <c r="H974" s="6" t="s">
        <v>6786</v>
      </c>
      <c r="I974" s="6" t="s">
        <v>8961</v>
      </c>
      <c r="J974" s="6" t="s">
        <v>10156</v>
      </c>
      <c r="K974" s="6" t="s">
        <v>10886</v>
      </c>
      <c r="L974" s="16" t="n">
        <v>43307</v>
      </c>
      <c r="M974" s="16" t="n">
        <v>46023</v>
      </c>
      <c r="N974" s="6" t="s">
        <v>81</v>
      </c>
      <c r="O974" s="21" t="s">
        <v>81</v>
      </c>
      <c r="P974" s="6" t="s">
        <v>81</v>
      </c>
      <c r="Q974" s="6" t="s">
        <v>81</v>
      </c>
      <c r="R974" s="6" t="s">
        <v>81</v>
      </c>
      <c r="S974" s="6" t="s">
        <v>81</v>
      </c>
      <c r="T974" s="21" t="s">
        <v>81</v>
      </c>
      <c r="U974" s="6" t="s">
        <v>81</v>
      </c>
      <c r="V974" s="6" t="s">
        <v>81</v>
      </c>
      <c r="W974" s="6" t="s">
        <v>81</v>
      </c>
      <c r="X974" s="6" t="s">
        <v>81</v>
      </c>
      <c r="Y974" s="21" t="s">
        <v>81</v>
      </c>
      <c r="Z974" s="6" t="s">
        <v>81</v>
      </c>
      <c r="AA974" s="6" t="s">
        <v>81</v>
      </c>
      <c r="AB974" s="6" t="s">
        <v>81</v>
      </c>
      <c r="AC974" s="6" t="s">
        <v>10886</v>
      </c>
      <c r="AD974" s="16" t="n">
        <v>43307</v>
      </c>
      <c r="AE974" s="6" t="s">
        <v>14209</v>
      </c>
      <c r="AF974" s="6" t="s">
        <v>81</v>
      </c>
      <c r="AG974" s="6" t="s">
        <v>81</v>
      </c>
      <c r="AH974" s="6" t="s">
        <v>15547</v>
      </c>
      <c r="AI974" s="6" t="s">
        <v>81</v>
      </c>
      <c r="AJ974" s="6" t="s">
        <v>17835</v>
      </c>
      <c r="AK974" s="6" t="s">
        <v>18386</v>
      </c>
      <c r="AL974" s="6" t="s">
        <v>18444</v>
      </c>
      <c r="AM974" s="6" t="s">
        <v>19017</v>
      </c>
      <c r="AN974" s="6" t="s">
        <v>19697</v>
      </c>
      <c r="AO974" s="6" t="s">
        <v>19950</v>
      </c>
      <c r="AP974" s="6" t="s">
        <v>20239</v>
      </c>
      <c r="AQ974" s="6" t="s">
        <v>20479</v>
      </c>
      <c r="AR974" s="6" t="s">
        <v>20529</v>
      </c>
      <c r="AS974" s="6" t="s">
        <v>18386</v>
      </c>
      <c r="AT974" s="6" t="s">
        <v>18444</v>
      </c>
      <c r="AU974" s="6" t="s">
        <v>20651</v>
      </c>
      <c r="AV974" s="6" t="s">
        <v>81</v>
      </c>
      <c r="AW974" s="6" t="s">
        <v>81</v>
      </c>
      <c r="AX974" s="6" t="s">
        <v>21366</v>
      </c>
      <c r="AY974" s="6" t="s">
        <v>22923</v>
      </c>
      <c r="AZ974" s="6" t="s">
        <v>23671</v>
      </c>
      <c r="BA974" s="6" t="s">
        <v>23860</v>
      </c>
      <c r="BB974" s="6" t="s">
        <v>81</v>
      </c>
      <c r="BC974" s="26"/>
      <c r="BD974" s="26"/>
      <c r="BE974" s="26"/>
      <c r="BF974" s="26"/>
      <c r="BG974" s="26"/>
      <c r="BH974" s="26"/>
      <c r="BI974" s="26"/>
      <c r="BJ974" s="26"/>
      <c r="BK974" s="26"/>
      <c r="BL974" s="26"/>
      <c r="BM974" s="26"/>
      <c r="BN974" s="26"/>
      <c r="BO974" s="26"/>
      <c r="BP974" s="16" t="n">
        <v>45667</v>
      </c>
      <c r="BQ974" s="28" t="str">
        <f>HYPERLINK("https://organic.ams.usda.gov/Integrity/Certificate.aspx?cid=15&amp;nopid=5561005176")</f>
        <v>https://organic.ams.usda.gov/Integrity/Certificate.aspx?cid=15&amp;nopid=5561005176</v>
      </c>
    </row>
    <row r="975">
      <c r="A975" t="s">
        <v>3</v>
      </c>
      <c r="B975" s="6" t="s">
        <v>7</v>
      </c>
      <c r="C975" s="6" t="s">
        <v>54</v>
      </c>
      <c r="D975" s="6" t="s">
        <v>100</v>
      </c>
      <c r="E975" s="10" t="s">
        <v>1116</v>
      </c>
      <c r="F975" s="6" t="s">
        <v>3844</v>
      </c>
      <c r="G975" s="6" t="s">
        <v>81</v>
      </c>
      <c r="H975" s="6" t="s">
        <v>6787</v>
      </c>
      <c r="I975" s="6" t="s">
        <v>8794</v>
      </c>
      <c r="J975" s="6" t="s">
        <v>10157</v>
      </c>
      <c r="K975" s="6" t="s">
        <v>10886</v>
      </c>
      <c r="L975" s="16" t="n">
        <v>42033</v>
      </c>
      <c r="M975" s="16" t="n">
        <v>45350</v>
      </c>
      <c r="N975" s="6" t="s">
        <v>10886</v>
      </c>
      <c r="O975" s="16" t="n">
        <v>42033</v>
      </c>
      <c r="P975" s="6" t="s">
        <v>10910</v>
      </c>
      <c r="Q975" s="6" t="s">
        <v>81</v>
      </c>
      <c r="R975" s="6" t="s">
        <v>81</v>
      </c>
      <c r="S975" s="6" t="s">
        <v>10886</v>
      </c>
      <c r="T975" s="16" t="n">
        <v>42292</v>
      </c>
      <c r="U975" s="6" t="s">
        <v>13169</v>
      </c>
      <c r="V975" s="6" t="s">
        <v>81</v>
      </c>
      <c r="W975" s="6" t="s">
        <v>81</v>
      </c>
      <c r="X975" s="6" t="s">
        <v>81</v>
      </c>
      <c r="Y975" s="21" t="s">
        <v>81</v>
      </c>
      <c r="Z975" s="6" t="s">
        <v>81</v>
      </c>
      <c r="AA975" s="6" t="s">
        <v>81</v>
      </c>
      <c r="AB975" s="6" t="s">
        <v>81</v>
      </c>
      <c r="AC975" s="6" t="s">
        <v>81</v>
      </c>
      <c r="AD975" s="21" t="s">
        <v>81</v>
      </c>
      <c r="AE975" s="6" t="s">
        <v>81</v>
      </c>
      <c r="AF975" s="6" t="s">
        <v>81</v>
      </c>
      <c r="AG975" s="6" t="s">
        <v>81</v>
      </c>
      <c r="AH975" s="6" t="s">
        <v>15548</v>
      </c>
      <c r="AI975" s="6" t="s">
        <v>81</v>
      </c>
      <c r="AJ975" s="6" t="s">
        <v>17836</v>
      </c>
      <c r="AK975" s="6" t="s">
        <v>17712</v>
      </c>
      <c r="AL975" s="6" t="s">
        <v>18444</v>
      </c>
      <c r="AM975" s="6" t="s">
        <v>19018</v>
      </c>
      <c r="AN975" s="6" t="s">
        <v>19681</v>
      </c>
      <c r="AO975" s="6" t="s">
        <v>19951</v>
      </c>
      <c r="AP975" s="6" t="s">
        <v>20240</v>
      </c>
      <c r="AQ975" s="6" t="s">
        <v>81</v>
      </c>
      <c r="AR975" s="6" t="s">
        <v>17836</v>
      </c>
      <c r="AS975" s="6" t="s">
        <v>17712</v>
      </c>
      <c r="AT975" s="6" t="s">
        <v>18444</v>
      </c>
      <c r="AU975" s="6" t="s">
        <v>19018</v>
      </c>
      <c r="AV975" s="6" t="s">
        <v>81</v>
      </c>
      <c r="AW975" s="6" t="s">
        <v>81</v>
      </c>
      <c r="AX975" s="6" t="s">
        <v>21367</v>
      </c>
      <c r="AY975" s="6" t="s">
        <v>22924</v>
      </c>
      <c r="AZ975" s="6" t="s">
        <v>81</v>
      </c>
      <c r="BA975" s="6" t="s">
        <v>81</v>
      </c>
      <c r="BB975" s="24" t="n">
        <v>156</v>
      </c>
      <c r="BC975" s="26"/>
      <c r="BD975" s="26"/>
      <c r="BE975" s="26"/>
      <c r="BF975" s="26" t="s">
        <v>23900</v>
      </c>
      <c r="BG975" s="26"/>
      <c r="BH975" s="26"/>
      <c r="BI975" s="26"/>
      <c r="BJ975" s="26"/>
      <c r="BK975" s="26"/>
      <c r="BL975" s="26"/>
      <c r="BM975" s="26"/>
      <c r="BN975" s="26"/>
      <c r="BO975" s="26"/>
      <c r="BP975" s="16" t="n">
        <v>45713</v>
      </c>
      <c r="BQ975" s="28" t="str">
        <f>HYPERLINK("https://organic.ams.usda.gov/Integrity/Certificate.aspx?cid=57&amp;nopid=3252014077")</f>
        <v>https://organic.ams.usda.gov/Integrity/Certificate.aspx?cid=57&amp;nopid=3252014077</v>
      </c>
    </row>
    <row r="976">
      <c r="A976" t="s">
        <v>3</v>
      </c>
      <c r="B976" s="6" t="s">
        <v>7</v>
      </c>
      <c r="C976" s="6" t="s">
        <v>54</v>
      </c>
      <c r="D976" s="6" t="s">
        <v>100</v>
      </c>
      <c r="E976" s="10" t="s">
        <v>1117</v>
      </c>
      <c r="F976" s="6" t="s">
        <v>3845</v>
      </c>
      <c r="G976" s="6" t="s">
        <v>81</v>
      </c>
      <c r="H976" s="6" t="s">
        <v>6788</v>
      </c>
      <c r="I976" s="6" t="s">
        <v>8962</v>
      </c>
      <c r="J976" s="6" t="s">
        <v>9666</v>
      </c>
      <c r="K976" s="6" t="s">
        <v>10886</v>
      </c>
      <c r="L976" s="16" t="n">
        <v>40347</v>
      </c>
      <c r="M976" s="16" t="n">
        <v>45716</v>
      </c>
      <c r="N976" s="6" t="s">
        <v>10886</v>
      </c>
      <c r="O976" s="16" t="n">
        <v>40347</v>
      </c>
      <c r="P976" s="6" t="s">
        <v>11470</v>
      </c>
      <c r="Q976" s="6" t="s">
        <v>81</v>
      </c>
      <c r="R976" s="6" t="s">
        <v>81</v>
      </c>
      <c r="S976" s="6" t="s">
        <v>10886</v>
      </c>
      <c r="T976" s="16" t="n">
        <v>41941</v>
      </c>
      <c r="U976" s="6" t="s">
        <v>13309</v>
      </c>
      <c r="V976" s="6" t="s">
        <v>81</v>
      </c>
      <c r="W976" s="6" t="s">
        <v>81</v>
      </c>
      <c r="X976" s="6" t="s">
        <v>81</v>
      </c>
      <c r="Y976" s="21" t="s">
        <v>81</v>
      </c>
      <c r="Z976" s="6" t="s">
        <v>81</v>
      </c>
      <c r="AA976" s="6" t="s">
        <v>81</v>
      </c>
      <c r="AB976" s="6" t="s">
        <v>81</v>
      </c>
      <c r="AC976" s="6" t="s">
        <v>81</v>
      </c>
      <c r="AD976" s="21" t="s">
        <v>81</v>
      </c>
      <c r="AE976" s="6" t="s">
        <v>81</v>
      </c>
      <c r="AF976" s="6" t="s">
        <v>81</v>
      </c>
      <c r="AG976" s="6" t="s">
        <v>81</v>
      </c>
      <c r="AH976" s="6" t="s">
        <v>15549</v>
      </c>
      <c r="AI976" s="6" t="s">
        <v>81</v>
      </c>
      <c r="AJ976" s="6" t="s">
        <v>17837</v>
      </c>
      <c r="AK976" s="6" t="s">
        <v>17712</v>
      </c>
      <c r="AL976" s="6" t="s">
        <v>18444</v>
      </c>
      <c r="AM976" s="6" t="s">
        <v>19019</v>
      </c>
      <c r="AN976" s="6" t="s">
        <v>19661</v>
      </c>
      <c r="AO976" s="6" t="s">
        <v>19841</v>
      </c>
      <c r="AP976" s="6" t="s">
        <v>15549</v>
      </c>
      <c r="AQ976" s="6" t="s">
        <v>81</v>
      </c>
      <c r="AR976" s="6" t="s">
        <v>17837</v>
      </c>
      <c r="AS976" s="6" t="s">
        <v>17712</v>
      </c>
      <c r="AT976" s="6" t="s">
        <v>18444</v>
      </c>
      <c r="AU976" s="6" t="s">
        <v>19019</v>
      </c>
      <c r="AV976" s="6" t="s">
        <v>81</v>
      </c>
      <c r="AW976" s="6" t="s">
        <v>81</v>
      </c>
      <c r="AX976" s="6" t="s">
        <v>21368</v>
      </c>
      <c r="AY976" s="6" t="s">
        <v>81</v>
      </c>
      <c r="AZ976" s="6" t="s">
        <v>81</v>
      </c>
      <c r="BA976" s="6" t="s">
        <v>81</v>
      </c>
      <c r="BB976" s="24" t="n">
        <v>120</v>
      </c>
      <c r="BC976" s="26"/>
      <c r="BD976" s="26"/>
      <c r="BE976" s="26"/>
      <c r="BF976" s="26" t="s">
        <v>23900</v>
      </c>
      <c r="BG976" s="26"/>
      <c r="BH976" s="26"/>
      <c r="BI976" s="26"/>
      <c r="BJ976" s="26"/>
      <c r="BK976" s="26"/>
      <c r="BL976" s="26"/>
      <c r="BM976" s="26"/>
      <c r="BN976" s="26"/>
      <c r="BO976" s="26"/>
      <c r="BP976" s="16" t="n">
        <v>45709</v>
      </c>
      <c r="BQ976" s="28" t="str">
        <f>HYPERLINK("https://organic.ams.usda.gov/Integrity/Certificate.aspx?cid=57&amp;nopid=3252010042")</f>
        <v>https://organic.ams.usda.gov/Integrity/Certificate.aspx?cid=57&amp;nopid=3252010042</v>
      </c>
    </row>
    <row r="977">
      <c r="A977" t="s">
        <v>3</v>
      </c>
      <c r="B977" s="6" t="s">
        <v>10</v>
      </c>
      <c r="C977" s="6" t="s">
        <v>57</v>
      </c>
      <c r="D977" s="6" t="s">
        <v>103</v>
      </c>
      <c r="E977" s="10" t="s">
        <v>1118</v>
      </c>
      <c r="F977" s="6" t="s">
        <v>3846</v>
      </c>
      <c r="G977" s="6" t="s">
        <v>81</v>
      </c>
      <c r="H977" s="6" t="s">
        <v>6789</v>
      </c>
      <c r="I977" s="6" t="s">
        <v>8963</v>
      </c>
      <c r="J977" s="6" t="s">
        <v>10158</v>
      </c>
      <c r="K977" s="6" t="s">
        <v>10886</v>
      </c>
      <c r="L977" s="16" t="n">
        <v>41842</v>
      </c>
      <c r="M977" s="16" t="n">
        <v>45748</v>
      </c>
      <c r="N977" s="6" t="s">
        <v>10886</v>
      </c>
      <c r="O977" s="16" t="n">
        <v>41842</v>
      </c>
      <c r="P977" s="6" t="s">
        <v>11471</v>
      </c>
      <c r="Q977" s="6" t="s">
        <v>81</v>
      </c>
      <c r="R977" s="6" t="s">
        <v>12702</v>
      </c>
      <c r="S977" s="6" t="s">
        <v>10886</v>
      </c>
      <c r="T977" s="16" t="n">
        <v>41842</v>
      </c>
      <c r="U977" s="6" t="s">
        <v>13163</v>
      </c>
      <c r="V977" s="6" t="s">
        <v>81</v>
      </c>
      <c r="W977" s="6" t="s">
        <v>81</v>
      </c>
      <c r="X977" s="6" t="s">
        <v>81</v>
      </c>
      <c r="Y977" s="21" t="s">
        <v>81</v>
      </c>
      <c r="Z977" s="6" t="s">
        <v>81</v>
      </c>
      <c r="AA977" s="6" t="s">
        <v>81</v>
      </c>
      <c r="AB977" s="6" t="s">
        <v>81</v>
      </c>
      <c r="AC977" s="6" t="s">
        <v>81</v>
      </c>
      <c r="AD977" s="21" t="s">
        <v>81</v>
      </c>
      <c r="AE977" s="6" t="s">
        <v>81</v>
      </c>
      <c r="AF977" s="6" t="s">
        <v>81</v>
      </c>
      <c r="AG977" s="6" t="s">
        <v>81</v>
      </c>
      <c r="AH977" s="6" t="s">
        <v>15550</v>
      </c>
      <c r="AI977" s="6" t="s">
        <v>81</v>
      </c>
      <c r="AJ977" s="6" t="s">
        <v>17315</v>
      </c>
      <c r="AK977" s="6" t="s">
        <v>18379</v>
      </c>
      <c r="AL977" s="6" t="s">
        <v>18444</v>
      </c>
      <c r="AM977" s="6" t="s">
        <v>18467</v>
      </c>
      <c r="AN977" s="6" t="s">
        <v>19637</v>
      </c>
      <c r="AO977" s="6" t="s">
        <v>19723</v>
      </c>
      <c r="AP977" s="6" t="s">
        <v>15550</v>
      </c>
      <c r="AQ977" s="6" t="s">
        <v>81</v>
      </c>
      <c r="AR977" s="6" t="s">
        <v>17315</v>
      </c>
      <c r="AS977" s="6" t="s">
        <v>18379</v>
      </c>
      <c r="AT977" s="6" t="s">
        <v>18444</v>
      </c>
      <c r="AU977" s="6" t="s">
        <v>18467</v>
      </c>
      <c r="AV977" s="6" t="s">
        <v>81</v>
      </c>
      <c r="AW977" s="6" t="s">
        <v>81</v>
      </c>
      <c r="AX977" s="6" t="s">
        <v>21369</v>
      </c>
      <c r="AY977" s="6" t="s">
        <v>81</v>
      </c>
      <c r="AZ977" s="6" t="s">
        <v>81</v>
      </c>
      <c r="BA977" s="6" t="s">
        <v>81</v>
      </c>
      <c r="BB977" s="24" t="n">
        <v>238</v>
      </c>
      <c r="BC977" s="26"/>
      <c r="BD977" s="26"/>
      <c r="BE977" s="26"/>
      <c r="BF977" s="26"/>
      <c r="BG977" s="26"/>
      <c r="BH977" s="26"/>
      <c r="BI977" s="26"/>
      <c r="BJ977" s="26"/>
      <c r="BK977" s="26"/>
      <c r="BL977" s="26"/>
      <c r="BM977" s="26"/>
      <c r="BN977" s="26"/>
      <c r="BO977" s="26"/>
      <c r="BP977" s="16" t="n">
        <v>45730</v>
      </c>
      <c r="BQ977" s="28" t="str">
        <f>HYPERLINK("https://organic.ams.usda.gov/Integrity/Certificate.aspx?cid=90&amp;nopid=7170020083")</f>
        <v>https://organic.ams.usda.gov/Integrity/Certificate.aspx?cid=90&amp;nopid=7170020083</v>
      </c>
    </row>
    <row r="978">
      <c r="A978" t="s">
        <v>3</v>
      </c>
      <c r="B978" s="6" t="s">
        <v>16</v>
      </c>
      <c r="C978" s="6" t="s">
        <v>63</v>
      </c>
      <c r="D978" s="6" t="s">
        <v>109</v>
      </c>
      <c r="E978" s="10" t="s">
        <v>1119</v>
      </c>
      <c r="F978" s="6" t="s">
        <v>3847</v>
      </c>
      <c r="G978" s="6" t="s">
        <v>81</v>
      </c>
      <c r="H978" s="6" t="s">
        <v>6790</v>
      </c>
      <c r="I978" s="6" t="s">
        <v>8452</v>
      </c>
      <c r="J978" s="6" t="s">
        <v>10159</v>
      </c>
      <c r="K978" s="6" t="s">
        <v>10886</v>
      </c>
      <c r="L978" s="16" t="n">
        <v>37575</v>
      </c>
      <c r="M978" s="16" t="n">
        <v>45823</v>
      </c>
      <c r="N978" s="6" t="s">
        <v>81</v>
      </c>
      <c r="O978" s="21" t="s">
        <v>81</v>
      </c>
      <c r="P978" s="6" t="s">
        <v>81</v>
      </c>
      <c r="Q978" s="6" t="s">
        <v>81</v>
      </c>
      <c r="R978" s="6" t="s">
        <v>81</v>
      </c>
      <c r="S978" s="6" t="s">
        <v>81</v>
      </c>
      <c r="T978" s="21" t="s">
        <v>81</v>
      </c>
      <c r="U978" s="6" t="s">
        <v>81</v>
      </c>
      <c r="V978" s="6" t="s">
        <v>81</v>
      </c>
      <c r="W978" s="6" t="s">
        <v>81</v>
      </c>
      <c r="X978" s="6" t="s">
        <v>81</v>
      </c>
      <c r="Y978" s="21" t="s">
        <v>81</v>
      </c>
      <c r="Z978" s="6" t="s">
        <v>81</v>
      </c>
      <c r="AA978" s="6" t="s">
        <v>81</v>
      </c>
      <c r="AB978" s="6" t="s">
        <v>81</v>
      </c>
      <c r="AC978" s="6" t="s">
        <v>10886</v>
      </c>
      <c r="AD978" s="16" t="n">
        <v>37575</v>
      </c>
      <c r="AE978" s="6" t="s">
        <v>14210</v>
      </c>
      <c r="AF978" s="6" t="s">
        <v>81</v>
      </c>
      <c r="AG978" s="6" t="s">
        <v>81</v>
      </c>
      <c r="AH978" s="6" t="s">
        <v>15551</v>
      </c>
      <c r="AI978" s="6" t="s">
        <v>81</v>
      </c>
      <c r="AJ978" s="6" t="s">
        <v>17838</v>
      </c>
      <c r="AK978" s="6" t="s">
        <v>18383</v>
      </c>
      <c r="AL978" s="6" t="s">
        <v>18444</v>
      </c>
      <c r="AM978" s="6" t="s">
        <v>19020</v>
      </c>
      <c r="AN978" s="6" t="s">
        <v>19648</v>
      </c>
      <c r="AO978" s="6" t="s">
        <v>19952</v>
      </c>
      <c r="AP978" s="6" t="s">
        <v>20241</v>
      </c>
      <c r="AQ978" s="6" t="s">
        <v>81</v>
      </c>
      <c r="AR978" s="6" t="s">
        <v>17838</v>
      </c>
      <c r="AS978" s="6" t="s">
        <v>18383</v>
      </c>
      <c r="AT978" s="6" t="s">
        <v>18444</v>
      </c>
      <c r="AU978" s="6" t="s">
        <v>19020</v>
      </c>
      <c r="AV978" s="6" t="s">
        <v>81</v>
      </c>
      <c r="AW978" s="6" t="s">
        <v>81</v>
      </c>
      <c r="AX978" s="6" t="s">
        <v>21370</v>
      </c>
      <c r="AY978" s="6" t="s">
        <v>81</v>
      </c>
      <c r="AZ978" s="6" t="s">
        <v>23672</v>
      </c>
      <c r="BA978" s="6" t="s">
        <v>81</v>
      </c>
      <c r="BB978" s="24" t="n">
        <v>0</v>
      </c>
      <c r="BC978" s="26"/>
      <c r="BD978" s="26"/>
      <c r="BE978" s="26"/>
      <c r="BF978" s="26"/>
      <c r="BG978" s="26"/>
      <c r="BH978" s="26"/>
      <c r="BI978" s="26"/>
      <c r="BJ978" s="26"/>
      <c r="BK978" s="26"/>
      <c r="BL978" s="26"/>
      <c r="BM978" s="26"/>
      <c r="BN978" s="26"/>
      <c r="BO978" s="26"/>
      <c r="BP978" s="16" t="n">
        <v>45701</v>
      </c>
      <c r="BQ978" s="28" t="str">
        <f>HYPERLINK("https://organic.ams.usda.gov/Integrity/Certificate.aspx?cid=81&amp;nopid=4210099051")</f>
        <v>https://organic.ams.usda.gov/Integrity/Certificate.aspx?cid=81&amp;nopid=4210099051</v>
      </c>
    </row>
    <row r="979">
      <c r="A979" t="s">
        <v>3</v>
      </c>
      <c r="B979" s="6" t="s">
        <v>8</v>
      </c>
      <c r="C979" s="6" t="s">
        <v>55</v>
      </c>
      <c r="D979" s="6" t="s">
        <v>101</v>
      </c>
      <c r="E979" s="10" t="s">
        <v>1120</v>
      </c>
      <c r="F979" s="6" t="s">
        <v>3848</v>
      </c>
      <c r="G979" s="6" t="s">
        <v>81</v>
      </c>
      <c r="H979" s="6" t="s">
        <v>6791</v>
      </c>
      <c r="I979" s="6" t="s">
        <v>8637</v>
      </c>
      <c r="J979" s="6" t="s">
        <v>10160</v>
      </c>
      <c r="K979" s="6" t="s">
        <v>10886</v>
      </c>
      <c r="L979" s="16" t="n">
        <v>39405</v>
      </c>
      <c r="M979" s="16" t="n">
        <v>45689</v>
      </c>
      <c r="N979" s="6" t="s">
        <v>10886</v>
      </c>
      <c r="O979" s="16" t="n">
        <v>39405</v>
      </c>
      <c r="P979" s="6" t="s">
        <v>11472</v>
      </c>
      <c r="Q979" s="6" t="s">
        <v>81</v>
      </c>
      <c r="R979" s="6" t="s">
        <v>6791</v>
      </c>
      <c r="S979" s="6" t="s">
        <v>10886</v>
      </c>
      <c r="T979" s="16" t="n">
        <v>39405</v>
      </c>
      <c r="U979" s="6" t="s">
        <v>13507</v>
      </c>
      <c r="V979" s="6" t="s">
        <v>81</v>
      </c>
      <c r="W979" s="6" t="s">
        <v>6791</v>
      </c>
      <c r="X979" s="6" t="s">
        <v>81</v>
      </c>
      <c r="Y979" s="21" t="s">
        <v>81</v>
      </c>
      <c r="Z979" s="6" t="s">
        <v>81</v>
      </c>
      <c r="AA979" s="6" t="s">
        <v>81</v>
      </c>
      <c r="AB979" s="6" t="s">
        <v>81</v>
      </c>
      <c r="AC979" s="6" t="s">
        <v>81</v>
      </c>
      <c r="AD979" s="21" t="s">
        <v>81</v>
      </c>
      <c r="AE979" s="6" t="s">
        <v>81</v>
      </c>
      <c r="AF979" s="6" t="s">
        <v>81</v>
      </c>
      <c r="AG979" s="6" t="s">
        <v>81</v>
      </c>
      <c r="AH979" s="6" t="s">
        <v>15552</v>
      </c>
      <c r="AI979" s="6" t="s">
        <v>81</v>
      </c>
      <c r="AJ979" s="6" t="s">
        <v>17530</v>
      </c>
      <c r="AK979" s="6" t="s">
        <v>18377</v>
      </c>
      <c r="AL979" s="6" t="s">
        <v>18444</v>
      </c>
      <c r="AM979" s="6" t="s">
        <v>6414</v>
      </c>
      <c r="AN979" s="6" t="s">
        <v>19646</v>
      </c>
      <c r="AO979" s="6" t="s">
        <v>19733</v>
      </c>
      <c r="AP979" s="6" t="s">
        <v>81</v>
      </c>
      <c r="AQ979" s="6" t="s">
        <v>81</v>
      </c>
      <c r="AR979" s="6" t="s">
        <v>81</v>
      </c>
      <c r="AS979" s="6" t="s">
        <v>81</v>
      </c>
      <c r="AT979" s="6" t="s">
        <v>81</v>
      </c>
      <c r="AU979" s="6" t="s">
        <v>81</v>
      </c>
      <c r="AV979" s="6" t="s">
        <v>81</v>
      </c>
      <c r="AW979" s="6" t="s">
        <v>81</v>
      </c>
      <c r="AX979" s="6" t="s">
        <v>81</v>
      </c>
      <c r="AY979" s="6" t="s">
        <v>22925</v>
      </c>
      <c r="AZ979" s="6" t="s">
        <v>81</v>
      </c>
      <c r="BA979" s="6" t="s">
        <v>23819</v>
      </c>
      <c r="BB979" s="24" t="n">
        <v>220</v>
      </c>
      <c r="BC979" s="26"/>
      <c r="BD979" s="26"/>
      <c r="BE979" s="26"/>
      <c r="BF979" s="26" t="s">
        <v>23900</v>
      </c>
      <c r="BG979" s="26"/>
      <c r="BH979" s="26"/>
      <c r="BI979" s="26"/>
      <c r="BJ979" s="26"/>
      <c r="BK979" s="26"/>
      <c r="BL979" s="26"/>
      <c r="BM979" s="26"/>
      <c r="BN979" s="26"/>
      <c r="BO979" s="26"/>
      <c r="BP979" s="16" t="n">
        <v>45735</v>
      </c>
      <c r="BQ979" s="28" t="str">
        <f>HYPERLINK("https://organic.ams.usda.gov/Integrity/Certificate.aspx?cid=45&amp;nopid=9950002823")</f>
        <v>https://organic.ams.usda.gov/Integrity/Certificate.aspx?cid=45&amp;nopid=9950002823</v>
      </c>
    </row>
    <row r="980">
      <c r="A980" t="s">
        <v>3</v>
      </c>
      <c r="B980" s="6" t="s">
        <v>10</v>
      </c>
      <c r="C980" s="6" t="s">
        <v>57</v>
      </c>
      <c r="D980" s="6" t="s">
        <v>103</v>
      </c>
      <c r="E980" s="10" t="s">
        <v>1121</v>
      </c>
      <c r="F980" s="6" t="s">
        <v>3849</v>
      </c>
      <c r="G980" s="6" t="s">
        <v>81</v>
      </c>
      <c r="H980" s="6" t="s">
        <v>6792</v>
      </c>
      <c r="I980" s="6" t="s">
        <v>8964</v>
      </c>
      <c r="J980" s="6" t="s">
        <v>10161</v>
      </c>
      <c r="K980" s="6" t="s">
        <v>10886</v>
      </c>
      <c r="L980" s="16" t="n">
        <v>41071</v>
      </c>
      <c r="M980" s="16" t="n">
        <v>45748</v>
      </c>
      <c r="N980" s="6" t="s">
        <v>10886</v>
      </c>
      <c r="O980" s="16" t="n">
        <v>41071</v>
      </c>
      <c r="P980" s="6" t="s">
        <v>11031</v>
      </c>
      <c r="Q980" s="6" t="s">
        <v>81</v>
      </c>
      <c r="R980" s="6" t="s">
        <v>12703</v>
      </c>
      <c r="S980" s="6" t="s">
        <v>10886</v>
      </c>
      <c r="T980" s="16" t="n">
        <v>41071</v>
      </c>
      <c r="U980" s="6" t="s">
        <v>13163</v>
      </c>
      <c r="V980" s="6" t="s">
        <v>81</v>
      </c>
      <c r="W980" s="6" t="s">
        <v>81</v>
      </c>
      <c r="X980" s="6" t="s">
        <v>81</v>
      </c>
      <c r="Y980" s="21" t="s">
        <v>81</v>
      </c>
      <c r="Z980" s="6" t="s">
        <v>81</v>
      </c>
      <c r="AA980" s="6" t="s">
        <v>81</v>
      </c>
      <c r="AB980" s="6" t="s">
        <v>81</v>
      </c>
      <c r="AC980" s="6" t="s">
        <v>81</v>
      </c>
      <c r="AD980" s="21" t="s">
        <v>81</v>
      </c>
      <c r="AE980" s="6" t="s">
        <v>81</v>
      </c>
      <c r="AF980" s="6" t="s">
        <v>81</v>
      </c>
      <c r="AG980" s="6" t="s">
        <v>81</v>
      </c>
      <c r="AH980" s="6" t="s">
        <v>15553</v>
      </c>
      <c r="AI980" s="6" t="s">
        <v>81</v>
      </c>
      <c r="AJ980" s="6" t="s">
        <v>17839</v>
      </c>
      <c r="AK980" s="6" t="s">
        <v>18391</v>
      </c>
      <c r="AL980" s="6" t="s">
        <v>18444</v>
      </c>
      <c r="AM980" s="6" t="s">
        <v>19021</v>
      </c>
      <c r="AN980" s="6" t="s">
        <v>6817</v>
      </c>
      <c r="AO980" s="6" t="s">
        <v>19953</v>
      </c>
      <c r="AP980" s="6" t="s">
        <v>15553</v>
      </c>
      <c r="AQ980" s="6" t="s">
        <v>81</v>
      </c>
      <c r="AR980" s="6" t="s">
        <v>17839</v>
      </c>
      <c r="AS980" s="6" t="s">
        <v>18391</v>
      </c>
      <c r="AT980" s="6" t="s">
        <v>18444</v>
      </c>
      <c r="AU980" s="6" t="s">
        <v>19021</v>
      </c>
      <c r="AV980" s="6" t="s">
        <v>81</v>
      </c>
      <c r="AW980" s="6" t="s">
        <v>81</v>
      </c>
      <c r="AX980" s="6" t="s">
        <v>21371</v>
      </c>
      <c r="AY980" s="6" t="s">
        <v>22926</v>
      </c>
      <c r="AZ980" s="6" t="s">
        <v>81</v>
      </c>
      <c r="BA980" s="6" t="s">
        <v>81</v>
      </c>
      <c r="BB980" s="24" t="n">
        <v>176</v>
      </c>
      <c r="BC980" s="26"/>
      <c r="BD980" s="26"/>
      <c r="BE980" s="26"/>
      <c r="BF980" s="26"/>
      <c r="BG980" s="26"/>
      <c r="BH980" s="26"/>
      <c r="BI980" s="26"/>
      <c r="BJ980" s="26"/>
      <c r="BK980" s="26"/>
      <c r="BL980" s="26"/>
      <c r="BM980" s="26"/>
      <c r="BN980" s="26"/>
      <c r="BO980" s="26"/>
      <c r="BP980" s="16" t="n">
        <v>45730</v>
      </c>
      <c r="BQ980" s="28" t="str">
        <f>HYPERLINK("https://organic.ams.usda.gov/Integrity/Certificate.aspx?cid=90&amp;nopid=7170020150")</f>
        <v>https://organic.ams.usda.gov/Integrity/Certificate.aspx?cid=90&amp;nopid=7170020150</v>
      </c>
    </row>
    <row r="981">
      <c r="A981" t="s">
        <v>3</v>
      </c>
      <c r="B981" s="6" t="s">
        <v>8</v>
      </c>
      <c r="C981" s="6" t="s">
        <v>55</v>
      </c>
      <c r="D981" s="6" t="s">
        <v>101</v>
      </c>
      <c r="E981" s="10" t="s">
        <v>1122</v>
      </c>
      <c r="F981" s="6" t="s">
        <v>3850</v>
      </c>
      <c r="G981" s="6" t="s">
        <v>81</v>
      </c>
      <c r="H981" s="6" t="s">
        <v>6793</v>
      </c>
      <c r="I981" s="6" t="s">
        <v>8440</v>
      </c>
      <c r="J981" s="6" t="s">
        <v>9671</v>
      </c>
      <c r="K981" s="6" t="s">
        <v>10886</v>
      </c>
      <c r="L981" s="16" t="n">
        <v>39981</v>
      </c>
      <c r="M981" s="16" t="n">
        <v>45748</v>
      </c>
      <c r="N981" s="6" t="s">
        <v>10886</v>
      </c>
      <c r="O981" s="16" t="n">
        <v>39981</v>
      </c>
      <c r="P981" s="6" t="s">
        <v>11473</v>
      </c>
      <c r="Q981" s="6" t="s">
        <v>81</v>
      </c>
      <c r="R981" s="6" t="s">
        <v>6793</v>
      </c>
      <c r="S981" s="6" t="s">
        <v>10886</v>
      </c>
      <c r="T981" s="16" t="n">
        <v>42878</v>
      </c>
      <c r="U981" s="6" t="s">
        <v>13508</v>
      </c>
      <c r="V981" s="6" t="s">
        <v>81</v>
      </c>
      <c r="W981" s="6" t="s">
        <v>6793</v>
      </c>
      <c r="X981" s="6" t="s">
        <v>81</v>
      </c>
      <c r="Y981" s="21" t="s">
        <v>81</v>
      </c>
      <c r="Z981" s="6" t="s">
        <v>81</v>
      </c>
      <c r="AA981" s="6" t="s">
        <v>81</v>
      </c>
      <c r="AB981" s="6" t="s">
        <v>81</v>
      </c>
      <c r="AC981" s="6" t="s">
        <v>81</v>
      </c>
      <c r="AD981" s="21" t="s">
        <v>81</v>
      </c>
      <c r="AE981" s="6" t="s">
        <v>81</v>
      </c>
      <c r="AF981" s="6" t="s">
        <v>81</v>
      </c>
      <c r="AG981" s="6" t="s">
        <v>81</v>
      </c>
      <c r="AH981" s="6" t="s">
        <v>15554</v>
      </c>
      <c r="AI981" s="6" t="s">
        <v>81</v>
      </c>
      <c r="AJ981" s="6" t="s">
        <v>17413</v>
      </c>
      <c r="AK981" s="6" t="s">
        <v>18380</v>
      </c>
      <c r="AL981" s="6" t="s">
        <v>18444</v>
      </c>
      <c r="AM981" s="6" t="s">
        <v>18569</v>
      </c>
      <c r="AN981" s="6" t="s">
        <v>19639</v>
      </c>
      <c r="AO981" s="6" t="s">
        <v>19725</v>
      </c>
      <c r="AP981" s="6" t="s">
        <v>81</v>
      </c>
      <c r="AQ981" s="6" t="s">
        <v>81</v>
      </c>
      <c r="AR981" s="6" t="s">
        <v>81</v>
      </c>
      <c r="AS981" s="6" t="s">
        <v>81</v>
      </c>
      <c r="AT981" s="6" t="s">
        <v>81</v>
      </c>
      <c r="AU981" s="6" t="s">
        <v>81</v>
      </c>
      <c r="AV981" s="6" t="s">
        <v>81</v>
      </c>
      <c r="AW981" s="6" t="s">
        <v>81</v>
      </c>
      <c r="AX981" s="6" t="s">
        <v>81</v>
      </c>
      <c r="AY981" s="6" t="s">
        <v>81</v>
      </c>
      <c r="AZ981" s="6" t="s">
        <v>81</v>
      </c>
      <c r="BA981" s="6" t="s">
        <v>23819</v>
      </c>
      <c r="BB981" s="24" t="n">
        <v>80</v>
      </c>
      <c r="BC981" s="26"/>
      <c r="BD981" s="26"/>
      <c r="BE981" s="26"/>
      <c r="BF981" s="26" t="s">
        <v>23900</v>
      </c>
      <c r="BG981" s="26"/>
      <c r="BH981" s="26"/>
      <c r="BI981" s="26"/>
      <c r="BJ981" s="26"/>
      <c r="BK981" s="26"/>
      <c r="BL981" s="26"/>
      <c r="BM981" s="26"/>
      <c r="BN981" s="26"/>
      <c r="BO981" s="26"/>
      <c r="BP981" s="16" t="n">
        <v>45659</v>
      </c>
      <c r="BQ981" s="28" t="str">
        <f>HYPERLINK("https://organic.ams.usda.gov/Integrity/Certificate.aspx?cid=45&amp;nopid=9950003413")</f>
        <v>https://organic.ams.usda.gov/Integrity/Certificate.aspx?cid=45&amp;nopid=9950003413</v>
      </c>
    </row>
    <row r="982">
      <c r="A982" t="s">
        <v>3</v>
      </c>
      <c r="B982" s="6" t="s">
        <v>16</v>
      </c>
      <c r="C982" s="6" t="s">
        <v>63</v>
      </c>
      <c r="D982" s="6" t="s">
        <v>109</v>
      </c>
      <c r="E982" s="10" t="s">
        <v>1123</v>
      </c>
      <c r="F982" s="6" t="s">
        <v>3851</v>
      </c>
      <c r="G982" s="6" t="s">
        <v>81</v>
      </c>
      <c r="H982" s="6" t="s">
        <v>6794</v>
      </c>
      <c r="I982" s="6" t="s">
        <v>8412</v>
      </c>
      <c r="J982" s="6" t="s">
        <v>10162</v>
      </c>
      <c r="K982" s="6" t="s">
        <v>10886</v>
      </c>
      <c r="L982" s="16" t="n">
        <v>38065</v>
      </c>
      <c r="M982" s="16" t="n">
        <v>45731</v>
      </c>
      <c r="N982" s="6" t="s">
        <v>10886</v>
      </c>
      <c r="O982" s="16" t="n">
        <v>38065</v>
      </c>
      <c r="P982" s="6" t="s">
        <v>11474</v>
      </c>
      <c r="Q982" s="6" t="s">
        <v>81</v>
      </c>
      <c r="R982" s="6" t="s">
        <v>81</v>
      </c>
      <c r="S982" s="6" t="s">
        <v>10886</v>
      </c>
      <c r="T982" s="16" t="n">
        <v>38065</v>
      </c>
      <c r="U982" s="6" t="s">
        <v>13509</v>
      </c>
      <c r="V982" s="6" t="s">
        <v>81</v>
      </c>
      <c r="W982" s="6" t="s">
        <v>81</v>
      </c>
      <c r="X982" s="6" t="s">
        <v>81</v>
      </c>
      <c r="Y982" s="21" t="s">
        <v>81</v>
      </c>
      <c r="Z982" s="6" t="s">
        <v>81</v>
      </c>
      <c r="AA982" s="6" t="s">
        <v>81</v>
      </c>
      <c r="AB982" s="6" t="s">
        <v>81</v>
      </c>
      <c r="AC982" s="6" t="s">
        <v>10886</v>
      </c>
      <c r="AD982" s="16" t="n">
        <v>38065</v>
      </c>
      <c r="AE982" s="6" t="s">
        <v>14134</v>
      </c>
      <c r="AF982" s="6" t="s">
        <v>81</v>
      </c>
      <c r="AG982" s="6" t="s">
        <v>81</v>
      </c>
      <c r="AH982" s="6" t="s">
        <v>15555</v>
      </c>
      <c r="AI982" s="6" t="s">
        <v>81</v>
      </c>
      <c r="AJ982" s="6" t="s">
        <v>17840</v>
      </c>
      <c r="AK982" s="6" t="s">
        <v>18383</v>
      </c>
      <c r="AL982" s="6" t="s">
        <v>18444</v>
      </c>
      <c r="AM982" s="6" t="s">
        <v>19022</v>
      </c>
      <c r="AN982" s="6" t="s">
        <v>19683</v>
      </c>
      <c r="AO982" s="6" t="s">
        <v>19751</v>
      </c>
      <c r="AP982" s="6" t="s">
        <v>81</v>
      </c>
      <c r="AQ982" s="6" t="s">
        <v>81</v>
      </c>
      <c r="AR982" s="6" t="s">
        <v>81</v>
      </c>
      <c r="AS982" s="6" t="s">
        <v>81</v>
      </c>
      <c r="AT982" s="6" t="s">
        <v>81</v>
      </c>
      <c r="AU982" s="6" t="s">
        <v>81</v>
      </c>
      <c r="AV982" s="6" t="s">
        <v>81</v>
      </c>
      <c r="AW982" s="6" t="s">
        <v>81</v>
      </c>
      <c r="AX982" s="6" t="s">
        <v>21372</v>
      </c>
      <c r="AY982" s="6" t="s">
        <v>81</v>
      </c>
      <c r="AZ982" s="6" t="s">
        <v>81</v>
      </c>
      <c r="BA982" s="6" t="s">
        <v>81</v>
      </c>
      <c r="BB982" s="24" t="n">
        <v>296</v>
      </c>
      <c r="BC982" s="26"/>
      <c r="BD982" s="26"/>
      <c r="BE982" s="26"/>
      <c r="BF982" s="26"/>
      <c r="BG982" s="26"/>
      <c r="BH982" s="26"/>
      <c r="BI982" s="26"/>
      <c r="BJ982" s="26"/>
      <c r="BK982" s="26"/>
      <c r="BL982" s="26"/>
      <c r="BM982" s="26"/>
      <c r="BN982" s="26"/>
      <c r="BO982" s="26"/>
      <c r="BP982" s="16" t="n">
        <v>45701</v>
      </c>
      <c r="BQ982" s="28" t="str">
        <f>HYPERLINK("https://organic.ams.usda.gov/Integrity/Certificate.aspx?cid=81&amp;nopid=4210004041")</f>
        <v>https://organic.ams.usda.gov/Integrity/Certificate.aspx?cid=81&amp;nopid=4210004041</v>
      </c>
    </row>
    <row r="983">
      <c r="A983" t="s">
        <v>3</v>
      </c>
      <c r="B983" s="6" t="s">
        <v>8</v>
      </c>
      <c r="C983" s="6" t="s">
        <v>55</v>
      </c>
      <c r="D983" s="6" t="s">
        <v>101</v>
      </c>
      <c r="E983" s="10" t="s">
        <v>1124</v>
      </c>
      <c r="F983" s="6" t="s">
        <v>3852</v>
      </c>
      <c r="G983" s="6" t="s">
        <v>81</v>
      </c>
      <c r="H983" s="6" t="s">
        <v>6795</v>
      </c>
      <c r="I983" s="6" t="s">
        <v>8439</v>
      </c>
      <c r="J983" s="6" t="s">
        <v>10163</v>
      </c>
      <c r="K983" s="6" t="s">
        <v>10886</v>
      </c>
      <c r="L983" s="16" t="n">
        <v>45196</v>
      </c>
      <c r="M983" s="16" t="n">
        <v>45748</v>
      </c>
      <c r="N983" s="6" t="s">
        <v>10886</v>
      </c>
      <c r="O983" s="16" t="n">
        <v>45196</v>
      </c>
      <c r="P983" s="6" t="s">
        <v>11475</v>
      </c>
      <c r="Q983" s="6" t="s">
        <v>81</v>
      </c>
      <c r="R983" s="6" t="s">
        <v>6795</v>
      </c>
      <c r="S983" s="6" t="s">
        <v>10886</v>
      </c>
      <c r="T983" s="16" t="n">
        <v>45196</v>
      </c>
      <c r="U983" s="6" t="s">
        <v>13470</v>
      </c>
      <c r="V983" s="6" t="s">
        <v>81</v>
      </c>
      <c r="W983" s="6" t="s">
        <v>6795</v>
      </c>
      <c r="X983" s="6" t="s">
        <v>81</v>
      </c>
      <c r="Y983" s="21" t="s">
        <v>81</v>
      </c>
      <c r="Z983" s="6" t="s">
        <v>81</v>
      </c>
      <c r="AA983" s="6" t="s">
        <v>81</v>
      </c>
      <c r="AB983" s="6" t="s">
        <v>81</v>
      </c>
      <c r="AC983" s="6" t="s">
        <v>81</v>
      </c>
      <c r="AD983" s="21" t="s">
        <v>81</v>
      </c>
      <c r="AE983" s="6" t="s">
        <v>81</v>
      </c>
      <c r="AF983" s="6" t="s">
        <v>81</v>
      </c>
      <c r="AG983" s="6" t="s">
        <v>81</v>
      </c>
      <c r="AH983" s="6" t="s">
        <v>15556</v>
      </c>
      <c r="AI983" s="6" t="s">
        <v>81</v>
      </c>
      <c r="AJ983" s="6" t="s">
        <v>17841</v>
      </c>
      <c r="AK983" s="6" t="s">
        <v>18377</v>
      </c>
      <c r="AL983" s="6" t="s">
        <v>18444</v>
      </c>
      <c r="AM983" s="6" t="s">
        <v>19023</v>
      </c>
      <c r="AN983" s="6" t="s">
        <v>19635</v>
      </c>
      <c r="AO983" s="6" t="s">
        <v>19720</v>
      </c>
      <c r="AP983" s="6" t="s">
        <v>81</v>
      </c>
      <c r="AQ983" s="6" t="s">
        <v>81</v>
      </c>
      <c r="AR983" s="6" t="s">
        <v>81</v>
      </c>
      <c r="AS983" s="6" t="s">
        <v>81</v>
      </c>
      <c r="AT983" s="6" t="s">
        <v>81</v>
      </c>
      <c r="AU983" s="6" t="s">
        <v>81</v>
      </c>
      <c r="AV983" s="6" t="s">
        <v>81</v>
      </c>
      <c r="AW983" s="6" t="s">
        <v>81</v>
      </c>
      <c r="AX983" s="6" t="s">
        <v>81</v>
      </c>
      <c r="AY983" s="6" t="s">
        <v>22927</v>
      </c>
      <c r="AZ983" s="6" t="s">
        <v>81</v>
      </c>
      <c r="BA983" s="6" t="s">
        <v>23824</v>
      </c>
      <c r="BB983" s="24" t="n">
        <v>828</v>
      </c>
      <c r="BC983" s="26"/>
      <c r="BD983" s="26"/>
      <c r="BE983" s="26"/>
      <c r="BF983" s="26" t="s">
        <v>23900</v>
      </c>
      <c r="BG983" s="26"/>
      <c r="BH983" s="26"/>
      <c r="BI983" s="26"/>
      <c r="BJ983" s="26"/>
      <c r="BK983" s="26"/>
      <c r="BL983" s="26"/>
      <c r="BM983" s="26"/>
      <c r="BN983" s="26"/>
      <c r="BO983" s="26"/>
      <c r="BP983" s="16" t="n">
        <v>45644</v>
      </c>
      <c r="BQ983" s="28" t="str">
        <f>HYPERLINK("https://organic.ams.usda.gov/Integrity/Certificate.aspx?cid=45&amp;nopid=9950012999")</f>
        <v>https://organic.ams.usda.gov/Integrity/Certificate.aspx?cid=45&amp;nopid=9950012999</v>
      </c>
    </row>
    <row r="984">
      <c r="A984" t="s">
        <v>3</v>
      </c>
      <c r="B984" s="6" t="s">
        <v>8</v>
      </c>
      <c r="C984" s="6" t="s">
        <v>55</v>
      </c>
      <c r="D984" s="6" t="s">
        <v>101</v>
      </c>
      <c r="E984" s="10" t="s">
        <v>1125</v>
      </c>
      <c r="F984" s="6" t="s">
        <v>3853</v>
      </c>
      <c r="G984" s="6" t="s">
        <v>81</v>
      </c>
      <c r="H984" s="6" t="s">
        <v>6796</v>
      </c>
      <c r="I984" s="6" t="s">
        <v>8877</v>
      </c>
      <c r="J984" s="6" t="s">
        <v>9759</v>
      </c>
      <c r="K984" s="6" t="s">
        <v>10886</v>
      </c>
      <c r="L984" s="16" t="n">
        <v>38484</v>
      </c>
      <c r="M984" s="16" t="n">
        <v>45689</v>
      </c>
      <c r="N984" s="6" t="s">
        <v>10886</v>
      </c>
      <c r="O984" s="16" t="n">
        <v>38484</v>
      </c>
      <c r="P984" s="6" t="s">
        <v>11476</v>
      </c>
      <c r="Q984" s="6" t="s">
        <v>81</v>
      </c>
      <c r="R984" s="6" t="s">
        <v>6796</v>
      </c>
      <c r="S984" s="6" t="s">
        <v>10886</v>
      </c>
      <c r="T984" s="16" t="n">
        <v>38484</v>
      </c>
      <c r="U984" s="6" t="s">
        <v>13510</v>
      </c>
      <c r="V984" s="6" t="s">
        <v>81</v>
      </c>
      <c r="W984" s="6" t="s">
        <v>6796</v>
      </c>
      <c r="X984" s="6" t="s">
        <v>81</v>
      </c>
      <c r="Y984" s="21" t="s">
        <v>81</v>
      </c>
      <c r="Z984" s="6" t="s">
        <v>81</v>
      </c>
      <c r="AA984" s="6" t="s">
        <v>81</v>
      </c>
      <c r="AB984" s="6" t="s">
        <v>81</v>
      </c>
      <c r="AC984" s="6" t="s">
        <v>81</v>
      </c>
      <c r="AD984" s="21" t="s">
        <v>81</v>
      </c>
      <c r="AE984" s="6" t="s">
        <v>81</v>
      </c>
      <c r="AF984" s="6" t="s">
        <v>81</v>
      </c>
      <c r="AG984" s="6" t="s">
        <v>81</v>
      </c>
      <c r="AH984" s="6" t="s">
        <v>15557</v>
      </c>
      <c r="AI984" s="6" t="s">
        <v>81</v>
      </c>
      <c r="AJ984" s="6" t="s">
        <v>17530</v>
      </c>
      <c r="AK984" s="6" t="s">
        <v>18377</v>
      </c>
      <c r="AL984" s="6" t="s">
        <v>18444</v>
      </c>
      <c r="AM984" s="6" t="s">
        <v>6414</v>
      </c>
      <c r="AN984" s="6" t="s">
        <v>19646</v>
      </c>
      <c r="AO984" s="6" t="s">
        <v>19733</v>
      </c>
      <c r="AP984" s="6" t="s">
        <v>81</v>
      </c>
      <c r="AQ984" s="6" t="s">
        <v>81</v>
      </c>
      <c r="AR984" s="6" t="s">
        <v>81</v>
      </c>
      <c r="AS984" s="6" t="s">
        <v>81</v>
      </c>
      <c r="AT984" s="6" t="s">
        <v>81</v>
      </c>
      <c r="AU984" s="6" t="s">
        <v>81</v>
      </c>
      <c r="AV984" s="6" t="s">
        <v>81</v>
      </c>
      <c r="AW984" s="6" t="s">
        <v>81</v>
      </c>
      <c r="AX984" s="6" t="s">
        <v>81</v>
      </c>
      <c r="AY984" s="6" t="s">
        <v>81</v>
      </c>
      <c r="AZ984" s="6" t="s">
        <v>81</v>
      </c>
      <c r="BA984" s="6" t="s">
        <v>23819</v>
      </c>
      <c r="BB984" s="24" t="n">
        <v>226</v>
      </c>
      <c r="BC984" s="26"/>
      <c r="BD984" s="26"/>
      <c r="BE984" s="26"/>
      <c r="BF984" s="26" t="s">
        <v>23900</v>
      </c>
      <c r="BG984" s="26"/>
      <c r="BH984" s="26"/>
      <c r="BI984" s="26"/>
      <c r="BJ984" s="26"/>
      <c r="BK984" s="26"/>
      <c r="BL984" s="26"/>
      <c r="BM984" s="26"/>
      <c r="BN984" s="26"/>
      <c r="BO984" s="26"/>
      <c r="BP984" s="16" t="n">
        <v>45728</v>
      </c>
      <c r="BQ984" s="28" t="str">
        <f>HYPERLINK("https://organic.ams.usda.gov/Integrity/Certificate.aspx?cid=45&amp;nopid=9950001826")</f>
        <v>https://organic.ams.usda.gov/Integrity/Certificate.aspx?cid=45&amp;nopid=9950001826</v>
      </c>
    </row>
    <row r="985">
      <c r="A985" t="s">
        <v>3</v>
      </c>
      <c r="B985" s="6" t="s">
        <v>8</v>
      </c>
      <c r="C985" s="6" t="s">
        <v>55</v>
      </c>
      <c r="D985" s="6" t="s">
        <v>101</v>
      </c>
      <c r="E985" s="10" t="s">
        <v>1126</v>
      </c>
      <c r="F985" s="6" t="s">
        <v>3854</v>
      </c>
      <c r="G985" s="6" t="s">
        <v>81</v>
      </c>
      <c r="H985" s="6" t="s">
        <v>6797</v>
      </c>
      <c r="I985" s="6" t="s">
        <v>8507</v>
      </c>
      <c r="J985" s="6" t="s">
        <v>9060</v>
      </c>
      <c r="K985" s="6" t="s">
        <v>10886</v>
      </c>
      <c r="L985" s="16" t="n">
        <v>43670</v>
      </c>
      <c r="M985" s="16" t="n">
        <v>45383</v>
      </c>
      <c r="N985" s="6" t="s">
        <v>10886</v>
      </c>
      <c r="O985" s="16" t="n">
        <v>43670</v>
      </c>
      <c r="P985" s="6" t="s">
        <v>11477</v>
      </c>
      <c r="Q985" s="6" t="s">
        <v>81</v>
      </c>
      <c r="R985" s="6" t="s">
        <v>6797</v>
      </c>
      <c r="S985" s="6" t="s">
        <v>10886</v>
      </c>
      <c r="T985" s="16" t="n">
        <v>43670</v>
      </c>
      <c r="U985" s="6" t="s">
        <v>13221</v>
      </c>
      <c r="V985" s="6" t="s">
        <v>81</v>
      </c>
      <c r="W985" s="6" t="s">
        <v>6797</v>
      </c>
      <c r="X985" s="6" t="s">
        <v>81</v>
      </c>
      <c r="Y985" s="21" t="s">
        <v>81</v>
      </c>
      <c r="Z985" s="6" t="s">
        <v>81</v>
      </c>
      <c r="AA985" s="6" t="s">
        <v>81</v>
      </c>
      <c r="AB985" s="6" t="s">
        <v>81</v>
      </c>
      <c r="AC985" s="6" t="s">
        <v>81</v>
      </c>
      <c r="AD985" s="21" t="s">
        <v>81</v>
      </c>
      <c r="AE985" s="6" t="s">
        <v>81</v>
      </c>
      <c r="AF985" s="6" t="s">
        <v>81</v>
      </c>
      <c r="AG985" s="6" t="s">
        <v>81</v>
      </c>
      <c r="AH985" s="6" t="s">
        <v>15558</v>
      </c>
      <c r="AI985" s="6" t="s">
        <v>81</v>
      </c>
      <c r="AJ985" s="6" t="s">
        <v>17842</v>
      </c>
      <c r="AK985" s="6" t="s">
        <v>18377</v>
      </c>
      <c r="AL985" s="6" t="s">
        <v>18444</v>
      </c>
      <c r="AM985" s="6" t="s">
        <v>19024</v>
      </c>
      <c r="AN985" s="6" t="s">
        <v>19683</v>
      </c>
      <c r="AO985" s="6" t="s">
        <v>19837</v>
      </c>
      <c r="AP985" s="6" t="s">
        <v>81</v>
      </c>
      <c r="AQ985" s="6" t="s">
        <v>81</v>
      </c>
      <c r="AR985" s="6" t="s">
        <v>81</v>
      </c>
      <c r="AS985" s="6" t="s">
        <v>81</v>
      </c>
      <c r="AT985" s="6" t="s">
        <v>81</v>
      </c>
      <c r="AU985" s="6" t="s">
        <v>81</v>
      </c>
      <c r="AV985" s="6" t="s">
        <v>81</v>
      </c>
      <c r="AW985" s="6" t="s">
        <v>81</v>
      </c>
      <c r="AX985" s="6" t="s">
        <v>81</v>
      </c>
      <c r="AY985" s="6" t="s">
        <v>22928</v>
      </c>
      <c r="AZ985" s="6" t="s">
        <v>81</v>
      </c>
      <c r="BA985" s="6" t="s">
        <v>23824</v>
      </c>
      <c r="BB985" s="24" t="n">
        <v>433</v>
      </c>
      <c r="BC985" s="26"/>
      <c r="BD985" s="26"/>
      <c r="BE985" s="26"/>
      <c r="BF985" s="26" t="s">
        <v>23900</v>
      </c>
      <c r="BG985" s="26"/>
      <c r="BH985" s="26"/>
      <c r="BI985" s="26"/>
      <c r="BJ985" s="26"/>
      <c r="BK985" s="26"/>
      <c r="BL985" s="26"/>
      <c r="BM985" s="26"/>
      <c r="BN985" s="26"/>
      <c r="BO985" s="26"/>
      <c r="BP985" s="16" t="n">
        <v>45547</v>
      </c>
      <c r="BQ985" s="28" t="str">
        <f>HYPERLINK("https://organic.ams.usda.gov/Integrity/Certificate.aspx?cid=45&amp;nopid=9950011554")</f>
        <v>https://organic.ams.usda.gov/Integrity/Certificate.aspx?cid=45&amp;nopid=9950011554</v>
      </c>
    </row>
    <row r="986">
      <c r="A986" t="s">
        <v>3</v>
      </c>
      <c r="B986" s="6" t="s">
        <v>18</v>
      </c>
      <c r="C986" s="6" t="s">
        <v>65</v>
      </c>
      <c r="D986" s="6" t="s">
        <v>111</v>
      </c>
      <c r="E986" s="10" t="s">
        <v>1127</v>
      </c>
      <c r="F986" s="6" t="s">
        <v>3855</v>
      </c>
      <c r="G986" s="6" t="s">
        <v>81</v>
      </c>
      <c r="H986" s="6" t="s">
        <v>1127</v>
      </c>
      <c r="I986" s="6" t="s">
        <v>8452</v>
      </c>
      <c r="J986" s="6" t="s">
        <v>10164</v>
      </c>
      <c r="K986" s="6" t="s">
        <v>10886</v>
      </c>
      <c r="L986" s="16" t="n">
        <v>41107</v>
      </c>
      <c r="M986" s="16" t="n">
        <v>45413</v>
      </c>
      <c r="N986" s="6" t="s">
        <v>10886</v>
      </c>
      <c r="O986" s="16" t="n">
        <v>41102</v>
      </c>
      <c r="P986" s="6" t="s">
        <v>11478</v>
      </c>
      <c r="Q986" s="6" t="s">
        <v>81</v>
      </c>
      <c r="R986" s="6" t="s">
        <v>3855</v>
      </c>
      <c r="S986" s="6" t="s">
        <v>10886</v>
      </c>
      <c r="T986" s="16" t="n">
        <v>41102</v>
      </c>
      <c r="U986" s="6" t="s">
        <v>13511</v>
      </c>
      <c r="V986" s="6" t="s">
        <v>81</v>
      </c>
      <c r="W986" s="6" t="s">
        <v>3855</v>
      </c>
      <c r="X986" s="6" t="s">
        <v>81</v>
      </c>
      <c r="Y986" s="21" t="s">
        <v>81</v>
      </c>
      <c r="Z986" s="6" t="s">
        <v>81</v>
      </c>
      <c r="AA986" s="6" t="s">
        <v>81</v>
      </c>
      <c r="AB986" s="6" t="s">
        <v>81</v>
      </c>
      <c r="AC986" s="6" t="s">
        <v>10886</v>
      </c>
      <c r="AD986" s="16" t="n">
        <v>41102</v>
      </c>
      <c r="AE986" s="6" t="s">
        <v>14078</v>
      </c>
      <c r="AF986" s="6" t="s">
        <v>81</v>
      </c>
      <c r="AG986" s="6" t="s">
        <v>3855</v>
      </c>
      <c r="AH986" s="6" t="s">
        <v>15559</v>
      </c>
      <c r="AI986" s="6" t="s">
        <v>81</v>
      </c>
      <c r="AJ986" s="6" t="s">
        <v>17843</v>
      </c>
      <c r="AK986" s="6" t="s">
        <v>18409</v>
      </c>
      <c r="AL986" s="6" t="s">
        <v>18444</v>
      </c>
      <c r="AM986" s="6" t="s">
        <v>19025</v>
      </c>
      <c r="AN986" s="6" t="s">
        <v>19692</v>
      </c>
      <c r="AO986" s="6" t="s">
        <v>19954</v>
      </c>
      <c r="AP986" s="6" t="s">
        <v>15559</v>
      </c>
      <c r="AQ986" s="6" t="s">
        <v>81</v>
      </c>
      <c r="AR986" s="6" t="s">
        <v>17843</v>
      </c>
      <c r="AS986" s="6" t="s">
        <v>18409</v>
      </c>
      <c r="AT986" s="6" t="s">
        <v>18444</v>
      </c>
      <c r="AU986" s="6" t="s">
        <v>19025</v>
      </c>
      <c r="AV986" s="6" t="s">
        <v>81</v>
      </c>
      <c r="AW986" s="6" t="s">
        <v>81</v>
      </c>
      <c r="AX986" s="6" t="s">
        <v>21373</v>
      </c>
      <c r="AY986" s="6" t="s">
        <v>22929</v>
      </c>
      <c r="AZ986" s="6" t="s">
        <v>23673</v>
      </c>
      <c r="BA986" s="6" t="s">
        <v>81</v>
      </c>
      <c r="BB986" s="24" t="n">
        <v>255</v>
      </c>
      <c r="BC986" s="26"/>
      <c r="BD986" s="26"/>
      <c r="BE986" s="26"/>
      <c r="BF986" s="26" t="s">
        <v>23900</v>
      </c>
      <c r="BG986" s="26"/>
      <c r="BH986" s="26"/>
      <c r="BI986" s="26"/>
      <c r="BJ986" s="26"/>
      <c r="BK986" s="26" t="s">
        <v>23900</v>
      </c>
      <c r="BL986" s="26"/>
      <c r="BM986" s="26"/>
      <c r="BN986" s="26"/>
      <c r="BO986" s="26"/>
      <c r="BP986" s="16" t="n">
        <v>45429</v>
      </c>
      <c r="BQ986" s="28" t="str">
        <f>HYPERLINK("https://organic.ams.usda.gov/Integrity/Certificate.aspx?cid=8&amp;nopid=2201013900")</f>
        <v>https://organic.ams.usda.gov/Integrity/Certificate.aspx?cid=8&amp;nopid=2201013900</v>
      </c>
    </row>
    <row r="987">
      <c r="A987" t="s">
        <v>3</v>
      </c>
      <c r="B987" s="6" t="s">
        <v>8</v>
      </c>
      <c r="C987" s="6" t="s">
        <v>55</v>
      </c>
      <c r="D987" s="6" t="s">
        <v>101</v>
      </c>
      <c r="E987" s="10" t="s">
        <v>1128</v>
      </c>
      <c r="F987" s="6" t="s">
        <v>3856</v>
      </c>
      <c r="G987" s="6" t="s">
        <v>81</v>
      </c>
      <c r="H987" s="6" t="s">
        <v>6798</v>
      </c>
      <c r="I987" s="6" t="s">
        <v>8452</v>
      </c>
      <c r="J987" s="6" t="s">
        <v>10165</v>
      </c>
      <c r="K987" s="6" t="s">
        <v>10886</v>
      </c>
      <c r="L987" s="16" t="n">
        <v>42271</v>
      </c>
      <c r="M987" s="16" t="n">
        <v>45748</v>
      </c>
      <c r="N987" s="6" t="s">
        <v>10886</v>
      </c>
      <c r="O987" s="16" t="n">
        <v>42271</v>
      </c>
      <c r="P987" s="6" t="s">
        <v>11479</v>
      </c>
      <c r="Q987" s="6" t="s">
        <v>81</v>
      </c>
      <c r="R987" s="6" t="s">
        <v>6798</v>
      </c>
      <c r="S987" s="6" t="s">
        <v>10886</v>
      </c>
      <c r="T987" s="16" t="n">
        <v>42271</v>
      </c>
      <c r="U987" s="6" t="s">
        <v>13512</v>
      </c>
      <c r="V987" s="6" t="s">
        <v>81</v>
      </c>
      <c r="W987" s="6" t="s">
        <v>6798</v>
      </c>
      <c r="X987" s="6" t="s">
        <v>81</v>
      </c>
      <c r="Y987" s="21" t="s">
        <v>81</v>
      </c>
      <c r="Z987" s="6" t="s">
        <v>81</v>
      </c>
      <c r="AA987" s="6" t="s">
        <v>81</v>
      </c>
      <c r="AB987" s="6" t="s">
        <v>81</v>
      </c>
      <c r="AC987" s="6" t="s">
        <v>81</v>
      </c>
      <c r="AD987" s="21" t="s">
        <v>81</v>
      </c>
      <c r="AE987" s="6" t="s">
        <v>81</v>
      </c>
      <c r="AF987" s="6" t="s">
        <v>81</v>
      </c>
      <c r="AG987" s="6" t="s">
        <v>81</v>
      </c>
      <c r="AH987" s="6" t="s">
        <v>15560</v>
      </c>
      <c r="AI987" s="6" t="s">
        <v>81</v>
      </c>
      <c r="AJ987" s="6" t="s">
        <v>17844</v>
      </c>
      <c r="AK987" s="6" t="s">
        <v>18378</v>
      </c>
      <c r="AL987" s="6" t="s">
        <v>18444</v>
      </c>
      <c r="AM987" s="6" t="s">
        <v>19026</v>
      </c>
      <c r="AN987" s="6" t="s">
        <v>19650</v>
      </c>
      <c r="AO987" s="6" t="s">
        <v>19955</v>
      </c>
      <c r="AP987" s="6" t="s">
        <v>81</v>
      </c>
      <c r="AQ987" s="6" t="s">
        <v>81</v>
      </c>
      <c r="AR987" s="6" t="s">
        <v>81</v>
      </c>
      <c r="AS987" s="6" t="s">
        <v>81</v>
      </c>
      <c r="AT987" s="6" t="s">
        <v>81</v>
      </c>
      <c r="AU987" s="6" t="s">
        <v>81</v>
      </c>
      <c r="AV987" s="6" t="s">
        <v>81</v>
      </c>
      <c r="AW987" s="6" t="s">
        <v>81</v>
      </c>
      <c r="AX987" s="6" t="s">
        <v>21374</v>
      </c>
      <c r="AY987" s="6" t="s">
        <v>22930</v>
      </c>
      <c r="AZ987" s="6" t="s">
        <v>81</v>
      </c>
      <c r="BA987" s="6" t="s">
        <v>23824</v>
      </c>
      <c r="BB987" s="24" t="n">
        <v>180</v>
      </c>
      <c r="BC987" s="26"/>
      <c r="BD987" s="26"/>
      <c r="BE987" s="26"/>
      <c r="BF987" s="26" t="s">
        <v>23900</v>
      </c>
      <c r="BG987" s="26"/>
      <c r="BH987" s="26"/>
      <c r="BI987" s="26"/>
      <c r="BJ987" s="26"/>
      <c r="BK987" s="26"/>
      <c r="BL987" s="26"/>
      <c r="BM987" s="26"/>
      <c r="BN987" s="26"/>
      <c r="BO987" s="26"/>
      <c r="BP987" s="16" t="n">
        <v>45587</v>
      </c>
      <c r="BQ987" s="28" t="str">
        <f>HYPERLINK("https://organic.ams.usda.gov/Integrity/Certificate.aspx?cid=45&amp;nopid=9950008610")</f>
        <v>https://organic.ams.usda.gov/Integrity/Certificate.aspx?cid=45&amp;nopid=9950008610</v>
      </c>
    </row>
    <row r="988">
      <c r="A988" t="s">
        <v>3</v>
      </c>
      <c r="B988" s="6" t="s">
        <v>8</v>
      </c>
      <c r="C988" s="6" t="s">
        <v>55</v>
      </c>
      <c r="D988" s="6" t="s">
        <v>101</v>
      </c>
      <c r="E988" s="10" t="s">
        <v>1129</v>
      </c>
      <c r="F988" s="6" t="s">
        <v>3857</v>
      </c>
      <c r="G988" s="6" t="s">
        <v>81</v>
      </c>
      <c r="H988" s="6" t="s">
        <v>6799</v>
      </c>
      <c r="I988" s="6" t="s">
        <v>8513</v>
      </c>
      <c r="J988" s="6" t="s">
        <v>10166</v>
      </c>
      <c r="K988" s="6" t="s">
        <v>10886</v>
      </c>
      <c r="L988" s="16" t="n">
        <v>38916</v>
      </c>
      <c r="M988" s="16" t="n">
        <v>45383</v>
      </c>
      <c r="N988" s="6" t="s">
        <v>10886</v>
      </c>
      <c r="O988" s="16" t="n">
        <v>38916</v>
      </c>
      <c r="P988" s="6" t="s">
        <v>11480</v>
      </c>
      <c r="Q988" s="6" t="s">
        <v>81</v>
      </c>
      <c r="R988" s="6" t="s">
        <v>6799</v>
      </c>
      <c r="S988" s="6" t="s">
        <v>10886</v>
      </c>
      <c r="T988" s="16" t="n">
        <v>38916</v>
      </c>
      <c r="U988" s="6" t="s">
        <v>13179</v>
      </c>
      <c r="V988" s="6" t="s">
        <v>81</v>
      </c>
      <c r="W988" s="6" t="s">
        <v>6799</v>
      </c>
      <c r="X988" s="6" t="s">
        <v>81</v>
      </c>
      <c r="Y988" s="21" t="s">
        <v>81</v>
      </c>
      <c r="Z988" s="6" t="s">
        <v>81</v>
      </c>
      <c r="AA988" s="6" t="s">
        <v>81</v>
      </c>
      <c r="AB988" s="6" t="s">
        <v>81</v>
      </c>
      <c r="AC988" s="6" t="s">
        <v>81</v>
      </c>
      <c r="AD988" s="21" t="s">
        <v>81</v>
      </c>
      <c r="AE988" s="6" t="s">
        <v>81</v>
      </c>
      <c r="AF988" s="6" t="s">
        <v>81</v>
      </c>
      <c r="AG988" s="6" t="s">
        <v>81</v>
      </c>
      <c r="AH988" s="6" t="s">
        <v>15561</v>
      </c>
      <c r="AI988" s="6" t="s">
        <v>81</v>
      </c>
      <c r="AJ988" s="6" t="s">
        <v>17699</v>
      </c>
      <c r="AK988" s="6" t="s">
        <v>18381</v>
      </c>
      <c r="AL988" s="6" t="s">
        <v>18444</v>
      </c>
      <c r="AM988" s="6" t="s">
        <v>19027</v>
      </c>
      <c r="AN988" s="6" t="s">
        <v>19684</v>
      </c>
      <c r="AO988" s="6" t="s">
        <v>19956</v>
      </c>
      <c r="AP988" s="6" t="s">
        <v>81</v>
      </c>
      <c r="AQ988" s="6" t="s">
        <v>81</v>
      </c>
      <c r="AR988" s="6" t="s">
        <v>81</v>
      </c>
      <c r="AS988" s="6" t="s">
        <v>81</v>
      </c>
      <c r="AT988" s="6" t="s">
        <v>81</v>
      </c>
      <c r="AU988" s="6" t="s">
        <v>81</v>
      </c>
      <c r="AV988" s="6" t="s">
        <v>81</v>
      </c>
      <c r="AW988" s="6" t="s">
        <v>81</v>
      </c>
      <c r="AX988" s="6" t="s">
        <v>81</v>
      </c>
      <c r="AY988" s="6" t="s">
        <v>81</v>
      </c>
      <c r="AZ988" s="6" t="s">
        <v>81</v>
      </c>
      <c r="BA988" s="6" t="s">
        <v>23819</v>
      </c>
      <c r="BB988" s="24" t="n">
        <v>613</v>
      </c>
      <c r="BC988" s="26"/>
      <c r="BD988" s="26"/>
      <c r="BE988" s="26"/>
      <c r="BF988" s="26" t="s">
        <v>23900</v>
      </c>
      <c r="BG988" s="26"/>
      <c r="BH988" s="26"/>
      <c r="BI988" s="26"/>
      <c r="BJ988" s="26"/>
      <c r="BK988" s="26"/>
      <c r="BL988" s="26"/>
      <c r="BM988" s="26"/>
      <c r="BN988" s="26"/>
      <c r="BO988" s="26"/>
      <c r="BP988" s="16" t="n">
        <v>45383</v>
      </c>
      <c r="BQ988" s="28" t="str">
        <f>HYPERLINK("https://organic.ams.usda.gov/Integrity/Certificate.aspx?cid=45&amp;nopid=9950002294")</f>
        <v>https://organic.ams.usda.gov/Integrity/Certificate.aspx?cid=45&amp;nopid=9950002294</v>
      </c>
    </row>
    <row r="989">
      <c r="A989" t="s">
        <v>3</v>
      </c>
      <c r="B989" s="6" t="s">
        <v>45</v>
      </c>
      <c r="C989" s="6" t="s">
        <v>92</v>
      </c>
      <c r="D989" s="6" t="s">
        <v>137</v>
      </c>
      <c r="E989" s="10" t="s">
        <v>1130</v>
      </c>
      <c r="F989" s="6" t="s">
        <v>3858</v>
      </c>
      <c r="G989" s="6" t="s">
        <v>81</v>
      </c>
      <c r="H989" s="6" t="s">
        <v>6800</v>
      </c>
      <c r="I989" s="6" t="s">
        <v>8965</v>
      </c>
      <c r="J989" s="6" t="s">
        <v>10167</v>
      </c>
      <c r="K989" s="6" t="s">
        <v>10886</v>
      </c>
      <c r="L989" s="16" t="n">
        <v>42394</v>
      </c>
      <c r="M989" s="16" t="n">
        <v>45808</v>
      </c>
      <c r="N989" s="6" t="s">
        <v>10886</v>
      </c>
      <c r="O989" s="16" t="n">
        <v>42394</v>
      </c>
      <c r="P989" s="6" t="s">
        <v>11481</v>
      </c>
      <c r="Q989" s="6" t="s">
        <v>81</v>
      </c>
      <c r="R989" s="6" t="s">
        <v>12704</v>
      </c>
      <c r="S989" s="6" t="s">
        <v>10886</v>
      </c>
      <c r="T989" s="16" t="n">
        <v>42394</v>
      </c>
      <c r="U989" s="6" t="s">
        <v>13513</v>
      </c>
      <c r="V989" s="6" t="s">
        <v>81</v>
      </c>
      <c r="W989" s="6" t="s">
        <v>12704</v>
      </c>
      <c r="X989" s="6" t="s">
        <v>81</v>
      </c>
      <c r="Y989" s="21" t="s">
        <v>81</v>
      </c>
      <c r="Z989" s="6" t="s">
        <v>81</v>
      </c>
      <c r="AA989" s="6" t="s">
        <v>81</v>
      </c>
      <c r="AB989" s="6" t="s">
        <v>81</v>
      </c>
      <c r="AC989" s="6" t="s">
        <v>10886</v>
      </c>
      <c r="AD989" s="16" t="n">
        <v>42394</v>
      </c>
      <c r="AE989" s="6" t="s">
        <v>14211</v>
      </c>
      <c r="AF989" s="6" t="s">
        <v>81</v>
      </c>
      <c r="AG989" s="6" t="s">
        <v>12704</v>
      </c>
      <c r="AH989" s="6" t="s">
        <v>15562</v>
      </c>
      <c r="AI989" s="6" t="s">
        <v>81</v>
      </c>
      <c r="AJ989" s="6" t="s">
        <v>17845</v>
      </c>
      <c r="AK989" s="6" t="s">
        <v>18422</v>
      </c>
      <c r="AL989" s="6" t="s">
        <v>18452</v>
      </c>
      <c r="AM989" s="6" t="s">
        <v>81</v>
      </c>
      <c r="AN989" s="6" t="s">
        <v>81</v>
      </c>
      <c r="AO989" s="6" t="s">
        <v>81</v>
      </c>
      <c r="AP989" s="6" t="s">
        <v>81</v>
      </c>
      <c r="AQ989" s="6" t="s">
        <v>81</v>
      </c>
      <c r="AR989" s="6" t="s">
        <v>81</v>
      </c>
      <c r="AS989" s="6" t="s">
        <v>81</v>
      </c>
      <c r="AT989" s="6" t="s">
        <v>81</v>
      </c>
      <c r="AU989" s="6" t="s">
        <v>81</v>
      </c>
      <c r="AV989" s="6" t="s">
        <v>81</v>
      </c>
      <c r="AW989" s="6" t="s">
        <v>81</v>
      </c>
      <c r="AX989" s="6" t="s">
        <v>21375</v>
      </c>
      <c r="AY989" s="6" t="s">
        <v>22931</v>
      </c>
      <c r="AZ989" s="6" t="s">
        <v>81</v>
      </c>
      <c r="BA989" s="6" t="s">
        <v>81</v>
      </c>
      <c r="BB989" s="24" t="n">
        <v>367</v>
      </c>
      <c r="BC989" s="26"/>
      <c r="BD989" s="26"/>
      <c r="BE989" s="26"/>
      <c r="BF989" s="26"/>
      <c r="BG989" s="26"/>
      <c r="BH989" s="26"/>
      <c r="BI989" s="26"/>
      <c r="BJ989" s="26"/>
      <c r="BK989" s="26"/>
      <c r="BL989" s="26"/>
      <c r="BM989" s="26"/>
      <c r="BN989" s="26"/>
      <c r="BO989" s="26"/>
      <c r="BP989" s="16" t="n">
        <v>45503</v>
      </c>
      <c r="BQ989" s="28" t="str">
        <f>HYPERLINK("https://organic.ams.usda.gov/Integrity/Certificate.aspx?cid=17&amp;nopid=4087184116")</f>
        <v>https://organic.ams.usda.gov/Integrity/Certificate.aspx?cid=17&amp;nopid=4087184116</v>
      </c>
    </row>
    <row r="990">
      <c r="A990" t="s">
        <v>3</v>
      </c>
      <c r="B990" s="6" t="s">
        <v>23</v>
      </c>
      <c r="C990" s="6" t="s">
        <v>70</v>
      </c>
      <c r="D990" s="6" t="s">
        <v>116</v>
      </c>
      <c r="E990" s="10" t="s">
        <v>1131</v>
      </c>
      <c r="F990" s="6" t="s">
        <v>3859</v>
      </c>
      <c r="G990" s="6" t="s">
        <v>81</v>
      </c>
      <c r="H990" s="6" t="s">
        <v>6801</v>
      </c>
      <c r="I990" s="6" t="s">
        <v>8966</v>
      </c>
      <c r="J990" s="6" t="s">
        <v>10168</v>
      </c>
      <c r="K990" s="6" t="s">
        <v>10886</v>
      </c>
      <c r="L990" s="16" t="n">
        <v>40488</v>
      </c>
      <c r="M990" s="16" t="n">
        <v>45967</v>
      </c>
      <c r="N990" s="6" t="s">
        <v>81</v>
      </c>
      <c r="O990" s="21" t="s">
        <v>81</v>
      </c>
      <c r="P990" s="6" t="s">
        <v>81</v>
      </c>
      <c r="Q990" s="6" t="s">
        <v>81</v>
      </c>
      <c r="R990" s="6" t="s">
        <v>81</v>
      </c>
      <c r="S990" s="6" t="s">
        <v>81</v>
      </c>
      <c r="T990" s="21" t="s">
        <v>81</v>
      </c>
      <c r="U990" s="6" t="s">
        <v>81</v>
      </c>
      <c r="V990" s="6" t="s">
        <v>81</v>
      </c>
      <c r="W990" s="6" t="s">
        <v>81</v>
      </c>
      <c r="X990" s="6" t="s">
        <v>81</v>
      </c>
      <c r="Y990" s="21" t="s">
        <v>81</v>
      </c>
      <c r="Z990" s="6" t="s">
        <v>81</v>
      </c>
      <c r="AA990" s="6" t="s">
        <v>81</v>
      </c>
      <c r="AB990" s="6" t="s">
        <v>81</v>
      </c>
      <c r="AC990" s="6" t="s">
        <v>10886</v>
      </c>
      <c r="AD990" s="16" t="n">
        <v>40488</v>
      </c>
      <c r="AE990" s="6" t="s">
        <v>14212</v>
      </c>
      <c r="AF990" s="6" t="s">
        <v>81</v>
      </c>
      <c r="AG990" s="6" t="s">
        <v>81</v>
      </c>
      <c r="AH990" s="6" t="s">
        <v>15563</v>
      </c>
      <c r="AI990" s="6" t="s">
        <v>81</v>
      </c>
      <c r="AJ990" s="6" t="s">
        <v>17846</v>
      </c>
      <c r="AK990" s="6" t="s">
        <v>18386</v>
      </c>
      <c r="AL990" s="6" t="s">
        <v>18444</v>
      </c>
      <c r="AM990" s="6" t="s">
        <v>19028</v>
      </c>
      <c r="AN990" s="6" t="s">
        <v>81</v>
      </c>
      <c r="AO990" s="6" t="s">
        <v>81</v>
      </c>
      <c r="AP990" s="6" t="s">
        <v>81</v>
      </c>
      <c r="AQ990" s="6" t="s">
        <v>81</v>
      </c>
      <c r="AR990" s="6" t="s">
        <v>81</v>
      </c>
      <c r="AS990" s="6" t="s">
        <v>81</v>
      </c>
      <c r="AT990" s="6" t="s">
        <v>81</v>
      </c>
      <c r="AU990" s="6" t="s">
        <v>81</v>
      </c>
      <c r="AV990" s="6" t="s">
        <v>81</v>
      </c>
      <c r="AW990" s="6" t="s">
        <v>81</v>
      </c>
      <c r="AX990" s="6" t="s">
        <v>21376</v>
      </c>
      <c r="AY990" s="6" t="s">
        <v>22932</v>
      </c>
      <c r="AZ990" s="6" t="s">
        <v>81</v>
      </c>
      <c r="BA990" s="6" t="s">
        <v>81</v>
      </c>
      <c r="BB990" s="6" t="s">
        <v>81</v>
      </c>
      <c r="BC990" s="26"/>
      <c r="BD990" s="26"/>
      <c r="BE990" s="26"/>
      <c r="BF990" s="26"/>
      <c r="BG990" s="26"/>
      <c r="BH990" s="26"/>
      <c r="BI990" s="26"/>
      <c r="BJ990" s="26"/>
      <c r="BK990" s="26"/>
      <c r="BL990" s="26"/>
      <c r="BM990" s="26"/>
      <c r="BN990" s="26"/>
      <c r="BO990" s="26"/>
      <c r="BP990" s="16" t="n">
        <v>45635</v>
      </c>
      <c r="BQ990" s="28" t="str">
        <f>HYPERLINK("https://organic.ams.usda.gov/Integrity/Certificate.aspx?cid=63&amp;nopid=6220003446")</f>
        <v>https://organic.ams.usda.gov/Integrity/Certificate.aspx?cid=63&amp;nopid=6220003446</v>
      </c>
    </row>
    <row r="991">
      <c r="A991" t="s">
        <v>3</v>
      </c>
      <c r="B991" s="6" t="s">
        <v>8</v>
      </c>
      <c r="C991" s="6" t="s">
        <v>55</v>
      </c>
      <c r="D991" s="6" t="s">
        <v>101</v>
      </c>
      <c r="E991" s="10" t="s">
        <v>1132</v>
      </c>
      <c r="F991" s="6" t="s">
        <v>3860</v>
      </c>
      <c r="G991" s="6" t="s">
        <v>81</v>
      </c>
      <c r="H991" s="6" t="s">
        <v>6802</v>
      </c>
      <c r="I991" s="6" t="s">
        <v>8520</v>
      </c>
      <c r="J991" s="6" t="s">
        <v>9151</v>
      </c>
      <c r="K991" s="6" t="s">
        <v>10886</v>
      </c>
      <c r="L991" s="16" t="n">
        <v>43087</v>
      </c>
      <c r="M991" s="16" t="n">
        <v>45748</v>
      </c>
      <c r="N991" s="6" t="s">
        <v>10886</v>
      </c>
      <c r="O991" s="16" t="n">
        <v>43087</v>
      </c>
      <c r="P991" s="6" t="s">
        <v>11482</v>
      </c>
      <c r="Q991" s="6" t="s">
        <v>81</v>
      </c>
      <c r="R991" s="6" t="s">
        <v>6802</v>
      </c>
      <c r="S991" s="6" t="s">
        <v>10886</v>
      </c>
      <c r="T991" s="16" t="n">
        <v>43626</v>
      </c>
      <c r="U991" s="6" t="s">
        <v>13514</v>
      </c>
      <c r="V991" s="6" t="s">
        <v>81</v>
      </c>
      <c r="W991" s="6" t="s">
        <v>6802</v>
      </c>
      <c r="X991" s="6" t="s">
        <v>81</v>
      </c>
      <c r="Y991" s="21" t="s">
        <v>81</v>
      </c>
      <c r="Z991" s="6" t="s">
        <v>81</v>
      </c>
      <c r="AA991" s="6" t="s">
        <v>81</v>
      </c>
      <c r="AB991" s="6" t="s">
        <v>81</v>
      </c>
      <c r="AC991" s="6" t="s">
        <v>81</v>
      </c>
      <c r="AD991" s="21" t="s">
        <v>81</v>
      </c>
      <c r="AE991" s="6" t="s">
        <v>81</v>
      </c>
      <c r="AF991" s="6" t="s">
        <v>81</v>
      </c>
      <c r="AG991" s="6" t="s">
        <v>81</v>
      </c>
      <c r="AH991" s="6" t="s">
        <v>15564</v>
      </c>
      <c r="AI991" s="6" t="s">
        <v>81</v>
      </c>
      <c r="AJ991" s="6" t="s">
        <v>17847</v>
      </c>
      <c r="AK991" s="6" t="s">
        <v>18377</v>
      </c>
      <c r="AL991" s="6" t="s">
        <v>18444</v>
      </c>
      <c r="AM991" s="6" t="s">
        <v>19029</v>
      </c>
      <c r="AN991" s="6" t="s">
        <v>19702</v>
      </c>
      <c r="AO991" s="6" t="s">
        <v>19957</v>
      </c>
      <c r="AP991" s="6" t="s">
        <v>15564</v>
      </c>
      <c r="AQ991" s="6" t="s">
        <v>81</v>
      </c>
      <c r="AR991" s="6" t="s">
        <v>17847</v>
      </c>
      <c r="AS991" s="6" t="s">
        <v>18377</v>
      </c>
      <c r="AT991" s="6" t="s">
        <v>18444</v>
      </c>
      <c r="AU991" s="6" t="s">
        <v>19029</v>
      </c>
      <c r="AV991" s="6" t="s">
        <v>81</v>
      </c>
      <c r="AW991" s="6" t="s">
        <v>81</v>
      </c>
      <c r="AX991" s="6" t="s">
        <v>21377</v>
      </c>
      <c r="AY991" s="6" t="s">
        <v>22933</v>
      </c>
      <c r="AZ991" s="6" t="s">
        <v>23674</v>
      </c>
      <c r="BA991" s="6" t="s">
        <v>23819</v>
      </c>
      <c r="BB991" s="24" t="n">
        <v>379</v>
      </c>
      <c r="BC991" s="26"/>
      <c r="BD991" s="26"/>
      <c r="BE991" s="26"/>
      <c r="BF991" s="26" t="s">
        <v>23900</v>
      </c>
      <c r="BG991" s="26"/>
      <c r="BH991" s="26"/>
      <c r="BI991" s="26"/>
      <c r="BJ991" s="26"/>
      <c r="BK991" s="26" t="s">
        <v>23900</v>
      </c>
      <c r="BL991" s="26"/>
      <c r="BM991" s="26"/>
      <c r="BN991" s="26"/>
      <c r="BO991" s="26"/>
      <c r="BP991" s="16" t="n">
        <v>45595</v>
      </c>
      <c r="BQ991" s="28" t="str">
        <f>HYPERLINK("https://organic.ams.usda.gov/Integrity/Certificate.aspx?cid=45&amp;nopid=9950010477")</f>
        <v>https://organic.ams.usda.gov/Integrity/Certificate.aspx?cid=45&amp;nopid=9950010477</v>
      </c>
    </row>
    <row r="992">
      <c r="A992" t="s">
        <v>3</v>
      </c>
      <c r="B992" s="6" t="s">
        <v>7</v>
      </c>
      <c r="C992" s="6" t="s">
        <v>54</v>
      </c>
      <c r="D992" s="6" t="s">
        <v>100</v>
      </c>
      <c r="E992" s="10" t="s">
        <v>1133</v>
      </c>
      <c r="F992" s="6" t="s">
        <v>3861</v>
      </c>
      <c r="G992" s="6" t="s">
        <v>81</v>
      </c>
      <c r="H992" s="6" t="s">
        <v>6803</v>
      </c>
      <c r="I992" s="6" t="s">
        <v>8693</v>
      </c>
      <c r="J992" s="6" t="s">
        <v>10169</v>
      </c>
      <c r="K992" s="6" t="s">
        <v>10886</v>
      </c>
      <c r="L992" s="16" t="n">
        <v>42187</v>
      </c>
      <c r="M992" s="16" t="n">
        <v>45716</v>
      </c>
      <c r="N992" s="6" t="s">
        <v>10886</v>
      </c>
      <c r="O992" s="16" t="n">
        <v>42187</v>
      </c>
      <c r="P992" s="6" t="s">
        <v>11483</v>
      </c>
      <c r="Q992" s="6" t="s">
        <v>81</v>
      </c>
      <c r="R992" s="6" t="s">
        <v>81</v>
      </c>
      <c r="S992" s="6" t="s">
        <v>10886</v>
      </c>
      <c r="T992" s="16" t="n">
        <v>42339</v>
      </c>
      <c r="U992" s="6" t="s">
        <v>13169</v>
      </c>
      <c r="V992" s="6" t="s">
        <v>81</v>
      </c>
      <c r="W992" s="6" t="s">
        <v>81</v>
      </c>
      <c r="X992" s="6" t="s">
        <v>81</v>
      </c>
      <c r="Y992" s="21" t="s">
        <v>81</v>
      </c>
      <c r="Z992" s="6" t="s">
        <v>81</v>
      </c>
      <c r="AA992" s="6" t="s">
        <v>81</v>
      </c>
      <c r="AB992" s="6" t="s">
        <v>81</v>
      </c>
      <c r="AC992" s="6" t="s">
        <v>81</v>
      </c>
      <c r="AD992" s="21" t="s">
        <v>81</v>
      </c>
      <c r="AE992" s="6" t="s">
        <v>81</v>
      </c>
      <c r="AF992" s="6" t="s">
        <v>81</v>
      </c>
      <c r="AG992" s="6" t="s">
        <v>81</v>
      </c>
      <c r="AH992" s="6" t="s">
        <v>15565</v>
      </c>
      <c r="AI992" s="6" t="s">
        <v>81</v>
      </c>
      <c r="AJ992" s="6" t="s">
        <v>17848</v>
      </c>
      <c r="AK992" s="6" t="s">
        <v>17712</v>
      </c>
      <c r="AL992" s="6" t="s">
        <v>18444</v>
      </c>
      <c r="AM992" s="6" t="s">
        <v>19030</v>
      </c>
      <c r="AN992" s="6" t="s">
        <v>19661</v>
      </c>
      <c r="AO992" s="6" t="s">
        <v>19841</v>
      </c>
      <c r="AP992" s="6" t="s">
        <v>15565</v>
      </c>
      <c r="AQ992" s="6" t="s">
        <v>81</v>
      </c>
      <c r="AR992" s="6" t="s">
        <v>17848</v>
      </c>
      <c r="AS992" s="6" t="s">
        <v>17712</v>
      </c>
      <c r="AT992" s="6" t="s">
        <v>18444</v>
      </c>
      <c r="AU992" s="6" t="s">
        <v>19030</v>
      </c>
      <c r="AV992" s="6" t="s">
        <v>81</v>
      </c>
      <c r="AW992" s="6" t="s">
        <v>81</v>
      </c>
      <c r="AX992" s="6" t="s">
        <v>21378</v>
      </c>
      <c r="AY992" s="6" t="s">
        <v>81</v>
      </c>
      <c r="AZ992" s="6" t="s">
        <v>81</v>
      </c>
      <c r="BA992" s="6" t="s">
        <v>81</v>
      </c>
      <c r="BB992" s="24" t="n">
        <v>427</v>
      </c>
      <c r="BC992" s="26"/>
      <c r="BD992" s="26"/>
      <c r="BE992" s="26"/>
      <c r="BF992" s="26" t="s">
        <v>23900</v>
      </c>
      <c r="BG992" s="26"/>
      <c r="BH992" s="26"/>
      <c r="BI992" s="26"/>
      <c r="BJ992" s="26"/>
      <c r="BK992" s="26"/>
      <c r="BL992" s="26"/>
      <c r="BM992" s="26"/>
      <c r="BN992" s="26"/>
      <c r="BO992" s="26"/>
      <c r="BP992" s="16" t="n">
        <v>45595</v>
      </c>
      <c r="BQ992" s="28" t="str">
        <f>HYPERLINK("https://organic.ams.usda.gov/Integrity/Certificate.aspx?cid=57&amp;nopid=3252015001")</f>
        <v>https://organic.ams.usda.gov/Integrity/Certificate.aspx?cid=57&amp;nopid=3252015001</v>
      </c>
    </row>
    <row r="993">
      <c r="A993" t="s">
        <v>3</v>
      </c>
      <c r="B993" s="6" t="s">
        <v>24</v>
      </c>
      <c r="C993" s="6" t="s">
        <v>71</v>
      </c>
      <c r="D993" s="6" t="s">
        <v>117</v>
      </c>
      <c r="E993" s="10" t="s">
        <v>1134</v>
      </c>
      <c r="F993" s="6" t="s">
        <v>3862</v>
      </c>
      <c r="G993" s="6" t="s">
        <v>81</v>
      </c>
      <c r="H993" s="6" t="s">
        <v>81</v>
      </c>
      <c r="I993" s="6" t="s">
        <v>8967</v>
      </c>
      <c r="J993" s="6" t="s">
        <v>9692</v>
      </c>
      <c r="K993" s="6" t="s">
        <v>10886</v>
      </c>
      <c r="L993" s="16" t="n">
        <v>44645</v>
      </c>
      <c r="M993" s="16" t="n">
        <v>45870</v>
      </c>
      <c r="N993" s="6" t="s">
        <v>10886</v>
      </c>
      <c r="O993" s="16" t="n">
        <v>45134</v>
      </c>
      <c r="P993" s="6" t="s">
        <v>11484</v>
      </c>
      <c r="Q993" s="6" t="s">
        <v>81</v>
      </c>
      <c r="R993" s="6" t="s">
        <v>81</v>
      </c>
      <c r="S993" s="6" t="s">
        <v>10886</v>
      </c>
      <c r="T993" s="16" t="n">
        <v>44645</v>
      </c>
      <c r="U993" s="6" t="s">
        <v>13515</v>
      </c>
      <c r="V993" s="6" t="s">
        <v>81</v>
      </c>
      <c r="W993" s="6" t="s">
        <v>81</v>
      </c>
      <c r="X993" s="6" t="s">
        <v>81</v>
      </c>
      <c r="Y993" s="21" t="s">
        <v>81</v>
      </c>
      <c r="Z993" s="6" t="s">
        <v>81</v>
      </c>
      <c r="AA993" s="6" t="s">
        <v>81</v>
      </c>
      <c r="AB993" s="6" t="s">
        <v>81</v>
      </c>
      <c r="AC993" s="6" t="s">
        <v>10886</v>
      </c>
      <c r="AD993" s="16" t="n">
        <v>44645</v>
      </c>
      <c r="AE993" s="6" t="s">
        <v>14157</v>
      </c>
      <c r="AF993" s="6" t="s">
        <v>81</v>
      </c>
      <c r="AG993" s="6" t="s">
        <v>81</v>
      </c>
      <c r="AH993" s="6" t="s">
        <v>15566</v>
      </c>
      <c r="AI993" s="6" t="s">
        <v>81</v>
      </c>
      <c r="AJ993" s="6" t="s">
        <v>17753</v>
      </c>
      <c r="AK993" s="6" t="s">
        <v>18406</v>
      </c>
      <c r="AL993" s="6" t="s">
        <v>18444</v>
      </c>
      <c r="AM993" s="6" t="s">
        <v>18924</v>
      </c>
      <c r="AN993" s="6" t="s">
        <v>19674</v>
      </c>
      <c r="AO993" s="6" t="s">
        <v>19921</v>
      </c>
      <c r="AP993" s="6" t="s">
        <v>20200</v>
      </c>
      <c r="AQ993" s="6" t="s">
        <v>81</v>
      </c>
      <c r="AR993" s="6" t="s">
        <v>17610</v>
      </c>
      <c r="AS993" s="6" t="s">
        <v>18395</v>
      </c>
      <c r="AT993" s="6" t="s">
        <v>18444</v>
      </c>
      <c r="AU993" s="6" t="s">
        <v>18776</v>
      </c>
      <c r="AV993" s="6" t="s">
        <v>81</v>
      </c>
      <c r="AW993" s="6" t="s">
        <v>81</v>
      </c>
      <c r="AX993" s="6" t="s">
        <v>81</v>
      </c>
      <c r="AY993" s="6" t="s">
        <v>22934</v>
      </c>
      <c r="AZ993" s="6" t="s">
        <v>81</v>
      </c>
      <c r="BA993" s="6" t="s">
        <v>81</v>
      </c>
      <c r="BB993" s="24" t="n">
        <v>855</v>
      </c>
      <c r="BC993" s="26"/>
      <c r="BD993" s="26"/>
      <c r="BE993" s="26"/>
      <c r="BF993" s="26"/>
      <c r="BG993" s="26"/>
      <c r="BH993" s="26"/>
      <c r="BI993" s="26"/>
      <c r="BJ993" s="26"/>
      <c r="BK993" s="26"/>
      <c r="BL993" s="26"/>
      <c r="BM993" s="26"/>
      <c r="BN993" s="26"/>
      <c r="BO993" s="26"/>
      <c r="BP993" s="16" t="n">
        <v>45628</v>
      </c>
      <c r="BQ993" s="28" t="str">
        <f>HYPERLINK("https://organic.ams.usda.gov/Integrity/Certificate.aspx?cid=1&amp;nopid=9092130806")</f>
        <v>https://organic.ams.usda.gov/Integrity/Certificate.aspx?cid=1&amp;nopid=9092130806</v>
      </c>
    </row>
    <row r="994">
      <c r="A994" t="s">
        <v>3</v>
      </c>
      <c r="B994" s="6" t="s">
        <v>7</v>
      </c>
      <c r="C994" s="6" t="s">
        <v>54</v>
      </c>
      <c r="D994" s="6" t="s">
        <v>100</v>
      </c>
      <c r="E994" s="10" t="s">
        <v>1135</v>
      </c>
      <c r="F994" s="6" t="s">
        <v>3863</v>
      </c>
      <c r="G994" s="6" t="s">
        <v>81</v>
      </c>
      <c r="H994" s="6" t="s">
        <v>6804</v>
      </c>
      <c r="I994" s="6" t="s">
        <v>8968</v>
      </c>
      <c r="J994" s="6" t="s">
        <v>10170</v>
      </c>
      <c r="K994" s="6" t="s">
        <v>10886</v>
      </c>
      <c r="L994" s="16" t="n">
        <v>42527</v>
      </c>
      <c r="M994" s="16" t="n">
        <v>45716</v>
      </c>
      <c r="N994" s="6" t="s">
        <v>10886</v>
      </c>
      <c r="O994" s="16" t="n">
        <v>42527</v>
      </c>
      <c r="P994" s="6" t="s">
        <v>11485</v>
      </c>
      <c r="Q994" s="6" t="s">
        <v>81</v>
      </c>
      <c r="R994" s="6" t="s">
        <v>81</v>
      </c>
      <c r="S994" s="6" t="s">
        <v>10886</v>
      </c>
      <c r="T994" s="16" t="n">
        <v>42684</v>
      </c>
      <c r="U994" s="6" t="s">
        <v>13160</v>
      </c>
      <c r="V994" s="6" t="s">
        <v>81</v>
      </c>
      <c r="W994" s="6" t="s">
        <v>81</v>
      </c>
      <c r="X994" s="6" t="s">
        <v>81</v>
      </c>
      <c r="Y994" s="21" t="s">
        <v>81</v>
      </c>
      <c r="Z994" s="6" t="s">
        <v>81</v>
      </c>
      <c r="AA994" s="6" t="s">
        <v>81</v>
      </c>
      <c r="AB994" s="6" t="s">
        <v>81</v>
      </c>
      <c r="AC994" s="6" t="s">
        <v>81</v>
      </c>
      <c r="AD994" s="21" t="s">
        <v>81</v>
      </c>
      <c r="AE994" s="6" t="s">
        <v>81</v>
      </c>
      <c r="AF994" s="6" t="s">
        <v>81</v>
      </c>
      <c r="AG994" s="6" t="s">
        <v>81</v>
      </c>
      <c r="AH994" s="6" t="s">
        <v>15567</v>
      </c>
      <c r="AI994" s="6" t="s">
        <v>81</v>
      </c>
      <c r="AJ994" s="6" t="s">
        <v>17849</v>
      </c>
      <c r="AK994" s="6" t="s">
        <v>17712</v>
      </c>
      <c r="AL994" s="6" t="s">
        <v>18444</v>
      </c>
      <c r="AM994" s="6" t="s">
        <v>19031</v>
      </c>
      <c r="AN994" s="6" t="s">
        <v>19652</v>
      </c>
      <c r="AO994" s="6" t="s">
        <v>19742</v>
      </c>
      <c r="AP994" s="6" t="s">
        <v>15567</v>
      </c>
      <c r="AQ994" s="6" t="s">
        <v>81</v>
      </c>
      <c r="AR994" s="6" t="s">
        <v>17849</v>
      </c>
      <c r="AS994" s="6" t="s">
        <v>17712</v>
      </c>
      <c r="AT994" s="6" t="s">
        <v>18444</v>
      </c>
      <c r="AU994" s="6" t="s">
        <v>19031</v>
      </c>
      <c r="AV994" s="6" t="s">
        <v>81</v>
      </c>
      <c r="AW994" s="6" t="s">
        <v>81</v>
      </c>
      <c r="AX994" s="6" t="s">
        <v>21379</v>
      </c>
      <c r="AY994" s="6" t="s">
        <v>81</v>
      </c>
      <c r="AZ994" s="6" t="s">
        <v>81</v>
      </c>
      <c r="BA994" s="6" t="s">
        <v>81</v>
      </c>
      <c r="BB994" s="24" t="n">
        <v>510</v>
      </c>
      <c r="BC994" s="26"/>
      <c r="BD994" s="26"/>
      <c r="BE994" s="26"/>
      <c r="BF994" s="26" t="s">
        <v>23900</v>
      </c>
      <c r="BG994" s="26"/>
      <c r="BH994" s="26"/>
      <c r="BI994" s="26"/>
      <c r="BJ994" s="26"/>
      <c r="BK994" s="26"/>
      <c r="BL994" s="26"/>
      <c r="BM994" s="26"/>
      <c r="BN994" s="26"/>
      <c r="BO994" s="26"/>
      <c r="BP994" s="16" t="n">
        <v>45595</v>
      </c>
      <c r="BQ994" s="28" t="str">
        <f>HYPERLINK("https://organic.ams.usda.gov/Integrity/Certificate.aspx?cid=57&amp;nopid=3252016002")</f>
        <v>https://organic.ams.usda.gov/Integrity/Certificate.aspx?cid=57&amp;nopid=3252016002</v>
      </c>
    </row>
    <row r="995">
      <c r="A995" t="s">
        <v>3</v>
      </c>
      <c r="B995" s="6" t="s">
        <v>20</v>
      </c>
      <c r="C995" s="6" t="s">
        <v>67</v>
      </c>
      <c r="D995" s="6" t="s">
        <v>113</v>
      </c>
      <c r="E995" s="10" t="s">
        <v>1136</v>
      </c>
      <c r="F995" s="6" t="s">
        <v>3864</v>
      </c>
      <c r="G995" s="6" t="s">
        <v>81</v>
      </c>
      <c r="H995" s="6" t="s">
        <v>6805</v>
      </c>
      <c r="I995" s="6" t="s">
        <v>8969</v>
      </c>
      <c r="J995" s="6" t="s">
        <v>10171</v>
      </c>
      <c r="K995" s="6" t="s">
        <v>10886</v>
      </c>
      <c r="L995" s="16" t="n">
        <v>37375</v>
      </c>
      <c r="M995" s="16" t="n">
        <v>45772</v>
      </c>
      <c r="N995" s="6" t="s">
        <v>81</v>
      </c>
      <c r="O995" s="21" t="s">
        <v>81</v>
      </c>
      <c r="P995" s="6" t="s">
        <v>81</v>
      </c>
      <c r="Q995" s="6" t="s">
        <v>81</v>
      </c>
      <c r="R995" s="6" t="s">
        <v>81</v>
      </c>
      <c r="S995" s="6" t="s">
        <v>81</v>
      </c>
      <c r="T995" s="21" t="s">
        <v>81</v>
      </c>
      <c r="U995" s="6" t="s">
        <v>81</v>
      </c>
      <c r="V995" s="6" t="s">
        <v>81</v>
      </c>
      <c r="W995" s="6" t="s">
        <v>81</v>
      </c>
      <c r="X995" s="6" t="s">
        <v>81</v>
      </c>
      <c r="Y995" s="21" t="s">
        <v>81</v>
      </c>
      <c r="Z995" s="6" t="s">
        <v>81</v>
      </c>
      <c r="AA995" s="6" t="s">
        <v>81</v>
      </c>
      <c r="AB995" s="6" t="s">
        <v>81</v>
      </c>
      <c r="AC995" s="6" t="s">
        <v>10886</v>
      </c>
      <c r="AD995" s="16" t="n">
        <v>37375</v>
      </c>
      <c r="AE995" s="6" t="s">
        <v>14213</v>
      </c>
      <c r="AF995" s="6" t="s">
        <v>81</v>
      </c>
      <c r="AG995" s="6" t="s">
        <v>14555</v>
      </c>
      <c r="AH995" s="6" t="s">
        <v>15568</v>
      </c>
      <c r="AI995" s="6" t="s">
        <v>17287</v>
      </c>
      <c r="AJ995" s="6" t="s">
        <v>17850</v>
      </c>
      <c r="AK995" s="6" t="s">
        <v>18382</v>
      </c>
      <c r="AL995" s="6" t="s">
        <v>18444</v>
      </c>
      <c r="AM995" s="6" t="s">
        <v>19032</v>
      </c>
      <c r="AN995" s="6" t="s">
        <v>19704</v>
      </c>
      <c r="AO995" s="6" t="s">
        <v>81</v>
      </c>
      <c r="AP995" s="6" t="s">
        <v>15568</v>
      </c>
      <c r="AQ995" s="6" t="s">
        <v>17287</v>
      </c>
      <c r="AR995" s="6" t="s">
        <v>17850</v>
      </c>
      <c r="AS995" s="6" t="s">
        <v>18382</v>
      </c>
      <c r="AT995" s="6" t="s">
        <v>18444</v>
      </c>
      <c r="AU995" s="6" t="s">
        <v>19032</v>
      </c>
      <c r="AV995" s="6" t="s">
        <v>81</v>
      </c>
      <c r="AW995" s="6" t="s">
        <v>81</v>
      </c>
      <c r="AX995" s="6" t="s">
        <v>21380</v>
      </c>
      <c r="AY995" s="6" t="s">
        <v>22935</v>
      </c>
      <c r="AZ995" s="6" t="s">
        <v>81</v>
      </c>
      <c r="BA995" s="6" t="s">
        <v>81</v>
      </c>
      <c r="BB995" s="6" t="s">
        <v>81</v>
      </c>
      <c r="BC995" s="26"/>
      <c r="BD995" s="26"/>
      <c r="BE995" s="26"/>
      <c r="BF995" s="26"/>
      <c r="BG995" s="26"/>
      <c r="BH995" s="26" t="s">
        <v>23900</v>
      </c>
      <c r="BI995" s="26"/>
      <c r="BJ995" s="26"/>
      <c r="BK995" s="26"/>
      <c r="BL995" s="26"/>
      <c r="BM995" s="26"/>
      <c r="BN995" s="26"/>
      <c r="BO995" s="26"/>
      <c r="BP995" s="16" t="n">
        <v>45737</v>
      </c>
      <c r="BQ995" s="28" t="str">
        <f>HYPERLINK("https://organic.ams.usda.gov/Integrity/Certificate.aspx?cid=71&amp;nopid=5520030742")</f>
        <v>https://organic.ams.usda.gov/Integrity/Certificate.aspx?cid=71&amp;nopid=5520030742</v>
      </c>
    </row>
    <row r="996">
      <c r="A996" t="s">
        <v>3</v>
      </c>
      <c r="B996" s="6" t="s">
        <v>8</v>
      </c>
      <c r="C996" s="6" t="s">
        <v>55</v>
      </c>
      <c r="D996" s="6" t="s">
        <v>101</v>
      </c>
      <c r="E996" s="10" t="s">
        <v>1137</v>
      </c>
      <c r="F996" s="6" t="s">
        <v>3865</v>
      </c>
      <c r="G996" s="6" t="s">
        <v>81</v>
      </c>
      <c r="H996" s="6" t="s">
        <v>6806</v>
      </c>
      <c r="I996" s="6" t="s">
        <v>8970</v>
      </c>
      <c r="J996" s="6" t="s">
        <v>9742</v>
      </c>
      <c r="K996" s="6" t="s">
        <v>10886</v>
      </c>
      <c r="L996" s="16" t="n">
        <v>40291</v>
      </c>
      <c r="M996" s="16" t="n">
        <v>45748</v>
      </c>
      <c r="N996" s="6" t="s">
        <v>10886</v>
      </c>
      <c r="O996" s="16" t="n">
        <v>40291</v>
      </c>
      <c r="P996" s="6" t="s">
        <v>11486</v>
      </c>
      <c r="Q996" s="6" t="s">
        <v>81</v>
      </c>
      <c r="R996" s="6" t="s">
        <v>6806</v>
      </c>
      <c r="S996" s="6" t="s">
        <v>10886</v>
      </c>
      <c r="T996" s="16" t="n">
        <v>40291</v>
      </c>
      <c r="U996" s="6" t="s">
        <v>13516</v>
      </c>
      <c r="V996" s="6" t="s">
        <v>81</v>
      </c>
      <c r="W996" s="6" t="s">
        <v>6806</v>
      </c>
      <c r="X996" s="6" t="s">
        <v>10893</v>
      </c>
      <c r="Y996" s="16" t="n">
        <v>44546</v>
      </c>
      <c r="Z996" s="6" t="s">
        <v>81</v>
      </c>
      <c r="AA996" s="6" t="s">
        <v>81</v>
      </c>
      <c r="AB996" s="6" t="s">
        <v>81</v>
      </c>
      <c r="AC996" s="6" t="s">
        <v>81</v>
      </c>
      <c r="AD996" s="21" t="s">
        <v>81</v>
      </c>
      <c r="AE996" s="6" t="s">
        <v>81</v>
      </c>
      <c r="AF996" s="6" t="s">
        <v>81</v>
      </c>
      <c r="AG996" s="6" t="s">
        <v>81</v>
      </c>
      <c r="AH996" s="6" t="s">
        <v>15569</v>
      </c>
      <c r="AI996" s="6" t="s">
        <v>81</v>
      </c>
      <c r="AJ996" s="6" t="s">
        <v>17385</v>
      </c>
      <c r="AK996" s="6" t="s">
        <v>18377</v>
      </c>
      <c r="AL996" s="6" t="s">
        <v>18444</v>
      </c>
      <c r="AM996" s="6" t="s">
        <v>18539</v>
      </c>
      <c r="AN996" s="6" t="s">
        <v>19634</v>
      </c>
      <c r="AO996" s="6" t="s">
        <v>19764</v>
      </c>
      <c r="AP996" s="6" t="s">
        <v>81</v>
      </c>
      <c r="AQ996" s="6" t="s">
        <v>81</v>
      </c>
      <c r="AR996" s="6" t="s">
        <v>81</v>
      </c>
      <c r="AS996" s="6" t="s">
        <v>81</v>
      </c>
      <c r="AT996" s="6" t="s">
        <v>81</v>
      </c>
      <c r="AU996" s="6" t="s">
        <v>81</v>
      </c>
      <c r="AV996" s="6" t="s">
        <v>81</v>
      </c>
      <c r="AW996" s="6" t="s">
        <v>81</v>
      </c>
      <c r="AX996" s="6" t="s">
        <v>81</v>
      </c>
      <c r="AY996" s="6" t="s">
        <v>81</v>
      </c>
      <c r="AZ996" s="6" t="s">
        <v>81</v>
      </c>
      <c r="BA996" s="6" t="s">
        <v>23819</v>
      </c>
      <c r="BB996" s="24" t="n">
        <v>132</v>
      </c>
      <c r="BC996" s="26"/>
      <c r="BD996" s="26"/>
      <c r="BE996" s="26"/>
      <c r="BF996" s="26"/>
      <c r="BG996" s="26"/>
      <c r="BH996" s="26"/>
      <c r="BI996" s="26"/>
      <c r="BJ996" s="26"/>
      <c r="BK996" s="26"/>
      <c r="BL996" s="26"/>
      <c r="BM996" s="26"/>
      <c r="BN996" s="26"/>
      <c r="BO996" s="26"/>
      <c r="BP996" s="16" t="n">
        <v>45663</v>
      </c>
      <c r="BQ996" s="28" t="str">
        <f>HYPERLINK("https://organic.ams.usda.gov/Integrity/Certificate.aspx?cid=45&amp;nopid=9950003914")</f>
        <v>https://organic.ams.usda.gov/Integrity/Certificate.aspx?cid=45&amp;nopid=9950003914</v>
      </c>
    </row>
    <row r="997">
      <c r="A997" t="s">
        <v>3</v>
      </c>
      <c r="B997" s="6" t="s">
        <v>8</v>
      </c>
      <c r="C997" s="6" t="s">
        <v>55</v>
      </c>
      <c r="D997" s="6" t="s">
        <v>101</v>
      </c>
      <c r="E997" s="10" t="s">
        <v>1138</v>
      </c>
      <c r="F997" s="6" t="s">
        <v>3866</v>
      </c>
      <c r="G997" s="6" t="s">
        <v>81</v>
      </c>
      <c r="H997" s="6" t="s">
        <v>6807</v>
      </c>
      <c r="I997" s="6" t="s">
        <v>8909</v>
      </c>
      <c r="J997" s="6" t="s">
        <v>9671</v>
      </c>
      <c r="K997" s="6" t="s">
        <v>10886</v>
      </c>
      <c r="L997" s="16" t="n">
        <v>40417</v>
      </c>
      <c r="M997" s="16" t="n">
        <v>45383</v>
      </c>
      <c r="N997" s="6" t="s">
        <v>10886</v>
      </c>
      <c r="O997" s="16" t="n">
        <v>40417</v>
      </c>
      <c r="P997" s="6" t="s">
        <v>11487</v>
      </c>
      <c r="Q997" s="6" t="s">
        <v>81</v>
      </c>
      <c r="R997" s="6" t="s">
        <v>6807</v>
      </c>
      <c r="S997" s="6" t="s">
        <v>10886</v>
      </c>
      <c r="T997" s="16" t="n">
        <v>40417</v>
      </c>
      <c r="U997" s="6" t="s">
        <v>13221</v>
      </c>
      <c r="V997" s="6" t="s">
        <v>81</v>
      </c>
      <c r="W997" s="6" t="s">
        <v>6807</v>
      </c>
      <c r="X997" s="6" t="s">
        <v>81</v>
      </c>
      <c r="Y997" s="21" t="s">
        <v>81</v>
      </c>
      <c r="Z997" s="6" t="s">
        <v>81</v>
      </c>
      <c r="AA997" s="6" t="s">
        <v>81</v>
      </c>
      <c r="AB997" s="6" t="s">
        <v>81</v>
      </c>
      <c r="AC997" s="6" t="s">
        <v>10893</v>
      </c>
      <c r="AD997" s="16" t="n">
        <v>44216</v>
      </c>
      <c r="AE997" s="6" t="s">
        <v>81</v>
      </c>
      <c r="AF997" s="6" t="s">
        <v>81</v>
      </c>
      <c r="AG997" s="6" t="s">
        <v>81</v>
      </c>
      <c r="AH997" s="6" t="s">
        <v>15570</v>
      </c>
      <c r="AI997" s="6" t="s">
        <v>81</v>
      </c>
      <c r="AJ997" s="6" t="s">
        <v>17337</v>
      </c>
      <c r="AK997" s="6" t="s">
        <v>18377</v>
      </c>
      <c r="AL997" s="6" t="s">
        <v>18444</v>
      </c>
      <c r="AM997" s="6" t="s">
        <v>18491</v>
      </c>
      <c r="AN997" s="6" t="s">
        <v>19643</v>
      </c>
      <c r="AO997" s="6" t="s">
        <v>19730</v>
      </c>
      <c r="AP997" s="6" t="s">
        <v>81</v>
      </c>
      <c r="AQ997" s="6" t="s">
        <v>81</v>
      </c>
      <c r="AR997" s="6" t="s">
        <v>81</v>
      </c>
      <c r="AS997" s="6" t="s">
        <v>81</v>
      </c>
      <c r="AT997" s="6" t="s">
        <v>81</v>
      </c>
      <c r="AU997" s="6" t="s">
        <v>81</v>
      </c>
      <c r="AV997" s="6" t="s">
        <v>81</v>
      </c>
      <c r="AW997" s="6" t="s">
        <v>81</v>
      </c>
      <c r="AX997" s="6" t="s">
        <v>81</v>
      </c>
      <c r="AY997" s="6" t="s">
        <v>81</v>
      </c>
      <c r="AZ997" s="6" t="s">
        <v>81</v>
      </c>
      <c r="BA997" s="6" t="s">
        <v>23824</v>
      </c>
      <c r="BB997" s="24" t="n">
        <v>128</v>
      </c>
      <c r="BC997" s="26"/>
      <c r="BD997" s="26"/>
      <c r="BE997" s="26"/>
      <c r="BF997" s="26" t="s">
        <v>23900</v>
      </c>
      <c r="BG997" s="26"/>
      <c r="BH997" s="26"/>
      <c r="BI997" s="26"/>
      <c r="BJ997" s="26"/>
      <c r="BK997" s="26"/>
      <c r="BL997" s="26"/>
      <c r="BM997" s="26"/>
      <c r="BN997" s="26"/>
      <c r="BO997" s="26"/>
      <c r="BP997" s="16" t="n">
        <v>45426</v>
      </c>
      <c r="BQ997" s="28" t="str">
        <f>HYPERLINK("https://organic.ams.usda.gov/Integrity/Certificate.aspx?cid=45&amp;nopid=9950004036")</f>
        <v>https://organic.ams.usda.gov/Integrity/Certificate.aspx?cid=45&amp;nopid=9950004036</v>
      </c>
    </row>
    <row r="998">
      <c r="A998" t="s">
        <v>3</v>
      </c>
      <c r="B998" s="6" t="s">
        <v>7</v>
      </c>
      <c r="C998" s="6" t="s">
        <v>54</v>
      </c>
      <c r="D998" s="6" t="s">
        <v>100</v>
      </c>
      <c r="E998" s="10" t="s">
        <v>1139</v>
      </c>
      <c r="F998" s="6" t="s">
        <v>3867</v>
      </c>
      <c r="G998" s="6" t="s">
        <v>81</v>
      </c>
      <c r="H998" s="6" t="s">
        <v>6808</v>
      </c>
      <c r="I998" s="6" t="s">
        <v>8971</v>
      </c>
      <c r="J998" s="6" t="s">
        <v>10172</v>
      </c>
      <c r="K998" s="6" t="s">
        <v>10886</v>
      </c>
      <c r="L998" s="16" t="n">
        <v>42997</v>
      </c>
      <c r="M998" s="16" t="n">
        <v>45350</v>
      </c>
      <c r="N998" s="6" t="s">
        <v>10886</v>
      </c>
      <c r="O998" s="16" t="n">
        <v>42997</v>
      </c>
      <c r="P998" s="6" t="s">
        <v>10925</v>
      </c>
      <c r="Q998" s="6" t="s">
        <v>81</v>
      </c>
      <c r="R998" s="6" t="s">
        <v>81</v>
      </c>
      <c r="S998" s="6" t="s">
        <v>10886</v>
      </c>
      <c r="T998" s="16" t="n">
        <v>43230</v>
      </c>
      <c r="U998" s="6" t="s">
        <v>13475</v>
      </c>
      <c r="V998" s="6" t="s">
        <v>81</v>
      </c>
      <c r="W998" s="6" t="s">
        <v>81</v>
      </c>
      <c r="X998" s="6" t="s">
        <v>81</v>
      </c>
      <c r="Y998" s="21" t="s">
        <v>81</v>
      </c>
      <c r="Z998" s="6" t="s">
        <v>81</v>
      </c>
      <c r="AA998" s="6" t="s">
        <v>81</v>
      </c>
      <c r="AB998" s="6" t="s">
        <v>81</v>
      </c>
      <c r="AC998" s="6" t="s">
        <v>81</v>
      </c>
      <c r="AD998" s="21" t="s">
        <v>81</v>
      </c>
      <c r="AE998" s="6" t="s">
        <v>81</v>
      </c>
      <c r="AF998" s="6" t="s">
        <v>81</v>
      </c>
      <c r="AG998" s="6" t="s">
        <v>81</v>
      </c>
      <c r="AH998" s="6" t="s">
        <v>15571</v>
      </c>
      <c r="AI998" s="6" t="s">
        <v>81</v>
      </c>
      <c r="AJ998" s="6" t="s">
        <v>17435</v>
      </c>
      <c r="AK998" s="6" t="s">
        <v>17712</v>
      </c>
      <c r="AL998" s="6" t="s">
        <v>18444</v>
      </c>
      <c r="AM998" s="6" t="s">
        <v>5928</v>
      </c>
      <c r="AN998" s="6" t="s">
        <v>19651</v>
      </c>
      <c r="AO998" s="6" t="s">
        <v>19741</v>
      </c>
      <c r="AP998" s="6" t="s">
        <v>15571</v>
      </c>
      <c r="AQ998" s="6" t="s">
        <v>81</v>
      </c>
      <c r="AR998" s="6" t="s">
        <v>17435</v>
      </c>
      <c r="AS998" s="6" t="s">
        <v>17712</v>
      </c>
      <c r="AT998" s="6" t="s">
        <v>18444</v>
      </c>
      <c r="AU998" s="6" t="s">
        <v>5928</v>
      </c>
      <c r="AV998" s="6" t="s">
        <v>81</v>
      </c>
      <c r="AW998" s="6" t="s">
        <v>81</v>
      </c>
      <c r="AX998" s="6" t="s">
        <v>21381</v>
      </c>
      <c r="AY998" s="6" t="s">
        <v>22936</v>
      </c>
      <c r="AZ998" s="6" t="s">
        <v>81</v>
      </c>
      <c r="BA998" s="6" t="s">
        <v>81</v>
      </c>
      <c r="BB998" s="24" t="n">
        <v>495</v>
      </c>
      <c r="BC998" s="26"/>
      <c r="BD998" s="26"/>
      <c r="BE998" s="26"/>
      <c r="BF998" s="26" t="s">
        <v>23900</v>
      </c>
      <c r="BG998" s="26"/>
      <c r="BH998" s="26"/>
      <c r="BI998" s="26"/>
      <c r="BJ998" s="26"/>
      <c r="BK998" s="26"/>
      <c r="BL998" s="26"/>
      <c r="BM998" s="26"/>
      <c r="BN998" s="26"/>
      <c r="BO998" s="26"/>
      <c r="BP998" s="16" t="n">
        <v>45474</v>
      </c>
      <c r="BQ998" s="28" t="str">
        <f>HYPERLINK("https://organic.ams.usda.gov/Integrity/Certificate.aspx?cid=57&amp;nopid=3252017109")</f>
        <v>https://organic.ams.usda.gov/Integrity/Certificate.aspx?cid=57&amp;nopid=3252017109</v>
      </c>
    </row>
    <row r="999">
      <c r="A999" t="s">
        <v>3</v>
      </c>
      <c r="B999" s="6" t="s">
        <v>35</v>
      </c>
      <c r="C999" s="6" t="s">
        <v>82</v>
      </c>
      <c r="D999" s="6" t="s">
        <v>127</v>
      </c>
      <c r="E999" s="10" t="s">
        <v>1140</v>
      </c>
      <c r="F999" s="6" t="s">
        <v>3868</v>
      </c>
      <c r="G999" s="6" t="s">
        <v>81</v>
      </c>
      <c r="H999" s="6" t="s">
        <v>6809</v>
      </c>
      <c r="I999" s="6" t="s">
        <v>8972</v>
      </c>
      <c r="J999" s="6" t="s">
        <v>10172</v>
      </c>
      <c r="K999" s="6" t="s">
        <v>10886</v>
      </c>
      <c r="L999" s="16" t="n">
        <v>37514</v>
      </c>
      <c r="M999" s="16" t="n">
        <v>45762</v>
      </c>
      <c r="N999" s="6" t="s">
        <v>10886</v>
      </c>
      <c r="O999" s="16" t="n">
        <v>37514</v>
      </c>
      <c r="P999" s="6" t="s">
        <v>11488</v>
      </c>
      <c r="Q999" s="6" t="s">
        <v>81</v>
      </c>
      <c r="R999" s="6" t="s">
        <v>12705</v>
      </c>
      <c r="S999" s="6" t="s">
        <v>10886</v>
      </c>
      <c r="T999" s="16" t="n">
        <v>37514</v>
      </c>
      <c r="U999" s="6" t="s">
        <v>13320</v>
      </c>
      <c r="V999" s="6" t="s">
        <v>81</v>
      </c>
      <c r="W999" s="6" t="s">
        <v>12705</v>
      </c>
      <c r="X999" s="6" t="s">
        <v>81</v>
      </c>
      <c r="Y999" s="21" t="s">
        <v>81</v>
      </c>
      <c r="Z999" s="6" t="s">
        <v>81</v>
      </c>
      <c r="AA999" s="6" t="s">
        <v>81</v>
      </c>
      <c r="AB999" s="6" t="s">
        <v>81</v>
      </c>
      <c r="AC999" s="6" t="s">
        <v>81</v>
      </c>
      <c r="AD999" s="21" t="s">
        <v>81</v>
      </c>
      <c r="AE999" s="6" t="s">
        <v>81</v>
      </c>
      <c r="AF999" s="6" t="s">
        <v>81</v>
      </c>
      <c r="AG999" s="6" t="s">
        <v>81</v>
      </c>
      <c r="AH999" s="6" t="s">
        <v>15572</v>
      </c>
      <c r="AI999" s="6" t="s">
        <v>81</v>
      </c>
      <c r="AJ999" s="6" t="s">
        <v>17851</v>
      </c>
      <c r="AK999" s="6" t="s">
        <v>18405</v>
      </c>
      <c r="AL999" s="6" t="s">
        <v>18444</v>
      </c>
      <c r="AM999" s="6" t="s">
        <v>19033</v>
      </c>
      <c r="AN999" s="6" t="s">
        <v>19692</v>
      </c>
      <c r="AO999" s="6" t="s">
        <v>19751</v>
      </c>
      <c r="AP999" s="6" t="s">
        <v>20242</v>
      </c>
      <c r="AQ999" s="6" t="s">
        <v>81</v>
      </c>
      <c r="AR999" s="6" t="s">
        <v>20530</v>
      </c>
      <c r="AS999" s="6" t="s">
        <v>18405</v>
      </c>
      <c r="AT999" s="6" t="s">
        <v>18444</v>
      </c>
      <c r="AU999" s="6" t="s">
        <v>19033</v>
      </c>
      <c r="AV999" s="6" t="s">
        <v>81</v>
      </c>
      <c r="AW999" s="6" t="s">
        <v>81</v>
      </c>
      <c r="AX999" s="6" t="s">
        <v>21382</v>
      </c>
      <c r="AY999" s="6" t="s">
        <v>22937</v>
      </c>
      <c r="AZ999" s="6" t="s">
        <v>23675</v>
      </c>
      <c r="BA999" s="6" t="s">
        <v>81</v>
      </c>
      <c r="BB999" s="24" t="n">
        <v>264</v>
      </c>
      <c r="BC999" s="26"/>
      <c r="BD999" s="26"/>
      <c r="BE999" s="26"/>
      <c r="BF999" s="26"/>
      <c r="BG999" s="26"/>
      <c r="BH999" s="26"/>
      <c r="BI999" s="26"/>
      <c r="BJ999" s="26"/>
      <c r="BK999" s="26"/>
      <c r="BL999" s="26"/>
      <c r="BM999" s="26"/>
      <c r="BN999" s="26"/>
      <c r="BO999" s="26"/>
      <c r="BP999" s="16" t="n">
        <v>45720</v>
      </c>
      <c r="BQ999" s="28" t="str">
        <f>HYPERLINK("https://organic.ams.usda.gov/Integrity/Certificate.aspx?cid=47&amp;nopid=7142070558")</f>
        <v>https://organic.ams.usda.gov/Integrity/Certificate.aspx?cid=47&amp;nopid=7142070558</v>
      </c>
    </row>
    <row r="1000">
      <c r="A1000" t="s">
        <v>3</v>
      </c>
      <c r="B1000" s="6" t="s">
        <v>8</v>
      </c>
      <c r="C1000" s="6" t="s">
        <v>55</v>
      </c>
      <c r="D1000" s="6" t="s">
        <v>101</v>
      </c>
      <c r="E1000" s="10" t="s">
        <v>1141</v>
      </c>
      <c r="F1000" s="6" t="s">
        <v>3869</v>
      </c>
      <c r="G1000" s="6" t="s">
        <v>81</v>
      </c>
      <c r="H1000" s="6" t="s">
        <v>6810</v>
      </c>
      <c r="I1000" s="6" t="s">
        <v>8928</v>
      </c>
      <c r="J1000" s="6" t="s">
        <v>9666</v>
      </c>
      <c r="K1000" s="6" t="s">
        <v>10886</v>
      </c>
      <c r="L1000" s="16" t="n">
        <v>39126</v>
      </c>
      <c r="M1000" s="16" t="n">
        <v>45383</v>
      </c>
      <c r="N1000" s="6" t="s">
        <v>10886</v>
      </c>
      <c r="O1000" s="16" t="n">
        <v>39126</v>
      </c>
      <c r="P1000" s="6" t="s">
        <v>11489</v>
      </c>
      <c r="Q1000" s="6" t="s">
        <v>81</v>
      </c>
      <c r="R1000" s="6" t="s">
        <v>6810</v>
      </c>
      <c r="S1000" s="6" t="s">
        <v>10886</v>
      </c>
      <c r="T1000" s="16" t="n">
        <v>39126</v>
      </c>
      <c r="U1000" s="6" t="s">
        <v>13179</v>
      </c>
      <c r="V1000" s="6" t="s">
        <v>81</v>
      </c>
      <c r="W1000" s="6" t="s">
        <v>6810</v>
      </c>
      <c r="X1000" s="6" t="s">
        <v>81</v>
      </c>
      <c r="Y1000" s="21" t="s">
        <v>81</v>
      </c>
      <c r="Z1000" s="6" t="s">
        <v>81</v>
      </c>
      <c r="AA1000" s="6" t="s">
        <v>81</v>
      </c>
      <c r="AB1000" s="6" t="s">
        <v>81</v>
      </c>
      <c r="AC1000" s="6" t="s">
        <v>81</v>
      </c>
      <c r="AD1000" s="21" t="s">
        <v>81</v>
      </c>
      <c r="AE1000" s="6" t="s">
        <v>81</v>
      </c>
      <c r="AF1000" s="6" t="s">
        <v>81</v>
      </c>
      <c r="AG1000" s="6" t="s">
        <v>81</v>
      </c>
      <c r="AH1000" s="6" t="s">
        <v>15573</v>
      </c>
      <c r="AI1000" s="6" t="s">
        <v>81</v>
      </c>
      <c r="AJ1000" s="6" t="s">
        <v>9637</v>
      </c>
      <c r="AK1000" s="6" t="s">
        <v>18377</v>
      </c>
      <c r="AL1000" s="6" t="s">
        <v>18444</v>
      </c>
      <c r="AM1000" s="6" t="s">
        <v>18799</v>
      </c>
      <c r="AN1000" s="6" t="s">
        <v>7895</v>
      </c>
      <c r="AO1000" s="6" t="s">
        <v>19773</v>
      </c>
      <c r="AP1000" s="6" t="s">
        <v>81</v>
      </c>
      <c r="AQ1000" s="6" t="s">
        <v>81</v>
      </c>
      <c r="AR1000" s="6" t="s">
        <v>81</v>
      </c>
      <c r="AS1000" s="6" t="s">
        <v>81</v>
      </c>
      <c r="AT1000" s="6" t="s">
        <v>81</v>
      </c>
      <c r="AU1000" s="6" t="s">
        <v>81</v>
      </c>
      <c r="AV1000" s="6" t="s">
        <v>81</v>
      </c>
      <c r="AW1000" s="6" t="s">
        <v>81</v>
      </c>
      <c r="AX1000" s="6" t="s">
        <v>81</v>
      </c>
      <c r="AY1000" s="6" t="s">
        <v>81</v>
      </c>
      <c r="AZ1000" s="6" t="s">
        <v>81</v>
      </c>
      <c r="BA1000" s="6" t="s">
        <v>23819</v>
      </c>
      <c r="BB1000" s="24" t="n">
        <v>157</v>
      </c>
      <c r="BC1000" s="26"/>
      <c r="BD1000" s="26"/>
      <c r="BE1000" s="26"/>
      <c r="BF1000" s="26" t="s">
        <v>23900</v>
      </c>
      <c r="BG1000" s="26"/>
      <c r="BH1000" s="26"/>
      <c r="BI1000" s="26"/>
      <c r="BJ1000" s="26"/>
      <c r="BK1000" s="26"/>
      <c r="BL1000" s="26"/>
      <c r="BM1000" s="26"/>
      <c r="BN1000" s="26"/>
      <c r="BO1000" s="26"/>
      <c r="BP1000" s="16" t="n">
        <v>45413</v>
      </c>
      <c r="BQ1000" s="28" t="str">
        <f>HYPERLINK("https://organic.ams.usda.gov/Integrity/Certificate.aspx?cid=45&amp;nopid=9950002337")</f>
        <v>https://organic.ams.usda.gov/Integrity/Certificate.aspx?cid=45&amp;nopid=9950002337</v>
      </c>
    </row>
    <row r="1001">
      <c r="A1001" t="s">
        <v>3</v>
      </c>
      <c r="B1001" s="6" t="s">
        <v>8</v>
      </c>
      <c r="C1001" s="6" t="s">
        <v>55</v>
      </c>
      <c r="D1001" s="6" t="s">
        <v>101</v>
      </c>
      <c r="E1001" s="10" t="s">
        <v>1142</v>
      </c>
      <c r="F1001" s="6" t="s">
        <v>3870</v>
      </c>
      <c r="G1001" s="6" t="s">
        <v>5680</v>
      </c>
      <c r="H1001" s="6" t="s">
        <v>6811</v>
      </c>
      <c r="I1001" s="6" t="s">
        <v>8973</v>
      </c>
      <c r="J1001" s="6" t="s">
        <v>10173</v>
      </c>
      <c r="K1001" s="6" t="s">
        <v>10886</v>
      </c>
      <c r="L1001" s="16" t="n">
        <v>39412</v>
      </c>
      <c r="M1001" s="16" t="n">
        <v>45689</v>
      </c>
      <c r="N1001" s="6" t="s">
        <v>10886</v>
      </c>
      <c r="O1001" s="16" t="n">
        <v>39412</v>
      </c>
      <c r="P1001" s="6" t="s">
        <v>11490</v>
      </c>
      <c r="Q1001" s="6" t="s">
        <v>81</v>
      </c>
      <c r="R1001" s="6" t="s">
        <v>6811</v>
      </c>
      <c r="S1001" s="6" t="s">
        <v>10886</v>
      </c>
      <c r="T1001" s="16" t="n">
        <v>39412</v>
      </c>
      <c r="U1001" s="6" t="s">
        <v>13271</v>
      </c>
      <c r="V1001" s="6" t="s">
        <v>81</v>
      </c>
      <c r="W1001" s="6" t="s">
        <v>6811</v>
      </c>
      <c r="X1001" s="6" t="s">
        <v>81</v>
      </c>
      <c r="Y1001" s="21" t="s">
        <v>81</v>
      </c>
      <c r="Z1001" s="6" t="s">
        <v>81</v>
      </c>
      <c r="AA1001" s="6" t="s">
        <v>81</v>
      </c>
      <c r="AB1001" s="6" t="s">
        <v>81</v>
      </c>
      <c r="AC1001" s="6" t="s">
        <v>81</v>
      </c>
      <c r="AD1001" s="21" t="s">
        <v>81</v>
      </c>
      <c r="AE1001" s="6" t="s">
        <v>81</v>
      </c>
      <c r="AF1001" s="6" t="s">
        <v>81</v>
      </c>
      <c r="AG1001" s="6" t="s">
        <v>81</v>
      </c>
      <c r="AH1001" s="6" t="s">
        <v>15574</v>
      </c>
      <c r="AI1001" s="6" t="s">
        <v>81</v>
      </c>
      <c r="AJ1001" s="6" t="s">
        <v>17852</v>
      </c>
      <c r="AK1001" s="6" t="s">
        <v>18377</v>
      </c>
      <c r="AL1001" s="6" t="s">
        <v>18444</v>
      </c>
      <c r="AM1001" s="6" t="s">
        <v>19034</v>
      </c>
      <c r="AN1001" s="6" t="s">
        <v>6132</v>
      </c>
      <c r="AO1001" s="6" t="s">
        <v>19790</v>
      </c>
      <c r="AP1001" s="6" t="s">
        <v>81</v>
      </c>
      <c r="AQ1001" s="6" t="s">
        <v>81</v>
      </c>
      <c r="AR1001" s="6" t="s">
        <v>81</v>
      </c>
      <c r="AS1001" s="6" t="s">
        <v>81</v>
      </c>
      <c r="AT1001" s="6" t="s">
        <v>81</v>
      </c>
      <c r="AU1001" s="6" t="s">
        <v>81</v>
      </c>
      <c r="AV1001" s="6" t="s">
        <v>81</v>
      </c>
      <c r="AW1001" s="6" t="s">
        <v>81</v>
      </c>
      <c r="AX1001" s="6" t="s">
        <v>21383</v>
      </c>
      <c r="AY1001" s="6" t="s">
        <v>22938</v>
      </c>
      <c r="AZ1001" s="6" t="s">
        <v>81</v>
      </c>
      <c r="BA1001" s="6" t="s">
        <v>23819</v>
      </c>
      <c r="BB1001" s="24" t="n">
        <v>186</v>
      </c>
      <c r="BC1001" s="26"/>
      <c r="BD1001" s="26"/>
      <c r="BE1001" s="26"/>
      <c r="BF1001" s="26" t="s">
        <v>23900</v>
      </c>
      <c r="BG1001" s="26"/>
      <c r="BH1001" s="26"/>
      <c r="BI1001" s="26"/>
      <c r="BJ1001" s="26"/>
      <c r="BK1001" s="26"/>
      <c r="BL1001" s="26"/>
      <c r="BM1001" s="26"/>
      <c r="BN1001" s="26"/>
      <c r="BO1001" s="26"/>
      <c r="BP1001" s="16" t="n">
        <v>45709</v>
      </c>
      <c r="BQ1001" s="28" t="str">
        <f>HYPERLINK("https://organic.ams.usda.gov/Integrity/Certificate.aspx?cid=45&amp;nopid=9950002822")</f>
        <v>https://organic.ams.usda.gov/Integrity/Certificate.aspx?cid=45&amp;nopid=9950002822</v>
      </c>
    </row>
    <row r="1002">
      <c r="A1002" t="s">
        <v>3</v>
      </c>
      <c r="B1002" s="6" t="s">
        <v>8</v>
      </c>
      <c r="C1002" s="6" t="s">
        <v>55</v>
      </c>
      <c r="D1002" s="6" t="s">
        <v>101</v>
      </c>
      <c r="E1002" s="10" t="s">
        <v>1143</v>
      </c>
      <c r="F1002" s="6" t="s">
        <v>3871</v>
      </c>
      <c r="G1002" s="6" t="s">
        <v>81</v>
      </c>
      <c r="H1002" s="6" t="s">
        <v>6812</v>
      </c>
      <c r="I1002" s="6" t="s">
        <v>8478</v>
      </c>
      <c r="J1002" s="6" t="s">
        <v>10174</v>
      </c>
      <c r="K1002" s="6" t="s">
        <v>10886</v>
      </c>
      <c r="L1002" s="16" t="n">
        <v>38903</v>
      </c>
      <c r="M1002" s="16" t="n">
        <v>45748</v>
      </c>
      <c r="N1002" s="6" t="s">
        <v>10886</v>
      </c>
      <c r="O1002" s="16" t="n">
        <v>38903</v>
      </c>
      <c r="P1002" s="6" t="s">
        <v>11491</v>
      </c>
      <c r="Q1002" s="6" t="s">
        <v>81</v>
      </c>
      <c r="R1002" s="6" t="s">
        <v>6812</v>
      </c>
      <c r="S1002" s="6" t="s">
        <v>10886</v>
      </c>
      <c r="T1002" s="16" t="n">
        <v>38903</v>
      </c>
      <c r="U1002" s="6" t="s">
        <v>13179</v>
      </c>
      <c r="V1002" s="6" t="s">
        <v>81</v>
      </c>
      <c r="W1002" s="6" t="s">
        <v>6812</v>
      </c>
      <c r="X1002" s="6" t="s">
        <v>81</v>
      </c>
      <c r="Y1002" s="21" t="s">
        <v>81</v>
      </c>
      <c r="Z1002" s="6" t="s">
        <v>81</v>
      </c>
      <c r="AA1002" s="6" t="s">
        <v>81</v>
      </c>
      <c r="AB1002" s="6" t="s">
        <v>81</v>
      </c>
      <c r="AC1002" s="6" t="s">
        <v>81</v>
      </c>
      <c r="AD1002" s="21" t="s">
        <v>81</v>
      </c>
      <c r="AE1002" s="6" t="s">
        <v>81</v>
      </c>
      <c r="AF1002" s="6" t="s">
        <v>81</v>
      </c>
      <c r="AG1002" s="6" t="s">
        <v>81</v>
      </c>
      <c r="AH1002" s="6" t="s">
        <v>15575</v>
      </c>
      <c r="AI1002" s="6" t="s">
        <v>81</v>
      </c>
      <c r="AJ1002" s="6" t="s">
        <v>17853</v>
      </c>
      <c r="AK1002" s="6" t="s">
        <v>18377</v>
      </c>
      <c r="AL1002" s="6" t="s">
        <v>18444</v>
      </c>
      <c r="AM1002" s="6" t="s">
        <v>19035</v>
      </c>
      <c r="AN1002" s="6" t="s">
        <v>6842</v>
      </c>
      <c r="AO1002" s="6" t="s">
        <v>19788</v>
      </c>
      <c r="AP1002" s="6" t="s">
        <v>20243</v>
      </c>
      <c r="AQ1002" s="6" t="s">
        <v>81</v>
      </c>
      <c r="AR1002" s="6" t="s">
        <v>17853</v>
      </c>
      <c r="AS1002" s="6" t="s">
        <v>18377</v>
      </c>
      <c r="AT1002" s="6" t="s">
        <v>18444</v>
      </c>
      <c r="AU1002" s="6" t="s">
        <v>19035</v>
      </c>
      <c r="AV1002" s="6" t="s">
        <v>81</v>
      </c>
      <c r="AW1002" s="6" t="s">
        <v>81</v>
      </c>
      <c r="AX1002" s="6" t="s">
        <v>81</v>
      </c>
      <c r="AY1002" s="6" t="s">
        <v>22939</v>
      </c>
      <c r="AZ1002" s="6" t="s">
        <v>81</v>
      </c>
      <c r="BA1002" s="6" t="s">
        <v>23824</v>
      </c>
      <c r="BB1002" s="24" t="n">
        <v>275</v>
      </c>
      <c r="BC1002" s="26"/>
      <c r="BD1002" s="26"/>
      <c r="BE1002" s="26"/>
      <c r="BF1002" s="26" t="s">
        <v>23900</v>
      </c>
      <c r="BG1002" s="26"/>
      <c r="BH1002" s="26"/>
      <c r="BI1002" s="26"/>
      <c r="BJ1002" s="26"/>
      <c r="BK1002" s="26"/>
      <c r="BL1002" s="26"/>
      <c r="BM1002" s="26"/>
      <c r="BN1002" s="26"/>
      <c r="BO1002" s="26"/>
      <c r="BP1002" s="16" t="n">
        <v>45548</v>
      </c>
      <c r="BQ1002" s="28" t="str">
        <f>HYPERLINK("https://organic.ams.usda.gov/Integrity/Certificate.aspx?cid=45&amp;nopid=9950002362")</f>
        <v>https://organic.ams.usda.gov/Integrity/Certificate.aspx?cid=45&amp;nopid=9950002362</v>
      </c>
    </row>
    <row r="1003">
      <c r="A1003" t="s">
        <v>3</v>
      </c>
      <c r="B1003" s="6" t="s">
        <v>7</v>
      </c>
      <c r="C1003" s="6" t="s">
        <v>54</v>
      </c>
      <c r="D1003" s="6" t="s">
        <v>100</v>
      </c>
      <c r="E1003" s="10" t="s">
        <v>1144</v>
      </c>
      <c r="F1003" s="6" t="s">
        <v>3872</v>
      </c>
      <c r="G1003" s="6" t="s">
        <v>81</v>
      </c>
      <c r="H1003" s="6" t="s">
        <v>6813</v>
      </c>
      <c r="I1003" s="6" t="s">
        <v>8513</v>
      </c>
      <c r="J1003" s="6" t="s">
        <v>10175</v>
      </c>
      <c r="K1003" s="6" t="s">
        <v>10886</v>
      </c>
      <c r="L1003" s="16" t="n">
        <v>37486</v>
      </c>
      <c r="M1003" s="16" t="n">
        <v>45716</v>
      </c>
      <c r="N1003" s="6" t="s">
        <v>10886</v>
      </c>
      <c r="O1003" s="16" t="n">
        <v>37486</v>
      </c>
      <c r="P1003" s="6" t="s">
        <v>11492</v>
      </c>
      <c r="Q1003" s="6" t="s">
        <v>81</v>
      </c>
      <c r="R1003" s="6" t="s">
        <v>81</v>
      </c>
      <c r="S1003" s="6" t="s">
        <v>10886</v>
      </c>
      <c r="T1003" s="16" t="n">
        <v>37486</v>
      </c>
      <c r="U1003" s="6" t="s">
        <v>13225</v>
      </c>
      <c r="V1003" s="6" t="s">
        <v>81</v>
      </c>
      <c r="W1003" s="6" t="s">
        <v>81</v>
      </c>
      <c r="X1003" s="6" t="s">
        <v>81</v>
      </c>
      <c r="Y1003" s="21" t="s">
        <v>81</v>
      </c>
      <c r="Z1003" s="6" t="s">
        <v>81</v>
      </c>
      <c r="AA1003" s="6" t="s">
        <v>81</v>
      </c>
      <c r="AB1003" s="6" t="s">
        <v>81</v>
      </c>
      <c r="AC1003" s="6" t="s">
        <v>81</v>
      </c>
      <c r="AD1003" s="21" t="s">
        <v>81</v>
      </c>
      <c r="AE1003" s="6" t="s">
        <v>81</v>
      </c>
      <c r="AF1003" s="6" t="s">
        <v>81</v>
      </c>
      <c r="AG1003" s="6" t="s">
        <v>81</v>
      </c>
      <c r="AH1003" s="6" t="s">
        <v>15576</v>
      </c>
      <c r="AI1003" s="6" t="s">
        <v>81</v>
      </c>
      <c r="AJ1003" s="6" t="s">
        <v>17796</v>
      </c>
      <c r="AK1003" s="6" t="s">
        <v>17712</v>
      </c>
      <c r="AL1003" s="6" t="s">
        <v>18444</v>
      </c>
      <c r="AM1003" s="6" t="s">
        <v>18973</v>
      </c>
      <c r="AN1003" s="6" t="s">
        <v>7195</v>
      </c>
      <c r="AO1003" s="6" t="s">
        <v>19735</v>
      </c>
      <c r="AP1003" s="6" t="s">
        <v>15576</v>
      </c>
      <c r="AQ1003" s="6" t="s">
        <v>81</v>
      </c>
      <c r="AR1003" s="6" t="s">
        <v>17796</v>
      </c>
      <c r="AS1003" s="6" t="s">
        <v>17712</v>
      </c>
      <c r="AT1003" s="6" t="s">
        <v>18444</v>
      </c>
      <c r="AU1003" s="6" t="s">
        <v>20652</v>
      </c>
      <c r="AV1003" s="6" t="s">
        <v>81</v>
      </c>
      <c r="AW1003" s="6" t="s">
        <v>81</v>
      </c>
      <c r="AX1003" s="6" t="s">
        <v>21384</v>
      </c>
      <c r="AY1003" s="6" t="s">
        <v>81</v>
      </c>
      <c r="AZ1003" s="6" t="s">
        <v>81</v>
      </c>
      <c r="BA1003" s="6" t="s">
        <v>81</v>
      </c>
      <c r="BB1003" s="24" t="n">
        <v>4</v>
      </c>
      <c r="BC1003" s="26"/>
      <c r="BD1003" s="26"/>
      <c r="BE1003" s="26"/>
      <c r="BF1003" s="26" t="s">
        <v>23900</v>
      </c>
      <c r="BG1003" s="26"/>
      <c r="BH1003" s="26"/>
      <c r="BI1003" s="26"/>
      <c r="BJ1003" s="26"/>
      <c r="BK1003" s="26"/>
      <c r="BL1003" s="26"/>
      <c r="BM1003" s="26"/>
      <c r="BN1003" s="26"/>
      <c r="BO1003" s="26"/>
      <c r="BP1003" s="16" t="n">
        <v>45721</v>
      </c>
      <c r="BQ1003" s="28" t="str">
        <f>HYPERLINK("https://organic.ams.usda.gov/Integrity/Certificate.aspx?cid=57&amp;nopid=3250990025")</f>
        <v>https://organic.ams.usda.gov/Integrity/Certificate.aspx?cid=57&amp;nopid=3250990025</v>
      </c>
    </row>
    <row r="1004">
      <c r="A1004" t="s">
        <v>3</v>
      </c>
      <c r="B1004" s="6" t="s">
        <v>35</v>
      </c>
      <c r="C1004" s="6" t="s">
        <v>82</v>
      </c>
      <c r="D1004" s="6" t="s">
        <v>127</v>
      </c>
      <c r="E1004" s="10" t="s">
        <v>1145</v>
      </c>
      <c r="F1004" s="6" t="s">
        <v>3873</v>
      </c>
      <c r="G1004" s="6" t="s">
        <v>81</v>
      </c>
      <c r="H1004" s="6" t="s">
        <v>6814</v>
      </c>
      <c r="I1004" s="6" t="s">
        <v>8887</v>
      </c>
      <c r="J1004" s="6" t="s">
        <v>10175</v>
      </c>
      <c r="K1004" s="6" t="s">
        <v>10886</v>
      </c>
      <c r="L1004" s="16" t="n">
        <v>37894</v>
      </c>
      <c r="M1004" s="16" t="n">
        <v>46163</v>
      </c>
      <c r="N1004" s="6" t="s">
        <v>10886</v>
      </c>
      <c r="O1004" s="16" t="n">
        <v>37894</v>
      </c>
      <c r="P1004" s="6" t="s">
        <v>11140</v>
      </c>
      <c r="Q1004" s="6" t="s">
        <v>81</v>
      </c>
      <c r="R1004" s="6" t="s">
        <v>12706</v>
      </c>
      <c r="S1004" s="6" t="s">
        <v>10886</v>
      </c>
      <c r="T1004" s="16" t="n">
        <v>37894</v>
      </c>
      <c r="U1004" s="6" t="s">
        <v>13320</v>
      </c>
      <c r="V1004" s="6" t="s">
        <v>81</v>
      </c>
      <c r="W1004" s="6" t="s">
        <v>12706</v>
      </c>
      <c r="X1004" s="6" t="s">
        <v>81</v>
      </c>
      <c r="Y1004" s="21" t="s">
        <v>81</v>
      </c>
      <c r="Z1004" s="6" t="s">
        <v>81</v>
      </c>
      <c r="AA1004" s="6" t="s">
        <v>81</v>
      </c>
      <c r="AB1004" s="6" t="s">
        <v>81</v>
      </c>
      <c r="AC1004" s="6" t="s">
        <v>81</v>
      </c>
      <c r="AD1004" s="21" t="s">
        <v>81</v>
      </c>
      <c r="AE1004" s="6" t="s">
        <v>81</v>
      </c>
      <c r="AF1004" s="6" t="s">
        <v>81</v>
      </c>
      <c r="AG1004" s="6" t="s">
        <v>81</v>
      </c>
      <c r="AH1004" s="6" t="s">
        <v>15577</v>
      </c>
      <c r="AI1004" s="6" t="s">
        <v>81</v>
      </c>
      <c r="AJ1004" s="6" t="s">
        <v>17854</v>
      </c>
      <c r="AK1004" s="6" t="s">
        <v>18405</v>
      </c>
      <c r="AL1004" s="6" t="s">
        <v>18444</v>
      </c>
      <c r="AM1004" s="6" t="s">
        <v>19036</v>
      </c>
      <c r="AN1004" s="6" t="s">
        <v>19692</v>
      </c>
      <c r="AO1004" s="6" t="s">
        <v>19751</v>
      </c>
      <c r="AP1004" s="6" t="s">
        <v>15577</v>
      </c>
      <c r="AQ1004" s="6" t="s">
        <v>81</v>
      </c>
      <c r="AR1004" s="6" t="s">
        <v>17854</v>
      </c>
      <c r="AS1004" s="6" t="s">
        <v>18405</v>
      </c>
      <c r="AT1004" s="6" t="s">
        <v>18444</v>
      </c>
      <c r="AU1004" s="6" t="s">
        <v>19036</v>
      </c>
      <c r="AV1004" s="6" t="s">
        <v>81</v>
      </c>
      <c r="AW1004" s="6" t="s">
        <v>81</v>
      </c>
      <c r="AX1004" s="6" t="s">
        <v>21385</v>
      </c>
      <c r="AY1004" s="6" t="s">
        <v>22940</v>
      </c>
      <c r="AZ1004" s="6" t="s">
        <v>81</v>
      </c>
      <c r="BA1004" s="6" t="s">
        <v>81</v>
      </c>
      <c r="BB1004" s="24" t="n">
        <v>203</v>
      </c>
      <c r="BC1004" s="26"/>
      <c r="BD1004" s="26"/>
      <c r="BE1004" s="26"/>
      <c r="BF1004" s="26"/>
      <c r="BG1004" s="26"/>
      <c r="BH1004" s="26"/>
      <c r="BI1004" s="26"/>
      <c r="BJ1004" s="26"/>
      <c r="BK1004" s="26"/>
      <c r="BL1004" s="26"/>
      <c r="BM1004" s="26"/>
      <c r="BN1004" s="26"/>
      <c r="BO1004" s="26"/>
      <c r="BP1004" s="16" t="n">
        <v>45723</v>
      </c>
      <c r="BQ1004" s="28" t="str">
        <f>HYPERLINK("https://organic.ams.usda.gov/Integrity/Certificate.aspx?cid=47&amp;nopid=7142070575")</f>
        <v>https://organic.ams.usda.gov/Integrity/Certificate.aspx?cid=47&amp;nopid=7142070575</v>
      </c>
    </row>
    <row r="1005">
      <c r="A1005" t="s">
        <v>3</v>
      </c>
      <c r="B1005" s="6" t="s">
        <v>12</v>
      </c>
      <c r="C1005" s="6" t="s">
        <v>59</v>
      </c>
      <c r="D1005" s="6" t="s">
        <v>105</v>
      </c>
      <c r="E1005" s="10" t="s">
        <v>1146</v>
      </c>
      <c r="F1005" s="6" t="s">
        <v>3874</v>
      </c>
      <c r="G1005" s="6" t="s">
        <v>81</v>
      </c>
      <c r="H1005" s="6" t="s">
        <v>6815</v>
      </c>
      <c r="I1005" s="6" t="s">
        <v>8516</v>
      </c>
      <c r="J1005" s="6" t="s">
        <v>10176</v>
      </c>
      <c r="K1005" s="6" t="s">
        <v>10886</v>
      </c>
      <c r="L1005" s="16" t="n">
        <v>39493</v>
      </c>
      <c r="M1005" s="16" t="n">
        <v>45717</v>
      </c>
      <c r="N1005" s="6" t="s">
        <v>10886</v>
      </c>
      <c r="O1005" s="16" t="n">
        <v>39493</v>
      </c>
      <c r="P1005" s="6" t="s">
        <v>11493</v>
      </c>
      <c r="Q1005" s="6" t="s">
        <v>81</v>
      </c>
      <c r="R1005" s="6" t="s">
        <v>81</v>
      </c>
      <c r="S1005" s="6" t="s">
        <v>10886</v>
      </c>
      <c r="T1005" s="16" t="n">
        <v>39493</v>
      </c>
      <c r="U1005" s="6" t="s">
        <v>13183</v>
      </c>
      <c r="V1005" s="6" t="s">
        <v>81</v>
      </c>
      <c r="W1005" s="6" t="s">
        <v>81</v>
      </c>
      <c r="X1005" s="6" t="s">
        <v>81</v>
      </c>
      <c r="Y1005" s="21" t="s">
        <v>81</v>
      </c>
      <c r="Z1005" s="6" t="s">
        <v>81</v>
      </c>
      <c r="AA1005" s="6" t="s">
        <v>81</v>
      </c>
      <c r="AB1005" s="6" t="s">
        <v>81</v>
      </c>
      <c r="AC1005" s="6" t="s">
        <v>81</v>
      </c>
      <c r="AD1005" s="21" t="s">
        <v>81</v>
      </c>
      <c r="AE1005" s="6" t="s">
        <v>81</v>
      </c>
      <c r="AF1005" s="6" t="s">
        <v>81</v>
      </c>
      <c r="AG1005" s="6" t="s">
        <v>81</v>
      </c>
      <c r="AH1005" s="6" t="s">
        <v>15578</v>
      </c>
      <c r="AI1005" s="6" t="s">
        <v>81</v>
      </c>
      <c r="AJ1005" s="6" t="s">
        <v>17607</v>
      </c>
      <c r="AK1005" s="6" t="s">
        <v>17712</v>
      </c>
      <c r="AL1005" s="6" t="s">
        <v>18444</v>
      </c>
      <c r="AM1005" s="6" t="s">
        <v>18773</v>
      </c>
      <c r="AN1005" s="6" t="s">
        <v>8233</v>
      </c>
      <c r="AO1005" s="6" t="s">
        <v>19877</v>
      </c>
      <c r="AP1005" s="6" t="s">
        <v>15578</v>
      </c>
      <c r="AQ1005" s="6" t="s">
        <v>81</v>
      </c>
      <c r="AR1005" s="6" t="s">
        <v>17607</v>
      </c>
      <c r="AS1005" s="6" t="s">
        <v>17712</v>
      </c>
      <c r="AT1005" s="6" t="s">
        <v>18444</v>
      </c>
      <c r="AU1005" s="6" t="s">
        <v>18773</v>
      </c>
      <c r="AV1005" s="6" t="s">
        <v>81</v>
      </c>
      <c r="AW1005" s="6" t="s">
        <v>81</v>
      </c>
      <c r="AX1005" s="6" t="s">
        <v>21386</v>
      </c>
      <c r="AY1005" s="6" t="s">
        <v>22941</v>
      </c>
      <c r="AZ1005" s="6" t="s">
        <v>81</v>
      </c>
      <c r="BA1005" s="6" t="s">
        <v>81</v>
      </c>
      <c r="BB1005" s="24" t="n">
        <v>679</v>
      </c>
      <c r="BC1005" s="26"/>
      <c r="BD1005" s="26"/>
      <c r="BE1005" s="26"/>
      <c r="BF1005" s="26"/>
      <c r="BG1005" s="26"/>
      <c r="BH1005" s="26"/>
      <c r="BI1005" s="26"/>
      <c r="BJ1005" s="26"/>
      <c r="BK1005" s="26"/>
      <c r="BL1005" s="26"/>
      <c r="BM1005" s="26"/>
      <c r="BN1005" s="26"/>
      <c r="BO1005" s="26"/>
      <c r="BP1005" s="16" t="n">
        <v>45684</v>
      </c>
      <c r="BQ1005" s="28" t="str">
        <f>HYPERLINK("https://organic.ams.usda.gov/Integrity/Certificate.aspx?cid=68&amp;nopid=8210001742")</f>
        <v>https://organic.ams.usda.gov/Integrity/Certificate.aspx?cid=68&amp;nopid=8210001742</v>
      </c>
    </row>
    <row r="1006">
      <c r="A1006" t="s">
        <v>3</v>
      </c>
      <c r="B1006" s="6" t="s">
        <v>12</v>
      </c>
      <c r="C1006" s="6" t="s">
        <v>59</v>
      </c>
      <c r="D1006" s="6" t="s">
        <v>105</v>
      </c>
      <c r="E1006" s="10" t="s">
        <v>1147</v>
      </c>
      <c r="F1006" s="6" t="s">
        <v>3875</v>
      </c>
      <c r="G1006" s="6" t="s">
        <v>81</v>
      </c>
      <c r="H1006" s="6" t="s">
        <v>6816</v>
      </c>
      <c r="I1006" s="6" t="s">
        <v>8974</v>
      </c>
      <c r="J1006" s="6" t="s">
        <v>9664</v>
      </c>
      <c r="K1006" s="6" t="s">
        <v>10886</v>
      </c>
      <c r="L1006" s="16" t="n">
        <v>37550</v>
      </c>
      <c r="M1006" s="16" t="n">
        <v>45717</v>
      </c>
      <c r="N1006" s="6" t="s">
        <v>10886</v>
      </c>
      <c r="O1006" s="16" t="n">
        <v>37550</v>
      </c>
      <c r="P1006" s="6" t="s">
        <v>11494</v>
      </c>
      <c r="Q1006" s="6" t="s">
        <v>81</v>
      </c>
      <c r="R1006" s="6" t="s">
        <v>81</v>
      </c>
      <c r="S1006" s="6" t="s">
        <v>10886</v>
      </c>
      <c r="T1006" s="16" t="n">
        <v>37550</v>
      </c>
      <c r="U1006" s="6" t="s">
        <v>13262</v>
      </c>
      <c r="V1006" s="6" t="s">
        <v>81</v>
      </c>
      <c r="W1006" s="6" t="s">
        <v>81</v>
      </c>
      <c r="X1006" s="6" t="s">
        <v>81</v>
      </c>
      <c r="Y1006" s="21" t="s">
        <v>81</v>
      </c>
      <c r="Z1006" s="6" t="s">
        <v>81</v>
      </c>
      <c r="AA1006" s="6" t="s">
        <v>81</v>
      </c>
      <c r="AB1006" s="6" t="s">
        <v>81</v>
      </c>
      <c r="AC1006" s="6" t="s">
        <v>81</v>
      </c>
      <c r="AD1006" s="21" t="s">
        <v>81</v>
      </c>
      <c r="AE1006" s="6" t="s">
        <v>81</v>
      </c>
      <c r="AF1006" s="6" t="s">
        <v>81</v>
      </c>
      <c r="AG1006" s="6" t="s">
        <v>81</v>
      </c>
      <c r="AH1006" s="6" t="s">
        <v>15579</v>
      </c>
      <c r="AI1006" s="6" t="s">
        <v>81</v>
      </c>
      <c r="AJ1006" s="6" t="s">
        <v>17855</v>
      </c>
      <c r="AK1006" s="6" t="s">
        <v>18380</v>
      </c>
      <c r="AL1006" s="6" t="s">
        <v>18444</v>
      </c>
      <c r="AM1006" s="6" t="s">
        <v>19037</v>
      </c>
      <c r="AN1006" s="6" t="s">
        <v>19640</v>
      </c>
      <c r="AO1006" s="6" t="s">
        <v>19958</v>
      </c>
      <c r="AP1006" s="6" t="s">
        <v>15579</v>
      </c>
      <c r="AQ1006" s="6" t="s">
        <v>81</v>
      </c>
      <c r="AR1006" s="6" t="s">
        <v>17855</v>
      </c>
      <c r="AS1006" s="6" t="s">
        <v>18380</v>
      </c>
      <c r="AT1006" s="6" t="s">
        <v>18444</v>
      </c>
      <c r="AU1006" s="6" t="s">
        <v>19037</v>
      </c>
      <c r="AV1006" s="6" t="s">
        <v>81</v>
      </c>
      <c r="AW1006" s="6" t="s">
        <v>81</v>
      </c>
      <c r="AX1006" s="6" t="s">
        <v>81</v>
      </c>
      <c r="AY1006" s="6" t="s">
        <v>81</v>
      </c>
      <c r="AZ1006" s="6" t="s">
        <v>81</v>
      </c>
      <c r="BA1006" s="6" t="s">
        <v>81</v>
      </c>
      <c r="BB1006" s="24" t="n">
        <v>124</v>
      </c>
      <c r="BC1006" s="26"/>
      <c r="BD1006" s="26"/>
      <c r="BE1006" s="26"/>
      <c r="BF1006" s="26"/>
      <c r="BG1006" s="26"/>
      <c r="BH1006" s="26"/>
      <c r="BI1006" s="26"/>
      <c r="BJ1006" s="26"/>
      <c r="BK1006" s="26"/>
      <c r="BL1006" s="26"/>
      <c r="BM1006" s="26"/>
      <c r="BN1006" s="26"/>
      <c r="BO1006" s="26"/>
      <c r="BP1006" s="16" t="n">
        <v>45694</v>
      </c>
      <c r="BQ1006" s="28" t="str">
        <f>HYPERLINK("https://organic.ams.usda.gov/Integrity/Certificate.aspx?cid=68&amp;nopid=8210002746")</f>
        <v>https://organic.ams.usda.gov/Integrity/Certificate.aspx?cid=68&amp;nopid=8210002746</v>
      </c>
    </row>
    <row r="1007">
      <c r="A1007" t="s">
        <v>3</v>
      </c>
      <c r="B1007" s="6" t="s">
        <v>9</v>
      </c>
      <c r="C1007" s="6" t="s">
        <v>56</v>
      </c>
      <c r="D1007" s="6" t="s">
        <v>102</v>
      </c>
      <c r="E1007" s="10" t="s">
        <v>1148</v>
      </c>
      <c r="F1007" s="6" t="s">
        <v>3876</v>
      </c>
      <c r="G1007" s="6" t="s">
        <v>81</v>
      </c>
      <c r="H1007" s="6" t="s">
        <v>6817</v>
      </c>
      <c r="I1007" s="6" t="s">
        <v>8975</v>
      </c>
      <c r="J1007" s="6" t="s">
        <v>9669</v>
      </c>
      <c r="K1007" s="6" t="s">
        <v>10886</v>
      </c>
      <c r="L1007" s="16" t="n">
        <v>41107</v>
      </c>
      <c r="M1007" s="16" t="n">
        <v>46113</v>
      </c>
      <c r="N1007" s="6" t="s">
        <v>10886</v>
      </c>
      <c r="O1007" s="16" t="n">
        <v>41107</v>
      </c>
      <c r="P1007" s="6" t="s">
        <v>10939</v>
      </c>
      <c r="Q1007" s="6" t="s">
        <v>81</v>
      </c>
      <c r="R1007" s="6" t="s">
        <v>12707</v>
      </c>
      <c r="S1007" s="6" t="s">
        <v>10886</v>
      </c>
      <c r="T1007" s="16" t="n">
        <v>41107</v>
      </c>
      <c r="U1007" s="6" t="s">
        <v>13517</v>
      </c>
      <c r="V1007" s="6" t="s">
        <v>81</v>
      </c>
      <c r="W1007" s="6" t="s">
        <v>12707</v>
      </c>
      <c r="X1007" s="6" t="s">
        <v>81</v>
      </c>
      <c r="Y1007" s="21" t="s">
        <v>81</v>
      </c>
      <c r="Z1007" s="6" t="s">
        <v>81</v>
      </c>
      <c r="AA1007" s="6" t="s">
        <v>81</v>
      </c>
      <c r="AB1007" s="6" t="s">
        <v>81</v>
      </c>
      <c r="AC1007" s="6" t="s">
        <v>81</v>
      </c>
      <c r="AD1007" s="21" t="s">
        <v>81</v>
      </c>
      <c r="AE1007" s="6" t="s">
        <v>81</v>
      </c>
      <c r="AF1007" s="6" t="s">
        <v>81</v>
      </c>
      <c r="AG1007" s="6" t="s">
        <v>81</v>
      </c>
      <c r="AH1007" s="6" t="s">
        <v>15580</v>
      </c>
      <c r="AI1007" s="6" t="s">
        <v>81</v>
      </c>
      <c r="AJ1007" s="6" t="s">
        <v>17468</v>
      </c>
      <c r="AK1007" s="6" t="s">
        <v>18384</v>
      </c>
      <c r="AL1007" s="6" t="s">
        <v>18444</v>
      </c>
      <c r="AM1007" s="6" t="s">
        <v>18630</v>
      </c>
      <c r="AN1007" s="6" t="s">
        <v>7195</v>
      </c>
      <c r="AO1007" s="6" t="s">
        <v>19743</v>
      </c>
      <c r="AP1007" s="6" t="s">
        <v>81</v>
      </c>
      <c r="AQ1007" s="6" t="s">
        <v>81</v>
      </c>
      <c r="AR1007" s="6" t="s">
        <v>81</v>
      </c>
      <c r="AS1007" s="6" t="s">
        <v>81</v>
      </c>
      <c r="AT1007" s="6" t="s">
        <v>81</v>
      </c>
      <c r="AU1007" s="6" t="s">
        <v>81</v>
      </c>
      <c r="AV1007" s="6" t="s">
        <v>81</v>
      </c>
      <c r="AW1007" s="6" t="s">
        <v>81</v>
      </c>
      <c r="AX1007" s="6" t="s">
        <v>81</v>
      </c>
      <c r="AY1007" s="6" t="s">
        <v>81</v>
      </c>
      <c r="AZ1007" s="6" t="s">
        <v>81</v>
      </c>
      <c r="BA1007" s="6" t="s">
        <v>81</v>
      </c>
      <c r="BB1007" s="24" t="n">
        <v>82</v>
      </c>
      <c r="BC1007" s="26"/>
      <c r="BD1007" s="26"/>
      <c r="BE1007" s="26"/>
      <c r="BF1007" s="26"/>
      <c r="BG1007" s="26"/>
      <c r="BH1007" s="26"/>
      <c r="BI1007" s="26"/>
      <c r="BJ1007" s="26"/>
      <c r="BK1007" s="26"/>
      <c r="BL1007" s="26"/>
      <c r="BM1007" s="26"/>
      <c r="BN1007" s="26"/>
      <c r="BO1007" s="26"/>
      <c r="BP1007" s="16" t="n">
        <v>45738</v>
      </c>
      <c r="BQ1007" s="28" t="str">
        <f>HYPERLINK("https://organic.ams.usda.gov/Integrity/Certificate.aspx?cid=52&amp;nopid=8431200333")</f>
        <v>https://organic.ams.usda.gov/Integrity/Certificate.aspx?cid=52&amp;nopid=8431200333</v>
      </c>
    </row>
    <row r="1008">
      <c r="A1008" t="s">
        <v>3</v>
      </c>
      <c r="B1008" s="6" t="s">
        <v>13</v>
      </c>
      <c r="C1008" s="6" t="s">
        <v>60</v>
      </c>
      <c r="D1008" s="6" t="s">
        <v>106</v>
      </c>
      <c r="E1008" s="10" t="s">
        <v>1149</v>
      </c>
      <c r="F1008" s="6" t="s">
        <v>3877</v>
      </c>
      <c r="G1008" s="6" t="s">
        <v>81</v>
      </c>
      <c r="H1008" s="6" t="s">
        <v>6818</v>
      </c>
      <c r="I1008" s="6" t="s">
        <v>8976</v>
      </c>
      <c r="J1008" s="6" t="s">
        <v>9734</v>
      </c>
      <c r="K1008" s="6" t="s">
        <v>10886</v>
      </c>
      <c r="L1008" s="16" t="n">
        <v>41218</v>
      </c>
      <c r="M1008" s="16" t="n">
        <v>45992</v>
      </c>
      <c r="N1008" s="6" t="s">
        <v>10886</v>
      </c>
      <c r="O1008" s="16" t="n">
        <v>41218</v>
      </c>
      <c r="P1008" s="6" t="s">
        <v>11495</v>
      </c>
      <c r="Q1008" s="6" t="s">
        <v>81</v>
      </c>
      <c r="R1008" s="6" t="s">
        <v>12708</v>
      </c>
      <c r="S1008" s="6" t="s">
        <v>10886</v>
      </c>
      <c r="T1008" s="16" t="n">
        <v>41218</v>
      </c>
      <c r="U1008" s="6" t="s">
        <v>13518</v>
      </c>
      <c r="V1008" s="6" t="s">
        <v>81</v>
      </c>
      <c r="W1008" s="6" t="s">
        <v>12708</v>
      </c>
      <c r="X1008" s="6" t="s">
        <v>81</v>
      </c>
      <c r="Y1008" s="21" t="s">
        <v>81</v>
      </c>
      <c r="Z1008" s="6" t="s">
        <v>81</v>
      </c>
      <c r="AA1008" s="6" t="s">
        <v>81</v>
      </c>
      <c r="AB1008" s="6" t="s">
        <v>81</v>
      </c>
      <c r="AC1008" s="6" t="s">
        <v>81</v>
      </c>
      <c r="AD1008" s="21" t="s">
        <v>81</v>
      </c>
      <c r="AE1008" s="6" t="s">
        <v>81</v>
      </c>
      <c r="AF1008" s="6" t="s">
        <v>81</v>
      </c>
      <c r="AG1008" s="6" t="s">
        <v>81</v>
      </c>
      <c r="AH1008" s="6" t="s">
        <v>15581</v>
      </c>
      <c r="AI1008" s="6" t="s">
        <v>81</v>
      </c>
      <c r="AJ1008" s="6" t="s">
        <v>17392</v>
      </c>
      <c r="AK1008" s="6" t="s">
        <v>18379</v>
      </c>
      <c r="AL1008" s="6" t="s">
        <v>18444</v>
      </c>
      <c r="AM1008" s="6" t="s">
        <v>18548</v>
      </c>
      <c r="AN1008" s="6" t="s">
        <v>19637</v>
      </c>
      <c r="AO1008" s="6" t="s">
        <v>19723</v>
      </c>
      <c r="AP1008" s="6" t="s">
        <v>15581</v>
      </c>
      <c r="AQ1008" s="6" t="s">
        <v>81</v>
      </c>
      <c r="AR1008" s="6" t="s">
        <v>17392</v>
      </c>
      <c r="AS1008" s="6" t="s">
        <v>18379</v>
      </c>
      <c r="AT1008" s="6" t="s">
        <v>18444</v>
      </c>
      <c r="AU1008" s="6" t="s">
        <v>18548</v>
      </c>
      <c r="AV1008" s="6" t="s">
        <v>81</v>
      </c>
      <c r="AW1008" s="6" t="s">
        <v>81</v>
      </c>
      <c r="AX1008" s="6" t="s">
        <v>21387</v>
      </c>
      <c r="AY1008" s="6" t="s">
        <v>81</v>
      </c>
      <c r="AZ1008" s="6" t="s">
        <v>81</v>
      </c>
      <c r="BA1008" s="6" t="s">
        <v>81</v>
      </c>
      <c r="BB1008" s="24" t="n">
        <v>181</v>
      </c>
      <c r="BC1008" s="26"/>
      <c r="BD1008" s="26"/>
      <c r="BE1008" s="26"/>
      <c r="BF1008" s="26" t="s">
        <v>23900</v>
      </c>
      <c r="BG1008" s="26"/>
      <c r="BH1008" s="26"/>
      <c r="BI1008" s="26"/>
      <c r="BJ1008" s="26"/>
      <c r="BK1008" s="26"/>
      <c r="BL1008" s="26"/>
      <c r="BM1008" s="26"/>
      <c r="BN1008" s="26"/>
      <c r="BO1008" s="26"/>
      <c r="BP1008" s="16" t="n">
        <v>45663</v>
      </c>
      <c r="BQ1008" s="28" t="str">
        <f>HYPERLINK("https://organic.ams.usda.gov/Integrity/Certificate.aspx?cid=72&amp;nopid=5870001450")</f>
        <v>https://organic.ams.usda.gov/Integrity/Certificate.aspx?cid=72&amp;nopid=5870001450</v>
      </c>
    </row>
    <row r="1009">
      <c r="A1009" t="s">
        <v>3</v>
      </c>
      <c r="B1009" s="6" t="s">
        <v>10</v>
      </c>
      <c r="C1009" s="6" t="s">
        <v>57</v>
      </c>
      <c r="D1009" s="6" t="s">
        <v>103</v>
      </c>
      <c r="E1009" s="10" t="s">
        <v>1150</v>
      </c>
      <c r="F1009" s="6" t="s">
        <v>3878</v>
      </c>
      <c r="G1009" s="6" t="s">
        <v>81</v>
      </c>
      <c r="H1009" s="6" t="s">
        <v>6819</v>
      </c>
      <c r="I1009" s="6" t="s">
        <v>8977</v>
      </c>
      <c r="J1009" s="6" t="s">
        <v>9669</v>
      </c>
      <c r="K1009" s="6" t="s">
        <v>10886</v>
      </c>
      <c r="L1009" s="16" t="n">
        <v>41844</v>
      </c>
      <c r="M1009" s="16" t="n">
        <v>45748</v>
      </c>
      <c r="N1009" s="6" t="s">
        <v>10886</v>
      </c>
      <c r="O1009" s="16" t="n">
        <v>41844</v>
      </c>
      <c r="P1009" s="6" t="s">
        <v>11496</v>
      </c>
      <c r="Q1009" s="6" t="s">
        <v>81</v>
      </c>
      <c r="R1009" s="6" t="s">
        <v>12709</v>
      </c>
      <c r="S1009" s="6" t="s">
        <v>10886</v>
      </c>
      <c r="T1009" s="16" t="n">
        <v>41844</v>
      </c>
      <c r="U1009" s="6" t="s">
        <v>13163</v>
      </c>
      <c r="V1009" s="6" t="s">
        <v>81</v>
      </c>
      <c r="W1009" s="6" t="s">
        <v>81</v>
      </c>
      <c r="X1009" s="6" t="s">
        <v>81</v>
      </c>
      <c r="Y1009" s="21" t="s">
        <v>81</v>
      </c>
      <c r="Z1009" s="6" t="s">
        <v>81</v>
      </c>
      <c r="AA1009" s="6" t="s">
        <v>81</v>
      </c>
      <c r="AB1009" s="6" t="s">
        <v>81</v>
      </c>
      <c r="AC1009" s="6" t="s">
        <v>81</v>
      </c>
      <c r="AD1009" s="21" t="s">
        <v>81</v>
      </c>
      <c r="AE1009" s="6" t="s">
        <v>81</v>
      </c>
      <c r="AF1009" s="6" t="s">
        <v>81</v>
      </c>
      <c r="AG1009" s="6" t="s">
        <v>81</v>
      </c>
      <c r="AH1009" s="6" t="s">
        <v>15582</v>
      </c>
      <c r="AI1009" s="6" t="s">
        <v>81</v>
      </c>
      <c r="AJ1009" s="6" t="s">
        <v>17392</v>
      </c>
      <c r="AK1009" s="6" t="s">
        <v>18379</v>
      </c>
      <c r="AL1009" s="6" t="s">
        <v>18444</v>
      </c>
      <c r="AM1009" s="6" t="s">
        <v>18548</v>
      </c>
      <c r="AN1009" s="6" t="s">
        <v>19637</v>
      </c>
      <c r="AO1009" s="6" t="s">
        <v>19723</v>
      </c>
      <c r="AP1009" s="6" t="s">
        <v>15582</v>
      </c>
      <c r="AQ1009" s="6" t="s">
        <v>81</v>
      </c>
      <c r="AR1009" s="6" t="s">
        <v>17392</v>
      </c>
      <c r="AS1009" s="6" t="s">
        <v>18379</v>
      </c>
      <c r="AT1009" s="6" t="s">
        <v>18444</v>
      </c>
      <c r="AU1009" s="6" t="s">
        <v>18548</v>
      </c>
      <c r="AV1009" s="6" t="s">
        <v>81</v>
      </c>
      <c r="AW1009" s="6" t="s">
        <v>81</v>
      </c>
      <c r="AX1009" s="6" t="s">
        <v>21388</v>
      </c>
      <c r="AY1009" s="6" t="s">
        <v>81</v>
      </c>
      <c r="AZ1009" s="6" t="s">
        <v>81</v>
      </c>
      <c r="BA1009" s="6" t="s">
        <v>81</v>
      </c>
      <c r="BB1009" s="24" t="n">
        <v>116</v>
      </c>
      <c r="BC1009" s="26"/>
      <c r="BD1009" s="26"/>
      <c r="BE1009" s="26"/>
      <c r="BF1009" s="26"/>
      <c r="BG1009" s="26"/>
      <c r="BH1009" s="26"/>
      <c r="BI1009" s="26"/>
      <c r="BJ1009" s="26"/>
      <c r="BK1009" s="26"/>
      <c r="BL1009" s="26"/>
      <c r="BM1009" s="26"/>
      <c r="BN1009" s="26"/>
      <c r="BO1009" s="26"/>
      <c r="BP1009" s="16" t="n">
        <v>45730</v>
      </c>
      <c r="BQ1009" s="28" t="str">
        <f>HYPERLINK("https://organic.ams.usda.gov/Integrity/Certificate.aspx?cid=90&amp;nopid=7170210329")</f>
        <v>https://organic.ams.usda.gov/Integrity/Certificate.aspx?cid=90&amp;nopid=7170210329</v>
      </c>
    </row>
    <row r="1010">
      <c r="A1010" t="s">
        <v>3</v>
      </c>
      <c r="B1010" s="6" t="s">
        <v>13</v>
      </c>
      <c r="C1010" s="6" t="s">
        <v>60</v>
      </c>
      <c r="D1010" s="6" t="s">
        <v>106</v>
      </c>
      <c r="E1010" s="10" t="s">
        <v>1151</v>
      </c>
      <c r="F1010" s="6" t="s">
        <v>3879</v>
      </c>
      <c r="G1010" s="6" t="s">
        <v>81</v>
      </c>
      <c r="H1010" s="6" t="s">
        <v>6820</v>
      </c>
      <c r="I1010" s="6" t="s">
        <v>8976</v>
      </c>
      <c r="J1010" s="6" t="s">
        <v>9740</v>
      </c>
      <c r="K1010" s="6" t="s">
        <v>10886</v>
      </c>
      <c r="L1010" s="16" t="n">
        <v>42745</v>
      </c>
      <c r="M1010" s="16" t="n">
        <v>45992</v>
      </c>
      <c r="N1010" s="6" t="s">
        <v>10886</v>
      </c>
      <c r="O1010" s="16" t="n">
        <v>42745</v>
      </c>
      <c r="P1010" s="6" t="s">
        <v>10910</v>
      </c>
      <c r="Q1010" s="6" t="s">
        <v>81</v>
      </c>
      <c r="R1010" s="6" t="s">
        <v>12710</v>
      </c>
      <c r="S1010" s="6" t="s">
        <v>10886</v>
      </c>
      <c r="T1010" s="16" t="n">
        <v>42745</v>
      </c>
      <c r="U1010" s="6" t="s">
        <v>13402</v>
      </c>
      <c r="V1010" s="6" t="s">
        <v>81</v>
      </c>
      <c r="W1010" s="6" t="s">
        <v>12710</v>
      </c>
      <c r="X1010" s="6" t="s">
        <v>81</v>
      </c>
      <c r="Y1010" s="21" t="s">
        <v>81</v>
      </c>
      <c r="Z1010" s="6" t="s">
        <v>81</v>
      </c>
      <c r="AA1010" s="6" t="s">
        <v>81</v>
      </c>
      <c r="AB1010" s="6" t="s">
        <v>81</v>
      </c>
      <c r="AC1010" s="6" t="s">
        <v>81</v>
      </c>
      <c r="AD1010" s="21" t="s">
        <v>81</v>
      </c>
      <c r="AE1010" s="6" t="s">
        <v>81</v>
      </c>
      <c r="AF1010" s="6" t="s">
        <v>81</v>
      </c>
      <c r="AG1010" s="6" t="s">
        <v>81</v>
      </c>
      <c r="AH1010" s="6" t="s">
        <v>15583</v>
      </c>
      <c r="AI1010" s="6" t="s">
        <v>81</v>
      </c>
      <c r="AJ1010" s="6" t="s">
        <v>10256</v>
      </c>
      <c r="AK1010" s="6" t="s">
        <v>18379</v>
      </c>
      <c r="AL1010" s="6" t="s">
        <v>18444</v>
      </c>
      <c r="AM1010" s="6" t="s">
        <v>19038</v>
      </c>
      <c r="AN1010" s="6" t="s">
        <v>19637</v>
      </c>
      <c r="AO1010" s="6" t="s">
        <v>19723</v>
      </c>
      <c r="AP1010" s="6" t="s">
        <v>15583</v>
      </c>
      <c r="AQ1010" s="6" t="s">
        <v>81</v>
      </c>
      <c r="AR1010" s="6" t="s">
        <v>10256</v>
      </c>
      <c r="AS1010" s="6" t="s">
        <v>18379</v>
      </c>
      <c r="AT1010" s="6" t="s">
        <v>18444</v>
      </c>
      <c r="AU1010" s="6" t="s">
        <v>19038</v>
      </c>
      <c r="AV1010" s="6" t="s">
        <v>81</v>
      </c>
      <c r="AW1010" s="6" t="s">
        <v>81</v>
      </c>
      <c r="AX1010" s="6" t="s">
        <v>21389</v>
      </c>
      <c r="AY1010" s="6" t="s">
        <v>81</v>
      </c>
      <c r="AZ1010" s="6" t="s">
        <v>81</v>
      </c>
      <c r="BA1010" s="6" t="s">
        <v>81</v>
      </c>
      <c r="BB1010" s="24" t="n">
        <v>166</v>
      </c>
      <c r="BC1010" s="26"/>
      <c r="BD1010" s="26"/>
      <c r="BE1010" s="26"/>
      <c r="BF1010" s="26" t="s">
        <v>23900</v>
      </c>
      <c r="BG1010" s="26"/>
      <c r="BH1010" s="26"/>
      <c r="BI1010" s="26"/>
      <c r="BJ1010" s="26"/>
      <c r="BK1010" s="26"/>
      <c r="BL1010" s="26"/>
      <c r="BM1010" s="26"/>
      <c r="BN1010" s="26"/>
      <c r="BO1010" s="26"/>
      <c r="BP1010" s="16" t="n">
        <v>45726</v>
      </c>
      <c r="BQ1010" s="28" t="str">
        <f>HYPERLINK("https://organic.ams.usda.gov/Integrity/Certificate.aspx?cid=72&amp;nopid=5870002603")</f>
        <v>https://organic.ams.usda.gov/Integrity/Certificate.aspx?cid=72&amp;nopid=5870002603</v>
      </c>
    </row>
    <row r="1011">
      <c r="A1011" t="s">
        <v>3</v>
      </c>
      <c r="B1011" s="6" t="s">
        <v>15</v>
      </c>
      <c r="C1011" s="6" t="s">
        <v>62</v>
      </c>
      <c r="D1011" s="6" t="s">
        <v>108</v>
      </c>
      <c r="E1011" s="10" t="s">
        <v>1152</v>
      </c>
      <c r="F1011" s="6" t="s">
        <v>3880</v>
      </c>
      <c r="G1011" s="6" t="s">
        <v>5681</v>
      </c>
      <c r="H1011" s="6" t="s">
        <v>6821</v>
      </c>
      <c r="I1011" s="6" t="s">
        <v>8976</v>
      </c>
      <c r="J1011" s="6" t="s">
        <v>9665</v>
      </c>
      <c r="K1011" s="6" t="s">
        <v>10886</v>
      </c>
      <c r="L1011" s="16" t="n">
        <v>41787</v>
      </c>
      <c r="M1011" s="16" t="n">
        <v>46157</v>
      </c>
      <c r="N1011" s="6" t="s">
        <v>10886</v>
      </c>
      <c r="O1011" s="16" t="n">
        <v>41787</v>
      </c>
      <c r="P1011" s="6" t="s">
        <v>11497</v>
      </c>
      <c r="Q1011" s="6" t="s">
        <v>81</v>
      </c>
      <c r="R1011" s="6" t="s">
        <v>81</v>
      </c>
      <c r="S1011" s="6" t="s">
        <v>10886</v>
      </c>
      <c r="T1011" s="16" t="n">
        <v>41787</v>
      </c>
      <c r="U1011" s="6" t="s">
        <v>13380</v>
      </c>
      <c r="V1011" s="6" t="s">
        <v>81</v>
      </c>
      <c r="W1011" s="6" t="s">
        <v>81</v>
      </c>
      <c r="X1011" s="6" t="s">
        <v>81</v>
      </c>
      <c r="Y1011" s="21" t="s">
        <v>81</v>
      </c>
      <c r="Z1011" s="6" t="s">
        <v>81</v>
      </c>
      <c r="AA1011" s="6" t="s">
        <v>81</v>
      </c>
      <c r="AB1011" s="6" t="s">
        <v>81</v>
      </c>
      <c r="AC1011" s="6" t="s">
        <v>81</v>
      </c>
      <c r="AD1011" s="21" t="s">
        <v>81</v>
      </c>
      <c r="AE1011" s="6" t="s">
        <v>81</v>
      </c>
      <c r="AF1011" s="6" t="s">
        <v>81</v>
      </c>
      <c r="AG1011" s="6" t="s">
        <v>81</v>
      </c>
      <c r="AH1011" s="6" t="s">
        <v>15584</v>
      </c>
      <c r="AI1011" s="6" t="s">
        <v>81</v>
      </c>
      <c r="AJ1011" s="6" t="s">
        <v>17315</v>
      </c>
      <c r="AK1011" s="6" t="s">
        <v>18379</v>
      </c>
      <c r="AL1011" s="6" t="s">
        <v>18444</v>
      </c>
      <c r="AM1011" s="6" t="s">
        <v>18467</v>
      </c>
      <c r="AN1011" s="6" t="s">
        <v>19637</v>
      </c>
      <c r="AO1011" s="6" t="s">
        <v>19723</v>
      </c>
      <c r="AP1011" s="6" t="s">
        <v>15584</v>
      </c>
      <c r="AQ1011" s="6" t="s">
        <v>81</v>
      </c>
      <c r="AR1011" s="6" t="s">
        <v>17315</v>
      </c>
      <c r="AS1011" s="6" t="s">
        <v>18379</v>
      </c>
      <c r="AT1011" s="6" t="s">
        <v>18444</v>
      </c>
      <c r="AU1011" s="6" t="s">
        <v>18467</v>
      </c>
      <c r="AV1011" s="6" t="s">
        <v>81</v>
      </c>
      <c r="AW1011" s="6" t="s">
        <v>81</v>
      </c>
      <c r="AX1011" s="6" t="s">
        <v>21390</v>
      </c>
      <c r="AY1011" s="6" t="s">
        <v>81</v>
      </c>
      <c r="AZ1011" s="6" t="s">
        <v>81</v>
      </c>
      <c r="BA1011" s="6" t="s">
        <v>81</v>
      </c>
      <c r="BB1011" s="24" t="n">
        <v>90</v>
      </c>
      <c r="BC1011" s="26"/>
      <c r="BD1011" s="26"/>
      <c r="BE1011" s="26"/>
      <c r="BF1011" s="26" t="s">
        <v>23900</v>
      </c>
      <c r="BG1011" s="26"/>
      <c r="BH1011" s="26"/>
      <c r="BI1011" s="26"/>
      <c r="BJ1011" s="26"/>
      <c r="BK1011" s="26"/>
      <c r="BL1011" s="26"/>
      <c r="BM1011" s="26"/>
      <c r="BN1011" s="26"/>
      <c r="BO1011" s="26"/>
      <c r="BP1011" s="16" t="n">
        <v>45737</v>
      </c>
      <c r="BQ1011" s="28" t="str">
        <f>HYPERLINK("https://organic.ams.usda.gov/Integrity/Certificate.aspx?cid=58&amp;nopid=1600002220")</f>
        <v>https://organic.ams.usda.gov/Integrity/Certificate.aspx?cid=58&amp;nopid=1600002220</v>
      </c>
    </row>
    <row r="1012">
      <c r="A1012" t="s">
        <v>3</v>
      </c>
      <c r="B1012" s="6" t="s">
        <v>10</v>
      </c>
      <c r="C1012" s="6" t="s">
        <v>57</v>
      </c>
      <c r="D1012" s="6" t="s">
        <v>103</v>
      </c>
      <c r="E1012" s="10" t="s">
        <v>1153</v>
      </c>
      <c r="F1012" s="6" t="s">
        <v>3881</v>
      </c>
      <c r="G1012" s="6" t="s">
        <v>81</v>
      </c>
      <c r="H1012" s="6" t="s">
        <v>6822</v>
      </c>
      <c r="I1012" s="6" t="s">
        <v>8978</v>
      </c>
      <c r="J1012" s="6" t="s">
        <v>10177</v>
      </c>
      <c r="K1012" s="6" t="s">
        <v>10886</v>
      </c>
      <c r="L1012" s="16" t="n">
        <v>44714</v>
      </c>
      <c r="M1012" s="16" t="n">
        <v>45748</v>
      </c>
      <c r="N1012" s="6" t="s">
        <v>10886</v>
      </c>
      <c r="O1012" s="16" t="n">
        <v>44714</v>
      </c>
      <c r="P1012" s="6" t="s">
        <v>11430</v>
      </c>
      <c r="Q1012" s="6" t="s">
        <v>81</v>
      </c>
      <c r="R1012" s="6" t="s">
        <v>12711</v>
      </c>
      <c r="S1012" s="6" t="s">
        <v>10886</v>
      </c>
      <c r="T1012" s="16" t="n">
        <v>45358</v>
      </c>
      <c r="U1012" s="6" t="s">
        <v>13164</v>
      </c>
      <c r="V1012" s="6" t="s">
        <v>81</v>
      </c>
      <c r="W1012" s="6" t="s">
        <v>81</v>
      </c>
      <c r="X1012" s="6" t="s">
        <v>81</v>
      </c>
      <c r="Y1012" s="21" t="s">
        <v>81</v>
      </c>
      <c r="Z1012" s="6" t="s">
        <v>81</v>
      </c>
      <c r="AA1012" s="6" t="s">
        <v>81</v>
      </c>
      <c r="AB1012" s="6" t="s">
        <v>81</v>
      </c>
      <c r="AC1012" s="6" t="s">
        <v>81</v>
      </c>
      <c r="AD1012" s="21" t="s">
        <v>81</v>
      </c>
      <c r="AE1012" s="6" t="s">
        <v>81</v>
      </c>
      <c r="AF1012" s="6" t="s">
        <v>81</v>
      </c>
      <c r="AG1012" s="6" t="s">
        <v>81</v>
      </c>
      <c r="AH1012" s="6" t="s">
        <v>15585</v>
      </c>
      <c r="AI1012" s="6" t="s">
        <v>81</v>
      </c>
      <c r="AJ1012" s="6" t="s">
        <v>10256</v>
      </c>
      <c r="AK1012" s="6" t="s">
        <v>18379</v>
      </c>
      <c r="AL1012" s="6" t="s">
        <v>18444</v>
      </c>
      <c r="AM1012" s="6" t="s">
        <v>19038</v>
      </c>
      <c r="AN1012" s="6" t="s">
        <v>19637</v>
      </c>
      <c r="AO1012" s="6" t="s">
        <v>19723</v>
      </c>
      <c r="AP1012" s="6" t="s">
        <v>15585</v>
      </c>
      <c r="AQ1012" s="6" t="s">
        <v>81</v>
      </c>
      <c r="AR1012" s="6" t="s">
        <v>10256</v>
      </c>
      <c r="AS1012" s="6" t="s">
        <v>18379</v>
      </c>
      <c r="AT1012" s="6" t="s">
        <v>18444</v>
      </c>
      <c r="AU1012" s="6" t="s">
        <v>19038</v>
      </c>
      <c r="AV1012" s="6" t="s">
        <v>81</v>
      </c>
      <c r="AW1012" s="6" t="s">
        <v>81</v>
      </c>
      <c r="AX1012" s="6" t="s">
        <v>21391</v>
      </c>
      <c r="AY1012" s="6" t="s">
        <v>81</v>
      </c>
      <c r="AZ1012" s="6" t="s">
        <v>81</v>
      </c>
      <c r="BA1012" s="6" t="s">
        <v>81</v>
      </c>
      <c r="BB1012" s="24" t="n">
        <v>64</v>
      </c>
      <c r="BC1012" s="26"/>
      <c r="BD1012" s="26"/>
      <c r="BE1012" s="26"/>
      <c r="BF1012" s="26"/>
      <c r="BG1012" s="26"/>
      <c r="BH1012" s="26"/>
      <c r="BI1012" s="26"/>
      <c r="BJ1012" s="26"/>
      <c r="BK1012" s="26"/>
      <c r="BL1012" s="26"/>
      <c r="BM1012" s="26"/>
      <c r="BN1012" s="26"/>
      <c r="BO1012" s="26"/>
      <c r="BP1012" s="16" t="n">
        <v>45730</v>
      </c>
      <c r="BQ1012" s="28" t="str">
        <f>HYPERLINK("https://organic.ams.usda.gov/Integrity/Certificate.aspx?cid=90&amp;nopid=7170220529")</f>
        <v>https://organic.ams.usda.gov/Integrity/Certificate.aspx?cid=90&amp;nopid=7170220529</v>
      </c>
    </row>
    <row r="1013">
      <c r="A1013" t="s">
        <v>3</v>
      </c>
      <c r="B1013" s="6" t="s">
        <v>13</v>
      </c>
      <c r="C1013" s="6" t="s">
        <v>60</v>
      </c>
      <c r="D1013" s="6" t="s">
        <v>106</v>
      </c>
      <c r="E1013" s="10" t="s">
        <v>1154</v>
      </c>
      <c r="F1013" s="6" t="s">
        <v>3882</v>
      </c>
      <c r="G1013" s="6" t="s">
        <v>81</v>
      </c>
      <c r="H1013" s="6" t="s">
        <v>6823</v>
      </c>
      <c r="I1013" s="6" t="s">
        <v>8979</v>
      </c>
      <c r="J1013" s="6" t="s">
        <v>9669</v>
      </c>
      <c r="K1013" s="6" t="s">
        <v>10886</v>
      </c>
      <c r="L1013" s="16" t="n">
        <v>44498</v>
      </c>
      <c r="M1013" s="16" t="n">
        <v>46113</v>
      </c>
      <c r="N1013" s="6" t="s">
        <v>10886</v>
      </c>
      <c r="O1013" s="16" t="n">
        <v>44498</v>
      </c>
      <c r="P1013" s="6" t="s">
        <v>11498</v>
      </c>
      <c r="Q1013" s="6" t="s">
        <v>81</v>
      </c>
      <c r="R1013" s="6" t="s">
        <v>12712</v>
      </c>
      <c r="S1013" s="6" t="s">
        <v>10886</v>
      </c>
      <c r="T1013" s="16" t="n">
        <v>44498</v>
      </c>
      <c r="U1013" s="6" t="s">
        <v>13519</v>
      </c>
      <c r="V1013" s="6" t="s">
        <v>81</v>
      </c>
      <c r="W1013" s="6" t="s">
        <v>12712</v>
      </c>
      <c r="X1013" s="6" t="s">
        <v>81</v>
      </c>
      <c r="Y1013" s="21" t="s">
        <v>81</v>
      </c>
      <c r="Z1013" s="6" t="s">
        <v>81</v>
      </c>
      <c r="AA1013" s="6" t="s">
        <v>81</v>
      </c>
      <c r="AB1013" s="6" t="s">
        <v>81</v>
      </c>
      <c r="AC1013" s="6" t="s">
        <v>81</v>
      </c>
      <c r="AD1013" s="21" t="s">
        <v>81</v>
      </c>
      <c r="AE1013" s="6" t="s">
        <v>81</v>
      </c>
      <c r="AF1013" s="6" t="s">
        <v>81</v>
      </c>
      <c r="AG1013" s="6" t="s">
        <v>81</v>
      </c>
      <c r="AH1013" s="6" t="s">
        <v>15586</v>
      </c>
      <c r="AI1013" s="6" t="s">
        <v>81</v>
      </c>
      <c r="AJ1013" s="6" t="s">
        <v>17669</v>
      </c>
      <c r="AK1013" s="6" t="s">
        <v>18384</v>
      </c>
      <c r="AL1013" s="6" t="s">
        <v>18444</v>
      </c>
      <c r="AM1013" s="6" t="s">
        <v>18836</v>
      </c>
      <c r="AN1013" s="6" t="s">
        <v>8053</v>
      </c>
      <c r="AO1013" s="6" t="s">
        <v>19894</v>
      </c>
      <c r="AP1013" s="6" t="s">
        <v>15586</v>
      </c>
      <c r="AQ1013" s="6" t="s">
        <v>81</v>
      </c>
      <c r="AR1013" s="6" t="s">
        <v>17669</v>
      </c>
      <c r="AS1013" s="6" t="s">
        <v>18384</v>
      </c>
      <c r="AT1013" s="6" t="s">
        <v>18444</v>
      </c>
      <c r="AU1013" s="6" t="s">
        <v>18836</v>
      </c>
      <c r="AV1013" s="6" t="s">
        <v>81</v>
      </c>
      <c r="AW1013" s="6" t="s">
        <v>81</v>
      </c>
      <c r="AX1013" s="6" t="s">
        <v>21392</v>
      </c>
      <c r="AY1013" s="6" t="s">
        <v>81</v>
      </c>
      <c r="AZ1013" s="6" t="s">
        <v>81</v>
      </c>
      <c r="BA1013" s="6" t="s">
        <v>81</v>
      </c>
      <c r="BB1013" s="24" t="n">
        <v>145</v>
      </c>
      <c r="BC1013" s="26"/>
      <c r="BD1013" s="26"/>
      <c r="BE1013" s="26"/>
      <c r="BF1013" s="26" t="s">
        <v>23900</v>
      </c>
      <c r="BG1013" s="26"/>
      <c r="BH1013" s="26"/>
      <c r="BI1013" s="26"/>
      <c r="BJ1013" s="26"/>
      <c r="BK1013" s="26"/>
      <c r="BL1013" s="26"/>
      <c r="BM1013" s="26"/>
      <c r="BN1013" s="26"/>
      <c r="BO1013" s="26"/>
      <c r="BP1013" s="16" t="n">
        <v>45730</v>
      </c>
      <c r="BQ1013" s="28" t="str">
        <f>HYPERLINK("https://organic.ams.usda.gov/Integrity/Certificate.aspx?cid=72&amp;nopid=5870104091")</f>
        <v>https://organic.ams.usda.gov/Integrity/Certificate.aspx?cid=72&amp;nopid=5870104091</v>
      </c>
    </row>
    <row r="1014">
      <c r="A1014" t="s">
        <v>3</v>
      </c>
      <c r="B1014" s="6" t="s">
        <v>41</v>
      </c>
      <c r="C1014" s="6" t="s">
        <v>88</v>
      </c>
      <c r="D1014" s="6" t="s">
        <v>133</v>
      </c>
      <c r="E1014" s="10" t="s">
        <v>1155</v>
      </c>
      <c r="F1014" s="6" t="s">
        <v>3883</v>
      </c>
      <c r="G1014" s="6" t="s">
        <v>81</v>
      </c>
      <c r="H1014" s="6" t="s">
        <v>6824</v>
      </c>
      <c r="I1014" s="6" t="s">
        <v>81</v>
      </c>
      <c r="J1014" s="6" t="s">
        <v>81</v>
      </c>
      <c r="K1014" s="6" t="s">
        <v>10886</v>
      </c>
      <c r="L1014" s="16" t="n">
        <v>41474</v>
      </c>
      <c r="M1014" s="16" t="n">
        <v>45771</v>
      </c>
      <c r="N1014" s="6" t="s">
        <v>10886</v>
      </c>
      <c r="O1014" s="16" t="n">
        <v>41474</v>
      </c>
      <c r="P1014" s="6" t="s">
        <v>11499</v>
      </c>
      <c r="Q1014" s="6" t="s">
        <v>81</v>
      </c>
      <c r="R1014" s="6" t="s">
        <v>12713</v>
      </c>
      <c r="S1014" s="6" t="s">
        <v>81</v>
      </c>
      <c r="T1014" s="21" t="s">
        <v>81</v>
      </c>
      <c r="U1014" s="6" t="s">
        <v>81</v>
      </c>
      <c r="V1014" s="6" t="s">
        <v>81</v>
      </c>
      <c r="W1014" s="6" t="s">
        <v>81</v>
      </c>
      <c r="X1014" s="6" t="s">
        <v>81</v>
      </c>
      <c r="Y1014" s="21" t="s">
        <v>81</v>
      </c>
      <c r="Z1014" s="6" t="s">
        <v>81</v>
      </c>
      <c r="AA1014" s="6" t="s">
        <v>81</v>
      </c>
      <c r="AB1014" s="6" t="s">
        <v>81</v>
      </c>
      <c r="AC1014" s="6" t="s">
        <v>10886</v>
      </c>
      <c r="AD1014" s="16" t="n">
        <v>41474</v>
      </c>
      <c r="AE1014" s="6" t="s">
        <v>14214</v>
      </c>
      <c r="AF1014" s="6" t="s">
        <v>81</v>
      </c>
      <c r="AG1014" s="6" t="s">
        <v>12713</v>
      </c>
      <c r="AH1014" s="6" t="s">
        <v>15587</v>
      </c>
      <c r="AI1014" s="6" t="s">
        <v>81</v>
      </c>
      <c r="AJ1014" s="6" t="s">
        <v>17856</v>
      </c>
      <c r="AK1014" s="6" t="s">
        <v>81</v>
      </c>
      <c r="AL1014" s="6" t="s">
        <v>17856</v>
      </c>
      <c r="AM1014" s="6" t="s">
        <v>7037</v>
      </c>
      <c r="AN1014" s="6" t="s">
        <v>81</v>
      </c>
      <c r="AO1014" s="6" t="s">
        <v>81</v>
      </c>
      <c r="AP1014" s="6" t="s">
        <v>81</v>
      </c>
      <c r="AQ1014" s="6" t="s">
        <v>81</v>
      </c>
      <c r="AR1014" s="6" t="s">
        <v>81</v>
      </c>
      <c r="AS1014" s="6" t="s">
        <v>81</v>
      </c>
      <c r="AT1014" s="6" t="s">
        <v>81</v>
      </c>
      <c r="AU1014" s="6" t="s">
        <v>81</v>
      </c>
      <c r="AV1014" s="6" t="s">
        <v>81</v>
      </c>
      <c r="AW1014" s="6" t="s">
        <v>81</v>
      </c>
      <c r="AX1014" s="6" t="s">
        <v>81</v>
      </c>
      <c r="AY1014" s="6" t="s">
        <v>22942</v>
      </c>
      <c r="AZ1014" s="6" t="s">
        <v>81</v>
      </c>
      <c r="BA1014" s="6" t="s">
        <v>81</v>
      </c>
      <c r="BB1014" s="24" t="n">
        <v>3798</v>
      </c>
      <c r="BC1014" s="26"/>
      <c r="BD1014" s="26"/>
      <c r="BE1014" s="26"/>
      <c r="BF1014" s="26"/>
      <c r="BG1014" s="26"/>
      <c r="BH1014" s="26"/>
      <c r="BI1014" s="26"/>
      <c r="BJ1014" s="26"/>
      <c r="BK1014" s="26"/>
      <c r="BL1014" s="26"/>
      <c r="BM1014" s="26"/>
      <c r="BN1014" s="26"/>
      <c r="BO1014" s="26"/>
      <c r="BP1014" s="16" t="n">
        <v>45618</v>
      </c>
      <c r="BQ1014" s="28" t="str">
        <f>HYPERLINK("https://organic.ams.usda.gov/Integrity/Certificate.aspx?cid=12&amp;nopid=8690009409")</f>
        <v>https://organic.ams.usda.gov/Integrity/Certificate.aspx?cid=12&amp;nopid=8690009409</v>
      </c>
    </row>
    <row r="1015">
      <c r="A1015" t="s">
        <v>3</v>
      </c>
      <c r="B1015" s="6" t="s">
        <v>20</v>
      </c>
      <c r="C1015" s="6" t="s">
        <v>67</v>
      </c>
      <c r="D1015" s="6" t="s">
        <v>113</v>
      </c>
      <c r="E1015" s="10" t="s">
        <v>1156</v>
      </c>
      <c r="F1015" s="6" t="s">
        <v>3884</v>
      </c>
      <c r="G1015" s="6" t="s">
        <v>81</v>
      </c>
      <c r="H1015" s="6" t="s">
        <v>6825</v>
      </c>
      <c r="I1015" s="6" t="s">
        <v>8980</v>
      </c>
      <c r="J1015" s="6" t="s">
        <v>10178</v>
      </c>
      <c r="K1015" s="6" t="s">
        <v>10886</v>
      </c>
      <c r="L1015" s="16" t="n">
        <v>45380</v>
      </c>
      <c r="M1015" s="16" t="n">
        <v>45687</v>
      </c>
      <c r="N1015" s="6" t="s">
        <v>81</v>
      </c>
      <c r="O1015" s="21" t="s">
        <v>81</v>
      </c>
      <c r="P1015" s="6" t="s">
        <v>81</v>
      </c>
      <c r="Q1015" s="6" t="s">
        <v>81</v>
      </c>
      <c r="R1015" s="6" t="s">
        <v>81</v>
      </c>
      <c r="S1015" s="6" t="s">
        <v>81</v>
      </c>
      <c r="T1015" s="21" t="s">
        <v>81</v>
      </c>
      <c r="U1015" s="6" t="s">
        <v>81</v>
      </c>
      <c r="V1015" s="6" t="s">
        <v>81</v>
      </c>
      <c r="W1015" s="6" t="s">
        <v>81</v>
      </c>
      <c r="X1015" s="6" t="s">
        <v>81</v>
      </c>
      <c r="Y1015" s="21" t="s">
        <v>81</v>
      </c>
      <c r="Z1015" s="6" t="s">
        <v>81</v>
      </c>
      <c r="AA1015" s="6" t="s">
        <v>81</v>
      </c>
      <c r="AB1015" s="6" t="s">
        <v>81</v>
      </c>
      <c r="AC1015" s="6" t="s">
        <v>10886</v>
      </c>
      <c r="AD1015" s="16" t="n">
        <v>45380</v>
      </c>
      <c r="AE1015" s="6" t="s">
        <v>14215</v>
      </c>
      <c r="AF1015" s="6" t="s">
        <v>81</v>
      </c>
      <c r="AG1015" s="6" t="s">
        <v>14556</v>
      </c>
      <c r="AH1015" s="6" t="s">
        <v>15588</v>
      </c>
      <c r="AI1015" s="6" t="s">
        <v>17288</v>
      </c>
      <c r="AJ1015" s="6" t="s">
        <v>17857</v>
      </c>
      <c r="AK1015" s="6" t="s">
        <v>18386</v>
      </c>
      <c r="AL1015" s="6" t="s">
        <v>18444</v>
      </c>
      <c r="AM1015" s="6" t="s">
        <v>19039</v>
      </c>
      <c r="AN1015" s="6" t="s">
        <v>81</v>
      </c>
      <c r="AO1015" s="6" t="s">
        <v>81</v>
      </c>
      <c r="AP1015" s="6" t="s">
        <v>15588</v>
      </c>
      <c r="AQ1015" s="6" t="s">
        <v>17288</v>
      </c>
      <c r="AR1015" s="6" t="s">
        <v>17857</v>
      </c>
      <c r="AS1015" s="6" t="s">
        <v>18386</v>
      </c>
      <c r="AT1015" s="6" t="s">
        <v>18444</v>
      </c>
      <c r="AU1015" s="6" t="s">
        <v>19039</v>
      </c>
      <c r="AV1015" s="6" t="s">
        <v>81</v>
      </c>
      <c r="AW1015" s="6" t="s">
        <v>81</v>
      </c>
      <c r="AX1015" s="6" t="s">
        <v>21393</v>
      </c>
      <c r="AY1015" s="6" t="s">
        <v>81</v>
      </c>
      <c r="AZ1015" s="6" t="s">
        <v>81</v>
      </c>
      <c r="BA1015" s="6" t="s">
        <v>81</v>
      </c>
      <c r="BB1015" s="6" t="s">
        <v>81</v>
      </c>
      <c r="BC1015" s="26"/>
      <c r="BD1015" s="26"/>
      <c r="BE1015" s="26"/>
      <c r="BF1015" s="26"/>
      <c r="BG1015" s="26"/>
      <c r="BH1015" s="26"/>
      <c r="BI1015" s="26"/>
      <c r="BJ1015" s="26"/>
      <c r="BK1015" s="26"/>
      <c r="BL1015" s="26"/>
      <c r="BM1015" s="26"/>
      <c r="BN1015" s="26"/>
      <c r="BO1015" s="26"/>
      <c r="BP1015" s="16" t="n">
        <v>45737</v>
      </c>
      <c r="BQ1015" s="28" t="str">
        <f>HYPERLINK("https://organic.ams.usda.gov/Integrity/Certificate.aspx?cid=71&amp;nopid=5520787352")</f>
        <v>https://organic.ams.usda.gov/Integrity/Certificate.aspx?cid=71&amp;nopid=5520787352</v>
      </c>
    </row>
    <row r="1016">
      <c r="A1016" t="s">
        <v>3</v>
      </c>
      <c r="B1016" s="6" t="s">
        <v>12</v>
      </c>
      <c r="C1016" s="6" t="s">
        <v>59</v>
      </c>
      <c r="D1016" s="6" t="s">
        <v>105</v>
      </c>
      <c r="E1016" s="10" t="s">
        <v>1157</v>
      </c>
      <c r="F1016" s="6" t="s">
        <v>3885</v>
      </c>
      <c r="G1016" s="6" t="s">
        <v>81</v>
      </c>
      <c r="H1016" s="6" t="s">
        <v>6826</v>
      </c>
      <c r="I1016" s="6" t="s">
        <v>8981</v>
      </c>
      <c r="J1016" s="6" t="s">
        <v>10179</v>
      </c>
      <c r="K1016" s="6" t="s">
        <v>10886</v>
      </c>
      <c r="L1016" s="16" t="n">
        <v>41905</v>
      </c>
      <c r="M1016" s="16" t="n">
        <v>45717</v>
      </c>
      <c r="N1016" s="6" t="s">
        <v>10886</v>
      </c>
      <c r="O1016" s="16" t="n">
        <v>41905</v>
      </c>
      <c r="P1016" s="6" t="s">
        <v>11500</v>
      </c>
      <c r="Q1016" s="6" t="s">
        <v>81</v>
      </c>
      <c r="R1016" s="6" t="s">
        <v>81</v>
      </c>
      <c r="S1016" s="6" t="s">
        <v>10886</v>
      </c>
      <c r="T1016" s="16" t="n">
        <v>41905</v>
      </c>
      <c r="U1016" s="6" t="s">
        <v>13329</v>
      </c>
      <c r="V1016" s="6" t="s">
        <v>81</v>
      </c>
      <c r="W1016" s="6" t="s">
        <v>81</v>
      </c>
      <c r="X1016" s="6" t="s">
        <v>81</v>
      </c>
      <c r="Y1016" s="21" t="s">
        <v>81</v>
      </c>
      <c r="Z1016" s="6" t="s">
        <v>81</v>
      </c>
      <c r="AA1016" s="6" t="s">
        <v>81</v>
      </c>
      <c r="AB1016" s="6" t="s">
        <v>81</v>
      </c>
      <c r="AC1016" s="6" t="s">
        <v>81</v>
      </c>
      <c r="AD1016" s="21" t="s">
        <v>81</v>
      </c>
      <c r="AE1016" s="6" t="s">
        <v>81</v>
      </c>
      <c r="AF1016" s="6" t="s">
        <v>81</v>
      </c>
      <c r="AG1016" s="6" t="s">
        <v>81</v>
      </c>
      <c r="AH1016" s="6" t="s">
        <v>15589</v>
      </c>
      <c r="AI1016" s="6" t="s">
        <v>81</v>
      </c>
      <c r="AJ1016" s="6" t="s">
        <v>17858</v>
      </c>
      <c r="AK1016" s="6" t="s">
        <v>18380</v>
      </c>
      <c r="AL1016" s="6" t="s">
        <v>18444</v>
      </c>
      <c r="AM1016" s="6" t="s">
        <v>19040</v>
      </c>
      <c r="AN1016" s="6" t="s">
        <v>19686</v>
      </c>
      <c r="AO1016" s="6" t="s">
        <v>19817</v>
      </c>
      <c r="AP1016" s="6" t="s">
        <v>15589</v>
      </c>
      <c r="AQ1016" s="6" t="s">
        <v>81</v>
      </c>
      <c r="AR1016" s="6" t="s">
        <v>17858</v>
      </c>
      <c r="AS1016" s="6" t="s">
        <v>18380</v>
      </c>
      <c r="AT1016" s="6" t="s">
        <v>18444</v>
      </c>
      <c r="AU1016" s="6" t="s">
        <v>19040</v>
      </c>
      <c r="AV1016" s="6" t="s">
        <v>81</v>
      </c>
      <c r="AW1016" s="6" t="s">
        <v>81</v>
      </c>
      <c r="AX1016" s="6" t="s">
        <v>21394</v>
      </c>
      <c r="AY1016" s="6" t="s">
        <v>81</v>
      </c>
      <c r="AZ1016" s="6" t="s">
        <v>81</v>
      </c>
      <c r="BA1016" s="6" t="s">
        <v>81</v>
      </c>
      <c r="BB1016" s="24" t="n">
        <v>270</v>
      </c>
      <c r="BC1016" s="26"/>
      <c r="BD1016" s="26"/>
      <c r="BE1016" s="26"/>
      <c r="BF1016" s="26"/>
      <c r="BG1016" s="26"/>
      <c r="BH1016" s="26"/>
      <c r="BI1016" s="26"/>
      <c r="BJ1016" s="26"/>
      <c r="BK1016" s="26"/>
      <c r="BL1016" s="26"/>
      <c r="BM1016" s="26"/>
      <c r="BN1016" s="26"/>
      <c r="BO1016" s="26"/>
      <c r="BP1016" s="16" t="n">
        <v>45736</v>
      </c>
      <c r="BQ1016" s="28" t="str">
        <f>HYPERLINK("https://organic.ams.usda.gov/Integrity/Certificate.aspx?cid=68&amp;nopid=8210001747")</f>
        <v>https://organic.ams.usda.gov/Integrity/Certificate.aspx?cid=68&amp;nopid=8210001747</v>
      </c>
    </row>
    <row r="1017">
      <c r="A1017" t="s">
        <v>3</v>
      </c>
      <c r="B1017" s="6" t="s">
        <v>15</v>
      </c>
      <c r="C1017" s="6" t="s">
        <v>62</v>
      </c>
      <c r="D1017" s="6" t="s">
        <v>108</v>
      </c>
      <c r="E1017" s="10" t="s">
        <v>1158</v>
      </c>
      <c r="F1017" s="6" t="s">
        <v>3886</v>
      </c>
      <c r="G1017" s="6" t="s">
        <v>5682</v>
      </c>
      <c r="H1017" s="6" t="s">
        <v>6827</v>
      </c>
      <c r="I1017" s="6" t="s">
        <v>8982</v>
      </c>
      <c r="J1017" s="6" t="s">
        <v>10180</v>
      </c>
      <c r="K1017" s="6" t="s">
        <v>10886</v>
      </c>
      <c r="L1017" s="16" t="n">
        <v>40476</v>
      </c>
      <c r="M1017" s="16" t="n">
        <v>46157</v>
      </c>
      <c r="N1017" s="6" t="s">
        <v>10886</v>
      </c>
      <c r="O1017" s="16" t="n">
        <v>40476</v>
      </c>
      <c r="P1017" s="6" t="s">
        <v>10986</v>
      </c>
      <c r="Q1017" s="6" t="s">
        <v>81</v>
      </c>
      <c r="R1017" s="6" t="s">
        <v>81</v>
      </c>
      <c r="S1017" s="6" t="s">
        <v>10886</v>
      </c>
      <c r="T1017" s="16" t="n">
        <v>40476</v>
      </c>
      <c r="U1017" s="6" t="s">
        <v>13196</v>
      </c>
      <c r="V1017" s="6" t="s">
        <v>81</v>
      </c>
      <c r="W1017" s="6" t="s">
        <v>81</v>
      </c>
      <c r="X1017" s="6" t="s">
        <v>81</v>
      </c>
      <c r="Y1017" s="21" t="s">
        <v>81</v>
      </c>
      <c r="Z1017" s="6" t="s">
        <v>81</v>
      </c>
      <c r="AA1017" s="6" t="s">
        <v>81</v>
      </c>
      <c r="AB1017" s="6" t="s">
        <v>81</v>
      </c>
      <c r="AC1017" s="6" t="s">
        <v>81</v>
      </c>
      <c r="AD1017" s="21" t="s">
        <v>81</v>
      </c>
      <c r="AE1017" s="6" t="s">
        <v>81</v>
      </c>
      <c r="AF1017" s="6" t="s">
        <v>81</v>
      </c>
      <c r="AG1017" s="6" t="s">
        <v>81</v>
      </c>
      <c r="AH1017" s="6" t="s">
        <v>15590</v>
      </c>
      <c r="AI1017" s="6" t="s">
        <v>81</v>
      </c>
      <c r="AJ1017" s="6" t="s">
        <v>17859</v>
      </c>
      <c r="AK1017" s="6" t="s">
        <v>18377</v>
      </c>
      <c r="AL1017" s="6" t="s">
        <v>18444</v>
      </c>
      <c r="AM1017" s="6" t="s">
        <v>19041</v>
      </c>
      <c r="AN1017" s="6" t="s">
        <v>19686</v>
      </c>
      <c r="AO1017" s="6" t="s">
        <v>19959</v>
      </c>
      <c r="AP1017" s="6" t="s">
        <v>15590</v>
      </c>
      <c r="AQ1017" s="6" t="s">
        <v>81</v>
      </c>
      <c r="AR1017" s="6" t="s">
        <v>17859</v>
      </c>
      <c r="AS1017" s="6" t="s">
        <v>18377</v>
      </c>
      <c r="AT1017" s="6" t="s">
        <v>18444</v>
      </c>
      <c r="AU1017" s="6" t="s">
        <v>19041</v>
      </c>
      <c r="AV1017" s="6" t="s">
        <v>81</v>
      </c>
      <c r="AW1017" s="6" t="s">
        <v>81</v>
      </c>
      <c r="AX1017" s="6" t="s">
        <v>21395</v>
      </c>
      <c r="AY1017" s="6" t="s">
        <v>81</v>
      </c>
      <c r="AZ1017" s="6" t="s">
        <v>81</v>
      </c>
      <c r="BA1017" s="6" t="s">
        <v>81</v>
      </c>
      <c r="BB1017" s="24" t="n">
        <v>419</v>
      </c>
      <c r="BC1017" s="26"/>
      <c r="BD1017" s="26"/>
      <c r="BE1017" s="26"/>
      <c r="BF1017" s="26" t="s">
        <v>23900</v>
      </c>
      <c r="BG1017" s="26"/>
      <c r="BH1017" s="26"/>
      <c r="BI1017" s="26"/>
      <c r="BJ1017" s="26"/>
      <c r="BK1017" s="26"/>
      <c r="BL1017" s="26"/>
      <c r="BM1017" s="26"/>
      <c r="BN1017" s="26"/>
      <c r="BO1017" s="26"/>
      <c r="BP1017" s="16" t="n">
        <v>45737</v>
      </c>
      <c r="BQ1017" s="28" t="str">
        <f>HYPERLINK("https://organic.ams.usda.gov/Integrity/Certificate.aspx?cid=58&amp;nopid=1600003576")</f>
        <v>https://organic.ams.usda.gov/Integrity/Certificate.aspx?cid=58&amp;nopid=1600003576</v>
      </c>
    </row>
    <row r="1018">
      <c r="A1018" t="s">
        <v>3</v>
      </c>
      <c r="B1018" s="6" t="s">
        <v>24</v>
      </c>
      <c r="C1018" s="6" t="s">
        <v>71</v>
      </c>
      <c r="D1018" s="6" t="s">
        <v>117</v>
      </c>
      <c r="E1018" s="10" t="s">
        <v>1159</v>
      </c>
      <c r="F1018" s="6" t="s">
        <v>3887</v>
      </c>
      <c r="G1018" s="6" t="s">
        <v>81</v>
      </c>
      <c r="H1018" s="6" t="s">
        <v>81</v>
      </c>
      <c r="I1018" s="6" t="s">
        <v>8683</v>
      </c>
      <c r="J1018" s="6" t="s">
        <v>9742</v>
      </c>
      <c r="K1018" s="6" t="s">
        <v>10886</v>
      </c>
      <c r="L1018" s="16" t="n">
        <v>44609</v>
      </c>
      <c r="M1018" s="16" t="n">
        <v>45809</v>
      </c>
      <c r="N1018" s="6" t="s">
        <v>10886</v>
      </c>
      <c r="O1018" s="16" t="n">
        <v>45281</v>
      </c>
      <c r="P1018" s="6" t="s">
        <v>11501</v>
      </c>
      <c r="Q1018" s="6" t="s">
        <v>81</v>
      </c>
      <c r="R1018" s="6" t="s">
        <v>81</v>
      </c>
      <c r="S1018" s="6" t="s">
        <v>10886</v>
      </c>
      <c r="T1018" s="16" t="n">
        <v>45281</v>
      </c>
      <c r="U1018" s="6" t="s">
        <v>13520</v>
      </c>
      <c r="V1018" s="6" t="s">
        <v>81</v>
      </c>
      <c r="W1018" s="6" t="s">
        <v>81</v>
      </c>
      <c r="X1018" s="6" t="s">
        <v>81</v>
      </c>
      <c r="Y1018" s="21" t="s">
        <v>81</v>
      </c>
      <c r="Z1018" s="6" t="s">
        <v>81</v>
      </c>
      <c r="AA1018" s="6" t="s">
        <v>81</v>
      </c>
      <c r="AB1018" s="6" t="s">
        <v>81</v>
      </c>
      <c r="AC1018" s="6" t="s">
        <v>10886</v>
      </c>
      <c r="AD1018" s="16" t="n">
        <v>45281</v>
      </c>
      <c r="AE1018" s="6" t="s">
        <v>14216</v>
      </c>
      <c r="AF1018" s="6" t="s">
        <v>81</v>
      </c>
      <c r="AG1018" s="6" t="s">
        <v>81</v>
      </c>
      <c r="AH1018" s="6" t="s">
        <v>15591</v>
      </c>
      <c r="AI1018" s="6" t="s">
        <v>81</v>
      </c>
      <c r="AJ1018" s="6" t="s">
        <v>17394</v>
      </c>
      <c r="AK1018" s="6" t="s">
        <v>18377</v>
      </c>
      <c r="AL1018" s="6" t="s">
        <v>18444</v>
      </c>
      <c r="AM1018" s="6" t="s">
        <v>18550</v>
      </c>
      <c r="AN1018" s="6" t="s">
        <v>7895</v>
      </c>
      <c r="AO1018" s="6" t="s">
        <v>19773</v>
      </c>
      <c r="AP1018" s="6" t="s">
        <v>15591</v>
      </c>
      <c r="AQ1018" s="6" t="s">
        <v>81</v>
      </c>
      <c r="AR1018" s="6" t="s">
        <v>17394</v>
      </c>
      <c r="AS1018" s="6" t="s">
        <v>18377</v>
      </c>
      <c r="AT1018" s="6" t="s">
        <v>18444</v>
      </c>
      <c r="AU1018" s="6" t="s">
        <v>18550</v>
      </c>
      <c r="AV1018" s="6" t="s">
        <v>81</v>
      </c>
      <c r="AW1018" s="6" t="s">
        <v>81</v>
      </c>
      <c r="AX1018" s="6" t="s">
        <v>81</v>
      </c>
      <c r="AY1018" s="6" t="s">
        <v>81</v>
      </c>
      <c r="AZ1018" s="6" t="s">
        <v>81</v>
      </c>
      <c r="BA1018" s="6" t="s">
        <v>81</v>
      </c>
      <c r="BB1018" s="24" t="n">
        <v>170</v>
      </c>
      <c r="BC1018" s="26"/>
      <c r="BD1018" s="26"/>
      <c r="BE1018" s="26"/>
      <c r="BF1018" s="26"/>
      <c r="BG1018" s="26"/>
      <c r="BH1018" s="26"/>
      <c r="BI1018" s="26"/>
      <c r="BJ1018" s="26"/>
      <c r="BK1018" s="26"/>
      <c r="BL1018" s="26"/>
      <c r="BM1018" s="26"/>
      <c r="BN1018" s="26"/>
      <c r="BO1018" s="26"/>
      <c r="BP1018" s="16" t="n">
        <v>45735</v>
      </c>
      <c r="BQ1018" s="28" t="str">
        <f>HYPERLINK("https://organic.ams.usda.gov/Integrity/Certificate.aspx?cid=1&amp;nopid=9092134303")</f>
        <v>https://organic.ams.usda.gov/Integrity/Certificate.aspx?cid=1&amp;nopid=9092134303</v>
      </c>
    </row>
    <row r="1019">
      <c r="A1019" t="s">
        <v>3</v>
      </c>
      <c r="B1019" s="6" t="s">
        <v>8</v>
      </c>
      <c r="C1019" s="6" t="s">
        <v>55</v>
      </c>
      <c r="D1019" s="6" t="s">
        <v>101</v>
      </c>
      <c r="E1019" s="10" t="s">
        <v>1160</v>
      </c>
      <c r="F1019" s="6" t="s">
        <v>3888</v>
      </c>
      <c r="G1019" s="6" t="s">
        <v>81</v>
      </c>
      <c r="H1019" s="6" t="s">
        <v>6332</v>
      </c>
      <c r="I1019" s="6" t="s">
        <v>8514</v>
      </c>
      <c r="J1019" s="6" t="s">
        <v>10181</v>
      </c>
      <c r="K1019" s="6" t="s">
        <v>10886</v>
      </c>
      <c r="L1019" s="16" t="n">
        <v>36334</v>
      </c>
      <c r="M1019" s="16" t="n">
        <v>45748</v>
      </c>
      <c r="N1019" s="6" t="s">
        <v>10886</v>
      </c>
      <c r="O1019" s="16" t="n">
        <v>36334</v>
      </c>
      <c r="P1019" s="6" t="s">
        <v>11502</v>
      </c>
      <c r="Q1019" s="6" t="s">
        <v>81</v>
      </c>
      <c r="R1019" s="6" t="s">
        <v>6332</v>
      </c>
      <c r="S1019" s="6" t="s">
        <v>10886</v>
      </c>
      <c r="T1019" s="16" t="n">
        <v>36334</v>
      </c>
      <c r="U1019" s="6" t="s">
        <v>13271</v>
      </c>
      <c r="V1019" s="6" t="s">
        <v>81</v>
      </c>
      <c r="W1019" s="6" t="s">
        <v>6332</v>
      </c>
      <c r="X1019" s="6" t="s">
        <v>81</v>
      </c>
      <c r="Y1019" s="21" t="s">
        <v>81</v>
      </c>
      <c r="Z1019" s="6" t="s">
        <v>81</v>
      </c>
      <c r="AA1019" s="6" t="s">
        <v>81</v>
      </c>
      <c r="AB1019" s="6" t="s">
        <v>81</v>
      </c>
      <c r="AC1019" s="6" t="s">
        <v>81</v>
      </c>
      <c r="AD1019" s="21" t="s">
        <v>81</v>
      </c>
      <c r="AE1019" s="6" t="s">
        <v>81</v>
      </c>
      <c r="AF1019" s="6" t="s">
        <v>81</v>
      </c>
      <c r="AG1019" s="6" t="s">
        <v>81</v>
      </c>
      <c r="AH1019" s="6" t="s">
        <v>15592</v>
      </c>
      <c r="AI1019" s="6" t="s">
        <v>81</v>
      </c>
      <c r="AJ1019" s="6" t="s">
        <v>17860</v>
      </c>
      <c r="AK1019" s="6" t="s">
        <v>18377</v>
      </c>
      <c r="AL1019" s="6" t="s">
        <v>18444</v>
      </c>
      <c r="AM1019" s="6" t="s">
        <v>19042</v>
      </c>
      <c r="AN1019" s="6" t="s">
        <v>6139</v>
      </c>
      <c r="AO1019" s="6" t="s">
        <v>19814</v>
      </c>
      <c r="AP1019" s="6" t="s">
        <v>81</v>
      </c>
      <c r="AQ1019" s="6" t="s">
        <v>81</v>
      </c>
      <c r="AR1019" s="6" t="s">
        <v>81</v>
      </c>
      <c r="AS1019" s="6" t="s">
        <v>81</v>
      </c>
      <c r="AT1019" s="6" t="s">
        <v>81</v>
      </c>
      <c r="AU1019" s="6" t="s">
        <v>81</v>
      </c>
      <c r="AV1019" s="6" t="s">
        <v>81</v>
      </c>
      <c r="AW1019" s="6" t="s">
        <v>81</v>
      </c>
      <c r="AX1019" s="6" t="s">
        <v>81</v>
      </c>
      <c r="AY1019" s="6" t="s">
        <v>22943</v>
      </c>
      <c r="AZ1019" s="6" t="s">
        <v>81</v>
      </c>
      <c r="BA1019" s="6" t="s">
        <v>23819</v>
      </c>
      <c r="BB1019" s="24" t="n">
        <v>345</v>
      </c>
      <c r="BC1019" s="26"/>
      <c r="BD1019" s="26"/>
      <c r="BE1019" s="26"/>
      <c r="BF1019" s="26" t="s">
        <v>23900</v>
      </c>
      <c r="BG1019" s="26"/>
      <c r="BH1019" s="26"/>
      <c r="BI1019" s="26"/>
      <c r="BJ1019" s="26"/>
      <c r="BK1019" s="26"/>
      <c r="BL1019" s="26"/>
      <c r="BM1019" s="26"/>
      <c r="BN1019" s="26"/>
      <c r="BO1019" s="26"/>
      <c r="BP1019" s="16" t="n">
        <v>45562</v>
      </c>
      <c r="BQ1019" s="28" t="str">
        <f>HYPERLINK("https://organic.ams.usda.gov/Integrity/Certificate.aspx?cid=45&amp;nopid=9950000119")</f>
        <v>https://organic.ams.usda.gov/Integrity/Certificate.aspx?cid=45&amp;nopid=9950000119</v>
      </c>
    </row>
    <row r="1020">
      <c r="A1020" t="s">
        <v>3</v>
      </c>
      <c r="B1020" s="6" t="s">
        <v>8</v>
      </c>
      <c r="C1020" s="6" t="s">
        <v>55</v>
      </c>
      <c r="D1020" s="6" t="s">
        <v>101</v>
      </c>
      <c r="E1020" s="10" t="s">
        <v>1161</v>
      </c>
      <c r="F1020" s="6" t="s">
        <v>3889</v>
      </c>
      <c r="G1020" s="6" t="s">
        <v>5683</v>
      </c>
      <c r="H1020" s="6" t="s">
        <v>6828</v>
      </c>
      <c r="I1020" s="6" t="s">
        <v>8919</v>
      </c>
      <c r="J1020" s="6" t="s">
        <v>10182</v>
      </c>
      <c r="K1020" s="6" t="s">
        <v>10886</v>
      </c>
      <c r="L1020" s="16" t="n">
        <v>39713</v>
      </c>
      <c r="M1020" s="16" t="n">
        <v>45383</v>
      </c>
      <c r="N1020" s="6" t="s">
        <v>10886</v>
      </c>
      <c r="O1020" s="16" t="n">
        <v>39713</v>
      </c>
      <c r="P1020" s="6" t="s">
        <v>11503</v>
      </c>
      <c r="Q1020" s="6" t="s">
        <v>81</v>
      </c>
      <c r="R1020" s="6" t="s">
        <v>6828</v>
      </c>
      <c r="S1020" s="6" t="s">
        <v>10886</v>
      </c>
      <c r="T1020" s="16" t="n">
        <v>39713</v>
      </c>
      <c r="U1020" s="6" t="s">
        <v>13179</v>
      </c>
      <c r="V1020" s="6" t="s">
        <v>81</v>
      </c>
      <c r="W1020" s="6" t="s">
        <v>6828</v>
      </c>
      <c r="X1020" s="6" t="s">
        <v>81</v>
      </c>
      <c r="Y1020" s="21" t="s">
        <v>81</v>
      </c>
      <c r="Z1020" s="6" t="s">
        <v>81</v>
      </c>
      <c r="AA1020" s="6" t="s">
        <v>81</v>
      </c>
      <c r="AB1020" s="6" t="s">
        <v>81</v>
      </c>
      <c r="AC1020" s="6" t="s">
        <v>81</v>
      </c>
      <c r="AD1020" s="21" t="s">
        <v>81</v>
      </c>
      <c r="AE1020" s="6" t="s">
        <v>81</v>
      </c>
      <c r="AF1020" s="6" t="s">
        <v>81</v>
      </c>
      <c r="AG1020" s="6" t="s">
        <v>81</v>
      </c>
      <c r="AH1020" s="6" t="s">
        <v>15593</v>
      </c>
      <c r="AI1020" s="6" t="s">
        <v>81</v>
      </c>
      <c r="AJ1020" s="6" t="s">
        <v>17681</v>
      </c>
      <c r="AK1020" s="6" t="s">
        <v>18377</v>
      </c>
      <c r="AL1020" s="6" t="s">
        <v>18444</v>
      </c>
      <c r="AM1020" s="6" t="s">
        <v>18847</v>
      </c>
      <c r="AN1020" s="6" t="s">
        <v>19638</v>
      </c>
      <c r="AO1020" s="6" t="s">
        <v>19724</v>
      </c>
      <c r="AP1020" s="6" t="s">
        <v>20244</v>
      </c>
      <c r="AQ1020" s="6" t="s">
        <v>81</v>
      </c>
      <c r="AR1020" s="6" t="s">
        <v>17681</v>
      </c>
      <c r="AS1020" s="6" t="s">
        <v>18377</v>
      </c>
      <c r="AT1020" s="6" t="s">
        <v>18444</v>
      </c>
      <c r="AU1020" s="6" t="s">
        <v>18847</v>
      </c>
      <c r="AV1020" s="6" t="s">
        <v>81</v>
      </c>
      <c r="AW1020" s="6" t="s">
        <v>81</v>
      </c>
      <c r="AX1020" s="6" t="s">
        <v>21396</v>
      </c>
      <c r="AY1020" s="6" t="s">
        <v>22944</v>
      </c>
      <c r="AZ1020" s="6" t="s">
        <v>23676</v>
      </c>
      <c r="BA1020" s="6" t="s">
        <v>23819</v>
      </c>
      <c r="BB1020" s="24" t="n">
        <v>335</v>
      </c>
      <c r="BC1020" s="26"/>
      <c r="BD1020" s="26"/>
      <c r="BE1020" s="26"/>
      <c r="BF1020" s="26" t="s">
        <v>23900</v>
      </c>
      <c r="BG1020" s="26"/>
      <c r="BH1020" s="26"/>
      <c r="BI1020" s="26"/>
      <c r="BJ1020" s="26"/>
      <c r="BK1020" s="26"/>
      <c r="BL1020" s="26"/>
      <c r="BM1020" s="26"/>
      <c r="BN1020" s="26"/>
      <c r="BO1020" s="26"/>
      <c r="BP1020" s="16" t="n">
        <v>45446</v>
      </c>
      <c r="BQ1020" s="28" t="str">
        <f>HYPERLINK("https://organic.ams.usda.gov/Integrity/Certificate.aspx?cid=45&amp;nopid=9950003165")</f>
        <v>https://organic.ams.usda.gov/Integrity/Certificate.aspx?cid=45&amp;nopid=9950003165</v>
      </c>
    </row>
    <row r="1021">
      <c r="A1021" t="s">
        <v>3</v>
      </c>
      <c r="B1021" s="6" t="s">
        <v>30</v>
      </c>
      <c r="C1021" s="6" t="s">
        <v>77</v>
      </c>
      <c r="D1021" s="6" t="s">
        <v>123</v>
      </c>
      <c r="E1021" s="10" t="s">
        <v>1162</v>
      </c>
      <c r="F1021" s="6" t="s">
        <v>3890</v>
      </c>
      <c r="G1021" s="6" t="s">
        <v>81</v>
      </c>
      <c r="H1021" s="6" t="s">
        <v>6829</v>
      </c>
      <c r="I1021" s="6" t="s">
        <v>8919</v>
      </c>
      <c r="J1021" s="6" t="s">
        <v>10183</v>
      </c>
      <c r="K1021" s="6" t="s">
        <v>10886</v>
      </c>
      <c r="L1021" s="16" t="n">
        <v>40429</v>
      </c>
      <c r="M1021" s="16" t="n">
        <v>45747</v>
      </c>
      <c r="N1021" s="6" t="s">
        <v>10886</v>
      </c>
      <c r="O1021" s="16" t="n">
        <v>40429</v>
      </c>
      <c r="P1021" s="6" t="s">
        <v>10922</v>
      </c>
      <c r="Q1021" s="6" t="s">
        <v>81</v>
      </c>
      <c r="R1021" s="6" t="s">
        <v>6829</v>
      </c>
      <c r="S1021" s="6" t="s">
        <v>10886</v>
      </c>
      <c r="T1021" s="16" t="n">
        <v>40429</v>
      </c>
      <c r="U1021" s="6" t="s">
        <v>13216</v>
      </c>
      <c r="V1021" s="6" t="s">
        <v>81</v>
      </c>
      <c r="W1021" s="6" t="s">
        <v>6829</v>
      </c>
      <c r="X1021" s="6" t="s">
        <v>81</v>
      </c>
      <c r="Y1021" s="21" t="s">
        <v>81</v>
      </c>
      <c r="Z1021" s="6" t="s">
        <v>81</v>
      </c>
      <c r="AA1021" s="6" t="s">
        <v>81</v>
      </c>
      <c r="AB1021" s="6" t="s">
        <v>81</v>
      </c>
      <c r="AC1021" s="6" t="s">
        <v>81</v>
      </c>
      <c r="AD1021" s="21" t="s">
        <v>81</v>
      </c>
      <c r="AE1021" s="6" t="s">
        <v>81</v>
      </c>
      <c r="AF1021" s="6" t="s">
        <v>81</v>
      </c>
      <c r="AG1021" s="6" t="s">
        <v>81</v>
      </c>
      <c r="AH1021" s="6" t="s">
        <v>15594</v>
      </c>
      <c r="AI1021" s="6" t="s">
        <v>81</v>
      </c>
      <c r="AJ1021" s="6" t="s">
        <v>17796</v>
      </c>
      <c r="AK1021" s="6" t="s">
        <v>17712</v>
      </c>
      <c r="AL1021" s="6" t="s">
        <v>18444</v>
      </c>
      <c r="AM1021" s="6" t="s">
        <v>18973</v>
      </c>
      <c r="AN1021" s="6" t="s">
        <v>7195</v>
      </c>
      <c r="AO1021" s="6" t="s">
        <v>19735</v>
      </c>
      <c r="AP1021" s="6" t="s">
        <v>15594</v>
      </c>
      <c r="AQ1021" s="6" t="s">
        <v>81</v>
      </c>
      <c r="AR1021" s="6" t="s">
        <v>17796</v>
      </c>
      <c r="AS1021" s="6" t="s">
        <v>17712</v>
      </c>
      <c r="AT1021" s="6" t="s">
        <v>18444</v>
      </c>
      <c r="AU1021" s="6" t="s">
        <v>18973</v>
      </c>
      <c r="AV1021" s="6" t="s">
        <v>81</v>
      </c>
      <c r="AW1021" s="6" t="s">
        <v>81</v>
      </c>
      <c r="AX1021" s="6" t="s">
        <v>21397</v>
      </c>
      <c r="AY1021" s="6" t="s">
        <v>81</v>
      </c>
      <c r="AZ1021" s="6" t="s">
        <v>81</v>
      </c>
      <c r="BA1021" s="6" t="s">
        <v>81</v>
      </c>
      <c r="BB1021" s="24" t="n">
        <v>486</v>
      </c>
      <c r="BC1021" s="26"/>
      <c r="BD1021" s="26"/>
      <c r="BE1021" s="26"/>
      <c r="BF1021" s="26"/>
      <c r="BG1021" s="26"/>
      <c r="BH1021" s="26"/>
      <c r="BI1021" s="26"/>
      <c r="BJ1021" s="26"/>
      <c r="BK1021" s="26"/>
      <c r="BL1021" s="26"/>
      <c r="BM1021" s="26"/>
      <c r="BN1021" s="26"/>
      <c r="BO1021" s="26"/>
      <c r="BP1021" s="16" t="n">
        <v>45630</v>
      </c>
      <c r="BQ1021" s="28" t="str">
        <f>HYPERLINK("https://organic.ams.usda.gov/Integrity/Certificate.aspx?cid=70&amp;nopid=6431036700")</f>
        <v>https://organic.ams.usda.gov/Integrity/Certificate.aspx?cid=70&amp;nopid=6431036700</v>
      </c>
    </row>
    <row r="1022">
      <c r="A1022" t="s">
        <v>3</v>
      </c>
      <c r="B1022" s="6" t="s">
        <v>8</v>
      </c>
      <c r="C1022" s="6" t="s">
        <v>55</v>
      </c>
      <c r="D1022" s="6" t="s">
        <v>101</v>
      </c>
      <c r="E1022" s="10" t="s">
        <v>1163</v>
      </c>
      <c r="F1022" s="6" t="s">
        <v>3891</v>
      </c>
      <c r="G1022" s="6" t="s">
        <v>81</v>
      </c>
      <c r="H1022" s="6" t="s">
        <v>6830</v>
      </c>
      <c r="I1022" s="6" t="s">
        <v>8919</v>
      </c>
      <c r="J1022" s="6" t="s">
        <v>9750</v>
      </c>
      <c r="K1022" s="6" t="s">
        <v>10886</v>
      </c>
      <c r="L1022" s="16" t="n">
        <v>39593</v>
      </c>
      <c r="M1022" s="16" t="n">
        <v>45689</v>
      </c>
      <c r="N1022" s="6" t="s">
        <v>10886</v>
      </c>
      <c r="O1022" s="16" t="n">
        <v>39593</v>
      </c>
      <c r="P1022" s="6" t="s">
        <v>11504</v>
      </c>
      <c r="Q1022" s="6" t="s">
        <v>81</v>
      </c>
      <c r="R1022" s="6" t="s">
        <v>6830</v>
      </c>
      <c r="S1022" s="6" t="s">
        <v>10886</v>
      </c>
      <c r="T1022" s="16" t="n">
        <v>39593</v>
      </c>
      <c r="U1022" s="6" t="s">
        <v>13179</v>
      </c>
      <c r="V1022" s="6" t="s">
        <v>81</v>
      </c>
      <c r="W1022" s="6" t="s">
        <v>6830</v>
      </c>
      <c r="X1022" s="6" t="s">
        <v>81</v>
      </c>
      <c r="Y1022" s="21" t="s">
        <v>81</v>
      </c>
      <c r="Z1022" s="6" t="s">
        <v>81</v>
      </c>
      <c r="AA1022" s="6" t="s">
        <v>81</v>
      </c>
      <c r="AB1022" s="6" t="s">
        <v>81</v>
      </c>
      <c r="AC1022" s="6" t="s">
        <v>81</v>
      </c>
      <c r="AD1022" s="21" t="s">
        <v>81</v>
      </c>
      <c r="AE1022" s="6" t="s">
        <v>81</v>
      </c>
      <c r="AF1022" s="6" t="s">
        <v>81</v>
      </c>
      <c r="AG1022" s="6" t="s">
        <v>81</v>
      </c>
      <c r="AH1022" s="6" t="s">
        <v>15595</v>
      </c>
      <c r="AI1022" s="6" t="s">
        <v>81</v>
      </c>
      <c r="AJ1022" s="6" t="s">
        <v>17707</v>
      </c>
      <c r="AK1022" s="6" t="s">
        <v>18377</v>
      </c>
      <c r="AL1022" s="6" t="s">
        <v>18444</v>
      </c>
      <c r="AM1022" s="6" t="s">
        <v>18874</v>
      </c>
      <c r="AN1022" s="6" t="s">
        <v>19646</v>
      </c>
      <c r="AO1022" s="6" t="s">
        <v>19733</v>
      </c>
      <c r="AP1022" s="6" t="s">
        <v>81</v>
      </c>
      <c r="AQ1022" s="6" t="s">
        <v>81</v>
      </c>
      <c r="AR1022" s="6" t="s">
        <v>81</v>
      </c>
      <c r="AS1022" s="6" t="s">
        <v>81</v>
      </c>
      <c r="AT1022" s="6" t="s">
        <v>81</v>
      </c>
      <c r="AU1022" s="6" t="s">
        <v>81</v>
      </c>
      <c r="AV1022" s="6" t="s">
        <v>81</v>
      </c>
      <c r="AW1022" s="6" t="s">
        <v>81</v>
      </c>
      <c r="AX1022" s="6" t="s">
        <v>81</v>
      </c>
      <c r="AY1022" s="6" t="s">
        <v>81</v>
      </c>
      <c r="AZ1022" s="6" t="s">
        <v>81</v>
      </c>
      <c r="BA1022" s="6" t="s">
        <v>23819</v>
      </c>
      <c r="BB1022" s="24" t="n">
        <v>209</v>
      </c>
      <c r="BC1022" s="26"/>
      <c r="BD1022" s="26"/>
      <c r="BE1022" s="26"/>
      <c r="BF1022" s="26" t="s">
        <v>23900</v>
      </c>
      <c r="BG1022" s="26"/>
      <c r="BH1022" s="26"/>
      <c r="BI1022" s="26"/>
      <c r="BJ1022" s="26"/>
      <c r="BK1022" s="26"/>
      <c r="BL1022" s="26"/>
      <c r="BM1022" s="26"/>
      <c r="BN1022" s="26"/>
      <c r="BO1022" s="26"/>
      <c r="BP1022" s="16" t="n">
        <v>45693</v>
      </c>
      <c r="BQ1022" s="28" t="str">
        <f>HYPERLINK("https://organic.ams.usda.gov/Integrity/Certificate.aspx?cid=45&amp;nopid=9950003019")</f>
        <v>https://organic.ams.usda.gov/Integrity/Certificate.aspx?cid=45&amp;nopid=9950003019</v>
      </c>
    </row>
    <row r="1023">
      <c r="A1023" t="s">
        <v>3</v>
      </c>
      <c r="B1023" s="6" t="s">
        <v>30</v>
      </c>
      <c r="C1023" s="6" t="s">
        <v>77</v>
      </c>
      <c r="D1023" s="6" t="s">
        <v>123</v>
      </c>
      <c r="E1023" s="10" t="s">
        <v>1164</v>
      </c>
      <c r="F1023" s="6" t="s">
        <v>3892</v>
      </c>
      <c r="G1023" s="6" t="s">
        <v>81</v>
      </c>
      <c r="H1023" s="6" t="s">
        <v>6831</v>
      </c>
      <c r="I1023" s="6" t="s">
        <v>8983</v>
      </c>
      <c r="J1023" s="6" t="s">
        <v>9727</v>
      </c>
      <c r="K1023" s="6" t="s">
        <v>10886</v>
      </c>
      <c r="L1023" s="16" t="n">
        <v>44090</v>
      </c>
      <c r="M1023" s="16" t="n">
        <v>45747</v>
      </c>
      <c r="N1023" s="6" t="s">
        <v>10886</v>
      </c>
      <c r="O1023" s="16" t="n">
        <v>44090</v>
      </c>
      <c r="P1023" s="6" t="s">
        <v>11505</v>
      </c>
      <c r="Q1023" s="6" t="s">
        <v>81</v>
      </c>
      <c r="R1023" s="6" t="s">
        <v>81</v>
      </c>
      <c r="S1023" s="6" t="s">
        <v>10886</v>
      </c>
      <c r="T1023" s="16" t="n">
        <v>44180</v>
      </c>
      <c r="U1023" s="6" t="s">
        <v>13521</v>
      </c>
      <c r="V1023" s="6" t="s">
        <v>81</v>
      </c>
      <c r="W1023" s="6" t="s">
        <v>81</v>
      </c>
      <c r="X1023" s="6" t="s">
        <v>81</v>
      </c>
      <c r="Y1023" s="21" t="s">
        <v>81</v>
      </c>
      <c r="Z1023" s="6" t="s">
        <v>81</v>
      </c>
      <c r="AA1023" s="6" t="s">
        <v>81</v>
      </c>
      <c r="AB1023" s="6" t="s">
        <v>81</v>
      </c>
      <c r="AC1023" s="6" t="s">
        <v>81</v>
      </c>
      <c r="AD1023" s="21" t="s">
        <v>81</v>
      </c>
      <c r="AE1023" s="6" t="s">
        <v>81</v>
      </c>
      <c r="AF1023" s="6" t="s">
        <v>81</v>
      </c>
      <c r="AG1023" s="6" t="s">
        <v>81</v>
      </c>
      <c r="AH1023" s="6" t="s">
        <v>15596</v>
      </c>
      <c r="AI1023" s="6" t="s">
        <v>81</v>
      </c>
      <c r="AJ1023" s="6" t="s">
        <v>17578</v>
      </c>
      <c r="AK1023" s="6" t="s">
        <v>17712</v>
      </c>
      <c r="AL1023" s="6" t="s">
        <v>18444</v>
      </c>
      <c r="AM1023" s="6" t="s">
        <v>18742</v>
      </c>
      <c r="AN1023" s="6" t="s">
        <v>19657</v>
      </c>
      <c r="AO1023" s="6" t="s">
        <v>19751</v>
      </c>
      <c r="AP1023" s="6" t="s">
        <v>15596</v>
      </c>
      <c r="AQ1023" s="6" t="s">
        <v>81</v>
      </c>
      <c r="AR1023" s="6" t="s">
        <v>17578</v>
      </c>
      <c r="AS1023" s="6" t="s">
        <v>17712</v>
      </c>
      <c r="AT1023" s="6" t="s">
        <v>18444</v>
      </c>
      <c r="AU1023" s="6" t="s">
        <v>18742</v>
      </c>
      <c r="AV1023" s="6" t="s">
        <v>81</v>
      </c>
      <c r="AW1023" s="6" t="s">
        <v>81</v>
      </c>
      <c r="AX1023" s="6" t="s">
        <v>81</v>
      </c>
      <c r="AY1023" s="6" t="s">
        <v>81</v>
      </c>
      <c r="AZ1023" s="6" t="s">
        <v>81</v>
      </c>
      <c r="BA1023" s="6" t="s">
        <v>81</v>
      </c>
      <c r="BB1023" s="24" t="n">
        <v>64</v>
      </c>
      <c r="BC1023" s="26"/>
      <c r="BD1023" s="26"/>
      <c r="BE1023" s="26"/>
      <c r="BF1023" s="26"/>
      <c r="BG1023" s="26"/>
      <c r="BH1023" s="26"/>
      <c r="BI1023" s="26"/>
      <c r="BJ1023" s="26"/>
      <c r="BK1023" s="26"/>
      <c r="BL1023" s="26"/>
      <c r="BM1023" s="26"/>
      <c r="BN1023" s="26"/>
      <c r="BO1023" s="26"/>
      <c r="BP1023" s="16" t="n">
        <v>45569</v>
      </c>
      <c r="BQ1023" s="28" t="str">
        <f>HYPERLINK("https://organic.ams.usda.gov/Integrity/Certificate.aspx?cid=70&amp;nopid=6432016780")</f>
        <v>https://organic.ams.usda.gov/Integrity/Certificate.aspx?cid=70&amp;nopid=6432016780</v>
      </c>
    </row>
    <row r="1024">
      <c r="A1024" t="s">
        <v>3</v>
      </c>
      <c r="B1024" s="6" t="s">
        <v>30</v>
      </c>
      <c r="C1024" s="6" t="s">
        <v>77</v>
      </c>
      <c r="D1024" s="6" t="s">
        <v>123</v>
      </c>
      <c r="E1024" s="10" t="s">
        <v>1165</v>
      </c>
      <c r="F1024" s="6" t="s">
        <v>3893</v>
      </c>
      <c r="G1024" s="6" t="s">
        <v>81</v>
      </c>
      <c r="H1024" s="6" t="s">
        <v>6832</v>
      </c>
      <c r="I1024" s="6" t="s">
        <v>8983</v>
      </c>
      <c r="J1024" s="6" t="s">
        <v>9666</v>
      </c>
      <c r="K1024" s="6" t="s">
        <v>10886</v>
      </c>
      <c r="L1024" s="16" t="n">
        <v>39191</v>
      </c>
      <c r="M1024" s="16" t="n">
        <v>45747</v>
      </c>
      <c r="N1024" s="6" t="s">
        <v>10886</v>
      </c>
      <c r="O1024" s="16" t="n">
        <v>39191</v>
      </c>
      <c r="P1024" s="6" t="s">
        <v>11213</v>
      </c>
      <c r="Q1024" s="6" t="s">
        <v>81</v>
      </c>
      <c r="R1024" s="6" t="s">
        <v>12714</v>
      </c>
      <c r="S1024" s="6" t="s">
        <v>10886</v>
      </c>
      <c r="T1024" s="16" t="n">
        <v>39191</v>
      </c>
      <c r="U1024" s="6" t="s">
        <v>13216</v>
      </c>
      <c r="V1024" s="6" t="s">
        <v>81</v>
      </c>
      <c r="W1024" s="6" t="s">
        <v>6832</v>
      </c>
      <c r="X1024" s="6" t="s">
        <v>81</v>
      </c>
      <c r="Y1024" s="21" t="s">
        <v>81</v>
      </c>
      <c r="Z1024" s="6" t="s">
        <v>81</v>
      </c>
      <c r="AA1024" s="6" t="s">
        <v>81</v>
      </c>
      <c r="AB1024" s="6" t="s">
        <v>81</v>
      </c>
      <c r="AC1024" s="6" t="s">
        <v>81</v>
      </c>
      <c r="AD1024" s="21" t="s">
        <v>81</v>
      </c>
      <c r="AE1024" s="6" t="s">
        <v>81</v>
      </c>
      <c r="AF1024" s="6" t="s">
        <v>81</v>
      </c>
      <c r="AG1024" s="6" t="s">
        <v>81</v>
      </c>
      <c r="AH1024" s="6" t="s">
        <v>15597</v>
      </c>
      <c r="AI1024" s="6" t="s">
        <v>81</v>
      </c>
      <c r="AJ1024" s="6" t="s">
        <v>17657</v>
      </c>
      <c r="AK1024" s="6" t="s">
        <v>17712</v>
      </c>
      <c r="AL1024" s="6" t="s">
        <v>18444</v>
      </c>
      <c r="AM1024" s="6" t="s">
        <v>18825</v>
      </c>
      <c r="AN1024" s="6" t="s">
        <v>19649</v>
      </c>
      <c r="AO1024" s="6" t="s">
        <v>19738</v>
      </c>
      <c r="AP1024" s="6" t="s">
        <v>15597</v>
      </c>
      <c r="AQ1024" s="6" t="s">
        <v>81</v>
      </c>
      <c r="AR1024" s="6" t="s">
        <v>17657</v>
      </c>
      <c r="AS1024" s="6" t="s">
        <v>17712</v>
      </c>
      <c r="AT1024" s="6" t="s">
        <v>18444</v>
      </c>
      <c r="AU1024" s="6" t="s">
        <v>18825</v>
      </c>
      <c r="AV1024" s="6" t="s">
        <v>81</v>
      </c>
      <c r="AW1024" s="6" t="s">
        <v>81</v>
      </c>
      <c r="AX1024" s="6" t="s">
        <v>81</v>
      </c>
      <c r="AY1024" s="6" t="s">
        <v>81</v>
      </c>
      <c r="AZ1024" s="6" t="s">
        <v>81</v>
      </c>
      <c r="BA1024" s="6" t="s">
        <v>81</v>
      </c>
      <c r="BB1024" s="24" t="n">
        <v>180</v>
      </c>
      <c r="BC1024" s="26"/>
      <c r="BD1024" s="26"/>
      <c r="BE1024" s="26"/>
      <c r="BF1024" s="26"/>
      <c r="BG1024" s="26"/>
      <c r="BH1024" s="26"/>
      <c r="BI1024" s="26"/>
      <c r="BJ1024" s="26"/>
      <c r="BK1024" s="26"/>
      <c r="BL1024" s="26"/>
      <c r="BM1024" s="26"/>
      <c r="BN1024" s="26"/>
      <c r="BO1024" s="26"/>
      <c r="BP1024" s="16" t="n">
        <v>45551</v>
      </c>
      <c r="BQ1024" s="28" t="str">
        <f>HYPERLINK("https://organic.ams.usda.gov/Integrity/Certificate.aspx?cid=70&amp;nopid=6430713960")</f>
        <v>https://organic.ams.usda.gov/Integrity/Certificate.aspx?cid=70&amp;nopid=6430713960</v>
      </c>
    </row>
    <row r="1025">
      <c r="A1025" t="s">
        <v>3</v>
      </c>
      <c r="B1025" s="6" t="s">
        <v>7</v>
      </c>
      <c r="C1025" s="6" t="s">
        <v>54</v>
      </c>
      <c r="D1025" s="6" t="s">
        <v>100</v>
      </c>
      <c r="E1025" s="10" t="s">
        <v>1166</v>
      </c>
      <c r="F1025" s="6" t="s">
        <v>3894</v>
      </c>
      <c r="G1025" s="6" t="s">
        <v>81</v>
      </c>
      <c r="H1025" s="6" t="s">
        <v>6833</v>
      </c>
      <c r="I1025" s="6" t="s">
        <v>8919</v>
      </c>
      <c r="J1025" s="6" t="s">
        <v>9763</v>
      </c>
      <c r="K1025" s="6" t="s">
        <v>10886</v>
      </c>
      <c r="L1025" s="16" t="n">
        <v>42242</v>
      </c>
      <c r="M1025" s="16" t="n">
        <v>45716</v>
      </c>
      <c r="N1025" s="6" t="s">
        <v>10886</v>
      </c>
      <c r="O1025" s="16" t="n">
        <v>42342</v>
      </c>
      <c r="P1025" s="6" t="s">
        <v>11506</v>
      </c>
      <c r="Q1025" s="6" t="s">
        <v>81</v>
      </c>
      <c r="R1025" s="6" t="s">
        <v>81</v>
      </c>
      <c r="S1025" s="6" t="s">
        <v>10886</v>
      </c>
      <c r="T1025" s="16" t="n">
        <v>42348</v>
      </c>
      <c r="U1025" s="6" t="s">
        <v>13169</v>
      </c>
      <c r="V1025" s="6" t="s">
        <v>81</v>
      </c>
      <c r="W1025" s="6" t="s">
        <v>81</v>
      </c>
      <c r="X1025" s="6" t="s">
        <v>81</v>
      </c>
      <c r="Y1025" s="21" t="s">
        <v>81</v>
      </c>
      <c r="Z1025" s="6" t="s">
        <v>81</v>
      </c>
      <c r="AA1025" s="6" t="s">
        <v>81</v>
      </c>
      <c r="AB1025" s="6" t="s">
        <v>81</v>
      </c>
      <c r="AC1025" s="6" t="s">
        <v>10886</v>
      </c>
      <c r="AD1025" s="16" t="n">
        <v>44900</v>
      </c>
      <c r="AE1025" s="6" t="s">
        <v>81</v>
      </c>
      <c r="AF1025" s="6" t="s">
        <v>81</v>
      </c>
      <c r="AG1025" s="6" t="s">
        <v>81</v>
      </c>
      <c r="AH1025" s="6" t="s">
        <v>15598</v>
      </c>
      <c r="AI1025" s="6" t="s">
        <v>81</v>
      </c>
      <c r="AJ1025" s="6" t="s">
        <v>17311</v>
      </c>
      <c r="AK1025" s="6" t="s">
        <v>17712</v>
      </c>
      <c r="AL1025" s="6" t="s">
        <v>18444</v>
      </c>
      <c r="AM1025" s="6" t="s">
        <v>18463</v>
      </c>
      <c r="AN1025" s="6" t="s">
        <v>19634</v>
      </c>
      <c r="AO1025" s="6" t="s">
        <v>19719</v>
      </c>
      <c r="AP1025" s="6" t="s">
        <v>15598</v>
      </c>
      <c r="AQ1025" s="6" t="s">
        <v>81</v>
      </c>
      <c r="AR1025" s="6" t="s">
        <v>17311</v>
      </c>
      <c r="AS1025" s="6" t="s">
        <v>17712</v>
      </c>
      <c r="AT1025" s="6" t="s">
        <v>18444</v>
      </c>
      <c r="AU1025" s="6" t="s">
        <v>18463</v>
      </c>
      <c r="AV1025" s="6" t="s">
        <v>81</v>
      </c>
      <c r="AW1025" s="6" t="s">
        <v>81</v>
      </c>
      <c r="AX1025" s="6" t="s">
        <v>21398</v>
      </c>
      <c r="AY1025" s="6" t="s">
        <v>81</v>
      </c>
      <c r="AZ1025" s="6" t="s">
        <v>81</v>
      </c>
      <c r="BA1025" s="6" t="s">
        <v>81</v>
      </c>
      <c r="BB1025" s="24" t="n">
        <v>145</v>
      </c>
      <c r="BC1025" s="26"/>
      <c r="BD1025" s="26"/>
      <c r="BE1025" s="26"/>
      <c r="BF1025" s="26" t="s">
        <v>23900</v>
      </c>
      <c r="BG1025" s="26"/>
      <c r="BH1025" s="26"/>
      <c r="BI1025" s="26"/>
      <c r="BJ1025" s="26"/>
      <c r="BK1025" s="26"/>
      <c r="BL1025" s="26"/>
      <c r="BM1025" s="26"/>
      <c r="BN1025" s="26"/>
      <c r="BO1025" s="26"/>
      <c r="BP1025" s="16" t="n">
        <v>45730</v>
      </c>
      <c r="BQ1025" s="28" t="str">
        <f>HYPERLINK("https://organic.ams.usda.gov/Integrity/Certificate.aspx?cid=57&amp;nopid=3252015134")</f>
        <v>https://organic.ams.usda.gov/Integrity/Certificate.aspx?cid=57&amp;nopid=3252015134</v>
      </c>
    </row>
    <row r="1026">
      <c r="A1026" t="s">
        <v>3</v>
      </c>
      <c r="B1026" s="6" t="s">
        <v>12</v>
      </c>
      <c r="C1026" s="6" t="s">
        <v>59</v>
      </c>
      <c r="D1026" s="6" t="s">
        <v>105</v>
      </c>
      <c r="E1026" s="10" t="s">
        <v>1167</v>
      </c>
      <c r="F1026" s="6" t="s">
        <v>3895</v>
      </c>
      <c r="G1026" s="6" t="s">
        <v>81</v>
      </c>
      <c r="H1026" s="6" t="s">
        <v>6834</v>
      </c>
      <c r="I1026" s="6" t="s">
        <v>8984</v>
      </c>
      <c r="J1026" s="6" t="s">
        <v>9750</v>
      </c>
      <c r="K1026" s="6" t="s">
        <v>10886</v>
      </c>
      <c r="L1026" s="16" t="n">
        <v>39314</v>
      </c>
      <c r="M1026" s="16" t="n">
        <v>45717</v>
      </c>
      <c r="N1026" s="6" t="s">
        <v>10886</v>
      </c>
      <c r="O1026" s="16" t="n">
        <v>39314</v>
      </c>
      <c r="P1026" s="6" t="s">
        <v>11507</v>
      </c>
      <c r="Q1026" s="6" t="s">
        <v>81</v>
      </c>
      <c r="R1026" s="6" t="s">
        <v>81</v>
      </c>
      <c r="S1026" s="6" t="s">
        <v>10886</v>
      </c>
      <c r="T1026" s="16" t="n">
        <v>39314</v>
      </c>
      <c r="U1026" s="6" t="s">
        <v>13183</v>
      </c>
      <c r="V1026" s="6" t="s">
        <v>81</v>
      </c>
      <c r="W1026" s="6" t="s">
        <v>81</v>
      </c>
      <c r="X1026" s="6" t="s">
        <v>81</v>
      </c>
      <c r="Y1026" s="21" t="s">
        <v>81</v>
      </c>
      <c r="Z1026" s="6" t="s">
        <v>81</v>
      </c>
      <c r="AA1026" s="6" t="s">
        <v>81</v>
      </c>
      <c r="AB1026" s="6" t="s">
        <v>81</v>
      </c>
      <c r="AC1026" s="6" t="s">
        <v>81</v>
      </c>
      <c r="AD1026" s="21" t="s">
        <v>81</v>
      </c>
      <c r="AE1026" s="6" t="s">
        <v>81</v>
      </c>
      <c r="AF1026" s="6" t="s">
        <v>81</v>
      </c>
      <c r="AG1026" s="6" t="s">
        <v>81</v>
      </c>
      <c r="AH1026" s="6" t="s">
        <v>15599</v>
      </c>
      <c r="AI1026" s="6" t="s">
        <v>81</v>
      </c>
      <c r="AJ1026" s="6" t="s">
        <v>17861</v>
      </c>
      <c r="AK1026" s="6" t="s">
        <v>18380</v>
      </c>
      <c r="AL1026" s="6" t="s">
        <v>18444</v>
      </c>
      <c r="AM1026" s="6" t="s">
        <v>19043</v>
      </c>
      <c r="AN1026" s="6" t="s">
        <v>6332</v>
      </c>
      <c r="AO1026" s="6" t="s">
        <v>19960</v>
      </c>
      <c r="AP1026" s="6" t="s">
        <v>15599</v>
      </c>
      <c r="AQ1026" s="6" t="s">
        <v>81</v>
      </c>
      <c r="AR1026" s="6" t="s">
        <v>17861</v>
      </c>
      <c r="AS1026" s="6" t="s">
        <v>18380</v>
      </c>
      <c r="AT1026" s="6" t="s">
        <v>18444</v>
      </c>
      <c r="AU1026" s="6" t="s">
        <v>19043</v>
      </c>
      <c r="AV1026" s="6" t="s">
        <v>81</v>
      </c>
      <c r="AW1026" s="6" t="s">
        <v>81</v>
      </c>
      <c r="AX1026" s="6" t="s">
        <v>21399</v>
      </c>
      <c r="AY1026" s="6" t="s">
        <v>81</v>
      </c>
      <c r="AZ1026" s="6" t="s">
        <v>81</v>
      </c>
      <c r="BA1026" s="6" t="s">
        <v>81</v>
      </c>
      <c r="BB1026" s="24" t="n">
        <v>76</v>
      </c>
      <c r="BC1026" s="26"/>
      <c r="BD1026" s="26"/>
      <c r="BE1026" s="26"/>
      <c r="BF1026" s="26"/>
      <c r="BG1026" s="26"/>
      <c r="BH1026" s="26"/>
      <c r="BI1026" s="26"/>
      <c r="BJ1026" s="26"/>
      <c r="BK1026" s="26"/>
      <c r="BL1026" s="26"/>
      <c r="BM1026" s="26"/>
      <c r="BN1026" s="26"/>
      <c r="BO1026" s="26"/>
      <c r="BP1026" s="16" t="n">
        <v>45684</v>
      </c>
      <c r="BQ1026" s="28" t="str">
        <f>HYPERLINK("https://organic.ams.usda.gov/Integrity/Certificate.aspx?cid=68&amp;nopid=8210002585")</f>
        <v>https://organic.ams.usda.gov/Integrity/Certificate.aspx?cid=68&amp;nopid=8210002585</v>
      </c>
    </row>
    <row r="1027">
      <c r="A1027" t="s">
        <v>3</v>
      </c>
      <c r="B1027" s="6" t="s">
        <v>13</v>
      </c>
      <c r="C1027" s="6" t="s">
        <v>60</v>
      </c>
      <c r="D1027" s="6" t="s">
        <v>106</v>
      </c>
      <c r="E1027" s="10" t="s">
        <v>1168</v>
      </c>
      <c r="F1027" s="6" t="s">
        <v>3896</v>
      </c>
      <c r="G1027" s="6" t="s">
        <v>81</v>
      </c>
      <c r="H1027" s="6" t="s">
        <v>6835</v>
      </c>
      <c r="I1027" s="6" t="s">
        <v>8919</v>
      </c>
      <c r="J1027" s="6" t="s">
        <v>9734</v>
      </c>
      <c r="K1027" s="6" t="s">
        <v>10886</v>
      </c>
      <c r="L1027" s="16" t="n">
        <v>41989</v>
      </c>
      <c r="M1027" s="16" t="n">
        <v>45748</v>
      </c>
      <c r="N1027" s="6" t="s">
        <v>10886</v>
      </c>
      <c r="O1027" s="16" t="n">
        <v>41989</v>
      </c>
      <c r="P1027" s="6" t="s">
        <v>11508</v>
      </c>
      <c r="Q1027" s="6" t="s">
        <v>81</v>
      </c>
      <c r="R1027" s="6" t="s">
        <v>12715</v>
      </c>
      <c r="S1027" s="6" t="s">
        <v>10886</v>
      </c>
      <c r="T1027" s="16" t="n">
        <v>41989</v>
      </c>
      <c r="U1027" s="6" t="s">
        <v>13301</v>
      </c>
      <c r="V1027" s="6" t="s">
        <v>81</v>
      </c>
      <c r="W1027" s="6" t="s">
        <v>12715</v>
      </c>
      <c r="X1027" s="6" t="s">
        <v>81</v>
      </c>
      <c r="Y1027" s="21" t="s">
        <v>81</v>
      </c>
      <c r="Z1027" s="6" t="s">
        <v>81</v>
      </c>
      <c r="AA1027" s="6" t="s">
        <v>81</v>
      </c>
      <c r="AB1027" s="6" t="s">
        <v>81</v>
      </c>
      <c r="AC1027" s="6" t="s">
        <v>81</v>
      </c>
      <c r="AD1027" s="21" t="s">
        <v>81</v>
      </c>
      <c r="AE1027" s="6" t="s">
        <v>81</v>
      </c>
      <c r="AF1027" s="6" t="s">
        <v>81</v>
      </c>
      <c r="AG1027" s="6" t="s">
        <v>81</v>
      </c>
      <c r="AH1027" s="6" t="s">
        <v>15600</v>
      </c>
      <c r="AI1027" s="6" t="s">
        <v>81</v>
      </c>
      <c r="AJ1027" s="6" t="s">
        <v>17391</v>
      </c>
      <c r="AK1027" s="6" t="s">
        <v>18379</v>
      </c>
      <c r="AL1027" s="6" t="s">
        <v>18444</v>
      </c>
      <c r="AM1027" s="6" t="s">
        <v>18467</v>
      </c>
      <c r="AN1027" s="6" t="s">
        <v>19637</v>
      </c>
      <c r="AO1027" s="6" t="s">
        <v>19723</v>
      </c>
      <c r="AP1027" s="6" t="s">
        <v>15600</v>
      </c>
      <c r="AQ1027" s="6" t="s">
        <v>81</v>
      </c>
      <c r="AR1027" s="6" t="s">
        <v>17391</v>
      </c>
      <c r="AS1027" s="6" t="s">
        <v>18379</v>
      </c>
      <c r="AT1027" s="6" t="s">
        <v>18444</v>
      </c>
      <c r="AU1027" s="6" t="s">
        <v>18467</v>
      </c>
      <c r="AV1027" s="6" t="s">
        <v>81</v>
      </c>
      <c r="AW1027" s="6" t="s">
        <v>81</v>
      </c>
      <c r="AX1027" s="6" t="s">
        <v>21400</v>
      </c>
      <c r="AY1027" s="6" t="s">
        <v>81</v>
      </c>
      <c r="AZ1027" s="6" t="s">
        <v>81</v>
      </c>
      <c r="BA1027" s="6" t="s">
        <v>81</v>
      </c>
      <c r="BB1027" s="24" t="n">
        <v>62</v>
      </c>
      <c r="BC1027" s="26"/>
      <c r="BD1027" s="26"/>
      <c r="BE1027" s="26"/>
      <c r="BF1027" s="26" t="s">
        <v>23900</v>
      </c>
      <c r="BG1027" s="26"/>
      <c r="BH1027" s="26"/>
      <c r="BI1027" s="26"/>
      <c r="BJ1027" s="26"/>
      <c r="BK1027" s="26"/>
      <c r="BL1027" s="26"/>
      <c r="BM1027" s="26"/>
      <c r="BN1027" s="26"/>
      <c r="BO1027" s="26"/>
      <c r="BP1027" s="16" t="n">
        <v>45714</v>
      </c>
      <c r="BQ1027" s="28" t="str">
        <f>HYPERLINK("https://organic.ams.usda.gov/Integrity/Certificate.aspx?cid=72&amp;nopid=5870001899")</f>
        <v>https://organic.ams.usda.gov/Integrity/Certificate.aspx?cid=72&amp;nopid=5870001899</v>
      </c>
    </row>
    <row r="1028">
      <c r="A1028" t="s">
        <v>3</v>
      </c>
      <c r="B1028" s="6" t="s">
        <v>12</v>
      </c>
      <c r="C1028" s="6" t="s">
        <v>59</v>
      </c>
      <c r="D1028" s="6" t="s">
        <v>105</v>
      </c>
      <c r="E1028" s="10" t="s">
        <v>1169</v>
      </c>
      <c r="F1028" s="6" t="s">
        <v>3897</v>
      </c>
      <c r="G1028" s="6" t="s">
        <v>81</v>
      </c>
      <c r="H1028" s="6" t="s">
        <v>6836</v>
      </c>
      <c r="I1028" s="6" t="s">
        <v>8985</v>
      </c>
      <c r="J1028" s="6" t="s">
        <v>9727</v>
      </c>
      <c r="K1028" s="6" t="s">
        <v>10886</v>
      </c>
      <c r="L1028" s="16" t="n">
        <v>44096</v>
      </c>
      <c r="M1028" s="16" t="n">
        <v>45717</v>
      </c>
      <c r="N1028" s="6" t="s">
        <v>10886</v>
      </c>
      <c r="O1028" s="16" t="n">
        <v>44096</v>
      </c>
      <c r="P1028" s="6" t="s">
        <v>10977</v>
      </c>
      <c r="Q1028" s="6" t="s">
        <v>81</v>
      </c>
      <c r="R1028" s="6" t="s">
        <v>81</v>
      </c>
      <c r="S1028" s="6" t="s">
        <v>10886</v>
      </c>
      <c r="T1028" s="16" t="n">
        <v>44096</v>
      </c>
      <c r="U1028" s="6" t="s">
        <v>13183</v>
      </c>
      <c r="V1028" s="6" t="s">
        <v>81</v>
      </c>
      <c r="W1028" s="6" t="s">
        <v>81</v>
      </c>
      <c r="X1028" s="6" t="s">
        <v>81</v>
      </c>
      <c r="Y1028" s="21" t="s">
        <v>81</v>
      </c>
      <c r="Z1028" s="6" t="s">
        <v>81</v>
      </c>
      <c r="AA1028" s="6" t="s">
        <v>81</v>
      </c>
      <c r="AB1028" s="6" t="s">
        <v>81</v>
      </c>
      <c r="AC1028" s="6" t="s">
        <v>81</v>
      </c>
      <c r="AD1028" s="21" t="s">
        <v>81</v>
      </c>
      <c r="AE1028" s="6" t="s">
        <v>81</v>
      </c>
      <c r="AF1028" s="6" t="s">
        <v>81</v>
      </c>
      <c r="AG1028" s="6" t="s">
        <v>81</v>
      </c>
      <c r="AH1028" s="6" t="s">
        <v>15601</v>
      </c>
      <c r="AI1028" s="6" t="s">
        <v>81</v>
      </c>
      <c r="AJ1028" s="6" t="s">
        <v>17406</v>
      </c>
      <c r="AK1028" s="6" t="s">
        <v>17712</v>
      </c>
      <c r="AL1028" s="6" t="s">
        <v>18444</v>
      </c>
      <c r="AM1028" s="6" t="s">
        <v>18562</v>
      </c>
      <c r="AN1028" s="6" t="s">
        <v>19657</v>
      </c>
      <c r="AO1028" s="6" t="s">
        <v>19751</v>
      </c>
      <c r="AP1028" s="6" t="s">
        <v>15601</v>
      </c>
      <c r="AQ1028" s="6" t="s">
        <v>81</v>
      </c>
      <c r="AR1028" s="6" t="s">
        <v>17406</v>
      </c>
      <c r="AS1028" s="6" t="s">
        <v>17712</v>
      </c>
      <c r="AT1028" s="6" t="s">
        <v>18444</v>
      </c>
      <c r="AU1028" s="6" t="s">
        <v>18562</v>
      </c>
      <c r="AV1028" s="6" t="s">
        <v>19657</v>
      </c>
      <c r="AW1028" s="6" t="s">
        <v>19751</v>
      </c>
      <c r="AX1028" s="6" t="s">
        <v>81</v>
      </c>
      <c r="AY1028" s="6" t="s">
        <v>81</v>
      </c>
      <c r="AZ1028" s="6" t="s">
        <v>81</v>
      </c>
      <c r="BA1028" s="6" t="s">
        <v>81</v>
      </c>
      <c r="BB1028" s="24" t="n">
        <v>86</v>
      </c>
      <c r="BC1028" s="26"/>
      <c r="BD1028" s="26"/>
      <c r="BE1028" s="26"/>
      <c r="BF1028" s="26"/>
      <c r="BG1028" s="26"/>
      <c r="BH1028" s="26"/>
      <c r="BI1028" s="26"/>
      <c r="BJ1028" s="26"/>
      <c r="BK1028" s="26"/>
      <c r="BL1028" s="26"/>
      <c r="BM1028" s="26"/>
      <c r="BN1028" s="26"/>
      <c r="BO1028" s="26"/>
      <c r="BP1028" s="16" t="n">
        <v>45684</v>
      </c>
      <c r="BQ1028" s="28" t="str">
        <f>HYPERLINK("https://organic.ams.usda.gov/Integrity/Certificate.aspx?cid=68&amp;nopid=8210007629")</f>
        <v>https://organic.ams.usda.gov/Integrity/Certificate.aspx?cid=68&amp;nopid=8210007629</v>
      </c>
    </row>
    <row r="1029">
      <c r="A1029" t="s">
        <v>3</v>
      </c>
      <c r="B1029" s="6" t="s">
        <v>7</v>
      </c>
      <c r="C1029" s="6" t="s">
        <v>54</v>
      </c>
      <c r="D1029" s="6" t="s">
        <v>100</v>
      </c>
      <c r="E1029" s="10" t="s">
        <v>1170</v>
      </c>
      <c r="F1029" s="6" t="s">
        <v>3898</v>
      </c>
      <c r="G1029" s="6" t="s">
        <v>81</v>
      </c>
      <c r="H1029" s="6" t="s">
        <v>6837</v>
      </c>
      <c r="I1029" s="6" t="s">
        <v>8919</v>
      </c>
      <c r="J1029" s="6" t="s">
        <v>9142</v>
      </c>
      <c r="K1029" s="6" t="s">
        <v>10886</v>
      </c>
      <c r="L1029" s="16" t="n">
        <v>45105</v>
      </c>
      <c r="M1029" s="16" t="n">
        <v>45716</v>
      </c>
      <c r="N1029" s="6" t="s">
        <v>10886</v>
      </c>
      <c r="O1029" s="16" t="n">
        <v>45105</v>
      </c>
      <c r="P1029" s="6" t="s">
        <v>10934</v>
      </c>
      <c r="Q1029" s="6" t="s">
        <v>81</v>
      </c>
      <c r="R1029" s="6" t="s">
        <v>81</v>
      </c>
      <c r="S1029" s="6" t="s">
        <v>10886</v>
      </c>
      <c r="T1029" s="16" t="n">
        <v>45132</v>
      </c>
      <c r="U1029" s="6" t="s">
        <v>13188</v>
      </c>
      <c r="V1029" s="6" t="s">
        <v>81</v>
      </c>
      <c r="W1029" s="6" t="s">
        <v>81</v>
      </c>
      <c r="X1029" s="6" t="s">
        <v>81</v>
      </c>
      <c r="Y1029" s="21" t="s">
        <v>81</v>
      </c>
      <c r="Z1029" s="6" t="s">
        <v>81</v>
      </c>
      <c r="AA1029" s="6" t="s">
        <v>81</v>
      </c>
      <c r="AB1029" s="6" t="s">
        <v>81</v>
      </c>
      <c r="AC1029" s="6" t="s">
        <v>81</v>
      </c>
      <c r="AD1029" s="21" t="s">
        <v>81</v>
      </c>
      <c r="AE1029" s="6" t="s">
        <v>81</v>
      </c>
      <c r="AF1029" s="6" t="s">
        <v>81</v>
      </c>
      <c r="AG1029" s="6" t="s">
        <v>81</v>
      </c>
      <c r="AH1029" s="6" t="s">
        <v>15602</v>
      </c>
      <c r="AI1029" s="6" t="s">
        <v>81</v>
      </c>
      <c r="AJ1029" s="6" t="s">
        <v>17410</v>
      </c>
      <c r="AK1029" s="6" t="s">
        <v>17712</v>
      </c>
      <c r="AL1029" s="6" t="s">
        <v>18444</v>
      </c>
      <c r="AM1029" s="6" t="s">
        <v>18566</v>
      </c>
      <c r="AN1029" s="6" t="s">
        <v>81</v>
      </c>
      <c r="AO1029" s="6" t="s">
        <v>81</v>
      </c>
      <c r="AP1029" s="6" t="s">
        <v>15602</v>
      </c>
      <c r="AQ1029" s="6" t="s">
        <v>81</v>
      </c>
      <c r="AR1029" s="6" t="s">
        <v>17410</v>
      </c>
      <c r="AS1029" s="6" t="s">
        <v>17712</v>
      </c>
      <c r="AT1029" s="6" t="s">
        <v>18444</v>
      </c>
      <c r="AU1029" s="6" t="s">
        <v>18566</v>
      </c>
      <c r="AV1029" s="6" t="s">
        <v>81</v>
      </c>
      <c r="AW1029" s="6" t="s">
        <v>81</v>
      </c>
      <c r="AX1029" s="6" t="s">
        <v>81</v>
      </c>
      <c r="AY1029" s="6" t="s">
        <v>81</v>
      </c>
      <c r="AZ1029" s="6" t="s">
        <v>81</v>
      </c>
      <c r="BA1029" s="6" t="s">
        <v>81</v>
      </c>
      <c r="BB1029" s="24" t="n">
        <v>130</v>
      </c>
      <c r="BC1029" s="26"/>
      <c r="BD1029" s="26"/>
      <c r="BE1029" s="26"/>
      <c r="BF1029" s="26" t="s">
        <v>23900</v>
      </c>
      <c r="BG1029" s="26"/>
      <c r="BH1029" s="26"/>
      <c r="BI1029" s="26"/>
      <c r="BJ1029" s="26"/>
      <c r="BK1029" s="26"/>
      <c r="BL1029" s="26"/>
      <c r="BM1029" s="26"/>
      <c r="BN1029" s="26"/>
      <c r="BO1029" s="26"/>
      <c r="BP1029" s="16" t="n">
        <v>45679</v>
      </c>
      <c r="BQ1029" s="28" t="str">
        <f>HYPERLINK("https://organic.ams.usda.gov/Integrity/Certificate.aspx?cid=57&amp;nopid=3252023032")</f>
        <v>https://organic.ams.usda.gov/Integrity/Certificate.aspx?cid=57&amp;nopid=3252023032</v>
      </c>
    </row>
    <row r="1030">
      <c r="A1030" t="s">
        <v>3</v>
      </c>
      <c r="B1030" s="6" t="s">
        <v>7</v>
      </c>
      <c r="C1030" s="6" t="s">
        <v>54</v>
      </c>
      <c r="D1030" s="6" t="s">
        <v>100</v>
      </c>
      <c r="E1030" s="10" t="s">
        <v>1171</v>
      </c>
      <c r="F1030" s="6" t="s">
        <v>3899</v>
      </c>
      <c r="G1030" s="6" t="s">
        <v>81</v>
      </c>
      <c r="H1030" s="6" t="s">
        <v>6838</v>
      </c>
      <c r="I1030" s="6" t="s">
        <v>8919</v>
      </c>
      <c r="J1030" s="6" t="s">
        <v>9666</v>
      </c>
      <c r="K1030" s="6" t="s">
        <v>10886</v>
      </c>
      <c r="L1030" s="16" t="n">
        <v>44830</v>
      </c>
      <c r="M1030" s="16" t="n">
        <v>45716</v>
      </c>
      <c r="N1030" s="6" t="s">
        <v>10886</v>
      </c>
      <c r="O1030" s="16" t="n">
        <v>44830</v>
      </c>
      <c r="P1030" s="6" t="s">
        <v>10944</v>
      </c>
      <c r="Q1030" s="6" t="s">
        <v>81</v>
      </c>
      <c r="R1030" s="6" t="s">
        <v>81</v>
      </c>
      <c r="S1030" s="6" t="s">
        <v>10886</v>
      </c>
      <c r="T1030" s="16" t="n">
        <v>44859</v>
      </c>
      <c r="U1030" s="6" t="s">
        <v>13169</v>
      </c>
      <c r="V1030" s="6" t="s">
        <v>81</v>
      </c>
      <c r="W1030" s="6" t="s">
        <v>81</v>
      </c>
      <c r="X1030" s="6" t="s">
        <v>81</v>
      </c>
      <c r="Y1030" s="21" t="s">
        <v>81</v>
      </c>
      <c r="Z1030" s="6" t="s">
        <v>81</v>
      </c>
      <c r="AA1030" s="6" t="s">
        <v>81</v>
      </c>
      <c r="AB1030" s="6" t="s">
        <v>81</v>
      </c>
      <c r="AC1030" s="6" t="s">
        <v>81</v>
      </c>
      <c r="AD1030" s="21" t="s">
        <v>81</v>
      </c>
      <c r="AE1030" s="6" t="s">
        <v>81</v>
      </c>
      <c r="AF1030" s="6" t="s">
        <v>81</v>
      </c>
      <c r="AG1030" s="6" t="s">
        <v>81</v>
      </c>
      <c r="AH1030" s="6" t="s">
        <v>15603</v>
      </c>
      <c r="AI1030" s="6" t="s">
        <v>81</v>
      </c>
      <c r="AJ1030" s="6" t="s">
        <v>17410</v>
      </c>
      <c r="AK1030" s="6" t="s">
        <v>17712</v>
      </c>
      <c r="AL1030" s="6" t="s">
        <v>18444</v>
      </c>
      <c r="AM1030" s="6" t="s">
        <v>18566</v>
      </c>
      <c r="AN1030" s="6" t="s">
        <v>19670</v>
      </c>
      <c r="AO1030" s="6" t="s">
        <v>19782</v>
      </c>
      <c r="AP1030" s="6" t="s">
        <v>15603</v>
      </c>
      <c r="AQ1030" s="6" t="s">
        <v>81</v>
      </c>
      <c r="AR1030" s="6" t="s">
        <v>17410</v>
      </c>
      <c r="AS1030" s="6" t="s">
        <v>17712</v>
      </c>
      <c r="AT1030" s="6" t="s">
        <v>18444</v>
      </c>
      <c r="AU1030" s="6" t="s">
        <v>18566</v>
      </c>
      <c r="AV1030" s="6" t="s">
        <v>81</v>
      </c>
      <c r="AW1030" s="6" t="s">
        <v>81</v>
      </c>
      <c r="AX1030" s="6" t="s">
        <v>81</v>
      </c>
      <c r="AY1030" s="6" t="s">
        <v>81</v>
      </c>
      <c r="AZ1030" s="6" t="s">
        <v>81</v>
      </c>
      <c r="BA1030" s="6" t="s">
        <v>81</v>
      </c>
      <c r="BB1030" s="24" t="n">
        <v>125</v>
      </c>
      <c r="BC1030" s="26"/>
      <c r="BD1030" s="26"/>
      <c r="BE1030" s="26"/>
      <c r="BF1030" s="26" t="s">
        <v>23900</v>
      </c>
      <c r="BG1030" s="26"/>
      <c r="BH1030" s="26"/>
      <c r="BI1030" s="26"/>
      <c r="BJ1030" s="26"/>
      <c r="BK1030" s="26"/>
      <c r="BL1030" s="26"/>
      <c r="BM1030" s="26"/>
      <c r="BN1030" s="26"/>
      <c r="BO1030" s="26"/>
      <c r="BP1030" s="16" t="n">
        <v>45656</v>
      </c>
      <c r="BQ1030" s="28" t="str">
        <f>HYPERLINK("https://organic.ams.usda.gov/Integrity/Certificate.aspx?cid=57&amp;nopid=3252022092")</f>
        <v>https://organic.ams.usda.gov/Integrity/Certificate.aspx?cid=57&amp;nopid=3252022092</v>
      </c>
    </row>
    <row r="1031">
      <c r="A1031" t="s">
        <v>3</v>
      </c>
      <c r="B1031" s="6" t="s">
        <v>20</v>
      </c>
      <c r="C1031" s="6" t="s">
        <v>67</v>
      </c>
      <c r="D1031" s="6" t="s">
        <v>113</v>
      </c>
      <c r="E1031" s="10" t="s">
        <v>1172</v>
      </c>
      <c r="F1031" s="6" t="s">
        <v>3900</v>
      </c>
      <c r="G1031" s="6" t="s">
        <v>81</v>
      </c>
      <c r="H1031" s="6" t="s">
        <v>6839</v>
      </c>
      <c r="I1031" s="6" t="s">
        <v>8986</v>
      </c>
      <c r="J1031" s="6" t="s">
        <v>10184</v>
      </c>
      <c r="K1031" s="6" t="s">
        <v>10886</v>
      </c>
      <c r="L1031" s="16" t="n">
        <v>45037</v>
      </c>
      <c r="M1031" s="16" t="n">
        <v>45679</v>
      </c>
      <c r="N1031" s="6" t="s">
        <v>10886</v>
      </c>
      <c r="O1031" s="16" t="n">
        <v>45037</v>
      </c>
      <c r="P1031" s="6" t="s">
        <v>11509</v>
      </c>
      <c r="Q1031" s="6" t="s">
        <v>81</v>
      </c>
      <c r="R1031" s="6" t="s">
        <v>12716</v>
      </c>
      <c r="S1031" s="6" t="s">
        <v>10886</v>
      </c>
      <c r="T1031" s="16" t="n">
        <v>45037</v>
      </c>
      <c r="U1031" s="6" t="s">
        <v>13228</v>
      </c>
      <c r="V1031" s="6" t="s">
        <v>81</v>
      </c>
      <c r="W1031" s="6" t="s">
        <v>13975</v>
      </c>
      <c r="X1031" s="6" t="s">
        <v>81</v>
      </c>
      <c r="Y1031" s="21" t="s">
        <v>81</v>
      </c>
      <c r="Z1031" s="6" t="s">
        <v>81</v>
      </c>
      <c r="AA1031" s="6" t="s">
        <v>81</v>
      </c>
      <c r="AB1031" s="6" t="s">
        <v>81</v>
      </c>
      <c r="AC1031" s="6" t="s">
        <v>81</v>
      </c>
      <c r="AD1031" s="21" t="s">
        <v>81</v>
      </c>
      <c r="AE1031" s="6" t="s">
        <v>81</v>
      </c>
      <c r="AF1031" s="6" t="s">
        <v>81</v>
      </c>
      <c r="AG1031" s="6" t="s">
        <v>81</v>
      </c>
      <c r="AH1031" s="6" t="s">
        <v>15604</v>
      </c>
      <c r="AI1031" s="6" t="s">
        <v>81</v>
      </c>
      <c r="AJ1031" s="6" t="s">
        <v>17862</v>
      </c>
      <c r="AK1031" s="6" t="s">
        <v>18152</v>
      </c>
      <c r="AL1031" s="6" t="s">
        <v>18444</v>
      </c>
      <c r="AM1031" s="6" t="s">
        <v>19044</v>
      </c>
      <c r="AN1031" s="6" t="s">
        <v>19652</v>
      </c>
      <c r="AO1031" s="6" t="s">
        <v>19754</v>
      </c>
      <c r="AP1031" s="6" t="s">
        <v>15604</v>
      </c>
      <c r="AQ1031" s="6" t="s">
        <v>81</v>
      </c>
      <c r="AR1031" s="6" t="s">
        <v>17862</v>
      </c>
      <c r="AS1031" s="6" t="s">
        <v>18152</v>
      </c>
      <c r="AT1031" s="6" t="s">
        <v>18444</v>
      </c>
      <c r="AU1031" s="6" t="s">
        <v>19044</v>
      </c>
      <c r="AV1031" s="6" t="s">
        <v>81</v>
      </c>
      <c r="AW1031" s="6" t="s">
        <v>81</v>
      </c>
      <c r="AX1031" s="6" t="s">
        <v>21401</v>
      </c>
      <c r="AY1031" s="6" t="s">
        <v>22945</v>
      </c>
      <c r="AZ1031" s="6" t="s">
        <v>81</v>
      </c>
      <c r="BA1031" s="6" t="s">
        <v>81</v>
      </c>
      <c r="BB1031" s="24" t="n">
        <v>605</v>
      </c>
      <c r="BC1031" s="26"/>
      <c r="BD1031" s="26"/>
      <c r="BE1031" s="26"/>
      <c r="BF1031" s="26" t="s">
        <v>23900</v>
      </c>
      <c r="BG1031" s="26"/>
      <c r="BH1031" s="26"/>
      <c r="BI1031" s="26"/>
      <c r="BJ1031" s="26"/>
      <c r="BK1031" s="26"/>
      <c r="BL1031" s="26"/>
      <c r="BM1031" s="26"/>
      <c r="BN1031" s="26"/>
      <c r="BO1031" s="26"/>
      <c r="BP1031" s="16" t="n">
        <v>45737</v>
      </c>
      <c r="BQ1031" s="28" t="str">
        <f>HYPERLINK("https://organic.ams.usda.gov/Integrity/Certificate.aspx?cid=71&amp;nopid=5520692148")</f>
        <v>https://organic.ams.usda.gov/Integrity/Certificate.aspx?cid=71&amp;nopid=5520692148</v>
      </c>
    </row>
    <row r="1032">
      <c r="A1032" t="s">
        <v>3</v>
      </c>
      <c r="B1032" s="6" t="s">
        <v>24</v>
      </c>
      <c r="C1032" s="6" t="s">
        <v>71</v>
      </c>
      <c r="D1032" s="6" t="s">
        <v>117</v>
      </c>
      <c r="E1032" s="10" t="s">
        <v>1173</v>
      </c>
      <c r="F1032" s="6" t="s">
        <v>3901</v>
      </c>
      <c r="G1032" s="6" t="s">
        <v>81</v>
      </c>
      <c r="H1032" s="6" t="s">
        <v>81</v>
      </c>
      <c r="I1032" s="6" t="s">
        <v>8520</v>
      </c>
      <c r="J1032" s="6" t="s">
        <v>10185</v>
      </c>
      <c r="K1032" s="6" t="s">
        <v>10886</v>
      </c>
      <c r="L1032" s="16" t="n">
        <v>44629</v>
      </c>
      <c r="M1032" s="16" t="n">
        <v>45778</v>
      </c>
      <c r="N1032" s="6" t="s">
        <v>10886</v>
      </c>
      <c r="O1032" s="16" t="n">
        <v>44629</v>
      </c>
      <c r="P1032" s="6" t="s">
        <v>11510</v>
      </c>
      <c r="Q1032" s="6" t="s">
        <v>81</v>
      </c>
      <c r="R1032" s="6" t="s">
        <v>81</v>
      </c>
      <c r="S1032" s="6" t="s">
        <v>10886</v>
      </c>
      <c r="T1032" s="16" t="n">
        <v>44629</v>
      </c>
      <c r="U1032" s="6" t="s">
        <v>13522</v>
      </c>
      <c r="V1032" s="6" t="s">
        <v>81</v>
      </c>
      <c r="W1032" s="6" t="s">
        <v>81</v>
      </c>
      <c r="X1032" s="6" t="s">
        <v>81</v>
      </c>
      <c r="Y1032" s="21" t="s">
        <v>81</v>
      </c>
      <c r="Z1032" s="6" t="s">
        <v>81</v>
      </c>
      <c r="AA1032" s="6" t="s">
        <v>81</v>
      </c>
      <c r="AB1032" s="6" t="s">
        <v>81</v>
      </c>
      <c r="AC1032" s="6" t="s">
        <v>10886</v>
      </c>
      <c r="AD1032" s="16" t="n">
        <v>44629</v>
      </c>
      <c r="AE1032" s="6" t="s">
        <v>14217</v>
      </c>
      <c r="AF1032" s="6" t="s">
        <v>81</v>
      </c>
      <c r="AG1032" s="6" t="s">
        <v>81</v>
      </c>
      <c r="AH1032" s="6" t="s">
        <v>15605</v>
      </c>
      <c r="AI1032" s="6" t="s">
        <v>81</v>
      </c>
      <c r="AJ1032" s="6" t="s">
        <v>17863</v>
      </c>
      <c r="AK1032" s="6" t="s">
        <v>18391</v>
      </c>
      <c r="AL1032" s="6" t="s">
        <v>18444</v>
      </c>
      <c r="AM1032" s="6" t="s">
        <v>19045</v>
      </c>
      <c r="AN1032" s="6" t="s">
        <v>8233</v>
      </c>
      <c r="AO1032" s="6" t="s">
        <v>19729</v>
      </c>
      <c r="AP1032" s="6" t="s">
        <v>15605</v>
      </c>
      <c r="AQ1032" s="6" t="s">
        <v>81</v>
      </c>
      <c r="AR1032" s="6" t="s">
        <v>17863</v>
      </c>
      <c r="AS1032" s="6" t="s">
        <v>18391</v>
      </c>
      <c r="AT1032" s="6" t="s">
        <v>18444</v>
      </c>
      <c r="AU1032" s="6" t="s">
        <v>19045</v>
      </c>
      <c r="AV1032" s="6" t="s">
        <v>81</v>
      </c>
      <c r="AW1032" s="6" t="s">
        <v>81</v>
      </c>
      <c r="AX1032" s="6" t="s">
        <v>81</v>
      </c>
      <c r="AY1032" s="6" t="s">
        <v>22946</v>
      </c>
      <c r="AZ1032" s="6" t="s">
        <v>81</v>
      </c>
      <c r="BA1032" s="6" t="s">
        <v>81</v>
      </c>
      <c r="BB1032" s="24" t="n">
        <v>279</v>
      </c>
      <c r="BC1032" s="26"/>
      <c r="BD1032" s="26"/>
      <c r="BE1032" s="26"/>
      <c r="BF1032" s="26"/>
      <c r="BG1032" s="26"/>
      <c r="BH1032" s="26"/>
      <c r="BI1032" s="26"/>
      <c r="BJ1032" s="26"/>
      <c r="BK1032" s="26"/>
      <c r="BL1032" s="26"/>
      <c r="BM1032" s="26"/>
      <c r="BN1032" s="26"/>
      <c r="BO1032" s="26"/>
      <c r="BP1032" s="16" t="n">
        <v>45714</v>
      </c>
      <c r="BQ1032" s="28" t="str">
        <f>HYPERLINK("https://organic.ams.usda.gov/Integrity/Certificate.aspx?cid=1&amp;nopid=9092135002")</f>
        <v>https://organic.ams.usda.gov/Integrity/Certificate.aspx?cid=1&amp;nopid=9092135002</v>
      </c>
    </row>
    <row r="1033">
      <c r="A1033" t="s">
        <v>3</v>
      </c>
      <c r="B1033" s="6" t="s">
        <v>9</v>
      </c>
      <c r="C1033" s="6" t="s">
        <v>56</v>
      </c>
      <c r="D1033" s="6" t="s">
        <v>102</v>
      </c>
      <c r="E1033" s="10" t="s">
        <v>1174</v>
      </c>
      <c r="F1033" s="6" t="s">
        <v>3902</v>
      </c>
      <c r="G1033" s="6" t="s">
        <v>81</v>
      </c>
      <c r="H1033" s="6" t="s">
        <v>6840</v>
      </c>
      <c r="I1033" s="6" t="s">
        <v>81</v>
      </c>
      <c r="J1033" s="6" t="s">
        <v>81</v>
      </c>
      <c r="K1033" s="6" t="s">
        <v>10886</v>
      </c>
      <c r="L1033" s="16" t="n">
        <v>41667</v>
      </c>
      <c r="M1033" s="16" t="n">
        <v>45748</v>
      </c>
      <c r="N1033" s="6" t="s">
        <v>10886</v>
      </c>
      <c r="O1033" s="16" t="n">
        <v>41667</v>
      </c>
      <c r="P1033" s="6" t="s">
        <v>11511</v>
      </c>
      <c r="Q1033" s="6" t="s">
        <v>81</v>
      </c>
      <c r="R1033" s="6" t="s">
        <v>12717</v>
      </c>
      <c r="S1033" s="6" t="s">
        <v>10886</v>
      </c>
      <c r="T1033" s="16" t="n">
        <v>41667</v>
      </c>
      <c r="U1033" s="6" t="s">
        <v>13523</v>
      </c>
      <c r="V1033" s="6" t="s">
        <v>81</v>
      </c>
      <c r="W1033" s="6" t="s">
        <v>12717</v>
      </c>
      <c r="X1033" s="6" t="s">
        <v>81</v>
      </c>
      <c r="Y1033" s="21" t="s">
        <v>81</v>
      </c>
      <c r="Z1033" s="6" t="s">
        <v>81</v>
      </c>
      <c r="AA1033" s="6" t="s">
        <v>81</v>
      </c>
      <c r="AB1033" s="6" t="s">
        <v>81</v>
      </c>
      <c r="AC1033" s="6" t="s">
        <v>81</v>
      </c>
      <c r="AD1033" s="21" t="s">
        <v>81</v>
      </c>
      <c r="AE1033" s="6" t="s">
        <v>81</v>
      </c>
      <c r="AF1033" s="6" t="s">
        <v>81</v>
      </c>
      <c r="AG1033" s="6" t="s">
        <v>81</v>
      </c>
      <c r="AH1033" s="6" t="s">
        <v>15606</v>
      </c>
      <c r="AI1033" s="6" t="s">
        <v>81</v>
      </c>
      <c r="AJ1033" s="6" t="s">
        <v>17864</v>
      </c>
      <c r="AK1033" s="6" t="s">
        <v>18381</v>
      </c>
      <c r="AL1033" s="6" t="s">
        <v>18444</v>
      </c>
      <c r="AM1033" s="6" t="s">
        <v>19046</v>
      </c>
      <c r="AN1033" s="6" t="s">
        <v>19705</v>
      </c>
      <c r="AO1033" s="6" t="s">
        <v>19961</v>
      </c>
      <c r="AP1033" s="6" t="s">
        <v>81</v>
      </c>
      <c r="AQ1033" s="6" t="s">
        <v>81</v>
      </c>
      <c r="AR1033" s="6" t="s">
        <v>81</v>
      </c>
      <c r="AS1033" s="6" t="s">
        <v>81</v>
      </c>
      <c r="AT1033" s="6" t="s">
        <v>81</v>
      </c>
      <c r="AU1033" s="6" t="s">
        <v>81</v>
      </c>
      <c r="AV1033" s="6" t="s">
        <v>81</v>
      </c>
      <c r="AW1033" s="6" t="s">
        <v>81</v>
      </c>
      <c r="AX1033" s="6" t="s">
        <v>21402</v>
      </c>
      <c r="AY1033" s="6" t="s">
        <v>22947</v>
      </c>
      <c r="AZ1033" s="6" t="s">
        <v>81</v>
      </c>
      <c r="BA1033" s="6" t="s">
        <v>23837</v>
      </c>
      <c r="BB1033" s="24" t="n">
        <v>519</v>
      </c>
      <c r="BC1033" s="26"/>
      <c r="BD1033" s="26"/>
      <c r="BE1033" s="26"/>
      <c r="BF1033" s="26"/>
      <c r="BG1033" s="26"/>
      <c r="BH1033" s="26"/>
      <c r="BI1033" s="26"/>
      <c r="BJ1033" s="26"/>
      <c r="BK1033" s="26"/>
      <c r="BL1033" s="26"/>
      <c r="BM1033" s="26"/>
      <c r="BN1033" s="26"/>
      <c r="BO1033" s="26"/>
      <c r="BP1033" s="16" t="n">
        <v>45738</v>
      </c>
      <c r="BQ1033" s="28" t="str">
        <f>HYPERLINK("https://organic.ams.usda.gov/Integrity/Certificate.aspx?cid=52&amp;nopid=8431300641")</f>
        <v>https://organic.ams.usda.gov/Integrity/Certificate.aspx?cid=52&amp;nopid=8431300641</v>
      </c>
    </row>
    <row r="1034">
      <c r="A1034" t="s">
        <v>3</v>
      </c>
      <c r="B1034" s="6" t="s">
        <v>7</v>
      </c>
      <c r="C1034" s="6" t="s">
        <v>54</v>
      </c>
      <c r="D1034" s="6" t="s">
        <v>100</v>
      </c>
      <c r="E1034" s="10" t="s">
        <v>1175</v>
      </c>
      <c r="F1034" s="6" t="s">
        <v>3903</v>
      </c>
      <c r="G1034" s="6" t="s">
        <v>81</v>
      </c>
      <c r="H1034" s="6" t="s">
        <v>6841</v>
      </c>
      <c r="I1034" s="6" t="s">
        <v>8987</v>
      </c>
      <c r="J1034" s="6" t="s">
        <v>10186</v>
      </c>
      <c r="K1034" s="6" t="s">
        <v>10886</v>
      </c>
      <c r="L1034" s="16" t="n">
        <v>43504</v>
      </c>
      <c r="M1034" s="16" t="n">
        <v>45672</v>
      </c>
      <c r="N1034" s="6" t="s">
        <v>10886</v>
      </c>
      <c r="O1034" s="16" t="n">
        <v>43504</v>
      </c>
      <c r="P1034" s="6" t="s">
        <v>11512</v>
      </c>
      <c r="Q1034" s="6" t="s">
        <v>81</v>
      </c>
      <c r="R1034" s="6" t="s">
        <v>81</v>
      </c>
      <c r="S1034" s="6" t="s">
        <v>10886</v>
      </c>
      <c r="T1034" s="16" t="n">
        <v>43504</v>
      </c>
      <c r="U1034" s="6" t="s">
        <v>13524</v>
      </c>
      <c r="V1034" s="6" t="s">
        <v>81</v>
      </c>
      <c r="W1034" s="6" t="s">
        <v>81</v>
      </c>
      <c r="X1034" s="6" t="s">
        <v>81</v>
      </c>
      <c r="Y1034" s="21" t="s">
        <v>81</v>
      </c>
      <c r="Z1034" s="6" t="s">
        <v>81</v>
      </c>
      <c r="AA1034" s="6" t="s">
        <v>81</v>
      </c>
      <c r="AB1034" s="6" t="s">
        <v>81</v>
      </c>
      <c r="AC1034" s="6" t="s">
        <v>10886</v>
      </c>
      <c r="AD1034" s="16" t="n">
        <v>43504</v>
      </c>
      <c r="AE1034" s="6" t="s">
        <v>14218</v>
      </c>
      <c r="AF1034" s="6" t="s">
        <v>81</v>
      </c>
      <c r="AG1034" s="6" t="s">
        <v>81</v>
      </c>
      <c r="AH1034" s="6" t="s">
        <v>15607</v>
      </c>
      <c r="AI1034" s="6" t="s">
        <v>81</v>
      </c>
      <c r="AJ1034" s="6" t="s">
        <v>17865</v>
      </c>
      <c r="AK1034" s="6" t="s">
        <v>17712</v>
      </c>
      <c r="AL1034" s="6" t="s">
        <v>18444</v>
      </c>
      <c r="AM1034" s="6" t="s">
        <v>19047</v>
      </c>
      <c r="AN1034" s="6" t="s">
        <v>19682</v>
      </c>
      <c r="AO1034" s="6" t="s">
        <v>19806</v>
      </c>
      <c r="AP1034" s="6" t="s">
        <v>15607</v>
      </c>
      <c r="AQ1034" s="6" t="s">
        <v>81</v>
      </c>
      <c r="AR1034" s="6" t="s">
        <v>17865</v>
      </c>
      <c r="AS1034" s="6" t="s">
        <v>17712</v>
      </c>
      <c r="AT1034" s="6" t="s">
        <v>18444</v>
      </c>
      <c r="AU1034" s="6" t="s">
        <v>19047</v>
      </c>
      <c r="AV1034" s="6" t="s">
        <v>81</v>
      </c>
      <c r="AW1034" s="6" t="s">
        <v>81</v>
      </c>
      <c r="AX1034" s="6" t="s">
        <v>21403</v>
      </c>
      <c r="AY1034" s="6" t="s">
        <v>22948</v>
      </c>
      <c r="AZ1034" s="6" t="s">
        <v>23677</v>
      </c>
      <c r="BA1034" s="6" t="s">
        <v>81</v>
      </c>
      <c r="BB1034" s="24" t="n">
        <v>17</v>
      </c>
      <c r="BC1034" s="26"/>
      <c r="BD1034" s="26" t="s">
        <v>23900</v>
      </c>
      <c r="BE1034" s="26"/>
      <c r="BF1034" s="26" t="s">
        <v>23900</v>
      </c>
      <c r="BG1034" s="26"/>
      <c r="BH1034" s="26"/>
      <c r="BI1034" s="26"/>
      <c r="BJ1034" s="26"/>
      <c r="BK1034" s="26" t="s">
        <v>23900</v>
      </c>
      <c r="BL1034" s="26"/>
      <c r="BM1034" s="26"/>
      <c r="BN1034" s="26"/>
      <c r="BO1034" s="26"/>
      <c r="BP1034" s="16" t="n">
        <v>45721</v>
      </c>
      <c r="BQ1034" s="28" t="str">
        <f>HYPERLINK("https://organic.ams.usda.gov/Integrity/Certificate.aspx?cid=57&amp;nopid=3252018075")</f>
        <v>https://organic.ams.usda.gov/Integrity/Certificate.aspx?cid=57&amp;nopid=3252018075</v>
      </c>
    </row>
    <row r="1035">
      <c r="A1035" t="s">
        <v>3</v>
      </c>
      <c r="B1035" s="6" t="s">
        <v>8</v>
      </c>
      <c r="C1035" s="6" t="s">
        <v>55</v>
      </c>
      <c r="D1035" s="6" t="s">
        <v>101</v>
      </c>
      <c r="E1035" s="10" t="s">
        <v>1176</v>
      </c>
      <c r="F1035" s="6" t="s">
        <v>3904</v>
      </c>
      <c r="G1035" s="6" t="s">
        <v>5684</v>
      </c>
      <c r="H1035" s="6" t="s">
        <v>6842</v>
      </c>
      <c r="I1035" s="6" t="s">
        <v>8511</v>
      </c>
      <c r="J1035" s="6" t="s">
        <v>10187</v>
      </c>
      <c r="K1035" s="6" t="s">
        <v>10886</v>
      </c>
      <c r="L1035" s="16" t="n">
        <v>36707</v>
      </c>
      <c r="M1035" s="16" t="n">
        <v>45689</v>
      </c>
      <c r="N1035" s="6" t="s">
        <v>10886</v>
      </c>
      <c r="O1035" s="16" t="n">
        <v>36707</v>
      </c>
      <c r="P1035" s="6" t="s">
        <v>11513</v>
      </c>
      <c r="Q1035" s="6" t="s">
        <v>81</v>
      </c>
      <c r="R1035" s="6" t="s">
        <v>6842</v>
      </c>
      <c r="S1035" s="6" t="s">
        <v>10886</v>
      </c>
      <c r="T1035" s="16" t="n">
        <v>36707</v>
      </c>
      <c r="U1035" s="6" t="s">
        <v>13179</v>
      </c>
      <c r="V1035" s="6" t="s">
        <v>81</v>
      </c>
      <c r="W1035" s="6" t="s">
        <v>6842</v>
      </c>
      <c r="X1035" s="6" t="s">
        <v>81</v>
      </c>
      <c r="Y1035" s="21" t="s">
        <v>81</v>
      </c>
      <c r="Z1035" s="6" t="s">
        <v>81</v>
      </c>
      <c r="AA1035" s="6" t="s">
        <v>81</v>
      </c>
      <c r="AB1035" s="6" t="s">
        <v>81</v>
      </c>
      <c r="AC1035" s="6" t="s">
        <v>81</v>
      </c>
      <c r="AD1035" s="21" t="s">
        <v>81</v>
      </c>
      <c r="AE1035" s="6" t="s">
        <v>81</v>
      </c>
      <c r="AF1035" s="6" t="s">
        <v>81</v>
      </c>
      <c r="AG1035" s="6" t="s">
        <v>81</v>
      </c>
      <c r="AH1035" s="6" t="s">
        <v>15608</v>
      </c>
      <c r="AI1035" s="6" t="s">
        <v>81</v>
      </c>
      <c r="AJ1035" s="6" t="s">
        <v>17459</v>
      </c>
      <c r="AK1035" s="6" t="s">
        <v>18377</v>
      </c>
      <c r="AL1035" s="6" t="s">
        <v>18444</v>
      </c>
      <c r="AM1035" s="6" t="s">
        <v>18618</v>
      </c>
      <c r="AN1035" s="6" t="s">
        <v>19648</v>
      </c>
      <c r="AO1035" s="6" t="s">
        <v>19889</v>
      </c>
      <c r="AP1035" s="6" t="s">
        <v>15608</v>
      </c>
      <c r="AQ1035" s="6" t="s">
        <v>81</v>
      </c>
      <c r="AR1035" s="6" t="s">
        <v>17459</v>
      </c>
      <c r="AS1035" s="6" t="s">
        <v>18377</v>
      </c>
      <c r="AT1035" s="6" t="s">
        <v>18444</v>
      </c>
      <c r="AU1035" s="6" t="s">
        <v>18618</v>
      </c>
      <c r="AV1035" s="6" t="s">
        <v>81</v>
      </c>
      <c r="AW1035" s="6" t="s">
        <v>81</v>
      </c>
      <c r="AX1035" s="6" t="s">
        <v>21404</v>
      </c>
      <c r="AY1035" s="6" t="s">
        <v>22949</v>
      </c>
      <c r="AZ1035" s="6" t="s">
        <v>81</v>
      </c>
      <c r="BA1035" s="6" t="s">
        <v>23819</v>
      </c>
      <c r="BB1035" s="24" t="n">
        <v>433</v>
      </c>
      <c r="BC1035" s="26"/>
      <c r="BD1035" s="26"/>
      <c r="BE1035" s="26"/>
      <c r="BF1035" s="26" t="s">
        <v>23900</v>
      </c>
      <c r="BG1035" s="26"/>
      <c r="BH1035" s="26"/>
      <c r="BI1035" s="26"/>
      <c r="BJ1035" s="26"/>
      <c r="BK1035" s="26"/>
      <c r="BL1035" s="26"/>
      <c r="BM1035" s="26"/>
      <c r="BN1035" s="26"/>
      <c r="BO1035" s="26"/>
      <c r="BP1035" s="16" t="n">
        <v>45702</v>
      </c>
      <c r="BQ1035" s="28" t="str">
        <f>HYPERLINK("https://organic.ams.usda.gov/Integrity/Certificate.aspx?cid=45&amp;nopid=9950000121")</f>
        <v>https://organic.ams.usda.gov/Integrity/Certificate.aspx?cid=45&amp;nopid=9950000121</v>
      </c>
    </row>
    <row r="1036">
      <c r="A1036" t="s">
        <v>3</v>
      </c>
      <c r="B1036" s="6" t="s">
        <v>18</v>
      </c>
      <c r="C1036" s="6" t="s">
        <v>65</v>
      </c>
      <c r="D1036" s="6" t="s">
        <v>111</v>
      </c>
      <c r="E1036" s="10" t="s">
        <v>1177</v>
      </c>
      <c r="F1036" s="6" t="s">
        <v>3905</v>
      </c>
      <c r="G1036" s="6" t="s">
        <v>81</v>
      </c>
      <c r="H1036" s="6" t="s">
        <v>1177</v>
      </c>
      <c r="I1036" s="6" t="s">
        <v>8988</v>
      </c>
      <c r="J1036" s="6" t="s">
        <v>10188</v>
      </c>
      <c r="K1036" s="6" t="s">
        <v>10886</v>
      </c>
      <c r="L1036" s="16" t="n">
        <v>45469</v>
      </c>
      <c r="M1036" s="16" t="n">
        <v>45748</v>
      </c>
      <c r="N1036" s="6" t="s">
        <v>10886</v>
      </c>
      <c r="O1036" s="16" t="n">
        <v>45469</v>
      </c>
      <c r="P1036" s="6" t="s">
        <v>10922</v>
      </c>
      <c r="Q1036" s="6" t="s">
        <v>81</v>
      </c>
      <c r="R1036" s="6" t="s">
        <v>3905</v>
      </c>
      <c r="S1036" s="6" t="s">
        <v>10886</v>
      </c>
      <c r="T1036" s="16" t="n">
        <v>45469</v>
      </c>
      <c r="U1036" s="6" t="s">
        <v>13525</v>
      </c>
      <c r="V1036" s="6" t="s">
        <v>81</v>
      </c>
      <c r="W1036" s="6" t="s">
        <v>3905</v>
      </c>
      <c r="X1036" s="6" t="s">
        <v>81</v>
      </c>
      <c r="Y1036" s="21" t="s">
        <v>81</v>
      </c>
      <c r="Z1036" s="6" t="s">
        <v>81</v>
      </c>
      <c r="AA1036" s="6" t="s">
        <v>81</v>
      </c>
      <c r="AB1036" s="6" t="s">
        <v>81</v>
      </c>
      <c r="AC1036" s="6" t="s">
        <v>81</v>
      </c>
      <c r="AD1036" s="21" t="s">
        <v>81</v>
      </c>
      <c r="AE1036" s="6" t="s">
        <v>81</v>
      </c>
      <c r="AF1036" s="6" t="s">
        <v>81</v>
      </c>
      <c r="AG1036" s="6" t="s">
        <v>81</v>
      </c>
      <c r="AH1036" s="6" t="s">
        <v>15609</v>
      </c>
      <c r="AI1036" s="6" t="s">
        <v>81</v>
      </c>
      <c r="AJ1036" s="6" t="s">
        <v>10590</v>
      </c>
      <c r="AK1036" s="6" t="s">
        <v>17712</v>
      </c>
      <c r="AL1036" s="6" t="s">
        <v>18444</v>
      </c>
      <c r="AM1036" s="6" t="s">
        <v>18628</v>
      </c>
      <c r="AN1036" s="6" t="s">
        <v>81</v>
      </c>
      <c r="AO1036" s="6" t="s">
        <v>81</v>
      </c>
      <c r="AP1036" s="6" t="s">
        <v>15609</v>
      </c>
      <c r="AQ1036" s="6" t="s">
        <v>81</v>
      </c>
      <c r="AR1036" s="6" t="s">
        <v>10590</v>
      </c>
      <c r="AS1036" s="6" t="s">
        <v>17712</v>
      </c>
      <c r="AT1036" s="6" t="s">
        <v>18444</v>
      </c>
      <c r="AU1036" s="6" t="s">
        <v>18628</v>
      </c>
      <c r="AV1036" s="6" t="s">
        <v>81</v>
      </c>
      <c r="AW1036" s="6" t="s">
        <v>81</v>
      </c>
      <c r="AX1036" s="6" t="s">
        <v>21405</v>
      </c>
      <c r="AY1036" s="6" t="s">
        <v>22950</v>
      </c>
      <c r="AZ1036" s="6" t="s">
        <v>81</v>
      </c>
      <c r="BA1036" s="6" t="s">
        <v>81</v>
      </c>
      <c r="BB1036" s="24" t="n">
        <v>136</v>
      </c>
      <c r="BC1036" s="26"/>
      <c r="BD1036" s="26"/>
      <c r="BE1036" s="26"/>
      <c r="BF1036" s="26"/>
      <c r="BG1036" s="26"/>
      <c r="BH1036" s="26"/>
      <c r="BI1036" s="26"/>
      <c r="BJ1036" s="26"/>
      <c r="BK1036" s="26"/>
      <c r="BL1036" s="26"/>
      <c r="BM1036" s="26"/>
      <c r="BN1036" s="26"/>
      <c r="BO1036" s="26"/>
      <c r="BP1036" s="16" t="n">
        <v>45469</v>
      </c>
      <c r="BQ1036" s="28" t="str">
        <f>HYPERLINK("https://organic.ams.usda.gov/Integrity/Certificate.aspx?cid=8&amp;nopid=2202412300")</f>
        <v>https://organic.ams.usda.gov/Integrity/Certificate.aspx?cid=8&amp;nopid=2202412300</v>
      </c>
    </row>
    <row r="1037">
      <c r="A1037" t="s">
        <v>3</v>
      </c>
      <c r="B1037" s="6" t="s">
        <v>8</v>
      </c>
      <c r="C1037" s="6" t="s">
        <v>55</v>
      </c>
      <c r="D1037" s="6" t="s">
        <v>101</v>
      </c>
      <c r="E1037" s="10" t="s">
        <v>1178</v>
      </c>
      <c r="F1037" s="6" t="s">
        <v>3906</v>
      </c>
      <c r="G1037" s="6" t="s">
        <v>5685</v>
      </c>
      <c r="H1037" s="6" t="s">
        <v>6843</v>
      </c>
      <c r="I1037" s="6" t="s">
        <v>8989</v>
      </c>
      <c r="J1037" s="6" t="s">
        <v>10189</v>
      </c>
      <c r="K1037" s="6" t="s">
        <v>10886</v>
      </c>
      <c r="L1037" s="16" t="n">
        <v>44071</v>
      </c>
      <c r="M1037" s="16" t="n">
        <v>45383</v>
      </c>
      <c r="N1037" s="6" t="s">
        <v>81</v>
      </c>
      <c r="O1037" s="21" t="s">
        <v>81</v>
      </c>
      <c r="P1037" s="6" t="s">
        <v>81</v>
      </c>
      <c r="Q1037" s="6" t="s">
        <v>81</v>
      </c>
      <c r="R1037" s="6" t="s">
        <v>81</v>
      </c>
      <c r="S1037" s="6" t="s">
        <v>81</v>
      </c>
      <c r="T1037" s="21" t="s">
        <v>81</v>
      </c>
      <c r="U1037" s="6" t="s">
        <v>81</v>
      </c>
      <c r="V1037" s="6" t="s">
        <v>81</v>
      </c>
      <c r="W1037" s="6" t="s">
        <v>81</v>
      </c>
      <c r="X1037" s="6" t="s">
        <v>81</v>
      </c>
      <c r="Y1037" s="21" t="s">
        <v>81</v>
      </c>
      <c r="Z1037" s="6" t="s">
        <v>81</v>
      </c>
      <c r="AA1037" s="6" t="s">
        <v>81</v>
      </c>
      <c r="AB1037" s="6" t="s">
        <v>81</v>
      </c>
      <c r="AC1037" s="6" t="s">
        <v>10886</v>
      </c>
      <c r="AD1037" s="16" t="n">
        <v>44071</v>
      </c>
      <c r="AE1037" s="6" t="s">
        <v>14219</v>
      </c>
      <c r="AF1037" s="6" t="s">
        <v>81</v>
      </c>
      <c r="AG1037" s="6" t="s">
        <v>6843</v>
      </c>
      <c r="AH1037" s="6" t="s">
        <v>15610</v>
      </c>
      <c r="AI1037" s="6" t="s">
        <v>81</v>
      </c>
      <c r="AJ1037" s="6" t="s">
        <v>17866</v>
      </c>
      <c r="AK1037" s="6" t="s">
        <v>18391</v>
      </c>
      <c r="AL1037" s="6" t="s">
        <v>18444</v>
      </c>
      <c r="AM1037" s="6" t="s">
        <v>19048</v>
      </c>
      <c r="AN1037" s="6" t="s">
        <v>6102</v>
      </c>
      <c r="AO1037" s="6" t="s">
        <v>19924</v>
      </c>
      <c r="AP1037" s="6" t="s">
        <v>20245</v>
      </c>
      <c r="AQ1037" s="6" t="s">
        <v>81</v>
      </c>
      <c r="AR1037" s="6" t="s">
        <v>17866</v>
      </c>
      <c r="AS1037" s="6" t="s">
        <v>18391</v>
      </c>
      <c r="AT1037" s="6" t="s">
        <v>18444</v>
      </c>
      <c r="AU1037" s="6" t="s">
        <v>20653</v>
      </c>
      <c r="AV1037" s="6" t="s">
        <v>81</v>
      </c>
      <c r="AW1037" s="6" t="s">
        <v>81</v>
      </c>
      <c r="AX1037" s="6" t="s">
        <v>21406</v>
      </c>
      <c r="AY1037" s="6" t="s">
        <v>22951</v>
      </c>
      <c r="AZ1037" s="6" t="s">
        <v>23678</v>
      </c>
      <c r="BA1037" s="6" t="s">
        <v>81</v>
      </c>
      <c r="BB1037" s="24" t="n">
        <v>0</v>
      </c>
      <c r="BC1037" s="26"/>
      <c r="BD1037" s="26"/>
      <c r="BE1037" s="26"/>
      <c r="BF1037" s="26"/>
      <c r="BG1037" s="26"/>
      <c r="BH1037" s="26"/>
      <c r="BI1037" s="26"/>
      <c r="BJ1037" s="26"/>
      <c r="BK1037" s="26"/>
      <c r="BL1037" s="26" t="s">
        <v>23900</v>
      </c>
      <c r="BM1037" s="26"/>
      <c r="BN1037" s="26"/>
      <c r="BO1037" s="26"/>
      <c r="BP1037" s="16" t="n">
        <v>45408</v>
      </c>
      <c r="BQ1037" s="28" t="str">
        <f>HYPERLINK("https://organic.ams.usda.gov/Integrity/Certificate.aspx?cid=45&amp;nopid=9950012191")</f>
        <v>https://organic.ams.usda.gov/Integrity/Certificate.aspx?cid=45&amp;nopid=9950012191</v>
      </c>
    </row>
    <row r="1038">
      <c r="A1038" t="s">
        <v>3</v>
      </c>
      <c r="B1038" s="6" t="s">
        <v>11</v>
      </c>
      <c r="C1038" s="6" t="s">
        <v>58</v>
      </c>
      <c r="D1038" s="6" t="s">
        <v>104</v>
      </c>
      <c r="E1038" s="10" t="s">
        <v>1179</v>
      </c>
      <c r="F1038" s="6" t="s">
        <v>3907</v>
      </c>
      <c r="G1038" s="6" t="s">
        <v>81</v>
      </c>
      <c r="H1038" s="6" t="s">
        <v>81</v>
      </c>
      <c r="I1038" s="6" t="s">
        <v>8990</v>
      </c>
      <c r="J1038" s="6" t="s">
        <v>10190</v>
      </c>
      <c r="K1038" s="6" t="s">
        <v>10886</v>
      </c>
      <c r="L1038" s="16" t="n">
        <v>45133</v>
      </c>
      <c r="M1038" s="16" t="n">
        <v>45383</v>
      </c>
      <c r="N1038" s="6" t="s">
        <v>10886</v>
      </c>
      <c r="O1038" s="16" t="n">
        <v>45133</v>
      </c>
      <c r="P1038" s="6" t="s">
        <v>11514</v>
      </c>
      <c r="Q1038" s="6" t="s">
        <v>81</v>
      </c>
      <c r="R1038" s="6" t="s">
        <v>81</v>
      </c>
      <c r="S1038" s="6" t="s">
        <v>10886</v>
      </c>
      <c r="T1038" s="16" t="n">
        <v>45133</v>
      </c>
      <c r="U1038" s="6" t="s">
        <v>13526</v>
      </c>
      <c r="V1038" s="6" t="s">
        <v>81</v>
      </c>
      <c r="W1038" s="6" t="s">
        <v>81</v>
      </c>
      <c r="X1038" s="6" t="s">
        <v>81</v>
      </c>
      <c r="Y1038" s="21" t="s">
        <v>81</v>
      </c>
      <c r="Z1038" s="6" t="s">
        <v>81</v>
      </c>
      <c r="AA1038" s="6" t="s">
        <v>81</v>
      </c>
      <c r="AB1038" s="6" t="s">
        <v>81</v>
      </c>
      <c r="AC1038" s="6" t="s">
        <v>81</v>
      </c>
      <c r="AD1038" s="21" t="s">
        <v>81</v>
      </c>
      <c r="AE1038" s="6" t="s">
        <v>81</v>
      </c>
      <c r="AF1038" s="6" t="s">
        <v>81</v>
      </c>
      <c r="AG1038" s="6" t="s">
        <v>81</v>
      </c>
      <c r="AH1038" s="6" t="s">
        <v>15611</v>
      </c>
      <c r="AI1038" s="6" t="s">
        <v>81</v>
      </c>
      <c r="AJ1038" s="6" t="s">
        <v>17694</v>
      </c>
      <c r="AK1038" s="6" t="s">
        <v>18377</v>
      </c>
      <c r="AL1038" s="6" t="s">
        <v>18444</v>
      </c>
      <c r="AM1038" s="6" t="s">
        <v>18860</v>
      </c>
      <c r="AN1038" s="6" t="s">
        <v>6139</v>
      </c>
      <c r="AO1038" s="6" t="s">
        <v>19814</v>
      </c>
      <c r="AP1038" s="6" t="s">
        <v>81</v>
      </c>
      <c r="AQ1038" s="6" t="s">
        <v>81</v>
      </c>
      <c r="AR1038" s="6" t="s">
        <v>81</v>
      </c>
      <c r="AS1038" s="6" t="s">
        <v>81</v>
      </c>
      <c r="AT1038" s="6" t="s">
        <v>81</v>
      </c>
      <c r="AU1038" s="6" t="s">
        <v>81</v>
      </c>
      <c r="AV1038" s="6" t="s">
        <v>81</v>
      </c>
      <c r="AW1038" s="6" t="s">
        <v>81</v>
      </c>
      <c r="AX1038" s="6" t="s">
        <v>81</v>
      </c>
      <c r="AY1038" s="6" t="s">
        <v>81</v>
      </c>
      <c r="AZ1038" s="6" t="s">
        <v>81</v>
      </c>
      <c r="BA1038" s="6" t="s">
        <v>23820</v>
      </c>
      <c r="BB1038" s="24" t="n">
        <v>787</v>
      </c>
      <c r="BC1038" s="26"/>
      <c r="BD1038" s="26"/>
      <c r="BE1038" s="26"/>
      <c r="BF1038" s="26"/>
      <c r="BG1038" s="26"/>
      <c r="BH1038" s="26"/>
      <c r="BI1038" s="26"/>
      <c r="BJ1038" s="26"/>
      <c r="BK1038" s="26"/>
      <c r="BL1038" s="26"/>
      <c r="BM1038" s="26"/>
      <c r="BN1038" s="26"/>
      <c r="BO1038" s="26"/>
      <c r="BP1038" s="16" t="n">
        <v>45443</v>
      </c>
      <c r="BQ1038" s="28" t="str">
        <f>HYPERLINK("https://organic.ams.usda.gov/Integrity/Certificate.aspx?cid=46&amp;nopid=3672300040")</f>
        <v>https://organic.ams.usda.gov/Integrity/Certificate.aspx?cid=46&amp;nopid=3672300040</v>
      </c>
    </row>
    <row r="1039">
      <c r="A1039" t="s">
        <v>3</v>
      </c>
      <c r="B1039" s="6" t="s">
        <v>36</v>
      </c>
      <c r="C1039" s="6" t="s">
        <v>83</v>
      </c>
      <c r="D1039" s="6" t="s">
        <v>128</v>
      </c>
      <c r="E1039" s="10" t="s">
        <v>1180</v>
      </c>
      <c r="F1039" s="6" t="s">
        <v>3908</v>
      </c>
      <c r="G1039" s="6" t="s">
        <v>81</v>
      </c>
      <c r="H1039" s="6" t="s">
        <v>6844</v>
      </c>
      <c r="I1039" s="6" t="s">
        <v>8514</v>
      </c>
      <c r="J1039" s="6" t="s">
        <v>10191</v>
      </c>
      <c r="K1039" s="6" t="s">
        <v>10886</v>
      </c>
      <c r="L1039" s="16" t="n">
        <v>45622</v>
      </c>
      <c r="M1039" s="16" t="n">
        <v>46022</v>
      </c>
      <c r="N1039" s="6" t="s">
        <v>81</v>
      </c>
      <c r="O1039" s="21" t="s">
        <v>81</v>
      </c>
      <c r="P1039" s="6" t="s">
        <v>81</v>
      </c>
      <c r="Q1039" s="6" t="s">
        <v>81</v>
      </c>
      <c r="R1039" s="6" t="s">
        <v>81</v>
      </c>
      <c r="S1039" s="6" t="s">
        <v>81</v>
      </c>
      <c r="T1039" s="21" t="s">
        <v>81</v>
      </c>
      <c r="U1039" s="6" t="s">
        <v>81</v>
      </c>
      <c r="V1039" s="6" t="s">
        <v>81</v>
      </c>
      <c r="W1039" s="6" t="s">
        <v>81</v>
      </c>
      <c r="X1039" s="6" t="s">
        <v>81</v>
      </c>
      <c r="Y1039" s="21" t="s">
        <v>81</v>
      </c>
      <c r="Z1039" s="6" t="s">
        <v>81</v>
      </c>
      <c r="AA1039" s="6" t="s">
        <v>81</v>
      </c>
      <c r="AB1039" s="6" t="s">
        <v>81</v>
      </c>
      <c r="AC1039" s="6" t="s">
        <v>10886</v>
      </c>
      <c r="AD1039" s="16" t="n">
        <v>45622</v>
      </c>
      <c r="AE1039" s="6" t="s">
        <v>14220</v>
      </c>
      <c r="AF1039" s="6" t="s">
        <v>81</v>
      </c>
      <c r="AG1039" s="6" t="s">
        <v>6844</v>
      </c>
      <c r="AH1039" s="6" t="s">
        <v>15612</v>
      </c>
      <c r="AI1039" s="6" t="s">
        <v>81</v>
      </c>
      <c r="AJ1039" s="6" t="s">
        <v>9021</v>
      </c>
      <c r="AK1039" s="6" t="s">
        <v>18395</v>
      </c>
      <c r="AL1039" s="6" t="s">
        <v>18444</v>
      </c>
      <c r="AM1039" s="6" t="s">
        <v>19049</v>
      </c>
      <c r="AN1039" s="6" t="s">
        <v>81</v>
      </c>
      <c r="AO1039" s="6" t="s">
        <v>81</v>
      </c>
      <c r="AP1039" s="6" t="s">
        <v>15612</v>
      </c>
      <c r="AQ1039" s="6" t="s">
        <v>81</v>
      </c>
      <c r="AR1039" s="6" t="s">
        <v>9021</v>
      </c>
      <c r="AS1039" s="6" t="s">
        <v>18395</v>
      </c>
      <c r="AT1039" s="6" t="s">
        <v>18444</v>
      </c>
      <c r="AU1039" s="6" t="s">
        <v>19049</v>
      </c>
      <c r="AV1039" s="6" t="s">
        <v>81</v>
      </c>
      <c r="AW1039" s="6" t="s">
        <v>81</v>
      </c>
      <c r="AX1039" s="6" t="s">
        <v>21407</v>
      </c>
      <c r="AY1039" s="6" t="s">
        <v>22952</v>
      </c>
      <c r="AZ1039" s="6" t="s">
        <v>23679</v>
      </c>
      <c r="BA1039" s="6" t="s">
        <v>81</v>
      </c>
      <c r="BB1039" s="6" t="s">
        <v>81</v>
      </c>
      <c r="BC1039" s="26"/>
      <c r="BD1039" s="26"/>
      <c r="BE1039" s="26"/>
      <c r="BF1039" s="26"/>
      <c r="BG1039" s="26"/>
      <c r="BH1039" s="26"/>
      <c r="BI1039" s="26"/>
      <c r="BJ1039" s="26"/>
      <c r="BK1039" s="26"/>
      <c r="BL1039" s="26"/>
      <c r="BM1039" s="26"/>
      <c r="BN1039" s="26"/>
      <c r="BO1039" s="26"/>
      <c r="BP1039" s="16" t="n">
        <v>45622</v>
      </c>
      <c r="BQ1039" s="28" t="str">
        <f>HYPERLINK("https://organic.ams.usda.gov/Integrity/Certificate.aspx?cid=77&amp;nopid=3510934741")</f>
        <v>https://organic.ams.usda.gov/Integrity/Certificate.aspx?cid=77&amp;nopid=3510934741</v>
      </c>
    </row>
    <row r="1040">
      <c r="A1040" t="s">
        <v>3</v>
      </c>
      <c r="B1040" s="6" t="s">
        <v>36</v>
      </c>
      <c r="C1040" s="6" t="s">
        <v>83</v>
      </c>
      <c r="D1040" s="6" t="s">
        <v>128</v>
      </c>
      <c r="E1040" s="10" t="s">
        <v>1181</v>
      </c>
      <c r="F1040" s="6" t="s">
        <v>3909</v>
      </c>
      <c r="G1040" s="6" t="s">
        <v>81</v>
      </c>
      <c r="H1040" s="6" t="s">
        <v>6845</v>
      </c>
      <c r="I1040" s="6" t="s">
        <v>8991</v>
      </c>
      <c r="J1040" s="6" t="s">
        <v>10192</v>
      </c>
      <c r="K1040" s="6" t="s">
        <v>10886</v>
      </c>
      <c r="L1040" s="16" t="n">
        <v>45385</v>
      </c>
      <c r="M1040" s="16" t="n">
        <v>46142</v>
      </c>
      <c r="N1040" s="6" t="s">
        <v>81</v>
      </c>
      <c r="O1040" s="21" t="s">
        <v>81</v>
      </c>
      <c r="P1040" s="6" t="s">
        <v>81</v>
      </c>
      <c r="Q1040" s="6" t="s">
        <v>81</v>
      </c>
      <c r="R1040" s="6" t="s">
        <v>81</v>
      </c>
      <c r="S1040" s="6" t="s">
        <v>81</v>
      </c>
      <c r="T1040" s="21" t="s">
        <v>81</v>
      </c>
      <c r="U1040" s="6" t="s">
        <v>81</v>
      </c>
      <c r="V1040" s="6" t="s">
        <v>81</v>
      </c>
      <c r="W1040" s="6" t="s">
        <v>81</v>
      </c>
      <c r="X1040" s="6" t="s">
        <v>81</v>
      </c>
      <c r="Y1040" s="21" t="s">
        <v>81</v>
      </c>
      <c r="Z1040" s="6" t="s">
        <v>81</v>
      </c>
      <c r="AA1040" s="6" t="s">
        <v>81</v>
      </c>
      <c r="AB1040" s="6" t="s">
        <v>81</v>
      </c>
      <c r="AC1040" s="6" t="s">
        <v>10886</v>
      </c>
      <c r="AD1040" s="16" t="n">
        <v>45385</v>
      </c>
      <c r="AE1040" s="6" t="s">
        <v>14221</v>
      </c>
      <c r="AF1040" s="6" t="s">
        <v>81</v>
      </c>
      <c r="AG1040" s="6" t="s">
        <v>6845</v>
      </c>
      <c r="AH1040" s="6" t="s">
        <v>15613</v>
      </c>
      <c r="AI1040" s="6" t="s">
        <v>81</v>
      </c>
      <c r="AJ1040" s="6" t="s">
        <v>17867</v>
      </c>
      <c r="AK1040" s="6" t="s">
        <v>18395</v>
      </c>
      <c r="AL1040" s="6" t="s">
        <v>18444</v>
      </c>
      <c r="AM1040" s="6" t="s">
        <v>19050</v>
      </c>
      <c r="AN1040" s="6" t="s">
        <v>81</v>
      </c>
      <c r="AO1040" s="6" t="s">
        <v>81</v>
      </c>
      <c r="AP1040" s="6" t="s">
        <v>81</v>
      </c>
      <c r="AQ1040" s="6" t="s">
        <v>81</v>
      </c>
      <c r="AR1040" s="6" t="s">
        <v>81</v>
      </c>
      <c r="AS1040" s="6" t="s">
        <v>81</v>
      </c>
      <c r="AT1040" s="6" t="s">
        <v>81</v>
      </c>
      <c r="AU1040" s="6" t="s">
        <v>81</v>
      </c>
      <c r="AV1040" s="6" t="s">
        <v>81</v>
      </c>
      <c r="AW1040" s="6" t="s">
        <v>81</v>
      </c>
      <c r="AX1040" s="6" t="s">
        <v>21408</v>
      </c>
      <c r="AY1040" s="6" t="s">
        <v>22952</v>
      </c>
      <c r="AZ1040" s="6" t="s">
        <v>23679</v>
      </c>
      <c r="BA1040" s="6" t="s">
        <v>81</v>
      </c>
      <c r="BB1040" s="6" t="s">
        <v>81</v>
      </c>
      <c r="BC1040" s="26"/>
      <c r="BD1040" s="26"/>
      <c r="BE1040" s="26"/>
      <c r="BF1040" s="26"/>
      <c r="BG1040" s="26" t="s">
        <v>23900</v>
      </c>
      <c r="BH1040" s="26"/>
      <c r="BI1040" s="26"/>
      <c r="BJ1040" s="26"/>
      <c r="BK1040" s="26"/>
      <c r="BL1040" s="26"/>
      <c r="BM1040" s="26"/>
      <c r="BN1040" s="26"/>
      <c r="BO1040" s="26"/>
      <c r="BP1040" s="16" t="n">
        <v>45727</v>
      </c>
      <c r="BQ1040" s="28" t="str">
        <f>HYPERLINK("https://organic.ams.usda.gov/Integrity/Certificate.aspx?cid=77&amp;nopid=3510928939")</f>
        <v>https://organic.ams.usda.gov/Integrity/Certificate.aspx?cid=77&amp;nopid=3510928939</v>
      </c>
    </row>
    <row r="1041">
      <c r="A1041" t="s">
        <v>3</v>
      </c>
      <c r="B1041" s="6" t="s">
        <v>36</v>
      </c>
      <c r="C1041" s="6" t="s">
        <v>83</v>
      </c>
      <c r="D1041" s="6" t="s">
        <v>128</v>
      </c>
      <c r="E1041" s="10" t="s">
        <v>1182</v>
      </c>
      <c r="F1041" s="6" t="s">
        <v>3910</v>
      </c>
      <c r="G1041" s="6" t="s">
        <v>81</v>
      </c>
      <c r="H1041" s="6" t="s">
        <v>6846</v>
      </c>
      <c r="I1041" s="6" t="s">
        <v>8991</v>
      </c>
      <c r="J1041" s="6" t="s">
        <v>10192</v>
      </c>
      <c r="K1041" s="6" t="s">
        <v>10886</v>
      </c>
      <c r="L1041" s="16" t="n">
        <v>45566</v>
      </c>
      <c r="M1041" s="16" t="n">
        <v>45900</v>
      </c>
      <c r="N1041" s="6" t="s">
        <v>81</v>
      </c>
      <c r="O1041" s="21" t="s">
        <v>81</v>
      </c>
      <c r="P1041" s="6" t="s">
        <v>81</v>
      </c>
      <c r="Q1041" s="6" t="s">
        <v>81</v>
      </c>
      <c r="R1041" s="6" t="s">
        <v>81</v>
      </c>
      <c r="S1041" s="6" t="s">
        <v>81</v>
      </c>
      <c r="T1041" s="21" t="s">
        <v>81</v>
      </c>
      <c r="U1041" s="6" t="s">
        <v>81</v>
      </c>
      <c r="V1041" s="6" t="s">
        <v>81</v>
      </c>
      <c r="W1041" s="6" t="s">
        <v>81</v>
      </c>
      <c r="X1041" s="6" t="s">
        <v>81</v>
      </c>
      <c r="Y1041" s="21" t="s">
        <v>81</v>
      </c>
      <c r="Z1041" s="6" t="s">
        <v>81</v>
      </c>
      <c r="AA1041" s="6" t="s">
        <v>81</v>
      </c>
      <c r="AB1041" s="6" t="s">
        <v>81</v>
      </c>
      <c r="AC1041" s="6" t="s">
        <v>10886</v>
      </c>
      <c r="AD1041" s="16" t="n">
        <v>45566</v>
      </c>
      <c r="AE1041" s="6" t="s">
        <v>14222</v>
      </c>
      <c r="AF1041" s="6" t="s">
        <v>81</v>
      </c>
      <c r="AG1041" s="6" t="s">
        <v>6846</v>
      </c>
      <c r="AH1041" s="6" t="s">
        <v>15614</v>
      </c>
      <c r="AI1041" s="6" t="s">
        <v>81</v>
      </c>
      <c r="AJ1041" s="6" t="s">
        <v>17868</v>
      </c>
      <c r="AK1041" s="6" t="s">
        <v>18395</v>
      </c>
      <c r="AL1041" s="6" t="s">
        <v>18444</v>
      </c>
      <c r="AM1041" s="6" t="s">
        <v>19051</v>
      </c>
      <c r="AN1041" s="6" t="s">
        <v>81</v>
      </c>
      <c r="AO1041" s="6" t="s">
        <v>81</v>
      </c>
      <c r="AP1041" s="6" t="s">
        <v>20246</v>
      </c>
      <c r="AQ1041" s="6" t="s">
        <v>81</v>
      </c>
      <c r="AR1041" s="6" t="s">
        <v>17867</v>
      </c>
      <c r="AS1041" s="6" t="s">
        <v>18395</v>
      </c>
      <c r="AT1041" s="6" t="s">
        <v>18444</v>
      </c>
      <c r="AU1041" s="6" t="s">
        <v>19050</v>
      </c>
      <c r="AV1041" s="6" t="s">
        <v>81</v>
      </c>
      <c r="AW1041" s="6" t="s">
        <v>81</v>
      </c>
      <c r="AX1041" s="6" t="s">
        <v>21409</v>
      </c>
      <c r="AY1041" s="6" t="s">
        <v>22952</v>
      </c>
      <c r="AZ1041" s="6" t="s">
        <v>23679</v>
      </c>
      <c r="BA1041" s="6" t="s">
        <v>81</v>
      </c>
      <c r="BB1041" s="6" t="s">
        <v>81</v>
      </c>
      <c r="BC1041" s="26"/>
      <c r="BD1041" s="26"/>
      <c r="BE1041" s="26"/>
      <c r="BF1041" s="26"/>
      <c r="BG1041" s="26" t="s">
        <v>23900</v>
      </c>
      <c r="BH1041" s="26"/>
      <c r="BI1041" s="26"/>
      <c r="BJ1041" s="26"/>
      <c r="BK1041" s="26"/>
      <c r="BL1041" s="26"/>
      <c r="BM1041" s="26"/>
      <c r="BN1041" s="26"/>
      <c r="BO1041" s="26"/>
      <c r="BP1041" s="16" t="n">
        <v>45621</v>
      </c>
      <c r="BQ1041" s="28" t="str">
        <f>HYPERLINK("https://organic.ams.usda.gov/Integrity/Certificate.aspx?cid=77&amp;nopid=3510934737")</f>
        <v>https://organic.ams.usda.gov/Integrity/Certificate.aspx?cid=77&amp;nopid=3510934737</v>
      </c>
    </row>
    <row r="1042">
      <c r="A1042" t="s">
        <v>3</v>
      </c>
      <c r="B1042" s="6" t="s">
        <v>19</v>
      </c>
      <c r="C1042" s="6" t="s">
        <v>66</v>
      </c>
      <c r="D1042" s="6" t="s">
        <v>112</v>
      </c>
      <c r="E1042" s="10" t="s">
        <v>1183</v>
      </c>
      <c r="F1042" s="6" t="s">
        <v>3911</v>
      </c>
      <c r="G1042" s="6" t="s">
        <v>81</v>
      </c>
      <c r="H1042" s="6" t="s">
        <v>6847</v>
      </c>
      <c r="I1042" s="6" t="s">
        <v>81</v>
      </c>
      <c r="J1042" s="6" t="s">
        <v>10193</v>
      </c>
      <c r="K1042" s="6" t="s">
        <v>10886</v>
      </c>
      <c r="L1042" s="16" t="n">
        <v>44378</v>
      </c>
      <c r="M1042" s="16" t="n">
        <v>46054</v>
      </c>
      <c r="N1042" s="6" t="s">
        <v>81</v>
      </c>
      <c r="O1042" s="21" t="s">
        <v>81</v>
      </c>
      <c r="P1042" s="6" t="s">
        <v>81</v>
      </c>
      <c r="Q1042" s="6" t="s">
        <v>81</v>
      </c>
      <c r="R1042" s="6" t="s">
        <v>81</v>
      </c>
      <c r="S1042" s="6" t="s">
        <v>81</v>
      </c>
      <c r="T1042" s="21" t="s">
        <v>81</v>
      </c>
      <c r="U1042" s="6" t="s">
        <v>81</v>
      </c>
      <c r="V1042" s="6" t="s">
        <v>81</v>
      </c>
      <c r="W1042" s="6" t="s">
        <v>81</v>
      </c>
      <c r="X1042" s="6" t="s">
        <v>81</v>
      </c>
      <c r="Y1042" s="21" t="s">
        <v>81</v>
      </c>
      <c r="Z1042" s="6" t="s">
        <v>81</v>
      </c>
      <c r="AA1042" s="6" t="s">
        <v>81</v>
      </c>
      <c r="AB1042" s="6" t="s">
        <v>81</v>
      </c>
      <c r="AC1042" s="6" t="s">
        <v>10886</v>
      </c>
      <c r="AD1042" s="16" t="n">
        <v>44378</v>
      </c>
      <c r="AE1042" s="6" t="s">
        <v>14223</v>
      </c>
      <c r="AF1042" s="6" t="s">
        <v>81</v>
      </c>
      <c r="AG1042" s="6" t="s">
        <v>81</v>
      </c>
      <c r="AH1042" s="6" t="s">
        <v>15615</v>
      </c>
      <c r="AI1042" s="6" t="s">
        <v>81</v>
      </c>
      <c r="AJ1042" s="6" t="s">
        <v>17869</v>
      </c>
      <c r="AK1042" s="6" t="s">
        <v>18385</v>
      </c>
      <c r="AL1042" s="6" t="s">
        <v>18444</v>
      </c>
      <c r="AM1042" s="6" t="s">
        <v>19052</v>
      </c>
      <c r="AN1042" s="6" t="s">
        <v>19661</v>
      </c>
      <c r="AO1042" s="6" t="s">
        <v>19962</v>
      </c>
      <c r="AP1042" s="6" t="s">
        <v>81</v>
      </c>
      <c r="AQ1042" s="6" t="s">
        <v>81</v>
      </c>
      <c r="AR1042" s="6" t="s">
        <v>81</v>
      </c>
      <c r="AS1042" s="6" t="s">
        <v>81</v>
      </c>
      <c r="AT1042" s="6" t="s">
        <v>81</v>
      </c>
      <c r="AU1042" s="6" t="s">
        <v>81</v>
      </c>
      <c r="AV1042" s="6" t="s">
        <v>81</v>
      </c>
      <c r="AW1042" s="6" t="s">
        <v>81</v>
      </c>
      <c r="AX1042" s="6" t="s">
        <v>21410</v>
      </c>
      <c r="AY1042" s="6" t="s">
        <v>22953</v>
      </c>
      <c r="AZ1042" s="6" t="s">
        <v>23680</v>
      </c>
      <c r="BA1042" s="6" t="s">
        <v>81</v>
      </c>
      <c r="BB1042" s="24" t="n">
        <v>0</v>
      </c>
      <c r="BC1042" s="26"/>
      <c r="BD1042" s="26"/>
      <c r="BE1042" s="26"/>
      <c r="BF1042" s="26"/>
      <c r="BG1042" s="26"/>
      <c r="BH1042" s="26"/>
      <c r="BI1042" s="26"/>
      <c r="BJ1042" s="26"/>
      <c r="BK1042" s="26"/>
      <c r="BL1042" s="26"/>
      <c r="BM1042" s="26"/>
      <c r="BN1042" s="26"/>
      <c r="BO1042" s="26"/>
      <c r="BP1042" s="16" t="n">
        <v>45691</v>
      </c>
      <c r="BQ1042" s="28" t="str">
        <f>HYPERLINK("https://organic.ams.usda.gov/Integrity/Certificate.aspx?cid=24&amp;nopid=7889002100")</f>
        <v>https://organic.ams.usda.gov/Integrity/Certificate.aspx?cid=24&amp;nopid=7889002100</v>
      </c>
    </row>
    <row r="1043">
      <c r="A1043" t="s">
        <v>3</v>
      </c>
      <c r="B1043" s="6" t="s">
        <v>7</v>
      </c>
      <c r="C1043" s="6" t="s">
        <v>54</v>
      </c>
      <c r="D1043" s="6" t="s">
        <v>100</v>
      </c>
      <c r="E1043" s="10" t="s">
        <v>1184</v>
      </c>
      <c r="F1043" s="6" t="s">
        <v>3912</v>
      </c>
      <c r="G1043" s="6" t="s">
        <v>81</v>
      </c>
      <c r="H1043" s="6" t="s">
        <v>6848</v>
      </c>
      <c r="I1043" s="6" t="s">
        <v>8992</v>
      </c>
      <c r="J1043" s="6" t="s">
        <v>9763</v>
      </c>
      <c r="K1043" s="6" t="s">
        <v>10886</v>
      </c>
      <c r="L1043" s="16" t="n">
        <v>45561</v>
      </c>
      <c r="M1043" s="16" t="n">
        <v>45716</v>
      </c>
      <c r="N1043" s="6" t="s">
        <v>10886</v>
      </c>
      <c r="O1043" s="16" t="n">
        <v>45561</v>
      </c>
      <c r="P1043" s="6" t="s">
        <v>11515</v>
      </c>
      <c r="Q1043" s="6" t="s">
        <v>81</v>
      </c>
      <c r="R1043" s="6" t="s">
        <v>81</v>
      </c>
      <c r="S1043" s="6" t="s">
        <v>10886</v>
      </c>
      <c r="T1043" s="16" t="n">
        <v>45583</v>
      </c>
      <c r="U1043" s="6" t="s">
        <v>13385</v>
      </c>
      <c r="V1043" s="6" t="s">
        <v>81</v>
      </c>
      <c r="W1043" s="6" t="s">
        <v>81</v>
      </c>
      <c r="X1043" s="6" t="s">
        <v>81</v>
      </c>
      <c r="Y1043" s="21" t="s">
        <v>81</v>
      </c>
      <c r="Z1043" s="6" t="s">
        <v>81</v>
      </c>
      <c r="AA1043" s="6" t="s">
        <v>81</v>
      </c>
      <c r="AB1043" s="6" t="s">
        <v>81</v>
      </c>
      <c r="AC1043" s="6" t="s">
        <v>81</v>
      </c>
      <c r="AD1043" s="21" t="s">
        <v>81</v>
      </c>
      <c r="AE1043" s="6" t="s">
        <v>81</v>
      </c>
      <c r="AF1043" s="6" t="s">
        <v>81</v>
      </c>
      <c r="AG1043" s="6" t="s">
        <v>81</v>
      </c>
      <c r="AH1043" s="6" t="s">
        <v>15616</v>
      </c>
      <c r="AI1043" s="6" t="s">
        <v>81</v>
      </c>
      <c r="AJ1043" s="6" t="s">
        <v>17870</v>
      </c>
      <c r="AK1043" s="6" t="s">
        <v>17712</v>
      </c>
      <c r="AL1043" s="6" t="s">
        <v>18444</v>
      </c>
      <c r="AM1043" s="6" t="s">
        <v>19053</v>
      </c>
      <c r="AN1043" s="6" t="s">
        <v>81</v>
      </c>
      <c r="AO1043" s="6" t="s">
        <v>81</v>
      </c>
      <c r="AP1043" s="6" t="s">
        <v>15616</v>
      </c>
      <c r="AQ1043" s="6" t="s">
        <v>81</v>
      </c>
      <c r="AR1043" s="6" t="s">
        <v>17870</v>
      </c>
      <c r="AS1043" s="6" t="s">
        <v>17712</v>
      </c>
      <c r="AT1043" s="6" t="s">
        <v>18444</v>
      </c>
      <c r="AU1043" s="6" t="s">
        <v>19053</v>
      </c>
      <c r="AV1043" s="6" t="s">
        <v>81</v>
      </c>
      <c r="AW1043" s="6" t="s">
        <v>81</v>
      </c>
      <c r="AX1043" s="6" t="s">
        <v>21411</v>
      </c>
      <c r="AY1043" s="6" t="s">
        <v>81</v>
      </c>
      <c r="AZ1043" s="6" t="s">
        <v>81</v>
      </c>
      <c r="BA1043" s="6" t="s">
        <v>81</v>
      </c>
      <c r="BB1043" s="24" t="n">
        <v>94</v>
      </c>
      <c r="BC1043" s="26"/>
      <c r="BD1043" s="26"/>
      <c r="BE1043" s="26"/>
      <c r="BF1043" s="26" t="s">
        <v>23900</v>
      </c>
      <c r="BG1043" s="26"/>
      <c r="BH1043" s="26"/>
      <c r="BI1043" s="26"/>
      <c r="BJ1043" s="26"/>
      <c r="BK1043" s="26"/>
      <c r="BL1043" s="26"/>
      <c r="BM1043" s="26"/>
      <c r="BN1043" s="26"/>
      <c r="BO1043" s="26"/>
      <c r="BP1043" s="16" t="n">
        <v>45674</v>
      </c>
      <c r="BQ1043" s="28" t="str">
        <f>HYPERLINK("https://organic.ams.usda.gov/Integrity/Certificate.aspx?cid=57&amp;nopid=3252024066")</f>
        <v>https://organic.ams.usda.gov/Integrity/Certificate.aspx?cid=57&amp;nopid=3252024066</v>
      </c>
    </row>
    <row r="1044">
      <c r="A1044" t="s">
        <v>3</v>
      </c>
      <c r="B1044" s="6" t="s">
        <v>7</v>
      </c>
      <c r="C1044" s="6" t="s">
        <v>54</v>
      </c>
      <c r="D1044" s="6" t="s">
        <v>100</v>
      </c>
      <c r="E1044" s="10" t="s">
        <v>1185</v>
      </c>
      <c r="F1044" s="6" t="s">
        <v>3913</v>
      </c>
      <c r="G1044" s="6" t="s">
        <v>81</v>
      </c>
      <c r="H1044" s="6" t="s">
        <v>6849</v>
      </c>
      <c r="I1044" s="6" t="s">
        <v>8993</v>
      </c>
      <c r="J1044" s="6" t="s">
        <v>10194</v>
      </c>
      <c r="K1044" s="6" t="s">
        <v>10886</v>
      </c>
      <c r="L1044" s="16" t="n">
        <v>39640</v>
      </c>
      <c r="M1044" s="16" t="n">
        <v>45716</v>
      </c>
      <c r="N1044" s="6" t="s">
        <v>10886</v>
      </c>
      <c r="O1044" s="16" t="n">
        <v>39640</v>
      </c>
      <c r="P1044" s="6" t="s">
        <v>11516</v>
      </c>
      <c r="Q1044" s="6" t="s">
        <v>81</v>
      </c>
      <c r="R1044" s="6" t="s">
        <v>81</v>
      </c>
      <c r="S1044" s="6" t="s">
        <v>10886</v>
      </c>
      <c r="T1044" s="16" t="n">
        <v>41716</v>
      </c>
      <c r="U1044" s="6" t="s">
        <v>13527</v>
      </c>
      <c r="V1044" s="6" t="s">
        <v>81</v>
      </c>
      <c r="W1044" s="6" t="s">
        <v>81</v>
      </c>
      <c r="X1044" s="6" t="s">
        <v>81</v>
      </c>
      <c r="Y1044" s="21" t="s">
        <v>81</v>
      </c>
      <c r="Z1044" s="6" t="s">
        <v>81</v>
      </c>
      <c r="AA1044" s="6" t="s">
        <v>81</v>
      </c>
      <c r="AB1044" s="6" t="s">
        <v>81</v>
      </c>
      <c r="AC1044" s="6" t="s">
        <v>10886</v>
      </c>
      <c r="AD1044" s="16" t="n">
        <v>42675</v>
      </c>
      <c r="AE1044" s="6" t="s">
        <v>14224</v>
      </c>
      <c r="AF1044" s="6" t="s">
        <v>81</v>
      </c>
      <c r="AG1044" s="6" t="s">
        <v>81</v>
      </c>
      <c r="AH1044" s="6" t="s">
        <v>15617</v>
      </c>
      <c r="AI1044" s="6" t="s">
        <v>81</v>
      </c>
      <c r="AJ1044" s="6" t="s">
        <v>17871</v>
      </c>
      <c r="AK1044" s="6" t="s">
        <v>17712</v>
      </c>
      <c r="AL1044" s="6" t="s">
        <v>18444</v>
      </c>
      <c r="AM1044" s="6" t="s">
        <v>19054</v>
      </c>
      <c r="AN1044" s="6" t="s">
        <v>7926</v>
      </c>
      <c r="AO1044" s="6" t="s">
        <v>19842</v>
      </c>
      <c r="AP1044" s="6" t="s">
        <v>15617</v>
      </c>
      <c r="AQ1044" s="6" t="s">
        <v>81</v>
      </c>
      <c r="AR1044" s="6" t="s">
        <v>17871</v>
      </c>
      <c r="AS1044" s="6" t="s">
        <v>17712</v>
      </c>
      <c r="AT1044" s="6" t="s">
        <v>18444</v>
      </c>
      <c r="AU1044" s="6" t="s">
        <v>19054</v>
      </c>
      <c r="AV1044" s="6" t="s">
        <v>81</v>
      </c>
      <c r="AW1044" s="6" t="s">
        <v>81</v>
      </c>
      <c r="AX1044" s="6" t="s">
        <v>21412</v>
      </c>
      <c r="AY1044" s="6" t="s">
        <v>22954</v>
      </c>
      <c r="AZ1044" s="6" t="s">
        <v>23681</v>
      </c>
      <c r="BA1044" s="6" t="s">
        <v>81</v>
      </c>
      <c r="BB1044" s="24" t="n">
        <v>803</v>
      </c>
      <c r="BC1044" s="26"/>
      <c r="BD1044" s="26"/>
      <c r="BE1044" s="26"/>
      <c r="BF1044" s="26" t="s">
        <v>23900</v>
      </c>
      <c r="BG1044" s="26"/>
      <c r="BH1044" s="26"/>
      <c r="BI1044" s="26"/>
      <c r="BJ1044" s="26"/>
      <c r="BK1044" s="26" t="s">
        <v>23900</v>
      </c>
      <c r="BL1044" s="26"/>
      <c r="BM1044" s="26"/>
      <c r="BN1044" s="26"/>
      <c r="BO1044" s="26"/>
      <c r="BP1044" s="16" t="n">
        <v>45666</v>
      </c>
      <c r="BQ1044" s="28" t="str">
        <f>HYPERLINK("https://organic.ams.usda.gov/Integrity/Certificate.aspx?cid=57&amp;nopid=3252008019")</f>
        <v>https://organic.ams.usda.gov/Integrity/Certificate.aspx?cid=57&amp;nopid=3252008019</v>
      </c>
    </row>
    <row r="1045">
      <c r="A1045" t="s">
        <v>3</v>
      </c>
      <c r="B1045" s="6" t="s">
        <v>7</v>
      </c>
      <c r="C1045" s="6" t="s">
        <v>54</v>
      </c>
      <c r="D1045" s="6" t="s">
        <v>100</v>
      </c>
      <c r="E1045" s="10" t="s">
        <v>1186</v>
      </c>
      <c r="F1045" s="6" t="s">
        <v>3914</v>
      </c>
      <c r="G1045" s="6" t="s">
        <v>81</v>
      </c>
      <c r="H1045" s="6" t="s">
        <v>6850</v>
      </c>
      <c r="I1045" s="6" t="s">
        <v>8516</v>
      </c>
      <c r="J1045" s="6" t="s">
        <v>10195</v>
      </c>
      <c r="K1045" s="6" t="s">
        <v>10886</v>
      </c>
      <c r="L1045" s="16" t="n">
        <v>42153</v>
      </c>
      <c r="M1045" s="16" t="n">
        <v>45716</v>
      </c>
      <c r="N1045" s="6" t="s">
        <v>10886</v>
      </c>
      <c r="O1045" s="16" t="n">
        <v>42153</v>
      </c>
      <c r="P1045" s="6" t="s">
        <v>11517</v>
      </c>
      <c r="Q1045" s="6" t="s">
        <v>81</v>
      </c>
      <c r="R1045" s="6" t="s">
        <v>81</v>
      </c>
      <c r="S1045" s="6" t="s">
        <v>10886</v>
      </c>
      <c r="T1045" s="16" t="n">
        <v>42153</v>
      </c>
      <c r="U1045" s="6" t="s">
        <v>13169</v>
      </c>
      <c r="V1045" s="6" t="s">
        <v>81</v>
      </c>
      <c r="W1045" s="6" t="s">
        <v>81</v>
      </c>
      <c r="X1045" s="6" t="s">
        <v>81</v>
      </c>
      <c r="Y1045" s="21" t="s">
        <v>81</v>
      </c>
      <c r="Z1045" s="6" t="s">
        <v>81</v>
      </c>
      <c r="AA1045" s="6" t="s">
        <v>81</v>
      </c>
      <c r="AB1045" s="6" t="s">
        <v>81</v>
      </c>
      <c r="AC1045" s="6" t="s">
        <v>81</v>
      </c>
      <c r="AD1045" s="21" t="s">
        <v>81</v>
      </c>
      <c r="AE1045" s="6" t="s">
        <v>81</v>
      </c>
      <c r="AF1045" s="6" t="s">
        <v>81</v>
      </c>
      <c r="AG1045" s="6" t="s">
        <v>81</v>
      </c>
      <c r="AH1045" s="6" t="s">
        <v>15618</v>
      </c>
      <c r="AI1045" s="6" t="s">
        <v>81</v>
      </c>
      <c r="AJ1045" s="6" t="s">
        <v>17872</v>
      </c>
      <c r="AK1045" s="6" t="s">
        <v>18380</v>
      </c>
      <c r="AL1045" s="6" t="s">
        <v>18444</v>
      </c>
      <c r="AM1045" s="6" t="s">
        <v>19055</v>
      </c>
      <c r="AN1045" s="6" t="s">
        <v>6505</v>
      </c>
      <c r="AO1045" s="6" t="s">
        <v>19815</v>
      </c>
      <c r="AP1045" s="6" t="s">
        <v>15618</v>
      </c>
      <c r="AQ1045" s="6" t="s">
        <v>81</v>
      </c>
      <c r="AR1045" s="6" t="s">
        <v>17872</v>
      </c>
      <c r="AS1045" s="6" t="s">
        <v>18380</v>
      </c>
      <c r="AT1045" s="6" t="s">
        <v>18444</v>
      </c>
      <c r="AU1045" s="6" t="s">
        <v>19055</v>
      </c>
      <c r="AV1045" s="6" t="s">
        <v>81</v>
      </c>
      <c r="AW1045" s="6" t="s">
        <v>81</v>
      </c>
      <c r="AX1045" s="6" t="s">
        <v>21413</v>
      </c>
      <c r="AY1045" s="6" t="s">
        <v>22955</v>
      </c>
      <c r="AZ1045" s="6" t="s">
        <v>81</v>
      </c>
      <c r="BA1045" s="6" t="s">
        <v>81</v>
      </c>
      <c r="BB1045" s="24" t="n">
        <v>499</v>
      </c>
      <c r="BC1045" s="26"/>
      <c r="BD1045" s="26"/>
      <c r="BE1045" s="26"/>
      <c r="BF1045" s="26" t="s">
        <v>23900</v>
      </c>
      <c r="BG1045" s="26"/>
      <c r="BH1045" s="26"/>
      <c r="BI1045" s="26"/>
      <c r="BJ1045" s="26"/>
      <c r="BK1045" s="26"/>
      <c r="BL1045" s="26"/>
      <c r="BM1045" s="26"/>
      <c r="BN1045" s="26"/>
      <c r="BO1045" s="26"/>
      <c r="BP1045" s="16" t="n">
        <v>45681</v>
      </c>
      <c r="BQ1045" s="28" t="str">
        <f>HYPERLINK("https://organic.ams.usda.gov/Integrity/Certificate.aspx?cid=57&amp;nopid=3252015018")</f>
        <v>https://organic.ams.usda.gov/Integrity/Certificate.aspx?cid=57&amp;nopid=3252015018</v>
      </c>
    </row>
    <row r="1046">
      <c r="A1046" t="s">
        <v>3</v>
      </c>
      <c r="B1046" s="6" t="s">
        <v>7</v>
      </c>
      <c r="C1046" s="6" t="s">
        <v>54</v>
      </c>
      <c r="D1046" s="6" t="s">
        <v>100</v>
      </c>
      <c r="E1046" s="10" t="s">
        <v>1187</v>
      </c>
      <c r="F1046" s="6" t="s">
        <v>3915</v>
      </c>
      <c r="G1046" s="6" t="s">
        <v>81</v>
      </c>
      <c r="H1046" s="6" t="s">
        <v>6851</v>
      </c>
      <c r="I1046" s="6" t="s">
        <v>8552</v>
      </c>
      <c r="J1046" s="6" t="s">
        <v>10196</v>
      </c>
      <c r="K1046" s="6" t="s">
        <v>10886</v>
      </c>
      <c r="L1046" s="16" t="n">
        <v>37427</v>
      </c>
      <c r="M1046" s="16" t="n">
        <v>45716</v>
      </c>
      <c r="N1046" s="6" t="s">
        <v>10886</v>
      </c>
      <c r="O1046" s="16" t="n">
        <v>37427</v>
      </c>
      <c r="P1046" s="6" t="s">
        <v>11518</v>
      </c>
      <c r="Q1046" s="6" t="s">
        <v>81</v>
      </c>
      <c r="R1046" s="6" t="s">
        <v>81</v>
      </c>
      <c r="S1046" s="6" t="s">
        <v>10886</v>
      </c>
      <c r="T1046" s="16" t="n">
        <v>37427</v>
      </c>
      <c r="U1046" s="6" t="s">
        <v>13455</v>
      </c>
      <c r="V1046" s="6" t="s">
        <v>81</v>
      </c>
      <c r="W1046" s="6" t="s">
        <v>81</v>
      </c>
      <c r="X1046" s="6" t="s">
        <v>81</v>
      </c>
      <c r="Y1046" s="21" t="s">
        <v>81</v>
      </c>
      <c r="Z1046" s="6" t="s">
        <v>81</v>
      </c>
      <c r="AA1046" s="6" t="s">
        <v>81</v>
      </c>
      <c r="AB1046" s="6" t="s">
        <v>81</v>
      </c>
      <c r="AC1046" s="6" t="s">
        <v>81</v>
      </c>
      <c r="AD1046" s="21" t="s">
        <v>81</v>
      </c>
      <c r="AE1046" s="6" t="s">
        <v>81</v>
      </c>
      <c r="AF1046" s="6" t="s">
        <v>81</v>
      </c>
      <c r="AG1046" s="6" t="s">
        <v>81</v>
      </c>
      <c r="AH1046" s="6" t="s">
        <v>15619</v>
      </c>
      <c r="AI1046" s="6" t="s">
        <v>81</v>
      </c>
      <c r="AJ1046" s="6" t="s">
        <v>17873</v>
      </c>
      <c r="AK1046" s="6" t="s">
        <v>17712</v>
      </c>
      <c r="AL1046" s="6" t="s">
        <v>18444</v>
      </c>
      <c r="AM1046" s="6" t="s">
        <v>19056</v>
      </c>
      <c r="AN1046" s="6" t="s">
        <v>19652</v>
      </c>
      <c r="AO1046" s="6" t="s">
        <v>19742</v>
      </c>
      <c r="AP1046" s="6" t="s">
        <v>20247</v>
      </c>
      <c r="AQ1046" s="6" t="s">
        <v>81</v>
      </c>
      <c r="AR1046" s="6" t="s">
        <v>17873</v>
      </c>
      <c r="AS1046" s="6" t="s">
        <v>17712</v>
      </c>
      <c r="AT1046" s="6" t="s">
        <v>18444</v>
      </c>
      <c r="AU1046" s="6" t="s">
        <v>19056</v>
      </c>
      <c r="AV1046" s="6" t="s">
        <v>81</v>
      </c>
      <c r="AW1046" s="6" t="s">
        <v>81</v>
      </c>
      <c r="AX1046" s="6" t="s">
        <v>21414</v>
      </c>
      <c r="AY1046" s="6" t="s">
        <v>22956</v>
      </c>
      <c r="AZ1046" s="6" t="s">
        <v>81</v>
      </c>
      <c r="BA1046" s="6" t="s">
        <v>81</v>
      </c>
      <c r="BB1046" s="24" t="n">
        <v>540</v>
      </c>
      <c r="BC1046" s="26"/>
      <c r="BD1046" s="26"/>
      <c r="BE1046" s="26"/>
      <c r="BF1046" s="26"/>
      <c r="BG1046" s="26"/>
      <c r="BH1046" s="26"/>
      <c r="BI1046" s="26"/>
      <c r="BJ1046" s="26"/>
      <c r="BK1046" s="26"/>
      <c r="BL1046" s="26"/>
      <c r="BM1046" s="26"/>
      <c r="BN1046" s="26"/>
      <c r="BO1046" s="26"/>
      <c r="BP1046" s="16" t="n">
        <v>45595</v>
      </c>
      <c r="BQ1046" s="28" t="str">
        <f>HYPERLINK("https://organic.ams.usda.gov/Integrity/Certificate.aspx?cid=57&amp;nopid=3250980009")</f>
        <v>https://organic.ams.usda.gov/Integrity/Certificate.aspx?cid=57&amp;nopid=3250980009</v>
      </c>
    </row>
    <row r="1047">
      <c r="A1047" t="s">
        <v>3</v>
      </c>
      <c r="B1047" s="6" t="s">
        <v>7</v>
      </c>
      <c r="C1047" s="6" t="s">
        <v>54</v>
      </c>
      <c r="D1047" s="6" t="s">
        <v>100</v>
      </c>
      <c r="E1047" s="10" t="s">
        <v>1188</v>
      </c>
      <c r="F1047" s="6" t="s">
        <v>3916</v>
      </c>
      <c r="G1047" s="6" t="s">
        <v>81</v>
      </c>
      <c r="H1047" s="6" t="s">
        <v>6852</v>
      </c>
      <c r="I1047" s="6" t="s">
        <v>8887</v>
      </c>
      <c r="J1047" s="6" t="s">
        <v>10197</v>
      </c>
      <c r="K1047" s="6" t="s">
        <v>10886</v>
      </c>
      <c r="L1047" s="16" t="n">
        <v>45498</v>
      </c>
      <c r="M1047" s="16" t="n">
        <v>45716</v>
      </c>
      <c r="N1047" s="6" t="s">
        <v>10886</v>
      </c>
      <c r="O1047" s="16" t="n">
        <v>45498</v>
      </c>
      <c r="P1047" s="6" t="s">
        <v>11519</v>
      </c>
      <c r="Q1047" s="6" t="s">
        <v>81</v>
      </c>
      <c r="R1047" s="6" t="s">
        <v>81</v>
      </c>
      <c r="S1047" s="6" t="s">
        <v>10886</v>
      </c>
      <c r="T1047" s="16" t="n">
        <v>45505</v>
      </c>
      <c r="U1047" s="6" t="s">
        <v>13188</v>
      </c>
      <c r="V1047" s="6" t="s">
        <v>81</v>
      </c>
      <c r="W1047" s="6" t="s">
        <v>81</v>
      </c>
      <c r="X1047" s="6" t="s">
        <v>81</v>
      </c>
      <c r="Y1047" s="21" t="s">
        <v>81</v>
      </c>
      <c r="Z1047" s="6" t="s">
        <v>81</v>
      </c>
      <c r="AA1047" s="6" t="s">
        <v>81</v>
      </c>
      <c r="AB1047" s="6" t="s">
        <v>81</v>
      </c>
      <c r="AC1047" s="6" t="s">
        <v>81</v>
      </c>
      <c r="AD1047" s="21" t="s">
        <v>81</v>
      </c>
      <c r="AE1047" s="6" t="s">
        <v>81</v>
      </c>
      <c r="AF1047" s="6" t="s">
        <v>81</v>
      </c>
      <c r="AG1047" s="6" t="s">
        <v>81</v>
      </c>
      <c r="AH1047" s="6" t="s">
        <v>15620</v>
      </c>
      <c r="AI1047" s="6" t="s">
        <v>81</v>
      </c>
      <c r="AJ1047" s="6" t="s">
        <v>17490</v>
      </c>
      <c r="AK1047" s="6" t="s">
        <v>17712</v>
      </c>
      <c r="AL1047" s="6" t="s">
        <v>18444</v>
      </c>
      <c r="AM1047" s="6" t="s">
        <v>18650</v>
      </c>
      <c r="AN1047" s="6" t="s">
        <v>81</v>
      </c>
      <c r="AO1047" s="6" t="s">
        <v>81</v>
      </c>
      <c r="AP1047" s="6" t="s">
        <v>15620</v>
      </c>
      <c r="AQ1047" s="6" t="s">
        <v>81</v>
      </c>
      <c r="AR1047" s="6" t="s">
        <v>17490</v>
      </c>
      <c r="AS1047" s="6" t="s">
        <v>17712</v>
      </c>
      <c r="AT1047" s="6" t="s">
        <v>18444</v>
      </c>
      <c r="AU1047" s="6" t="s">
        <v>18650</v>
      </c>
      <c r="AV1047" s="6" t="s">
        <v>81</v>
      </c>
      <c r="AW1047" s="6" t="s">
        <v>81</v>
      </c>
      <c r="AX1047" s="6" t="s">
        <v>81</v>
      </c>
      <c r="AY1047" s="6" t="s">
        <v>81</v>
      </c>
      <c r="AZ1047" s="6" t="s">
        <v>81</v>
      </c>
      <c r="BA1047" s="6" t="s">
        <v>81</v>
      </c>
      <c r="BB1047" s="24" t="n">
        <v>80</v>
      </c>
      <c r="BC1047" s="26"/>
      <c r="BD1047" s="26"/>
      <c r="BE1047" s="26"/>
      <c r="BF1047" s="26" t="s">
        <v>23900</v>
      </c>
      <c r="BG1047" s="26"/>
      <c r="BH1047" s="26"/>
      <c r="BI1047" s="26"/>
      <c r="BJ1047" s="26"/>
      <c r="BK1047" s="26"/>
      <c r="BL1047" s="26"/>
      <c r="BM1047" s="26"/>
      <c r="BN1047" s="26"/>
      <c r="BO1047" s="26"/>
      <c r="BP1047" s="16" t="n">
        <v>45595</v>
      </c>
      <c r="BQ1047" s="28" t="str">
        <f>HYPERLINK("https://organic.ams.usda.gov/Integrity/Certificate.aspx?cid=57&amp;nopid=3252024071")</f>
        <v>https://organic.ams.usda.gov/Integrity/Certificate.aspx?cid=57&amp;nopid=3252024071</v>
      </c>
    </row>
    <row r="1048">
      <c r="A1048" t="s">
        <v>3</v>
      </c>
      <c r="B1048" s="6" t="s">
        <v>9</v>
      </c>
      <c r="C1048" s="6" t="s">
        <v>56</v>
      </c>
      <c r="D1048" s="6" t="s">
        <v>102</v>
      </c>
      <c r="E1048" s="10" t="s">
        <v>1189</v>
      </c>
      <c r="F1048" s="6" t="s">
        <v>3917</v>
      </c>
      <c r="G1048" s="6" t="s">
        <v>81</v>
      </c>
      <c r="H1048" s="6" t="s">
        <v>6853</v>
      </c>
      <c r="I1048" s="6" t="s">
        <v>8994</v>
      </c>
      <c r="J1048" s="6" t="s">
        <v>9697</v>
      </c>
      <c r="K1048" s="6" t="s">
        <v>10886</v>
      </c>
      <c r="L1048" s="16" t="n">
        <v>43312</v>
      </c>
      <c r="M1048" s="16" t="n">
        <v>45748</v>
      </c>
      <c r="N1048" s="6" t="s">
        <v>10886</v>
      </c>
      <c r="O1048" s="16" t="n">
        <v>43312</v>
      </c>
      <c r="P1048" s="6" t="s">
        <v>10922</v>
      </c>
      <c r="Q1048" s="6" t="s">
        <v>81</v>
      </c>
      <c r="R1048" s="6" t="s">
        <v>12718</v>
      </c>
      <c r="S1048" s="6" t="s">
        <v>10886</v>
      </c>
      <c r="T1048" s="16" t="n">
        <v>43312</v>
      </c>
      <c r="U1048" s="6" t="s">
        <v>13168</v>
      </c>
      <c r="V1048" s="6" t="s">
        <v>81</v>
      </c>
      <c r="W1048" s="6" t="s">
        <v>12718</v>
      </c>
      <c r="X1048" s="6" t="s">
        <v>81</v>
      </c>
      <c r="Y1048" s="21" t="s">
        <v>81</v>
      </c>
      <c r="Z1048" s="6" t="s">
        <v>81</v>
      </c>
      <c r="AA1048" s="6" t="s">
        <v>81</v>
      </c>
      <c r="AB1048" s="6" t="s">
        <v>81</v>
      </c>
      <c r="AC1048" s="6" t="s">
        <v>81</v>
      </c>
      <c r="AD1048" s="21" t="s">
        <v>81</v>
      </c>
      <c r="AE1048" s="6" t="s">
        <v>81</v>
      </c>
      <c r="AF1048" s="6" t="s">
        <v>81</v>
      </c>
      <c r="AG1048" s="6" t="s">
        <v>81</v>
      </c>
      <c r="AH1048" s="6" t="s">
        <v>15621</v>
      </c>
      <c r="AI1048" s="6" t="s">
        <v>81</v>
      </c>
      <c r="AJ1048" s="6" t="s">
        <v>17799</v>
      </c>
      <c r="AK1048" s="6" t="s">
        <v>18377</v>
      </c>
      <c r="AL1048" s="6" t="s">
        <v>18444</v>
      </c>
      <c r="AM1048" s="6" t="s">
        <v>18976</v>
      </c>
      <c r="AN1048" s="6" t="s">
        <v>19653</v>
      </c>
      <c r="AO1048" s="6" t="s">
        <v>19838</v>
      </c>
      <c r="AP1048" s="6" t="s">
        <v>81</v>
      </c>
      <c r="AQ1048" s="6" t="s">
        <v>81</v>
      </c>
      <c r="AR1048" s="6" t="s">
        <v>81</v>
      </c>
      <c r="AS1048" s="6" t="s">
        <v>81</v>
      </c>
      <c r="AT1048" s="6" t="s">
        <v>81</v>
      </c>
      <c r="AU1048" s="6" t="s">
        <v>81</v>
      </c>
      <c r="AV1048" s="6" t="s">
        <v>81</v>
      </c>
      <c r="AW1048" s="6" t="s">
        <v>81</v>
      </c>
      <c r="AX1048" s="6" t="s">
        <v>81</v>
      </c>
      <c r="AY1048" s="6" t="s">
        <v>81</v>
      </c>
      <c r="AZ1048" s="6" t="s">
        <v>81</v>
      </c>
      <c r="BA1048" s="6" t="s">
        <v>81</v>
      </c>
      <c r="BB1048" s="24" t="n">
        <v>112</v>
      </c>
      <c r="BC1048" s="26"/>
      <c r="BD1048" s="26"/>
      <c r="BE1048" s="26"/>
      <c r="BF1048" s="26"/>
      <c r="BG1048" s="26"/>
      <c r="BH1048" s="26"/>
      <c r="BI1048" s="26"/>
      <c r="BJ1048" s="26"/>
      <c r="BK1048" s="26"/>
      <c r="BL1048" s="26"/>
      <c r="BM1048" s="26"/>
      <c r="BN1048" s="26"/>
      <c r="BO1048" s="26"/>
      <c r="BP1048" s="16" t="n">
        <v>45738</v>
      </c>
      <c r="BQ1048" s="28" t="str">
        <f>HYPERLINK("https://organic.ams.usda.gov/Integrity/Certificate.aspx?cid=52&amp;nopid=8431801464")</f>
        <v>https://organic.ams.usda.gov/Integrity/Certificate.aspx?cid=52&amp;nopid=8431801464</v>
      </c>
    </row>
    <row r="1049">
      <c r="A1049" t="s">
        <v>3</v>
      </c>
      <c r="B1049" s="6" t="s">
        <v>10</v>
      </c>
      <c r="C1049" s="6" t="s">
        <v>57</v>
      </c>
      <c r="D1049" s="6" t="s">
        <v>103</v>
      </c>
      <c r="E1049" s="10" t="s">
        <v>1190</v>
      </c>
      <c r="F1049" s="6" t="s">
        <v>3918</v>
      </c>
      <c r="G1049" s="6" t="s">
        <v>81</v>
      </c>
      <c r="H1049" s="6" t="s">
        <v>6854</v>
      </c>
      <c r="I1049" s="6" t="s">
        <v>8995</v>
      </c>
      <c r="J1049" s="6" t="s">
        <v>9675</v>
      </c>
      <c r="K1049" s="6" t="s">
        <v>10886</v>
      </c>
      <c r="L1049" s="16" t="n">
        <v>40486</v>
      </c>
      <c r="M1049" s="16" t="n">
        <v>45748</v>
      </c>
      <c r="N1049" s="6" t="s">
        <v>10886</v>
      </c>
      <c r="O1049" s="16" t="n">
        <v>40486</v>
      </c>
      <c r="P1049" s="6" t="s">
        <v>11520</v>
      </c>
      <c r="Q1049" s="6" t="s">
        <v>81</v>
      </c>
      <c r="R1049" s="6" t="s">
        <v>12719</v>
      </c>
      <c r="S1049" s="6" t="s">
        <v>10886</v>
      </c>
      <c r="T1049" s="16" t="n">
        <v>44669</v>
      </c>
      <c r="U1049" s="6" t="s">
        <v>13163</v>
      </c>
      <c r="V1049" s="6" t="s">
        <v>81</v>
      </c>
      <c r="W1049" s="6" t="s">
        <v>81</v>
      </c>
      <c r="X1049" s="6" t="s">
        <v>81</v>
      </c>
      <c r="Y1049" s="21" t="s">
        <v>81</v>
      </c>
      <c r="Z1049" s="6" t="s">
        <v>81</v>
      </c>
      <c r="AA1049" s="6" t="s">
        <v>81</v>
      </c>
      <c r="AB1049" s="6" t="s">
        <v>81</v>
      </c>
      <c r="AC1049" s="6" t="s">
        <v>81</v>
      </c>
      <c r="AD1049" s="21" t="s">
        <v>81</v>
      </c>
      <c r="AE1049" s="6" t="s">
        <v>81</v>
      </c>
      <c r="AF1049" s="6" t="s">
        <v>81</v>
      </c>
      <c r="AG1049" s="6" t="s">
        <v>81</v>
      </c>
      <c r="AH1049" s="6" t="s">
        <v>15622</v>
      </c>
      <c r="AI1049" s="6" t="s">
        <v>81</v>
      </c>
      <c r="AJ1049" s="6" t="s">
        <v>17324</v>
      </c>
      <c r="AK1049" s="6" t="s">
        <v>18378</v>
      </c>
      <c r="AL1049" s="6" t="s">
        <v>18444</v>
      </c>
      <c r="AM1049" s="6" t="s">
        <v>18476</v>
      </c>
      <c r="AN1049" s="6" t="s">
        <v>19640</v>
      </c>
      <c r="AO1049" s="6" t="s">
        <v>19726</v>
      </c>
      <c r="AP1049" s="6" t="s">
        <v>15622</v>
      </c>
      <c r="AQ1049" s="6" t="s">
        <v>81</v>
      </c>
      <c r="AR1049" s="6" t="s">
        <v>17324</v>
      </c>
      <c r="AS1049" s="6" t="s">
        <v>18378</v>
      </c>
      <c r="AT1049" s="6" t="s">
        <v>18444</v>
      </c>
      <c r="AU1049" s="6" t="s">
        <v>18476</v>
      </c>
      <c r="AV1049" s="6" t="s">
        <v>81</v>
      </c>
      <c r="AW1049" s="6" t="s">
        <v>81</v>
      </c>
      <c r="AX1049" s="6" t="s">
        <v>21415</v>
      </c>
      <c r="AY1049" s="6" t="s">
        <v>81</v>
      </c>
      <c r="AZ1049" s="6" t="s">
        <v>81</v>
      </c>
      <c r="BA1049" s="6" t="s">
        <v>81</v>
      </c>
      <c r="BB1049" s="24" t="n">
        <v>174</v>
      </c>
      <c r="BC1049" s="26"/>
      <c r="BD1049" s="26"/>
      <c r="BE1049" s="26"/>
      <c r="BF1049" s="26"/>
      <c r="BG1049" s="26"/>
      <c r="BH1049" s="26"/>
      <c r="BI1049" s="26"/>
      <c r="BJ1049" s="26"/>
      <c r="BK1049" s="26"/>
      <c r="BL1049" s="26"/>
      <c r="BM1049" s="26"/>
      <c r="BN1049" s="26"/>
      <c r="BO1049" s="26"/>
      <c r="BP1049" s="16" t="n">
        <v>45730</v>
      </c>
      <c r="BQ1049" s="28" t="str">
        <f>HYPERLINK("https://organic.ams.usda.gov/Integrity/Certificate.aspx?cid=90&amp;nopid=7170220532")</f>
        <v>https://organic.ams.usda.gov/Integrity/Certificate.aspx?cid=90&amp;nopid=7170220532</v>
      </c>
    </row>
    <row r="1050">
      <c r="A1050" t="s">
        <v>3</v>
      </c>
      <c r="B1050" s="6" t="s">
        <v>7</v>
      </c>
      <c r="C1050" s="6" t="s">
        <v>54</v>
      </c>
      <c r="D1050" s="6" t="s">
        <v>100</v>
      </c>
      <c r="E1050" s="10" t="s">
        <v>1191</v>
      </c>
      <c r="F1050" s="6" t="s">
        <v>3919</v>
      </c>
      <c r="G1050" s="6" t="s">
        <v>5686</v>
      </c>
      <c r="H1050" s="6" t="s">
        <v>6855</v>
      </c>
      <c r="I1050" s="6" t="s">
        <v>8887</v>
      </c>
      <c r="J1050" s="6" t="s">
        <v>9671</v>
      </c>
      <c r="K1050" s="6" t="s">
        <v>10886</v>
      </c>
      <c r="L1050" s="16" t="n">
        <v>43609</v>
      </c>
      <c r="M1050" s="16" t="n">
        <v>45716</v>
      </c>
      <c r="N1050" s="6" t="s">
        <v>10886</v>
      </c>
      <c r="O1050" s="16" t="n">
        <v>43609</v>
      </c>
      <c r="P1050" s="6" t="s">
        <v>11016</v>
      </c>
      <c r="Q1050" s="6" t="s">
        <v>81</v>
      </c>
      <c r="R1050" s="6" t="s">
        <v>81</v>
      </c>
      <c r="S1050" s="6" t="s">
        <v>10886</v>
      </c>
      <c r="T1050" s="16" t="n">
        <v>43609</v>
      </c>
      <c r="U1050" s="6" t="s">
        <v>13284</v>
      </c>
      <c r="V1050" s="6" t="s">
        <v>81</v>
      </c>
      <c r="W1050" s="6" t="s">
        <v>81</v>
      </c>
      <c r="X1050" s="6" t="s">
        <v>81</v>
      </c>
      <c r="Y1050" s="21" t="s">
        <v>81</v>
      </c>
      <c r="Z1050" s="6" t="s">
        <v>81</v>
      </c>
      <c r="AA1050" s="6" t="s">
        <v>81</v>
      </c>
      <c r="AB1050" s="6" t="s">
        <v>81</v>
      </c>
      <c r="AC1050" s="6" t="s">
        <v>81</v>
      </c>
      <c r="AD1050" s="21" t="s">
        <v>81</v>
      </c>
      <c r="AE1050" s="6" t="s">
        <v>81</v>
      </c>
      <c r="AF1050" s="6" t="s">
        <v>81</v>
      </c>
      <c r="AG1050" s="6" t="s">
        <v>81</v>
      </c>
      <c r="AH1050" s="6" t="s">
        <v>15623</v>
      </c>
      <c r="AI1050" s="6" t="s">
        <v>81</v>
      </c>
      <c r="AJ1050" s="6" t="s">
        <v>17490</v>
      </c>
      <c r="AK1050" s="6" t="s">
        <v>17712</v>
      </c>
      <c r="AL1050" s="6" t="s">
        <v>18444</v>
      </c>
      <c r="AM1050" s="6" t="s">
        <v>18650</v>
      </c>
      <c r="AN1050" s="6" t="s">
        <v>19635</v>
      </c>
      <c r="AO1050" s="6" t="s">
        <v>19795</v>
      </c>
      <c r="AP1050" s="6" t="s">
        <v>15623</v>
      </c>
      <c r="AQ1050" s="6" t="s">
        <v>81</v>
      </c>
      <c r="AR1050" s="6" t="s">
        <v>17490</v>
      </c>
      <c r="AS1050" s="6" t="s">
        <v>17712</v>
      </c>
      <c r="AT1050" s="6" t="s">
        <v>18444</v>
      </c>
      <c r="AU1050" s="6" t="s">
        <v>18650</v>
      </c>
      <c r="AV1050" s="6" t="s">
        <v>81</v>
      </c>
      <c r="AW1050" s="6" t="s">
        <v>81</v>
      </c>
      <c r="AX1050" s="6" t="s">
        <v>81</v>
      </c>
      <c r="AY1050" s="6" t="s">
        <v>81</v>
      </c>
      <c r="AZ1050" s="6" t="s">
        <v>81</v>
      </c>
      <c r="BA1050" s="6" t="s">
        <v>81</v>
      </c>
      <c r="BB1050" s="24" t="n">
        <v>133</v>
      </c>
      <c r="BC1050" s="26"/>
      <c r="BD1050" s="26"/>
      <c r="BE1050" s="26"/>
      <c r="BF1050" s="26" t="s">
        <v>23900</v>
      </c>
      <c r="BG1050" s="26"/>
      <c r="BH1050" s="26"/>
      <c r="BI1050" s="26"/>
      <c r="BJ1050" s="26"/>
      <c r="BK1050" s="26"/>
      <c r="BL1050" s="26"/>
      <c r="BM1050" s="26"/>
      <c r="BN1050" s="26"/>
      <c r="BO1050" s="26"/>
      <c r="BP1050" s="16" t="n">
        <v>45713</v>
      </c>
      <c r="BQ1050" s="28" t="str">
        <f>HYPERLINK("https://organic.ams.usda.gov/Integrity/Certificate.aspx?cid=57&amp;nopid=3252019042")</f>
        <v>https://organic.ams.usda.gov/Integrity/Certificate.aspx?cid=57&amp;nopid=3252019042</v>
      </c>
    </row>
    <row r="1051">
      <c r="A1051" t="s">
        <v>3</v>
      </c>
      <c r="B1051" s="6" t="s">
        <v>8</v>
      </c>
      <c r="C1051" s="6" t="s">
        <v>55</v>
      </c>
      <c r="D1051" s="6" t="s">
        <v>101</v>
      </c>
      <c r="E1051" s="10" t="s">
        <v>1192</v>
      </c>
      <c r="F1051" s="6" t="s">
        <v>3920</v>
      </c>
      <c r="G1051" s="6" t="s">
        <v>81</v>
      </c>
      <c r="H1051" s="6" t="s">
        <v>6856</v>
      </c>
      <c r="I1051" s="6" t="s">
        <v>8887</v>
      </c>
      <c r="J1051" s="6" t="s">
        <v>9668</v>
      </c>
      <c r="K1051" s="6" t="s">
        <v>10886</v>
      </c>
      <c r="L1051" s="16" t="n">
        <v>38285</v>
      </c>
      <c r="M1051" s="16" t="n">
        <v>45689</v>
      </c>
      <c r="N1051" s="6" t="s">
        <v>10886</v>
      </c>
      <c r="O1051" s="16" t="n">
        <v>38285</v>
      </c>
      <c r="P1051" s="6" t="s">
        <v>11521</v>
      </c>
      <c r="Q1051" s="6" t="s">
        <v>81</v>
      </c>
      <c r="R1051" s="6" t="s">
        <v>6856</v>
      </c>
      <c r="S1051" s="6" t="s">
        <v>10886</v>
      </c>
      <c r="T1051" s="16" t="n">
        <v>38285</v>
      </c>
      <c r="U1051" s="6" t="s">
        <v>13173</v>
      </c>
      <c r="V1051" s="6" t="s">
        <v>81</v>
      </c>
      <c r="W1051" s="6" t="s">
        <v>6856</v>
      </c>
      <c r="X1051" s="6" t="s">
        <v>81</v>
      </c>
      <c r="Y1051" s="21" t="s">
        <v>81</v>
      </c>
      <c r="Z1051" s="6" t="s">
        <v>81</v>
      </c>
      <c r="AA1051" s="6" t="s">
        <v>81</v>
      </c>
      <c r="AB1051" s="6" t="s">
        <v>81</v>
      </c>
      <c r="AC1051" s="6" t="s">
        <v>81</v>
      </c>
      <c r="AD1051" s="21" t="s">
        <v>81</v>
      </c>
      <c r="AE1051" s="6" t="s">
        <v>81</v>
      </c>
      <c r="AF1051" s="6" t="s">
        <v>81</v>
      </c>
      <c r="AG1051" s="6" t="s">
        <v>81</v>
      </c>
      <c r="AH1051" s="6" t="s">
        <v>15624</v>
      </c>
      <c r="AI1051" s="6" t="s">
        <v>81</v>
      </c>
      <c r="AJ1051" s="6" t="s">
        <v>17376</v>
      </c>
      <c r="AK1051" s="6" t="s">
        <v>18377</v>
      </c>
      <c r="AL1051" s="6" t="s">
        <v>18444</v>
      </c>
      <c r="AM1051" s="6" t="s">
        <v>18528</v>
      </c>
      <c r="AN1051" s="6" t="s">
        <v>19661</v>
      </c>
      <c r="AO1051" s="6" t="s">
        <v>19761</v>
      </c>
      <c r="AP1051" s="6" t="s">
        <v>81</v>
      </c>
      <c r="AQ1051" s="6" t="s">
        <v>81</v>
      </c>
      <c r="AR1051" s="6" t="s">
        <v>81</v>
      </c>
      <c r="AS1051" s="6" t="s">
        <v>81</v>
      </c>
      <c r="AT1051" s="6" t="s">
        <v>81</v>
      </c>
      <c r="AU1051" s="6" t="s">
        <v>81</v>
      </c>
      <c r="AV1051" s="6" t="s">
        <v>81</v>
      </c>
      <c r="AW1051" s="6" t="s">
        <v>81</v>
      </c>
      <c r="AX1051" s="6" t="s">
        <v>81</v>
      </c>
      <c r="AY1051" s="6" t="s">
        <v>81</v>
      </c>
      <c r="AZ1051" s="6" t="s">
        <v>81</v>
      </c>
      <c r="BA1051" s="6" t="s">
        <v>23819</v>
      </c>
      <c r="BB1051" s="24" t="n">
        <v>122</v>
      </c>
      <c r="BC1051" s="26"/>
      <c r="BD1051" s="26"/>
      <c r="BE1051" s="26"/>
      <c r="BF1051" s="26" t="s">
        <v>23900</v>
      </c>
      <c r="BG1051" s="26"/>
      <c r="BH1051" s="26"/>
      <c r="BI1051" s="26"/>
      <c r="BJ1051" s="26"/>
      <c r="BK1051" s="26"/>
      <c r="BL1051" s="26"/>
      <c r="BM1051" s="26"/>
      <c r="BN1051" s="26"/>
      <c r="BO1051" s="26"/>
      <c r="BP1051" s="16" t="n">
        <v>45692</v>
      </c>
      <c r="BQ1051" s="28" t="str">
        <f>HYPERLINK("https://organic.ams.usda.gov/Integrity/Certificate.aspx?cid=45&amp;nopid=9950001684")</f>
        <v>https://organic.ams.usda.gov/Integrity/Certificate.aspx?cid=45&amp;nopid=9950001684</v>
      </c>
    </row>
    <row r="1052">
      <c r="A1052" t="s">
        <v>3</v>
      </c>
      <c r="B1052" s="6" t="s">
        <v>7</v>
      </c>
      <c r="C1052" s="6" t="s">
        <v>54</v>
      </c>
      <c r="D1052" s="6" t="s">
        <v>100</v>
      </c>
      <c r="E1052" s="10" t="s">
        <v>1193</v>
      </c>
      <c r="F1052" s="6" t="s">
        <v>3921</v>
      </c>
      <c r="G1052" s="6" t="s">
        <v>81</v>
      </c>
      <c r="H1052" s="6" t="s">
        <v>6857</v>
      </c>
      <c r="I1052" s="6" t="s">
        <v>8887</v>
      </c>
      <c r="J1052" s="6" t="s">
        <v>10055</v>
      </c>
      <c r="K1052" s="6" t="s">
        <v>10886</v>
      </c>
      <c r="L1052" s="16" t="n">
        <v>44365</v>
      </c>
      <c r="M1052" s="16" t="n">
        <v>45716</v>
      </c>
      <c r="N1052" s="6" t="s">
        <v>10886</v>
      </c>
      <c r="O1052" s="16" t="n">
        <v>44365</v>
      </c>
      <c r="P1052" s="6" t="s">
        <v>11522</v>
      </c>
      <c r="Q1052" s="6" t="s">
        <v>81</v>
      </c>
      <c r="R1052" s="6" t="s">
        <v>81</v>
      </c>
      <c r="S1052" s="6" t="s">
        <v>10886</v>
      </c>
      <c r="T1052" s="16" t="n">
        <v>45218</v>
      </c>
      <c r="U1052" s="6" t="s">
        <v>13169</v>
      </c>
      <c r="V1052" s="6" t="s">
        <v>81</v>
      </c>
      <c r="W1052" s="6" t="s">
        <v>81</v>
      </c>
      <c r="X1052" s="6" t="s">
        <v>81</v>
      </c>
      <c r="Y1052" s="21" t="s">
        <v>81</v>
      </c>
      <c r="Z1052" s="6" t="s">
        <v>81</v>
      </c>
      <c r="AA1052" s="6" t="s">
        <v>81</v>
      </c>
      <c r="AB1052" s="6" t="s">
        <v>81</v>
      </c>
      <c r="AC1052" s="6" t="s">
        <v>81</v>
      </c>
      <c r="AD1052" s="21" t="s">
        <v>81</v>
      </c>
      <c r="AE1052" s="6" t="s">
        <v>81</v>
      </c>
      <c r="AF1052" s="6" t="s">
        <v>81</v>
      </c>
      <c r="AG1052" s="6" t="s">
        <v>81</v>
      </c>
      <c r="AH1052" s="6" t="s">
        <v>15625</v>
      </c>
      <c r="AI1052" s="6" t="s">
        <v>81</v>
      </c>
      <c r="AJ1052" s="6" t="s">
        <v>17874</v>
      </c>
      <c r="AK1052" s="6" t="s">
        <v>17712</v>
      </c>
      <c r="AL1052" s="6" t="s">
        <v>18444</v>
      </c>
      <c r="AM1052" s="6" t="s">
        <v>19057</v>
      </c>
      <c r="AN1052" s="6" t="s">
        <v>19643</v>
      </c>
      <c r="AO1052" s="6" t="s">
        <v>19766</v>
      </c>
      <c r="AP1052" s="6" t="s">
        <v>15625</v>
      </c>
      <c r="AQ1052" s="6" t="s">
        <v>81</v>
      </c>
      <c r="AR1052" s="6" t="s">
        <v>17874</v>
      </c>
      <c r="AS1052" s="6" t="s">
        <v>17712</v>
      </c>
      <c r="AT1052" s="6" t="s">
        <v>18444</v>
      </c>
      <c r="AU1052" s="6" t="s">
        <v>19057</v>
      </c>
      <c r="AV1052" s="6" t="s">
        <v>81</v>
      </c>
      <c r="AW1052" s="6" t="s">
        <v>81</v>
      </c>
      <c r="AX1052" s="6" t="s">
        <v>81</v>
      </c>
      <c r="AY1052" s="6" t="s">
        <v>81</v>
      </c>
      <c r="AZ1052" s="6" t="s">
        <v>81</v>
      </c>
      <c r="BA1052" s="6" t="s">
        <v>81</v>
      </c>
      <c r="BB1052" s="24" t="n">
        <v>154</v>
      </c>
      <c r="BC1052" s="26"/>
      <c r="BD1052" s="26"/>
      <c r="BE1052" s="26"/>
      <c r="BF1052" s="26"/>
      <c r="BG1052" s="26"/>
      <c r="BH1052" s="26"/>
      <c r="BI1052" s="26"/>
      <c r="BJ1052" s="26"/>
      <c r="BK1052" s="26"/>
      <c r="BL1052" s="26"/>
      <c r="BM1052" s="26"/>
      <c r="BN1052" s="26"/>
      <c r="BO1052" s="26"/>
      <c r="BP1052" s="16" t="n">
        <v>45595</v>
      </c>
      <c r="BQ1052" s="28" t="str">
        <f>HYPERLINK("https://organic.ams.usda.gov/Integrity/Certificate.aspx?cid=57&amp;nopid=3252017115")</f>
        <v>https://organic.ams.usda.gov/Integrity/Certificate.aspx?cid=57&amp;nopid=3252017115</v>
      </c>
    </row>
    <row r="1053">
      <c r="A1053" t="s">
        <v>3</v>
      </c>
      <c r="B1053" s="6" t="s">
        <v>16</v>
      </c>
      <c r="C1053" s="6" t="s">
        <v>63</v>
      </c>
      <c r="D1053" s="6" t="s">
        <v>109</v>
      </c>
      <c r="E1053" s="10" t="s">
        <v>1194</v>
      </c>
      <c r="F1053" s="6" t="s">
        <v>3922</v>
      </c>
      <c r="G1053" s="6" t="s">
        <v>81</v>
      </c>
      <c r="H1053" s="6" t="s">
        <v>6858</v>
      </c>
      <c r="I1053" s="6" t="s">
        <v>8633</v>
      </c>
      <c r="J1053" s="6" t="s">
        <v>8887</v>
      </c>
      <c r="K1053" s="6" t="s">
        <v>10886</v>
      </c>
      <c r="L1053" s="16" t="n">
        <v>37469</v>
      </c>
      <c r="M1053" s="16" t="n">
        <v>45731</v>
      </c>
      <c r="N1053" s="6" t="s">
        <v>10886</v>
      </c>
      <c r="O1053" s="16" t="n">
        <v>37469</v>
      </c>
      <c r="P1053" s="6" t="s">
        <v>11523</v>
      </c>
      <c r="Q1053" s="6" t="s">
        <v>81</v>
      </c>
      <c r="R1053" s="6" t="s">
        <v>81</v>
      </c>
      <c r="S1053" s="6" t="s">
        <v>10886</v>
      </c>
      <c r="T1053" s="16" t="n">
        <v>37469</v>
      </c>
      <c r="U1053" s="6" t="s">
        <v>13272</v>
      </c>
      <c r="V1053" s="6" t="s">
        <v>81</v>
      </c>
      <c r="W1053" s="6" t="s">
        <v>81</v>
      </c>
      <c r="X1053" s="6" t="s">
        <v>81</v>
      </c>
      <c r="Y1053" s="21" t="s">
        <v>81</v>
      </c>
      <c r="Z1053" s="6" t="s">
        <v>81</v>
      </c>
      <c r="AA1053" s="6" t="s">
        <v>81</v>
      </c>
      <c r="AB1053" s="6" t="s">
        <v>81</v>
      </c>
      <c r="AC1053" s="6" t="s">
        <v>10886</v>
      </c>
      <c r="AD1053" s="16" t="n">
        <v>37469</v>
      </c>
      <c r="AE1053" s="6" t="s">
        <v>81</v>
      </c>
      <c r="AF1053" s="6" t="s">
        <v>81</v>
      </c>
      <c r="AG1053" s="6" t="s">
        <v>81</v>
      </c>
      <c r="AH1053" s="6" t="s">
        <v>15626</v>
      </c>
      <c r="AI1053" s="6" t="s">
        <v>81</v>
      </c>
      <c r="AJ1053" s="6" t="s">
        <v>17875</v>
      </c>
      <c r="AK1053" s="6" t="s">
        <v>18383</v>
      </c>
      <c r="AL1053" s="6" t="s">
        <v>18444</v>
      </c>
      <c r="AM1053" s="6" t="s">
        <v>19058</v>
      </c>
      <c r="AN1053" s="6" t="s">
        <v>19693</v>
      </c>
      <c r="AO1053" s="6" t="s">
        <v>19963</v>
      </c>
      <c r="AP1053" s="6" t="s">
        <v>81</v>
      </c>
      <c r="AQ1053" s="6" t="s">
        <v>81</v>
      </c>
      <c r="AR1053" s="6" t="s">
        <v>81</v>
      </c>
      <c r="AS1053" s="6" t="s">
        <v>81</v>
      </c>
      <c r="AT1053" s="6" t="s">
        <v>81</v>
      </c>
      <c r="AU1053" s="6" t="s">
        <v>81</v>
      </c>
      <c r="AV1053" s="6" t="s">
        <v>81</v>
      </c>
      <c r="AW1053" s="6" t="s">
        <v>81</v>
      </c>
      <c r="AX1053" s="6" t="s">
        <v>21416</v>
      </c>
      <c r="AY1053" s="6" t="s">
        <v>81</v>
      </c>
      <c r="AZ1053" s="6" t="s">
        <v>81</v>
      </c>
      <c r="BA1053" s="6" t="s">
        <v>81</v>
      </c>
      <c r="BB1053" s="24" t="n">
        <v>489</v>
      </c>
      <c r="BC1053" s="26"/>
      <c r="BD1053" s="26"/>
      <c r="BE1053" s="26"/>
      <c r="BF1053" s="26"/>
      <c r="BG1053" s="26"/>
      <c r="BH1053" s="26"/>
      <c r="BI1053" s="26"/>
      <c r="BJ1053" s="26"/>
      <c r="BK1053" s="26"/>
      <c r="BL1053" s="26"/>
      <c r="BM1053" s="26"/>
      <c r="BN1053" s="26"/>
      <c r="BO1053" s="26"/>
      <c r="BP1053" s="16" t="n">
        <v>45701</v>
      </c>
      <c r="BQ1053" s="28" t="str">
        <f>HYPERLINK("https://organic.ams.usda.gov/Integrity/Certificate.aspx?cid=81&amp;nopid=4210020041")</f>
        <v>https://organic.ams.usda.gov/Integrity/Certificate.aspx?cid=81&amp;nopid=4210020041</v>
      </c>
    </row>
    <row r="1054">
      <c r="A1054" t="s">
        <v>3</v>
      </c>
      <c r="B1054" s="6" t="s">
        <v>12</v>
      </c>
      <c r="C1054" s="6" t="s">
        <v>59</v>
      </c>
      <c r="D1054" s="6" t="s">
        <v>105</v>
      </c>
      <c r="E1054" s="10" t="s">
        <v>1195</v>
      </c>
      <c r="F1054" s="6" t="s">
        <v>3923</v>
      </c>
      <c r="G1054" s="6" t="s">
        <v>81</v>
      </c>
      <c r="H1054" s="6" t="s">
        <v>6859</v>
      </c>
      <c r="I1054" s="6" t="s">
        <v>8887</v>
      </c>
      <c r="J1054" s="6" t="s">
        <v>9666</v>
      </c>
      <c r="K1054" s="6" t="s">
        <v>10886</v>
      </c>
      <c r="L1054" s="16" t="n">
        <v>43819</v>
      </c>
      <c r="M1054" s="16" t="n">
        <v>45717</v>
      </c>
      <c r="N1054" s="6" t="s">
        <v>10886</v>
      </c>
      <c r="O1054" s="16" t="n">
        <v>43819</v>
      </c>
      <c r="P1054" s="6" t="s">
        <v>11524</v>
      </c>
      <c r="Q1054" s="6" t="s">
        <v>81</v>
      </c>
      <c r="R1054" s="6" t="s">
        <v>81</v>
      </c>
      <c r="S1054" s="6" t="s">
        <v>10886</v>
      </c>
      <c r="T1054" s="16" t="n">
        <v>43819</v>
      </c>
      <c r="U1054" s="6" t="s">
        <v>13183</v>
      </c>
      <c r="V1054" s="6" t="s">
        <v>81</v>
      </c>
      <c r="W1054" s="6" t="s">
        <v>81</v>
      </c>
      <c r="X1054" s="6" t="s">
        <v>81</v>
      </c>
      <c r="Y1054" s="21" t="s">
        <v>81</v>
      </c>
      <c r="Z1054" s="6" t="s">
        <v>81</v>
      </c>
      <c r="AA1054" s="6" t="s">
        <v>81</v>
      </c>
      <c r="AB1054" s="6" t="s">
        <v>81</v>
      </c>
      <c r="AC1054" s="6" t="s">
        <v>81</v>
      </c>
      <c r="AD1054" s="21" t="s">
        <v>81</v>
      </c>
      <c r="AE1054" s="6" t="s">
        <v>81</v>
      </c>
      <c r="AF1054" s="6" t="s">
        <v>81</v>
      </c>
      <c r="AG1054" s="6" t="s">
        <v>81</v>
      </c>
      <c r="AH1054" s="6" t="s">
        <v>15627</v>
      </c>
      <c r="AI1054" s="6" t="s">
        <v>81</v>
      </c>
      <c r="AJ1054" s="6" t="s">
        <v>17758</v>
      </c>
      <c r="AK1054" s="6" t="s">
        <v>18380</v>
      </c>
      <c r="AL1054" s="6" t="s">
        <v>18444</v>
      </c>
      <c r="AM1054" s="6" t="s">
        <v>18930</v>
      </c>
      <c r="AN1054" s="6" t="s">
        <v>19681</v>
      </c>
      <c r="AO1054" s="6" t="s">
        <v>19805</v>
      </c>
      <c r="AP1054" s="6" t="s">
        <v>15627</v>
      </c>
      <c r="AQ1054" s="6" t="s">
        <v>81</v>
      </c>
      <c r="AR1054" s="6" t="s">
        <v>17758</v>
      </c>
      <c r="AS1054" s="6" t="s">
        <v>18380</v>
      </c>
      <c r="AT1054" s="6" t="s">
        <v>18444</v>
      </c>
      <c r="AU1054" s="6" t="s">
        <v>18930</v>
      </c>
      <c r="AV1054" s="6" t="s">
        <v>81</v>
      </c>
      <c r="AW1054" s="6" t="s">
        <v>81</v>
      </c>
      <c r="AX1054" s="6" t="s">
        <v>21248</v>
      </c>
      <c r="AY1054" s="6" t="s">
        <v>81</v>
      </c>
      <c r="AZ1054" s="6" t="s">
        <v>81</v>
      </c>
      <c r="BA1054" s="6" t="s">
        <v>81</v>
      </c>
      <c r="BB1054" s="24" t="n">
        <v>124</v>
      </c>
      <c r="BC1054" s="26"/>
      <c r="BD1054" s="26"/>
      <c r="BE1054" s="26"/>
      <c r="BF1054" s="26"/>
      <c r="BG1054" s="26"/>
      <c r="BH1054" s="26"/>
      <c r="BI1054" s="26"/>
      <c r="BJ1054" s="26"/>
      <c r="BK1054" s="26"/>
      <c r="BL1054" s="26"/>
      <c r="BM1054" s="26"/>
      <c r="BN1054" s="26"/>
      <c r="BO1054" s="26"/>
      <c r="BP1054" s="16" t="n">
        <v>45684</v>
      </c>
      <c r="BQ1054" s="28" t="str">
        <f>HYPERLINK("https://organic.ams.usda.gov/Integrity/Certificate.aspx?cid=68&amp;nopid=8210007064")</f>
        <v>https://organic.ams.usda.gov/Integrity/Certificate.aspx?cid=68&amp;nopid=8210007064</v>
      </c>
    </row>
    <row r="1055">
      <c r="A1055" t="s">
        <v>3</v>
      </c>
      <c r="B1055" s="6" t="s">
        <v>30</v>
      </c>
      <c r="C1055" s="6" t="s">
        <v>77</v>
      </c>
      <c r="D1055" s="6" t="s">
        <v>123</v>
      </c>
      <c r="E1055" s="10" t="s">
        <v>1196</v>
      </c>
      <c r="F1055" s="6" t="s">
        <v>3924</v>
      </c>
      <c r="G1055" s="6" t="s">
        <v>81</v>
      </c>
      <c r="H1055" s="6" t="s">
        <v>6860</v>
      </c>
      <c r="I1055" s="6" t="s">
        <v>8996</v>
      </c>
      <c r="J1055" s="6" t="s">
        <v>9960</v>
      </c>
      <c r="K1055" s="6" t="s">
        <v>10886</v>
      </c>
      <c r="L1055" s="16" t="n">
        <v>39189</v>
      </c>
      <c r="M1055" s="16" t="n">
        <v>45747</v>
      </c>
      <c r="N1055" s="6" t="s">
        <v>10886</v>
      </c>
      <c r="O1055" s="16" t="n">
        <v>39189</v>
      </c>
      <c r="P1055" s="6" t="s">
        <v>11382</v>
      </c>
      <c r="Q1055" s="6" t="s">
        <v>81</v>
      </c>
      <c r="R1055" s="6" t="s">
        <v>6860</v>
      </c>
      <c r="S1055" s="6" t="s">
        <v>10886</v>
      </c>
      <c r="T1055" s="16" t="n">
        <v>39189</v>
      </c>
      <c r="U1055" s="6" t="s">
        <v>13216</v>
      </c>
      <c r="V1055" s="6" t="s">
        <v>81</v>
      </c>
      <c r="W1055" s="6" t="s">
        <v>6860</v>
      </c>
      <c r="X1055" s="6" t="s">
        <v>81</v>
      </c>
      <c r="Y1055" s="21" t="s">
        <v>81</v>
      </c>
      <c r="Z1055" s="6" t="s">
        <v>81</v>
      </c>
      <c r="AA1055" s="6" t="s">
        <v>81</v>
      </c>
      <c r="AB1055" s="6" t="s">
        <v>81</v>
      </c>
      <c r="AC1055" s="6" t="s">
        <v>81</v>
      </c>
      <c r="AD1055" s="21" t="s">
        <v>81</v>
      </c>
      <c r="AE1055" s="6" t="s">
        <v>81</v>
      </c>
      <c r="AF1055" s="6" t="s">
        <v>81</v>
      </c>
      <c r="AG1055" s="6" t="s">
        <v>81</v>
      </c>
      <c r="AH1055" s="6" t="s">
        <v>15628</v>
      </c>
      <c r="AI1055" s="6" t="s">
        <v>81</v>
      </c>
      <c r="AJ1055" s="6" t="s">
        <v>17406</v>
      </c>
      <c r="AK1055" s="6" t="s">
        <v>17712</v>
      </c>
      <c r="AL1055" s="6" t="s">
        <v>18444</v>
      </c>
      <c r="AM1055" s="6" t="s">
        <v>18562</v>
      </c>
      <c r="AN1055" s="6" t="s">
        <v>19657</v>
      </c>
      <c r="AO1055" s="6" t="s">
        <v>19751</v>
      </c>
      <c r="AP1055" s="6" t="s">
        <v>15628</v>
      </c>
      <c r="AQ1055" s="6" t="s">
        <v>81</v>
      </c>
      <c r="AR1055" s="6" t="s">
        <v>17406</v>
      </c>
      <c r="AS1055" s="6" t="s">
        <v>17712</v>
      </c>
      <c r="AT1055" s="6" t="s">
        <v>18444</v>
      </c>
      <c r="AU1055" s="6" t="s">
        <v>18562</v>
      </c>
      <c r="AV1055" s="6" t="s">
        <v>81</v>
      </c>
      <c r="AW1055" s="6" t="s">
        <v>81</v>
      </c>
      <c r="AX1055" s="6" t="s">
        <v>81</v>
      </c>
      <c r="AY1055" s="6" t="s">
        <v>81</v>
      </c>
      <c r="AZ1055" s="6" t="s">
        <v>81</v>
      </c>
      <c r="BA1055" s="6" t="s">
        <v>81</v>
      </c>
      <c r="BB1055" s="24" t="n">
        <v>188</v>
      </c>
      <c r="BC1055" s="26"/>
      <c r="BD1055" s="26"/>
      <c r="BE1055" s="26"/>
      <c r="BF1055" s="26"/>
      <c r="BG1055" s="26"/>
      <c r="BH1055" s="26"/>
      <c r="BI1055" s="26"/>
      <c r="BJ1055" s="26"/>
      <c r="BK1055" s="26"/>
      <c r="BL1055" s="26"/>
      <c r="BM1055" s="26"/>
      <c r="BN1055" s="26"/>
      <c r="BO1055" s="26"/>
      <c r="BP1055" s="16" t="n">
        <v>45595</v>
      </c>
      <c r="BQ1055" s="28" t="str">
        <f>HYPERLINK("https://organic.ams.usda.gov/Integrity/Certificate.aspx?cid=70&amp;nopid=6430713930")</f>
        <v>https://organic.ams.usda.gov/Integrity/Certificate.aspx?cid=70&amp;nopid=6430713930</v>
      </c>
    </row>
    <row r="1056">
      <c r="A1056" t="s">
        <v>3</v>
      </c>
      <c r="B1056" s="6" t="s">
        <v>9</v>
      </c>
      <c r="C1056" s="6" t="s">
        <v>56</v>
      </c>
      <c r="D1056" s="6" t="s">
        <v>102</v>
      </c>
      <c r="E1056" s="10" t="s">
        <v>1197</v>
      </c>
      <c r="F1056" s="6" t="s">
        <v>3925</v>
      </c>
      <c r="G1056" s="6" t="s">
        <v>81</v>
      </c>
      <c r="H1056" s="6" t="s">
        <v>6861</v>
      </c>
      <c r="I1056" s="6" t="s">
        <v>8997</v>
      </c>
      <c r="J1056" s="6" t="s">
        <v>9666</v>
      </c>
      <c r="K1056" s="6" t="s">
        <v>10886</v>
      </c>
      <c r="L1056" s="16" t="n">
        <v>43189</v>
      </c>
      <c r="M1056" s="16" t="n">
        <v>45748</v>
      </c>
      <c r="N1056" s="6" t="s">
        <v>10886</v>
      </c>
      <c r="O1056" s="16" t="n">
        <v>43189</v>
      </c>
      <c r="P1056" s="6" t="s">
        <v>10913</v>
      </c>
      <c r="Q1056" s="6" t="s">
        <v>81</v>
      </c>
      <c r="R1056" s="6" t="s">
        <v>12720</v>
      </c>
      <c r="S1056" s="6" t="s">
        <v>10886</v>
      </c>
      <c r="T1056" s="16" t="n">
        <v>43189</v>
      </c>
      <c r="U1056" s="6" t="s">
        <v>13176</v>
      </c>
      <c r="V1056" s="6" t="s">
        <v>81</v>
      </c>
      <c r="W1056" s="6" t="s">
        <v>12720</v>
      </c>
      <c r="X1056" s="6" t="s">
        <v>81</v>
      </c>
      <c r="Y1056" s="21" t="s">
        <v>81</v>
      </c>
      <c r="Z1056" s="6" t="s">
        <v>81</v>
      </c>
      <c r="AA1056" s="6" t="s">
        <v>81</v>
      </c>
      <c r="AB1056" s="6" t="s">
        <v>81</v>
      </c>
      <c r="AC1056" s="6" t="s">
        <v>81</v>
      </c>
      <c r="AD1056" s="21" t="s">
        <v>81</v>
      </c>
      <c r="AE1056" s="6" t="s">
        <v>81</v>
      </c>
      <c r="AF1056" s="6" t="s">
        <v>81</v>
      </c>
      <c r="AG1056" s="6" t="s">
        <v>81</v>
      </c>
      <c r="AH1056" s="6" t="s">
        <v>15629</v>
      </c>
      <c r="AI1056" s="6" t="s">
        <v>81</v>
      </c>
      <c r="AJ1056" s="6" t="s">
        <v>17366</v>
      </c>
      <c r="AK1056" s="6" t="s">
        <v>18381</v>
      </c>
      <c r="AL1056" s="6" t="s">
        <v>18444</v>
      </c>
      <c r="AM1056" s="6" t="s">
        <v>18518</v>
      </c>
      <c r="AN1056" s="6" t="s">
        <v>19676</v>
      </c>
      <c r="AO1056" s="6" t="s">
        <v>19797</v>
      </c>
      <c r="AP1056" s="6" t="s">
        <v>81</v>
      </c>
      <c r="AQ1056" s="6" t="s">
        <v>81</v>
      </c>
      <c r="AR1056" s="6" t="s">
        <v>81</v>
      </c>
      <c r="AS1056" s="6" t="s">
        <v>81</v>
      </c>
      <c r="AT1056" s="6" t="s">
        <v>81</v>
      </c>
      <c r="AU1056" s="6" t="s">
        <v>81</v>
      </c>
      <c r="AV1056" s="6" t="s">
        <v>81</v>
      </c>
      <c r="AW1056" s="6" t="s">
        <v>81</v>
      </c>
      <c r="AX1056" s="6" t="s">
        <v>81</v>
      </c>
      <c r="AY1056" s="6" t="s">
        <v>81</v>
      </c>
      <c r="AZ1056" s="6" t="s">
        <v>81</v>
      </c>
      <c r="BA1056" s="6" t="s">
        <v>23837</v>
      </c>
      <c r="BB1056" s="24" t="n">
        <v>111</v>
      </c>
      <c r="BC1056" s="26"/>
      <c r="BD1056" s="26"/>
      <c r="BE1056" s="26"/>
      <c r="BF1056" s="26"/>
      <c r="BG1056" s="26"/>
      <c r="BH1056" s="26"/>
      <c r="BI1056" s="26"/>
      <c r="BJ1056" s="26"/>
      <c r="BK1056" s="26"/>
      <c r="BL1056" s="26"/>
      <c r="BM1056" s="26"/>
      <c r="BN1056" s="26"/>
      <c r="BO1056" s="26"/>
      <c r="BP1056" s="16" t="n">
        <v>45738</v>
      </c>
      <c r="BQ1056" s="28" t="str">
        <f>HYPERLINK("https://organic.ams.usda.gov/Integrity/Certificate.aspx?cid=52&amp;nopid=8431801398")</f>
        <v>https://organic.ams.usda.gov/Integrity/Certificate.aspx?cid=52&amp;nopid=8431801398</v>
      </c>
    </row>
    <row r="1057">
      <c r="A1057" t="s">
        <v>3</v>
      </c>
      <c r="B1057" s="6" t="s">
        <v>12</v>
      </c>
      <c r="C1057" s="6" t="s">
        <v>59</v>
      </c>
      <c r="D1057" s="6" t="s">
        <v>105</v>
      </c>
      <c r="E1057" s="10" t="s">
        <v>1198</v>
      </c>
      <c r="F1057" s="6" t="s">
        <v>3926</v>
      </c>
      <c r="G1057" s="6" t="s">
        <v>81</v>
      </c>
      <c r="H1057" s="6" t="s">
        <v>6862</v>
      </c>
      <c r="I1057" s="6" t="s">
        <v>8998</v>
      </c>
      <c r="J1057" s="6" t="s">
        <v>9679</v>
      </c>
      <c r="K1057" s="6" t="s">
        <v>10886</v>
      </c>
      <c r="L1057" s="16" t="n">
        <v>43182</v>
      </c>
      <c r="M1057" s="16" t="n">
        <v>45717</v>
      </c>
      <c r="N1057" s="6" t="s">
        <v>10886</v>
      </c>
      <c r="O1057" s="16" t="n">
        <v>43182</v>
      </c>
      <c r="P1057" s="6" t="s">
        <v>11066</v>
      </c>
      <c r="Q1057" s="6" t="s">
        <v>81</v>
      </c>
      <c r="R1057" s="6" t="s">
        <v>81</v>
      </c>
      <c r="S1057" s="6" t="s">
        <v>10886</v>
      </c>
      <c r="T1057" s="16" t="n">
        <v>43182</v>
      </c>
      <c r="U1057" s="6" t="s">
        <v>13166</v>
      </c>
      <c r="V1057" s="6" t="s">
        <v>81</v>
      </c>
      <c r="W1057" s="6" t="s">
        <v>81</v>
      </c>
      <c r="X1057" s="6" t="s">
        <v>81</v>
      </c>
      <c r="Y1057" s="21" t="s">
        <v>81</v>
      </c>
      <c r="Z1057" s="6" t="s">
        <v>81</v>
      </c>
      <c r="AA1057" s="6" t="s">
        <v>81</v>
      </c>
      <c r="AB1057" s="6" t="s">
        <v>81</v>
      </c>
      <c r="AC1057" s="6" t="s">
        <v>81</v>
      </c>
      <c r="AD1057" s="21" t="s">
        <v>81</v>
      </c>
      <c r="AE1057" s="6" t="s">
        <v>81</v>
      </c>
      <c r="AF1057" s="6" t="s">
        <v>81</v>
      </c>
      <c r="AG1057" s="6" t="s">
        <v>81</v>
      </c>
      <c r="AH1057" s="6" t="s">
        <v>15630</v>
      </c>
      <c r="AI1057" s="6" t="s">
        <v>81</v>
      </c>
      <c r="AJ1057" s="6" t="s">
        <v>17413</v>
      </c>
      <c r="AK1057" s="6" t="s">
        <v>18380</v>
      </c>
      <c r="AL1057" s="6" t="s">
        <v>18444</v>
      </c>
      <c r="AM1057" s="6" t="s">
        <v>18569</v>
      </c>
      <c r="AN1057" s="6" t="s">
        <v>19639</v>
      </c>
      <c r="AO1057" s="6" t="s">
        <v>19725</v>
      </c>
      <c r="AP1057" s="6" t="s">
        <v>15630</v>
      </c>
      <c r="AQ1057" s="6" t="s">
        <v>81</v>
      </c>
      <c r="AR1057" s="6" t="s">
        <v>17413</v>
      </c>
      <c r="AS1057" s="6" t="s">
        <v>18380</v>
      </c>
      <c r="AT1057" s="6" t="s">
        <v>18444</v>
      </c>
      <c r="AU1057" s="6" t="s">
        <v>18569</v>
      </c>
      <c r="AV1057" s="6" t="s">
        <v>81</v>
      </c>
      <c r="AW1057" s="6" t="s">
        <v>81</v>
      </c>
      <c r="AX1057" s="6" t="s">
        <v>21417</v>
      </c>
      <c r="AY1057" s="6" t="s">
        <v>81</v>
      </c>
      <c r="AZ1057" s="6" t="s">
        <v>81</v>
      </c>
      <c r="BA1057" s="6" t="s">
        <v>81</v>
      </c>
      <c r="BB1057" s="24" t="n">
        <v>66</v>
      </c>
      <c r="BC1057" s="26"/>
      <c r="BD1057" s="26"/>
      <c r="BE1057" s="26"/>
      <c r="BF1057" s="26"/>
      <c r="BG1057" s="26"/>
      <c r="BH1057" s="26"/>
      <c r="BI1057" s="26"/>
      <c r="BJ1057" s="26"/>
      <c r="BK1057" s="26"/>
      <c r="BL1057" s="26"/>
      <c r="BM1057" s="26"/>
      <c r="BN1057" s="26"/>
      <c r="BO1057" s="26"/>
      <c r="BP1057" s="16" t="n">
        <v>45684</v>
      </c>
      <c r="BQ1057" s="28" t="str">
        <f>HYPERLINK("https://organic.ams.usda.gov/Integrity/Certificate.aspx?cid=68&amp;nopid=8210006180")</f>
        <v>https://organic.ams.usda.gov/Integrity/Certificate.aspx?cid=68&amp;nopid=8210006180</v>
      </c>
    </row>
    <row r="1058">
      <c r="A1058" t="s">
        <v>3</v>
      </c>
      <c r="B1058" s="6" t="s">
        <v>7</v>
      </c>
      <c r="C1058" s="6" t="s">
        <v>54</v>
      </c>
      <c r="D1058" s="6" t="s">
        <v>100</v>
      </c>
      <c r="E1058" s="10" t="s">
        <v>1199</v>
      </c>
      <c r="F1058" s="6" t="s">
        <v>3927</v>
      </c>
      <c r="G1058" s="6" t="s">
        <v>81</v>
      </c>
      <c r="H1058" s="6" t="s">
        <v>6863</v>
      </c>
      <c r="I1058" s="6" t="s">
        <v>8887</v>
      </c>
      <c r="J1058" s="6" t="s">
        <v>9671</v>
      </c>
      <c r="K1058" s="6" t="s">
        <v>10886</v>
      </c>
      <c r="L1058" s="16" t="n">
        <v>45610</v>
      </c>
      <c r="M1058" s="16" t="n">
        <v>45716</v>
      </c>
      <c r="N1058" s="6" t="s">
        <v>10886</v>
      </c>
      <c r="O1058" s="16" t="n">
        <v>45610</v>
      </c>
      <c r="P1058" s="6" t="s">
        <v>11525</v>
      </c>
      <c r="Q1058" s="6" t="s">
        <v>81</v>
      </c>
      <c r="R1058" s="6" t="s">
        <v>81</v>
      </c>
      <c r="S1058" s="6" t="s">
        <v>10886</v>
      </c>
      <c r="T1058" s="16" t="n">
        <v>45610</v>
      </c>
      <c r="U1058" s="6" t="s">
        <v>13169</v>
      </c>
      <c r="V1058" s="6" t="s">
        <v>81</v>
      </c>
      <c r="W1058" s="6" t="s">
        <v>81</v>
      </c>
      <c r="X1058" s="6" t="s">
        <v>81</v>
      </c>
      <c r="Y1058" s="21" t="s">
        <v>81</v>
      </c>
      <c r="Z1058" s="6" t="s">
        <v>81</v>
      </c>
      <c r="AA1058" s="6" t="s">
        <v>81</v>
      </c>
      <c r="AB1058" s="6" t="s">
        <v>81</v>
      </c>
      <c r="AC1058" s="6" t="s">
        <v>81</v>
      </c>
      <c r="AD1058" s="21" t="s">
        <v>81</v>
      </c>
      <c r="AE1058" s="6" t="s">
        <v>81</v>
      </c>
      <c r="AF1058" s="6" t="s">
        <v>81</v>
      </c>
      <c r="AG1058" s="6" t="s">
        <v>81</v>
      </c>
      <c r="AH1058" s="6" t="s">
        <v>15631</v>
      </c>
      <c r="AI1058" s="6" t="s">
        <v>81</v>
      </c>
      <c r="AJ1058" s="6" t="s">
        <v>17876</v>
      </c>
      <c r="AK1058" s="6" t="s">
        <v>18380</v>
      </c>
      <c r="AL1058" s="6" t="s">
        <v>18444</v>
      </c>
      <c r="AM1058" s="6" t="s">
        <v>19059</v>
      </c>
      <c r="AN1058" s="6" t="s">
        <v>81</v>
      </c>
      <c r="AO1058" s="6" t="s">
        <v>81</v>
      </c>
      <c r="AP1058" s="6" t="s">
        <v>15631</v>
      </c>
      <c r="AQ1058" s="6" t="s">
        <v>81</v>
      </c>
      <c r="AR1058" s="6" t="s">
        <v>17876</v>
      </c>
      <c r="AS1058" s="6" t="s">
        <v>18380</v>
      </c>
      <c r="AT1058" s="6" t="s">
        <v>18444</v>
      </c>
      <c r="AU1058" s="6" t="s">
        <v>19059</v>
      </c>
      <c r="AV1058" s="6" t="s">
        <v>81</v>
      </c>
      <c r="AW1058" s="6" t="s">
        <v>81</v>
      </c>
      <c r="AX1058" s="6" t="s">
        <v>21418</v>
      </c>
      <c r="AY1058" s="6" t="s">
        <v>81</v>
      </c>
      <c r="AZ1058" s="6" t="s">
        <v>81</v>
      </c>
      <c r="BA1058" s="6" t="s">
        <v>81</v>
      </c>
      <c r="BB1058" s="24" t="n">
        <v>53</v>
      </c>
      <c r="BC1058" s="26"/>
      <c r="BD1058" s="26"/>
      <c r="BE1058" s="26"/>
      <c r="BF1058" s="26" t="s">
        <v>23900</v>
      </c>
      <c r="BG1058" s="26"/>
      <c r="BH1058" s="26"/>
      <c r="BI1058" s="26"/>
      <c r="BJ1058" s="26"/>
      <c r="BK1058" s="26"/>
      <c r="BL1058" s="26"/>
      <c r="BM1058" s="26"/>
      <c r="BN1058" s="26"/>
      <c r="BO1058" s="26"/>
      <c r="BP1058" s="16" t="n">
        <v>45616</v>
      </c>
      <c r="BQ1058" s="28" t="str">
        <f>HYPERLINK("https://organic.ams.usda.gov/Integrity/Certificate.aspx?cid=57&amp;nopid=3252024097")</f>
        <v>https://organic.ams.usda.gov/Integrity/Certificate.aspx?cid=57&amp;nopid=3252024097</v>
      </c>
    </row>
    <row r="1059">
      <c r="A1059" t="s">
        <v>3</v>
      </c>
      <c r="B1059" s="6" t="s">
        <v>12</v>
      </c>
      <c r="C1059" s="6" t="s">
        <v>59</v>
      </c>
      <c r="D1059" s="6" t="s">
        <v>105</v>
      </c>
      <c r="E1059" s="10" t="s">
        <v>1200</v>
      </c>
      <c r="F1059" s="6" t="s">
        <v>3928</v>
      </c>
      <c r="G1059" s="6" t="s">
        <v>81</v>
      </c>
      <c r="H1059" s="6" t="s">
        <v>6864</v>
      </c>
      <c r="I1059" s="6" t="s">
        <v>8999</v>
      </c>
      <c r="J1059" s="6" t="s">
        <v>10055</v>
      </c>
      <c r="K1059" s="6" t="s">
        <v>10886</v>
      </c>
      <c r="L1059" s="16" t="n">
        <v>42173</v>
      </c>
      <c r="M1059" s="16" t="n">
        <v>45717</v>
      </c>
      <c r="N1059" s="6" t="s">
        <v>10886</v>
      </c>
      <c r="O1059" s="16" t="n">
        <v>42173</v>
      </c>
      <c r="P1059" s="6" t="s">
        <v>11526</v>
      </c>
      <c r="Q1059" s="6" t="s">
        <v>81</v>
      </c>
      <c r="R1059" s="6" t="s">
        <v>81</v>
      </c>
      <c r="S1059" s="6" t="s">
        <v>10886</v>
      </c>
      <c r="T1059" s="16" t="n">
        <v>42173</v>
      </c>
      <c r="U1059" s="6" t="s">
        <v>13183</v>
      </c>
      <c r="V1059" s="6" t="s">
        <v>81</v>
      </c>
      <c r="W1059" s="6" t="s">
        <v>81</v>
      </c>
      <c r="X1059" s="6" t="s">
        <v>81</v>
      </c>
      <c r="Y1059" s="21" t="s">
        <v>81</v>
      </c>
      <c r="Z1059" s="6" t="s">
        <v>81</v>
      </c>
      <c r="AA1059" s="6" t="s">
        <v>81</v>
      </c>
      <c r="AB1059" s="6" t="s">
        <v>81</v>
      </c>
      <c r="AC1059" s="6" t="s">
        <v>81</v>
      </c>
      <c r="AD1059" s="21" t="s">
        <v>81</v>
      </c>
      <c r="AE1059" s="6" t="s">
        <v>81</v>
      </c>
      <c r="AF1059" s="6" t="s">
        <v>81</v>
      </c>
      <c r="AG1059" s="6" t="s">
        <v>81</v>
      </c>
      <c r="AH1059" s="6" t="s">
        <v>15632</v>
      </c>
      <c r="AI1059" s="6" t="s">
        <v>81</v>
      </c>
      <c r="AJ1059" s="6" t="s">
        <v>17650</v>
      </c>
      <c r="AK1059" s="6" t="s">
        <v>18380</v>
      </c>
      <c r="AL1059" s="6" t="s">
        <v>18444</v>
      </c>
      <c r="AM1059" s="6" t="s">
        <v>18820</v>
      </c>
      <c r="AN1059" s="6" t="s">
        <v>19681</v>
      </c>
      <c r="AO1059" s="6" t="s">
        <v>19805</v>
      </c>
      <c r="AP1059" s="6" t="s">
        <v>15632</v>
      </c>
      <c r="AQ1059" s="6" t="s">
        <v>81</v>
      </c>
      <c r="AR1059" s="6" t="s">
        <v>17650</v>
      </c>
      <c r="AS1059" s="6" t="s">
        <v>18380</v>
      </c>
      <c r="AT1059" s="6" t="s">
        <v>18444</v>
      </c>
      <c r="AU1059" s="6" t="s">
        <v>18820</v>
      </c>
      <c r="AV1059" s="6" t="s">
        <v>81</v>
      </c>
      <c r="AW1059" s="6" t="s">
        <v>81</v>
      </c>
      <c r="AX1059" s="6" t="s">
        <v>21419</v>
      </c>
      <c r="AY1059" s="6" t="s">
        <v>81</v>
      </c>
      <c r="AZ1059" s="6" t="s">
        <v>81</v>
      </c>
      <c r="BA1059" s="6" t="s">
        <v>81</v>
      </c>
      <c r="BB1059" s="24" t="n">
        <v>117</v>
      </c>
      <c r="BC1059" s="26"/>
      <c r="BD1059" s="26"/>
      <c r="BE1059" s="26"/>
      <c r="BF1059" s="26"/>
      <c r="BG1059" s="26"/>
      <c r="BH1059" s="26"/>
      <c r="BI1059" s="26"/>
      <c r="BJ1059" s="26"/>
      <c r="BK1059" s="26"/>
      <c r="BL1059" s="26"/>
      <c r="BM1059" s="26"/>
      <c r="BN1059" s="26"/>
      <c r="BO1059" s="26"/>
      <c r="BP1059" s="16" t="n">
        <v>45684</v>
      </c>
      <c r="BQ1059" s="28" t="str">
        <f>HYPERLINK("https://organic.ams.usda.gov/Integrity/Certificate.aspx?cid=68&amp;nopid=8210002765")</f>
        <v>https://organic.ams.usda.gov/Integrity/Certificate.aspx?cid=68&amp;nopid=8210002765</v>
      </c>
    </row>
    <row r="1060">
      <c r="A1060" t="s">
        <v>3</v>
      </c>
      <c r="B1060" s="6" t="s">
        <v>7</v>
      </c>
      <c r="C1060" s="6" t="s">
        <v>54</v>
      </c>
      <c r="D1060" s="6" t="s">
        <v>100</v>
      </c>
      <c r="E1060" s="10" t="s">
        <v>1201</v>
      </c>
      <c r="F1060" s="6" t="s">
        <v>3929</v>
      </c>
      <c r="G1060" s="6" t="s">
        <v>81</v>
      </c>
      <c r="H1060" s="6" t="s">
        <v>6865</v>
      </c>
      <c r="I1060" s="6" t="s">
        <v>8887</v>
      </c>
      <c r="J1060" s="6" t="s">
        <v>9805</v>
      </c>
      <c r="K1060" s="6" t="s">
        <v>10886</v>
      </c>
      <c r="L1060" s="16" t="n">
        <v>44103</v>
      </c>
      <c r="M1060" s="16" t="n">
        <v>45716</v>
      </c>
      <c r="N1060" s="6" t="s">
        <v>10886</v>
      </c>
      <c r="O1060" s="16" t="n">
        <v>44103</v>
      </c>
      <c r="P1060" s="6" t="s">
        <v>11527</v>
      </c>
      <c r="Q1060" s="6" t="s">
        <v>81</v>
      </c>
      <c r="R1060" s="6" t="s">
        <v>81</v>
      </c>
      <c r="S1060" s="6" t="s">
        <v>10886</v>
      </c>
      <c r="T1060" s="16" t="n">
        <v>44103</v>
      </c>
      <c r="U1060" s="6" t="s">
        <v>13169</v>
      </c>
      <c r="V1060" s="6" t="s">
        <v>81</v>
      </c>
      <c r="W1060" s="6" t="s">
        <v>81</v>
      </c>
      <c r="X1060" s="6" t="s">
        <v>81</v>
      </c>
      <c r="Y1060" s="21" t="s">
        <v>81</v>
      </c>
      <c r="Z1060" s="6" t="s">
        <v>81</v>
      </c>
      <c r="AA1060" s="6" t="s">
        <v>81</v>
      </c>
      <c r="AB1060" s="6" t="s">
        <v>81</v>
      </c>
      <c r="AC1060" s="6" t="s">
        <v>81</v>
      </c>
      <c r="AD1060" s="21" t="s">
        <v>81</v>
      </c>
      <c r="AE1060" s="6" t="s">
        <v>81</v>
      </c>
      <c r="AF1060" s="6" t="s">
        <v>81</v>
      </c>
      <c r="AG1060" s="6" t="s">
        <v>81</v>
      </c>
      <c r="AH1060" s="6" t="s">
        <v>15633</v>
      </c>
      <c r="AI1060" s="6" t="s">
        <v>81</v>
      </c>
      <c r="AJ1060" s="6" t="s">
        <v>17648</v>
      </c>
      <c r="AK1060" s="6" t="s">
        <v>17712</v>
      </c>
      <c r="AL1060" s="6" t="s">
        <v>18444</v>
      </c>
      <c r="AM1060" s="6" t="s">
        <v>18817</v>
      </c>
      <c r="AN1060" s="6" t="s">
        <v>19670</v>
      </c>
      <c r="AO1060" s="6" t="s">
        <v>19782</v>
      </c>
      <c r="AP1060" s="6" t="s">
        <v>15633</v>
      </c>
      <c r="AQ1060" s="6" t="s">
        <v>81</v>
      </c>
      <c r="AR1060" s="6" t="s">
        <v>17648</v>
      </c>
      <c r="AS1060" s="6" t="s">
        <v>17712</v>
      </c>
      <c r="AT1060" s="6" t="s">
        <v>18444</v>
      </c>
      <c r="AU1060" s="6" t="s">
        <v>18817</v>
      </c>
      <c r="AV1060" s="6" t="s">
        <v>81</v>
      </c>
      <c r="AW1060" s="6" t="s">
        <v>81</v>
      </c>
      <c r="AX1060" s="6" t="s">
        <v>81</v>
      </c>
      <c r="AY1060" s="6" t="s">
        <v>81</v>
      </c>
      <c r="AZ1060" s="6" t="s">
        <v>81</v>
      </c>
      <c r="BA1060" s="6" t="s">
        <v>81</v>
      </c>
      <c r="BB1060" s="24" t="n">
        <v>182</v>
      </c>
      <c r="BC1060" s="26"/>
      <c r="BD1060" s="26"/>
      <c r="BE1060" s="26"/>
      <c r="BF1060" s="26"/>
      <c r="BG1060" s="26"/>
      <c r="BH1060" s="26"/>
      <c r="BI1060" s="26"/>
      <c r="BJ1060" s="26"/>
      <c r="BK1060" s="26"/>
      <c r="BL1060" s="26"/>
      <c r="BM1060" s="26"/>
      <c r="BN1060" s="26"/>
      <c r="BO1060" s="26"/>
      <c r="BP1060" s="16" t="n">
        <v>45595</v>
      </c>
      <c r="BQ1060" s="28" t="str">
        <f>HYPERLINK("https://organic.ams.usda.gov/Integrity/Certificate.aspx?cid=57&amp;nopid=3252020095")</f>
        <v>https://organic.ams.usda.gov/Integrity/Certificate.aspx?cid=57&amp;nopid=3252020095</v>
      </c>
    </row>
    <row r="1061">
      <c r="A1061" t="s">
        <v>3</v>
      </c>
      <c r="B1061" s="6" t="s">
        <v>10</v>
      </c>
      <c r="C1061" s="6" t="s">
        <v>57</v>
      </c>
      <c r="D1061" s="6" t="s">
        <v>103</v>
      </c>
      <c r="E1061" s="10" t="s">
        <v>1202</v>
      </c>
      <c r="F1061" s="6" t="s">
        <v>3930</v>
      </c>
      <c r="G1061" s="6" t="s">
        <v>5687</v>
      </c>
      <c r="H1061" s="6" t="s">
        <v>6866</v>
      </c>
      <c r="I1061" s="6" t="s">
        <v>9000</v>
      </c>
      <c r="J1061" s="6" t="s">
        <v>10198</v>
      </c>
      <c r="K1061" s="6" t="s">
        <v>10886</v>
      </c>
      <c r="L1061" s="16" t="n">
        <v>41594</v>
      </c>
      <c r="M1061" s="16" t="n">
        <v>45748</v>
      </c>
      <c r="N1061" s="6" t="s">
        <v>10886</v>
      </c>
      <c r="O1061" s="16" t="n">
        <v>41594</v>
      </c>
      <c r="P1061" s="6" t="s">
        <v>10925</v>
      </c>
      <c r="Q1061" s="6" t="s">
        <v>81</v>
      </c>
      <c r="R1061" s="6" t="s">
        <v>12721</v>
      </c>
      <c r="S1061" s="6" t="s">
        <v>10886</v>
      </c>
      <c r="T1061" s="16" t="n">
        <v>41594</v>
      </c>
      <c r="U1061" s="6" t="s">
        <v>13163</v>
      </c>
      <c r="V1061" s="6" t="s">
        <v>81</v>
      </c>
      <c r="W1061" s="6" t="s">
        <v>81</v>
      </c>
      <c r="X1061" s="6" t="s">
        <v>81</v>
      </c>
      <c r="Y1061" s="21" t="s">
        <v>81</v>
      </c>
      <c r="Z1061" s="6" t="s">
        <v>81</v>
      </c>
      <c r="AA1061" s="6" t="s">
        <v>81</v>
      </c>
      <c r="AB1061" s="6" t="s">
        <v>81</v>
      </c>
      <c r="AC1061" s="6" t="s">
        <v>81</v>
      </c>
      <c r="AD1061" s="21" t="s">
        <v>81</v>
      </c>
      <c r="AE1061" s="6" t="s">
        <v>81</v>
      </c>
      <c r="AF1061" s="6" t="s">
        <v>81</v>
      </c>
      <c r="AG1061" s="6" t="s">
        <v>81</v>
      </c>
      <c r="AH1061" s="6" t="s">
        <v>15634</v>
      </c>
      <c r="AI1061" s="6" t="s">
        <v>81</v>
      </c>
      <c r="AJ1061" s="6" t="s">
        <v>17315</v>
      </c>
      <c r="AK1061" s="6" t="s">
        <v>18379</v>
      </c>
      <c r="AL1061" s="6" t="s">
        <v>18444</v>
      </c>
      <c r="AM1061" s="6" t="s">
        <v>18467</v>
      </c>
      <c r="AN1061" s="6" t="s">
        <v>19637</v>
      </c>
      <c r="AO1061" s="6" t="s">
        <v>19723</v>
      </c>
      <c r="AP1061" s="6" t="s">
        <v>15634</v>
      </c>
      <c r="AQ1061" s="6" t="s">
        <v>81</v>
      </c>
      <c r="AR1061" s="6" t="s">
        <v>17315</v>
      </c>
      <c r="AS1061" s="6" t="s">
        <v>18379</v>
      </c>
      <c r="AT1061" s="6" t="s">
        <v>18444</v>
      </c>
      <c r="AU1061" s="6" t="s">
        <v>18467</v>
      </c>
      <c r="AV1061" s="6" t="s">
        <v>81</v>
      </c>
      <c r="AW1061" s="6" t="s">
        <v>81</v>
      </c>
      <c r="AX1061" s="6" t="s">
        <v>21420</v>
      </c>
      <c r="AY1061" s="6" t="s">
        <v>81</v>
      </c>
      <c r="AZ1061" s="6" t="s">
        <v>81</v>
      </c>
      <c r="BA1061" s="6" t="s">
        <v>81</v>
      </c>
      <c r="BB1061" s="24" t="n">
        <v>98</v>
      </c>
      <c r="BC1061" s="26"/>
      <c r="BD1061" s="26"/>
      <c r="BE1061" s="26"/>
      <c r="BF1061" s="26"/>
      <c r="BG1061" s="26"/>
      <c r="BH1061" s="26"/>
      <c r="BI1061" s="26"/>
      <c r="BJ1061" s="26"/>
      <c r="BK1061" s="26"/>
      <c r="BL1061" s="26"/>
      <c r="BM1061" s="26"/>
      <c r="BN1061" s="26"/>
      <c r="BO1061" s="26"/>
      <c r="BP1061" s="16" t="n">
        <v>45730</v>
      </c>
      <c r="BQ1061" s="28" t="str">
        <f>HYPERLINK("https://organic.ams.usda.gov/Integrity/Certificate.aspx?cid=90&amp;nopid=7170210304")</f>
        <v>https://organic.ams.usda.gov/Integrity/Certificate.aspx?cid=90&amp;nopid=7170210304</v>
      </c>
    </row>
    <row r="1062">
      <c r="A1062" t="s">
        <v>3</v>
      </c>
      <c r="B1062" s="6" t="s">
        <v>7</v>
      </c>
      <c r="C1062" s="6" t="s">
        <v>54</v>
      </c>
      <c r="D1062" s="6" t="s">
        <v>100</v>
      </c>
      <c r="E1062" s="10" t="s">
        <v>1203</v>
      </c>
      <c r="F1062" s="6" t="s">
        <v>3931</v>
      </c>
      <c r="G1062" s="6" t="s">
        <v>81</v>
      </c>
      <c r="H1062" s="6" t="s">
        <v>6867</v>
      </c>
      <c r="I1062" s="6" t="s">
        <v>8887</v>
      </c>
      <c r="J1062" s="6" t="s">
        <v>9671</v>
      </c>
      <c r="K1062" s="6" t="s">
        <v>10886</v>
      </c>
      <c r="L1062" s="16" t="n">
        <v>43595</v>
      </c>
      <c r="M1062" s="16" t="n">
        <v>45716</v>
      </c>
      <c r="N1062" s="6" t="s">
        <v>10886</v>
      </c>
      <c r="O1062" s="16" t="n">
        <v>43595</v>
      </c>
      <c r="P1062" s="6" t="s">
        <v>11528</v>
      </c>
      <c r="Q1062" s="6" t="s">
        <v>81</v>
      </c>
      <c r="R1062" s="6" t="s">
        <v>81</v>
      </c>
      <c r="S1062" s="6" t="s">
        <v>10886</v>
      </c>
      <c r="T1062" s="16" t="n">
        <v>43662</v>
      </c>
      <c r="U1062" s="6" t="s">
        <v>13277</v>
      </c>
      <c r="V1062" s="6" t="s">
        <v>81</v>
      </c>
      <c r="W1062" s="6" t="s">
        <v>81</v>
      </c>
      <c r="X1062" s="6" t="s">
        <v>81</v>
      </c>
      <c r="Y1062" s="21" t="s">
        <v>81</v>
      </c>
      <c r="Z1062" s="6" t="s">
        <v>81</v>
      </c>
      <c r="AA1062" s="6" t="s">
        <v>81</v>
      </c>
      <c r="AB1062" s="6" t="s">
        <v>81</v>
      </c>
      <c r="AC1062" s="6" t="s">
        <v>81</v>
      </c>
      <c r="AD1062" s="21" t="s">
        <v>81</v>
      </c>
      <c r="AE1062" s="6" t="s">
        <v>81</v>
      </c>
      <c r="AF1062" s="6" t="s">
        <v>81</v>
      </c>
      <c r="AG1062" s="6" t="s">
        <v>81</v>
      </c>
      <c r="AH1062" s="6" t="s">
        <v>15635</v>
      </c>
      <c r="AI1062" s="6" t="s">
        <v>81</v>
      </c>
      <c r="AJ1062" s="6" t="s">
        <v>17321</v>
      </c>
      <c r="AK1062" s="6" t="s">
        <v>17712</v>
      </c>
      <c r="AL1062" s="6" t="s">
        <v>18444</v>
      </c>
      <c r="AM1062" s="6" t="s">
        <v>18473</v>
      </c>
      <c r="AN1062" s="6" t="s">
        <v>19642</v>
      </c>
      <c r="AO1062" s="6" t="s">
        <v>19728</v>
      </c>
      <c r="AP1062" s="6" t="s">
        <v>15635</v>
      </c>
      <c r="AQ1062" s="6" t="s">
        <v>81</v>
      </c>
      <c r="AR1062" s="6" t="s">
        <v>17321</v>
      </c>
      <c r="AS1062" s="6" t="s">
        <v>17712</v>
      </c>
      <c r="AT1062" s="6" t="s">
        <v>18444</v>
      </c>
      <c r="AU1062" s="6" t="s">
        <v>18473</v>
      </c>
      <c r="AV1062" s="6" t="s">
        <v>81</v>
      </c>
      <c r="AW1062" s="6" t="s">
        <v>81</v>
      </c>
      <c r="AX1062" s="6" t="s">
        <v>21421</v>
      </c>
      <c r="AY1062" s="6" t="s">
        <v>81</v>
      </c>
      <c r="AZ1062" s="6" t="s">
        <v>81</v>
      </c>
      <c r="BA1062" s="6" t="s">
        <v>81</v>
      </c>
      <c r="BB1062" s="24" t="n">
        <v>86</v>
      </c>
      <c r="BC1062" s="26"/>
      <c r="BD1062" s="26"/>
      <c r="BE1062" s="26"/>
      <c r="BF1062" s="26"/>
      <c r="BG1062" s="26"/>
      <c r="BH1062" s="26"/>
      <c r="BI1062" s="26"/>
      <c r="BJ1062" s="26"/>
      <c r="BK1062" s="26"/>
      <c r="BL1062" s="26"/>
      <c r="BM1062" s="26"/>
      <c r="BN1062" s="26"/>
      <c r="BO1062" s="26"/>
      <c r="BP1062" s="16" t="n">
        <v>45674</v>
      </c>
      <c r="BQ1062" s="28" t="str">
        <f>HYPERLINK("https://organic.ams.usda.gov/Integrity/Certificate.aspx?cid=57&amp;nopid=3252019044")</f>
        <v>https://organic.ams.usda.gov/Integrity/Certificate.aspx?cid=57&amp;nopid=3252019044</v>
      </c>
    </row>
    <row r="1063">
      <c r="A1063" t="s">
        <v>3</v>
      </c>
      <c r="B1063" s="6" t="s">
        <v>7</v>
      </c>
      <c r="C1063" s="6" t="s">
        <v>54</v>
      </c>
      <c r="D1063" s="6" t="s">
        <v>100</v>
      </c>
      <c r="E1063" s="10" t="s">
        <v>1204</v>
      </c>
      <c r="F1063" s="6" t="s">
        <v>3932</v>
      </c>
      <c r="G1063" s="6" t="s">
        <v>81</v>
      </c>
      <c r="H1063" s="6" t="s">
        <v>6868</v>
      </c>
      <c r="I1063" s="6" t="s">
        <v>8887</v>
      </c>
      <c r="J1063" s="6" t="s">
        <v>9936</v>
      </c>
      <c r="K1063" s="6" t="s">
        <v>10886</v>
      </c>
      <c r="L1063" s="16" t="n">
        <v>44012</v>
      </c>
      <c r="M1063" s="16" t="n">
        <v>45716</v>
      </c>
      <c r="N1063" s="6" t="s">
        <v>10886</v>
      </c>
      <c r="O1063" s="16" t="n">
        <v>44012</v>
      </c>
      <c r="P1063" s="6" t="s">
        <v>10944</v>
      </c>
      <c r="Q1063" s="6" t="s">
        <v>81</v>
      </c>
      <c r="R1063" s="6" t="s">
        <v>81</v>
      </c>
      <c r="S1063" s="6" t="s">
        <v>10886</v>
      </c>
      <c r="T1063" s="16" t="n">
        <v>44012</v>
      </c>
      <c r="U1063" s="6" t="s">
        <v>13169</v>
      </c>
      <c r="V1063" s="6" t="s">
        <v>81</v>
      </c>
      <c r="W1063" s="6" t="s">
        <v>81</v>
      </c>
      <c r="X1063" s="6" t="s">
        <v>81</v>
      </c>
      <c r="Y1063" s="21" t="s">
        <v>81</v>
      </c>
      <c r="Z1063" s="6" t="s">
        <v>81</v>
      </c>
      <c r="AA1063" s="6" t="s">
        <v>81</v>
      </c>
      <c r="AB1063" s="6" t="s">
        <v>81</v>
      </c>
      <c r="AC1063" s="6" t="s">
        <v>81</v>
      </c>
      <c r="AD1063" s="21" t="s">
        <v>81</v>
      </c>
      <c r="AE1063" s="6" t="s">
        <v>81</v>
      </c>
      <c r="AF1063" s="6" t="s">
        <v>81</v>
      </c>
      <c r="AG1063" s="6" t="s">
        <v>81</v>
      </c>
      <c r="AH1063" s="6" t="s">
        <v>15636</v>
      </c>
      <c r="AI1063" s="6" t="s">
        <v>81</v>
      </c>
      <c r="AJ1063" s="6" t="s">
        <v>17431</v>
      </c>
      <c r="AK1063" s="6" t="s">
        <v>17712</v>
      </c>
      <c r="AL1063" s="6" t="s">
        <v>18444</v>
      </c>
      <c r="AM1063" s="6" t="s">
        <v>18588</v>
      </c>
      <c r="AN1063" s="6" t="s">
        <v>19646</v>
      </c>
      <c r="AO1063" s="6" t="s">
        <v>19729</v>
      </c>
      <c r="AP1063" s="6" t="s">
        <v>15636</v>
      </c>
      <c r="AQ1063" s="6" t="s">
        <v>81</v>
      </c>
      <c r="AR1063" s="6" t="s">
        <v>17431</v>
      </c>
      <c r="AS1063" s="6" t="s">
        <v>17712</v>
      </c>
      <c r="AT1063" s="6" t="s">
        <v>18444</v>
      </c>
      <c r="AU1063" s="6" t="s">
        <v>18588</v>
      </c>
      <c r="AV1063" s="6" t="s">
        <v>81</v>
      </c>
      <c r="AW1063" s="6" t="s">
        <v>81</v>
      </c>
      <c r="AX1063" s="6" t="s">
        <v>81</v>
      </c>
      <c r="AY1063" s="6" t="s">
        <v>81</v>
      </c>
      <c r="AZ1063" s="6" t="s">
        <v>81</v>
      </c>
      <c r="BA1063" s="6" t="s">
        <v>81</v>
      </c>
      <c r="BB1063" s="24" t="n">
        <v>98</v>
      </c>
      <c r="BC1063" s="26"/>
      <c r="BD1063" s="26"/>
      <c r="BE1063" s="26"/>
      <c r="BF1063" s="26" t="s">
        <v>23900</v>
      </c>
      <c r="BG1063" s="26"/>
      <c r="BH1063" s="26"/>
      <c r="BI1063" s="26"/>
      <c r="BJ1063" s="26"/>
      <c r="BK1063" s="26"/>
      <c r="BL1063" s="26"/>
      <c r="BM1063" s="26"/>
      <c r="BN1063" s="26"/>
      <c r="BO1063" s="26"/>
      <c r="BP1063" s="16" t="n">
        <v>45723</v>
      </c>
      <c r="BQ1063" s="28" t="str">
        <f>HYPERLINK("https://organic.ams.usda.gov/Integrity/Certificate.aspx?cid=57&amp;nopid=3252020047")</f>
        <v>https://organic.ams.usda.gov/Integrity/Certificate.aspx?cid=57&amp;nopid=3252020047</v>
      </c>
    </row>
    <row r="1064">
      <c r="A1064" t="s">
        <v>3</v>
      </c>
      <c r="B1064" s="6" t="s">
        <v>10</v>
      </c>
      <c r="C1064" s="6" t="s">
        <v>57</v>
      </c>
      <c r="D1064" s="6" t="s">
        <v>103</v>
      </c>
      <c r="E1064" s="10" t="s">
        <v>1205</v>
      </c>
      <c r="F1064" s="6" t="s">
        <v>3933</v>
      </c>
      <c r="G1064" s="6" t="s">
        <v>81</v>
      </c>
      <c r="H1064" s="6" t="s">
        <v>6869</v>
      </c>
      <c r="I1064" s="6" t="s">
        <v>9001</v>
      </c>
      <c r="J1064" s="6" t="s">
        <v>9665</v>
      </c>
      <c r="K1064" s="6" t="s">
        <v>10886</v>
      </c>
      <c r="L1064" s="16" t="n">
        <v>44356</v>
      </c>
      <c r="M1064" s="16" t="n">
        <v>45748</v>
      </c>
      <c r="N1064" s="6" t="s">
        <v>10886</v>
      </c>
      <c r="O1064" s="16" t="n">
        <v>44653</v>
      </c>
      <c r="P1064" s="6" t="s">
        <v>11529</v>
      </c>
      <c r="Q1064" s="6" t="s">
        <v>81</v>
      </c>
      <c r="R1064" s="6" t="s">
        <v>12722</v>
      </c>
      <c r="S1064" s="6" t="s">
        <v>10886</v>
      </c>
      <c r="T1064" s="16" t="n">
        <v>44653</v>
      </c>
      <c r="U1064" s="6" t="s">
        <v>13163</v>
      </c>
      <c r="V1064" s="6" t="s">
        <v>81</v>
      </c>
      <c r="W1064" s="6" t="s">
        <v>81</v>
      </c>
      <c r="X1064" s="6" t="s">
        <v>81</v>
      </c>
      <c r="Y1064" s="21" t="s">
        <v>81</v>
      </c>
      <c r="Z1064" s="6" t="s">
        <v>81</v>
      </c>
      <c r="AA1064" s="6" t="s">
        <v>81</v>
      </c>
      <c r="AB1064" s="6" t="s">
        <v>81</v>
      </c>
      <c r="AC1064" s="6" t="s">
        <v>81</v>
      </c>
      <c r="AD1064" s="21" t="s">
        <v>81</v>
      </c>
      <c r="AE1064" s="6" t="s">
        <v>81</v>
      </c>
      <c r="AF1064" s="6" t="s">
        <v>81</v>
      </c>
      <c r="AG1064" s="6" t="s">
        <v>81</v>
      </c>
      <c r="AH1064" s="6" t="s">
        <v>15637</v>
      </c>
      <c r="AI1064" s="6" t="s">
        <v>81</v>
      </c>
      <c r="AJ1064" s="6" t="s">
        <v>17324</v>
      </c>
      <c r="AK1064" s="6" t="s">
        <v>18378</v>
      </c>
      <c r="AL1064" s="6" t="s">
        <v>18444</v>
      </c>
      <c r="AM1064" s="6" t="s">
        <v>18476</v>
      </c>
      <c r="AN1064" s="6" t="s">
        <v>19640</v>
      </c>
      <c r="AO1064" s="6" t="s">
        <v>19726</v>
      </c>
      <c r="AP1064" s="6" t="s">
        <v>15637</v>
      </c>
      <c r="AQ1064" s="6" t="s">
        <v>81</v>
      </c>
      <c r="AR1064" s="6" t="s">
        <v>17324</v>
      </c>
      <c r="AS1064" s="6" t="s">
        <v>18378</v>
      </c>
      <c r="AT1064" s="6" t="s">
        <v>18444</v>
      </c>
      <c r="AU1064" s="6" t="s">
        <v>18476</v>
      </c>
      <c r="AV1064" s="6" t="s">
        <v>81</v>
      </c>
      <c r="AW1064" s="6" t="s">
        <v>81</v>
      </c>
      <c r="AX1064" s="6" t="s">
        <v>21422</v>
      </c>
      <c r="AY1064" s="6" t="s">
        <v>81</v>
      </c>
      <c r="AZ1064" s="6" t="s">
        <v>81</v>
      </c>
      <c r="BA1064" s="6" t="s">
        <v>81</v>
      </c>
      <c r="BB1064" s="24" t="n">
        <v>116</v>
      </c>
      <c r="BC1064" s="26"/>
      <c r="BD1064" s="26"/>
      <c r="BE1064" s="26"/>
      <c r="BF1064" s="26"/>
      <c r="BG1064" s="26"/>
      <c r="BH1064" s="26"/>
      <c r="BI1064" s="26"/>
      <c r="BJ1064" s="26"/>
      <c r="BK1064" s="26"/>
      <c r="BL1064" s="26"/>
      <c r="BM1064" s="26"/>
      <c r="BN1064" s="26"/>
      <c r="BO1064" s="26"/>
      <c r="BP1064" s="16" t="n">
        <v>45730</v>
      </c>
      <c r="BQ1064" s="28" t="str">
        <f>HYPERLINK("https://organic.ams.usda.gov/Integrity/Certificate.aspx?cid=90&amp;nopid=7170220500")</f>
        <v>https://organic.ams.usda.gov/Integrity/Certificate.aspx?cid=90&amp;nopid=7170220500</v>
      </c>
    </row>
    <row r="1065">
      <c r="A1065" t="s">
        <v>3</v>
      </c>
      <c r="B1065" s="6" t="s">
        <v>8</v>
      </c>
      <c r="C1065" s="6" t="s">
        <v>55</v>
      </c>
      <c r="D1065" s="6" t="s">
        <v>101</v>
      </c>
      <c r="E1065" s="10" t="s">
        <v>1206</v>
      </c>
      <c r="F1065" s="6" t="s">
        <v>3934</v>
      </c>
      <c r="G1065" s="6" t="s">
        <v>81</v>
      </c>
      <c r="H1065" s="6" t="s">
        <v>6870</v>
      </c>
      <c r="I1065" s="6" t="s">
        <v>8887</v>
      </c>
      <c r="J1065" s="6" t="s">
        <v>9665</v>
      </c>
      <c r="K1065" s="6" t="s">
        <v>10886</v>
      </c>
      <c r="L1065" s="16" t="n">
        <v>42354</v>
      </c>
      <c r="M1065" s="16" t="n">
        <v>45383</v>
      </c>
      <c r="N1065" s="6" t="s">
        <v>10886</v>
      </c>
      <c r="O1065" s="16" t="n">
        <v>42354</v>
      </c>
      <c r="P1065" s="6" t="s">
        <v>11530</v>
      </c>
      <c r="Q1065" s="6" t="s">
        <v>81</v>
      </c>
      <c r="R1065" s="6" t="s">
        <v>6870</v>
      </c>
      <c r="S1065" s="6" t="s">
        <v>10886</v>
      </c>
      <c r="T1065" s="16" t="n">
        <v>42354</v>
      </c>
      <c r="U1065" s="6" t="s">
        <v>13498</v>
      </c>
      <c r="V1065" s="6" t="s">
        <v>81</v>
      </c>
      <c r="W1065" s="6" t="s">
        <v>6870</v>
      </c>
      <c r="X1065" s="6" t="s">
        <v>81</v>
      </c>
      <c r="Y1065" s="21" t="s">
        <v>81</v>
      </c>
      <c r="Z1065" s="6" t="s">
        <v>81</v>
      </c>
      <c r="AA1065" s="6" t="s">
        <v>81</v>
      </c>
      <c r="AB1065" s="6" t="s">
        <v>81</v>
      </c>
      <c r="AC1065" s="6" t="s">
        <v>81</v>
      </c>
      <c r="AD1065" s="21" t="s">
        <v>81</v>
      </c>
      <c r="AE1065" s="6" t="s">
        <v>81</v>
      </c>
      <c r="AF1065" s="6" t="s">
        <v>81</v>
      </c>
      <c r="AG1065" s="6" t="s">
        <v>81</v>
      </c>
      <c r="AH1065" s="6" t="s">
        <v>15638</v>
      </c>
      <c r="AI1065" s="6" t="s">
        <v>81</v>
      </c>
      <c r="AJ1065" s="6" t="s">
        <v>17337</v>
      </c>
      <c r="AK1065" s="6" t="s">
        <v>18377</v>
      </c>
      <c r="AL1065" s="6" t="s">
        <v>18444</v>
      </c>
      <c r="AM1065" s="6" t="s">
        <v>18491</v>
      </c>
      <c r="AN1065" s="6" t="s">
        <v>19643</v>
      </c>
      <c r="AO1065" s="6" t="s">
        <v>19730</v>
      </c>
      <c r="AP1065" s="6" t="s">
        <v>81</v>
      </c>
      <c r="AQ1065" s="6" t="s">
        <v>81</v>
      </c>
      <c r="AR1065" s="6" t="s">
        <v>81</v>
      </c>
      <c r="AS1065" s="6" t="s">
        <v>81</v>
      </c>
      <c r="AT1065" s="6" t="s">
        <v>81</v>
      </c>
      <c r="AU1065" s="6" t="s">
        <v>81</v>
      </c>
      <c r="AV1065" s="6" t="s">
        <v>81</v>
      </c>
      <c r="AW1065" s="6" t="s">
        <v>81</v>
      </c>
      <c r="AX1065" s="6" t="s">
        <v>81</v>
      </c>
      <c r="AY1065" s="6" t="s">
        <v>81</v>
      </c>
      <c r="AZ1065" s="6" t="s">
        <v>81</v>
      </c>
      <c r="BA1065" s="6" t="s">
        <v>6870</v>
      </c>
      <c r="BB1065" s="24" t="n">
        <v>120</v>
      </c>
      <c r="BC1065" s="26"/>
      <c r="BD1065" s="26"/>
      <c r="BE1065" s="26"/>
      <c r="BF1065" s="26"/>
      <c r="BG1065" s="26"/>
      <c r="BH1065" s="26"/>
      <c r="BI1065" s="26"/>
      <c r="BJ1065" s="26"/>
      <c r="BK1065" s="26"/>
      <c r="BL1065" s="26"/>
      <c r="BM1065" s="26"/>
      <c r="BN1065" s="26"/>
      <c r="BO1065" s="26"/>
      <c r="BP1065" s="16" t="n">
        <v>45425</v>
      </c>
      <c r="BQ1065" s="28" t="str">
        <f>HYPERLINK("https://organic.ams.usda.gov/Integrity/Certificate.aspx?cid=45&amp;nopid=9950008693")</f>
        <v>https://organic.ams.usda.gov/Integrity/Certificate.aspx?cid=45&amp;nopid=9950008693</v>
      </c>
    </row>
    <row r="1066">
      <c r="A1066" t="s">
        <v>3</v>
      </c>
      <c r="B1066" s="6" t="s">
        <v>8</v>
      </c>
      <c r="C1066" s="6" t="s">
        <v>55</v>
      </c>
      <c r="D1066" s="6" t="s">
        <v>101</v>
      </c>
      <c r="E1066" s="10" t="s">
        <v>1207</v>
      </c>
      <c r="F1066" s="6" t="s">
        <v>3935</v>
      </c>
      <c r="G1066" s="6" t="s">
        <v>81</v>
      </c>
      <c r="H1066" s="6" t="s">
        <v>6871</v>
      </c>
      <c r="I1066" s="6" t="s">
        <v>8887</v>
      </c>
      <c r="J1066" s="6" t="s">
        <v>9671</v>
      </c>
      <c r="K1066" s="6" t="s">
        <v>10886</v>
      </c>
      <c r="L1066" s="16" t="n">
        <v>41446</v>
      </c>
      <c r="M1066" s="16" t="n">
        <v>45383</v>
      </c>
      <c r="N1066" s="6" t="s">
        <v>10886</v>
      </c>
      <c r="O1066" s="16" t="n">
        <v>41446</v>
      </c>
      <c r="P1066" s="6" t="s">
        <v>11531</v>
      </c>
      <c r="Q1066" s="6" t="s">
        <v>81</v>
      </c>
      <c r="R1066" s="6" t="s">
        <v>6871</v>
      </c>
      <c r="S1066" s="6" t="s">
        <v>10886</v>
      </c>
      <c r="T1066" s="16" t="n">
        <v>41446</v>
      </c>
      <c r="U1066" s="6" t="s">
        <v>13528</v>
      </c>
      <c r="V1066" s="6" t="s">
        <v>81</v>
      </c>
      <c r="W1066" s="6" t="s">
        <v>6871</v>
      </c>
      <c r="X1066" s="6" t="s">
        <v>81</v>
      </c>
      <c r="Y1066" s="21" t="s">
        <v>81</v>
      </c>
      <c r="Z1066" s="6" t="s">
        <v>81</v>
      </c>
      <c r="AA1066" s="6" t="s">
        <v>81</v>
      </c>
      <c r="AB1066" s="6" t="s">
        <v>81</v>
      </c>
      <c r="AC1066" s="6" t="s">
        <v>81</v>
      </c>
      <c r="AD1066" s="21" t="s">
        <v>81</v>
      </c>
      <c r="AE1066" s="6" t="s">
        <v>81</v>
      </c>
      <c r="AF1066" s="6" t="s">
        <v>81</v>
      </c>
      <c r="AG1066" s="6" t="s">
        <v>81</v>
      </c>
      <c r="AH1066" s="6" t="s">
        <v>15639</v>
      </c>
      <c r="AI1066" s="6" t="s">
        <v>81</v>
      </c>
      <c r="AJ1066" s="6" t="s">
        <v>17418</v>
      </c>
      <c r="AK1066" s="6" t="s">
        <v>18379</v>
      </c>
      <c r="AL1066" s="6" t="s">
        <v>18444</v>
      </c>
      <c r="AM1066" s="6" t="s">
        <v>18575</v>
      </c>
      <c r="AN1066" s="6" t="s">
        <v>19671</v>
      </c>
      <c r="AO1066" s="6" t="s">
        <v>19784</v>
      </c>
      <c r="AP1066" s="6" t="s">
        <v>81</v>
      </c>
      <c r="AQ1066" s="6" t="s">
        <v>81</v>
      </c>
      <c r="AR1066" s="6" t="s">
        <v>81</v>
      </c>
      <c r="AS1066" s="6" t="s">
        <v>81</v>
      </c>
      <c r="AT1066" s="6" t="s">
        <v>81</v>
      </c>
      <c r="AU1066" s="6" t="s">
        <v>81</v>
      </c>
      <c r="AV1066" s="6" t="s">
        <v>81</v>
      </c>
      <c r="AW1066" s="6" t="s">
        <v>81</v>
      </c>
      <c r="AX1066" s="6" t="s">
        <v>81</v>
      </c>
      <c r="AY1066" s="6" t="s">
        <v>81</v>
      </c>
      <c r="AZ1066" s="6" t="s">
        <v>81</v>
      </c>
      <c r="BA1066" s="6" t="s">
        <v>6871</v>
      </c>
      <c r="BB1066" s="24" t="n">
        <v>175</v>
      </c>
      <c r="BC1066" s="26"/>
      <c r="BD1066" s="26"/>
      <c r="BE1066" s="26"/>
      <c r="BF1066" s="26"/>
      <c r="BG1066" s="26"/>
      <c r="BH1066" s="26"/>
      <c r="BI1066" s="26"/>
      <c r="BJ1066" s="26"/>
      <c r="BK1066" s="26"/>
      <c r="BL1066" s="26"/>
      <c r="BM1066" s="26"/>
      <c r="BN1066" s="26"/>
      <c r="BO1066" s="26"/>
      <c r="BP1066" s="16" t="n">
        <v>45425</v>
      </c>
      <c r="BQ1066" s="28" t="str">
        <f>HYPERLINK("https://organic.ams.usda.gov/Integrity/Certificate.aspx?cid=45&amp;nopid=9950004706")</f>
        <v>https://organic.ams.usda.gov/Integrity/Certificate.aspx?cid=45&amp;nopid=9950004706</v>
      </c>
    </row>
    <row r="1067">
      <c r="A1067" t="s">
        <v>3</v>
      </c>
      <c r="B1067" s="6" t="s">
        <v>12</v>
      </c>
      <c r="C1067" s="6" t="s">
        <v>59</v>
      </c>
      <c r="D1067" s="6" t="s">
        <v>105</v>
      </c>
      <c r="E1067" s="10" t="s">
        <v>1208</v>
      </c>
      <c r="F1067" s="6" t="s">
        <v>3936</v>
      </c>
      <c r="G1067" s="6" t="s">
        <v>81</v>
      </c>
      <c r="H1067" s="6" t="s">
        <v>6872</v>
      </c>
      <c r="I1067" s="6" t="s">
        <v>8887</v>
      </c>
      <c r="J1067" s="6" t="s">
        <v>9730</v>
      </c>
      <c r="K1067" s="6" t="s">
        <v>10886</v>
      </c>
      <c r="L1067" s="16" t="n">
        <v>37550</v>
      </c>
      <c r="M1067" s="16" t="n">
        <v>45717</v>
      </c>
      <c r="N1067" s="6" t="s">
        <v>10886</v>
      </c>
      <c r="O1067" s="16" t="n">
        <v>37550</v>
      </c>
      <c r="P1067" s="6" t="s">
        <v>11532</v>
      </c>
      <c r="Q1067" s="6" t="s">
        <v>81</v>
      </c>
      <c r="R1067" s="6" t="s">
        <v>81</v>
      </c>
      <c r="S1067" s="6" t="s">
        <v>10886</v>
      </c>
      <c r="T1067" s="16" t="n">
        <v>37550</v>
      </c>
      <c r="U1067" s="6" t="s">
        <v>13183</v>
      </c>
      <c r="V1067" s="6" t="s">
        <v>81</v>
      </c>
      <c r="W1067" s="6" t="s">
        <v>81</v>
      </c>
      <c r="X1067" s="6" t="s">
        <v>81</v>
      </c>
      <c r="Y1067" s="21" t="s">
        <v>81</v>
      </c>
      <c r="Z1067" s="6" t="s">
        <v>81</v>
      </c>
      <c r="AA1067" s="6" t="s">
        <v>81</v>
      </c>
      <c r="AB1067" s="6" t="s">
        <v>81</v>
      </c>
      <c r="AC1067" s="6" t="s">
        <v>81</v>
      </c>
      <c r="AD1067" s="21" t="s">
        <v>81</v>
      </c>
      <c r="AE1067" s="6" t="s">
        <v>81</v>
      </c>
      <c r="AF1067" s="6" t="s">
        <v>81</v>
      </c>
      <c r="AG1067" s="6" t="s">
        <v>81</v>
      </c>
      <c r="AH1067" s="6" t="s">
        <v>15640</v>
      </c>
      <c r="AI1067" s="6" t="s">
        <v>81</v>
      </c>
      <c r="AJ1067" s="6" t="s">
        <v>17877</v>
      </c>
      <c r="AK1067" s="6" t="s">
        <v>18380</v>
      </c>
      <c r="AL1067" s="6" t="s">
        <v>18444</v>
      </c>
      <c r="AM1067" s="6" t="s">
        <v>19060</v>
      </c>
      <c r="AN1067" s="6" t="s">
        <v>19640</v>
      </c>
      <c r="AO1067" s="6" t="s">
        <v>19958</v>
      </c>
      <c r="AP1067" s="6" t="s">
        <v>15640</v>
      </c>
      <c r="AQ1067" s="6" t="s">
        <v>81</v>
      </c>
      <c r="AR1067" s="6" t="s">
        <v>17877</v>
      </c>
      <c r="AS1067" s="6" t="s">
        <v>18380</v>
      </c>
      <c r="AT1067" s="6" t="s">
        <v>18444</v>
      </c>
      <c r="AU1067" s="6" t="s">
        <v>19060</v>
      </c>
      <c r="AV1067" s="6" t="s">
        <v>81</v>
      </c>
      <c r="AW1067" s="6" t="s">
        <v>81</v>
      </c>
      <c r="AX1067" s="6" t="s">
        <v>21423</v>
      </c>
      <c r="AY1067" s="6" t="s">
        <v>81</v>
      </c>
      <c r="AZ1067" s="6" t="s">
        <v>81</v>
      </c>
      <c r="BA1067" s="6" t="s">
        <v>81</v>
      </c>
      <c r="BB1067" s="24" t="n">
        <v>125</v>
      </c>
      <c r="BC1067" s="26"/>
      <c r="BD1067" s="26"/>
      <c r="BE1067" s="26"/>
      <c r="BF1067" s="26"/>
      <c r="BG1067" s="26"/>
      <c r="BH1067" s="26"/>
      <c r="BI1067" s="26"/>
      <c r="BJ1067" s="26"/>
      <c r="BK1067" s="26"/>
      <c r="BL1067" s="26"/>
      <c r="BM1067" s="26"/>
      <c r="BN1067" s="26"/>
      <c r="BO1067" s="26"/>
      <c r="BP1067" s="16" t="n">
        <v>45684</v>
      </c>
      <c r="BQ1067" s="28" t="str">
        <f>HYPERLINK("https://organic.ams.usda.gov/Integrity/Certificate.aspx?cid=68&amp;nopid=8210002771")</f>
        <v>https://organic.ams.usda.gov/Integrity/Certificate.aspx?cid=68&amp;nopid=8210002771</v>
      </c>
    </row>
    <row r="1068">
      <c r="A1068" t="s">
        <v>3</v>
      </c>
      <c r="B1068" s="6" t="s">
        <v>29</v>
      </c>
      <c r="C1068" s="6" t="s">
        <v>76</v>
      </c>
      <c r="D1068" s="6" t="s">
        <v>122</v>
      </c>
      <c r="E1068" s="10" t="s">
        <v>1209</v>
      </c>
      <c r="F1068" s="6" t="s">
        <v>3937</v>
      </c>
      <c r="G1068" s="6" t="s">
        <v>81</v>
      </c>
      <c r="H1068" s="6" t="s">
        <v>6873</v>
      </c>
      <c r="I1068" s="6" t="s">
        <v>9002</v>
      </c>
      <c r="J1068" s="6" t="s">
        <v>9665</v>
      </c>
      <c r="K1068" s="6" t="s">
        <v>10886</v>
      </c>
      <c r="L1068" s="16" t="n">
        <v>38589</v>
      </c>
      <c r="M1068" s="16" t="n">
        <v>45870</v>
      </c>
      <c r="N1068" s="6" t="s">
        <v>10886</v>
      </c>
      <c r="O1068" s="16" t="n">
        <v>38589</v>
      </c>
      <c r="P1068" s="6" t="s">
        <v>11533</v>
      </c>
      <c r="Q1068" s="6" t="s">
        <v>81</v>
      </c>
      <c r="R1068" s="6" t="s">
        <v>12723</v>
      </c>
      <c r="S1068" s="6" t="s">
        <v>10886</v>
      </c>
      <c r="T1068" s="16" t="n">
        <v>38589</v>
      </c>
      <c r="U1068" s="6" t="s">
        <v>13212</v>
      </c>
      <c r="V1068" s="6" t="s">
        <v>81</v>
      </c>
      <c r="W1068" s="6" t="s">
        <v>12723</v>
      </c>
      <c r="X1068" s="6" t="s">
        <v>81</v>
      </c>
      <c r="Y1068" s="21" t="s">
        <v>81</v>
      </c>
      <c r="Z1068" s="6" t="s">
        <v>81</v>
      </c>
      <c r="AA1068" s="6" t="s">
        <v>81</v>
      </c>
      <c r="AB1068" s="6" t="s">
        <v>81</v>
      </c>
      <c r="AC1068" s="6" t="s">
        <v>81</v>
      </c>
      <c r="AD1068" s="21" t="s">
        <v>81</v>
      </c>
      <c r="AE1068" s="6" t="s">
        <v>81</v>
      </c>
      <c r="AF1068" s="6" t="s">
        <v>81</v>
      </c>
      <c r="AG1068" s="6" t="s">
        <v>81</v>
      </c>
      <c r="AH1068" s="6" t="s">
        <v>15641</v>
      </c>
      <c r="AI1068" s="6" t="s">
        <v>81</v>
      </c>
      <c r="AJ1068" s="6" t="s">
        <v>17426</v>
      </c>
      <c r="AK1068" s="6" t="s">
        <v>18384</v>
      </c>
      <c r="AL1068" s="6" t="s">
        <v>18444</v>
      </c>
      <c r="AM1068" s="6" t="s">
        <v>18583</v>
      </c>
      <c r="AN1068" s="6" t="s">
        <v>19690</v>
      </c>
      <c r="AO1068" s="6" t="s">
        <v>19852</v>
      </c>
      <c r="AP1068" s="6" t="s">
        <v>81</v>
      </c>
      <c r="AQ1068" s="6" t="s">
        <v>81</v>
      </c>
      <c r="AR1068" s="6" t="s">
        <v>81</v>
      </c>
      <c r="AS1068" s="6" t="s">
        <v>81</v>
      </c>
      <c r="AT1068" s="6" t="s">
        <v>81</v>
      </c>
      <c r="AU1068" s="6" t="s">
        <v>81</v>
      </c>
      <c r="AV1068" s="6" t="s">
        <v>81</v>
      </c>
      <c r="AW1068" s="6" t="s">
        <v>81</v>
      </c>
      <c r="AX1068" s="6" t="s">
        <v>81</v>
      </c>
      <c r="AY1068" s="6" t="s">
        <v>81</v>
      </c>
      <c r="AZ1068" s="6" t="s">
        <v>81</v>
      </c>
      <c r="BA1068" s="6" t="s">
        <v>81</v>
      </c>
      <c r="BB1068" s="24" t="n">
        <v>82</v>
      </c>
      <c r="BC1068" s="26"/>
      <c r="BD1068" s="26"/>
      <c r="BE1068" s="26"/>
      <c r="BF1068" s="26" t="s">
        <v>23900</v>
      </c>
      <c r="BG1068" s="26"/>
      <c r="BH1068" s="26"/>
      <c r="BI1068" s="26"/>
      <c r="BJ1068" s="26"/>
      <c r="BK1068" s="26"/>
      <c r="BL1068" s="26"/>
      <c r="BM1068" s="26"/>
      <c r="BN1068" s="26"/>
      <c r="BO1068" s="26"/>
      <c r="BP1068" s="16" t="n">
        <v>45737</v>
      </c>
      <c r="BQ1068" s="28" t="str">
        <f>HYPERLINK("https://organic.ams.usda.gov/Integrity/Certificate.aspx?cid=31&amp;nopid=3920897486")</f>
        <v>https://organic.ams.usda.gov/Integrity/Certificate.aspx?cid=31&amp;nopid=3920897486</v>
      </c>
    </row>
    <row r="1069">
      <c r="A1069" t="s">
        <v>3</v>
      </c>
      <c r="B1069" s="6" t="s">
        <v>11</v>
      </c>
      <c r="C1069" s="6" t="s">
        <v>58</v>
      </c>
      <c r="D1069" s="6" t="s">
        <v>104</v>
      </c>
      <c r="E1069" s="10" t="s">
        <v>1210</v>
      </c>
      <c r="F1069" s="6" t="s">
        <v>3938</v>
      </c>
      <c r="G1069" s="6" t="s">
        <v>81</v>
      </c>
      <c r="H1069" s="6" t="s">
        <v>81</v>
      </c>
      <c r="I1069" s="6" t="s">
        <v>9002</v>
      </c>
      <c r="J1069" s="6" t="s">
        <v>9800</v>
      </c>
      <c r="K1069" s="6" t="s">
        <v>10886</v>
      </c>
      <c r="L1069" s="16" t="n">
        <v>42398</v>
      </c>
      <c r="M1069" s="16" t="n">
        <v>45748</v>
      </c>
      <c r="N1069" s="6" t="s">
        <v>10886</v>
      </c>
      <c r="O1069" s="16" t="n">
        <v>42684</v>
      </c>
      <c r="P1069" s="6" t="s">
        <v>11534</v>
      </c>
      <c r="Q1069" s="6" t="s">
        <v>81</v>
      </c>
      <c r="R1069" s="6" t="s">
        <v>81</v>
      </c>
      <c r="S1069" s="6" t="s">
        <v>10886</v>
      </c>
      <c r="T1069" s="16" t="n">
        <v>42398</v>
      </c>
      <c r="U1069" s="6" t="s">
        <v>13529</v>
      </c>
      <c r="V1069" s="6" t="s">
        <v>81</v>
      </c>
      <c r="W1069" s="6" t="s">
        <v>81</v>
      </c>
      <c r="X1069" s="6" t="s">
        <v>81</v>
      </c>
      <c r="Y1069" s="21" t="s">
        <v>81</v>
      </c>
      <c r="Z1069" s="6" t="s">
        <v>81</v>
      </c>
      <c r="AA1069" s="6" t="s">
        <v>81</v>
      </c>
      <c r="AB1069" s="6" t="s">
        <v>81</v>
      </c>
      <c r="AC1069" s="6" t="s">
        <v>81</v>
      </c>
      <c r="AD1069" s="21" t="s">
        <v>81</v>
      </c>
      <c r="AE1069" s="6" t="s">
        <v>81</v>
      </c>
      <c r="AF1069" s="6" t="s">
        <v>81</v>
      </c>
      <c r="AG1069" s="6" t="s">
        <v>81</v>
      </c>
      <c r="AH1069" s="6" t="s">
        <v>15642</v>
      </c>
      <c r="AI1069" s="6" t="s">
        <v>81</v>
      </c>
      <c r="AJ1069" s="6" t="s">
        <v>17878</v>
      </c>
      <c r="AK1069" s="6" t="s">
        <v>18384</v>
      </c>
      <c r="AL1069" s="6" t="s">
        <v>18444</v>
      </c>
      <c r="AM1069" s="6" t="s">
        <v>19061</v>
      </c>
      <c r="AN1069" s="6" t="s">
        <v>6505</v>
      </c>
      <c r="AO1069" s="6" t="s">
        <v>19964</v>
      </c>
      <c r="AP1069" s="6" t="s">
        <v>81</v>
      </c>
      <c r="AQ1069" s="6" t="s">
        <v>81</v>
      </c>
      <c r="AR1069" s="6" t="s">
        <v>81</v>
      </c>
      <c r="AS1069" s="6" t="s">
        <v>81</v>
      </c>
      <c r="AT1069" s="6" t="s">
        <v>81</v>
      </c>
      <c r="AU1069" s="6" t="s">
        <v>81</v>
      </c>
      <c r="AV1069" s="6" t="s">
        <v>81</v>
      </c>
      <c r="AW1069" s="6" t="s">
        <v>81</v>
      </c>
      <c r="AX1069" s="6" t="s">
        <v>81</v>
      </c>
      <c r="AY1069" s="6" t="s">
        <v>81</v>
      </c>
      <c r="AZ1069" s="6" t="s">
        <v>81</v>
      </c>
      <c r="BA1069" s="6" t="s">
        <v>23820</v>
      </c>
      <c r="BB1069" s="24" t="n">
        <v>71</v>
      </c>
      <c r="BC1069" s="26"/>
      <c r="BD1069" s="26"/>
      <c r="BE1069" s="26"/>
      <c r="BF1069" s="26"/>
      <c r="BG1069" s="26"/>
      <c r="BH1069" s="26"/>
      <c r="BI1069" s="26"/>
      <c r="BJ1069" s="26"/>
      <c r="BK1069" s="26"/>
      <c r="BL1069" s="26"/>
      <c r="BM1069" s="26"/>
      <c r="BN1069" s="26"/>
      <c r="BO1069" s="26"/>
      <c r="BP1069" s="16" t="n">
        <v>45546</v>
      </c>
      <c r="BQ1069" s="28" t="str">
        <f>HYPERLINK("https://organic.ams.usda.gov/Integrity/Certificate.aspx?cid=46&amp;nopid=3671600002")</f>
        <v>https://organic.ams.usda.gov/Integrity/Certificate.aspx?cid=46&amp;nopid=3671600002</v>
      </c>
    </row>
    <row r="1070">
      <c r="A1070" t="s">
        <v>3</v>
      </c>
      <c r="B1070" s="6" t="s">
        <v>15</v>
      </c>
      <c r="C1070" s="6" t="s">
        <v>62</v>
      </c>
      <c r="D1070" s="6" t="s">
        <v>108</v>
      </c>
      <c r="E1070" s="10" t="s">
        <v>1211</v>
      </c>
      <c r="F1070" s="6" t="s">
        <v>3939</v>
      </c>
      <c r="G1070" s="6" t="s">
        <v>5688</v>
      </c>
      <c r="H1070" s="6" t="s">
        <v>6874</v>
      </c>
      <c r="I1070" s="6" t="s">
        <v>8887</v>
      </c>
      <c r="J1070" s="6" t="s">
        <v>9803</v>
      </c>
      <c r="K1070" s="6" t="s">
        <v>10886</v>
      </c>
      <c r="L1070" s="16" t="n">
        <v>43833</v>
      </c>
      <c r="M1070" s="16" t="n">
        <v>46157</v>
      </c>
      <c r="N1070" s="6" t="s">
        <v>10886</v>
      </c>
      <c r="O1070" s="16" t="n">
        <v>43833</v>
      </c>
      <c r="P1070" s="6" t="s">
        <v>10935</v>
      </c>
      <c r="Q1070" s="6" t="s">
        <v>81</v>
      </c>
      <c r="R1070" s="6" t="s">
        <v>81</v>
      </c>
      <c r="S1070" s="6" t="s">
        <v>10886</v>
      </c>
      <c r="T1070" s="16" t="n">
        <v>43833</v>
      </c>
      <c r="U1070" s="6" t="s">
        <v>13460</v>
      </c>
      <c r="V1070" s="6" t="s">
        <v>81</v>
      </c>
      <c r="W1070" s="6" t="s">
        <v>81</v>
      </c>
      <c r="X1070" s="6" t="s">
        <v>81</v>
      </c>
      <c r="Y1070" s="21" t="s">
        <v>81</v>
      </c>
      <c r="Z1070" s="6" t="s">
        <v>81</v>
      </c>
      <c r="AA1070" s="6" t="s">
        <v>81</v>
      </c>
      <c r="AB1070" s="6" t="s">
        <v>81</v>
      </c>
      <c r="AC1070" s="6" t="s">
        <v>81</v>
      </c>
      <c r="AD1070" s="21" t="s">
        <v>81</v>
      </c>
      <c r="AE1070" s="6" t="s">
        <v>81</v>
      </c>
      <c r="AF1070" s="6" t="s">
        <v>81</v>
      </c>
      <c r="AG1070" s="6" t="s">
        <v>81</v>
      </c>
      <c r="AH1070" s="6" t="s">
        <v>15643</v>
      </c>
      <c r="AI1070" s="6" t="s">
        <v>81</v>
      </c>
      <c r="AJ1070" s="6" t="s">
        <v>10457</v>
      </c>
      <c r="AK1070" s="6" t="s">
        <v>18378</v>
      </c>
      <c r="AL1070" s="6" t="s">
        <v>18444</v>
      </c>
      <c r="AM1070" s="6" t="s">
        <v>18573</v>
      </c>
      <c r="AN1070" s="6" t="s">
        <v>6817</v>
      </c>
      <c r="AO1070" s="6" t="s">
        <v>19849</v>
      </c>
      <c r="AP1070" s="6" t="s">
        <v>15643</v>
      </c>
      <c r="AQ1070" s="6" t="s">
        <v>81</v>
      </c>
      <c r="AR1070" s="6" t="s">
        <v>10457</v>
      </c>
      <c r="AS1070" s="6" t="s">
        <v>18378</v>
      </c>
      <c r="AT1070" s="6" t="s">
        <v>18444</v>
      </c>
      <c r="AU1070" s="6" t="s">
        <v>18573</v>
      </c>
      <c r="AV1070" s="6" t="s">
        <v>81</v>
      </c>
      <c r="AW1070" s="6" t="s">
        <v>81</v>
      </c>
      <c r="AX1070" s="6" t="s">
        <v>21424</v>
      </c>
      <c r="AY1070" s="6" t="s">
        <v>81</v>
      </c>
      <c r="AZ1070" s="6" t="s">
        <v>81</v>
      </c>
      <c r="BA1070" s="6" t="s">
        <v>81</v>
      </c>
      <c r="BB1070" s="24" t="n">
        <v>129</v>
      </c>
      <c r="BC1070" s="26"/>
      <c r="BD1070" s="26"/>
      <c r="BE1070" s="26"/>
      <c r="BF1070" s="26" t="s">
        <v>23900</v>
      </c>
      <c r="BG1070" s="26"/>
      <c r="BH1070" s="26"/>
      <c r="BI1070" s="26"/>
      <c r="BJ1070" s="26"/>
      <c r="BK1070" s="26"/>
      <c r="BL1070" s="26"/>
      <c r="BM1070" s="26"/>
      <c r="BN1070" s="26"/>
      <c r="BO1070" s="26"/>
      <c r="BP1070" s="16" t="n">
        <v>45737</v>
      </c>
      <c r="BQ1070" s="28" t="str">
        <f>HYPERLINK("https://organic.ams.usda.gov/Integrity/Certificate.aspx?cid=58&amp;nopid=1600003367")</f>
        <v>https://organic.ams.usda.gov/Integrity/Certificate.aspx?cid=58&amp;nopid=1600003367</v>
      </c>
    </row>
    <row r="1071">
      <c r="A1071" t="s">
        <v>3</v>
      </c>
      <c r="B1071" s="6" t="s">
        <v>7</v>
      </c>
      <c r="C1071" s="6" t="s">
        <v>54</v>
      </c>
      <c r="D1071" s="6" t="s">
        <v>100</v>
      </c>
      <c r="E1071" s="10" t="s">
        <v>1212</v>
      </c>
      <c r="F1071" s="6" t="s">
        <v>3940</v>
      </c>
      <c r="G1071" s="6" t="s">
        <v>81</v>
      </c>
      <c r="H1071" s="6" t="s">
        <v>6875</v>
      </c>
      <c r="I1071" s="6" t="s">
        <v>8887</v>
      </c>
      <c r="J1071" s="6" t="s">
        <v>9666</v>
      </c>
      <c r="K1071" s="6" t="s">
        <v>10886</v>
      </c>
      <c r="L1071" s="16" t="n">
        <v>45163</v>
      </c>
      <c r="M1071" s="16" t="n">
        <v>45716</v>
      </c>
      <c r="N1071" s="6" t="s">
        <v>10886</v>
      </c>
      <c r="O1071" s="16" t="n">
        <v>45163</v>
      </c>
      <c r="P1071" s="6" t="s">
        <v>10944</v>
      </c>
      <c r="Q1071" s="6" t="s">
        <v>81</v>
      </c>
      <c r="R1071" s="6" t="s">
        <v>81</v>
      </c>
      <c r="S1071" s="6" t="s">
        <v>10886</v>
      </c>
      <c r="T1071" s="16" t="n">
        <v>45237</v>
      </c>
      <c r="U1071" s="6" t="s">
        <v>13169</v>
      </c>
      <c r="V1071" s="6" t="s">
        <v>81</v>
      </c>
      <c r="W1071" s="6" t="s">
        <v>81</v>
      </c>
      <c r="X1071" s="6" t="s">
        <v>81</v>
      </c>
      <c r="Y1071" s="21" t="s">
        <v>81</v>
      </c>
      <c r="Z1071" s="6" t="s">
        <v>81</v>
      </c>
      <c r="AA1071" s="6" t="s">
        <v>81</v>
      </c>
      <c r="AB1071" s="6" t="s">
        <v>81</v>
      </c>
      <c r="AC1071" s="6" t="s">
        <v>81</v>
      </c>
      <c r="AD1071" s="21" t="s">
        <v>81</v>
      </c>
      <c r="AE1071" s="6" t="s">
        <v>81</v>
      </c>
      <c r="AF1071" s="6" t="s">
        <v>81</v>
      </c>
      <c r="AG1071" s="6" t="s">
        <v>81</v>
      </c>
      <c r="AH1071" s="6" t="s">
        <v>15644</v>
      </c>
      <c r="AI1071" s="6" t="s">
        <v>81</v>
      </c>
      <c r="AJ1071" s="6" t="s">
        <v>17490</v>
      </c>
      <c r="AK1071" s="6" t="s">
        <v>17712</v>
      </c>
      <c r="AL1071" s="6" t="s">
        <v>18444</v>
      </c>
      <c r="AM1071" s="6" t="s">
        <v>18650</v>
      </c>
      <c r="AN1071" s="6" t="s">
        <v>81</v>
      </c>
      <c r="AO1071" s="6" t="s">
        <v>81</v>
      </c>
      <c r="AP1071" s="6" t="s">
        <v>15644</v>
      </c>
      <c r="AQ1071" s="6" t="s">
        <v>81</v>
      </c>
      <c r="AR1071" s="6" t="s">
        <v>17490</v>
      </c>
      <c r="AS1071" s="6" t="s">
        <v>17712</v>
      </c>
      <c r="AT1071" s="6" t="s">
        <v>18444</v>
      </c>
      <c r="AU1071" s="6" t="s">
        <v>18650</v>
      </c>
      <c r="AV1071" s="6" t="s">
        <v>81</v>
      </c>
      <c r="AW1071" s="6" t="s">
        <v>81</v>
      </c>
      <c r="AX1071" s="6" t="s">
        <v>81</v>
      </c>
      <c r="AY1071" s="6" t="s">
        <v>81</v>
      </c>
      <c r="AZ1071" s="6" t="s">
        <v>81</v>
      </c>
      <c r="BA1071" s="6" t="s">
        <v>81</v>
      </c>
      <c r="BB1071" s="24" t="n">
        <v>131</v>
      </c>
      <c r="BC1071" s="26"/>
      <c r="BD1071" s="26"/>
      <c r="BE1071" s="26"/>
      <c r="BF1071" s="26" t="s">
        <v>23900</v>
      </c>
      <c r="BG1071" s="26"/>
      <c r="BH1071" s="26"/>
      <c r="BI1071" s="26"/>
      <c r="BJ1071" s="26"/>
      <c r="BK1071" s="26"/>
      <c r="BL1071" s="26"/>
      <c r="BM1071" s="26"/>
      <c r="BN1071" s="26"/>
      <c r="BO1071" s="26"/>
      <c r="BP1071" s="16" t="n">
        <v>45737</v>
      </c>
      <c r="BQ1071" s="28" t="str">
        <f>HYPERLINK("https://organic.ams.usda.gov/Integrity/Certificate.aspx?cid=57&amp;nopid=3252023068")</f>
        <v>https://organic.ams.usda.gov/Integrity/Certificate.aspx?cid=57&amp;nopid=3252023068</v>
      </c>
    </row>
    <row r="1072">
      <c r="A1072" t="s">
        <v>3</v>
      </c>
      <c r="B1072" s="6" t="s">
        <v>9</v>
      </c>
      <c r="C1072" s="6" t="s">
        <v>56</v>
      </c>
      <c r="D1072" s="6" t="s">
        <v>102</v>
      </c>
      <c r="E1072" s="10" t="s">
        <v>1213</v>
      </c>
      <c r="F1072" s="6" t="s">
        <v>3941</v>
      </c>
      <c r="G1072" s="6" t="s">
        <v>81</v>
      </c>
      <c r="H1072" s="6" t="s">
        <v>6876</v>
      </c>
      <c r="I1072" s="6" t="s">
        <v>8976</v>
      </c>
      <c r="J1072" s="6" t="s">
        <v>9726</v>
      </c>
      <c r="K1072" s="6" t="s">
        <v>10886</v>
      </c>
      <c r="L1072" s="16" t="n">
        <v>42850</v>
      </c>
      <c r="M1072" s="16" t="n">
        <v>46113</v>
      </c>
      <c r="N1072" s="6" t="s">
        <v>10886</v>
      </c>
      <c r="O1072" s="16" t="n">
        <v>42850</v>
      </c>
      <c r="P1072" s="6" t="s">
        <v>10907</v>
      </c>
      <c r="Q1072" s="6" t="s">
        <v>81</v>
      </c>
      <c r="R1072" s="6" t="s">
        <v>12724</v>
      </c>
      <c r="S1072" s="6" t="s">
        <v>10886</v>
      </c>
      <c r="T1072" s="16" t="n">
        <v>42850</v>
      </c>
      <c r="U1072" s="6" t="s">
        <v>13227</v>
      </c>
      <c r="V1072" s="6" t="s">
        <v>81</v>
      </c>
      <c r="W1072" s="6" t="s">
        <v>12724</v>
      </c>
      <c r="X1072" s="6" t="s">
        <v>81</v>
      </c>
      <c r="Y1072" s="21" t="s">
        <v>81</v>
      </c>
      <c r="Z1072" s="6" t="s">
        <v>81</v>
      </c>
      <c r="AA1072" s="6" t="s">
        <v>81</v>
      </c>
      <c r="AB1072" s="6" t="s">
        <v>81</v>
      </c>
      <c r="AC1072" s="6" t="s">
        <v>81</v>
      </c>
      <c r="AD1072" s="21" t="s">
        <v>81</v>
      </c>
      <c r="AE1072" s="6" t="s">
        <v>81</v>
      </c>
      <c r="AF1072" s="6" t="s">
        <v>81</v>
      </c>
      <c r="AG1072" s="6" t="s">
        <v>81</v>
      </c>
      <c r="AH1072" s="6" t="s">
        <v>15645</v>
      </c>
      <c r="AI1072" s="6" t="s">
        <v>81</v>
      </c>
      <c r="AJ1072" s="6" t="s">
        <v>17315</v>
      </c>
      <c r="AK1072" s="6" t="s">
        <v>18379</v>
      </c>
      <c r="AL1072" s="6" t="s">
        <v>18444</v>
      </c>
      <c r="AM1072" s="6" t="s">
        <v>18467</v>
      </c>
      <c r="AN1072" s="6" t="s">
        <v>19637</v>
      </c>
      <c r="AO1072" s="6" t="s">
        <v>19723</v>
      </c>
      <c r="AP1072" s="6" t="s">
        <v>81</v>
      </c>
      <c r="AQ1072" s="6" t="s">
        <v>81</v>
      </c>
      <c r="AR1072" s="6" t="s">
        <v>81</v>
      </c>
      <c r="AS1072" s="6" t="s">
        <v>81</v>
      </c>
      <c r="AT1072" s="6" t="s">
        <v>81</v>
      </c>
      <c r="AU1072" s="6" t="s">
        <v>81</v>
      </c>
      <c r="AV1072" s="6" t="s">
        <v>81</v>
      </c>
      <c r="AW1072" s="6" t="s">
        <v>81</v>
      </c>
      <c r="AX1072" s="6" t="s">
        <v>81</v>
      </c>
      <c r="AY1072" s="6" t="s">
        <v>81</v>
      </c>
      <c r="AZ1072" s="6" t="s">
        <v>81</v>
      </c>
      <c r="BA1072" s="6" t="s">
        <v>81</v>
      </c>
      <c r="BB1072" s="24" t="n">
        <v>78</v>
      </c>
      <c r="BC1072" s="26"/>
      <c r="BD1072" s="26"/>
      <c r="BE1072" s="26"/>
      <c r="BF1072" s="26"/>
      <c r="BG1072" s="26"/>
      <c r="BH1072" s="26"/>
      <c r="BI1072" s="26"/>
      <c r="BJ1072" s="26"/>
      <c r="BK1072" s="26"/>
      <c r="BL1072" s="26"/>
      <c r="BM1072" s="26"/>
      <c r="BN1072" s="26"/>
      <c r="BO1072" s="26"/>
      <c r="BP1072" s="16" t="n">
        <v>45738</v>
      </c>
      <c r="BQ1072" s="28" t="str">
        <f>HYPERLINK("https://organic.ams.usda.gov/Integrity/Certificate.aspx?cid=52&amp;nopid=8431701162")</f>
        <v>https://organic.ams.usda.gov/Integrity/Certificate.aspx?cid=52&amp;nopid=8431701162</v>
      </c>
    </row>
    <row r="1073">
      <c r="A1073" t="s">
        <v>3</v>
      </c>
      <c r="B1073" s="6" t="s">
        <v>21</v>
      </c>
      <c r="C1073" s="6" t="s">
        <v>68</v>
      </c>
      <c r="D1073" s="6" t="s">
        <v>114</v>
      </c>
      <c r="E1073" s="10" t="s">
        <v>1214</v>
      </c>
      <c r="F1073" s="6" t="s">
        <v>3942</v>
      </c>
      <c r="G1073" s="6" t="s">
        <v>81</v>
      </c>
      <c r="H1073" s="6" t="s">
        <v>6877</v>
      </c>
      <c r="I1073" s="6" t="s">
        <v>9003</v>
      </c>
      <c r="J1073" s="6" t="s">
        <v>10199</v>
      </c>
      <c r="K1073" s="6" t="s">
        <v>10886</v>
      </c>
      <c r="L1073" s="16" t="n">
        <v>45469</v>
      </c>
      <c r="M1073" s="16" t="n">
        <v>46023</v>
      </c>
      <c r="N1073" s="6" t="s">
        <v>81</v>
      </c>
      <c r="O1073" s="21" t="s">
        <v>81</v>
      </c>
      <c r="P1073" s="6" t="s">
        <v>81</v>
      </c>
      <c r="Q1073" s="6" t="s">
        <v>81</v>
      </c>
      <c r="R1073" s="6" t="s">
        <v>81</v>
      </c>
      <c r="S1073" s="6" t="s">
        <v>81</v>
      </c>
      <c r="T1073" s="21" t="s">
        <v>81</v>
      </c>
      <c r="U1073" s="6" t="s">
        <v>81</v>
      </c>
      <c r="V1073" s="6" t="s">
        <v>81</v>
      </c>
      <c r="W1073" s="6" t="s">
        <v>81</v>
      </c>
      <c r="X1073" s="6" t="s">
        <v>81</v>
      </c>
      <c r="Y1073" s="21" t="s">
        <v>81</v>
      </c>
      <c r="Z1073" s="6" t="s">
        <v>81</v>
      </c>
      <c r="AA1073" s="6" t="s">
        <v>81</v>
      </c>
      <c r="AB1073" s="6" t="s">
        <v>81</v>
      </c>
      <c r="AC1073" s="6" t="s">
        <v>10886</v>
      </c>
      <c r="AD1073" s="16" t="n">
        <v>45469</v>
      </c>
      <c r="AE1073" s="6" t="s">
        <v>14225</v>
      </c>
      <c r="AF1073" s="6" t="s">
        <v>81</v>
      </c>
      <c r="AG1073" s="6" t="s">
        <v>81</v>
      </c>
      <c r="AH1073" s="6" t="s">
        <v>81</v>
      </c>
      <c r="AI1073" s="6" t="s">
        <v>81</v>
      </c>
      <c r="AJ1073" s="6" t="s">
        <v>81</v>
      </c>
      <c r="AK1073" s="6" t="s">
        <v>81</v>
      </c>
      <c r="AL1073" s="6" t="s">
        <v>81</v>
      </c>
      <c r="AM1073" s="6" t="s">
        <v>81</v>
      </c>
      <c r="AN1073" s="6" t="s">
        <v>81</v>
      </c>
      <c r="AO1073" s="6" t="s">
        <v>81</v>
      </c>
      <c r="AP1073" s="6" t="s">
        <v>20248</v>
      </c>
      <c r="AQ1073" s="6" t="s">
        <v>20480</v>
      </c>
      <c r="AR1073" s="6" t="s">
        <v>20531</v>
      </c>
      <c r="AS1073" s="6" t="s">
        <v>18385</v>
      </c>
      <c r="AT1073" s="6" t="s">
        <v>18444</v>
      </c>
      <c r="AU1073" s="6" t="s">
        <v>20654</v>
      </c>
      <c r="AV1073" s="6" t="s">
        <v>81</v>
      </c>
      <c r="AW1073" s="6" t="s">
        <v>81</v>
      </c>
      <c r="AX1073" s="6" t="s">
        <v>21425</v>
      </c>
      <c r="AY1073" s="6" t="s">
        <v>22957</v>
      </c>
      <c r="AZ1073" s="6" t="s">
        <v>81</v>
      </c>
      <c r="BA1073" s="6" t="s">
        <v>81</v>
      </c>
      <c r="BB1073" s="6" t="s">
        <v>81</v>
      </c>
      <c r="BC1073" s="26" t="s">
        <v>23900</v>
      </c>
      <c r="BD1073" s="26"/>
      <c r="BE1073" s="26"/>
      <c r="BF1073" s="26"/>
      <c r="BG1073" s="26"/>
      <c r="BH1073" s="26"/>
      <c r="BI1073" s="26"/>
      <c r="BJ1073" s="26"/>
      <c r="BK1073" s="26"/>
      <c r="BL1073" s="26"/>
      <c r="BM1073" s="26"/>
      <c r="BN1073" s="26"/>
      <c r="BO1073" s="26"/>
      <c r="BP1073" s="16" t="n">
        <v>45628</v>
      </c>
      <c r="BQ1073" s="28" t="str">
        <f>HYPERLINK("https://organic.ams.usda.gov/Integrity/Certificate.aspx?cid=62&amp;nopid=8150025214")</f>
        <v>https://organic.ams.usda.gov/Integrity/Certificate.aspx?cid=62&amp;nopid=8150025214</v>
      </c>
    </row>
    <row r="1074">
      <c r="A1074" t="s">
        <v>3</v>
      </c>
      <c r="B1074" s="6" t="s">
        <v>7</v>
      </c>
      <c r="C1074" s="6" t="s">
        <v>54</v>
      </c>
      <c r="D1074" s="6" t="s">
        <v>100</v>
      </c>
      <c r="E1074" s="10" t="s">
        <v>1215</v>
      </c>
      <c r="F1074" s="6" t="s">
        <v>3943</v>
      </c>
      <c r="G1074" s="6" t="s">
        <v>81</v>
      </c>
      <c r="H1074" s="6" t="s">
        <v>6878</v>
      </c>
      <c r="I1074" s="6" t="s">
        <v>8887</v>
      </c>
      <c r="J1074" s="6" t="s">
        <v>9675</v>
      </c>
      <c r="K1074" s="6" t="s">
        <v>10886</v>
      </c>
      <c r="L1074" s="16" t="n">
        <v>42635</v>
      </c>
      <c r="M1074" s="16" t="n">
        <v>45716</v>
      </c>
      <c r="N1074" s="6" t="s">
        <v>10886</v>
      </c>
      <c r="O1074" s="16" t="n">
        <v>42635</v>
      </c>
      <c r="P1074" s="6" t="s">
        <v>11015</v>
      </c>
      <c r="Q1074" s="6" t="s">
        <v>81</v>
      </c>
      <c r="R1074" s="6" t="s">
        <v>81</v>
      </c>
      <c r="S1074" s="6" t="s">
        <v>10886</v>
      </c>
      <c r="T1074" s="16" t="n">
        <v>42887</v>
      </c>
      <c r="U1074" s="6" t="s">
        <v>13169</v>
      </c>
      <c r="V1074" s="6" t="s">
        <v>81</v>
      </c>
      <c r="W1074" s="6" t="s">
        <v>81</v>
      </c>
      <c r="X1074" s="6" t="s">
        <v>81</v>
      </c>
      <c r="Y1074" s="21" t="s">
        <v>81</v>
      </c>
      <c r="Z1074" s="6" t="s">
        <v>81</v>
      </c>
      <c r="AA1074" s="6" t="s">
        <v>81</v>
      </c>
      <c r="AB1074" s="6" t="s">
        <v>81</v>
      </c>
      <c r="AC1074" s="6" t="s">
        <v>81</v>
      </c>
      <c r="AD1074" s="21" t="s">
        <v>81</v>
      </c>
      <c r="AE1074" s="6" t="s">
        <v>81</v>
      </c>
      <c r="AF1074" s="6" t="s">
        <v>81</v>
      </c>
      <c r="AG1074" s="6" t="s">
        <v>81</v>
      </c>
      <c r="AH1074" s="6" t="s">
        <v>15646</v>
      </c>
      <c r="AI1074" s="6" t="s">
        <v>81</v>
      </c>
      <c r="AJ1074" s="6" t="s">
        <v>17644</v>
      </c>
      <c r="AK1074" s="6" t="s">
        <v>17712</v>
      </c>
      <c r="AL1074" s="6" t="s">
        <v>18444</v>
      </c>
      <c r="AM1074" s="6" t="s">
        <v>18813</v>
      </c>
      <c r="AN1074" s="6" t="s">
        <v>19684</v>
      </c>
      <c r="AO1074" s="6" t="s">
        <v>19784</v>
      </c>
      <c r="AP1074" s="6" t="s">
        <v>15646</v>
      </c>
      <c r="AQ1074" s="6" t="s">
        <v>81</v>
      </c>
      <c r="AR1074" s="6" t="s">
        <v>17644</v>
      </c>
      <c r="AS1074" s="6" t="s">
        <v>17712</v>
      </c>
      <c r="AT1074" s="6" t="s">
        <v>18444</v>
      </c>
      <c r="AU1074" s="6" t="s">
        <v>18813</v>
      </c>
      <c r="AV1074" s="6" t="s">
        <v>81</v>
      </c>
      <c r="AW1074" s="6" t="s">
        <v>81</v>
      </c>
      <c r="AX1074" s="6" t="s">
        <v>81</v>
      </c>
      <c r="AY1074" s="6" t="s">
        <v>81</v>
      </c>
      <c r="AZ1074" s="6" t="s">
        <v>81</v>
      </c>
      <c r="BA1074" s="6" t="s">
        <v>81</v>
      </c>
      <c r="BB1074" s="24" t="n">
        <v>71</v>
      </c>
      <c r="BC1074" s="26"/>
      <c r="BD1074" s="26"/>
      <c r="BE1074" s="26"/>
      <c r="BF1074" s="26" t="s">
        <v>23900</v>
      </c>
      <c r="BG1074" s="26"/>
      <c r="BH1074" s="26"/>
      <c r="BI1074" s="26"/>
      <c r="BJ1074" s="26"/>
      <c r="BK1074" s="26"/>
      <c r="BL1074" s="26"/>
      <c r="BM1074" s="26"/>
      <c r="BN1074" s="26"/>
      <c r="BO1074" s="26"/>
      <c r="BP1074" s="16" t="n">
        <v>45595</v>
      </c>
      <c r="BQ1074" s="28" t="str">
        <f>HYPERLINK("https://organic.ams.usda.gov/Integrity/Certificate.aspx?cid=57&amp;nopid=3252016144")</f>
        <v>https://organic.ams.usda.gov/Integrity/Certificate.aspx?cid=57&amp;nopid=3252016144</v>
      </c>
    </row>
    <row r="1075">
      <c r="A1075" t="s">
        <v>3</v>
      </c>
      <c r="B1075" s="6" t="s">
        <v>7</v>
      </c>
      <c r="C1075" s="6" t="s">
        <v>54</v>
      </c>
      <c r="D1075" s="6" t="s">
        <v>100</v>
      </c>
      <c r="E1075" s="10" t="s">
        <v>1216</v>
      </c>
      <c r="F1075" s="6" t="s">
        <v>3944</v>
      </c>
      <c r="G1075" s="6" t="s">
        <v>81</v>
      </c>
      <c r="H1075" s="6" t="s">
        <v>6879</v>
      </c>
      <c r="I1075" s="6" t="s">
        <v>9004</v>
      </c>
      <c r="J1075" s="6" t="s">
        <v>9887</v>
      </c>
      <c r="K1075" s="6" t="s">
        <v>10886</v>
      </c>
      <c r="L1075" s="16" t="n">
        <v>42633</v>
      </c>
      <c r="M1075" s="16" t="n">
        <v>45716</v>
      </c>
      <c r="N1075" s="6" t="s">
        <v>10886</v>
      </c>
      <c r="O1075" s="16" t="n">
        <v>42633</v>
      </c>
      <c r="P1075" s="6" t="s">
        <v>10910</v>
      </c>
      <c r="Q1075" s="6" t="s">
        <v>81</v>
      </c>
      <c r="R1075" s="6" t="s">
        <v>81</v>
      </c>
      <c r="S1075" s="6" t="s">
        <v>10886</v>
      </c>
      <c r="T1075" s="16" t="n">
        <v>42899</v>
      </c>
      <c r="U1075" s="6" t="s">
        <v>13530</v>
      </c>
      <c r="V1075" s="6" t="s">
        <v>81</v>
      </c>
      <c r="W1075" s="6" t="s">
        <v>81</v>
      </c>
      <c r="X1075" s="6" t="s">
        <v>81</v>
      </c>
      <c r="Y1075" s="21" t="s">
        <v>81</v>
      </c>
      <c r="Z1075" s="6" t="s">
        <v>81</v>
      </c>
      <c r="AA1075" s="6" t="s">
        <v>81</v>
      </c>
      <c r="AB1075" s="6" t="s">
        <v>81</v>
      </c>
      <c r="AC1075" s="6" t="s">
        <v>81</v>
      </c>
      <c r="AD1075" s="21" t="s">
        <v>81</v>
      </c>
      <c r="AE1075" s="6" t="s">
        <v>81</v>
      </c>
      <c r="AF1075" s="6" t="s">
        <v>81</v>
      </c>
      <c r="AG1075" s="6" t="s">
        <v>81</v>
      </c>
      <c r="AH1075" s="6" t="s">
        <v>15647</v>
      </c>
      <c r="AI1075" s="6" t="s">
        <v>81</v>
      </c>
      <c r="AJ1075" s="6" t="s">
        <v>17764</v>
      </c>
      <c r="AK1075" s="6" t="s">
        <v>17712</v>
      </c>
      <c r="AL1075" s="6" t="s">
        <v>18444</v>
      </c>
      <c r="AM1075" s="6" t="s">
        <v>18937</v>
      </c>
      <c r="AN1075" s="6" t="s">
        <v>19669</v>
      </c>
      <c r="AO1075" s="6" t="s">
        <v>19790</v>
      </c>
      <c r="AP1075" s="6" t="s">
        <v>15647</v>
      </c>
      <c r="AQ1075" s="6" t="s">
        <v>81</v>
      </c>
      <c r="AR1075" s="6" t="s">
        <v>17764</v>
      </c>
      <c r="AS1075" s="6" t="s">
        <v>17712</v>
      </c>
      <c r="AT1075" s="6" t="s">
        <v>18444</v>
      </c>
      <c r="AU1075" s="6" t="s">
        <v>18937</v>
      </c>
      <c r="AV1075" s="6" t="s">
        <v>81</v>
      </c>
      <c r="AW1075" s="6" t="s">
        <v>81</v>
      </c>
      <c r="AX1075" s="6" t="s">
        <v>21426</v>
      </c>
      <c r="AY1075" s="6" t="s">
        <v>22958</v>
      </c>
      <c r="AZ1075" s="6" t="s">
        <v>81</v>
      </c>
      <c r="BA1075" s="6" t="s">
        <v>81</v>
      </c>
      <c r="BB1075" s="24" t="n">
        <v>1212</v>
      </c>
      <c r="BC1075" s="26"/>
      <c r="BD1075" s="26"/>
      <c r="BE1075" s="26"/>
      <c r="BF1075" s="26" t="s">
        <v>23900</v>
      </c>
      <c r="BG1075" s="26"/>
      <c r="BH1075" s="26"/>
      <c r="BI1075" s="26"/>
      <c r="BJ1075" s="26"/>
      <c r="BK1075" s="26"/>
      <c r="BL1075" s="26"/>
      <c r="BM1075" s="26"/>
      <c r="BN1075" s="26"/>
      <c r="BO1075" s="26"/>
      <c r="BP1075" s="16" t="n">
        <v>45686</v>
      </c>
      <c r="BQ1075" s="28" t="str">
        <f>HYPERLINK("https://organic.ams.usda.gov/Integrity/Certificate.aspx?cid=57&amp;nopid=3252016121")</f>
        <v>https://organic.ams.usda.gov/Integrity/Certificate.aspx?cid=57&amp;nopid=3252016121</v>
      </c>
    </row>
    <row r="1076">
      <c r="A1076" t="s">
        <v>3</v>
      </c>
      <c r="B1076" s="6" t="s">
        <v>19</v>
      </c>
      <c r="C1076" s="6" t="s">
        <v>66</v>
      </c>
      <c r="D1076" s="6" t="s">
        <v>112</v>
      </c>
      <c r="E1076" s="10" t="s">
        <v>1217</v>
      </c>
      <c r="F1076" s="6" t="s">
        <v>3945</v>
      </c>
      <c r="G1076" s="6" t="s">
        <v>81</v>
      </c>
      <c r="H1076" s="6" t="s">
        <v>6880</v>
      </c>
      <c r="I1076" s="6" t="s">
        <v>81</v>
      </c>
      <c r="J1076" s="6" t="s">
        <v>10200</v>
      </c>
      <c r="K1076" s="6" t="s">
        <v>10886</v>
      </c>
      <c r="L1076" s="16" t="n">
        <v>45327</v>
      </c>
      <c r="M1076" s="16" t="n">
        <v>45870</v>
      </c>
      <c r="N1076" s="6" t="s">
        <v>81</v>
      </c>
      <c r="O1076" s="21" t="s">
        <v>81</v>
      </c>
      <c r="P1076" s="6" t="s">
        <v>81</v>
      </c>
      <c r="Q1076" s="6" t="s">
        <v>81</v>
      </c>
      <c r="R1076" s="6" t="s">
        <v>81</v>
      </c>
      <c r="S1076" s="6" t="s">
        <v>81</v>
      </c>
      <c r="T1076" s="21" t="s">
        <v>81</v>
      </c>
      <c r="U1076" s="6" t="s">
        <v>81</v>
      </c>
      <c r="V1076" s="6" t="s">
        <v>81</v>
      </c>
      <c r="W1076" s="6" t="s">
        <v>81</v>
      </c>
      <c r="X1076" s="6" t="s">
        <v>81</v>
      </c>
      <c r="Y1076" s="21" t="s">
        <v>81</v>
      </c>
      <c r="Z1076" s="6" t="s">
        <v>81</v>
      </c>
      <c r="AA1076" s="6" t="s">
        <v>81</v>
      </c>
      <c r="AB1076" s="6" t="s">
        <v>81</v>
      </c>
      <c r="AC1076" s="6" t="s">
        <v>10886</v>
      </c>
      <c r="AD1076" s="16" t="n">
        <v>45327</v>
      </c>
      <c r="AE1076" s="6" t="s">
        <v>14226</v>
      </c>
      <c r="AF1076" s="6" t="s">
        <v>81</v>
      </c>
      <c r="AG1076" s="6" t="s">
        <v>81</v>
      </c>
      <c r="AH1076" s="6" t="s">
        <v>15648</v>
      </c>
      <c r="AI1076" s="6" t="s">
        <v>81</v>
      </c>
      <c r="AJ1076" s="6" t="s">
        <v>17879</v>
      </c>
      <c r="AK1076" s="6" t="s">
        <v>18423</v>
      </c>
      <c r="AL1076" s="6" t="s">
        <v>18453</v>
      </c>
      <c r="AM1076" s="6" t="s">
        <v>19062</v>
      </c>
      <c r="AN1076" s="6" t="s">
        <v>81</v>
      </c>
      <c r="AO1076" s="6" t="s">
        <v>81</v>
      </c>
      <c r="AP1076" s="6" t="s">
        <v>81</v>
      </c>
      <c r="AQ1076" s="6" t="s">
        <v>81</v>
      </c>
      <c r="AR1076" s="6" t="s">
        <v>81</v>
      </c>
      <c r="AS1076" s="6" t="s">
        <v>81</v>
      </c>
      <c r="AT1076" s="6" t="s">
        <v>81</v>
      </c>
      <c r="AU1076" s="6" t="s">
        <v>81</v>
      </c>
      <c r="AV1076" s="6" t="s">
        <v>81</v>
      </c>
      <c r="AW1076" s="6" t="s">
        <v>81</v>
      </c>
      <c r="AX1076" s="6" t="s">
        <v>21427</v>
      </c>
      <c r="AY1076" s="6" t="s">
        <v>22959</v>
      </c>
      <c r="AZ1076" s="6" t="s">
        <v>81</v>
      </c>
      <c r="BA1076" s="6" t="s">
        <v>81</v>
      </c>
      <c r="BB1076" s="24" t="n">
        <v>0</v>
      </c>
      <c r="BC1076" s="26"/>
      <c r="BD1076" s="26"/>
      <c r="BE1076" s="26"/>
      <c r="BF1076" s="26"/>
      <c r="BG1076" s="26"/>
      <c r="BH1076" s="26"/>
      <c r="BI1076" s="26"/>
      <c r="BJ1076" s="26"/>
      <c r="BK1076" s="26"/>
      <c r="BL1076" s="26"/>
      <c r="BM1076" s="26"/>
      <c r="BN1076" s="26"/>
      <c r="BO1076" s="26"/>
      <c r="BP1076" s="16" t="n">
        <v>45652</v>
      </c>
      <c r="BQ1076" s="28" t="str">
        <f>HYPERLINK("https://organic.ams.usda.gov/Integrity/Certificate.aspx?cid=24&amp;nopid=7880289220")</f>
        <v>https://organic.ams.usda.gov/Integrity/Certificate.aspx?cid=24&amp;nopid=7880289220</v>
      </c>
    </row>
    <row r="1077">
      <c r="A1077" t="s">
        <v>3</v>
      </c>
      <c r="B1077" s="6" t="s">
        <v>7</v>
      </c>
      <c r="C1077" s="6" t="s">
        <v>54</v>
      </c>
      <c r="D1077" s="6" t="s">
        <v>100</v>
      </c>
      <c r="E1077" s="10" t="s">
        <v>1218</v>
      </c>
      <c r="F1077" s="6" t="s">
        <v>3946</v>
      </c>
      <c r="G1077" s="6" t="s">
        <v>81</v>
      </c>
      <c r="H1077" s="6" t="s">
        <v>6881</v>
      </c>
      <c r="I1077" s="6" t="s">
        <v>8944</v>
      </c>
      <c r="J1077" s="6" t="s">
        <v>10201</v>
      </c>
      <c r="K1077" s="6" t="s">
        <v>10886</v>
      </c>
      <c r="L1077" s="16" t="n">
        <v>43724</v>
      </c>
      <c r="M1077" s="16" t="n">
        <v>45672</v>
      </c>
      <c r="N1077" s="6" t="s">
        <v>81</v>
      </c>
      <c r="O1077" s="21" t="s">
        <v>81</v>
      </c>
      <c r="P1077" s="6" t="s">
        <v>81</v>
      </c>
      <c r="Q1077" s="6" t="s">
        <v>81</v>
      </c>
      <c r="R1077" s="6" t="s">
        <v>81</v>
      </c>
      <c r="S1077" s="6" t="s">
        <v>81</v>
      </c>
      <c r="T1077" s="21" t="s">
        <v>81</v>
      </c>
      <c r="U1077" s="6" t="s">
        <v>81</v>
      </c>
      <c r="V1077" s="6" t="s">
        <v>81</v>
      </c>
      <c r="W1077" s="6" t="s">
        <v>81</v>
      </c>
      <c r="X1077" s="6" t="s">
        <v>81</v>
      </c>
      <c r="Y1077" s="21" t="s">
        <v>81</v>
      </c>
      <c r="Z1077" s="6" t="s">
        <v>81</v>
      </c>
      <c r="AA1077" s="6" t="s">
        <v>81</v>
      </c>
      <c r="AB1077" s="6" t="s">
        <v>81</v>
      </c>
      <c r="AC1077" s="6" t="s">
        <v>10886</v>
      </c>
      <c r="AD1077" s="16" t="n">
        <v>43724</v>
      </c>
      <c r="AE1077" s="6" t="s">
        <v>14227</v>
      </c>
      <c r="AF1077" s="6" t="s">
        <v>81</v>
      </c>
      <c r="AG1077" s="6" t="s">
        <v>81</v>
      </c>
      <c r="AH1077" s="6" t="s">
        <v>15649</v>
      </c>
      <c r="AI1077" s="6" t="s">
        <v>81</v>
      </c>
      <c r="AJ1077" s="6" t="s">
        <v>17880</v>
      </c>
      <c r="AK1077" s="6" t="s">
        <v>17712</v>
      </c>
      <c r="AL1077" s="6" t="s">
        <v>18444</v>
      </c>
      <c r="AM1077" s="6" t="s">
        <v>19063</v>
      </c>
      <c r="AN1077" s="6" t="s">
        <v>6332</v>
      </c>
      <c r="AO1077" s="6" t="s">
        <v>19965</v>
      </c>
      <c r="AP1077" s="6" t="s">
        <v>15649</v>
      </c>
      <c r="AQ1077" s="6" t="s">
        <v>81</v>
      </c>
      <c r="AR1077" s="6" t="s">
        <v>17880</v>
      </c>
      <c r="AS1077" s="6" t="s">
        <v>17712</v>
      </c>
      <c r="AT1077" s="6" t="s">
        <v>18444</v>
      </c>
      <c r="AU1077" s="6" t="s">
        <v>19063</v>
      </c>
      <c r="AV1077" s="6" t="s">
        <v>81</v>
      </c>
      <c r="AW1077" s="6" t="s">
        <v>81</v>
      </c>
      <c r="AX1077" s="6" t="s">
        <v>21428</v>
      </c>
      <c r="AY1077" s="6" t="s">
        <v>81</v>
      </c>
      <c r="AZ1077" s="6" t="s">
        <v>23682</v>
      </c>
      <c r="BA1077" s="6" t="s">
        <v>81</v>
      </c>
      <c r="BB1077" s="24" t="n">
        <v>0</v>
      </c>
      <c r="BC1077" s="26"/>
      <c r="BD1077" s="26"/>
      <c r="BE1077" s="26"/>
      <c r="BF1077" s="26"/>
      <c r="BG1077" s="26"/>
      <c r="BH1077" s="26"/>
      <c r="BI1077" s="26"/>
      <c r="BJ1077" s="26"/>
      <c r="BK1077" s="26"/>
      <c r="BL1077" s="26"/>
      <c r="BM1077" s="26"/>
      <c r="BN1077" s="26"/>
      <c r="BO1077" s="26"/>
      <c r="BP1077" s="16" t="n">
        <v>45709</v>
      </c>
      <c r="BQ1077" s="28" t="str">
        <f>HYPERLINK("https://organic.ams.usda.gov/Integrity/Certificate.aspx?cid=57&amp;nopid=3252019079")</f>
        <v>https://organic.ams.usda.gov/Integrity/Certificate.aspx?cid=57&amp;nopid=3252019079</v>
      </c>
    </row>
    <row r="1078">
      <c r="A1078" t="s">
        <v>3</v>
      </c>
      <c r="B1078" s="6" t="s">
        <v>7</v>
      </c>
      <c r="C1078" s="6" t="s">
        <v>54</v>
      </c>
      <c r="D1078" s="6" t="s">
        <v>100</v>
      </c>
      <c r="E1078" s="10" t="s">
        <v>1219</v>
      </c>
      <c r="F1078" s="6" t="s">
        <v>3947</v>
      </c>
      <c r="G1078" s="6" t="s">
        <v>81</v>
      </c>
      <c r="H1078" s="6" t="s">
        <v>6882</v>
      </c>
      <c r="I1078" s="6" t="s">
        <v>8830</v>
      </c>
      <c r="J1078" s="6" t="s">
        <v>9936</v>
      </c>
      <c r="K1078" s="6" t="s">
        <v>10886</v>
      </c>
      <c r="L1078" s="16" t="n">
        <v>44439</v>
      </c>
      <c r="M1078" s="16" t="n">
        <v>45716</v>
      </c>
      <c r="N1078" s="6" t="s">
        <v>10886</v>
      </c>
      <c r="O1078" s="16" t="n">
        <v>44439</v>
      </c>
      <c r="P1078" s="6" t="s">
        <v>10944</v>
      </c>
      <c r="Q1078" s="6" t="s">
        <v>81</v>
      </c>
      <c r="R1078" s="6" t="s">
        <v>81</v>
      </c>
      <c r="S1078" s="6" t="s">
        <v>10886</v>
      </c>
      <c r="T1078" s="16" t="n">
        <v>44439</v>
      </c>
      <c r="U1078" s="6" t="s">
        <v>13160</v>
      </c>
      <c r="V1078" s="6" t="s">
        <v>81</v>
      </c>
      <c r="W1078" s="6" t="s">
        <v>81</v>
      </c>
      <c r="X1078" s="6" t="s">
        <v>81</v>
      </c>
      <c r="Y1078" s="21" t="s">
        <v>81</v>
      </c>
      <c r="Z1078" s="6" t="s">
        <v>81</v>
      </c>
      <c r="AA1078" s="6" t="s">
        <v>81</v>
      </c>
      <c r="AB1078" s="6" t="s">
        <v>81</v>
      </c>
      <c r="AC1078" s="6" t="s">
        <v>81</v>
      </c>
      <c r="AD1078" s="21" t="s">
        <v>81</v>
      </c>
      <c r="AE1078" s="6" t="s">
        <v>81</v>
      </c>
      <c r="AF1078" s="6" t="s">
        <v>81</v>
      </c>
      <c r="AG1078" s="6" t="s">
        <v>81</v>
      </c>
      <c r="AH1078" s="6" t="s">
        <v>15650</v>
      </c>
      <c r="AI1078" s="6" t="s">
        <v>81</v>
      </c>
      <c r="AJ1078" s="6" t="s">
        <v>17648</v>
      </c>
      <c r="AK1078" s="6" t="s">
        <v>17712</v>
      </c>
      <c r="AL1078" s="6" t="s">
        <v>18444</v>
      </c>
      <c r="AM1078" s="6" t="s">
        <v>18817</v>
      </c>
      <c r="AN1078" s="6" t="s">
        <v>19670</v>
      </c>
      <c r="AO1078" s="6" t="s">
        <v>19782</v>
      </c>
      <c r="AP1078" s="6" t="s">
        <v>15650</v>
      </c>
      <c r="AQ1078" s="6" t="s">
        <v>81</v>
      </c>
      <c r="AR1078" s="6" t="s">
        <v>17648</v>
      </c>
      <c r="AS1078" s="6" t="s">
        <v>17712</v>
      </c>
      <c r="AT1078" s="6" t="s">
        <v>18444</v>
      </c>
      <c r="AU1078" s="6" t="s">
        <v>18817</v>
      </c>
      <c r="AV1078" s="6" t="s">
        <v>81</v>
      </c>
      <c r="AW1078" s="6" t="s">
        <v>81</v>
      </c>
      <c r="AX1078" s="6" t="s">
        <v>81</v>
      </c>
      <c r="AY1078" s="6" t="s">
        <v>81</v>
      </c>
      <c r="AZ1078" s="6" t="s">
        <v>81</v>
      </c>
      <c r="BA1078" s="6" t="s">
        <v>81</v>
      </c>
      <c r="BB1078" s="24" t="n">
        <v>156</v>
      </c>
      <c r="BC1078" s="26"/>
      <c r="BD1078" s="26"/>
      <c r="BE1078" s="26"/>
      <c r="BF1078" s="26" t="s">
        <v>23900</v>
      </c>
      <c r="BG1078" s="26"/>
      <c r="BH1078" s="26"/>
      <c r="BI1078" s="26"/>
      <c r="BJ1078" s="26"/>
      <c r="BK1078" s="26"/>
      <c r="BL1078" s="26"/>
      <c r="BM1078" s="26"/>
      <c r="BN1078" s="26"/>
      <c r="BO1078" s="26"/>
      <c r="BP1078" s="16" t="n">
        <v>45595</v>
      </c>
      <c r="BQ1078" s="28" t="str">
        <f>HYPERLINK("https://organic.ams.usda.gov/Integrity/Certificate.aspx?cid=57&amp;nopid=3252021081")</f>
        <v>https://organic.ams.usda.gov/Integrity/Certificate.aspx?cid=57&amp;nopid=3252021081</v>
      </c>
    </row>
    <row r="1079">
      <c r="A1079" t="s">
        <v>3</v>
      </c>
      <c r="B1079" s="6" t="s">
        <v>8</v>
      </c>
      <c r="C1079" s="6" t="s">
        <v>55</v>
      </c>
      <c r="D1079" s="6" t="s">
        <v>101</v>
      </c>
      <c r="E1079" s="10" t="s">
        <v>1220</v>
      </c>
      <c r="F1079" s="6" t="s">
        <v>3948</v>
      </c>
      <c r="G1079" s="6" t="s">
        <v>81</v>
      </c>
      <c r="H1079" s="6" t="s">
        <v>6883</v>
      </c>
      <c r="I1079" s="6" t="s">
        <v>8861</v>
      </c>
      <c r="J1079" s="6" t="s">
        <v>10202</v>
      </c>
      <c r="K1079" s="6" t="s">
        <v>10886</v>
      </c>
      <c r="L1079" s="16" t="n">
        <v>40861</v>
      </c>
      <c r="M1079" s="16" t="n">
        <v>45748</v>
      </c>
      <c r="N1079" s="6" t="s">
        <v>10886</v>
      </c>
      <c r="O1079" s="16" t="n">
        <v>40861</v>
      </c>
      <c r="P1079" s="6" t="s">
        <v>11535</v>
      </c>
      <c r="Q1079" s="6" t="s">
        <v>81</v>
      </c>
      <c r="R1079" s="6" t="s">
        <v>6883</v>
      </c>
      <c r="S1079" s="6" t="s">
        <v>10886</v>
      </c>
      <c r="T1079" s="16" t="n">
        <v>40861</v>
      </c>
      <c r="U1079" s="6" t="s">
        <v>13531</v>
      </c>
      <c r="V1079" s="6" t="s">
        <v>81</v>
      </c>
      <c r="W1079" s="6" t="s">
        <v>6883</v>
      </c>
      <c r="X1079" s="6" t="s">
        <v>81</v>
      </c>
      <c r="Y1079" s="21" t="s">
        <v>81</v>
      </c>
      <c r="Z1079" s="6" t="s">
        <v>81</v>
      </c>
      <c r="AA1079" s="6" t="s">
        <v>81</v>
      </c>
      <c r="AB1079" s="6" t="s">
        <v>81</v>
      </c>
      <c r="AC1079" s="6" t="s">
        <v>81</v>
      </c>
      <c r="AD1079" s="21" t="s">
        <v>81</v>
      </c>
      <c r="AE1079" s="6" t="s">
        <v>81</v>
      </c>
      <c r="AF1079" s="6" t="s">
        <v>81</v>
      </c>
      <c r="AG1079" s="6" t="s">
        <v>81</v>
      </c>
      <c r="AH1079" s="6" t="s">
        <v>15651</v>
      </c>
      <c r="AI1079" s="6" t="s">
        <v>81</v>
      </c>
      <c r="AJ1079" s="6" t="s">
        <v>17881</v>
      </c>
      <c r="AK1079" s="6" t="s">
        <v>18377</v>
      </c>
      <c r="AL1079" s="6" t="s">
        <v>18444</v>
      </c>
      <c r="AM1079" s="6" t="s">
        <v>19064</v>
      </c>
      <c r="AN1079" s="6" t="s">
        <v>19642</v>
      </c>
      <c r="AO1079" s="6" t="s">
        <v>19966</v>
      </c>
      <c r="AP1079" s="6" t="s">
        <v>81</v>
      </c>
      <c r="AQ1079" s="6" t="s">
        <v>81</v>
      </c>
      <c r="AR1079" s="6" t="s">
        <v>81</v>
      </c>
      <c r="AS1079" s="6" t="s">
        <v>81</v>
      </c>
      <c r="AT1079" s="6" t="s">
        <v>81</v>
      </c>
      <c r="AU1079" s="6" t="s">
        <v>81</v>
      </c>
      <c r="AV1079" s="6" t="s">
        <v>81</v>
      </c>
      <c r="AW1079" s="6" t="s">
        <v>81</v>
      </c>
      <c r="AX1079" s="6" t="s">
        <v>21429</v>
      </c>
      <c r="AY1079" s="6" t="s">
        <v>22960</v>
      </c>
      <c r="AZ1079" s="6" t="s">
        <v>81</v>
      </c>
      <c r="BA1079" s="6" t="s">
        <v>23824</v>
      </c>
      <c r="BB1079" s="24" t="n">
        <v>618</v>
      </c>
      <c r="BC1079" s="26"/>
      <c r="BD1079" s="26"/>
      <c r="BE1079" s="26"/>
      <c r="BF1079" s="26" t="s">
        <v>23900</v>
      </c>
      <c r="BG1079" s="26"/>
      <c r="BH1079" s="26"/>
      <c r="BI1079" s="26"/>
      <c r="BJ1079" s="26"/>
      <c r="BK1079" s="26"/>
      <c r="BL1079" s="26"/>
      <c r="BM1079" s="26"/>
      <c r="BN1079" s="26"/>
      <c r="BO1079" s="26"/>
      <c r="BP1079" s="16" t="n">
        <v>45631</v>
      </c>
      <c r="BQ1079" s="28" t="str">
        <f>HYPERLINK("https://organic.ams.usda.gov/Integrity/Certificate.aspx?cid=45&amp;nopid=9950004576")</f>
        <v>https://organic.ams.usda.gov/Integrity/Certificate.aspx?cid=45&amp;nopid=9950004576</v>
      </c>
    </row>
    <row r="1080">
      <c r="A1080" t="s">
        <v>3</v>
      </c>
      <c r="B1080" s="6" t="s">
        <v>7</v>
      </c>
      <c r="C1080" s="6" t="s">
        <v>54</v>
      </c>
      <c r="D1080" s="6" t="s">
        <v>100</v>
      </c>
      <c r="E1080" s="10" t="s">
        <v>1221</v>
      </c>
      <c r="F1080" s="6" t="s">
        <v>3949</v>
      </c>
      <c r="G1080" s="6" t="s">
        <v>81</v>
      </c>
      <c r="H1080" s="6" t="s">
        <v>6884</v>
      </c>
      <c r="I1080" s="6" t="s">
        <v>9005</v>
      </c>
      <c r="J1080" s="6" t="s">
        <v>9675</v>
      </c>
      <c r="K1080" s="6" t="s">
        <v>10886</v>
      </c>
      <c r="L1080" s="16" t="n">
        <v>40588</v>
      </c>
      <c r="M1080" s="16" t="n">
        <v>45716</v>
      </c>
      <c r="N1080" s="6" t="s">
        <v>10886</v>
      </c>
      <c r="O1080" s="16" t="n">
        <v>40588</v>
      </c>
      <c r="P1080" s="6" t="s">
        <v>10944</v>
      </c>
      <c r="Q1080" s="6" t="s">
        <v>81</v>
      </c>
      <c r="R1080" s="6" t="s">
        <v>81</v>
      </c>
      <c r="S1080" s="6" t="s">
        <v>10886</v>
      </c>
      <c r="T1080" s="16" t="n">
        <v>40588</v>
      </c>
      <c r="U1080" s="6" t="s">
        <v>13169</v>
      </c>
      <c r="V1080" s="6" t="s">
        <v>81</v>
      </c>
      <c r="W1080" s="6" t="s">
        <v>81</v>
      </c>
      <c r="X1080" s="6" t="s">
        <v>81</v>
      </c>
      <c r="Y1080" s="21" t="s">
        <v>81</v>
      </c>
      <c r="Z1080" s="6" t="s">
        <v>81</v>
      </c>
      <c r="AA1080" s="6" t="s">
        <v>81</v>
      </c>
      <c r="AB1080" s="6" t="s">
        <v>81</v>
      </c>
      <c r="AC1080" s="6" t="s">
        <v>81</v>
      </c>
      <c r="AD1080" s="21" t="s">
        <v>81</v>
      </c>
      <c r="AE1080" s="6" t="s">
        <v>81</v>
      </c>
      <c r="AF1080" s="6" t="s">
        <v>81</v>
      </c>
      <c r="AG1080" s="6" t="s">
        <v>81</v>
      </c>
      <c r="AH1080" s="6" t="s">
        <v>15652</v>
      </c>
      <c r="AI1080" s="6" t="s">
        <v>81</v>
      </c>
      <c r="AJ1080" s="6" t="s">
        <v>17435</v>
      </c>
      <c r="AK1080" s="6" t="s">
        <v>17712</v>
      </c>
      <c r="AL1080" s="6" t="s">
        <v>18444</v>
      </c>
      <c r="AM1080" s="6" t="s">
        <v>5928</v>
      </c>
      <c r="AN1080" s="6" t="s">
        <v>19651</v>
      </c>
      <c r="AO1080" s="6" t="s">
        <v>19741</v>
      </c>
      <c r="AP1080" s="6" t="s">
        <v>15652</v>
      </c>
      <c r="AQ1080" s="6" t="s">
        <v>81</v>
      </c>
      <c r="AR1080" s="6" t="s">
        <v>17435</v>
      </c>
      <c r="AS1080" s="6" t="s">
        <v>17712</v>
      </c>
      <c r="AT1080" s="6" t="s">
        <v>18444</v>
      </c>
      <c r="AU1080" s="6" t="s">
        <v>5928</v>
      </c>
      <c r="AV1080" s="6" t="s">
        <v>81</v>
      </c>
      <c r="AW1080" s="6" t="s">
        <v>81</v>
      </c>
      <c r="AX1080" s="6" t="s">
        <v>81</v>
      </c>
      <c r="AY1080" s="6" t="s">
        <v>81</v>
      </c>
      <c r="AZ1080" s="6" t="s">
        <v>81</v>
      </c>
      <c r="BA1080" s="6" t="s">
        <v>81</v>
      </c>
      <c r="BB1080" s="24" t="n">
        <v>187</v>
      </c>
      <c r="BC1080" s="26"/>
      <c r="BD1080" s="26"/>
      <c r="BE1080" s="26"/>
      <c r="BF1080" s="26" t="s">
        <v>23900</v>
      </c>
      <c r="BG1080" s="26"/>
      <c r="BH1080" s="26"/>
      <c r="BI1080" s="26"/>
      <c r="BJ1080" s="26"/>
      <c r="BK1080" s="26"/>
      <c r="BL1080" s="26"/>
      <c r="BM1080" s="26"/>
      <c r="BN1080" s="26"/>
      <c r="BO1080" s="26"/>
      <c r="BP1080" s="16" t="n">
        <v>45737</v>
      </c>
      <c r="BQ1080" s="28" t="str">
        <f>HYPERLINK("https://organic.ams.usda.gov/Integrity/Certificate.aspx?cid=57&amp;nopid=3252010069")</f>
        <v>https://organic.ams.usda.gov/Integrity/Certificate.aspx?cid=57&amp;nopid=3252010069</v>
      </c>
    </row>
    <row r="1081">
      <c r="A1081" t="s">
        <v>3</v>
      </c>
      <c r="B1081" s="6" t="s">
        <v>11</v>
      </c>
      <c r="C1081" s="6" t="s">
        <v>58</v>
      </c>
      <c r="D1081" s="6" t="s">
        <v>104</v>
      </c>
      <c r="E1081" s="10" t="s">
        <v>1222</v>
      </c>
      <c r="F1081" s="6" t="s">
        <v>3950</v>
      </c>
      <c r="G1081" s="6" t="s">
        <v>81</v>
      </c>
      <c r="H1081" s="6" t="s">
        <v>81</v>
      </c>
      <c r="I1081" s="6" t="s">
        <v>8743</v>
      </c>
      <c r="J1081" s="6" t="s">
        <v>9669</v>
      </c>
      <c r="K1081" s="6" t="s">
        <v>10886</v>
      </c>
      <c r="L1081" s="16" t="n">
        <v>43570</v>
      </c>
      <c r="M1081" s="16" t="n">
        <v>45383</v>
      </c>
      <c r="N1081" s="6" t="s">
        <v>10886</v>
      </c>
      <c r="O1081" s="16" t="n">
        <v>43570</v>
      </c>
      <c r="P1081" s="6" t="s">
        <v>11536</v>
      </c>
      <c r="Q1081" s="6" t="s">
        <v>81</v>
      </c>
      <c r="R1081" s="6" t="s">
        <v>81</v>
      </c>
      <c r="S1081" s="6" t="s">
        <v>10886</v>
      </c>
      <c r="T1081" s="16" t="n">
        <v>43570</v>
      </c>
      <c r="U1081" s="6" t="s">
        <v>13532</v>
      </c>
      <c r="V1081" s="6" t="s">
        <v>81</v>
      </c>
      <c r="W1081" s="6" t="s">
        <v>81</v>
      </c>
      <c r="X1081" s="6" t="s">
        <v>81</v>
      </c>
      <c r="Y1081" s="21" t="s">
        <v>81</v>
      </c>
      <c r="Z1081" s="6" t="s">
        <v>81</v>
      </c>
      <c r="AA1081" s="6" t="s">
        <v>81</v>
      </c>
      <c r="AB1081" s="6" t="s">
        <v>81</v>
      </c>
      <c r="AC1081" s="6" t="s">
        <v>81</v>
      </c>
      <c r="AD1081" s="21" t="s">
        <v>81</v>
      </c>
      <c r="AE1081" s="6" t="s">
        <v>81</v>
      </c>
      <c r="AF1081" s="6" t="s">
        <v>81</v>
      </c>
      <c r="AG1081" s="6" t="s">
        <v>81</v>
      </c>
      <c r="AH1081" s="6" t="s">
        <v>15653</v>
      </c>
      <c r="AI1081" s="6" t="s">
        <v>81</v>
      </c>
      <c r="AJ1081" s="6" t="s">
        <v>17468</v>
      </c>
      <c r="AK1081" s="6" t="s">
        <v>18384</v>
      </c>
      <c r="AL1081" s="6" t="s">
        <v>18444</v>
      </c>
      <c r="AM1081" s="6" t="s">
        <v>18630</v>
      </c>
      <c r="AN1081" s="6" t="s">
        <v>7195</v>
      </c>
      <c r="AO1081" s="6" t="s">
        <v>19743</v>
      </c>
      <c r="AP1081" s="6" t="s">
        <v>15653</v>
      </c>
      <c r="AQ1081" s="6" t="s">
        <v>81</v>
      </c>
      <c r="AR1081" s="6" t="s">
        <v>17468</v>
      </c>
      <c r="AS1081" s="6" t="s">
        <v>18384</v>
      </c>
      <c r="AT1081" s="6" t="s">
        <v>18444</v>
      </c>
      <c r="AU1081" s="6" t="s">
        <v>18630</v>
      </c>
      <c r="AV1081" s="6" t="s">
        <v>81</v>
      </c>
      <c r="AW1081" s="6" t="s">
        <v>81</v>
      </c>
      <c r="AX1081" s="6" t="s">
        <v>81</v>
      </c>
      <c r="AY1081" s="6" t="s">
        <v>81</v>
      </c>
      <c r="AZ1081" s="6" t="s">
        <v>81</v>
      </c>
      <c r="BA1081" s="6" t="s">
        <v>23820</v>
      </c>
      <c r="BB1081" s="24" t="n">
        <v>98</v>
      </c>
      <c r="BC1081" s="26"/>
      <c r="BD1081" s="26"/>
      <c r="BE1081" s="26"/>
      <c r="BF1081" s="26"/>
      <c r="BG1081" s="26"/>
      <c r="BH1081" s="26"/>
      <c r="BI1081" s="26"/>
      <c r="BJ1081" s="26"/>
      <c r="BK1081" s="26"/>
      <c r="BL1081" s="26"/>
      <c r="BM1081" s="26"/>
      <c r="BN1081" s="26"/>
      <c r="BO1081" s="26"/>
      <c r="BP1081" s="16" t="n">
        <v>45443</v>
      </c>
      <c r="BQ1081" s="28" t="str">
        <f>HYPERLINK("https://organic.ams.usda.gov/Integrity/Certificate.aspx?cid=46&amp;nopid=3671900013")</f>
        <v>https://organic.ams.usda.gov/Integrity/Certificate.aspx?cid=46&amp;nopid=3671900013</v>
      </c>
    </row>
    <row r="1082">
      <c r="A1082" t="s">
        <v>3</v>
      </c>
      <c r="B1082" s="6" t="s">
        <v>24</v>
      </c>
      <c r="C1082" s="6" t="s">
        <v>71</v>
      </c>
      <c r="D1082" s="6" t="s">
        <v>117</v>
      </c>
      <c r="E1082" s="10" t="s">
        <v>1223</v>
      </c>
      <c r="F1082" s="6" t="s">
        <v>3951</v>
      </c>
      <c r="G1082" s="6" t="s">
        <v>81</v>
      </c>
      <c r="H1082" s="6" t="s">
        <v>81</v>
      </c>
      <c r="I1082" s="6" t="s">
        <v>9006</v>
      </c>
      <c r="J1082" s="6" t="s">
        <v>10203</v>
      </c>
      <c r="K1082" s="6" t="s">
        <v>10886</v>
      </c>
      <c r="L1082" s="16" t="n">
        <v>44407</v>
      </c>
      <c r="M1082" s="16" t="n">
        <v>45809</v>
      </c>
      <c r="N1082" s="6" t="s">
        <v>10886</v>
      </c>
      <c r="O1082" s="16" t="n">
        <v>44875</v>
      </c>
      <c r="P1082" s="6" t="s">
        <v>11537</v>
      </c>
      <c r="Q1082" s="6" t="s">
        <v>81</v>
      </c>
      <c r="R1082" s="6" t="s">
        <v>81</v>
      </c>
      <c r="S1082" s="6" t="s">
        <v>10886</v>
      </c>
      <c r="T1082" s="16" t="n">
        <v>44875</v>
      </c>
      <c r="U1082" s="6" t="s">
        <v>13533</v>
      </c>
      <c r="V1082" s="6" t="s">
        <v>81</v>
      </c>
      <c r="W1082" s="6" t="s">
        <v>81</v>
      </c>
      <c r="X1082" s="6" t="s">
        <v>81</v>
      </c>
      <c r="Y1082" s="21" t="s">
        <v>81</v>
      </c>
      <c r="Z1082" s="6" t="s">
        <v>81</v>
      </c>
      <c r="AA1082" s="6" t="s">
        <v>81</v>
      </c>
      <c r="AB1082" s="6" t="s">
        <v>81</v>
      </c>
      <c r="AC1082" s="6" t="s">
        <v>10886</v>
      </c>
      <c r="AD1082" s="16" t="n">
        <v>44875</v>
      </c>
      <c r="AE1082" s="6" t="s">
        <v>14149</v>
      </c>
      <c r="AF1082" s="6" t="s">
        <v>81</v>
      </c>
      <c r="AG1082" s="6" t="s">
        <v>81</v>
      </c>
      <c r="AH1082" s="6" t="s">
        <v>15654</v>
      </c>
      <c r="AI1082" s="6" t="s">
        <v>81</v>
      </c>
      <c r="AJ1082" s="6" t="s">
        <v>8529</v>
      </c>
      <c r="AK1082" s="6" t="s">
        <v>18412</v>
      </c>
      <c r="AL1082" s="6" t="s">
        <v>18444</v>
      </c>
      <c r="AM1082" s="6" t="s">
        <v>19065</v>
      </c>
      <c r="AN1082" s="6" t="s">
        <v>81</v>
      </c>
      <c r="AO1082" s="6" t="s">
        <v>81</v>
      </c>
      <c r="AP1082" s="6" t="s">
        <v>15654</v>
      </c>
      <c r="AQ1082" s="6" t="s">
        <v>81</v>
      </c>
      <c r="AR1082" s="6" t="s">
        <v>8529</v>
      </c>
      <c r="AS1082" s="6" t="s">
        <v>18412</v>
      </c>
      <c r="AT1082" s="6" t="s">
        <v>18444</v>
      </c>
      <c r="AU1082" s="6" t="s">
        <v>19065</v>
      </c>
      <c r="AV1082" s="6" t="s">
        <v>19686</v>
      </c>
      <c r="AW1082" s="6" t="s">
        <v>20734</v>
      </c>
      <c r="AX1082" s="6" t="s">
        <v>81</v>
      </c>
      <c r="AY1082" s="6" t="s">
        <v>22961</v>
      </c>
      <c r="AZ1082" s="6" t="s">
        <v>81</v>
      </c>
      <c r="BA1082" s="6" t="s">
        <v>81</v>
      </c>
      <c r="BB1082" s="24" t="n">
        <v>2952</v>
      </c>
      <c r="BC1082" s="26"/>
      <c r="BD1082" s="26"/>
      <c r="BE1082" s="26"/>
      <c r="BF1082" s="26"/>
      <c r="BG1082" s="26"/>
      <c r="BH1082" s="26"/>
      <c r="BI1082" s="26"/>
      <c r="BJ1082" s="26"/>
      <c r="BK1082" s="26"/>
      <c r="BL1082" s="26"/>
      <c r="BM1082" s="26"/>
      <c r="BN1082" s="26"/>
      <c r="BO1082" s="26"/>
      <c r="BP1082" s="16" t="n">
        <v>45616</v>
      </c>
      <c r="BQ1082" s="28" t="str">
        <f>HYPERLINK("https://organic.ams.usda.gov/Integrity/Certificate.aspx?cid=1&amp;nopid=9092116501")</f>
        <v>https://organic.ams.usda.gov/Integrity/Certificate.aspx?cid=1&amp;nopid=9092116501</v>
      </c>
    </row>
    <row r="1083">
      <c r="A1083" t="s">
        <v>3</v>
      </c>
      <c r="B1083" s="6" t="s">
        <v>8</v>
      </c>
      <c r="C1083" s="6" t="s">
        <v>55</v>
      </c>
      <c r="D1083" s="6" t="s">
        <v>101</v>
      </c>
      <c r="E1083" s="10" t="s">
        <v>1224</v>
      </c>
      <c r="F1083" s="6" t="s">
        <v>3952</v>
      </c>
      <c r="G1083" s="6" t="s">
        <v>81</v>
      </c>
      <c r="H1083" s="6" t="s">
        <v>6885</v>
      </c>
      <c r="I1083" s="6" t="s">
        <v>8866</v>
      </c>
      <c r="J1083" s="6" t="s">
        <v>10049</v>
      </c>
      <c r="K1083" s="6" t="s">
        <v>10886</v>
      </c>
      <c r="L1083" s="16" t="n">
        <v>39927</v>
      </c>
      <c r="M1083" s="16" t="n">
        <v>45748</v>
      </c>
      <c r="N1083" s="6" t="s">
        <v>10886</v>
      </c>
      <c r="O1083" s="16" t="n">
        <v>39927</v>
      </c>
      <c r="P1083" s="6" t="s">
        <v>11538</v>
      </c>
      <c r="Q1083" s="6" t="s">
        <v>81</v>
      </c>
      <c r="R1083" s="6" t="s">
        <v>6885</v>
      </c>
      <c r="S1083" s="6" t="s">
        <v>10886</v>
      </c>
      <c r="T1083" s="16" t="n">
        <v>39927</v>
      </c>
      <c r="U1083" s="6" t="s">
        <v>13173</v>
      </c>
      <c r="V1083" s="6" t="s">
        <v>81</v>
      </c>
      <c r="W1083" s="6" t="s">
        <v>6885</v>
      </c>
      <c r="X1083" s="6" t="s">
        <v>81</v>
      </c>
      <c r="Y1083" s="21" t="s">
        <v>81</v>
      </c>
      <c r="Z1083" s="6" t="s">
        <v>81</v>
      </c>
      <c r="AA1083" s="6" t="s">
        <v>81</v>
      </c>
      <c r="AB1083" s="6" t="s">
        <v>81</v>
      </c>
      <c r="AC1083" s="6" t="s">
        <v>81</v>
      </c>
      <c r="AD1083" s="21" t="s">
        <v>81</v>
      </c>
      <c r="AE1083" s="6" t="s">
        <v>81</v>
      </c>
      <c r="AF1083" s="6" t="s">
        <v>81</v>
      </c>
      <c r="AG1083" s="6" t="s">
        <v>81</v>
      </c>
      <c r="AH1083" s="6" t="s">
        <v>15655</v>
      </c>
      <c r="AI1083" s="6" t="s">
        <v>81</v>
      </c>
      <c r="AJ1083" s="6" t="s">
        <v>17560</v>
      </c>
      <c r="AK1083" s="6" t="s">
        <v>18378</v>
      </c>
      <c r="AL1083" s="6" t="s">
        <v>18444</v>
      </c>
      <c r="AM1083" s="6" t="s">
        <v>18724</v>
      </c>
      <c r="AN1083" s="6" t="s">
        <v>19647</v>
      </c>
      <c r="AO1083" s="6" t="s">
        <v>19734</v>
      </c>
      <c r="AP1083" s="6" t="s">
        <v>81</v>
      </c>
      <c r="AQ1083" s="6" t="s">
        <v>81</v>
      </c>
      <c r="AR1083" s="6" t="s">
        <v>81</v>
      </c>
      <c r="AS1083" s="6" t="s">
        <v>81</v>
      </c>
      <c r="AT1083" s="6" t="s">
        <v>81</v>
      </c>
      <c r="AU1083" s="6" t="s">
        <v>81</v>
      </c>
      <c r="AV1083" s="6" t="s">
        <v>81</v>
      </c>
      <c r="AW1083" s="6" t="s">
        <v>81</v>
      </c>
      <c r="AX1083" s="6" t="s">
        <v>81</v>
      </c>
      <c r="AY1083" s="6" t="s">
        <v>81</v>
      </c>
      <c r="AZ1083" s="6" t="s">
        <v>81</v>
      </c>
      <c r="BA1083" s="6" t="s">
        <v>23824</v>
      </c>
      <c r="BB1083" s="24" t="n">
        <v>289</v>
      </c>
      <c r="BC1083" s="26"/>
      <c r="BD1083" s="26"/>
      <c r="BE1083" s="26"/>
      <c r="BF1083" s="26" t="s">
        <v>23900</v>
      </c>
      <c r="BG1083" s="26"/>
      <c r="BH1083" s="26"/>
      <c r="BI1083" s="26"/>
      <c r="BJ1083" s="26"/>
      <c r="BK1083" s="26"/>
      <c r="BL1083" s="26"/>
      <c r="BM1083" s="26"/>
      <c r="BN1083" s="26"/>
      <c r="BO1083" s="26"/>
      <c r="BP1083" s="16" t="n">
        <v>45609</v>
      </c>
      <c r="BQ1083" s="28" t="str">
        <f>HYPERLINK("https://organic.ams.usda.gov/Integrity/Certificate.aspx?cid=45&amp;nopid=9950003361")</f>
        <v>https://organic.ams.usda.gov/Integrity/Certificate.aspx?cid=45&amp;nopid=9950003361</v>
      </c>
    </row>
    <row r="1084">
      <c r="A1084" t="s">
        <v>3</v>
      </c>
      <c r="B1084" s="6" t="s">
        <v>18</v>
      </c>
      <c r="C1084" s="6" t="s">
        <v>65</v>
      </c>
      <c r="D1084" s="6" t="s">
        <v>111</v>
      </c>
      <c r="E1084" s="10" t="s">
        <v>1225</v>
      </c>
      <c r="F1084" s="6" t="s">
        <v>3953</v>
      </c>
      <c r="G1084" s="6" t="s">
        <v>81</v>
      </c>
      <c r="H1084" s="6" t="s">
        <v>1225</v>
      </c>
      <c r="I1084" s="6" t="s">
        <v>8452</v>
      </c>
      <c r="J1084" s="6" t="s">
        <v>10204</v>
      </c>
      <c r="K1084" s="6" t="s">
        <v>10886</v>
      </c>
      <c r="L1084" s="16" t="n">
        <v>42958</v>
      </c>
      <c r="M1084" s="16" t="n">
        <v>45717</v>
      </c>
      <c r="N1084" s="6" t="s">
        <v>10886</v>
      </c>
      <c r="O1084" s="16" t="n">
        <v>42958</v>
      </c>
      <c r="P1084" s="6" t="s">
        <v>11539</v>
      </c>
      <c r="Q1084" s="6" t="s">
        <v>81</v>
      </c>
      <c r="R1084" s="6" t="s">
        <v>3953</v>
      </c>
      <c r="S1084" s="6" t="s">
        <v>10886</v>
      </c>
      <c r="T1084" s="16" t="n">
        <v>42958</v>
      </c>
      <c r="U1084" s="6" t="s">
        <v>13534</v>
      </c>
      <c r="V1084" s="6" t="s">
        <v>81</v>
      </c>
      <c r="W1084" s="6" t="s">
        <v>3953</v>
      </c>
      <c r="X1084" s="6" t="s">
        <v>81</v>
      </c>
      <c r="Y1084" s="21" t="s">
        <v>81</v>
      </c>
      <c r="Z1084" s="6" t="s">
        <v>81</v>
      </c>
      <c r="AA1084" s="6" t="s">
        <v>81</v>
      </c>
      <c r="AB1084" s="6" t="s">
        <v>81</v>
      </c>
      <c r="AC1084" s="6" t="s">
        <v>81</v>
      </c>
      <c r="AD1084" s="21" t="s">
        <v>81</v>
      </c>
      <c r="AE1084" s="6" t="s">
        <v>81</v>
      </c>
      <c r="AF1084" s="6" t="s">
        <v>81</v>
      </c>
      <c r="AG1084" s="6" t="s">
        <v>81</v>
      </c>
      <c r="AH1084" s="6" t="s">
        <v>15656</v>
      </c>
      <c r="AI1084" s="6" t="s">
        <v>81</v>
      </c>
      <c r="AJ1084" s="6" t="s">
        <v>17882</v>
      </c>
      <c r="AK1084" s="6" t="s">
        <v>17712</v>
      </c>
      <c r="AL1084" s="6" t="s">
        <v>18444</v>
      </c>
      <c r="AM1084" s="6" t="s">
        <v>19066</v>
      </c>
      <c r="AN1084" s="6" t="s">
        <v>19673</v>
      </c>
      <c r="AO1084" s="6" t="s">
        <v>19819</v>
      </c>
      <c r="AP1084" s="6" t="s">
        <v>20249</v>
      </c>
      <c r="AQ1084" s="6" t="s">
        <v>81</v>
      </c>
      <c r="AR1084" s="6" t="s">
        <v>17882</v>
      </c>
      <c r="AS1084" s="6" t="s">
        <v>17712</v>
      </c>
      <c r="AT1084" s="6" t="s">
        <v>18444</v>
      </c>
      <c r="AU1084" s="6" t="s">
        <v>19066</v>
      </c>
      <c r="AV1084" s="6" t="s">
        <v>81</v>
      </c>
      <c r="AW1084" s="6" t="s">
        <v>81</v>
      </c>
      <c r="AX1084" s="6" t="s">
        <v>21430</v>
      </c>
      <c r="AY1084" s="6" t="s">
        <v>22962</v>
      </c>
      <c r="AZ1084" s="6" t="s">
        <v>81</v>
      </c>
      <c r="BA1084" s="6" t="s">
        <v>81</v>
      </c>
      <c r="BB1084" s="24" t="n">
        <v>498</v>
      </c>
      <c r="BC1084" s="26"/>
      <c r="BD1084" s="26"/>
      <c r="BE1084" s="26"/>
      <c r="BF1084" s="26" t="s">
        <v>23900</v>
      </c>
      <c r="BG1084" s="26"/>
      <c r="BH1084" s="26"/>
      <c r="BI1084" s="26"/>
      <c r="BJ1084" s="26"/>
      <c r="BK1084" s="26"/>
      <c r="BL1084" s="26"/>
      <c r="BM1084" s="26"/>
      <c r="BN1084" s="26"/>
      <c r="BO1084" s="26"/>
      <c r="BP1084" s="16" t="n">
        <v>45554</v>
      </c>
      <c r="BQ1084" s="28" t="str">
        <f>HYPERLINK("https://organic.ams.usda.gov/Integrity/Certificate.aspx?cid=8&amp;nopid=2201704300")</f>
        <v>https://organic.ams.usda.gov/Integrity/Certificate.aspx?cid=8&amp;nopid=2201704300</v>
      </c>
    </row>
    <row r="1085">
      <c r="A1085" t="s">
        <v>3</v>
      </c>
      <c r="B1085" s="6" t="s">
        <v>38</v>
      </c>
      <c r="C1085" s="6" t="s">
        <v>85</v>
      </c>
      <c r="D1085" s="6" t="s">
        <v>130</v>
      </c>
      <c r="E1085" s="10" t="s">
        <v>1226</v>
      </c>
      <c r="F1085" s="6" t="s">
        <v>3954</v>
      </c>
      <c r="G1085" s="6" t="s">
        <v>5689</v>
      </c>
      <c r="H1085" s="6" t="s">
        <v>6886</v>
      </c>
      <c r="I1085" s="6" t="s">
        <v>8419</v>
      </c>
      <c r="J1085" s="6" t="s">
        <v>10205</v>
      </c>
      <c r="K1085" s="6" t="s">
        <v>10886</v>
      </c>
      <c r="L1085" s="16" t="n">
        <v>43439</v>
      </c>
      <c r="M1085" s="16" t="n">
        <v>45383</v>
      </c>
      <c r="N1085" s="6" t="s">
        <v>10886</v>
      </c>
      <c r="O1085" s="16" t="n">
        <v>43439</v>
      </c>
      <c r="P1085" s="6" t="s">
        <v>10938</v>
      </c>
      <c r="Q1085" s="6" t="s">
        <v>81</v>
      </c>
      <c r="R1085" s="6" t="s">
        <v>81</v>
      </c>
      <c r="S1085" s="6" t="s">
        <v>10886</v>
      </c>
      <c r="T1085" s="16" t="n">
        <v>43439</v>
      </c>
      <c r="U1085" s="6" t="s">
        <v>13535</v>
      </c>
      <c r="V1085" s="6" t="s">
        <v>81</v>
      </c>
      <c r="W1085" s="6" t="s">
        <v>81</v>
      </c>
      <c r="X1085" s="6" t="s">
        <v>81</v>
      </c>
      <c r="Y1085" s="21" t="s">
        <v>81</v>
      </c>
      <c r="Z1085" s="6" t="s">
        <v>81</v>
      </c>
      <c r="AA1085" s="6" t="s">
        <v>81</v>
      </c>
      <c r="AB1085" s="6" t="s">
        <v>81</v>
      </c>
      <c r="AC1085" s="6" t="s">
        <v>81</v>
      </c>
      <c r="AD1085" s="21" t="s">
        <v>81</v>
      </c>
      <c r="AE1085" s="6" t="s">
        <v>81</v>
      </c>
      <c r="AF1085" s="6" t="s">
        <v>81</v>
      </c>
      <c r="AG1085" s="6" t="s">
        <v>81</v>
      </c>
      <c r="AH1085" s="6" t="s">
        <v>15657</v>
      </c>
      <c r="AI1085" s="6" t="s">
        <v>81</v>
      </c>
      <c r="AJ1085" s="6" t="s">
        <v>17883</v>
      </c>
      <c r="AK1085" s="6" t="s">
        <v>18412</v>
      </c>
      <c r="AL1085" s="6" t="s">
        <v>18444</v>
      </c>
      <c r="AM1085" s="6" t="s">
        <v>19067</v>
      </c>
      <c r="AN1085" s="6" t="s">
        <v>19685</v>
      </c>
      <c r="AO1085" s="6" t="s">
        <v>19967</v>
      </c>
      <c r="AP1085" s="6" t="s">
        <v>15657</v>
      </c>
      <c r="AQ1085" s="6" t="s">
        <v>81</v>
      </c>
      <c r="AR1085" s="6" t="s">
        <v>17883</v>
      </c>
      <c r="AS1085" s="6" t="s">
        <v>18412</v>
      </c>
      <c r="AT1085" s="6" t="s">
        <v>18444</v>
      </c>
      <c r="AU1085" s="6" t="s">
        <v>19067</v>
      </c>
      <c r="AV1085" s="6" t="s">
        <v>81</v>
      </c>
      <c r="AW1085" s="6" t="s">
        <v>81</v>
      </c>
      <c r="AX1085" s="6" t="s">
        <v>21431</v>
      </c>
      <c r="AY1085" s="6" t="s">
        <v>22963</v>
      </c>
      <c r="AZ1085" s="6" t="s">
        <v>81</v>
      </c>
      <c r="BA1085" s="6" t="s">
        <v>81</v>
      </c>
      <c r="BB1085" s="24" t="n">
        <v>255</v>
      </c>
      <c r="BC1085" s="26"/>
      <c r="BD1085" s="26"/>
      <c r="BE1085" s="26"/>
      <c r="BF1085" s="26"/>
      <c r="BG1085" s="26"/>
      <c r="BH1085" s="26"/>
      <c r="BI1085" s="26"/>
      <c r="BJ1085" s="26"/>
      <c r="BK1085" s="26"/>
      <c r="BL1085" s="26"/>
      <c r="BM1085" s="26"/>
      <c r="BN1085" s="26"/>
      <c r="BO1085" s="26"/>
      <c r="BP1085" s="16" t="n">
        <v>45582</v>
      </c>
      <c r="BQ1085" s="28" t="str">
        <f>HYPERLINK("https://organic.ams.usda.gov/Integrity/Certificate.aspx?cid=33&amp;nopid=2170321055")</f>
        <v>https://organic.ams.usda.gov/Integrity/Certificate.aspx?cid=33&amp;nopid=2170321055</v>
      </c>
    </row>
    <row r="1086">
      <c r="A1086" t="s">
        <v>3</v>
      </c>
      <c r="B1086" s="6" t="s">
        <v>8</v>
      </c>
      <c r="C1086" s="6" t="s">
        <v>55</v>
      </c>
      <c r="D1086" s="6" t="s">
        <v>101</v>
      </c>
      <c r="E1086" s="10" t="s">
        <v>1227</v>
      </c>
      <c r="F1086" s="6" t="s">
        <v>3955</v>
      </c>
      <c r="G1086" s="6" t="s">
        <v>81</v>
      </c>
      <c r="H1086" s="6" t="s">
        <v>6887</v>
      </c>
      <c r="I1086" s="6" t="s">
        <v>9007</v>
      </c>
      <c r="J1086" s="6" t="s">
        <v>10206</v>
      </c>
      <c r="K1086" s="6" t="s">
        <v>10886</v>
      </c>
      <c r="L1086" s="16" t="n">
        <v>42331</v>
      </c>
      <c r="M1086" s="16" t="n">
        <v>45748</v>
      </c>
      <c r="N1086" s="6" t="s">
        <v>10886</v>
      </c>
      <c r="O1086" s="16" t="n">
        <v>42331</v>
      </c>
      <c r="P1086" s="6" t="s">
        <v>11540</v>
      </c>
      <c r="Q1086" s="6" t="s">
        <v>81</v>
      </c>
      <c r="R1086" s="6" t="s">
        <v>6887</v>
      </c>
      <c r="S1086" s="6" t="s">
        <v>10886</v>
      </c>
      <c r="T1086" s="16" t="n">
        <v>42870</v>
      </c>
      <c r="U1086" s="6" t="s">
        <v>13173</v>
      </c>
      <c r="V1086" s="6" t="s">
        <v>81</v>
      </c>
      <c r="W1086" s="6" t="s">
        <v>6887</v>
      </c>
      <c r="X1086" s="6" t="s">
        <v>81</v>
      </c>
      <c r="Y1086" s="21" t="s">
        <v>81</v>
      </c>
      <c r="Z1086" s="6" t="s">
        <v>81</v>
      </c>
      <c r="AA1086" s="6" t="s">
        <v>81</v>
      </c>
      <c r="AB1086" s="6" t="s">
        <v>81</v>
      </c>
      <c r="AC1086" s="6" t="s">
        <v>81</v>
      </c>
      <c r="AD1086" s="21" t="s">
        <v>81</v>
      </c>
      <c r="AE1086" s="6" t="s">
        <v>81</v>
      </c>
      <c r="AF1086" s="6" t="s">
        <v>81</v>
      </c>
      <c r="AG1086" s="6" t="s">
        <v>81</v>
      </c>
      <c r="AH1086" s="6" t="s">
        <v>15658</v>
      </c>
      <c r="AI1086" s="6" t="s">
        <v>81</v>
      </c>
      <c r="AJ1086" s="6" t="s">
        <v>17377</v>
      </c>
      <c r="AK1086" s="6" t="s">
        <v>18377</v>
      </c>
      <c r="AL1086" s="6" t="s">
        <v>18444</v>
      </c>
      <c r="AM1086" s="6" t="s">
        <v>19068</v>
      </c>
      <c r="AN1086" s="6" t="s">
        <v>19634</v>
      </c>
      <c r="AO1086" s="6" t="s">
        <v>19764</v>
      </c>
      <c r="AP1086" s="6" t="s">
        <v>81</v>
      </c>
      <c r="AQ1086" s="6" t="s">
        <v>81</v>
      </c>
      <c r="AR1086" s="6" t="s">
        <v>81</v>
      </c>
      <c r="AS1086" s="6" t="s">
        <v>81</v>
      </c>
      <c r="AT1086" s="6" t="s">
        <v>81</v>
      </c>
      <c r="AU1086" s="6" t="s">
        <v>81</v>
      </c>
      <c r="AV1086" s="6" t="s">
        <v>81</v>
      </c>
      <c r="AW1086" s="6" t="s">
        <v>81</v>
      </c>
      <c r="AX1086" s="6" t="s">
        <v>81</v>
      </c>
      <c r="AY1086" s="6" t="s">
        <v>22964</v>
      </c>
      <c r="AZ1086" s="6" t="s">
        <v>81</v>
      </c>
      <c r="BA1086" s="6" t="s">
        <v>23824</v>
      </c>
      <c r="BB1086" s="24" t="n">
        <v>205</v>
      </c>
      <c r="BC1086" s="26"/>
      <c r="BD1086" s="26"/>
      <c r="BE1086" s="26"/>
      <c r="BF1086" s="26" t="s">
        <v>23900</v>
      </c>
      <c r="BG1086" s="26"/>
      <c r="BH1086" s="26"/>
      <c r="BI1086" s="26"/>
      <c r="BJ1086" s="26"/>
      <c r="BK1086" s="26"/>
      <c r="BL1086" s="26"/>
      <c r="BM1086" s="26"/>
      <c r="BN1086" s="26"/>
      <c r="BO1086" s="26"/>
      <c r="BP1086" s="16" t="n">
        <v>45491</v>
      </c>
      <c r="BQ1086" s="28" t="str">
        <f>HYPERLINK("https://organic.ams.usda.gov/Integrity/Certificate.aspx?cid=45&amp;nopid=9950008567")</f>
        <v>https://organic.ams.usda.gov/Integrity/Certificate.aspx?cid=45&amp;nopid=9950008567</v>
      </c>
    </row>
    <row r="1087">
      <c r="A1087" t="s">
        <v>3</v>
      </c>
      <c r="B1087" s="6" t="s">
        <v>8</v>
      </c>
      <c r="C1087" s="6" t="s">
        <v>55</v>
      </c>
      <c r="D1087" s="6" t="s">
        <v>101</v>
      </c>
      <c r="E1087" s="10" t="s">
        <v>1228</v>
      </c>
      <c r="F1087" s="6" t="s">
        <v>3956</v>
      </c>
      <c r="G1087" s="6" t="s">
        <v>81</v>
      </c>
      <c r="H1087" s="6" t="s">
        <v>6888</v>
      </c>
      <c r="I1087" s="6" t="s">
        <v>8439</v>
      </c>
      <c r="J1087" s="6" t="s">
        <v>10207</v>
      </c>
      <c r="K1087" s="6" t="s">
        <v>10886</v>
      </c>
      <c r="L1087" s="16" t="n">
        <v>37761</v>
      </c>
      <c r="M1087" s="16" t="n">
        <v>45748</v>
      </c>
      <c r="N1087" s="6" t="s">
        <v>10886</v>
      </c>
      <c r="O1087" s="16" t="n">
        <v>37761</v>
      </c>
      <c r="P1087" s="6" t="s">
        <v>11541</v>
      </c>
      <c r="Q1087" s="6" t="s">
        <v>81</v>
      </c>
      <c r="R1087" s="6" t="s">
        <v>6888</v>
      </c>
      <c r="S1087" s="6" t="s">
        <v>10886</v>
      </c>
      <c r="T1087" s="16" t="n">
        <v>37761</v>
      </c>
      <c r="U1087" s="6" t="s">
        <v>13536</v>
      </c>
      <c r="V1087" s="6" t="s">
        <v>81</v>
      </c>
      <c r="W1087" s="6" t="s">
        <v>6888</v>
      </c>
      <c r="X1087" s="6" t="s">
        <v>81</v>
      </c>
      <c r="Y1087" s="21" t="s">
        <v>81</v>
      </c>
      <c r="Z1087" s="6" t="s">
        <v>81</v>
      </c>
      <c r="AA1087" s="6" t="s">
        <v>81</v>
      </c>
      <c r="AB1087" s="6" t="s">
        <v>81</v>
      </c>
      <c r="AC1087" s="6" t="s">
        <v>81</v>
      </c>
      <c r="AD1087" s="21" t="s">
        <v>81</v>
      </c>
      <c r="AE1087" s="6" t="s">
        <v>81</v>
      </c>
      <c r="AF1087" s="6" t="s">
        <v>81</v>
      </c>
      <c r="AG1087" s="6" t="s">
        <v>81</v>
      </c>
      <c r="AH1087" s="6" t="s">
        <v>15659</v>
      </c>
      <c r="AI1087" s="6" t="s">
        <v>81</v>
      </c>
      <c r="AJ1087" s="6" t="s">
        <v>17493</v>
      </c>
      <c r="AK1087" s="6" t="s">
        <v>18377</v>
      </c>
      <c r="AL1087" s="6" t="s">
        <v>18444</v>
      </c>
      <c r="AM1087" s="6" t="s">
        <v>18653</v>
      </c>
      <c r="AN1087" s="6" t="s">
        <v>6332</v>
      </c>
      <c r="AO1087" s="6" t="s">
        <v>19885</v>
      </c>
      <c r="AP1087" s="6" t="s">
        <v>81</v>
      </c>
      <c r="AQ1087" s="6" t="s">
        <v>81</v>
      </c>
      <c r="AR1087" s="6" t="s">
        <v>81</v>
      </c>
      <c r="AS1087" s="6" t="s">
        <v>81</v>
      </c>
      <c r="AT1087" s="6" t="s">
        <v>81</v>
      </c>
      <c r="AU1087" s="6" t="s">
        <v>81</v>
      </c>
      <c r="AV1087" s="6" t="s">
        <v>81</v>
      </c>
      <c r="AW1087" s="6" t="s">
        <v>81</v>
      </c>
      <c r="AX1087" s="6" t="s">
        <v>81</v>
      </c>
      <c r="AY1087" s="6" t="s">
        <v>22965</v>
      </c>
      <c r="AZ1087" s="6" t="s">
        <v>81</v>
      </c>
      <c r="BA1087" s="6" t="s">
        <v>23819</v>
      </c>
      <c r="BB1087" s="24" t="n">
        <v>309</v>
      </c>
      <c r="BC1087" s="26"/>
      <c r="BD1087" s="26"/>
      <c r="BE1087" s="26"/>
      <c r="BF1087" s="26" t="s">
        <v>23900</v>
      </c>
      <c r="BG1087" s="26"/>
      <c r="BH1087" s="26"/>
      <c r="BI1087" s="26"/>
      <c r="BJ1087" s="26"/>
      <c r="BK1087" s="26"/>
      <c r="BL1087" s="26"/>
      <c r="BM1087" s="26"/>
      <c r="BN1087" s="26"/>
      <c r="BO1087" s="26"/>
      <c r="BP1087" s="16" t="n">
        <v>45667</v>
      </c>
      <c r="BQ1087" s="28" t="str">
        <f>HYPERLINK("https://organic.ams.usda.gov/Integrity/Certificate.aspx?cid=45&amp;nopid=9950001314")</f>
        <v>https://organic.ams.usda.gov/Integrity/Certificate.aspx?cid=45&amp;nopid=9950001314</v>
      </c>
    </row>
    <row r="1088">
      <c r="A1088" t="s">
        <v>3</v>
      </c>
      <c r="B1088" s="6" t="s">
        <v>10</v>
      </c>
      <c r="C1088" s="6" t="s">
        <v>57</v>
      </c>
      <c r="D1088" s="6" t="s">
        <v>103</v>
      </c>
      <c r="E1088" s="10" t="s">
        <v>1229</v>
      </c>
      <c r="F1088" s="6" t="s">
        <v>3957</v>
      </c>
      <c r="G1088" s="6" t="s">
        <v>81</v>
      </c>
      <c r="H1088" s="6" t="s">
        <v>6889</v>
      </c>
      <c r="I1088" s="6" t="s">
        <v>8851</v>
      </c>
      <c r="J1088" s="6" t="s">
        <v>10208</v>
      </c>
      <c r="K1088" s="6" t="s">
        <v>10886</v>
      </c>
      <c r="L1088" s="16" t="n">
        <v>38990</v>
      </c>
      <c r="M1088" s="16" t="n">
        <v>45748</v>
      </c>
      <c r="N1088" s="6" t="s">
        <v>10886</v>
      </c>
      <c r="O1088" s="16" t="n">
        <v>38990</v>
      </c>
      <c r="P1088" s="6" t="s">
        <v>11542</v>
      </c>
      <c r="Q1088" s="6" t="s">
        <v>81</v>
      </c>
      <c r="R1088" s="6" t="s">
        <v>12725</v>
      </c>
      <c r="S1088" s="6" t="s">
        <v>10886</v>
      </c>
      <c r="T1088" s="16" t="n">
        <v>38990</v>
      </c>
      <c r="U1088" s="6" t="s">
        <v>13163</v>
      </c>
      <c r="V1088" s="6" t="s">
        <v>81</v>
      </c>
      <c r="W1088" s="6" t="s">
        <v>81</v>
      </c>
      <c r="X1088" s="6" t="s">
        <v>81</v>
      </c>
      <c r="Y1088" s="21" t="s">
        <v>81</v>
      </c>
      <c r="Z1088" s="6" t="s">
        <v>81</v>
      </c>
      <c r="AA1088" s="6" t="s">
        <v>81</v>
      </c>
      <c r="AB1088" s="6" t="s">
        <v>81</v>
      </c>
      <c r="AC1088" s="6" t="s">
        <v>81</v>
      </c>
      <c r="AD1088" s="21" t="s">
        <v>81</v>
      </c>
      <c r="AE1088" s="6" t="s">
        <v>81</v>
      </c>
      <c r="AF1088" s="6" t="s">
        <v>81</v>
      </c>
      <c r="AG1088" s="6" t="s">
        <v>81</v>
      </c>
      <c r="AH1088" s="6" t="s">
        <v>15660</v>
      </c>
      <c r="AI1088" s="6" t="s">
        <v>81</v>
      </c>
      <c r="AJ1088" s="6" t="s">
        <v>17884</v>
      </c>
      <c r="AK1088" s="6" t="s">
        <v>18391</v>
      </c>
      <c r="AL1088" s="6" t="s">
        <v>18444</v>
      </c>
      <c r="AM1088" s="6" t="s">
        <v>19069</v>
      </c>
      <c r="AN1088" s="6" t="s">
        <v>19683</v>
      </c>
      <c r="AO1088" s="6" t="s">
        <v>19968</v>
      </c>
      <c r="AP1088" s="6" t="s">
        <v>15660</v>
      </c>
      <c r="AQ1088" s="6" t="s">
        <v>81</v>
      </c>
      <c r="AR1088" s="6" t="s">
        <v>17884</v>
      </c>
      <c r="AS1088" s="6" t="s">
        <v>18391</v>
      </c>
      <c r="AT1088" s="6" t="s">
        <v>18444</v>
      </c>
      <c r="AU1088" s="6" t="s">
        <v>19069</v>
      </c>
      <c r="AV1088" s="6" t="s">
        <v>81</v>
      </c>
      <c r="AW1088" s="6" t="s">
        <v>81</v>
      </c>
      <c r="AX1088" s="6" t="s">
        <v>21432</v>
      </c>
      <c r="AY1088" s="6" t="s">
        <v>22966</v>
      </c>
      <c r="AZ1088" s="6" t="s">
        <v>81</v>
      </c>
      <c r="BA1088" s="6" t="s">
        <v>81</v>
      </c>
      <c r="BB1088" s="24" t="n">
        <v>404</v>
      </c>
      <c r="BC1088" s="26"/>
      <c r="BD1088" s="26"/>
      <c r="BE1088" s="26"/>
      <c r="BF1088" s="26"/>
      <c r="BG1088" s="26"/>
      <c r="BH1088" s="26"/>
      <c r="BI1088" s="26"/>
      <c r="BJ1088" s="26"/>
      <c r="BK1088" s="26"/>
      <c r="BL1088" s="26"/>
      <c r="BM1088" s="26"/>
      <c r="BN1088" s="26"/>
      <c r="BO1088" s="26"/>
      <c r="BP1088" s="16" t="n">
        <v>45730</v>
      </c>
      <c r="BQ1088" s="28" t="str">
        <f>HYPERLINK("https://organic.ams.usda.gov/Integrity/Certificate.aspx?cid=90&amp;nopid=7170230636")</f>
        <v>https://organic.ams.usda.gov/Integrity/Certificate.aspx?cid=90&amp;nopid=7170230636</v>
      </c>
    </row>
    <row r="1089">
      <c r="A1089" t="s">
        <v>3</v>
      </c>
      <c r="B1089" s="6" t="s">
        <v>7</v>
      </c>
      <c r="C1089" s="6" t="s">
        <v>54</v>
      </c>
      <c r="D1089" s="6" t="s">
        <v>100</v>
      </c>
      <c r="E1089" s="10" t="s">
        <v>1230</v>
      </c>
      <c r="F1089" s="6" t="s">
        <v>3958</v>
      </c>
      <c r="G1089" s="6" t="s">
        <v>81</v>
      </c>
      <c r="H1089" s="6" t="s">
        <v>6890</v>
      </c>
      <c r="I1089" s="6" t="s">
        <v>8493</v>
      </c>
      <c r="J1089" s="6" t="s">
        <v>10198</v>
      </c>
      <c r="K1089" s="6" t="s">
        <v>10886</v>
      </c>
      <c r="L1089" s="16" t="n">
        <v>43006</v>
      </c>
      <c r="M1089" s="16" t="n">
        <v>45716</v>
      </c>
      <c r="N1089" s="6" t="s">
        <v>10886</v>
      </c>
      <c r="O1089" s="16" t="n">
        <v>43006</v>
      </c>
      <c r="P1089" s="6" t="s">
        <v>10944</v>
      </c>
      <c r="Q1089" s="6" t="s">
        <v>81</v>
      </c>
      <c r="R1089" s="6" t="s">
        <v>81</v>
      </c>
      <c r="S1089" s="6" t="s">
        <v>10886</v>
      </c>
      <c r="T1089" s="16" t="n">
        <v>43235</v>
      </c>
      <c r="U1089" s="6" t="s">
        <v>13169</v>
      </c>
      <c r="V1089" s="6" t="s">
        <v>81</v>
      </c>
      <c r="W1089" s="6" t="s">
        <v>81</v>
      </c>
      <c r="X1089" s="6" t="s">
        <v>81</v>
      </c>
      <c r="Y1089" s="21" t="s">
        <v>81</v>
      </c>
      <c r="Z1089" s="6" t="s">
        <v>81</v>
      </c>
      <c r="AA1089" s="6" t="s">
        <v>81</v>
      </c>
      <c r="AB1089" s="6" t="s">
        <v>81</v>
      </c>
      <c r="AC1089" s="6" t="s">
        <v>81</v>
      </c>
      <c r="AD1089" s="21" t="s">
        <v>81</v>
      </c>
      <c r="AE1089" s="6" t="s">
        <v>81</v>
      </c>
      <c r="AF1089" s="6" t="s">
        <v>81</v>
      </c>
      <c r="AG1089" s="6" t="s">
        <v>81</v>
      </c>
      <c r="AH1089" s="6" t="s">
        <v>15661</v>
      </c>
      <c r="AI1089" s="6" t="s">
        <v>81</v>
      </c>
      <c r="AJ1089" s="6" t="s">
        <v>17885</v>
      </c>
      <c r="AK1089" s="6" t="s">
        <v>17712</v>
      </c>
      <c r="AL1089" s="6" t="s">
        <v>18444</v>
      </c>
      <c r="AM1089" s="6" t="s">
        <v>19070</v>
      </c>
      <c r="AN1089" s="6" t="s">
        <v>19645</v>
      </c>
      <c r="AO1089" s="6" t="s">
        <v>19770</v>
      </c>
      <c r="AP1089" s="6" t="s">
        <v>15661</v>
      </c>
      <c r="AQ1089" s="6" t="s">
        <v>81</v>
      </c>
      <c r="AR1089" s="6" t="s">
        <v>17885</v>
      </c>
      <c r="AS1089" s="6" t="s">
        <v>17712</v>
      </c>
      <c r="AT1089" s="6" t="s">
        <v>18444</v>
      </c>
      <c r="AU1089" s="6" t="s">
        <v>19070</v>
      </c>
      <c r="AV1089" s="6" t="s">
        <v>81</v>
      </c>
      <c r="AW1089" s="6" t="s">
        <v>81</v>
      </c>
      <c r="AX1089" s="6" t="s">
        <v>81</v>
      </c>
      <c r="AY1089" s="6" t="s">
        <v>81</v>
      </c>
      <c r="AZ1089" s="6" t="s">
        <v>81</v>
      </c>
      <c r="BA1089" s="6" t="s">
        <v>81</v>
      </c>
      <c r="BB1089" s="24" t="n">
        <v>118</v>
      </c>
      <c r="BC1089" s="26"/>
      <c r="BD1089" s="26"/>
      <c r="BE1089" s="26"/>
      <c r="BF1089" s="26"/>
      <c r="BG1089" s="26"/>
      <c r="BH1089" s="26"/>
      <c r="BI1089" s="26"/>
      <c r="BJ1089" s="26"/>
      <c r="BK1089" s="26"/>
      <c r="BL1089" s="26"/>
      <c r="BM1089" s="26"/>
      <c r="BN1089" s="26"/>
      <c r="BO1089" s="26"/>
      <c r="BP1089" s="16" t="n">
        <v>45595</v>
      </c>
      <c r="BQ1089" s="28" t="str">
        <f>HYPERLINK("https://organic.ams.usda.gov/Integrity/Certificate.aspx?cid=57&amp;nopid=3252017102")</f>
        <v>https://organic.ams.usda.gov/Integrity/Certificate.aspx?cid=57&amp;nopid=3252017102</v>
      </c>
    </row>
    <row r="1090">
      <c r="A1090" t="s">
        <v>3</v>
      </c>
      <c r="B1090" s="6" t="s">
        <v>12</v>
      </c>
      <c r="C1090" s="6" t="s">
        <v>59</v>
      </c>
      <c r="D1090" s="6" t="s">
        <v>105</v>
      </c>
      <c r="E1090" s="10" t="s">
        <v>1231</v>
      </c>
      <c r="F1090" s="6" t="s">
        <v>3959</v>
      </c>
      <c r="G1090" s="6" t="s">
        <v>81</v>
      </c>
      <c r="H1090" s="6" t="s">
        <v>81</v>
      </c>
      <c r="I1090" s="6" t="s">
        <v>8713</v>
      </c>
      <c r="J1090" s="6" t="s">
        <v>9671</v>
      </c>
      <c r="K1090" s="6" t="s">
        <v>10886</v>
      </c>
      <c r="L1090" s="16" t="n">
        <v>43377</v>
      </c>
      <c r="M1090" s="16" t="n">
        <v>43555</v>
      </c>
      <c r="N1090" s="6" t="s">
        <v>10886</v>
      </c>
      <c r="O1090" s="16" t="n">
        <v>43377</v>
      </c>
      <c r="P1090" s="6" t="s">
        <v>11543</v>
      </c>
      <c r="Q1090" s="6" t="s">
        <v>81</v>
      </c>
      <c r="R1090" s="6" t="s">
        <v>12726</v>
      </c>
      <c r="S1090" s="6" t="s">
        <v>10886</v>
      </c>
      <c r="T1090" s="16" t="n">
        <v>43377</v>
      </c>
      <c r="U1090" s="6" t="s">
        <v>13537</v>
      </c>
      <c r="V1090" s="6" t="s">
        <v>81</v>
      </c>
      <c r="W1090" s="6" t="s">
        <v>12726</v>
      </c>
      <c r="X1090" s="6" t="s">
        <v>81</v>
      </c>
      <c r="Y1090" s="21" t="s">
        <v>81</v>
      </c>
      <c r="Z1090" s="6" t="s">
        <v>81</v>
      </c>
      <c r="AA1090" s="6" t="s">
        <v>81</v>
      </c>
      <c r="AB1090" s="6" t="s">
        <v>81</v>
      </c>
      <c r="AC1090" s="6" t="s">
        <v>81</v>
      </c>
      <c r="AD1090" s="21" t="s">
        <v>81</v>
      </c>
      <c r="AE1090" s="6" t="s">
        <v>81</v>
      </c>
      <c r="AF1090" s="6" t="s">
        <v>81</v>
      </c>
      <c r="AG1090" s="6" t="s">
        <v>81</v>
      </c>
      <c r="AH1090" s="6" t="s">
        <v>15662</v>
      </c>
      <c r="AI1090" s="6" t="s">
        <v>81</v>
      </c>
      <c r="AJ1090" s="6" t="s">
        <v>17886</v>
      </c>
      <c r="AK1090" s="6" t="s">
        <v>18414</v>
      </c>
      <c r="AL1090" s="6" t="s">
        <v>18444</v>
      </c>
      <c r="AM1090" s="6" t="s">
        <v>19071</v>
      </c>
      <c r="AN1090" s="6" t="s">
        <v>19667</v>
      </c>
      <c r="AO1090" s="6" t="s">
        <v>19969</v>
      </c>
      <c r="AP1090" s="6" t="s">
        <v>15662</v>
      </c>
      <c r="AQ1090" s="6" t="s">
        <v>81</v>
      </c>
      <c r="AR1090" s="6" t="s">
        <v>17886</v>
      </c>
      <c r="AS1090" s="6" t="s">
        <v>18414</v>
      </c>
      <c r="AT1090" s="6" t="s">
        <v>18444</v>
      </c>
      <c r="AU1090" s="6" t="s">
        <v>19071</v>
      </c>
      <c r="AV1090" s="6" t="s">
        <v>81</v>
      </c>
      <c r="AW1090" s="6" t="s">
        <v>81</v>
      </c>
      <c r="AX1090" s="6" t="s">
        <v>81</v>
      </c>
      <c r="AY1090" s="6" t="s">
        <v>81</v>
      </c>
      <c r="AZ1090" s="6" t="s">
        <v>81</v>
      </c>
      <c r="BA1090" s="6" t="s">
        <v>81</v>
      </c>
      <c r="BB1090" s="6" t="s">
        <v>81</v>
      </c>
      <c r="BC1090" s="26"/>
      <c r="BD1090" s="26"/>
      <c r="BE1090" s="26"/>
      <c r="BF1090" s="26"/>
      <c r="BG1090" s="26"/>
      <c r="BH1090" s="26"/>
      <c r="BI1090" s="26"/>
      <c r="BJ1090" s="26"/>
      <c r="BK1090" s="26"/>
      <c r="BL1090" s="26"/>
      <c r="BM1090" s="26"/>
      <c r="BN1090" s="26"/>
      <c r="BO1090" s="26"/>
      <c r="BP1090" s="16" t="n">
        <v>43461</v>
      </c>
      <c r="BQ1090" s="28" t="str">
        <f>HYPERLINK("https://organic.ams.usda.gov/Integrity/Certificate.aspx?cid=68&amp;nopid=8210004705")</f>
        <v>https://organic.ams.usda.gov/Integrity/Certificate.aspx?cid=68&amp;nopid=8210004705</v>
      </c>
    </row>
    <row r="1091">
      <c r="A1091" t="s">
        <v>3</v>
      </c>
      <c r="B1091" s="6" t="s">
        <v>16</v>
      </c>
      <c r="C1091" s="6" t="s">
        <v>63</v>
      </c>
      <c r="D1091" s="6" t="s">
        <v>109</v>
      </c>
      <c r="E1091" s="10" t="s">
        <v>1232</v>
      </c>
      <c r="F1091" s="6" t="s">
        <v>3960</v>
      </c>
      <c r="G1091" s="6" t="s">
        <v>81</v>
      </c>
      <c r="H1091" s="6" t="s">
        <v>6891</v>
      </c>
      <c r="I1091" s="6" t="s">
        <v>8887</v>
      </c>
      <c r="J1091" s="6" t="s">
        <v>10209</v>
      </c>
      <c r="K1091" s="6" t="s">
        <v>10886</v>
      </c>
      <c r="L1091" s="16" t="n">
        <v>37575</v>
      </c>
      <c r="M1091" s="16" t="n">
        <v>45731</v>
      </c>
      <c r="N1091" s="6" t="s">
        <v>10886</v>
      </c>
      <c r="O1091" s="16" t="n">
        <v>37575</v>
      </c>
      <c r="P1091" s="6" t="s">
        <v>11544</v>
      </c>
      <c r="Q1091" s="6" t="s">
        <v>81</v>
      </c>
      <c r="R1091" s="6" t="s">
        <v>81</v>
      </c>
      <c r="S1091" s="6" t="s">
        <v>10886</v>
      </c>
      <c r="T1091" s="16" t="n">
        <v>37575</v>
      </c>
      <c r="U1091" s="6" t="s">
        <v>13538</v>
      </c>
      <c r="V1091" s="6" t="s">
        <v>81</v>
      </c>
      <c r="W1091" s="6" t="s">
        <v>81</v>
      </c>
      <c r="X1091" s="6" t="s">
        <v>81</v>
      </c>
      <c r="Y1091" s="21" t="s">
        <v>81</v>
      </c>
      <c r="Z1091" s="6" t="s">
        <v>81</v>
      </c>
      <c r="AA1091" s="6" t="s">
        <v>81</v>
      </c>
      <c r="AB1091" s="6" t="s">
        <v>81</v>
      </c>
      <c r="AC1091" s="6" t="s">
        <v>81</v>
      </c>
      <c r="AD1091" s="21" t="s">
        <v>81</v>
      </c>
      <c r="AE1091" s="6" t="s">
        <v>81</v>
      </c>
      <c r="AF1091" s="6" t="s">
        <v>81</v>
      </c>
      <c r="AG1091" s="6" t="s">
        <v>81</v>
      </c>
      <c r="AH1091" s="6" t="s">
        <v>15663</v>
      </c>
      <c r="AI1091" s="6" t="s">
        <v>81</v>
      </c>
      <c r="AJ1091" s="6" t="s">
        <v>17471</v>
      </c>
      <c r="AK1091" s="6" t="s">
        <v>18383</v>
      </c>
      <c r="AL1091" s="6" t="s">
        <v>18444</v>
      </c>
      <c r="AM1091" s="6" t="s">
        <v>19072</v>
      </c>
      <c r="AN1091" s="6" t="s">
        <v>19636</v>
      </c>
      <c r="AO1091" s="6" t="s">
        <v>19740</v>
      </c>
      <c r="AP1091" s="6" t="s">
        <v>81</v>
      </c>
      <c r="AQ1091" s="6" t="s">
        <v>81</v>
      </c>
      <c r="AR1091" s="6" t="s">
        <v>81</v>
      </c>
      <c r="AS1091" s="6" t="s">
        <v>81</v>
      </c>
      <c r="AT1091" s="6" t="s">
        <v>81</v>
      </c>
      <c r="AU1091" s="6" t="s">
        <v>81</v>
      </c>
      <c r="AV1091" s="6" t="s">
        <v>81</v>
      </c>
      <c r="AW1091" s="6" t="s">
        <v>81</v>
      </c>
      <c r="AX1091" s="6" t="s">
        <v>21433</v>
      </c>
      <c r="AY1091" s="6" t="s">
        <v>81</v>
      </c>
      <c r="AZ1091" s="6" t="s">
        <v>81</v>
      </c>
      <c r="BA1091" s="6" t="s">
        <v>81</v>
      </c>
      <c r="BB1091" s="24" t="n">
        <v>207</v>
      </c>
      <c r="BC1091" s="26"/>
      <c r="BD1091" s="26"/>
      <c r="BE1091" s="26"/>
      <c r="BF1091" s="26"/>
      <c r="BG1091" s="26"/>
      <c r="BH1091" s="26"/>
      <c r="BI1091" s="26"/>
      <c r="BJ1091" s="26"/>
      <c r="BK1091" s="26"/>
      <c r="BL1091" s="26"/>
      <c r="BM1091" s="26"/>
      <c r="BN1091" s="26"/>
      <c r="BO1091" s="26"/>
      <c r="BP1091" s="16" t="n">
        <v>45701</v>
      </c>
      <c r="BQ1091" s="28" t="str">
        <f>HYPERLINK("https://organic.ams.usda.gov/Integrity/Certificate.aspx?cid=81&amp;nopid=4210099127")</f>
        <v>https://organic.ams.usda.gov/Integrity/Certificate.aspx?cid=81&amp;nopid=4210099127</v>
      </c>
    </row>
    <row r="1092">
      <c r="A1092" t="s">
        <v>3</v>
      </c>
      <c r="B1092" s="6" t="s">
        <v>29</v>
      </c>
      <c r="C1092" s="6" t="s">
        <v>76</v>
      </c>
      <c r="D1092" s="6" t="s">
        <v>122</v>
      </c>
      <c r="E1092" s="10" t="s">
        <v>1233</v>
      </c>
      <c r="F1092" s="6" t="s">
        <v>3961</v>
      </c>
      <c r="G1092" s="6" t="s">
        <v>81</v>
      </c>
      <c r="H1092" s="6" t="s">
        <v>6892</v>
      </c>
      <c r="I1092" s="6" t="s">
        <v>8749</v>
      </c>
      <c r="J1092" s="6" t="s">
        <v>9665</v>
      </c>
      <c r="K1092" s="6" t="s">
        <v>10886</v>
      </c>
      <c r="L1092" s="16" t="n">
        <v>40169</v>
      </c>
      <c r="M1092" s="16" t="n">
        <v>45870</v>
      </c>
      <c r="N1092" s="6" t="s">
        <v>10886</v>
      </c>
      <c r="O1092" s="16" t="n">
        <v>40169</v>
      </c>
      <c r="P1092" s="6" t="s">
        <v>11545</v>
      </c>
      <c r="Q1092" s="6" t="s">
        <v>81</v>
      </c>
      <c r="R1092" s="6" t="s">
        <v>12727</v>
      </c>
      <c r="S1092" s="6" t="s">
        <v>10886</v>
      </c>
      <c r="T1092" s="16" t="n">
        <v>40169</v>
      </c>
      <c r="U1092" s="6" t="s">
        <v>13539</v>
      </c>
      <c r="V1092" s="6" t="s">
        <v>81</v>
      </c>
      <c r="W1092" s="6" t="s">
        <v>12727</v>
      </c>
      <c r="X1092" s="6" t="s">
        <v>81</v>
      </c>
      <c r="Y1092" s="21" t="s">
        <v>81</v>
      </c>
      <c r="Z1092" s="6" t="s">
        <v>81</v>
      </c>
      <c r="AA1092" s="6" t="s">
        <v>81</v>
      </c>
      <c r="AB1092" s="6" t="s">
        <v>81</v>
      </c>
      <c r="AC1092" s="6" t="s">
        <v>81</v>
      </c>
      <c r="AD1092" s="21" t="s">
        <v>81</v>
      </c>
      <c r="AE1092" s="6" t="s">
        <v>81</v>
      </c>
      <c r="AF1092" s="6" t="s">
        <v>81</v>
      </c>
      <c r="AG1092" s="6" t="s">
        <v>81</v>
      </c>
      <c r="AH1092" s="6" t="s">
        <v>15664</v>
      </c>
      <c r="AI1092" s="6" t="s">
        <v>81</v>
      </c>
      <c r="AJ1092" s="6" t="s">
        <v>17426</v>
      </c>
      <c r="AK1092" s="6" t="s">
        <v>18384</v>
      </c>
      <c r="AL1092" s="6" t="s">
        <v>18444</v>
      </c>
      <c r="AM1092" s="6" t="s">
        <v>18583</v>
      </c>
      <c r="AN1092" s="6" t="s">
        <v>19690</v>
      </c>
      <c r="AO1092" s="6" t="s">
        <v>19852</v>
      </c>
      <c r="AP1092" s="6" t="s">
        <v>81</v>
      </c>
      <c r="AQ1092" s="6" t="s">
        <v>81</v>
      </c>
      <c r="AR1092" s="6" t="s">
        <v>81</v>
      </c>
      <c r="AS1092" s="6" t="s">
        <v>81</v>
      </c>
      <c r="AT1092" s="6" t="s">
        <v>81</v>
      </c>
      <c r="AU1092" s="6" t="s">
        <v>81</v>
      </c>
      <c r="AV1092" s="6" t="s">
        <v>81</v>
      </c>
      <c r="AW1092" s="6" t="s">
        <v>81</v>
      </c>
      <c r="AX1092" s="6" t="s">
        <v>81</v>
      </c>
      <c r="AY1092" s="6" t="s">
        <v>81</v>
      </c>
      <c r="AZ1092" s="6" t="s">
        <v>81</v>
      </c>
      <c r="BA1092" s="6" t="s">
        <v>81</v>
      </c>
      <c r="BB1092" s="24" t="n">
        <v>101</v>
      </c>
      <c r="BC1092" s="26"/>
      <c r="BD1092" s="26"/>
      <c r="BE1092" s="26"/>
      <c r="BF1092" s="26" t="s">
        <v>23900</v>
      </c>
      <c r="BG1092" s="26"/>
      <c r="BH1092" s="26"/>
      <c r="BI1092" s="26"/>
      <c r="BJ1092" s="26"/>
      <c r="BK1092" s="26"/>
      <c r="BL1092" s="26"/>
      <c r="BM1092" s="26"/>
      <c r="BN1092" s="26"/>
      <c r="BO1092" s="26"/>
      <c r="BP1092" s="16" t="n">
        <v>45737</v>
      </c>
      <c r="BQ1092" s="28" t="str">
        <f>HYPERLINK("https://organic.ams.usda.gov/Integrity/Certificate.aspx?cid=31&amp;nopid=3920897713")</f>
        <v>https://organic.ams.usda.gov/Integrity/Certificate.aspx?cid=31&amp;nopid=3920897713</v>
      </c>
    </row>
    <row r="1093">
      <c r="A1093" t="s">
        <v>3</v>
      </c>
      <c r="B1093" s="6" t="s">
        <v>16</v>
      </c>
      <c r="C1093" s="6" t="s">
        <v>63</v>
      </c>
      <c r="D1093" s="6" t="s">
        <v>109</v>
      </c>
      <c r="E1093" s="10" t="s">
        <v>1234</v>
      </c>
      <c r="F1093" s="6" t="s">
        <v>3962</v>
      </c>
      <c r="G1093" s="6" t="s">
        <v>81</v>
      </c>
      <c r="H1093" s="6" t="s">
        <v>6893</v>
      </c>
      <c r="I1093" s="6" t="s">
        <v>9008</v>
      </c>
      <c r="J1093" s="6" t="s">
        <v>10210</v>
      </c>
      <c r="K1093" s="6" t="s">
        <v>10886</v>
      </c>
      <c r="L1093" s="16" t="n">
        <v>42706</v>
      </c>
      <c r="M1093" s="16" t="n">
        <v>45731</v>
      </c>
      <c r="N1093" s="6" t="s">
        <v>10886</v>
      </c>
      <c r="O1093" s="16" t="n">
        <v>42706</v>
      </c>
      <c r="P1093" s="6" t="s">
        <v>11546</v>
      </c>
      <c r="Q1093" s="6" t="s">
        <v>81</v>
      </c>
      <c r="R1093" s="6" t="s">
        <v>81</v>
      </c>
      <c r="S1093" s="6" t="s">
        <v>10886</v>
      </c>
      <c r="T1093" s="16" t="n">
        <v>42706</v>
      </c>
      <c r="U1093" s="6" t="s">
        <v>13350</v>
      </c>
      <c r="V1093" s="6" t="s">
        <v>81</v>
      </c>
      <c r="W1093" s="6" t="s">
        <v>81</v>
      </c>
      <c r="X1093" s="6" t="s">
        <v>81</v>
      </c>
      <c r="Y1093" s="21" t="s">
        <v>81</v>
      </c>
      <c r="Z1093" s="6" t="s">
        <v>81</v>
      </c>
      <c r="AA1093" s="6" t="s">
        <v>81</v>
      </c>
      <c r="AB1093" s="6" t="s">
        <v>81</v>
      </c>
      <c r="AC1093" s="6" t="s">
        <v>10886</v>
      </c>
      <c r="AD1093" s="16" t="n">
        <v>42706</v>
      </c>
      <c r="AE1093" s="6" t="s">
        <v>81</v>
      </c>
      <c r="AF1093" s="6" t="s">
        <v>81</v>
      </c>
      <c r="AG1093" s="6" t="s">
        <v>81</v>
      </c>
      <c r="AH1093" s="6" t="s">
        <v>15665</v>
      </c>
      <c r="AI1093" s="6" t="s">
        <v>81</v>
      </c>
      <c r="AJ1093" s="6" t="s">
        <v>17887</v>
      </c>
      <c r="AK1093" s="6" t="s">
        <v>18383</v>
      </c>
      <c r="AL1093" s="6" t="s">
        <v>18444</v>
      </c>
      <c r="AM1093" s="6" t="s">
        <v>19073</v>
      </c>
      <c r="AN1093" s="6" t="s">
        <v>19653</v>
      </c>
      <c r="AO1093" s="6" t="s">
        <v>19928</v>
      </c>
      <c r="AP1093" s="6" t="s">
        <v>81</v>
      </c>
      <c r="AQ1093" s="6" t="s">
        <v>81</v>
      </c>
      <c r="AR1093" s="6" t="s">
        <v>81</v>
      </c>
      <c r="AS1093" s="6" t="s">
        <v>81</v>
      </c>
      <c r="AT1093" s="6" t="s">
        <v>81</v>
      </c>
      <c r="AU1093" s="6" t="s">
        <v>81</v>
      </c>
      <c r="AV1093" s="6" t="s">
        <v>81</v>
      </c>
      <c r="AW1093" s="6" t="s">
        <v>81</v>
      </c>
      <c r="AX1093" s="6" t="s">
        <v>21434</v>
      </c>
      <c r="AY1093" s="6" t="s">
        <v>81</v>
      </c>
      <c r="AZ1093" s="6" t="s">
        <v>81</v>
      </c>
      <c r="BA1093" s="6" t="s">
        <v>81</v>
      </c>
      <c r="BB1093" s="24" t="n">
        <v>400</v>
      </c>
      <c r="BC1093" s="26"/>
      <c r="BD1093" s="26"/>
      <c r="BE1093" s="26"/>
      <c r="BF1093" s="26"/>
      <c r="BG1093" s="26"/>
      <c r="BH1093" s="26"/>
      <c r="BI1093" s="26"/>
      <c r="BJ1093" s="26"/>
      <c r="BK1093" s="26"/>
      <c r="BL1093" s="26"/>
      <c r="BM1093" s="26"/>
      <c r="BN1093" s="26"/>
      <c r="BO1093" s="26"/>
      <c r="BP1093" s="16" t="n">
        <v>45701</v>
      </c>
      <c r="BQ1093" s="28" t="str">
        <f>HYPERLINK("https://organic.ams.usda.gov/Integrity/Certificate.aspx?cid=81&amp;nopid=4213724402")</f>
        <v>https://organic.ams.usda.gov/Integrity/Certificate.aspx?cid=81&amp;nopid=4213724402</v>
      </c>
    </row>
    <row r="1094">
      <c r="A1094" t="s">
        <v>3</v>
      </c>
      <c r="B1094" s="6" t="s">
        <v>8</v>
      </c>
      <c r="C1094" s="6" t="s">
        <v>55</v>
      </c>
      <c r="D1094" s="6" t="s">
        <v>101</v>
      </c>
      <c r="E1094" s="10" t="s">
        <v>1235</v>
      </c>
      <c r="F1094" s="6" t="s">
        <v>3963</v>
      </c>
      <c r="G1094" s="6" t="s">
        <v>81</v>
      </c>
      <c r="H1094" s="6" t="s">
        <v>6894</v>
      </c>
      <c r="I1094" s="6" t="s">
        <v>9007</v>
      </c>
      <c r="J1094" s="6" t="s">
        <v>9759</v>
      </c>
      <c r="K1094" s="6" t="s">
        <v>10886</v>
      </c>
      <c r="L1094" s="16" t="n">
        <v>41436</v>
      </c>
      <c r="M1094" s="16" t="n">
        <v>45748</v>
      </c>
      <c r="N1094" s="6" t="s">
        <v>10886</v>
      </c>
      <c r="O1094" s="16" t="n">
        <v>41436</v>
      </c>
      <c r="P1094" s="6" t="s">
        <v>11547</v>
      </c>
      <c r="Q1094" s="6" t="s">
        <v>81</v>
      </c>
      <c r="R1094" s="6" t="s">
        <v>6894</v>
      </c>
      <c r="S1094" s="6" t="s">
        <v>10886</v>
      </c>
      <c r="T1094" s="16" t="n">
        <v>41436</v>
      </c>
      <c r="U1094" s="6" t="s">
        <v>13293</v>
      </c>
      <c r="V1094" s="6" t="s">
        <v>81</v>
      </c>
      <c r="W1094" s="6" t="s">
        <v>6894</v>
      </c>
      <c r="X1094" s="6" t="s">
        <v>81</v>
      </c>
      <c r="Y1094" s="21" t="s">
        <v>81</v>
      </c>
      <c r="Z1094" s="6" t="s">
        <v>81</v>
      </c>
      <c r="AA1094" s="6" t="s">
        <v>81</v>
      </c>
      <c r="AB1094" s="6" t="s">
        <v>81</v>
      </c>
      <c r="AC1094" s="6" t="s">
        <v>81</v>
      </c>
      <c r="AD1094" s="21" t="s">
        <v>81</v>
      </c>
      <c r="AE1094" s="6" t="s">
        <v>81</v>
      </c>
      <c r="AF1094" s="6" t="s">
        <v>81</v>
      </c>
      <c r="AG1094" s="6" t="s">
        <v>81</v>
      </c>
      <c r="AH1094" s="6" t="s">
        <v>15666</v>
      </c>
      <c r="AI1094" s="6" t="s">
        <v>81</v>
      </c>
      <c r="AJ1094" s="6" t="s">
        <v>17530</v>
      </c>
      <c r="AK1094" s="6" t="s">
        <v>18377</v>
      </c>
      <c r="AL1094" s="6" t="s">
        <v>18444</v>
      </c>
      <c r="AM1094" s="6" t="s">
        <v>6414</v>
      </c>
      <c r="AN1094" s="6" t="s">
        <v>19646</v>
      </c>
      <c r="AO1094" s="6" t="s">
        <v>19733</v>
      </c>
      <c r="AP1094" s="6" t="s">
        <v>81</v>
      </c>
      <c r="AQ1094" s="6" t="s">
        <v>81</v>
      </c>
      <c r="AR1094" s="6" t="s">
        <v>81</v>
      </c>
      <c r="AS1094" s="6" t="s">
        <v>81</v>
      </c>
      <c r="AT1094" s="6" t="s">
        <v>81</v>
      </c>
      <c r="AU1094" s="6" t="s">
        <v>81</v>
      </c>
      <c r="AV1094" s="6" t="s">
        <v>81</v>
      </c>
      <c r="AW1094" s="6" t="s">
        <v>81</v>
      </c>
      <c r="AX1094" s="6" t="s">
        <v>81</v>
      </c>
      <c r="AY1094" s="6" t="s">
        <v>81</v>
      </c>
      <c r="AZ1094" s="6" t="s">
        <v>81</v>
      </c>
      <c r="BA1094" s="6" t="s">
        <v>23824</v>
      </c>
      <c r="BB1094" s="24" t="n">
        <v>197</v>
      </c>
      <c r="BC1094" s="26"/>
      <c r="BD1094" s="26"/>
      <c r="BE1094" s="26"/>
      <c r="BF1094" s="26" t="s">
        <v>23900</v>
      </c>
      <c r="BG1094" s="26"/>
      <c r="BH1094" s="26"/>
      <c r="BI1094" s="26"/>
      <c r="BJ1094" s="26"/>
      <c r="BK1094" s="26"/>
      <c r="BL1094" s="26"/>
      <c r="BM1094" s="26"/>
      <c r="BN1094" s="26"/>
      <c r="BO1094" s="26"/>
      <c r="BP1094" s="16" t="n">
        <v>45601</v>
      </c>
      <c r="BQ1094" s="28" t="str">
        <f>HYPERLINK("https://organic.ams.usda.gov/Integrity/Certificate.aspx?cid=45&amp;nopid=9950005015")</f>
        <v>https://organic.ams.usda.gov/Integrity/Certificate.aspx?cid=45&amp;nopid=9950005015</v>
      </c>
    </row>
    <row r="1095">
      <c r="A1095" t="s">
        <v>3</v>
      </c>
      <c r="B1095" s="6" t="s">
        <v>8</v>
      </c>
      <c r="C1095" s="6" t="s">
        <v>55</v>
      </c>
      <c r="D1095" s="6" t="s">
        <v>101</v>
      </c>
      <c r="E1095" s="10" t="s">
        <v>1236</v>
      </c>
      <c r="F1095" s="6" t="s">
        <v>3964</v>
      </c>
      <c r="G1095" s="6" t="s">
        <v>81</v>
      </c>
      <c r="H1095" s="6" t="s">
        <v>6895</v>
      </c>
      <c r="I1095" s="6" t="s">
        <v>9009</v>
      </c>
      <c r="J1095" s="6" t="s">
        <v>10211</v>
      </c>
      <c r="K1095" s="6" t="s">
        <v>10886</v>
      </c>
      <c r="L1095" s="16" t="n">
        <v>39343</v>
      </c>
      <c r="M1095" s="16" t="n">
        <v>45748</v>
      </c>
      <c r="N1095" s="6" t="s">
        <v>10886</v>
      </c>
      <c r="O1095" s="16" t="n">
        <v>39343</v>
      </c>
      <c r="P1095" s="6" t="s">
        <v>11548</v>
      </c>
      <c r="Q1095" s="6" t="s">
        <v>81</v>
      </c>
      <c r="R1095" s="6" t="s">
        <v>6895</v>
      </c>
      <c r="S1095" s="6" t="s">
        <v>10886</v>
      </c>
      <c r="T1095" s="16" t="n">
        <v>39343</v>
      </c>
      <c r="U1095" s="6" t="s">
        <v>13173</v>
      </c>
      <c r="V1095" s="6" t="s">
        <v>81</v>
      </c>
      <c r="W1095" s="6" t="s">
        <v>6895</v>
      </c>
      <c r="X1095" s="6" t="s">
        <v>81</v>
      </c>
      <c r="Y1095" s="21" t="s">
        <v>81</v>
      </c>
      <c r="Z1095" s="6" t="s">
        <v>81</v>
      </c>
      <c r="AA1095" s="6" t="s">
        <v>81</v>
      </c>
      <c r="AB1095" s="6" t="s">
        <v>81</v>
      </c>
      <c r="AC1095" s="6" t="s">
        <v>81</v>
      </c>
      <c r="AD1095" s="21" t="s">
        <v>81</v>
      </c>
      <c r="AE1095" s="6" t="s">
        <v>81</v>
      </c>
      <c r="AF1095" s="6" t="s">
        <v>81</v>
      </c>
      <c r="AG1095" s="6" t="s">
        <v>81</v>
      </c>
      <c r="AH1095" s="6" t="s">
        <v>15667</v>
      </c>
      <c r="AI1095" s="6" t="s">
        <v>81</v>
      </c>
      <c r="AJ1095" s="6" t="s">
        <v>17888</v>
      </c>
      <c r="AK1095" s="6" t="s">
        <v>18377</v>
      </c>
      <c r="AL1095" s="6" t="s">
        <v>18444</v>
      </c>
      <c r="AM1095" s="6" t="s">
        <v>19074</v>
      </c>
      <c r="AN1095" s="6" t="s">
        <v>19642</v>
      </c>
      <c r="AO1095" s="6" t="s">
        <v>19966</v>
      </c>
      <c r="AP1095" s="6" t="s">
        <v>81</v>
      </c>
      <c r="AQ1095" s="6" t="s">
        <v>81</v>
      </c>
      <c r="AR1095" s="6" t="s">
        <v>81</v>
      </c>
      <c r="AS1095" s="6" t="s">
        <v>81</v>
      </c>
      <c r="AT1095" s="6" t="s">
        <v>81</v>
      </c>
      <c r="AU1095" s="6" t="s">
        <v>81</v>
      </c>
      <c r="AV1095" s="6" t="s">
        <v>81</v>
      </c>
      <c r="AW1095" s="6" t="s">
        <v>81</v>
      </c>
      <c r="AX1095" s="6" t="s">
        <v>81</v>
      </c>
      <c r="AY1095" s="6" t="s">
        <v>22967</v>
      </c>
      <c r="AZ1095" s="6" t="s">
        <v>81</v>
      </c>
      <c r="BA1095" s="6" t="s">
        <v>23824</v>
      </c>
      <c r="BB1095" s="24" t="n">
        <v>325</v>
      </c>
      <c r="BC1095" s="26"/>
      <c r="BD1095" s="26"/>
      <c r="BE1095" s="26"/>
      <c r="BF1095" s="26" t="s">
        <v>23900</v>
      </c>
      <c r="BG1095" s="26"/>
      <c r="BH1095" s="26"/>
      <c r="BI1095" s="26"/>
      <c r="BJ1095" s="26"/>
      <c r="BK1095" s="26"/>
      <c r="BL1095" s="26"/>
      <c r="BM1095" s="26"/>
      <c r="BN1095" s="26"/>
      <c r="BO1095" s="26"/>
      <c r="BP1095" s="16" t="n">
        <v>45636</v>
      </c>
      <c r="BQ1095" s="28" t="str">
        <f>HYPERLINK("https://organic.ams.usda.gov/Integrity/Certificate.aspx?cid=45&amp;nopid=9950002681")</f>
        <v>https://organic.ams.usda.gov/Integrity/Certificate.aspx?cid=45&amp;nopid=9950002681</v>
      </c>
    </row>
    <row r="1096">
      <c r="A1096" t="s">
        <v>3</v>
      </c>
      <c r="B1096" s="6" t="s">
        <v>29</v>
      </c>
      <c r="C1096" s="6" t="s">
        <v>76</v>
      </c>
      <c r="D1096" s="6" t="s">
        <v>122</v>
      </c>
      <c r="E1096" s="10" t="s">
        <v>1237</v>
      </c>
      <c r="F1096" s="6" t="s">
        <v>3965</v>
      </c>
      <c r="G1096" s="6" t="s">
        <v>5690</v>
      </c>
      <c r="H1096" s="6" t="s">
        <v>6896</v>
      </c>
      <c r="I1096" s="6" t="s">
        <v>8516</v>
      </c>
      <c r="J1096" s="6" t="s">
        <v>10212</v>
      </c>
      <c r="K1096" s="6" t="s">
        <v>10886</v>
      </c>
      <c r="L1096" s="16" t="n">
        <v>39916</v>
      </c>
      <c r="M1096" s="16" t="n">
        <v>45505</v>
      </c>
      <c r="N1096" s="6" t="s">
        <v>10886</v>
      </c>
      <c r="O1096" s="16" t="n">
        <v>39916</v>
      </c>
      <c r="P1096" s="6" t="s">
        <v>10910</v>
      </c>
      <c r="Q1096" s="6" t="s">
        <v>81</v>
      </c>
      <c r="R1096" s="6" t="s">
        <v>12728</v>
      </c>
      <c r="S1096" s="6" t="s">
        <v>10886</v>
      </c>
      <c r="T1096" s="16" t="n">
        <v>39916</v>
      </c>
      <c r="U1096" s="6" t="s">
        <v>13212</v>
      </c>
      <c r="V1096" s="6" t="s">
        <v>81</v>
      </c>
      <c r="W1096" s="6" t="s">
        <v>12728</v>
      </c>
      <c r="X1096" s="6" t="s">
        <v>81</v>
      </c>
      <c r="Y1096" s="21" t="s">
        <v>81</v>
      </c>
      <c r="Z1096" s="6" t="s">
        <v>81</v>
      </c>
      <c r="AA1096" s="6" t="s">
        <v>81</v>
      </c>
      <c r="AB1096" s="6" t="s">
        <v>81</v>
      </c>
      <c r="AC1096" s="6" t="s">
        <v>81</v>
      </c>
      <c r="AD1096" s="21" t="s">
        <v>81</v>
      </c>
      <c r="AE1096" s="6" t="s">
        <v>81</v>
      </c>
      <c r="AF1096" s="6" t="s">
        <v>81</v>
      </c>
      <c r="AG1096" s="6" t="s">
        <v>81</v>
      </c>
      <c r="AH1096" s="6" t="s">
        <v>15668</v>
      </c>
      <c r="AI1096" s="6" t="s">
        <v>81</v>
      </c>
      <c r="AJ1096" s="6" t="s">
        <v>17889</v>
      </c>
      <c r="AK1096" s="6" t="s">
        <v>17712</v>
      </c>
      <c r="AL1096" s="6" t="s">
        <v>18444</v>
      </c>
      <c r="AM1096" s="6" t="s">
        <v>19075</v>
      </c>
      <c r="AN1096" s="6" t="s">
        <v>19686</v>
      </c>
      <c r="AO1096" s="6" t="s">
        <v>19827</v>
      </c>
      <c r="AP1096" s="6" t="s">
        <v>20250</v>
      </c>
      <c r="AQ1096" s="6" t="s">
        <v>81</v>
      </c>
      <c r="AR1096" s="6" t="s">
        <v>20532</v>
      </c>
      <c r="AS1096" s="6" t="s">
        <v>17712</v>
      </c>
      <c r="AT1096" s="6" t="s">
        <v>18444</v>
      </c>
      <c r="AU1096" s="6" t="s">
        <v>20655</v>
      </c>
      <c r="AV1096" s="6" t="s">
        <v>81</v>
      </c>
      <c r="AW1096" s="6" t="s">
        <v>81</v>
      </c>
      <c r="AX1096" s="6" t="s">
        <v>21435</v>
      </c>
      <c r="AY1096" s="6" t="s">
        <v>22968</v>
      </c>
      <c r="AZ1096" s="6" t="s">
        <v>81</v>
      </c>
      <c r="BA1096" s="6" t="s">
        <v>81</v>
      </c>
      <c r="BB1096" s="24" t="n">
        <v>355</v>
      </c>
      <c r="BC1096" s="26"/>
      <c r="BD1096" s="26"/>
      <c r="BE1096" s="26"/>
      <c r="BF1096" s="26" t="s">
        <v>23900</v>
      </c>
      <c r="BG1096" s="26"/>
      <c r="BH1096" s="26"/>
      <c r="BI1096" s="26"/>
      <c r="BJ1096" s="26"/>
      <c r="BK1096" s="26"/>
      <c r="BL1096" s="26"/>
      <c r="BM1096" s="26"/>
      <c r="BN1096" s="26"/>
      <c r="BO1096" s="26"/>
      <c r="BP1096" s="16" t="n">
        <v>45737</v>
      </c>
      <c r="BQ1096" s="28" t="str">
        <f>HYPERLINK("https://organic.ams.usda.gov/Integrity/Certificate.aspx?cid=31&amp;nopid=3920897836")</f>
        <v>https://organic.ams.usda.gov/Integrity/Certificate.aspx?cid=31&amp;nopid=3920897836</v>
      </c>
    </row>
    <row r="1097">
      <c r="A1097" t="s">
        <v>3</v>
      </c>
      <c r="B1097" s="6" t="s">
        <v>16</v>
      </c>
      <c r="C1097" s="6" t="s">
        <v>63</v>
      </c>
      <c r="D1097" s="6" t="s">
        <v>109</v>
      </c>
      <c r="E1097" s="10" t="s">
        <v>1238</v>
      </c>
      <c r="F1097" s="6" t="s">
        <v>3966</v>
      </c>
      <c r="G1097" s="6" t="s">
        <v>81</v>
      </c>
      <c r="H1097" s="6" t="s">
        <v>6897</v>
      </c>
      <c r="I1097" s="6" t="s">
        <v>9010</v>
      </c>
      <c r="J1097" s="6" t="s">
        <v>10213</v>
      </c>
      <c r="K1097" s="6" t="s">
        <v>10886</v>
      </c>
      <c r="L1097" s="16" t="n">
        <v>42490</v>
      </c>
      <c r="M1097" s="16" t="n">
        <v>45731</v>
      </c>
      <c r="N1097" s="6" t="s">
        <v>10886</v>
      </c>
      <c r="O1097" s="16" t="n">
        <v>42490</v>
      </c>
      <c r="P1097" s="6" t="s">
        <v>11130</v>
      </c>
      <c r="Q1097" s="6" t="s">
        <v>81</v>
      </c>
      <c r="R1097" s="6" t="s">
        <v>81</v>
      </c>
      <c r="S1097" s="6" t="s">
        <v>10886</v>
      </c>
      <c r="T1097" s="16" t="n">
        <v>42490</v>
      </c>
      <c r="U1097" s="6" t="s">
        <v>13281</v>
      </c>
      <c r="V1097" s="6" t="s">
        <v>81</v>
      </c>
      <c r="W1097" s="6" t="s">
        <v>81</v>
      </c>
      <c r="X1097" s="6" t="s">
        <v>81</v>
      </c>
      <c r="Y1097" s="21" t="s">
        <v>81</v>
      </c>
      <c r="Z1097" s="6" t="s">
        <v>81</v>
      </c>
      <c r="AA1097" s="6" t="s">
        <v>81</v>
      </c>
      <c r="AB1097" s="6" t="s">
        <v>81</v>
      </c>
      <c r="AC1097" s="6" t="s">
        <v>10886</v>
      </c>
      <c r="AD1097" s="16" t="n">
        <v>42490</v>
      </c>
      <c r="AE1097" s="6" t="s">
        <v>81</v>
      </c>
      <c r="AF1097" s="6" t="s">
        <v>81</v>
      </c>
      <c r="AG1097" s="6" t="s">
        <v>81</v>
      </c>
      <c r="AH1097" s="6" t="s">
        <v>15669</v>
      </c>
      <c r="AI1097" s="6" t="s">
        <v>81</v>
      </c>
      <c r="AJ1097" s="6" t="s">
        <v>17887</v>
      </c>
      <c r="AK1097" s="6" t="s">
        <v>18383</v>
      </c>
      <c r="AL1097" s="6" t="s">
        <v>18444</v>
      </c>
      <c r="AM1097" s="6" t="s">
        <v>19073</v>
      </c>
      <c r="AN1097" s="6" t="s">
        <v>19653</v>
      </c>
      <c r="AO1097" s="6" t="s">
        <v>19928</v>
      </c>
      <c r="AP1097" s="6" t="s">
        <v>81</v>
      </c>
      <c r="AQ1097" s="6" t="s">
        <v>81</v>
      </c>
      <c r="AR1097" s="6" t="s">
        <v>81</v>
      </c>
      <c r="AS1097" s="6" t="s">
        <v>81</v>
      </c>
      <c r="AT1097" s="6" t="s">
        <v>81</v>
      </c>
      <c r="AU1097" s="6" t="s">
        <v>81</v>
      </c>
      <c r="AV1097" s="6" t="s">
        <v>81</v>
      </c>
      <c r="AW1097" s="6" t="s">
        <v>81</v>
      </c>
      <c r="AX1097" s="6" t="s">
        <v>21436</v>
      </c>
      <c r="AY1097" s="6" t="s">
        <v>81</v>
      </c>
      <c r="AZ1097" s="6" t="s">
        <v>81</v>
      </c>
      <c r="BA1097" s="6" t="s">
        <v>81</v>
      </c>
      <c r="BB1097" s="24" t="n">
        <v>245</v>
      </c>
      <c r="BC1097" s="26"/>
      <c r="BD1097" s="26"/>
      <c r="BE1097" s="26"/>
      <c r="BF1097" s="26"/>
      <c r="BG1097" s="26"/>
      <c r="BH1097" s="26"/>
      <c r="BI1097" s="26"/>
      <c r="BJ1097" s="26"/>
      <c r="BK1097" s="26"/>
      <c r="BL1097" s="26"/>
      <c r="BM1097" s="26"/>
      <c r="BN1097" s="26"/>
      <c r="BO1097" s="26"/>
      <c r="BP1097" s="16" t="n">
        <v>45701</v>
      </c>
      <c r="BQ1097" s="28" t="str">
        <f>HYPERLINK("https://organic.ams.usda.gov/Integrity/Certificate.aspx?cid=81&amp;nopid=4210016056")</f>
        <v>https://organic.ams.usda.gov/Integrity/Certificate.aspx?cid=81&amp;nopid=4210016056</v>
      </c>
    </row>
    <row r="1098">
      <c r="A1098" t="s">
        <v>3</v>
      </c>
      <c r="B1098" s="6" t="s">
        <v>11</v>
      </c>
      <c r="C1098" s="6" t="s">
        <v>58</v>
      </c>
      <c r="D1098" s="6" t="s">
        <v>104</v>
      </c>
      <c r="E1098" s="10" t="s">
        <v>1239</v>
      </c>
      <c r="F1098" s="6" t="s">
        <v>3967</v>
      </c>
      <c r="G1098" s="6" t="s">
        <v>81</v>
      </c>
      <c r="H1098" s="6" t="s">
        <v>81</v>
      </c>
      <c r="I1098" s="6" t="s">
        <v>9011</v>
      </c>
      <c r="J1098" s="6" t="s">
        <v>9718</v>
      </c>
      <c r="K1098" s="6" t="s">
        <v>10886</v>
      </c>
      <c r="L1098" s="16" t="n">
        <v>42489</v>
      </c>
      <c r="M1098" s="16" t="n">
        <v>45383</v>
      </c>
      <c r="N1098" s="6" t="s">
        <v>10886</v>
      </c>
      <c r="O1098" s="16" t="n">
        <v>42489</v>
      </c>
      <c r="P1098" s="6" t="s">
        <v>11549</v>
      </c>
      <c r="Q1098" s="6" t="s">
        <v>81</v>
      </c>
      <c r="R1098" s="6" t="s">
        <v>81</v>
      </c>
      <c r="S1098" s="6" t="s">
        <v>10886</v>
      </c>
      <c r="T1098" s="16" t="n">
        <v>42489</v>
      </c>
      <c r="U1098" s="6" t="s">
        <v>13540</v>
      </c>
      <c r="V1098" s="6" t="s">
        <v>81</v>
      </c>
      <c r="W1098" s="6" t="s">
        <v>81</v>
      </c>
      <c r="X1098" s="6" t="s">
        <v>81</v>
      </c>
      <c r="Y1098" s="21" t="s">
        <v>81</v>
      </c>
      <c r="Z1098" s="6" t="s">
        <v>81</v>
      </c>
      <c r="AA1098" s="6" t="s">
        <v>81</v>
      </c>
      <c r="AB1098" s="6" t="s">
        <v>81</v>
      </c>
      <c r="AC1098" s="6" t="s">
        <v>81</v>
      </c>
      <c r="AD1098" s="21" t="s">
        <v>81</v>
      </c>
      <c r="AE1098" s="6" t="s">
        <v>81</v>
      </c>
      <c r="AF1098" s="6" t="s">
        <v>81</v>
      </c>
      <c r="AG1098" s="6" t="s">
        <v>81</v>
      </c>
      <c r="AH1098" s="6" t="s">
        <v>15670</v>
      </c>
      <c r="AI1098" s="6" t="s">
        <v>81</v>
      </c>
      <c r="AJ1098" s="6" t="s">
        <v>17366</v>
      </c>
      <c r="AK1098" s="6" t="s">
        <v>18381</v>
      </c>
      <c r="AL1098" s="6" t="s">
        <v>18444</v>
      </c>
      <c r="AM1098" s="6" t="s">
        <v>18518</v>
      </c>
      <c r="AN1098" s="6" t="s">
        <v>19676</v>
      </c>
      <c r="AO1098" s="6" t="s">
        <v>19797</v>
      </c>
      <c r="AP1098" s="6" t="s">
        <v>15670</v>
      </c>
      <c r="AQ1098" s="6" t="s">
        <v>81</v>
      </c>
      <c r="AR1098" s="6" t="s">
        <v>17366</v>
      </c>
      <c r="AS1098" s="6" t="s">
        <v>18381</v>
      </c>
      <c r="AT1098" s="6" t="s">
        <v>18444</v>
      </c>
      <c r="AU1098" s="6" t="s">
        <v>18518</v>
      </c>
      <c r="AV1098" s="6" t="s">
        <v>81</v>
      </c>
      <c r="AW1098" s="6" t="s">
        <v>81</v>
      </c>
      <c r="AX1098" s="6" t="s">
        <v>81</v>
      </c>
      <c r="AY1098" s="6" t="s">
        <v>81</v>
      </c>
      <c r="AZ1098" s="6" t="s">
        <v>81</v>
      </c>
      <c r="BA1098" s="6" t="s">
        <v>23825</v>
      </c>
      <c r="BB1098" s="24" t="n">
        <v>256</v>
      </c>
      <c r="BC1098" s="26"/>
      <c r="BD1098" s="26"/>
      <c r="BE1098" s="26"/>
      <c r="BF1098" s="26"/>
      <c r="BG1098" s="26"/>
      <c r="BH1098" s="26"/>
      <c r="BI1098" s="26"/>
      <c r="BJ1098" s="26"/>
      <c r="BK1098" s="26"/>
      <c r="BL1098" s="26"/>
      <c r="BM1098" s="26"/>
      <c r="BN1098" s="26"/>
      <c r="BO1098" s="26"/>
      <c r="BP1098" s="16" t="n">
        <v>45443</v>
      </c>
      <c r="BQ1098" s="28" t="str">
        <f>HYPERLINK("https://organic.ams.usda.gov/Integrity/Certificate.aspx?cid=46&amp;nopid=3671600009")</f>
        <v>https://organic.ams.usda.gov/Integrity/Certificate.aspx?cid=46&amp;nopid=3671600009</v>
      </c>
    </row>
    <row r="1099">
      <c r="A1099" t="s">
        <v>3</v>
      </c>
      <c r="B1099" s="6" t="s">
        <v>23</v>
      </c>
      <c r="C1099" s="6" t="s">
        <v>70</v>
      </c>
      <c r="D1099" s="6" t="s">
        <v>116</v>
      </c>
      <c r="E1099" s="10" t="s">
        <v>1240</v>
      </c>
      <c r="F1099" s="6" t="s">
        <v>3968</v>
      </c>
      <c r="G1099" s="6" t="s">
        <v>81</v>
      </c>
      <c r="H1099" s="6" t="s">
        <v>6898</v>
      </c>
      <c r="I1099" s="6" t="s">
        <v>8520</v>
      </c>
      <c r="J1099" s="6" t="s">
        <v>9823</v>
      </c>
      <c r="K1099" s="6" t="s">
        <v>10886</v>
      </c>
      <c r="L1099" s="16" t="n">
        <v>43854</v>
      </c>
      <c r="M1099" s="16" t="n">
        <v>45681</v>
      </c>
      <c r="N1099" s="6" t="s">
        <v>81</v>
      </c>
      <c r="O1099" s="21" t="s">
        <v>81</v>
      </c>
      <c r="P1099" s="6" t="s">
        <v>81</v>
      </c>
      <c r="Q1099" s="6" t="s">
        <v>81</v>
      </c>
      <c r="R1099" s="6" t="s">
        <v>81</v>
      </c>
      <c r="S1099" s="6" t="s">
        <v>10886</v>
      </c>
      <c r="T1099" s="16" t="n">
        <v>43854</v>
      </c>
      <c r="U1099" s="6" t="s">
        <v>13541</v>
      </c>
      <c r="V1099" s="6" t="s">
        <v>81</v>
      </c>
      <c r="W1099" s="6" t="s">
        <v>13976</v>
      </c>
      <c r="X1099" s="6" t="s">
        <v>81</v>
      </c>
      <c r="Y1099" s="21" t="s">
        <v>81</v>
      </c>
      <c r="Z1099" s="6" t="s">
        <v>81</v>
      </c>
      <c r="AA1099" s="6" t="s">
        <v>81</v>
      </c>
      <c r="AB1099" s="6" t="s">
        <v>81</v>
      </c>
      <c r="AC1099" s="6" t="s">
        <v>81</v>
      </c>
      <c r="AD1099" s="21" t="s">
        <v>81</v>
      </c>
      <c r="AE1099" s="6" t="s">
        <v>81</v>
      </c>
      <c r="AF1099" s="6" t="s">
        <v>81</v>
      </c>
      <c r="AG1099" s="6" t="s">
        <v>81</v>
      </c>
      <c r="AH1099" s="6" t="s">
        <v>15671</v>
      </c>
      <c r="AI1099" s="6" t="s">
        <v>81</v>
      </c>
      <c r="AJ1099" s="6" t="s">
        <v>17890</v>
      </c>
      <c r="AK1099" s="6" t="s">
        <v>18395</v>
      </c>
      <c r="AL1099" s="6" t="s">
        <v>18444</v>
      </c>
      <c r="AM1099" s="6" t="s">
        <v>19076</v>
      </c>
      <c r="AN1099" s="6" t="s">
        <v>81</v>
      </c>
      <c r="AO1099" s="6" t="s">
        <v>81</v>
      </c>
      <c r="AP1099" s="6" t="s">
        <v>16724</v>
      </c>
      <c r="AQ1099" s="6" t="s">
        <v>81</v>
      </c>
      <c r="AR1099" s="6" t="s">
        <v>17610</v>
      </c>
      <c r="AS1099" s="6" t="s">
        <v>18395</v>
      </c>
      <c r="AT1099" s="6" t="s">
        <v>18444</v>
      </c>
      <c r="AU1099" s="6" t="s">
        <v>18776</v>
      </c>
      <c r="AV1099" s="6" t="s">
        <v>20717</v>
      </c>
      <c r="AW1099" s="6" t="s">
        <v>20722</v>
      </c>
      <c r="AX1099" s="6" t="s">
        <v>20920</v>
      </c>
      <c r="AY1099" s="6" t="s">
        <v>22648</v>
      </c>
      <c r="AZ1099" s="6" t="s">
        <v>81</v>
      </c>
      <c r="BA1099" s="6" t="s">
        <v>81</v>
      </c>
      <c r="BB1099" s="6" t="s">
        <v>81</v>
      </c>
      <c r="BC1099" s="26"/>
      <c r="BD1099" s="26"/>
      <c r="BE1099" s="26"/>
      <c r="BF1099" s="26"/>
      <c r="BG1099" s="26"/>
      <c r="BH1099" s="26"/>
      <c r="BI1099" s="26"/>
      <c r="BJ1099" s="26"/>
      <c r="BK1099" s="26"/>
      <c r="BL1099" s="26"/>
      <c r="BM1099" s="26"/>
      <c r="BN1099" s="26"/>
      <c r="BO1099" s="26"/>
      <c r="BP1099" s="16" t="n">
        <v>45394</v>
      </c>
      <c r="BQ1099" s="28" t="str">
        <f>HYPERLINK("https://organic.ams.usda.gov/Integrity/Certificate.aspx?cid=63&amp;nopid=6220008075")</f>
        <v>https://organic.ams.usda.gov/Integrity/Certificate.aspx?cid=63&amp;nopid=6220008075</v>
      </c>
    </row>
    <row r="1100">
      <c r="A1100" t="s">
        <v>3</v>
      </c>
      <c r="B1100" s="6" t="s">
        <v>9</v>
      </c>
      <c r="C1100" s="6" t="s">
        <v>56</v>
      </c>
      <c r="D1100" s="6" t="s">
        <v>102</v>
      </c>
      <c r="E1100" s="10" t="s">
        <v>1241</v>
      </c>
      <c r="F1100" s="6" t="s">
        <v>3969</v>
      </c>
      <c r="G1100" s="6" t="s">
        <v>81</v>
      </c>
      <c r="H1100" s="6" t="s">
        <v>6899</v>
      </c>
      <c r="I1100" s="6" t="s">
        <v>81</v>
      </c>
      <c r="J1100" s="6" t="s">
        <v>81</v>
      </c>
      <c r="K1100" s="6" t="s">
        <v>10886</v>
      </c>
      <c r="L1100" s="16" t="n">
        <v>42217</v>
      </c>
      <c r="M1100" s="16" t="n">
        <v>45748</v>
      </c>
      <c r="N1100" s="6" t="s">
        <v>10886</v>
      </c>
      <c r="O1100" s="16" t="n">
        <v>42217</v>
      </c>
      <c r="P1100" s="6" t="s">
        <v>11550</v>
      </c>
      <c r="Q1100" s="6" t="s">
        <v>81</v>
      </c>
      <c r="R1100" s="6" t="s">
        <v>12729</v>
      </c>
      <c r="S1100" s="6" t="s">
        <v>10886</v>
      </c>
      <c r="T1100" s="16" t="n">
        <v>42217</v>
      </c>
      <c r="U1100" s="6" t="s">
        <v>13354</v>
      </c>
      <c r="V1100" s="6" t="s">
        <v>81</v>
      </c>
      <c r="W1100" s="6" t="s">
        <v>12729</v>
      </c>
      <c r="X1100" s="6" t="s">
        <v>81</v>
      </c>
      <c r="Y1100" s="21" t="s">
        <v>81</v>
      </c>
      <c r="Z1100" s="6" t="s">
        <v>81</v>
      </c>
      <c r="AA1100" s="6" t="s">
        <v>81</v>
      </c>
      <c r="AB1100" s="6" t="s">
        <v>81</v>
      </c>
      <c r="AC1100" s="6" t="s">
        <v>81</v>
      </c>
      <c r="AD1100" s="21" t="s">
        <v>81</v>
      </c>
      <c r="AE1100" s="6" t="s">
        <v>81</v>
      </c>
      <c r="AF1100" s="6" t="s">
        <v>81</v>
      </c>
      <c r="AG1100" s="6" t="s">
        <v>81</v>
      </c>
      <c r="AH1100" s="6" t="s">
        <v>15672</v>
      </c>
      <c r="AI1100" s="6" t="s">
        <v>81</v>
      </c>
      <c r="AJ1100" s="6" t="s">
        <v>17392</v>
      </c>
      <c r="AK1100" s="6" t="s">
        <v>18379</v>
      </c>
      <c r="AL1100" s="6" t="s">
        <v>18444</v>
      </c>
      <c r="AM1100" s="6" t="s">
        <v>18548</v>
      </c>
      <c r="AN1100" s="6" t="s">
        <v>19637</v>
      </c>
      <c r="AO1100" s="6" t="s">
        <v>19723</v>
      </c>
      <c r="AP1100" s="6" t="s">
        <v>81</v>
      </c>
      <c r="AQ1100" s="6" t="s">
        <v>81</v>
      </c>
      <c r="AR1100" s="6" t="s">
        <v>81</v>
      </c>
      <c r="AS1100" s="6" t="s">
        <v>81</v>
      </c>
      <c r="AT1100" s="6" t="s">
        <v>81</v>
      </c>
      <c r="AU1100" s="6" t="s">
        <v>81</v>
      </c>
      <c r="AV1100" s="6" t="s">
        <v>81</v>
      </c>
      <c r="AW1100" s="6" t="s">
        <v>81</v>
      </c>
      <c r="AX1100" s="6" t="s">
        <v>81</v>
      </c>
      <c r="AY1100" s="6" t="s">
        <v>81</v>
      </c>
      <c r="AZ1100" s="6" t="s">
        <v>81</v>
      </c>
      <c r="BA1100" s="6" t="s">
        <v>81</v>
      </c>
      <c r="BB1100" s="24" t="n">
        <v>120</v>
      </c>
      <c r="BC1100" s="26"/>
      <c r="BD1100" s="26"/>
      <c r="BE1100" s="26"/>
      <c r="BF1100" s="26"/>
      <c r="BG1100" s="26"/>
      <c r="BH1100" s="26"/>
      <c r="BI1100" s="26"/>
      <c r="BJ1100" s="26"/>
      <c r="BK1100" s="26"/>
      <c r="BL1100" s="26"/>
      <c r="BM1100" s="26"/>
      <c r="BN1100" s="26"/>
      <c r="BO1100" s="26"/>
      <c r="BP1100" s="16" t="n">
        <v>45738</v>
      </c>
      <c r="BQ1100" s="28" t="str">
        <f>HYPERLINK("https://organic.ams.usda.gov/Integrity/Certificate.aspx?cid=52&amp;nopid=8431501027")</f>
        <v>https://organic.ams.usda.gov/Integrity/Certificate.aspx?cid=52&amp;nopid=8431501027</v>
      </c>
    </row>
    <row r="1101">
      <c r="A1101" t="s">
        <v>3</v>
      </c>
      <c r="B1101" s="6" t="s">
        <v>8</v>
      </c>
      <c r="C1101" s="6" t="s">
        <v>55</v>
      </c>
      <c r="D1101" s="6" t="s">
        <v>101</v>
      </c>
      <c r="E1101" s="10" t="s">
        <v>1242</v>
      </c>
      <c r="F1101" s="6" t="s">
        <v>3970</v>
      </c>
      <c r="G1101" s="6" t="s">
        <v>81</v>
      </c>
      <c r="H1101" s="6" t="s">
        <v>6900</v>
      </c>
      <c r="I1101" s="6" t="s">
        <v>8513</v>
      </c>
      <c r="J1101" s="6" t="s">
        <v>9679</v>
      </c>
      <c r="K1101" s="6" t="s">
        <v>10886</v>
      </c>
      <c r="L1101" s="16" t="n">
        <v>44020</v>
      </c>
      <c r="M1101" s="16" t="n">
        <v>45748</v>
      </c>
      <c r="N1101" s="6" t="s">
        <v>10886</v>
      </c>
      <c r="O1101" s="16" t="n">
        <v>44020</v>
      </c>
      <c r="P1101" s="6" t="s">
        <v>11551</v>
      </c>
      <c r="Q1101" s="6" t="s">
        <v>81</v>
      </c>
      <c r="R1101" s="6" t="s">
        <v>6900</v>
      </c>
      <c r="S1101" s="6" t="s">
        <v>10886</v>
      </c>
      <c r="T1101" s="16" t="n">
        <v>44020</v>
      </c>
      <c r="U1101" s="6" t="s">
        <v>13179</v>
      </c>
      <c r="V1101" s="6" t="s">
        <v>81</v>
      </c>
      <c r="W1101" s="6" t="s">
        <v>6900</v>
      </c>
      <c r="X1101" s="6" t="s">
        <v>81</v>
      </c>
      <c r="Y1101" s="21" t="s">
        <v>81</v>
      </c>
      <c r="Z1101" s="6" t="s">
        <v>81</v>
      </c>
      <c r="AA1101" s="6" t="s">
        <v>81</v>
      </c>
      <c r="AB1101" s="6" t="s">
        <v>81</v>
      </c>
      <c r="AC1101" s="6" t="s">
        <v>81</v>
      </c>
      <c r="AD1101" s="21" t="s">
        <v>81</v>
      </c>
      <c r="AE1101" s="6" t="s">
        <v>81</v>
      </c>
      <c r="AF1101" s="6" t="s">
        <v>81</v>
      </c>
      <c r="AG1101" s="6" t="s">
        <v>81</v>
      </c>
      <c r="AH1101" s="6" t="s">
        <v>15673</v>
      </c>
      <c r="AI1101" s="6" t="s">
        <v>81</v>
      </c>
      <c r="AJ1101" s="6" t="s">
        <v>17339</v>
      </c>
      <c r="AK1101" s="6" t="s">
        <v>18377</v>
      </c>
      <c r="AL1101" s="6" t="s">
        <v>18444</v>
      </c>
      <c r="AM1101" s="6" t="s">
        <v>18493</v>
      </c>
      <c r="AN1101" s="6" t="s">
        <v>19643</v>
      </c>
      <c r="AO1101" s="6" t="s">
        <v>19730</v>
      </c>
      <c r="AP1101" s="6" t="s">
        <v>81</v>
      </c>
      <c r="AQ1101" s="6" t="s">
        <v>81</v>
      </c>
      <c r="AR1101" s="6" t="s">
        <v>81</v>
      </c>
      <c r="AS1101" s="6" t="s">
        <v>81</v>
      </c>
      <c r="AT1101" s="6" t="s">
        <v>81</v>
      </c>
      <c r="AU1101" s="6" t="s">
        <v>81</v>
      </c>
      <c r="AV1101" s="6" t="s">
        <v>81</v>
      </c>
      <c r="AW1101" s="6" t="s">
        <v>81</v>
      </c>
      <c r="AX1101" s="6" t="s">
        <v>21437</v>
      </c>
      <c r="AY1101" s="6" t="s">
        <v>81</v>
      </c>
      <c r="AZ1101" s="6" t="s">
        <v>81</v>
      </c>
      <c r="BA1101" s="6" t="s">
        <v>23819</v>
      </c>
      <c r="BB1101" s="24" t="n">
        <v>78</v>
      </c>
      <c r="BC1101" s="26"/>
      <c r="BD1101" s="26"/>
      <c r="BE1101" s="26"/>
      <c r="BF1101" s="26" t="s">
        <v>23900</v>
      </c>
      <c r="BG1101" s="26"/>
      <c r="BH1101" s="26"/>
      <c r="BI1101" s="26"/>
      <c r="BJ1101" s="26"/>
      <c r="BK1101" s="26"/>
      <c r="BL1101" s="26"/>
      <c r="BM1101" s="26"/>
      <c r="BN1101" s="26"/>
      <c r="BO1101" s="26"/>
      <c r="BP1101" s="16" t="n">
        <v>45590</v>
      </c>
      <c r="BQ1101" s="28" t="str">
        <f>HYPERLINK("https://organic.ams.usda.gov/Integrity/Certificate.aspx?cid=45&amp;nopid=9950012179")</f>
        <v>https://organic.ams.usda.gov/Integrity/Certificate.aspx?cid=45&amp;nopid=9950012179</v>
      </c>
    </row>
    <row r="1102">
      <c r="A1102" t="s">
        <v>3</v>
      </c>
      <c r="B1102" s="6" t="s">
        <v>11</v>
      </c>
      <c r="C1102" s="6" t="s">
        <v>58</v>
      </c>
      <c r="D1102" s="6" t="s">
        <v>104</v>
      </c>
      <c r="E1102" s="10" t="s">
        <v>1243</v>
      </c>
      <c r="F1102" s="6" t="s">
        <v>3971</v>
      </c>
      <c r="G1102" s="6" t="s">
        <v>81</v>
      </c>
      <c r="H1102" s="6" t="s">
        <v>81</v>
      </c>
      <c r="I1102" s="6" t="s">
        <v>9012</v>
      </c>
      <c r="J1102" s="6" t="s">
        <v>9666</v>
      </c>
      <c r="K1102" s="6" t="s">
        <v>10886</v>
      </c>
      <c r="L1102" s="16" t="n">
        <v>45365</v>
      </c>
      <c r="M1102" s="16" t="n">
        <v>45748</v>
      </c>
      <c r="N1102" s="6" t="s">
        <v>10886</v>
      </c>
      <c r="O1102" s="16" t="n">
        <v>45365</v>
      </c>
      <c r="P1102" s="6" t="s">
        <v>11552</v>
      </c>
      <c r="Q1102" s="6" t="s">
        <v>81</v>
      </c>
      <c r="R1102" s="6" t="s">
        <v>81</v>
      </c>
      <c r="S1102" s="6" t="s">
        <v>10886</v>
      </c>
      <c r="T1102" s="16" t="n">
        <v>45365</v>
      </c>
      <c r="U1102" s="6" t="s">
        <v>13214</v>
      </c>
      <c r="V1102" s="6" t="s">
        <v>81</v>
      </c>
      <c r="W1102" s="6" t="s">
        <v>81</v>
      </c>
      <c r="X1102" s="6" t="s">
        <v>81</v>
      </c>
      <c r="Y1102" s="21" t="s">
        <v>81</v>
      </c>
      <c r="Z1102" s="6" t="s">
        <v>81</v>
      </c>
      <c r="AA1102" s="6" t="s">
        <v>81</v>
      </c>
      <c r="AB1102" s="6" t="s">
        <v>81</v>
      </c>
      <c r="AC1102" s="6" t="s">
        <v>81</v>
      </c>
      <c r="AD1102" s="21" t="s">
        <v>81</v>
      </c>
      <c r="AE1102" s="6" t="s">
        <v>81</v>
      </c>
      <c r="AF1102" s="6" t="s">
        <v>81</v>
      </c>
      <c r="AG1102" s="6" t="s">
        <v>81</v>
      </c>
      <c r="AH1102" s="6" t="s">
        <v>15674</v>
      </c>
      <c r="AI1102" s="6" t="s">
        <v>81</v>
      </c>
      <c r="AJ1102" s="6" t="s">
        <v>17478</v>
      </c>
      <c r="AK1102" s="6" t="s">
        <v>18377</v>
      </c>
      <c r="AL1102" s="6" t="s">
        <v>18444</v>
      </c>
      <c r="AM1102" s="6" t="s">
        <v>18640</v>
      </c>
      <c r="AN1102" s="6" t="s">
        <v>19638</v>
      </c>
      <c r="AO1102" s="6" t="s">
        <v>19724</v>
      </c>
      <c r="AP1102" s="6" t="s">
        <v>81</v>
      </c>
      <c r="AQ1102" s="6" t="s">
        <v>81</v>
      </c>
      <c r="AR1102" s="6" t="s">
        <v>81</v>
      </c>
      <c r="AS1102" s="6" t="s">
        <v>81</v>
      </c>
      <c r="AT1102" s="6" t="s">
        <v>81</v>
      </c>
      <c r="AU1102" s="6" t="s">
        <v>81</v>
      </c>
      <c r="AV1102" s="6" t="s">
        <v>81</v>
      </c>
      <c r="AW1102" s="6" t="s">
        <v>81</v>
      </c>
      <c r="AX1102" s="6" t="s">
        <v>81</v>
      </c>
      <c r="AY1102" s="6" t="s">
        <v>81</v>
      </c>
      <c r="AZ1102" s="6" t="s">
        <v>81</v>
      </c>
      <c r="BA1102" s="6" t="s">
        <v>23820</v>
      </c>
      <c r="BB1102" s="24" t="n">
        <v>79</v>
      </c>
      <c r="BC1102" s="26"/>
      <c r="BD1102" s="26"/>
      <c r="BE1102" s="26"/>
      <c r="BF1102" s="26"/>
      <c r="BG1102" s="26"/>
      <c r="BH1102" s="26"/>
      <c r="BI1102" s="26"/>
      <c r="BJ1102" s="26"/>
      <c r="BK1102" s="26"/>
      <c r="BL1102" s="26"/>
      <c r="BM1102" s="26"/>
      <c r="BN1102" s="26"/>
      <c r="BO1102" s="26"/>
      <c r="BP1102" s="16" t="n">
        <v>45471</v>
      </c>
      <c r="BQ1102" s="28" t="str">
        <f>HYPERLINK("https://organic.ams.usda.gov/Integrity/Certificate.aspx?cid=46&amp;nopid=3671500037")</f>
        <v>https://organic.ams.usda.gov/Integrity/Certificate.aspx?cid=46&amp;nopid=3671500037</v>
      </c>
    </row>
    <row r="1103">
      <c r="A1103" t="s">
        <v>3</v>
      </c>
      <c r="B1103" s="6" t="s">
        <v>29</v>
      </c>
      <c r="C1103" s="6" t="s">
        <v>76</v>
      </c>
      <c r="D1103" s="6" t="s">
        <v>122</v>
      </c>
      <c r="E1103" s="10" t="s">
        <v>1244</v>
      </c>
      <c r="F1103" s="6" t="s">
        <v>3972</v>
      </c>
      <c r="G1103" s="6" t="s">
        <v>81</v>
      </c>
      <c r="H1103" s="6" t="s">
        <v>6901</v>
      </c>
      <c r="I1103" s="6" t="s">
        <v>9013</v>
      </c>
      <c r="J1103" s="6" t="s">
        <v>9665</v>
      </c>
      <c r="K1103" s="6" t="s">
        <v>10886</v>
      </c>
      <c r="L1103" s="16" t="n">
        <v>43238</v>
      </c>
      <c r="M1103" s="16" t="n">
        <v>45870</v>
      </c>
      <c r="N1103" s="6" t="s">
        <v>10886</v>
      </c>
      <c r="O1103" s="16" t="n">
        <v>43238</v>
      </c>
      <c r="P1103" s="6" t="s">
        <v>11553</v>
      </c>
      <c r="Q1103" s="6" t="s">
        <v>81</v>
      </c>
      <c r="R1103" s="6" t="s">
        <v>12730</v>
      </c>
      <c r="S1103" s="6" t="s">
        <v>10886</v>
      </c>
      <c r="T1103" s="16" t="n">
        <v>43238</v>
      </c>
      <c r="U1103" s="6" t="s">
        <v>13384</v>
      </c>
      <c r="V1103" s="6" t="s">
        <v>81</v>
      </c>
      <c r="W1103" s="6" t="s">
        <v>12730</v>
      </c>
      <c r="X1103" s="6" t="s">
        <v>81</v>
      </c>
      <c r="Y1103" s="21" t="s">
        <v>81</v>
      </c>
      <c r="Z1103" s="6" t="s">
        <v>81</v>
      </c>
      <c r="AA1103" s="6" t="s">
        <v>81</v>
      </c>
      <c r="AB1103" s="6" t="s">
        <v>81</v>
      </c>
      <c r="AC1103" s="6" t="s">
        <v>81</v>
      </c>
      <c r="AD1103" s="21" t="s">
        <v>81</v>
      </c>
      <c r="AE1103" s="6" t="s">
        <v>81</v>
      </c>
      <c r="AF1103" s="6" t="s">
        <v>81</v>
      </c>
      <c r="AG1103" s="6" t="s">
        <v>81</v>
      </c>
      <c r="AH1103" s="6" t="s">
        <v>15675</v>
      </c>
      <c r="AI1103" s="6" t="s">
        <v>81</v>
      </c>
      <c r="AJ1103" s="6" t="s">
        <v>17579</v>
      </c>
      <c r="AK1103" s="6" t="s">
        <v>18391</v>
      </c>
      <c r="AL1103" s="6" t="s">
        <v>18444</v>
      </c>
      <c r="AM1103" s="6" t="s">
        <v>18743</v>
      </c>
      <c r="AN1103" s="6" t="s">
        <v>6139</v>
      </c>
      <c r="AO1103" s="6" t="s">
        <v>19970</v>
      </c>
      <c r="AP1103" s="6" t="s">
        <v>81</v>
      </c>
      <c r="AQ1103" s="6" t="s">
        <v>81</v>
      </c>
      <c r="AR1103" s="6" t="s">
        <v>81</v>
      </c>
      <c r="AS1103" s="6" t="s">
        <v>81</v>
      </c>
      <c r="AT1103" s="6" t="s">
        <v>81</v>
      </c>
      <c r="AU1103" s="6" t="s">
        <v>81</v>
      </c>
      <c r="AV1103" s="6" t="s">
        <v>81</v>
      </c>
      <c r="AW1103" s="6" t="s">
        <v>81</v>
      </c>
      <c r="AX1103" s="6" t="s">
        <v>21438</v>
      </c>
      <c r="AY1103" s="6" t="s">
        <v>81</v>
      </c>
      <c r="AZ1103" s="6" t="s">
        <v>81</v>
      </c>
      <c r="BA1103" s="6" t="s">
        <v>81</v>
      </c>
      <c r="BB1103" s="24" t="n">
        <v>136</v>
      </c>
      <c r="BC1103" s="26"/>
      <c r="BD1103" s="26"/>
      <c r="BE1103" s="26"/>
      <c r="BF1103" s="26" t="s">
        <v>23900</v>
      </c>
      <c r="BG1103" s="26"/>
      <c r="BH1103" s="26"/>
      <c r="BI1103" s="26"/>
      <c r="BJ1103" s="26"/>
      <c r="BK1103" s="26"/>
      <c r="BL1103" s="26"/>
      <c r="BM1103" s="26"/>
      <c r="BN1103" s="26"/>
      <c r="BO1103" s="26"/>
      <c r="BP1103" s="16" t="n">
        <v>45737</v>
      </c>
      <c r="BQ1103" s="28" t="str">
        <f>HYPERLINK("https://organic.ams.usda.gov/Integrity/Certificate.aspx?cid=31&amp;nopid=3928971896")</f>
        <v>https://organic.ams.usda.gov/Integrity/Certificate.aspx?cid=31&amp;nopid=3928971896</v>
      </c>
    </row>
    <row r="1104">
      <c r="A1104" t="s">
        <v>3</v>
      </c>
      <c r="B1104" s="6" t="s">
        <v>8</v>
      </c>
      <c r="C1104" s="6" t="s">
        <v>55</v>
      </c>
      <c r="D1104" s="6" t="s">
        <v>101</v>
      </c>
      <c r="E1104" s="10" t="s">
        <v>1245</v>
      </c>
      <c r="F1104" s="6" t="s">
        <v>3973</v>
      </c>
      <c r="G1104" s="6" t="s">
        <v>81</v>
      </c>
      <c r="H1104" s="6" t="s">
        <v>6902</v>
      </c>
      <c r="I1104" s="6" t="s">
        <v>8461</v>
      </c>
      <c r="J1104" s="6" t="s">
        <v>9689</v>
      </c>
      <c r="K1104" s="6" t="s">
        <v>10886</v>
      </c>
      <c r="L1104" s="16" t="n">
        <v>41548</v>
      </c>
      <c r="M1104" s="16" t="n">
        <v>45689</v>
      </c>
      <c r="N1104" s="6" t="s">
        <v>10886</v>
      </c>
      <c r="O1104" s="16" t="n">
        <v>41548</v>
      </c>
      <c r="P1104" s="6" t="s">
        <v>11554</v>
      </c>
      <c r="Q1104" s="6" t="s">
        <v>81</v>
      </c>
      <c r="R1104" s="6" t="s">
        <v>6902</v>
      </c>
      <c r="S1104" s="6" t="s">
        <v>10886</v>
      </c>
      <c r="T1104" s="16" t="n">
        <v>41548</v>
      </c>
      <c r="U1104" s="6" t="s">
        <v>13542</v>
      </c>
      <c r="V1104" s="6" t="s">
        <v>81</v>
      </c>
      <c r="W1104" s="6" t="s">
        <v>6902</v>
      </c>
      <c r="X1104" s="6" t="s">
        <v>81</v>
      </c>
      <c r="Y1104" s="21" t="s">
        <v>81</v>
      </c>
      <c r="Z1104" s="6" t="s">
        <v>81</v>
      </c>
      <c r="AA1104" s="6" t="s">
        <v>81</v>
      </c>
      <c r="AB1104" s="6" t="s">
        <v>81</v>
      </c>
      <c r="AC1104" s="6" t="s">
        <v>81</v>
      </c>
      <c r="AD1104" s="21" t="s">
        <v>81</v>
      </c>
      <c r="AE1104" s="6" t="s">
        <v>81</v>
      </c>
      <c r="AF1104" s="6" t="s">
        <v>81</v>
      </c>
      <c r="AG1104" s="6" t="s">
        <v>81</v>
      </c>
      <c r="AH1104" s="6" t="s">
        <v>15676</v>
      </c>
      <c r="AI1104" s="6" t="s">
        <v>81</v>
      </c>
      <c r="AJ1104" s="6" t="s">
        <v>17425</v>
      </c>
      <c r="AK1104" s="6" t="s">
        <v>18380</v>
      </c>
      <c r="AL1104" s="6" t="s">
        <v>18444</v>
      </c>
      <c r="AM1104" s="6" t="s">
        <v>18582</v>
      </c>
      <c r="AN1104" s="6" t="s">
        <v>8233</v>
      </c>
      <c r="AO1104" s="6" t="s">
        <v>19806</v>
      </c>
      <c r="AP1104" s="6" t="s">
        <v>81</v>
      </c>
      <c r="AQ1104" s="6" t="s">
        <v>81</v>
      </c>
      <c r="AR1104" s="6" t="s">
        <v>81</v>
      </c>
      <c r="AS1104" s="6" t="s">
        <v>81</v>
      </c>
      <c r="AT1104" s="6" t="s">
        <v>81</v>
      </c>
      <c r="AU1104" s="6" t="s">
        <v>81</v>
      </c>
      <c r="AV1104" s="6" t="s">
        <v>81</v>
      </c>
      <c r="AW1104" s="6" t="s">
        <v>81</v>
      </c>
      <c r="AX1104" s="6" t="s">
        <v>81</v>
      </c>
      <c r="AY1104" s="6" t="s">
        <v>81</v>
      </c>
      <c r="AZ1104" s="6" t="s">
        <v>81</v>
      </c>
      <c r="BA1104" s="6" t="s">
        <v>23824</v>
      </c>
      <c r="BB1104" s="24" t="n">
        <v>66</v>
      </c>
      <c r="BC1104" s="26"/>
      <c r="BD1104" s="26"/>
      <c r="BE1104" s="26"/>
      <c r="BF1104" s="26" t="s">
        <v>23900</v>
      </c>
      <c r="BG1104" s="26"/>
      <c r="BH1104" s="26"/>
      <c r="BI1104" s="26"/>
      <c r="BJ1104" s="26"/>
      <c r="BK1104" s="26"/>
      <c r="BL1104" s="26"/>
      <c r="BM1104" s="26"/>
      <c r="BN1104" s="26"/>
      <c r="BO1104" s="26"/>
      <c r="BP1104" s="16" t="n">
        <v>45722</v>
      </c>
      <c r="BQ1104" s="28" t="str">
        <f>HYPERLINK("https://organic.ams.usda.gov/Integrity/Certificate.aspx?cid=45&amp;nopid=9950005079")</f>
        <v>https://organic.ams.usda.gov/Integrity/Certificate.aspx?cid=45&amp;nopid=9950005079</v>
      </c>
    </row>
    <row r="1105">
      <c r="A1105" t="s">
        <v>3</v>
      </c>
      <c r="B1105" s="6" t="s">
        <v>11</v>
      </c>
      <c r="C1105" s="6" t="s">
        <v>58</v>
      </c>
      <c r="D1105" s="6" t="s">
        <v>104</v>
      </c>
      <c r="E1105" s="10" t="s">
        <v>1246</v>
      </c>
      <c r="F1105" s="6" t="s">
        <v>3974</v>
      </c>
      <c r="G1105" s="6" t="s">
        <v>81</v>
      </c>
      <c r="H1105" s="6" t="s">
        <v>81</v>
      </c>
      <c r="I1105" s="6" t="s">
        <v>9014</v>
      </c>
      <c r="J1105" s="6" t="s">
        <v>9740</v>
      </c>
      <c r="K1105" s="6" t="s">
        <v>10886</v>
      </c>
      <c r="L1105" s="16" t="n">
        <v>43949</v>
      </c>
      <c r="M1105" s="16" t="n">
        <v>45748</v>
      </c>
      <c r="N1105" s="6" t="s">
        <v>10886</v>
      </c>
      <c r="O1105" s="16" t="n">
        <v>43949</v>
      </c>
      <c r="P1105" s="6" t="s">
        <v>11555</v>
      </c>
      <c r="Q1105" s="6" t="s">
        <v>81</v>
      </c>
      <c r="R1105" s="6" t="s">
        <v>81</v>
      </c>
      <c r="S1105" s="6" t="s">
        <v>10886</v>
      </c>
      <c r="T1105" s="16" t="n">
        <v>43949</v>
      </c>
      <c r="U1105" s="6" t="s">
        <v>13540</v>
      </c>
      <c r="V1105" s="6" t="s">
        <v>81</v>
      </c>
      <c r="W1105" s="6" t="s">
        <v>81</v>
      </c>
      <c r="X1105" s="6" t="s">
        <v>81</v>
      </c>
      <c r="Y1105" s="21" t="s">
        <v>81</v>
      </c>
      <c r="Z1105" s="6" t="s">
        <v>81</v>
      </c>
      <c r="AA1105" s="6" t="s">
        <v>81</v>
      </c>
      <c r="AB1105" s="6" t="s">
        <v>81</v>
      </c>
      <c r="AC1105" s="6" t="s">
        <v>81</v>
      </c>
      <c r="AD1105" s="21" t="s">
        <v>81</v>
      </c>
      <c r="AE1105" s="6" t="s">
        <v>81</v>
      </c>
      <c r="AF1105" s="6" t="s">
        <v>81</v>
      </c>
      <c r="AG1105" s="6" t="s">
        <v>81</v>
      </c>
      <c r="AH1105" s="6" t="s">
        <v>15677</v>
      </c>
      <c r="AI1105" s="6" t="s">
        <v>81</v>
      </c>
      <c r="AJ1105" s="6" t="s">
        <v>17377</v>
      </c>
      <c r="AK1105" s="6" t="s">
        <v>18377</v>
      </c>
      <c r="AL1105" s="6" t="s">
        <v>18444</v>
      </c>
      <c r="AM1105" s="6" t="s">
        <v>18530</v>
      </c>
      <c r="AN1105" s="6" t="s">
        <v>19638</v>
      </c>
      <c r="AO1105" s="6" t="s">
        <v>19724</v>
      </c>
      <c r="AP1105" s="6" t="s">
        <v>15677</v>
      </c>
      <c r="AQ1105" s="6" t="s">
        <v>81</v>
      </c>
      <c r="AR1105" s="6" t="s">
        <v>17377</v>
      </c>
      <c r="AS1105" s="6" t="s">
        <v>18377</v>
      </c>
      <c r="AT1105" s="6" t="s">
        <v>18444</v>
      </c>
      <c r="AU1105" s="6" t="s">
        <v>18530</v>
      </c>
      <c r="AV1105" s="6" t="s">
        <v>81</v>
      </c>
      <c r="AW1105" s="6" t="s">
        <v>81</v>
      </c>
      <c r="AX1105" s="6" t="s">
        <v>81</v>
      </c>
      <c r="AY1105" s="6" t="s">
        <v>81</v>
      </c>
      <c r="AZ1105" s="6" t="s">
        <v>81</v>
      </c>
      <c r="BA1105" s="6" t="s">
        <v>81</v>
      </c>
      <c r="BB1105" s="24" t="n">
        <v>27</v>
      </c>
      <c r="BC1105" s="26"/>
      <c r="BD1105" s="26"/>
      <c r="BE1105" s="26"/>
      <c r="BF1105" s="26"/>
      <c r="BG1105" s="26"/>
      <c r="BH1105" s="26"/>
      <c r="BI1105" s="26"/>
      <c r="BJ1105" s="26"/>
      <c r="BK1105" s="26"/>
      <c r="BL1105" s="26"/>
      <c r="BM1105" s="26"/>
      <c r="BN1105" s="26"/>
      <c r="BO1105" s="26"/>
      <c r="BP1105" s="16" t="n">
        <v>45664</v>
      </c>
      <c r="BQ1105" s="28" t="str">
        <f>HYPERLINK("https://organic.ams.usda.gov/Integrity/Certificate.aspx?cid=46&amp;nopid=3671238012")</f>
        <v>https://organic.ams.usda.gov/Integrity/Certificate.aspx?cid=46&amp;nopid=3671238012</v>
      </c>
    </row>
    <row r="1106">
      <c r="A1106" t="s">
        <v>3</v>
      </c>
      <c r="B1106" s="6" t="s">
        <v>7</v>
      </c>
      <c r="C1106" s="6" t="s">
        <v>54</v>
      </c>
      <c r="D1106" s="6" t="s">
        <v>100</v>
      </c>
      <c r="E1106" s="10" t="s">
        <v>1247</v>
      </c>
      <c r="F1106" s="6" t="s">
        <v>3975</v>
      </c>
      <c r="G1106" s="6" t="s">
        <v>81</v>
      </c>
      <c r="H1106" s="6" t="s">
        <v>6903</v>
      </c>
      <c r="I1106" s="6" t="s">
        <v>8575</v>
      </c>
      <c r="J1106" s="6" t="s">
        <v>10214</v>
      </c>
      <c r="K1106" s="6" t="s">
        <v>10886</v>
      </c>
      <c r="L1106" s="16" t="n">
        <v>42275</v>
      </c>
      <c r="M1106" s="16" t="n">
        <v>45716</v>
      </c>
      <c r="N1106" s="6" t="s">
        <v>10886</v>
      </c>
      <c r="O1106" s="16" t="n">
        <v>42275</v>
      </c>
      <c r="P1106" s="6" t="s">
        <v>11237</v>
      </c>
      <c r="Q1106" s="6" t="s">
        <v>81</v>
      </c>
      <c r="R1106" s="6" t="s">
        <v>81</v>
      </c>
      <c r="S1106" s="6" t="s">
        <v>10886</v>
      </c>
      <c r="T1106" s="16" t="n">
        <v>42500</v>
      </c>
      <c r="U1106" s="6" t="s">
        <v>13160</v>
      </c>
      <c r="V1106" s="6" t="s">
        <v>81</v>
      </c>
      <c r="W1106" s="6" t="s">
        <v>81</v>
      </c>
      <c r="X1106" s="6" t="s">
        <v>81</v>
      </c>
      <c r="Y1106" s="21" t="s">
        <v>81</v>
      </c>
      <c r="Z1106" s="6" t="s">
        <v>81</v>
      </c>
      <c r="AA1106" s="6" t="s">
        <v>81</v>
      </c>
      <c r="AB1106" s="6" t="s">
        <v>81</v>
      </c>
      <c r="AC1106" s="6" t="s">
        <v>81</v>
      </c>
      <c r="AD1106" s="21" t="s">
        <v>81</v>
      </c>
      <c r="AE1106" s="6" t="s">
        <v>81</v>
      </c>
      <c r="AF1106" s="6" t="s">
        <v>81</v>
      </c>
      <c r="AG1106" s="6" t="s">
        <v>81</v>
      </c>
      <c r="AH1106" s="6" t="s">
        <v>15678</v>
      </c>
      <c r="AI1106" s="6" t="s">
        <v>81</v>
      </c>
      <c r="AJ1106" s="6" t="s">
        <v>17891</v>
      </c>
      <c r="AK1106" s="6" t="s">
        <v>17712</v>
      </c>
      <c r="AL1106" s="6" t="s">
        <v>18444</v>
      </c>
      <c r="AM1106" s="6" t="s">
        <v>19077</v>
      </c>
      <c r="AN1106" s="6" t="s">
        <v>19651</v>
      </c>
      <c r="AO1106" s="6" t="s">
        <v>19741</v>
      </c>
      <c r="AP1106" s="6" t="s">
        <v>15678</v>
      </c>
      <c r="AQ1106" s="6" t="s">
        <v>81</v>
      </c>
      <c r="AR1106" s="6" t="s">
        <v>17891</v>
      </c>
      <c r="AS1106" s="6" t="s">
        <v>17712</v>
      </c>
      <c r="AT1106" s="6" t="s">
        <v>18444</v>
      </c>
      <c r="AU1106" s="6" t="s">
        <v>19077</v>
      </c>
      <c r="AV1106" s="6" t="s">
        <v>81</v>
      </c>
      <c r="AW1106" s="6" t="s">
        <v>81</v>
      </c>
      <c r="AX1106" s="6" t="s">
        <v>21439</v>
      </c>
      <c r="AY1106" s="6" t="s">
        <v>22969</v>
      </c>
      <c r="AZ1106" s="6" t="s">
        <v>81</v>
      </c>
      <c r="BA1106" s="6" t="s">
        <v>81</v>
      </c>
      <c r="BB1106" s="24" t="n">
        <v>486</v>
      </c>
      <c r="BC1106" s="26"/>
      <c r="BD1106" s="26"/>
      <c r="BE1106" s="26"/>
      <c r="BF1106" s="26" t="s">
        <v>23900</v>
      </c>
      <c r="BG1106" s="26"/>
      <c r="BH1106" s="26"/>
      <c r="BI1106" s="26"/>
      <c r="BJ1106" s="26"/>
      <c r="BK1106" s="26"/>
      <c r="BL1106" s="26"/>
      <c r="BM1106" s="26"/>
      <c r="BN1106" s="26"/>
      <c r="BO1106" s="26"/>
      <c r="BP1106" s="16" t="n">
        <v>45595</v>
      </c>
      <c r="BQ1106" s="28" t="str">
        <f>HYPERLINK("https://organic.ams.usda.gov/Integrity/Certificate.aspx?cid=57&amp;nopid=3252015086")</f>
        <v>https://organic.ams.usda.gov/Integrity/Certificate.aspx?cid=57&amp;nopid=3252015086</v>
      </c>
    </row>
    <row r="1107">
      <c r="A1107" t="s">
        <v>3</v>
      </c>
      <c r="B1107" s="6" t="s">
        <v>18</v>
      </c>
      <c r="C1107" s="6" t="s">
        <v>65</v>
      </c>
      <c r="D1107" s="6" t="s">
        <v>111</v>
      </c>
      <c r="E1107" s="10" t="s">
        <v>1248</v>
      </c>
      <c r="F1107" s="6" t="s">
        <v>3976</v>
      </c>
      <c r="G1107" s="6" t="s">
        <v>81</v>
      </c>
      <c r="H1107" s="6" t="s">
        <v>1248</v>
      </c>
      <c r="I1107" s="6" t="s">
        <v>8866</v>
      </c>
      <c r="J1107" s="6" t="s">
        <v>9729</v>
      </c>
      <c r="K1107" s="6" t="s">
        <v>10886</v>
      </c>
      <c r="L1107" s="16" t="n">
        <v>45713</v>
      </c>
      <c r="M1107" s="16" t="n">
        <v>46068</v>
      </c>
      <c r="N1107" s="6" t="s">
        <v>10886</v>
      </c>
      <c r="O1107" s="16" t="n">
        <v>45713</v>
      </c>
      <c r="P1107" s="6" t="s">
        <v>11556</v>
      </c>
      <c r="Q1107" s="6" t="s">
        <v>81</v>
      </c>
      <c r="R1107" s="6" t="s">
        <v>3976</v>
      </c>
      <c r="S1107" s="6" t="s">
        <v>10886</v>
      </c>
      <c r="T1107" s="16" t="n">
        <v>45713</v>
      </c>
      <c r="U1107" s="6" t="s">
        <v>13543</v>
      </c>
      <c r="V1107" s="6" t="s">
        <v>81</v>
      </c>
      <c r="W1107" s="6" t="s">
        <v>3976</v>
      </c>
      <c r="X1107" s="6" t="s">
        <v>81</v>
      </c>
      <c r="Y1107" s="21" t="s">
        <v>81</v>
      </c>
      <c r="Z1107" s="6" t="s">
        <v>81</v>
      </c>
      <c r="AA1107" s="6" t="s">
        <v>81</v>
      </c>
      <c r="AB1107" s="6" t="s">
        <v>81</v>
      </c>
      <c r="AC1107" s="6" t="s">
        <v>81</v>
      </c>
      <c r="AD1107" s="21" t="s">
        <v>81</v>
      </c>
      <c r="AE1107" s="6" t="s">
        <v>81</v>
      </c>
      <c r="AF1107" s="6" t="s">
        <v>81</v>
      </c>
      <c r="AG1107" s="6" t="s">
        <v>81</v>
      </c>
      <c r="AH1107" s="6" t="s">
        <v>15679</v>
      </c>
      <c r="AI1107" s="6" t="s">
        <v>81</v>
      </c>
      <c r="AJ1107" s="6" t="s">
        <v>17618</v>
      </c>
      <c r="AK1107" s="6" t="s">
        <v>17712</v>
      </c>
      <c r="AL1107" s="6" t="s">
        <v>18444</v>
      </c>
      <c r="AM1107" s="6" t="s">
        <v>18786</v>
      </c>
      <c r="AN1107" s="6" t="s">
        <v>81</v>
      </c>
      <c r="AO1107" s="6" t="s">
        <v>81</v>
      </c>
      <c r="AP1107" s="6" t="s">
        <v>20251</v>
      </c>
      <c r="AQ1107" s="6" t="s">
        <v>81</v>
      </c>
      <c r="AR1107" s="6" t="s">
        <v>20533</v>
      </c>
      <c r="AS1107" s="6" t="s">
        <v>17712</v>
      </c>
      <c r="AT1107" s="6" t="s">
        <v>18444</v>
      </c>
      <c r="AU1107" s="6" t="s">
        <v>20656</v>
      </c>
      <c r="AV1107" s="6" t="s">
        <v>81</v>
      </c>
      <c r="AW1107" s="6" t="s">
        <v>81</v>
      </c>
      <c r="AX1107" s="6" t="s">
        <v>21440</v>
      </c>
      <c r="AY1107" s="6" t="s">
        <v>81</v>
      </c>
      <c r="AZ1107" s="6" t="s">
        <v>81</v>
      </c>
      <c r="BA1107" s="6" t="s">
        <v>81</v>
      </c>
      <c r="BB1107" s="24" t="n">
        <v>146</v>
      </c>
      <c r="BC1107" s="26"/>
      <c r="BD1107" s="26"/>
      <c r="BE1107" s="26"/>
      <c r="BF1107" s="26" t="s">
        <v>23900</v>
      </c>
      <c r="BG1107" s="26"/>
      <c r="BH1107" s="26"/>
      <c r="BI1107" s="26"/>
      <c r="BJ1107" s="26"/>
      <c r="BK1107" s="26"/>
      <c r="BL1107" s="26"/>
      <c r="BM1107" s="26"/>
      <c r="BN1107" s="26"/>
      <c r="BO1107" s="26"/>
      <c r="BP1107" s="16" t="n">
        <v>45713</v>
      </c>
      <c r="BQ1107" s="28" t="str">
        <f>HYPERLINK("https://organic.ams.usda.gov/Integrity/Certificate.aspx?cid=8&amp;nopid=2202502300")</f>
        <v>https://organic.ams.usda.gov/Integrity/Certificate.aspx?cid=8&amp;nopid=2202502300</v>
      </c>
    </row>
    <row r="1108">
      <c r="A1108" t="s">
        <v>3</v>
      </c>
      <c r="B1108" s="6" t="s">
        <v>23</v>
      </c>
      <c r="C1108" s="6" t="s">
        <v>70</v>
      </c>
      <c r="D1108" s="6" t="s">
        <v>116</v>
      </c>
      <c r="E1108" s="10" t="s">
        <v>1249</v>
      </c>
      <c r="F1108" s="6" t="s">
        <v>3977</v>
      </c>
      <c r="G1108" s="6" t="s">
        <v>81</v>
      </c>
      <c r="H1108" s="6" t="s">
        <v>6904</v>
      </c>
      <c r="I1108" s="6" t="s">
        <v>8695</v>
      </c>
      <c r="J1108" s="6" t="s">
        <v>10215</v>
      </c>
      <c r="K1108" s="6" t="s">
        <v>10886</v>
      </c>
      <c r="L1108" s="16" t="n">
        <v>43367</v>
      </c>
      <c r="M1108" s="16" t="n">
        <v>45492</v>
      </c>
      <c r="N1108" s="6" t="s">
        <v>10886</v>
      </c>
      <c r="O1108" s="16" t="n">
        <v>43367</v>
      </c>
      <c r="P1108" s="6" t="s">
        <v>11557</v>
      </c>
      <c r="Q1108" s="6" t="s">
        <v>81</v>
      </c>
      <c r="R1108" s="6" t="s">
        <v>12731</v>
      </c>
      <c r="S1108" s="6" t="s">
        <v>10886</v>
      </c>
      <c r="T1108" s="16" t="n">
        <v>43367</v>
      </c>
      <c r="U1108" s="6" t="s">
        <v>81</v>
      </c>
      <c r="V1108" s="6" t="s">
        <v>81</v>
      </c>
      <c r="W1108" s="6" t="s">
        <v>81</v>
      </c>
      <c r="X1108" s="6" t="s">
        <v>81</v>
      </c>
      <c r="Y1108" s="21" t="s">
        <v>81</v>
      </c>
      <c r="Z1108" s="6" t="s">
        <v>81</v>
      </c>
      <c r="AA1108" s="6" t="s">
        <v>81</v>
      </c>
      <c r="AB1108" s="6" t="s">
        <v>81</v>
      </c>
      <c r="AC1108" s="6" t="s">
        <v>81</v>
      </c>
      <c r="AD1108" s="21" t="s">
        <v>81</v>
      </c>
      <c r="AE1108" s="6" t="s">
        <v>81</v>
      </c>
      <c r="AF1108" s="6" t="s">
        <v>81</v>
      </c>
      <c r="AG1108" s="6" t="s">
        <v>81</v>
      </c>
      <c r="AH1108" s="6" t="s">
        <v>81</v>
      </c>
      <c r="AI1108" s="6" t="s">
        <v>81</v>
      </c>
      <c r="AJ1108" s="6" t="s">
        <v>81</v>
      </c>
      <c r="AK1108" s="6" t="s">
        <v>81</v>
      </c>
      <c r="AL1108" s="6" t="s">
        <v>81</v>
      </c>
      <c r="AM1108" s="6" t="s">
        <v>81</v>
      </c>
      <c r="AN1108" s="6" t="s">
        <v>81</v>
      </c>
      <c r="AO1108" s="6" t="s">
        <v>81</v>
      </c>
      <c r="AP1108" s="6" t="s">
        <v>20252</v>
      </c>
      <c r="AQ1108" s="6" t="s">
        <v>81</v>
      </c>
      <c r="AR1108" s="6" t="s">
        <v>20534</v>
      </c>
      <c r="AS1108" s="6" t="s">
        <v>18386</v>
      </c>
      <c r="AT1108" s="6" t="s">
        <v>18444</v>
      </c>
      <c r="AU1108" s="6" t="s">
        <v>19247</v>
      </c>
      <c r="AV1108" s="6" t="s">
        <v>19651</v>
      </c>
      <c r="AW1108" s="6" t="s">
        <v>19864</v>
      </c>
      <c r="AX1108" s="6" t="s">
        <v>21441</v>
      </c>
      <c r="AY1108" s="6" t="s">
        <v>22970</v>
      </c>
      <c r="AZ1108" s="6" t="s">
        <v>81</v>
      </c>
      <c r="BA1108" s="6" t="s">
        <v>81</v>
      </c>
      <c r="BB1108" s="24" t="n">
        <v>416</v>
      </c>
      <c r="BC1108" s="26"/>
      <c r="BD1108" s="26"/>
      <c r="BE1108" s="26"/>
      <c r="BF1108" s="26"/>
      <c r="BG1108" s="26"/>
      <c r="BH1108" s="26"/>
      <c r="BI1108" s="26"/>
      <c r="BJ1108" s="26"/>
      <c r="BK1108" s="26"/>
      <c r="BL1108" s="26"/>
      <c r="BM1108" s="26"/>
      <c r="BN1108" s="26"/>
      <c r="BO1108" s="26"/>
      <c r="BP1108" s="16" t="n">
        <v>45370</v>
      </c>
      <c r="BQ1108" s="28" t="str">
        <f>HYPERLINK("https://organic.ams.usda.gov/Integrity/Certificate.aspx?cid=63&amp;nopid=6220007867")</f>
        <v>https://organic.ams.usda.gov/Integrity/Certificate.aspx?cid=63&amp;nopid=6220007867</v>
      </c>
    </row>
    <row r="1109">
      <c r="A1109" t="s">
        <v>3</v>
      </c>
      <c r="B1109" s="6" t="s">
        <v>37</v>
      </c>
      <c r="C1109" s="6" t="s">
        <v>84</v>
      </c>
      <c r="D1109" s="6" t="s">
        <v>129</v>
      </c>
      <c r="E1109" s="10" t="s">
        <v>1250</v>
      </c>
      <c r="F1109" s="6" t="s">
        <v>3978</v>
      </c>
      <c r="G1109" s="6" t="s">
        <v>81</v>
      </c>
      <c r="H1109" s="6" t="s">
        <v>6374</v>
      </c>
      <c r="I1109" s="6" t="s">
        <v>9015</v>
      </c>
      <c r="J1109" s="6" t="s">
        <v>10216</v>
      </c>
      <c r="K1109" s="6" t="s">
        <v>10886</v>
      </c>
      <c r="L1109" s="16" t="n">
        <v>38534</v>
      </c>
      <c r="M1109" s="16" t="n">
        <v>46113</v>
      </c>
      <c r="N1109" s="6" t="s">
        <v>10886</v>
      </c>
      <c r="O1109" s="16" t="n">
        <v>38534</v>
      </c>
      <c r="P1109" s="6" t="s">
        <v>10910</v>
      </c>
      <c r="Q1109" s="6" t="s">
        <v>81</v>
      </c>
      <c r="R1109" s="6" t="s">
        <v>12732</v>
      </c>
      <c r="S1109" s="6" t="s">
        <v>10886</v>
      </c>
      <c r="T1109" s="16" t="n">
        <v>38534</v>
      </c>
      <c r="U1109" s="6" t="s">
        <v>13544</v>
      </c>
      <c r="V1109" s="6" t="s">
        <v>81</v>
      </c>
      <c r="W1109" s="6" t="s">
        <v>12732</v>
      </c>
      <c r="X1109" s="6" t="s">
        <v>81</v>
      </c>
      <c r="Y1109" s="21" t="s">
        <v>81</v>
      </c>
      <c r="Z1109" s="6" t="s">
        <v>81</v>
      </c>
      <c r="AA1109" s="6" t="s">
        <v>81</v>
      </c>
      <c r="AB1109" s="6" t="s">
        <v>81</v>
      </c>
      <c r="AC1109" s="6" t="s">
        <v>10886</v>
      </c>
      <c r="AD1109" s="16" t="n">
        <v>38534</v>
      </c>
      <c r="AE1109" s="6" t="s">
        <v>14041</v>
      </c>
      <c r="AF1109" s="6" t="s">
        <v>81</v>
      </c>
      <c r="AG1109" s="6" t="s">
        <v>12732</v>
      </c>
      <c r="AH1109" s="6" t="s">
        <v>15680</v>
      </c>
      <c r="AI1109" s="6" t="s">
        <v>81</v>
      </c>
      <c r="AJ1109" s="6" t="s">
        <v>17892</v>
      </c>
      <c r="AK1109" s="6" t="s">
        <v>17759</v>
      </c>
      <c r="AL1109" s="6" t="s">
        <v>18444</v>
      </c>
      <c r="AM1109" s="6" t="s">
        <v>19078</v>
      </c>
      <c r="AN1109" s="6" t="s">
        <v>19682</v>
      </c>
      <c r="AO1109" s="6" t="s">
        <v>19850</v>
      </c>
      <c r="AP1109" s="6" t="s">
        <v>20253</v>
      </c>
      <c r="AQ1109" s="6" t="s">
        <v>81</v>
      </c>
      <c r="AR1109" s="6" t="s">
        <v>17892</v>
      </c>
      <c r="AS1109" s="6" t="s">
        <v>17759</v>
      </c>
      <c r="AT1109" s="6" t="s">
        <v>18444</v>
      </c>
      <c r="AU1109" s="6" t="s">
        <v>20657</v>
      </c>
      <c r="AV1109" s="6" t="s">
        <v>81</v>
      </c>
      <c r="AW1109" s="6" t="s">
        <v>81</v>
      </c>
      <c r="AX1109" s="6" t="s">
        <v>21442</v>
      </c>
      <c r="AY1109" s="6" t="s">
        <v>22971</v>
      </c>
      <c r="AZ1109" s="6" t="s">
        <v>23683</v>
      </c>
      <c r="BA1109" s="6" t="s">
        <v>81</v>
      </c>
      <c r="BB1109" s="24" t="n">
        <v>424</v>
      </c>
      <c r="BC1109" s="26"/>
      <c r="BD1109" s="26"/>
      <c r="BE1109" s="26"/>
      <c r="BF1109" s="26" t="s">
        <v>23900</v>
      </c>
      <c r="BG1109" s="26"/>
      <c r="BH1109" s="26"/>
      <c r="BI1109" s="26"/>
      <c r="BJ1109" s="26"/>
      <c r="BK1109" s="26"/>
      <c r="BL1109" s="26"/>
      <c r="BM1109" s="26"/>
      <c r="BN1109" s="26"/>
      <c r="BO1109" s="26"/>
      <c r="BP1109" s="16" t="n">
        <v>45720</v>
      </c>
      <c r="BQ1109" s="28" t="str">
        <f>HYPERLINK("https://organic.ams.usda.gov/Integrity/Certificate.aspx?cid=42&amp;nopid=6780000200")</f>
        <v>https://organic.ams.usda.gov/Integrity/Certificate.aspx?cid=42&amp;nopid=6780000200</v>
      </c>
    </row>
    <row r="1110">
      <c r="A1110" t="s">
        <v>3</v>
      </c>
      <c r="B1110" s="6" t="s">
        <v>13</v>
      </c>
      <c r="C1110" s="6" t="s">
        <v>60</v>
      </c>
      <c r="D1110" s="6" t="s">
        <v>106</v>
      </c>
      <c r="E1110" s="10" t="s">
        <v>1251</v>
      </c>
      <c r="F1110" s="6" t="s">
        <v>3979</v>
      </c>
      <c r="G1110" s="6" t="s">
        <v>81</v>
      </c>
      <c r="H1110" s="6" t="s">
        <v>6905</v>
      </c>
      <c r="I1110" s="6" t="s">
        <v>9016</v>
      </c>
      <c r="J1110" s="6" t="s">
        <v>9752</v>
      </c>
      <c r="K1110" s="6" t="s">
        <v>10886</v>
      </c>
      <c r="L1110" s="16" t="n">
        <v>39255</v>
      </c>
      <c r="M1110" s="16" t="n">
        <v>45748</v>
      </c>
      <c r="N1110" s="6" t="s">
        <v>10886</v>
      </c>
      <c r="O1110" s="16" t="n">
        <v>39255</v>
      </c>
      <c r="P1110" s="6" t="s">
        <v>11558</v>
      </c>
      <c r="Q1110" s="6" t="s">
        <v>81</v>
      </c>
      <c r="R1110" s="6" t="s">
        <v>12733</v>
      </c>
      <c r="S1110" s="6" t="s">
        <v>10886</v>
      </c>
      <c r="T1110" s="16" t="n">
        <v>40445</v>
      </c>
      <c r="U1110" s="6" t="s">
        <v>13325</v>
      </c>
      <c r="V1110" s="6" t="s">
        <v>81</v>
      </c>
      <c r="W1110" s="6" t="s">
        <v>12733</v>
      </c>
      <c r="X1110" s="6" t="s">
        <v>81</v>
      </c>
      <c r="Y1110" s="21" t="s">
        <v>81</v>
      </c>
      <c r="Z1110" s="6" t="s">
        <v>81</v>
      </c>
      <c r="AA1110" s="6" t="s">
        <v>81</v>
      </c>
      <c r="AB1110" s="6" t="s">
        <v>81</v>
      </c>
      <c r="AC1110" s="6" t="s">
        <v>81</v>
      </c>
      <c r="AD1110" s="21" t="s">
        <v>81</v>
      </c>
      <c r="AE1110" s="6" t="s">
        <v>81</v>
      </c>
      <c r="AF1110" s="6" t="s">
        <v>81</v>
      </c>
      <c r="AG1110" s="6" t="s">
        <v>81</v>
      </c>
      <c r="AH1110" s="6" t="s">
        <v>15681</v>
      </c>
      <c r="AI1110" s="6" t="s">
        <v>81</v>
      </c>
      <c r="AJ1110" s="6" t="s">
        <v>17857</v>
      </c>
      <c r="AK1110" s="6" t="s">
        <v>17759</v>
      </c>
      <c r="AL1110" s="6" t="s">
        <v>18444</v>
      </c>
      <c r="AM1110" s="6" t="s">
        <v>19079</v>
      </c>
      <c r="AN1110" s="6" t="s">
        <v>19651</v>
      </c>
      <c r="AO1110" s="6" t="s">
        <v>19971</v>
      </c>
      <c r="AP1110" s="6" t="s">
        <v>15681</v>
      </c>
      <c r="AQ1110" s="6" t="s">
        <v>81</v>
      </c>
      <c r="AR1110" s="6" t="s">
        <v>17857</v>
      </c>
      <c r="AS1110" s="6" t="s">
        <v>17759</v>
      </c>
      <c r="AT1110" s="6" t="s">
        <v>18444</v>
      </c>
      <c r="AU1110" s="6" t="s">
        <v>19079</v>
      </c>
      <c r="AV1110" s="6" t="s">
        <v>81</v>
      </c>
      <c r="AW1110" s="6" t="s">
        <v>81</v>
      </c>
      <c r="AX1110" s="6" t="s">
        <v>21443</v>
      </c>
      <c r="AY1110" s="6" t="s">
        <v>81</v>
      </c>
      <c r="AZ1110" s="6" t="s">
        <v>81</v>
      </c>
      <c r="BA1110" s="6" t="s">
        <v>81</v>
      </c>
      <c r="BB1110" s="24" t="n">
        <v>492</v>
      </c>
      <c r="BC1110" s="26"/>
      <c r="BD1110" s="26"/>
      <c r="BE1110" s="26"/>
      <c r="BF1110" s="26" t="s">
        <v>23900</v>
      </c>
      <c r="BG1110" s="26"/>
      <c r="BH1110" s="26"/>
      <c r="BI1110" s="26"/>
      <c r="BJ1110" s="26"/>
      <c r="BK1110" s="26"/>
      <c r="BL1110" s="26"/>
      <c r="BM1110" s="26"/>
      <c r="BN1110" s="26"/>
      <c r="BO1110" s="26"/>
      <c r="BP1110" s="16" t="n">
        <v>45663</v>
      </c>
      <c r="BQ1110" s="28" t="str">
        <f>HYPERLINK("https://organic.ams.usda.gov/Integrity/Certificate.aspx?cid=72&amp;nopid=5870000816")</f>
        <v>https://organic.ams.usda.gov/Integrity/Certificate.aspx?cid=72&amp;nopid=5870000816</v>
      </c>
    </row>
    <row r="1111">
      <c r="A1111" t="s">
        <v>3</v>
      </c>
      <c r="B1111" s="6" t="s">
        <v>8</v>
      </c>
      <c r="C1111" s="6" t="s">
        <v>55</v>
      </c>
      <c r="D1111" s="6" t="s">
        <v>101</v>
      </c>
      <c r="E1111" s="10" t="s">
        <v>1252</v>
      </c>
      <c r="F1111" s="6" t="s">
        <v>3980</v>
      </c>
      <c r="G1111" s="6" t="s">
        <v>81</v>
      </c>
      <c r="H1111" s="6" t="s">
        <v>6906</v>
      </c>
      <c r="I1111" s="6" t="s">
        <v>9016</v>
      </c>
      <c r="J1111" s="6" t="s">
        <v>9665</v>
      </c>
      <c r="K1111" s="6" t="s">
        <v>10886</v>
      </c>
      <c r="L1111" s="16" t="n">
        <v>42993</v>
      </c>
      <c r="M1111" s="16" t="n">
        <v>45689</v>
      </c>
      <c r="N1111" s="6" t="s">
        <v>10886</v>
      </c>
      <c r="O1111" s="16" t="n">
        <v>42993</v>
      </c>
      <c r="P1111" s="6" t="s">
        <v>11559</v>
      </c>
      <c r="Q1111" s="6" t="s">
        <v>81</v>
      </c>
      <c r="R1111" s="6" t="s">
        <v>6906</v>
      </c>
      <c r="S1111" s="6" t="s">
        <v>10886</v>
      </c>
      <c r="T1111" s="16" t="n">
        <v>42993</v>
      </c>
      <c r="U1111" s="6" t="s">
        <v>13545</v>
      </c>
      <c r="V1111" s="6" t="s">
        <v>81</v>
      </c>
      <c r="W1111" s="6" t="s">
        <v>6906</v>
      </c>
      <c r="X1111" s="6" t="s">
        <v>81</v>
      </c>
      <c r="Y1111" s="21" t="s">
        <v>81</v>
      </c>
      <c r="Z1111" s="6" t="s">
        <v>81</v>
      </c>
      <c r="AA1111" s="6" t="s">
        <v>81</v>
      </c>
      <c r="AB1111" s="6" t="s">
        <v>81</v>
      </c>
      <c r="AC1111" s="6" t="s">
        <v>81</v>
      </c>
      <c r="AD1111" s="21" t="s">
        <v>81</v>
      </c>
      <c r="AE1111" s="6" t="s">
        <v>81</v>
      </c>
      <c r="AF1111" s="6" t="s">
        <v>81</v>
      </c>
      <c r="AG1111" s="6" t="s">
        <v>81</v>
      </c>
      <c r="AH1111" s="6" t="s">
        <v>15682</v>
      </c>
      <c r="AI1111" s="6" t="s">
        <v>81</v>
      </c>
      <c r="AJ1111" s="6" t="s">
        <v>17893</v>
      </c>
      <c r="AK1111" s="6" t="s">
        <v>18377</v>
      </c>
      <c r="AL1111" s="6" t="s">
        <v>18444</v>
      </c>
      <c r="AM1111" s="6" t="s">
        <v>19080</v>
      </c>
      <c r="AN1111" s="6" t="s">
        <v>19681</v>
      </c>
      <c r="AO1111" s="6" t="s">
        <v>19853</v>
      </c>
      <c r="AP1111" s="6" t="s">
        <v>81</v>
      </c>
      <c r="AQ1111" s="6" t="s">
        <v>81</v>
      </c>
      <c r="AR1111" s="6" t="s">
        <v>81</v>
      </c>
      <c r="AS1111" s="6" t="s">
        <v>81</v>
      </c>
      <c r="AT1111" s="6" t="s">
        <v>81</v>
      </c>
      <c r="AU1111" s="6" t="s">
        <v>81</v>
      </c>
      <c r="AV1111" s="6" t="s">
        <v>81</v>
      </c>
      <c r="AW1111" s="6" t="s">
        <v>81</v>
      </c>
      <c r="AX1111" s="6" t="s">
        <v>81</v>
      </c>
      <c r="AY1111" s="6" t="s">
        <v>81</v>
      </c>
      <c r="AZ1111" s="6" t="s">
        <v>81</v>
      </c>
      <c r="BA1111" s="6" t="s">
        <v>23819</v>
      </c>
      <c r="BB1111" s="24" t="n">
        <v>106</v>
      </c>
      <c r="BC1111" s="26"/>
      <c r="BD1111" s="26"/>
      <c r="BE1111" s="26"/>
      <c r="BF1111" s="26" t="s">
        <v>23900</v>
      </c>
      <c r="BG1111" s="26"/>
      <c r="BH1111" s="26"/>
      <c r="BI1111" s="26"/>
      <c r="BJ1111" s="26"/>
      <c r="BK1111" s="26"/>
      <c r="BL1111" s="26"/>
      <c r="BM1111" s="26"/>
      <c r="BN1111" s="26"/>
      <c r="BO1111" s="26"/>
      <c r="BP1111" s="16" t="n">
        <v>45714</v>
      </c>
      <c r="BQ1111" s="28" t="str">
        <f>HYPERLINK("https://organic.ams.usda.gov/Integrity/Certificate.aspx?cid=45&amp;nopid=9950010304")</f>
        <v>https://organic.ams.usda.gov/Integrity/Certificate.aspx?cid=45&amp;nopid=9950010304</v>
      </c>
    </row>
    <row r="1112">
      <c r="A1112" t="s">
        <v>3</v>
      </c>
      <c r="B1112" s="6" t="s">
        <v>7</v>
      </c>
      <c r="C1112" s="6" t="s">
        <v>54</v>
      </c>
      <c r="D1112" s="6" t="s">
        <v>100</v>
      </c>
      <c r="E1112" s="10" t="s">
        <v>1253</v>
      </c>
      <c r="F1112" s="6" t="s">
        <v>3981</v>
      </c>
      <c r="G1112" s="6" t="s">
        <v>81</v>
      </c>
      <c r="H1112" s="6" t="s">
        <v>6907</v>
      </c>
      <c r="I1112" s="6" t="s">
        <v>9017</v>
      </c>
      <c r="J1112" s="6" t="s">
        <v>10217</v>
      </c>
      <c r="K1112" s="6" t="s">
        <v>10886</v>
      </c>
      <c r="L1112" s="16" t="n">
        <v>39226</v>
      </c>
      <c r="M1112" s="16" t="n">
        <v>45716</v>
      </c>
      <c r="N1112" s="6" t="s">
        <v>10886</v>
      </c>
      <c r="O1112" s="16" t="n">
        <v>39226</v>
      </c>
      <c r="P1112" s="6" t="s">
        <v>11560</v>
      </c>
      <c r="Q1112" s="6" t="s">
        <v>81</v>
      </c>
      <c r="R1112" s="6" t="s">
        <v>81</v>
      </c>
      <c r="S1112" s="6" t="s">
        <v>10886</v>
      </c>
      <c r="T1112" s="16" t="n">
        <v>39232</v>
      </c>
      <c r="U1112" s="6" t="s">
        <v>13546</v>
      </c>
      <c r="V1112" s="6" t="s">
        <v>81</v>
      </c>
      <c r="W1112" s="6" t="s">
        <v>81</v>
      </c>
      <c r="X1112" s="6" t="s">
        <v>81</v>
      </c>
      <c r="Y1112" s="21" t="s">
        <v>81</v>
      </c>
      <c r="Z1112" s="6" t="s">
        <v>81</v>
      </c>
      <c r="AA1112" s="6" t="s">
        <v>81</v>
      </c>
      <c r="AB1112" s="6" t="s">
        <v>81</v>
      </c>
      <c r="AC1112" s="6" t="s">
        <v>81</v>
      </c>
      <c r="AD1112" s="21" t="s">
        <v>81</v>
      </c>
      <c r="AE1112" s="6" t="s">
        <v>81</v>
      </c>
      <c r="AF1112" s="6" t="s">
        <v>81</v>
      </c>
      <c r="AG1112" s="6" t="s">
        <v>81</v>
      </c>
      <c r="AH1112" s="6" t="s">
        <v>15683</v>
      </c>
      <c r="AI1112" s="6" t="s">
        <v>81</v>
      </c>
      <c r="AJ1112" s="6" t="s">
        <v>17894</v>
      </c>
      <c r="AK1112" s="6" t="s">
        <v>17712</v>
      </c>
      <c r="AL1112" s="6" t="s">
        <v>18444</v>
      </c>
      <c r="AM1112" s="6" t="s">
        <v>19081</v>
      </c>
      <c r="AN1112" s="6" t="s">
        <v>19669</v>
      </c>
      <c r="AO1112" s="6" t="s">
        <v>19790</v>
      </c>
      <c r="AP1112" s="6" t="s">
        <v>15683</v>
      </c>
      <c r="AQ1112" s="6" t="s">
        <v>81</v>
      </c>
      <c r="AR1112" s="6" t="s">
        <v>17894</v>
      </c>
      <c r="AS1112" s="6" t="s">
        <v>17712</v>
      </c>
      <c r="AT1112" s="6" t="s">
        <v>18444</v>
      </c>
      <c r="AU1112" s="6" t="s">
        <v>19081</v>
      </c>
      <c r="AV1112" s="6" t="s">
        <v>81</v>
      </c>
      <c r="AW1112" s="6" t="s">
        <v>81</v>
      </c>
      <c r="AX1112" s="6" t="s">
        <v>21444</v>
      </c>
      <c r="AY1112" s="6" t="s">
        <v>81</v>
      </c>
      <c r="AZ1112" s="6" t="s">
        <v>81</v>
      </c>
      <c r="BA1112" s="6" t="s">
        <v>81</v>
      </c>
      <c r="BB1112" s="24" t="n">
        <v>480</v>
      </c>
      <c r="BC1112" s="26"/>
      <c r="BD1112" s="26"/>
      <c r="BE1112" s="26"/>
      <c r="BF1112" s="26"/>
      <c r="BG1112" s="26"/>
      <c r="BH1112" s="26"/>
      <c r="BI1112" s="26"/>
      <c r="BJ1112" s="26"/>
      <c r="BK1112" s="26"/>
      <c r="BL1112" s="26"/>
      <c r="BM1112" s="26"/>
      <c r="BN1112" s="26"/>
      <c r="BO1112" s="26"/>
      <c r="BP1112" s="16" t="n">
        <v>45715</v>
      </c>
      <c r="BQ1112" s="28" t="str">
        <f>HYPERLINK("https://organic.ams.usda.gov/Integrity/Certificate.aspx?cid=57&amp;nopid=3252006131")</f>
        <v>https://organic.ams.usda.gov/Integrity/Certificate.aspx?cid=57&amp;nopid=3252006131</v>
      </c>
    </row>
    <row r="1113">
      <c r="A1113" t="s">
        <v>3</v>
      </c>
      <c r="B1113" s="6" t="s">
        <v>10</v>
      </c>
      <c r="C1113" s="6" t="s">
        <v>57</v>
      </c>
      <c r="D1113" s="6" t="s">
        <v>103</v>
      </c>
      <c r="E1113" s="10" t="s">
        <v>1254</v>
      </c>
      <c r="F1113" s="6" t="s">
        <v>3982</v>
      </c>
      <c r="G1113" s="6" t="s">
        <v>81</v>
      </c>
      <c r="H1113" s="6" t="s">
        <v>6908</v>
      </c>
      <c r="I1113" s="6" t="s">
        <v>9018</v>
      </c>
      <c r="J1113" s="6" t="s">
        <v>9675</v>
      </c>
      <c r="K1113" s="6" t="s">
        <v>10886</v>
      </c>
      <c r="L1113" s="16" t="n">
        <v>44743</v>
      </c>
      <c r="M1113" s="16" t="n">
        <v>45748</v>
      </c>
      <c r="N1113" s="6" t="s">
        <v>10886</v>
      </c>
      <c r="O1113" s="16" t="n">
        <v>44743</v>
      </c>
      <c r="P1113" s="6" t="s">
        <v>10925</v>
      </c>
      <c r="Q1113" s="6" t="s">
        <v>81</v>
      </c>
      <c r="R1113" s="6" t="s">
        <v>12734</v>
      </c>
      <c r="S1113" s="6" t="s">
        <v>10886</v>
      </c>
      <c r="T1113" s="16" t="n">
        <v>44743</v>
      </c>
      <c r="U1113" s="6" t="s">
        <v>13547</v>
      </c>
      <c r="V1113" s="6" t="s">
        <v>81</v>
      </c>
      <c r="W1113" s="6" t="s">
        <v>81</v>
      </c>
      <c r="X1113" s="6" t="s">
        <v>81</v>
      </c>
      <c r="Y1113" s="21" t="s">
        <v>81</v>
      </c>
      <c r="Z1113" s="6" t="s">
        <v>81</v>
      </c>
      <c r="AA1113" s="6" t="s">
        <v>81</v>
      </c>
      <c r="AB1113" s="6" t="s">
        <v>81</v>
      </c>
      <c r="AC1113" s="6" t="s">
        <v>10886</v>
      </c>
      <c r="AD1113" s="16" t="n">
        <v>44743</v>
      </c>
      <c r="AE1113" s="6" t="s">
        <v>14228</v>
      </c>
      <c r="AF1113" s="6" t="s">
        <v>81</v>
      </c>
      <c r="AG1113" s="6" t="s">
        <v>81</v>
      </c>
      <c r="AH1113" s="6" t="s">
        <v>15684</v>
      </c>
      <c r="AI1113" s="6" t="s">
        <v>81</v>
      </c>
      <c r="AJ1113" s="6" t="s">
        <v>17635</v>
      </c>
      <c r="AK1113" s="6" t="s">
        <v>18379</v>
      </c>
      <c r="AL1113" s="6" t="s">
        <v>18444</v>
      </c>
      <c r="AM1113" s="6" t="s">
        <v>18804</v>
      </c>
      <c r="AN1113" s="6" t="s">
        <v>19637</v>
      </c>
      <c r="AO1113" s="6" t="s">
        <v>19723</v>
      </c>
      <c r="AP1113" s="6" t="s">
        <v>20254</v>
      </c>
      <c r="AQ1113" s="6" t="s">
        <v>81</v>
      </c>
      <c r="AR1113" s="6" t="s">
        <v>17315</v>
      </c>
      <c r="AS1113" s="6" t="s">
        <v>18379</v>
      </c>
      <c r="AT1113" s="6" t="s">
        <v>18444</v>
      </c>
      <c r="AU1113" s="6" t="s">
        <v>18467</v>
      </c>
      <c r="AV1113" s="6" t="s">
        <v>81</v>
      </c>
      <c r="AW1113" s="6" t="s">
        <v>81</v>
      </c>
      <c r="AX1113" s="6" t="s">
        <v>21445</v>
      </c>
      <c r="AY1113" s="6" t="s">
        <v>22972</v>
      </c>
      <c r="AZ1113" s="6" t="s">
        <v>81</v>
      </c>
      <c r="BA1113" s="6" t="s">
        <v>81</v>
      </c>
      <c r="BB1113" s="24" t="n">
        <v>293</v>
      </c>
      <c r="BC1113" s="26"/>
      <c r="BD1113" s="26"/>
      <c r="BE1113" s="26"/>
      <c r="BF1113" s="26"/>
      <c r="BG1113" s="26"/>
      <c r="BH1113" s="26"/>
      <c r="BI1113" s="26"/>
      <c r="BJ1113" s="26"/>
      <c r="BK1113" s="26"/>
      <c r="BL1113" s="26"/>
      <c r="BM1113" s="26"/>
      <c r="BN1113" s="26"/>
      <c r="BO1113" s="26"/>
      <c r="BP1113" s="16" t="n">
        <v>45730</v>
      </c>
      <c r="BQ1113" s="28" t="str">
        <f>HYPERLINK("https://organic.ams.usda.gov/Integrity/Certificate.aspx?cid=90&amp;nopid=7170220570")</f>
        <v>https://organic.ams.usda.gov/Integrity/Certificate.aspx?cid=90&amp;nopid=7170220570</v>
      </c>
    </row>
    <row r="1114">
      <c r="A1114" t="s">
        <v>3</v>
      </c>
      <c r="B1114" s="6" t="s">
        <v>29</v>
      </c>
      <c r="C1114" s="6" t="s">
        <v>76</v>
      </c>
      <c r="D1114" s="6" t="s">
        <v>122</v>
      </c>
      <c r="E1114" s="10" t="s">
        <v>1255</v>
      </c>
      <c r="F1114" s="6" t="s">
        <v>3983</v>
      </c>
      <c r="G1114" s="6" t="s">
        <v>5691</v>
      </c>
      <c r="H1114" s="6" t="s">
        <v>6909</v>
      </c>
      <c r="I1114" s="6" t="s">
        <v>9019</v>
      </c>
      <c r="J1114" s="6" t="s">
        <v>9699</v>
      </c>
      <c r="K1114" s="6" t="s">
        <v>10886</v>
      </c>
      <c r="L1114" s="16" t="n">
        <v>42514</v>
      </c>
      <c r="M1114" s="16" t="n">
        <v>45505</v>
      </c>
      <c r="N1114" s="6" t="s">
        <v>10886</v>
      </c>
      <c r="O1114" s="16" t="n">
        <v>42514</v>
      </c>
      <c r="P1114" s="6" t="s">
        <v>11561</v>
      </c>
      <c r="Q1114" s="6" t="s">
        <v>81</v>
      </c>
      <c r="R1114" s="6" t="s">
        <v>12735</v>
      </c>
      <c r="S1114" s="6" t="s">
        <v>10886</v>
      </c>
      <c r="T1114" s="16" t="n">
        <v>42514</v>
      </c>
      <c r="U1114" s="6" t="s">
        <v>13548</v>
      </c>
      <c r="V1114" s="6" t="s">
        <v>81</v>
      </c>
      <c r="W1114" s="6" t="s">
        <v>12735</v>
      </c>
      <c r="X1114" s="6" t="s">
        <v>81</v>
      </c>
      <c r="Y1114" s="21" t="s">
        <v>81</v>
      </c>
      <c r="Z1114" s="6" t="s">
        <v>81</v>
      </c>
      <c r="AA1114" s="6" t="s">
        <v>81</v>
      </c>
      <c r="AB1114" s="6" t="s">
        <v>81</v>
      </c>
      <c r="AC1114" s="6" t="s">
        <v>10886</v>
      </c>
      <c r="AD1114" s="16" t="n">
        <v>42514</v>
      </c>
      <c r="AE1114" s="6" t="s">
        <v>14229</v>
      </c>
      <c r="AF1114" s="6" t="s">
        <v>81</v>
      </c>
      <c r="AG1114" s="6" t="s">
        <v>14557</v>
      </c>
      <c r="AH1114" s="6" t="s">
        <v>15685</v>
      </c>
      <c r="AI1114" s="6" t="s">
        <v>81</v>
      </c>
      <c r="AJ1114" s="6" t="s">
        <v>17895</v>
      </c>
      <c r="AK1114" s="6" t="s">
        <v>18380</v>
      </c>
      <c r="AL1114" s="6" t="s">
        <v>18444</v>
      </c>
      <c r="AM1114" s="6" t="s">
        <v>19082</v>
      </c>
      <c r="AN1114" s="6" t="s">
        <v>19639</v>
      </c>
      <c r="AO1114" s="6" t="s">
        <v>19725</v>
      </c>
      <c r="AP1114" s="6" t="s">
        <v>81</v>
      </c>
      <c r="AQ1114" s="6" t="s">
        <v>81</v>
      </c>
      <c r="AR1114" s="6" t="s">
        <v>81</v>
      </c>
      <c r="AS1114" s="6" t="s">
        <v>81</v>
      </c>
      <c r="AT1114" s="6" t="s">
        <v>81</v>
      </c>
      <c r="AU1114" s="6" t="s">
        <v>81</v>
      </c>
      <c r="AV1114" s="6" t="s">
        <v>81</v>
      </c>
      <c r="AW1114" s="6" t="s">
        <v>81</v>
      </c>
      <c r="AX1114" s="6" t="s">
        <v>21446</v>
      </c>
      <c r="AY1114" s="6" t="s">
        <v>81</v>
      </c>
      <c r="AZ1114" s="6" t="s">
        <v>81</v>
      </c>
      <c r="BA1114" s="6" t="s">
        <v>81</v>
      </c>
      <c r="BB1114" s="24" t="n">
        <v>105</v>
      </c>
      <c r="BC1114" s="26"/>
      <c r="BD1114" s="26"/>
      <c r="BE1114" s="26"/>
      <c r="BF1114" s="26" t="s">
        <v>23900</v>
      </c>
      <c r="BG1114" s="26"/>
      <c r="BH1114" s="26"/>
      <c r="BI1114" s="26"/>
      <c r="BJ1114" s="26"/>
      <c r="BK1114" s="26"/>
      <c r="BL1114" s="26"/>
      <c r="BM1114" s="26"/>
      <c r="BN1114" s="26"/>
      <c r="BO1114" s="26"/>
      <c r="BP1114" s="16" t="n">
        <v>45737</v>
      </c>
      <c r="BQ1114" s="28" t="str">
        <f>HYPERLINK("https://organic.ams.usda.gov/Integrity/Certificate.aspx?cid=31&amp;nopid=3928971613")</f>
        <v>https://organic.ams.usda.gov/Integrity/Certificate.aspx?cid=31&amp;nopid=3928971613</v>
      </c>
    </row>
    <row r="1115">
      <c r="A1115" t="s">
        <v>3</v>
      </c>
      <c r="B1115" s="6" t="s">
        <v>39</v>
      </c>
      <c r="C1115" s="6" t="s">
        <v>86</v>
      </c>
      <c r="D1115" s="6" t="s">
        <v>131</v>
      </c>
      <c r="E1115" s="10" t="s">
        <v>1256</v>
      </c>
      <c r="F1115" s="6" t="s">
        <v>3984</v>
      </c>
      <c r="G1115" s="6" t="s">
        <v>81</v>
      </c>
      <c r="H1115" s="6" t="s">
        <v>6910</v>
      </c>
      <c r="I1115" s="6" t="s">
        <v>9020</v>
      </c>
      <c r="J1115" s="6" t="s">
        <v>9906</v>
      </c>
      <c r="K1115" s="6" t="s">
        <v>10886</v>
      </c>
      <c r="L1115" s="16" t="n">
        <v>42115</v>
      </c>
      <c r="M1115" s="16" t="n">
        <v>45658</v>
      </c>
      <c r="N1115" s="6" t="s">
        <v>10886</v>
      </c>
      <c r="O1115" s="16" t="n">
        <v>42115</v>
      </c>
      <c r="P1115" s="6" t="s">
        <v>11562</v>
      </c>
      <c r="Q1115" s="6" t="s">
        <v>81</v>
      </c>
      <c r="R1115" s="6" t="s">
        <v>6910</v>
      </c>
      <c r="S1115" s="6" t="s">
        <v>10886</v>
      </c>
      <c r="T1115" s="16" t="n">
        <v>42452</v>
      </c>
      <c r="U1115" s="6" t="s">
        <v>13549</v>
      </c>
      <c r="V1115" s="6" t="s">
        <v>81</v>
      </c>
      <c r="W1115" s="6" t="s">
        <v>6910</v>
      </c>
      <c r="X1115" s="6" t="s">
        <v>81</v>
      </c>
      <c r="Y1115" s="21" t="s">
        <v>81</v>
      </c>
      <c r="Z1115" s="6" t="s">
        <v>81</v>
      </c>
      <c r="AA1115" s="6" t="s">
        <v>81</v>
      </c>
      <c r="AB1115" s="6" t="s">
        <v>81</v>
      </c>
      <c r="AC1115" s="6" t="s">
        <v>81</v>
      </c>
      <c r="AD1115" s="21" t="s">
        <v>81</v>
      </c>
      <c r="AE1115" s="6" t="s">
        <v>81</v>
      </c>
      <c r="AF1115" s="6" t="s">
        <v>81</v>
      </c>
      <c r="AG1115" s="6" t="s">
        <v>81</v>
      </c>
      <c r="AH1115" s="6" t="s">
        <v>15686</v>
      </c>
      <c r="AI1115" s="6" t="s">
        <v>81</v>
      </c>
      <c r="AJ1115" s="6" t="s">
        <v>17896</v>
      </c>
      <c r="AK1115" s="6" t="s">
        <v>18414</v>
      </c>
      <c r="AL1115" s="6" t="s">
        <v>18444</v>
      </c>
      <c r="AM1115" s="6" t="s">
        <v>19083</v>
      </c>
      <c r="AN1115" s="6" t="s">
        <v>19667</v>
      </c>
      <c r="AO1115" s="6" t="s">
        <v>19969</v>
      </c>
      <c r="AP1115" s="6" t="s">
        <v>81</v>
      </c>
      <c r="AQ1115" s="6" t="s">
        <v>81</v>
      </c>
      <c r="AR1115" s="6" t="s">
        <v>81</v>
      </c>
      <c r="AS1115" s="6" t="s">
        <v>81</v>
      </c>
      <c r="AT1115" s="6" t="s">
        <v>81</v>
      </c>
      <c r="AU1115" s="6" t="s">
        <v>81</v>
      </c>
      <c r="AV1115" s="6" t="s">
        <v>81</v>
      </c>
      <c r="AW1115" s="6" t="s">
        <v>81</v>
      </c>
      <c r="AX1115" s="6" t="s">
        <v>21447</v>
      </c>
      <c r="AY1115" s="6" t="s">
        <v>81</v>
      </c>
      <c r="AZ1115" s="6" t="s">
        <v>81</v>
      </c>
      <c r="BA1115" s="6" t="s">
        <v>81</v>
      </c>
      <c r="BB1115" s="24" t="n">
        <v>120</v>
      </c>
      <c r="BC1115" s="26"/>
      <c r="BD1115" s="26"/>
      <c r="BE1115" s="26"/>
      <c r="BF1115" s="26"/>
      <c r="BG1115" s="26"/>
      <c r="BH1115" s="26"/>
      <c r="BI1115" s="26"/>
      <c r="BJ1115" s="26"/>
      <c r="BK1115" s="26"/>
      <c r="BL1115" s="26"/>
      <c r="BM1115" s="26"/>
      <c r="BN1115" s="26"/>
      <c r="BO1115" s="26"/>
      <c r="BP1115" s="16" t="n">
        <v>45734</v>
      </c>
      <c r="BQ1115" s="28" t="str">
        <f>HYPERLINK("https://organic.ams.usda.gov/Integrity/Certificate.aspx?cid=38&amp;nopid=5100035620")</f>
        <v>https://organic.ams.usda.gov/Integrity/Certificate.aspx?cid=38&amp;nopid=5100035620</v>
      </c>
    </row>
    <row r="1116">
      <c r="A1116" t="s">
        <v>3</v>
      </c>
      <c r="B1116" s="6" t="s">
        <v>7</v>
      </c>
      <c r="C1116" s="6" t="s">
        <v>54</v>
      </c>
      <c r="D1116" s="6" t="s">
        <v>100</v>
      </c>
      <c r="E1116" s="10" t="s">
        <v>1257</v>
      </c>
      <c r="F1116" s="6" t="s">
        <v>3985</v>
      </c>
      <c r="G1116" s="6" t="s">
        <v>81</v>
      </c>
      <c r="H1116" s="6" t="s">
        <v>6911</v>
      </c>
      <c r="I1116" s="6" t="s">
        <v>8651</v>
      </c>
      <c r="J1116" s="6" t="s">
        <v>10218</v>
      </c>
      <c r="K1116" s="6" t="s">
        <v>10886</v>
      </c>
      <c r="L1116" s="16" t="n">
        <v>42013</v>
      </c>
      <c r="M1116" s="16" t="n">
        <v>45672</v>
      </c>
      <c r="N1116" s="6" t="s">
        <v>10886</v>
      </c>
      <c r="O1116" s="16" t="n">
        <v>43433</v>
      </c>
      <c r="P1116" s="6" t="s">
        <v>11563</v>
      </c>
      <c r="Q1116" s="6" t="s">
        <v>81</v>
      </c>
      <c r="R1116" s="6" t="s">
        <v>81</v>
      </c>
      <c r="S1116" s="6" t="s">
        <v>81</v>
      </c>
      <c r="T1116" s="21" t="s">
        <v>81</v>
      </c>
      <c r="U1116" s="6" t="s">
        <v>81</v>
      </c>
      <c r="V1116" s="6" t="s">
        <v>81</v>
      </c>
      <c r="W1116" s="6" t="s">
        <v>81</v>
      </c>
      <c r="X1116" s="6" t="s">
        <v>81</v>
      </c>
      <c r="Y1116" s="21" t="s">
        <v>81</v>
      </c>
      <c r="Z1116" s="6" t="s">
        <v>81</v>
      </c>
      <c r="AA1116" s="6" t="s">
        <v>81</v>
      </c>
      <c r="AB1116" s="6" t="s">
        <v>81</v>
      </c>
      <c r="AC1116" s="6" t="s">
        <v>10886</v>
      </c>
      <c r="AD1116" s="16" t="n">
        <v>42013</v>
      </c>
      <c r="AE1116" s="6" t="s">
        <v>14230</v>
      </c>
      <c r="AF1116" s="6" t="s">
        <v>81</v>
      </c>
      <c r="AG1116" s="6" t="s">
        <v>81</v>
      </c>
      <c r="AH1116" s="6" t="s">
        <v>15687</v>
      </c>
      <c r="AI1116" s="6" t="s">
        <v>81</v>
      </c>
      <c r="AJ1116" s="6" t="s">
        <v>17897</v>
      </c>
      <c r="AK1116" s="6" t="s">
        <v>17712</v>
      </c>
      <c r="AL1116" s="6" t="s">
        <v>18444</v>
      </c>
      <c r="AM1116" s="6" t="s">
        <v>19084</v>
      </c>
      <c r="AN1116" s="6" t="s">
        <v>19653</v>
      </c>
      <c r="AO1116" s="6" t="s">
        <v>19744</v>
      </c>
      <c r="AP1116" s="6" t="s">
        <v>20255</v>
      </c>
      <c r="AQ1116" s="6" t="s">
        <v>81</v>
      </c>
      <c r="AR1116" s="6" t="s">
        <v>17897</v>
      </c>
      <c r="AS1116" s="6" t="s">
        <v>17712</v>
      </c>
      <c r="AT1116" s="6" t="s">
        <v>18444</v>
      </c>
      <c r="AU1116" s="6" t="s">
        <v>19084</v>
      </c>
      <c r="AV1116" s="6" t="s">
        <v>81</v>
      </c>
      <c r="AW1116" s="6" t="s">
        <v>81</v>
      </c>
      <c r="AX1116" s="6" t="s">
        <v>21448</v>
      </c>
      <c r="AY1116" s="6" t="s">
        <v>22973</v>
      </c>
      <c r="AZ1116" s="6" t="s">
        <v>23684</v>
      </c>
      <c r="BA1116" s="6" t="s">
        <v>81</v>
      </c>
      <c r="BB1116" s="24" t="n">
        <v>101</v>
      </c>
      <c r="BC1116" s="26"/>
      <c r="BD1116" s="26"/>
      <c r="BE1116" s="26"/>
      <c r="BF1116" s="26"/>
      <c r="BG1116" s="26"/>
      <c r="BH1116" s="26"/>
      <c r="BI1116" s="26"/>
      <c r="BJ1116" s="26"/>
      <c r="BK1116" s="26"/>
      <c r="BL1116" s="26"/>
      <c r="BM1116" s="26"/>
      <c r="BN1116" s="26"/>
      <c r="BO1116" s="26"/>
      <c r="BP1116" s="16" t="n">
        <v>45603</v>
      </c>
      <c r="BQ1116" s="28" t="str">
        <f>HYPERLINK("https://organic.ams.usda.gov/Integrity/Certificate.aspx?cid=57&amp;nopid=3252014078")</f>
        <v>https://organic.ams.usda.gov/Integrity/Certificate.aspx?cid=57&amp;nopid=3252014078</v>
      </c>
    </row>
    <row r="1117">
      <c r="A1117" t="s">
        <v>3</v>
      </c>
      <c r="B1117" s="6" t="s">
        <v>16</v>
      </c>
      <c r="C1117" s="6" t="s">
        <v>63</v>
      </c>
      <c r="D1117" s="6" t="s">
        <v>109</v>
      </c>
      <c r="E1117" s="10" t="s">
        <v>1258</v>
      </c>
      <c r="F1117" s="6" t="s">
        <v>3986</v>
      </c>
      <c r="G1117" s="6" t="s">
        <v>81</v>
      </c>
      <c r="H1117" s="6" t="s">
        <v>6912</v>
      </c>
      <c r="I1117" s="6" t="s">
        <v>8513</v>
      </c>
      <c r="J1117" s="6" t="s">
        <v>10219</v>
      </c>
      <c r="K1117" s="6" t="s">
        <v>10886</v>
      </c>
      <c r="L1117" s="16" t="n">
        <v>38579</v>
      </c>
      <c r="M1117" s="16" t="n">
        <v>45731</v>
      </c>
      <c r="N1117" s="6" t="s">
        <v>10886</v>
      </c>
      <c r="O1117" s="16" t="n">
        <v>38579</v>
      </c>
      <c r="P1117" s="6" t="s">
        <v>11564</v>
      </c>
      <c r="Q1117" s="6" t="s">
        <v>81</v>
      </c>
      <c r="R1117" s="6" t="s">
        <v>81</v>
      </c>
      <c r="S1117" s="6" t="s">
        <v>10886</v>
      </c>
      <c r="T1117" s="16" t="n">
        <v>38579</v>
      </c>
      <c r="U1117" s="6" t="s">
        <v>13281</v>
      </c>
      <c r="V1117" s="6" t="s">
        <v>81</v>
      </c>
      <c r="W1117" s="6" t="s">
        <v>81</v>
      </c>
      <c r="X1117" s="6" t="s">
        <v>81</v>
      </c>
      <c r="Y1117" s="21" t="s">
        <v>81</v>
      </c>
      <c r="Z1117" s="6" t="s">
        <v>81</v>
      </c>
      <c r="AA1117" s="6" t="s">
        <v>81</v>
      </c>
      <c r="AB1117" s="6" t="s">
        <v>81</v>
      </c>
      <c r="AC1117" s="6" t="s">
        <v>10886</v>
      </c>
      <c r="AD1117" s="16" t="n">
        <v>38579</v>
      </c>
      <c r="AE1117" s="6" t="s">
        <v>81</v>
      </c>
      <c r="AF1117" s="6" t="s">
        <v>81</v>
      </c>
      <c r="AG1117" s="6" t="s">
        <v>81</v>
      </c>
      <c r="AH1117" s="6" t="s">
        <v>15688</v>
      </c>
      <c r="AI1117" s="6" t="s">
        <v>81</v>
      </c>
      <c r="AJ1117" s="6" t="s">
        <v>9806</v>
      </c>
      <c r="AK1117" s="6" t="s">
        <v>18383</v>
      </c>
      <c r="AL1117" s="6" t="s">
        <v>18444</v>
      </c>
      <c r="AM1117" s="6" t="s">
        <v>19085</v>
      </c>
      <c r="AN1117" s="6" t="s">
        <v>19636</v>
      </c>
      <c r="AO1117" s="6" t="s">
        <v>19740</v>
      </c>
      <c r="AP1117" s="6" t="s">
        <v>81</v>
      </c>
      <c r="AQ1117" s="6" t="s">
        <v>81</v>
      </c>
      <c r="AR1117" s="6" t="s">
        <v>81</v>
      </c>
      <c r="AS1117" s="6" t="s">
        <v>81</v>
      </c>
      <c r="AT1117" s="6" t="s">
        <v>81</v>
      </c>
      <c r="AU1117" s="6" t="s">
        <v>81</v>
      </c>
      <c r="AV1117" s="6" t="s">
        <v>81</v>
      </c>
      <c r="AW1117" s="6" t="s">
        <v>81</v>
      </c>
      <c r="AX1117" s="6" t="s">
        <v>21449</v>
      </c>
      <c r="AY1117" s="6" t="s">
        <v>81</v>
      </c>
      <c r="AZ1117" s="6" t="s">
        <v>81</v>
      </c>
      <c r="BA1117" s="6" t="s">
        <v>81</v>
      </c>
      <c r="BB1117" s="24" t="n">
        <v>421</v>
      </c>
      <c r="BC1117" s="26"/>
      <c r="BD1117" s="26"/>
      <c r="BE1117" s="26"/>
      <c r="BF1117" s="26"/>
      <c r="BG1117" s="26"/>
      <c r="BH1117" s="26"/>
      <c r="BI1117" s="26"/>
      <c r="BJ1117" s="26"/>
      <c r="BK1117" s="26"/>
      <c r="BL1117" s="26"/>
      <c r="BM1117" s="26"/>
      <c r="BN1117" s="26"/>
      <c r="BO1117" s="26"/>
      <c r="BP1117" s="16" t="n">
        <v>45701</v>
      </c>
      <c r="BQ1117" s="28" t="str">
        <f>HYPERLINK("https://organic.ams.usda.gov/Integrity/Certificate.aspx?cid=81&amp;nopid=4210005030")</f>
        <v>https://organic.ams.usda.gov/Integrity/Certificate.aspx?cid=81&amp;nopid=4210005030</v>
      </c>
    </row>
    <row r="1118">
      <c r="A1118" t="s">
        <v>3</v>
      </c>
      <c r="B1118" s="6" t="s">
        <v>11</v>
      </c>
      <c r="C1118" s="6" t="s">
        <v>58</v>
      </c>
      <c r="D1118" s="6" t="s">
        <v>104</v>
      </c>
      <c r="E1118" s="10" t="s">
        <v>1259</v>
      </c>
      <c r="F1118" s="6" t="s">
        <v>3987</v>
      </c>
      <c r="G1118" s="6" t="s">
        <v>81</v>
      </c>
      <c r="H1118" s="6" t="s">
        <v>81</v>
      </c>
      <c r="I1118" s="6" t="s">
        <v>9021</v>
      </c>
      <c r="J1118" s="6" t="s">
        <v>10220</v>
      </c>
      <c r="K1118" s="6" t="s">
        <v>10886</v>
      </c>
      <c r="L1118" s="16" t="n">
        <v>43125</v>
      </c>
      <c r="M1118" s="16" t="n">
        <v>45748</v>
      </c>
      <c r="N1118" s="6" t="s">
        <v>10886</v>
      </c>
      <c r="O1118" s="16" t="n">
        <v>43125</v>
      </c>
      <c r="P1118" s="6" t="s">
        <v>11565</v>
      </c>
      <c r="Q1118" s="6" t="s">
        <v>81</v>
      </c>
      <c r="R1118" s="6" t="s">
        <v>81</v>
      </c>
      <c r="S1118" s="6" t="s">
        <v>10886</v>
      </c>
      <c r="T1118" s="16" t="n">
        <v>43696</v>
      </c>
      <c r="U1118" s="6" t="s">
        <v>13540</v>
      </c>
      <c r="V1118" s="6" t="s">
        <v>81</v>
      </c>
      <c r="W1118" s="6" t="s">
        <v>81</v>
      </c>
      <c r="X1118" s="6" t="s">
        <v>81</v>
      </c>
      <c r="Y1118" s="21" t="s">
        <v>81</v>
      </c>
      <c r="Z1118" s="6" t="s">
        <v>81</v>
      </c>
      <c r="AA1118" s="6" t="s">
        <v>81</v>
      </c>
      <c r="AB1118" s="6" t="s">
        <v>81</v>
      </c>
      <c r="AC1118" s="6" t="s">
        <v>81</v>
      </c>
      <c r="AD1118" s="21" t="s">
        <v>81</v>
      </c>
      <c r="AE1118" s="6" t="s">
        <v>81</v>
      </c>
      <c r="AF1118" s="6" t="s">
        <v>81</v>
      </c>
      <c r="AG1118" s="6" t="s">
        <v>81</v>
      </c>
      <c r="AH1118" s="6" t="s">
        <v>15689</v>
      </c>
      <c r="AI1118" s="6" t="s">
        <v>81</v>
      </c>
      <c r="AJ1118" s="6" t="s">
        <v>17379</v>
      </c>
      <c r="AK1118" s="6" t="s">
        <v>18381</v>
      </c>
      <c r="AL1118" s="6" t="s">
        <v>18444</v>
      </c>
      <c r="AM1118" s="6" t="s">
        <v>18532</v>
      </c>
      <c r="AN1118" s="6" t="s">
        <v>19663</v>
      </c>
      <c r="AO1118" s="6" t="s">
        <v>19763</v>
      </c>
      <c r="AP1118" s="6" t="s">
        <v>15689</v>
      </c>
      <c r="AQ1118" s="6" t="s">
        <v>81</v>
      </c>
      <c r="AR1118" s="6" t="s">
        <v>17379</v>
      </c>
      <c r="AS1118" s="6" t="s">
        <v>18381</v>
      </c>
      <c r="AT1118" s="6" t="s">
        <v>18444</v>
      </c>
      <c r="AU1118" s="6" t="s">
        <v>18532</v>
      </c>
      <c r="AV1118" s="6" t="s">
        <v>81</v>
      </c>
      <c r="AW1118" s="6" t="s">
        <v>81</v>
      </c>
      <c r="AX1118" s="6" t="s">
        <v>81</v>
      </c>
      <c r="AY1118" s="6" t="s">
        <v>81</v>
      </c>
      <c r="AZ1118" s="6" t="s">
        <v>81</v>
      </c>
      <c r="BA1118" s="6" t="s">
        <v>81</v>
      </c>
      <c r="BB1118" s="24" t="n">
        <v>221</v>
      </c>
      <c r="BC1118" s="26"/>
      <c r="BD1118" s="26"/>
      <c r="BE1118" s="26"/>
      <c r="BF1118" s="26"/>
      <c r="BG1118" s="26"/>
      <c r="BH1118" s="26"/>
      <c r="BI1118" s="26"/>
      <c r="BJ1118" s="26"/>
      <c r="BK1118" s="26"/>
      <c r="BL1118" s="26"/>
      <c r="BM1118" s="26"/>
      <c r="BN1118" s="26"/>
      <c r="BO1118" s="26"/>
      <c r="BP1118" s="16" t="n">
        <v>45611</v>
      </c>
      <c r="BQ1118" s="28" t="str">
        <f>HYPERLINK("https://organic.ams.usda.gov/Integrity/Certificate.aspx?cid=46&amp;nopid=3671800004")</f>
        <v>https://organic.ams.usda.gov/Integrity/Certificate.aspx?cid=46&amp;nopid=3671800004</v>
      </c>
    </row>
    <row r="1119">
      <c r="A1119" t="s">
        <v>3</v>
      </c>
      <c r="B1119" s="6" t="s">
        <v>17</v>
      </c>
      <c r="C1119" s="6" t="s">
        <v>64</v>
      </c>
      <c r="D1119" s="6" t="s">
        <v>110</v>
      </c>
      <c r="E1119" s="10" t="s">
        <v>1260</v>
      </c>
      <c r="F1119" s="6" t="s">
        <v>3988</v>
      </c>
      <c r="G1119" s="6" t="s">
        <v>81</v>
      </c>
      <c r="H1119" s="6" t="s">
        <v>6913</v>
      </c>
      <c r="I1119" s="6" t="s">
        <v>9022</v>
      </c>
      <c r="J1119" s="6" t="s">
        <v>9744</v>
      </c>
      <c r="K1119" s="6" t="s">
        <v>10886</v>
      </c>
      <c r="L1119" s="16" t="n">
        <v>41556</v>
      </c>
      <c r="M1119" s="16" t="n">
        <v>45762</v>
      </c>
      <c r="N1119" s="6" t="s">
        <v>10886</v>
      </c>
      <c r="O1119" s="16" t="n">
        <v>41556</v>
      </c>
      <c r="P1119" s="6" t="s">
        <v>11566</v>
      </c>
      <c r="Q1119" s="6" t="s">
        <v>81</v>
      </c>
      <c r="R1119" s="6" t="s">
        <v>6913</v>
      </c>
      <c r="S1119" s="6" t="s">
        <v>10886</v>
      </c>
      <c r="T1119" s="16" t="n">
        <v>41556</v>
      </c>
      <c r="U1119" s="6" t="s">
        <v>13550</v>
      </c>
      <c r="V1119" s="6" t="s">
        <v>81</v>
      </c>
      <c r="W1119" s="6" t="s">
        <v>6913</v>
      </c>
      <c r="X1119" s="6" t="s">
        <v>81</v>
      </c>
      <c r="Y1119" s="21" t="s">
        <v>81</v>
      </c>
      <c r="Z1119" s="6" t="s">
        <v>81</v>
      </c>
      <c r="AA1119" s="6" t="s">
        <v>81</v>
      </c>
      <c r="AB1119" s="6" t="s">
        <v>81</v>
      </c>
      <c r="AC1119" s="6" t="s">
        <v>81</v>
      </c>
      <c r="AD1119" s="21" t="s">
        <v>81</v>
      </c>
      <c r="AE1119" s="6" t="s">
        <v>81</v>
      </c>
      <c r="AF1119" s="6" t="s">
        <v>81</v>
      </c>
      <c r="AG1119" s="6" t="s">
        <v>81</v>
      </c>
      <c r="AH1119" s="6" t="s">
        <v>15690</v>
      </c>
      <c r="AI1119" s="6" t="s">
        <v>81</v>
      </c>
      <c r="AJ1119" s="6" t="s">
        <v>17426</v>
      </c>
      <c r="AK1119" s="6" t="s">
        <v>18384</v>
      </c>
      <c r="AL1119" s="6" t="s">
        <v>18444</v>
      </c>
      <c r="AM1119" s="6" t="s">
        <v>18583</v>
      </c>
      <c r="AN1119" s="6" t="s">
        <v>19690</v>
      </c>
      <c r="AO1119" s="6" t="s">
        <v>19852</v>
      </c>
      <c r="AP1119" s="6" t="s">
        <v>15690</v>
      </c>
      <c r="AQ1119" s="6" t="s">
        <v>81</v>
      </c>
      <c r="AR1119" s="6" t="s">
        <v>17426</v>
      </c>
      <c r="AS1119" s="6" t="s">
        <v>18384</v>
      </c>
      <c r="AT1119" s="6" t="s">
        <v>18444</v>
      </c>
      <c r="AU1119" s="6" t="s">
        <v>18583</v>
      </c>
      <c r="AV1119" s="6" t="s">
        <v>81</v>
      </c>
      <c r="AW1119" s="6" t="s">
        <v>81</v>
      </c>
      <c r="AX1119" s="6" t="s">
        <v>81</v>
      </c>
      <c r="AY1119" s="6" t="s">
        <v>81</v>
      </c>
      <c r="AZ1119" s="6" t="s">
        <v>81</v>
      </c>
      <c r="BA1119" s="6" t="s">
        <v>81</v>
      </c>
      <c r="BB1119" s="24" t="n">
        <v>89</v>
      </c>
      <c r="BC1119" s="26"/>
      <c r="BD1119" s="26"/>
      <c r="BE1119" s="26"/>
      <c r="BF1119" s="26" t="s">
        <v>23900</v>
      </c>
      <c r="BG1119" s="26"/>
      <c r="BH1119" s="26"/>
      <c r="BI1119" s="26"/>
      <c r="BJ1119" s="26"/>
      <c r="BK1119" s="26"/>
      <c r="BL1119" s="26"/>
      <c r="BM1119" s="26"/>
      <c r="BN1119" s="26"/>
      <c r="BO1119" s="26"/>
      <c r="BP1119" s="16" t="n">
        <v>45707</v>
      </c>
      <c r="BQ1119" s="28" t="str">
        <f>HYPERLINK("https://organic.ams.usda.gov/Integrity/Certificate.aspx?cid=36&amp;nopid=5400000684")</f>
        <v>https://organic.ams.usda.gov/Integrity/Certificate.aspx?cid=36&amp;nopid=5400000684</v>
      </c>
    </row>
    <row r="1120">
      <c r="A1120" t="s">
        <v>3</v>
      </c>
      <c r="B1120" s="6" t="s">
        <v>16</v>
      </c>
      <c r="C1120" s="6" t="s">
        <v>63</v>
      </c>
      <c r="D1120" s="6" t="s">
        <v>109</v>
      </c>
      <c r="E1120" s="10" t="s">
        <v>1261</v>
      </c>
      <c r="F1120" s="6" t="s">
        <v>3989</v>
      </c>
      <c r="G1120" s="6" t="s">
        <v>5692</v>
      </c>
      <c r="H1120" s="6" t="s">
        <v>6914</v>
      </c>
      <c r="I1120" s="6" t="s">
        <v>9023</v>
      </c>
      <c r="J1120" s="6" t="s">
        <v>10221</v>
      </c>
      <c r="K1120" s="6" t="s">
        <v>10886</v>
      </c>
      <c r="L1120" s="16" t="n">
        <v>39237</v>
      </c>
      <c r="M1120" s="16" t="n">
        <v>45731</v>
      </c>
      <c r="N1120" s="6" t="s">
        <v>10886</v>
      </c>
      <c r="O1120" s="16" t="n">
        <v>39237</v>
      </c>
      <c r="P1120" s="6" t="s">
        <v>11567</v>
      </c>
      <c r="Q1120" s="6" t="s">
        <v>81</v>
      </c>
      <c r="R1120" s="6" t="s">
        <v>81</v>
      </c>
      <c r="S1120" s="6" t="s">
        <v>10886</v>
      </c>
      <c r="T1120" s="16" t="n">
        <v>39237</v>
      </c>
      <c r="U1120" s="6" t="s">
        <v>13551</v>
      </c>
      <c r="V1120" s="6" t="s">
        <v>81</v>
      </c>
      <c r="W1120" s="6" t="s">
        <v>81</v>
      </c>
      <c r="X1120" s="6" t="s">
        <v>81</v>
      </c>
      <c r="Y1120" s="21" t="s">
        <v>81</v>
      </c>
      <c r="Z1120" s="6" t="s">
        <v>81</v>
      </c>
      <c r="AA1120" s="6" t="s">
        <v>81</v>
      </c>
      <c r="AB1120" s="6" t="s">
        <v>81</v>
      </c>
      <c r="AC1120" s="6" t="s">
        <v>10886</v>
      </c>
      <c r="AD1120" s="16" t="n">
        <v>39237</v>
      </c>
      <c r="AE1120" s="6" t="s">
        <v>81</v>
      </c>
      <c r="AF1120" s="6" t="s">
        <v>81</v>
      </c>
      <c r="AG1120" s="6" t="s">
        <v>81</v>
      </c>
      <c r="AH1120" s="6" t="s">
        <v>15691</v>
      </c>
      <c r="AI1120" s="6" t="s">
        <v>81</v>
      </c>
      <c r="AJ1120" s="6" t="s">
        <v>17898</v>
      </c>
      <c r="AK1120" s="6" t="s">
        <v>18383</v>
      </c>
      <c r="AL1120" s="6" t="s">
        <v>18444</v>
      </c>
      <c r="AM1120" s="6" t="s">
        <v>19086</v>
      </c>
      <c r="AN1120" s="6" t="s">
        <v>19653</v>
      </c>
      <c r="AO1120" s="6" t="s">
        <v>19928</v>
      </c>
      <c r="AP1120" s="6" t="s">
        <v>20256</v>
      </c>
      <c r="AQ1120" s="6" t="s">
        <v>81</v>
      </c>
      <c r="AR1120" s="6" t="s">
        <v>17898</v>
      </c>
      <c r="AS1120" s="6" t="s">
        <v>18383</v>
      </c>
      <c r="AT1120" s="6" t="s">
        <v>18444</v>
      </c>
      <c r="AU1120" s="6" t="s">
        <v>19086</v>
      </c>
      <c r="AV1120" s="6" t="s">
        <v>81</v>
      </c>
      <c r="AW1120" s="6" t="s">
        <v>81</v>
      </c>
      <c r="AX1120" s="6" t="s">
        <v>21450</v>
      </c>
      <c r="AY1120" s="6" t="s">
        <v>81</v>
      </c>
      <c r="AZ1120" s="6" t="s">
        <v>81</v>
      </c>
      <c r="BA1120" s="6" t="s">
        <v>81</v>
      </c>
      <c r="BB1120" s="24" t="n">
        <v>536</v>
      </c>
      <c r="BC1120" s="26"/>
      <c r="BD1120" s="26"/>
      <c r="BE1120" s="26"/>
      <c r="BF1120" s="26"/>
      <c r="BG1120" s="26"/>
      <c r="BH1120" s="26"/>
      <c r="BI1120" s="26"/>
      <c r="BJ1120" s="26"/>
      <c r="BK1120" s="26"/>
      <c r="BL1120" s="26"/>
      <c r="BM1120" s="26"/>
      <c r="BN1120" s="26"/>
      <c r="BO1120" s="26"/>
      <c r="BP1120" s="16" t="n">
        <v>45701</v>
      </c>
      <c r="BQ1120" s="28" t="str">
        <f>HYPERLINK("https://organic.ams.usda.gov/Integrity/Certificate.aspx?cid=81&amp;nopid=4210007076")</f>
        <v>https://organic.ams.usda.gov/Integrity/Certificate.aspx?cid=81&amp;nopid=4210007076</v>
      </c>
    </row>
    <row r="1121">
      <c r="A1121" t="s">
        <v>3</v>
      </c>
      <c r="B1121" s="6" t="s">
        <v>21</v>
      </c>
      <c r="C1121" s="6" t="s">
        <v>68</v>
      </c>
      <c r="D1121" s="6" t="s">
        <v>114</v>
      </c>
      <c r="E1121" s="10" t="s">
        <v>1262</v>
      </c>
      <c r="F1121" s="6" t="s">
        <v>3990</v>
      </c>
      <c r="G1121" s="6" t="s">
        <v>81</v>
      </c>
      <c r="H1121" s="6" t="s">
        <v>6915</v>
      </c>
      <c r="I1121" s="6" t="s">
        <v>9024</v>
      </c>
      <c r="J1121" s="6" t="s">
        <v>9749</v>
      </c>
      <c r="K1121" s="6" t="s">
        <v>10886</v>
      </c>
      <c r="L1121" s="16" t="n">
        <v>44515</v>
      </c>
      <c r="M1121" s="16" t="n">
        <v>46023</v>
      </c>
      <c r="N1121" s="6" t="s">
        <v>81</v>
      </c>
      <c r="O1121" s="21" t="s">
        <v>81</v>
      </c>
      <c r="P1121" s="6" t="s">
        <v>81</v>
      </c>
      <c r="Q1121" s="6" t="s">
        <v>81</v>
      </c>
      <c r="R1121" s="6" t="s">
        <v>81</v>
      </c>
      <c r="S1121" s="6" t="s">
        <v>81</v>
      </c>
      <c r="T1121" s="21" t="s">
        <v>81</v>
      </c>
      <c r="U1121" s="6" t="s">
        <v>81</v>
      </c>
      <c r="V1121" s="6" t="s">
        <v>81</v>
      </c>
      <c r="W1121" s="6" t="s">
        <v>81</v>
      </c>
      <c r="X1121" s="6" t="s">
        <v>81</v>
      </c>
      <c r="Y1121" s="21" t="s">
        <v>81</v>
      </c>
      <c r="Z1121" s="6" t="s">
        <v>81</v>
      </c>
      <c r="AA1121" s="6" t="s">
        <v>81</v>
      </c>
      <c r="AB1121" s="6" t="s">
        <v>81</v>
      </c>
      <c r="AC1121" s="6" t="s">
        <v>10886</v>
      </c>
      <c r="AD1121" s="16" t="n">
        <v>44515</v>
      </c>
      <c r="AE1121" s="6" t="s">
        <v>14231</v>
      </c>
      <c r="AF1121" s="6" t="s">
        <v>81</v>
      </c>
      <c r="AG1121" s="6" t="s">
        <v>81</v>
      </c>
      <c r="AH1121" s="6" t="s">
        <v>81</v>
      </c>
      <c r="AI1121" s="6" t="s">
        <v>81</v>
      </c>
      <c r="AJ1121" s="6" t="s">
        <v>81</v>
      </c>
      <c r="AK1121" s="6" t="s">
        <v>81</v>
      </c>
      <c r="AL1121" s="6" t="s">
        <v>81</v>
      </c>
      <c r="AM1121" s="6" t="s">
        <v>81</v>
      </c>
      <c r="AN1121" s="6" t="s">
        <v>81</v>
      </c>
      <c r="AO1121" s="6" t="s">
        <v>81</v>
      </c>
      <c r="AP1121" s="6" t="s">
        <v>20257</v>
      </c>
      <c r="AQ1121" s="6" t="s">
        <v>81</v>
      </c>
      <c r="AR1121" s="6" t="s">
        <v>17699</v>
      </c>
      <c r="AS1121" s="6" t="s">
        <v>18391</v>
      </c>
      <c r="AT1121" s="6" t="s">
        <v>18444</v>
      </c>
      <c r="AU1121" s="6" t="s">
        <v>20658</v>
      </c>
      <c r="AV1121" s="6" t="s">
        <v>19636</v>
      </c>
      <c r="AW1121" s="6" t="s">
        <v>20735</v>
      </c>
      <c r="AX1121" s="6" t="s">
        <v>21451</v>
      </c>
      <c r="AY1121" s="6" t="s">
        <v>22974</v>
      </c>
      <c r="AZ1121" s="6" t="s">
        <v>81</v>
      </c>
      <c r="BA1121" s="6" t="s">
        <v>81</v>
      </c>
      <c r="BB1121" s="6" t="s">
        <v>81</v>
      </c>
      <c r="BC1121" s="26"/>
      <c r="BD1121" s="26"/>
      <c r="BE1121" s="26"/>
      <c r="BF1121" s="26"/>
      <c r="BG1121" s="26"/>
      <c r="BH1121" s="26"/>
      <c r="BI1121" s="26"/>
      <c r="BJ1121" s="26"/>
      <c r="BK1121" s="26"/>
      <c r="BL1121" s="26"/>
      <c r="BM1121" s="26"/>
      <c r="BN1121" s="26"/>
      <c r="BO1121" s="26"/>
      <c r="BP1121" s="16" t="n">
        <v>45615</v>
      </c>
      <c r="BQ1121" s="28" t="str">
        <f>HYPERLINK("https://organic.ams.usda.gov/Integrity/Certificate.aspx?cid=62&amp;nopid=8150017899")</f>
        <v>https://organic.ams.usda.gov/Integrity/Certificate.aspx?cid=62&amp;nopid=8150017899</v>
      </c>
    </row>
    <row r="1122">
      <c r="A1122" t="s">
        <v>3</v>
      </c>
      <c r="B1122" s="6" t="s">
        <v>7</v>
      </c>
      <c r="C1122" s="6" t="s">
        <v>54</v>
      </c>
      <c r="D1122" s="6" t="s">
        <v>100</v>
      </c>
      <c r="E1122" s="10" t="s">
        <v>1263</v>
      </c>
      <c r="F1122" s="6" t="s">
        <v>3991</v>
      </c>
      <c r="G1122" s="6" t="s">
        <v>5693</v>
      </c>
      <c r="H1122" s="6" t="s">
        <v>6916</v>
      </c>
      <c r="I1122" s="6" t="s">
        <v>8511</v>
      </c>
      <c r="J1122" s="6" t="s">
        <v>10222</v>
      </c>
      <c r="K1122" s="6" t="s">
        <v>10886</v>
      </c>
      <c r="L1122" s="16" t="n">
        <v>39048</v>
      </c>
      <c r="M1122" s="16" t="n">
        <v>45716</v>
      </c>
      <c r="N1122" s="6" t="s">
        <v>10886</v>
      </c>
      <c r="O1122" s="16" t="n">
        <v>39048</v>
      </c>
      <c r="P1122" s="6" t="s">
        <v>11252</v>
      </c>
      <c r="Q1122" s="6" t="s">
        <v>81</v>
      </c>
      <c r="R1122" s="6" t="s">
        <v>81</v>
      </c>
      <c r="S1122" s="6" t="s">
        <v>10886</v>
      </c>
      <c r="T1122" s="16" t="n">
        <v>39234</v>
      </c>
      <c r="U1122" s="6" t="s">
        <v>13169</v>
      </c>
      <c r="V1122" s="6" t="s">
        <v>81</v>
      </c>
      <c r="W1122" s="6" t="s">
        <v>81</v>
      </c>
      <c r="X1122" s="6" t="s">
        <v>81</v>
      </c>
      <c r="Y1122" s="21" t="s">
        <v>81</v>
      </c>
      <c r="Z1122" s="6" t="s">
        <v>81</v>
      </c>
      <c r="AA1122" s="6" t="s">
        <v>81</v>
      </c>
      <c r="AB1122" s="6" t="s">
        <v>81</v>
      </c>
      <c r="AC1122" s="6" t="s">
        <v>81</v>
      </c>
      <c r="AD1122" s="21" t="s">
        <v>81</v>
      </c>
      <c r="AE1122" s="6" t="s">
        <v>81</v>
      </c>
      <c r="AF1122" s="6" t="s">
        <v>81</v>
      </c>
      <c r="AG1122" s="6" t="s">
        <v>81</v>
      </c>
      <c r="AH1122" s="6" t="s">
        <v>15692</v>
      </c>
      <c r="AI1122" s="6" t="s">
        <v>81</v>
      </c>
      <c r="AJ1122" s="6" t="s">
        <v>17899</v>
      </c>
      <c r="AK1122" s="6" t="s">
        <v>17712</v>
      </c>
      <c r="AL1122" s="6" t="s">
        <v>18444</v>
      </c>
      <c r="AM1122" s="6" t="s">
        <v>19087</v>
      </c>
      <c r="AN1122" s="6" t="s">
        <v>19652</v>
      </c>
      <c r="AO1122" s="6" t="s">
        <v>19742</v>
      </c>
      <c r="AP1122" s="6" t="s">
        <v>15692</v>
      </c>
      <c r="AQ1122" s="6" t="s">
        <v>81</v>
      </c>
      <c r="AR1122" s="6" t="s">
        <v>17899</v>
      </c>
      <c r="AS1122" s="6" t="s">
        <v>17712</v>
      </c>
      <c r="AT1122" s="6" t="s">
        <v>18444</v>
      </c>
      <c r="AU1122" s="6" t="s">
        <v>19087</v>
      </c>
      <c r="AV1122" s="6" t="s">
        <v>81</v>
      </c>
      <c r="AW1122" s="6" t="s">
        <v>81</v>
      </c>
      <c r="AX1122" s="6" t="s">
        <v>21452</v>
      </c>
      <c r="AY1122" s="6" t="s">
        <v>22975</v>
      </c>
      <c r="AZ1122" s="6" t="s">
        <v>81</v>
      </c>
      <c r="BA1122" s="6" t="s">
        <v>81</v>
      </c>
      <c r="BB1122" s="24" t="n">
        <v>415</v>
      </c>
      <c r="BC1122" s="26"/>
      <c r="BD1122" s="26"/>
      <c r="BE1122" s="26"/>
      <c r="BF1122" s="26"/>
      <c r="BG1122" s="26"/>
      <c r="BH1122" s="26"/>
      <c r="BI1122" s="26"/>
      <c r="BJ1122" s="26"/>
      <c r="BK1122" s="26"/>
      <c r="BL1122" s="26"/>
      <c r="BM1122" s="26"/>
      <c r="BN1122" s="26"/>
      <c r="BO1122" s="26"/>
      <c r="BP1122" s="16" t="n">
        <v>45595</v>
      </c>
      <c r="BQ1122" s="28" t="str">
        <f>HYPERLINK("https://organic.ams.usda.gov/Integrity/Certificate.aspx?cid=57&amp;nopid=3252006141")</f>
        <v>https://organic.ams.usda.gov/Integrity/Certificate.aspx?cid=57&amp;nopid=3252006141</v>
      </c>
    </row>
    <row r="1123">
      <c r="A1123" t="s">
        <v>3</v>
      </c>
      <c r="B1123" s="6" t="s">
        <v>34</v>
      </c>
      <c r="C1123" s="6" t="s">
        <v>81</v>
      </c>
      <c r="D1123" s="6" t="s">
        <v>81</v>
      </c>
      <c r="E1123" s="10" t="s">
        <v>1264</v>
      </c>
      <c r="F1123" s="6" t="s">
        <v>3992</v>
      </c>
      <c r="G1123" s="6" t="s">
        <v>5694</v>
      </c>
      <c r="H1123" s="6" t="s">
        <v>6917</v>
      </c>
      <c r="I1123" s="6" t="s">
        <v>8574</v>
      </c>
      <c r="J1123" s="6" t="s">
        <v>10223</v>
      </c>
      <c r="K1123" s="6" t="s">
        <v>10886</v>
      </c>
      <c r="L1123" s="16" t="n">
        <v>38828</v>
      </c>
      <c r="M1123" s="16" t="n">
        <v>45792</v>
      </c>
      <c r="N1123" s="6" t="s">
        <v>10886</v>
      </c>
      <c r="O1123" s="16" t="n">
        <v>38828</v>
      </c>
      <c r="P1123" s="6" t="s">
        <v>11128</v>
      </c>
      <c r="Q1123" s="6" t="s">
        <v>81</v>
      </c>
      <c r="R1123" s="6" t="s">
        <v>6917</v>
      </c>
      <c r="S1123" s="6" t="s">
        <v>10886</v>
      </c>
      <c r="T1123" s="16" t="n">
        <v>38828</v>
      </c>
      <c r="U1123" s="6" t="s">
        <v>13413</v>
      </c>
      <c r="V1123" s="6" t="s">
        <v>81</v>
      </c>
      <c r="W1123" s="6" t="s">
        <v>6917</v>
      </c>
      <c r="X1123" s="6" t="s">
        <v>81</v>
      </c>
      <c r="Y1123" s="21" t="s">
        <v>81</v>
      </c>
      <c r="Z1123" s="6" t="s">
        <v>81</v>
      </c>
      <c r="AA1123" s="6" t="s">
        <v>81</v>
      </c>
      <c r="AB1123" s="6" t="s">
        <v>81</v>
      </c>
      <c r="AC1123" s="6" t="s">
        <v>81</v>
      </c>
      <c r="AD1123" s="21" t="s">
        <v>81</v>
      </c>
      <c r="AE1123" s="6" t="s">
        <v>81</v>
      </c>
      <c r="AF1123" s="6" t="s">
        <v>81</v>
      </c>
      <c r="AG1123" s="6" t="s">
        <v>81</v>
      </c>
      <c r="AH1123" s="6" t="s">
        <v>15693</v>
      </c>
      <c r="AI1123" s="6" t="s">
        <v>81</v>
      </c>
      <c r="AJ1123" s="6" t="s">
        <v>17900</v>
      </c>
      <c r="AK1123" s="6" t="s">
        <v>18386</v>
      </c>
      <c r="AL1123" s="6" t="s">
        <v>18444</v>
      </c>
      <c r="AM1123" s="6" t="s">
        <v>19088</v>
      </c>
      <c r="AN1123" s="6" t="s">
        <v>81</v>
      </c>
      <c r="AO1123" s="6" t="s">
        <v>81</v>
      </c>
      <c r="AP1123" s="6" t="s">
        <v>81</v>
      </c>
      <c r="AQ1123" s="6" t="s">
        <v>81</v>
      </c>
      <c r="AR1123" s="6" t="s">
        <v>81</v>
      </c>
      <c r="AS1123" s="6" t="s">
        <v>81</v>
      </c>
      <c r="AT1123" s="6" t="s">
        <v>81</v>
      </c>
      <c r="AU1123" s="6" t="s">
        <v>81</v>
      </c>
      <c r="AV1123" s="6" t="s">
        <v>81</v>
      </c>
      <c r="AW1123" s="6" t="s">
        <v>81</v>
      </c>
      <c r="AX1123" s="6" t="s">
        <v>21453</v>
      </c>
      <c r="AY1123" s="6" t="s">
        <v>22976</v>
      </c>
      <c r="AZ1123" s="6" t="s">
        <v>81</v>
      </c>
      <c r="BA1123" s="6" t="s">
        <v>23833</v>
      </c>
      <c r="BB1123" s="24" t="n">
        <v>182</v>
      </c>
      <c r="BC1123" s="26"/>
      <c r="BD1123" s="26"/>
      <c r="BE1123" s="26"/>
      <c r="BF1123" s="26" t="s">
        <v>23900</v>
      </c>
      <c r="BG1123" s="26"/>
      <c r="BH1123" s="26"/>
      <c r="BI1123" s="26"/>
      <c r="BJ1123" s="26"/>
      <c r="BK1123" s="26"/>
      <c r="BL1123" s="26"/>
      <c r="BM1123" s="26"/>
      <c r="BN1123" s="26"/>
      <c r="BO1123" s="26"/>
      <c r="BP1123" s="16" t="n">
        <v>45629</v>
      </c>
      <c r="BQ1123" s="28" t="str">
        <f>HYPERLINK("")</f>
      </c>
    </row>
    <row r="1124">
      <c r="A1124" t="s">
        <v>3</v>
      </c>
      <c r="B1124" s="6" t="s">
        <v>7</v>
      </c>
      <c r="C1124" s="6" t="s">
        <v>54</v>
      </c>
      <c r="D1124" s="6" t="s">
        <v>100</v>
      </c>
      <c r="E1124" s="10" t="s">
        <v>1265</v>
      </c>
      <c r="F1124" s="6" t="s">
        <v>3993</v>
      </c>
      <c r="G1124" s="6" t="s">
        <v>81</v>
      </c>
      <c r="H1124" s="6" t="s">
        <v>6918</v>
      </c>
      <c r="I1124" s="6" t="s">
        <v>8910</v>
      </c>
      <c r="J1124" s="6" t="s">
        <v>10224</v>
      </c>
      <c r="K1124" s="6" t="s">
        <v>10886</v>
      </c>
      <c r="L1124" s="16" t="n">
        <v>39063</v>
      </c>
      <c r="M1124" s="16" t="n">
        <v>45716</v>
      </c>
      <c r="N1124" s="6" t="s">
        <v>10886</v>
      </c>
      <c r="O1124" s="16" t="n">
        <v>39063</v>
      </c>
      <c r="P1124" s="6" t="s">
        <v>11568</v>
      </c>
      <c r="Q1124" s="6" t="s">
        <v>81</v>
      </c>
      <c r="R1124" s="6" t="s">
        <v>81</v>
      </c>
      <c r="S1124" s="6" t="s">
        <v>10886</v>
      </c>
      <c r="T1124" s="16" t="n">
        <v>39063</v>
      </c>
      <c r="U1124" s="6" t="s">
        <v>13552</v>
      </c>
      <c r="V1124" s="6" t="s">
        <v>81</v>
      </c>
      <c r="W1124" s="6" t="s">
        <v>81</v>
      </c>
      <c r="X1124" s="6" t="s">
        <v>81</v>
      </c>
      <c r="Y1124" s="21" t="s">
        <v>81</v>
      </c>
      <c r="Z1124" s="6" t="s">
        <v>81</v>
      </c>
      <c r="AA1124" s="6" t="s">
        <v>81</v>
      </c>
      <c r="AB1124" s="6" t="s">
        <v>81</v>
      </c>
      <c r="AC1124" s="6" t="s">
        <v>81</v>
      </c>
      <c r="AD1124" s="21" t="s">
        <v>81</v>
      </c>
      <c r="AE1124" s="6" t="s">
        <v>81</v>
      </c>
      <c r="AF1124" s="6" t="s">
        <v>81</v>
      </c>
      <c r="AG1124" s="6" t="s">
        <v>81</v>
      </c>
      <c r="AH1124" s="6" t="s">
        <v>15694</v>
      </c>
      <c r="AI1124" s="6" t="s">
        <v>81</v>
      </c>
      <c r="AJ1124" s="6" t="s">
        <v>17341</v>
      </c>
      <c r="AK1124" s="6" t="s">
        <v>17712</v>
      </c>
      <c r="AL1124" s="6" t="s">
        <v>18444</v>
      </c>
      <c r="AM1124" s="6" t="s">
        <v>18495</v>
      </c>
      <c r="AN1124" s="6" t="s">
        <v>19649</v>
      </c>
      <c r="AO1124" s="6" t="s">
        <v>19738</v>
      </c>
      <c r="AP1124" s="6" t="s">
        <v>15694</v>
      </c>
      <c r="AQ1124" s="6" t="s">
        <v>81</v>
      </c>
      <c r="AR1124" s="6" t="s">
        <v>17341</v>
      </c>
      <c r="AS1124" s="6" t="s">
        <v>17712</v>
      </c>
      <c r="AT1124" s="6" t="s">
        <v>18444</v>
      </c>
      <c r="AU1124" s="6" t="s">
        <v>18495</v>
      </c>
      <c r="AV1124" s="6" t="s">
        <v>81</v>
      </c>
      <c r="AW1124" s="6" t="s">
        <v>81</v>
      </c>
      <c r="AX1124" s="6" t="s">
        <v>21454</v>
      </c>
      <c r="AY1124" s="6" t="s">
        <v>81</v>
      </c>
      <c r="AZ1124" s="6" t="s">
        <v>81</v>
      </c>
      <c r="BA1124" s="6" t="s">
        <v>81</v>
      </c>
      <c r="BB1124" s="24" t="n">
        <v>446</v>
      </c>
      <c r="BC1124" s="26"/>
      <c r="BD1124" s="26"/>
      <c r="BE1124" s="26"/>
      <c r="BF1124" s="26" t="s">
        <v>23900</v>
      </c>
      <c r="BG1124" s="26"/>
      <c r="BH1124" s="26"/>
      <c r="BI1124" s="26"/>
      <c r="BJ1124" s="26"/>
      <c r="BK1124" s="26"/>
      <c r="BL1124" s="26"/>
      <c r="BM1124" s="26"/>
      <c r="BN1124" s="26"/>
      <c r="BO1124" s="26"/>
      <c r="BP1124" s="16" t="n">
        <v>45595</v>
      </c>
      <c r="BQ1124" s="28" t="str">
        <f>HYPERLINK("https://organic.ams.usda.gov/Integrity/Certificate.aspx?cid=57&amp;nopid=3252006163")</f>
        <v>https://organic.ams.usda.gov/Integrity/Certificate.aspx?cid=57&amp;nopid=3252006163</v>
      </c>
    </row>
    <row r="1125">
      <c r="A1125" t="s">
        <v>3</v>
      </c>
      <c r="B1125" s="6" t="s">
        <v>25</v>
      </c>
      <c r="C1125" s="6" t="s">
        <v>72</v>
      </c>
      <c r="D1125" s="6" t="s">
        <v>118</v>
      </c>
      <c r="E1125" s="10" t="s">
        <v>1266</v>
      </c>
      <c r="F1125" s="6" t="s">
        <v>3994</v>
      </c>
      <c r="G1125" s="6" t="s">
        <v>5695</v>
      </c>
      <c r="H1125" s="6" t="s">
        <v>6919</v>
      </c>
      <c r="I1125" s="6" t="s">
        <v>9025</v>
      </c>
      <c r="J1125" s="6" t="s">
        <v>10225</v>
      </c>
      <c r="K1125" s="6" t="s">
        <v>10886</v>
      </c>
      <c r="L1125" s="16" t="n">
        <v>43553</v>
      </c>
      <c r="M1125" s="16" t="n">
        <v>46023</v>
      </c>
      <c r="N1125" s="6" t="s">
        <v>81</v>
      </c>
      <c r="O1125" s="21" t="s">
        <v>81</v>
      </c>
      <c r="P1125" s="6" t="s">
        <v>81</v>
      </c>
      <c r="Q1125" s="6" t="s">
        <v>81</v>
      </c>
      <c r="R1125" s="6" t="s">
        <v>81</v>
      </c>
      <c r="S1125" s="6" t="s">
        <v>81</v>
      </c>
      <c r="T1125" s="21" t="s">
        <v>81</v>
      </c>
      <c r="U1125" s="6" t="s">
        <v>81</v>
      </c>
      <c r="V1125" s="6" t="s">
        <v>81</v>
      </c>
      <c r="W1125" s="6" t="s">
        <v>81</v>
      </c>
      <c r="X1125" s="6" t="s">
        <v>81</v>
      </c>
      <c r="Y1125" s="21" t="s">
        <v>81</v>
      </c>
      <c r="Z1125" s="6" t="s">
        <v>81</v>
      </c>
      <c r="AA1125" s="6" t="s">
        <v>81</v>
      </c>
      <c r="AB1125" s="6" t="s">
        <v>81</v>
      </c>
      <c r="AC1125" s="6" t="s">
        <v>10886</v>
      </c>
      <c r="AD1125" s="16" t="n">
        <v>43553</v>
      </c>
      <c r="AE1125" s="6" t="s">
        <v>14232</v>
      </c>
      <c r="AF1125" s="6" t="s">
        <v>81</v>
      </c>
      <c r="AG1125" s="6" t="s">
        <v>81</v>
      </c>
      <c r="AH1125" s="6" t="s">
        <v>15695</v>
      </c>
      <c r="AI1125" s="6" t="s">
        <v>81</v>
      </c>
      <c r="AJ1125" s="6" t="s">
        <v>17901</v>
      </c>
      <c r="AK1125" s="6" t="s">
        <v>18386</v>
      </c>
      <c r="AL1125" s="6" t="s">
        <v>18444</v>
      </c>
      <c r="AM1125" s="6" t="s">
        <v>19089</v>
      </c>
      <c r="AN1125" s="6" t="s">
        <v>19651</v>
      </c>
      <c r="AO1125" s="6" t="s">
        <v>19864</v>
      </c>
      <c r="AP1125" s="6" t="s">
        <v>15695</v>
      </c>
      <c r="AQ1125" s="6" t="s">
        <v>81</v>
      </c>
      <c r="AR1125" s="6" t="s">
        <v>17901</v>
      </c>
      <c r="AS1125" s="6" t="s">
        <v>18386</v>
      </c>
      <c r="AT1125" s="6" t="s">
        <v>18444</v>
      </c>
      <c r="AU1125" s="6" t="s">
        <v>19089</v>
      </c>
      <c r="AV1125" s="6" t="s">
        <v>81</v>
      </c>
      <c r="AW1125" s="6" t="s">
        <v>81</v>
      </c>
      <c r="AX1125" s="6" t="s">
        <v>21455</v>
      </c>
      <c r="AY1125" s="6" t="s">
        <v>22977</v>
      </c>
      <c r="AZ1125" s="6" t="s">
        <v>23685</v>
      </c>
      <c r="BA1125" s="6" t="s">
        <v>23827</v>
      </c>
      <c r="BB1125" s="6" t="s">
        <v>81</v>
      </c>
      <c r="BC1125" s="26"/>
      <c r="BD1125" s="26"/>
      <c r="BE1125" s="26"/>
      <c r="BF1125" s="26"/>
      <c r="BG1125" s="26"/>
      <c r="BH1125" s="26"/>
      <c r="BI1125" s="26"/>
      <c r="BJ1125" s="26"/>
      <c r="BK1125" s="26"/>
      <c r="BL1125" s="26"/>
      <c r="BM1125" s="26"/>
      <c r="BN1125" s="26"/>
      <c r="BO1125" s="26"/>
      <c r="BP1125" s="16" t="n">
        <v>45730</v>
      </c>
      <c r="BQ1125" s="28" t="str">
        <f>HYPERLINK("https://organic.ams.usda.gov/Integrity/Certificate.aspx?cid=15&amp;nopid=5561005389")</f>
        <v>https://organic.ams.usda.gov/Integrity/Certificate.aspx?cid=15&amp;nopid=5561005389</v>
      </c>
    </row>
    <row r="1126">
      <c r="A1126" t="s">
        <v>3</v>
      </c>
      <c r="B1126" s="6" t="s">
        <v>25</v>
      </c>
      <c r="C1126" s="6" t="s">
        <v>72</v>
      </c>
      <c r="D1126" s="6" t="s">
        <v>118</v>
      </c>
      <c r="E1126" s="10" t="s">
        <v>1267</v>
      </c>
      <c r="F1126" s="6" t="s">
        <v>3995</v>
      </c>
      <c r="G1126" s="6" t="s">
        <v>5696</v>
      </c>
      <c r="H1126" s="6" t="s">
        <v>6920</v>
      </c>
      <c r="I1126" s="6" t="s">
        <v>8621</v>
      </c>
      <c r="J1126" s="6" t="s">
        <v>10226</v>
      </c>
      <c r="K1126" s="6" t="s">
        <v>10886</v>
      </c>
      <c r="L1126" s="16" t="n">
        <v>45400</v>
      </c>
      <c r="M1126" s="16" t="n">
        <v>46023</v>
      </c>
      <c r="N1126" s="6" t="s">
        <v>81</v>
      </c>
      <c r="O1126" s="21" t="s">
        <v>81</v>
      </c>
      <c r="P1126" s="6" t="s">
        <v>81</v>
      </c>
      <c r="Q1126" s="6" t="s">
        <v>81</v>
      </c>
      <c r="R1126" s="6" t="s">
        <v>81</v>
      </c>
      <c r="S1126" s="6" t="s">
        <v>81</v>
      </c>
      <c r="T1126" s="21" t="s">
        <v>81</v>
      </c>
      <c r="U1126" s="6" t="s">
        <v>81</v>
      </c>
      <c r="V1126" s="6" t="s">
        <v>81</v>
      </c>
      <c r="W1126" s="6" t="s">
        <v>81</v>
      </c>
      <c r="X1126" s="6" t="s">
        <v>81</v>
      </c>
      <c r="Y1126" s="21" t="s">
        <v>81</v>
      </c>
      <c r="Z1126" s="6" t="s">
        <v>81</v>
      </c>
      <c r="AA1126" s="6" t="s">
        <v>81</v>
      </c>
      <c r="AB1126" s="6" t="s">
        <v>81</v>
      </c>
      <c r="AC1126" s="6" t="s">
        <v>10886</v>
      </c>
      <c r="AD1126" s="16" t="n">
        <v>45400</v>
      </c>
      <c r="AE1126" s="6" t="s">
        <v>14233</v>
      </c>
      <c r="AF1126" s="6" t="s">
        <v>81</v>
      </c>
      <c r="AG1126" s="6" t="s">
        <v>81</v>
      </c>
      <c r="AH1126" s="6" t="s">
        <v>15696</v>
      </c>
      <c r="AI1126" s="6" t="s">
        <v>17289</v>
      </c>
      <c r="AJ1126" s="6" t="s">
        <v>17902</v>
      </c>
      <c r="AK1126" s="6" t="s">
        <v>18382</v>
      </c>
      <c r="AL1126" s="6" t="s">
        <v>18444</v>
      </c>
      <c r="AM1126" s="6" t="s">
        <v>19090</v>
      </c>
      <c r="AN1126" s="6" t="s">
        <v>81</v>
      </c>
      <c r="AO1126" s="6" t="s">
        <v>81</v>
      </c>
      <c r="AP1126" s="6" t="s">
        <v>15696</v>
      </c>
      <c r="AQ1126" s="6" t="s">
        <v>17289</v>
      </c>
      <c r="AR1126" s="6" t="s">
        <v>17902</v>
      </c>
      <c r="AS1126" s="6" t="s">
        <v>18382</v>
      </c>
      <c r="AT1126" s="6" t="s">
        <v>18444</v>
      </c>
      <c r="AU1126" s="6" t="s">
        <v>19090</v>
      </c>
      <c r="AV1126" s="6" t="s">
        <v>81</v>
      </c>
      <c r="AW1126" s="6" t="s">
        <v>81</v>
      </c>
      <c r="AX1126" s="6" t="s">
        <v>21456</v>
      </c>
      <c r="AY1126" s="6" t="s">
        <v>22978</v>
      </c>
      <c r="AZ1126" s="6" t="s">
        <v>23686</v>
      </c>
      <c r="BA1126" s="6" t="s">
        <v>23827</v>
      </c>
      <c r="BB1126" s="6" t="s">
        <v>81</v>
      </c>
      <c r="BC1126" s="26"/>
      <c r="BD1126" s="26"/>
      <c r="BE1126" s="26"/>
      <c r="BF1126" s="26"/>
      <c r="BG1126" s="26"/>
      <c r="BH1126" s="26"/>
      <c r="BI1126" s="26"/>
      <c r="BJ1126" s="26"/>
      <c r="BK1126" s="26"/>
      <c r="BL1126" s="26"/>
      <c r="BM1126" s="26"/>
      <c r="BN1126" s="26"/>
      <c r="BO1126" s="26"/>
      <c r="BP1126" s="16" t="n">
        <v>45700</v>
      </c>
      <c r="BQ1126" s="28" t="str">
        <f>HYPERLINK("https://organic.ams.usda.gov/Integrity/Certificate.aspx?cid=15&amp;nopid=5561008178")</f>
        <v>https://organic.ams.usda.gov/Integrity/Certificate.aspx?cid=15&amp;nopid=5561008178</v>
      </c>
    </row>
    <row r="1127">
      <c r="A1127" t="s">
        <v>3</v>
      </c>
      <c r="B1127" s="6" t="s">
        <v>7</v>
      </c>
      <c r="C1127" s="6" t="s">
        <v>54</v>
      </c>
      <c r="D1127" s="6" t="s">
        <v>100</v>
      </c>
      <c r="E1127" s="10" t="s">
        <v>1268</v>
      </c>
      <c r="F1127" s="6" t="s">
        <v>3996</v>
      </c>
      <c r="G1127" s="6" t="s">
        <v>81</v>
      </c>
      <c r="H1127" s="6" t="s">
        <v>6921</v>
      </c>
      <c r="I1127" s="6" t="s">
        <v>9026</v>
      </c>
      <c r="J1127" s="6" t="s">
        <v>10227</v>
      </c>
      <c r="K1127" s="6" t="s">
        <v>10886</v>
      </c>
      <c r="L1127" s="16" t="n">
        <v>41836</v>
      </c>
      <c r="M1127" s="16" t="n">
        <v>45350</v>
      </c>
      <c r="N1127" s="6" t="s">
        <v>10886</v>
      </c>
      <c r="O1127" s="16" t="n">
        <v>41836</v>
      </c>
      <c r="P1127" s="6" t="s">
        <v>11532</v>
      </c>
      <c r="Q1127" s="6" t="s">
        <v>81</v>
      </c>
      <c r="R1127" s="6" t="s">
        <v>81</v>
      </c>
      <c r="S1127" s="6" t="s">
        <v>10886</v>
      </c>
      <c r="T1127" s="16" t="n">
        <v>42339</v>
      </c>
      <c r="U1127" s="6" t="s">
        <v>13169</v>
      </c>
      <c r="V1127" s="6" t="s">
        <v>81</v>
      </c>
      <c r="W1127" s="6" t="s">
        <v>81</v>
      </c>
      <c r="X1127" s="6" t="s">
        <v>81</v>
      </c>
      <c r="Y1127" s="21" t="s">
        <v>81</v>
      </c>
      <c r="Z1127" s="6" t="s">
        <v>81</v>
      </c>
      <c r="AA1127" s="6" t="s">
        <v>81</v>
      </c>
      <c r="AB1127" s="6" t="s">
        <v>81</v>
      </c>
      <c r="AC1127" s="6" t="s">
        <v>81</v>
      </c>
      <c r="AD1127" s="21" t="s">
        <v>81</v>
      </c>
      <c r="AE1127" s="6" t="s">
        <v>81</v>
      </c>
      <c r="AF1127" s="6" t="s">
        <v>81</v>
      </c>
      <c r="AG1127" s="6" t="s">
        <v>81</v>
      </c>
      <c r="AH1127" s="6" t="s">
        <v>15697</v>
      </c>
      <c r="AI1127" s="6" t="s">
        <v>81</v>
      </c>
      <c r="AJ1127" s="6" t="s">
        <v>17648</v>
      </c>
      <c r="AK1127" s="6" t="s">
        <v>17712</v>
      </c>
      <c r="AL1127" s="6" t="s">
        <v>18444</v>
      </c>
      <c r="AM1127" s="6" t="s">
        <v>18817</v>
      </c>
      <c r="AN1127" s="6" t="s">
        <v>19670</v>
      </c>
      <c r="AO1127" s="6" t="s">
        <v>19782</v>
      </c>
      <c r="AP1127" s="6" t="s">
        <v>20258</v>
      </c>
      <c r="AQ1127" s="6" t="s">
        <v>81</v>
      </c>
      <c r="AR1127" s="6" t="s">
        <v>17648</v>
      </c>
      <c r="AS1127" s="6" t="s">
        <v>17712</v>
      </c>
      <c r="AT1127" s="6" t="s">
        <v>18444</v>
      </c>
      <c r="AU1127" s="6" t="s">
        <v>18817</v>
      </c>
      <c r="AV1127" s="6" t="s">
        <v>81</v>
      </c>
      <c r="AW1127" s="6" t="s">
        <v>81</v>
      </c>
      <c r="AX1127" s="6" t="s">
        <v>21457</v>
      </c>
      <c r="AY1127" s="6" t="s">
        <v>22979</v>
      </c>
      <c r="AZ1127" s="6" t="s">
        <v>81</v>
      </c>
      <c r="BA1127" s="6" t="s">
        <v>81</v>
      </c>
      <c r="BB1127" s="24" t="n">
        <v>375</v>
      </c>
      <c r="BC1127" s="26"/>
      <c r="BD1127" s="26"/>
      <c r="BE1127" s="26"/>
      <c r="BF1127" s="26" t="s">
        <v>23900</v>
      </c>
      <c r="BG1127" s="26"/>
      <c r="BH1127" s="26"/>
      <c r="BI1127" s="26"/>
      <c r="BJ1127" s="26"/>
      <c r="BK1127" s="26"/>
      <c r="BL1127" s="26"/>
      <c r="BM1127" s="26"/>
      <c r="BN1127" s="26"/>
      <c r="BO1127" s="26"/>
      <c r="BP1127" s="16" t="n">
        <v>45474</v>
      </c>
      <c r="BQ1127" s="28" t="str">
        <f>HYPERLINK("https://organic.ams.usda.gov/Integrity/Certificate.aspx?cid=57&amp;nopid=3252014044")</f>
        <v>https://organic.ams.usda.gov/Integrity/Certificate.aspx?cid=57&amp;nopid=3252014044</v>
      </c>
    </row>
    <row r="1128">
      <c r="A1128" t="s">
        <v>3</v>
      </c>
      <c r="B1128" s="6" t="s">
        <v>17</v>
      </c>
      <c r="C1128" s="6" t="s">
        <v>64</v>
      </c>
      <c r="D1128" s="6" t="s">
        <v>110</v>
      </c>
      <c r="E1128" s="10" t="s">
        <v>1269</v>
      </c>
      <c r="F1128" s="6" t="s">
        <v>3997</v>
      </c>
      <c r="G1128" s="6" t="s">
        <v>81</v>
      </c>
      <c r="H1128" s="6" t="s">
        <v>6922</v>
      </c>
      <c r="I1128" s="6" t="s">
        <v>9027</v>
      </c>
      <c r="J1128" s="6" t="s">
        <v>10228</v>
      </c>
      <c r="K1128" s="6" t="s">
        <v>10886</v>
      </c>
      <c r="L1128" s="16" t="n">
        <v>38266</v>
      </c>
      <c r="M1128" s="16" t="n">
        <v>46068</v>
      </c>
      <c r="N1128" s="6" t="s">
        <v>81</v>
      </c>
      <c r="O1128" s="21" t="s">
        <v>81</v>
      </c>
      <c r="P1128" s="6" t="s">
        <v>81</v>
      </c>
      <c r="Q1128" s="6" t="s">
        <v>81</v>
      </c>
      <c r="R1128" s="6" t="s">
        <v>81</v>
      </c>
      <c r="S1128" s="6" t="s">
        <v>81</v>
      </c>
      <c r="T1128" s="21" t="s">
        <v>81</v>
      </c>
      <c r="U1128" s="6" t="s">
        <v>81</v>
      </c>
      <c r="V1128" s="6" t="s">
        <v>81</v>
      </c>
      <c r="W1128" s="6" t="s">
        <v>81</v>
      </c>
      <c r="X1128" s="6" t="s">
        <v>81</v>
      </c>
      <c r="Y1128" s="21" t="s">
        <v>81</v>
      </c>
      <c r="Z1128" s="6" t="s">
        <v>81</v>
      </c>
      <c r="AA1128" s="6" t="s">
        <v>81</v>
      </c>
      <c r="AB1128" s="6" t="s">
        <v>81</v>
      </c>
      <c r="AC1128" s="6" t="s">
        <v>10886</v>
      </c>
      <c r="AD1128" s="16" t="n">
        <v>38266</v>
      </c>
      <c r="AE1128" s="6" t="s">
        <v>14234</v>
      </c>
      <c r="AF1128" s="6" t="s">
        <v>81</v>
      </c>
      <c r="AG1128" s="6" t="s">
        <v>6922</v>
      </c>
      <c r="AH1128" s="6" t="s">
        <v>15698</v>
      </c>
      <c r="AI1128" s="6" t="s">
        <v>81</v>
      </c>
      <c r="AJ1128" s="6" t="s">
        <v>17903</v>
      </c>
      <c r="AK1128" s="6" t="s">
        <v>18381</v>
      </c>
      <c r="AL1128" s="6" t="s">
        <v>18444</v>
      </c>
      <c r="AM1128" s="6" t="s">
        <v>19091</v>
      </c>
      <c r="AN1128" s="6" t="s">
        <v>19669</v>
      </c>
      <c r="AO1128" s="6" t="s">
        <v>19972</v>
      </c>
      <c r="AP1128" s="6" t="s">
        <v>81</v>
      </c>
      <c r="AQ1128" s="6" t="s">
        <v>81</v>
      </c>
      <c r="AR1128" s="6" t="s">
        <v>81</v>
      </c>
      <c r="AS1128" s="6" t="s">
        <v>81</v>
      </c>
      <c r="AT1128" s="6" t="s">
        <v>81</v>
      </c>
      <c r="AU1128" s="6" t="s">
        <v>81</v>
      </c>
      <c r="AV1128" s="6" t="s">
        <v>81</v>
      </c>
      <c r="AW1128" s="6" t="s">
        <v>81</v>
      </c>
      <c r="AX1128" s="6" t="s">
        <v>21458</v>
      </c>
      <c r="AY1128" s="6" t="s">
        <v>22980</v>
      </c>
      <c r="AZ1128" s="6" t="s">
        <v>81</v>
      </c>
      <c r="BA1128" s="6" t="s">
        <v>81</v>
      </c>
      <c r="BB1128" s="6" t="s">
        <v>81</v>
      </c>
      <c r="BC1128" s="26"/>
      <c r="BD1128" s="26"/>
      <c r="BE1128" s="26"/>
      <c r="BF1128" s="26"/>
      <c r="BG1128" s="26"/>
      <c r="BH1128" s="26"/>
      <c r="BI1128" s="26"/>
      <c r="BJ1128" s="26"/>
      <c r="BK1128" s="26"/>
      <c r="BL1128" s="26"/>
      <c r="BM1128" s="26"/>
      <c r="BN1128" s="26"/>
      <c r="BO1128" s="26"/>
      <c r="BP1128" s="16" t="n">
        <v>45707</v>
      </c>
      <c r="BQ1128" s="28" t="str">
        <f>HYPERLINK("https://organic.ams.usda.gov/Integrity/Certificate.aspx?cid=36&amp;nopid=5400000242")</f>
        <v>https://organic.ams.usda.gov/Integrity/Certificate.aspx?cid=36&amp;nopid=5400000242</v>
      </c>
    </row>
    <row r="1129">
      <c r="A1129" t="s">
        <v>3</v>
      </c>
      <c r="B1129" s="6" t="s">
        <v>8</v>
      </c>
      <c r="C1129" s="6" t="s">
        <v>55</v>
      </c>
      <c r="D1129" s="6" t="s">
        <v>101</v>
      </c>
      <c r="E1129" s="10" t="s">
        <v>1270</v>
      </c>
      <c r="F1129" s="6" t="s">
        <v>3998</v>
      </c>
      <c r="G1129" s="6" t="s">
        <v>81</v>
      </c>
      <c r="H1129" s="6" t="s">
        <v>6923</v>
      </c>
      <c r="I1129" s="6" t="s">
        <v>8511</v>
      </c>
      <c r="J1129" s="6" t="s">
        <v>10229</v>
      </c>
      <c r="K1129" s="6" t="s">
        <v>10886</v>
      </c>
      <c r="L1129" s="16" t="n">
        <v>40107</v>
      </c>
      <c r="M1129" s="16" t="n">
        <v>45748</v>
      </c>
      <c r="N1129" s="6" t="s">
        <v>10886</v>
      </c>
      <c r="O1129" s="16" t="n">
        <v>40107</v>
      </c>
      <c r="P1129" s="6" t="s">
        <v>11569</v>
      </c>
      <c r="Q1129" s="6" t="s">
        <v>81</v>
      </c>
      <c r="R1129" s="6" t="s">
        <v>6923</v>
      </c>
      <c r="S1129" s="6" t="s">
        <v>10886</v>
      </c>
      <c r="T1129" s="16" t="n">
        <v>40107</v>
      </c>
      <c r="U1129" s="6" t="s">
        <v>13221</v>
      </c>
      <c r="V1129" s="6" t="s">
        <v>81</v>
      </c>
      <c r="W1129" s="6" t="s">
        <v>6923</v>
      </c>
      <c r="X1129" s="6" t="s">
        <v>81</v>
      </c>
      <c r="Y1129" s="21" t="s">
        <v>81</v>
      </c>
      <c r="Z1129" s="6" t="s">
        <v>81</v>
      </c>
      <c r="AA1129" s="6" t="s">
        <v>81</v>
      </c>
      <c r="AB1129" s="6" t="s">
        <v>81</v>
      </c>
      <c r="AC1129" s="6" t="s">
        <v>81</v>
      </c>
      <c r="AD1129" s="21" t="s">
        <v>81</v>
      </c>
      <c r="AE1129" s="6" t="s">
        <v>81</v>
      </c>
      <c r="AF1129" s="6" t="s">
        <v>81</v>
      </c>
      <c r="AG1129" s="6" t="s">
        <v>81</v>
      </c>
      <c r="AH1129" s="6" t="s">
        <v>15699</v>
      </c>
      <c r="AI1129" s="6" t="s">
        <v>81</v>
      </c>
      <c r="AJ1129" s="6" t="s">
        <v>9032</v>
      </c>
      <c r="AK1129" s="6" t="s">
        <v>18377</v>
      </c>
      <c r="AL1129" s="6" t="s">
        <v>18444</v>
      </c>
      <c r="AM1129" s="6" t="s">
        <v>18909</v>
      </c>
      <c r="AN1129" s="6" t="s">
        <v>19652</v>
      </c>
      <c r="AO1129" s="6" t="s">
        <v>19772</v>
      </c>
      <c r="AP1129" s="6" t="s">
        <v>81</v>
      </c>
      <c r="AQ1129" s="6" t="s">
        <v>81</v>
      </c>
      <c r="AR1129" s="6" t="s">
        <v>81</v>
      </c>
      <c r="AS1129" s="6" t="s">
        <v>81</v>
      </c>
      <c r="AT1129" s="6" t="s">
        <v>81</v>
      </c>
      <c r="AU1129" s="6" t="s">
        <v>81</v>
      </c>
      <c r="AV1129" s="6" t="s">
        <v>81</v>
      </c>
      <c r="AW1129" s="6" t="s">
        <v>81</v>
      </c>
      <c r="AX1129" s="6" t="s">
        <v>81</v>
      </c>
      <c r="AY1129" s="6" t="s">
        <v>81</v>
      </c>
      <c r="AZ1129" s="6" t="s">
        <v>81</v>
      </c>
      <c r="BA1129" s="6" t="s">
        <v>23824</v>
      </c>
      <c r="BB1129" s="24" t="n">
        <v>1097</v>
      </c>
      <c r="BC1129" s="26"/>
      <c r="BD1129" s="26"/>
      <c r="BE1129" s="26"/>
      <c r="BF1129" s="26" t="s">
        <v>23900</v>
      </c>
      <c r="BG1129" s="26"/>
      <c r="BH1129" s="26"/>
      <c r="BI1129" s="26"/>
      <c r="BJ1129" s="26"/>
      <c r="BK1129" s="26"/>
      <c r="BL1129" s="26"/>
      <c r="BM1129" s="26"/>
      <c r="BN1129" s="26"/>
      <c r="BO1129" s="26"/>
      <c r="BP1129" s="16" t="n">
        <v>45660</v>
      </c>
      <c r="BQ1129" s="28" t="str">
        <f>HYPERLINK("https://organic.ams.usda.gov/Integrity/Certificate.aspx?cid=45&amp;nopid=9950003636")</f>
        <v>https://organic.ams.usda.gov/Integrity/Certificate.aspx?cid=45&amp;nopid=9950003636</v>
      </c>
    </row>
    <row r="1130">
      <c r="A1130" t="s">
        <v>3</v>
      </c>
      <c r="B1130" s="6" t="s">
        <v>19</v>
      </c>
      <c r="C1130" s="6" t="s">
        <v>66</v>
      </c>
      <c r="D1130" s="6" t="s">
        <v>112</v>
      </c>
      <c r="E1130" s="10" t="s">
        <v>1271</v>
      </c>
      <c r="F1130" s="6" t="s">
        <v>3999</v>
      </c>
      <c r="G1130" s="6" t="s">
        <v>81</v>
      </c>
      <c r="H1130" s="6" t="s">
        <v>6924</v>
      </c>
      <c r="I1130" s="6" t="s">
        <v>81</v>
      </c>
      <c r="J1130" s="6" t="s">
        <v>10230</v>
      </c>
      <c r="K1130" s="6" t="s">
        <v>10886</v>
      </c>
      <c r="L1130" s="16" t="n">
        <v>45593</v>
      </c>
      <c r="M1130" s="16" t="n">
        <v>46054</v>
      </c>
      <c r="N1130" s="6" t="s">
        <v>81</v>
      </c>
      <c r="O1130" s="21" t="s">
        <v>81</v>
      </c>
      <c r="P1130" s="6" t="s">
        <v>81</v>
      </c>
      <c r="Q1130" s="6" t="s">
        <v>81</v>
      </c>
      <c r="R1130" s="6" t="s">
        <v>81</v>
      </c>
      <c r="S1130" s="6" t="s">
        <v>81</v>
      </c>
      <c r="T1130" s="21" t="s">
        <v>81</v>
      </c>
      <c r="U1130" s="6" t="s">
        <v>81</v>
      </c>
      <c r="V1130" s="6" t="s">
        <v>81</v>
      </c>
      <c r="W1130" s="6" t="s">
        <v>81</v>
      </c>
      <c r="X1130" s="6" t="s">
        <v>81</v>
      </c>
      <c r="Y1130" s="21" t="s">
        <v>81</v>
      </c>
      <c r="Z1130" s="6" t="s">
        <v>81</v>
      </c>
      <c r="AA1130" s="6" t="s">
        <v>81</v>
      </c>
      <c r="AB1130" s="6" t="s">
        <v>81</v>
      </c>
      <c r="AC1130" s="6" t="s">
        <v>10886</v>
      </c>
      <c r="AD1130" s="16" t="n">
        <v>45593</v>
      </c>
      <c r="AE1130" s="6" t="s">
        <v>14235</v>
      </c>
      <c r="AF1130" s="6" t="s">
        <v>81</v>
      </c>
      <c r="AG1130" s="6" t="s">
        <v>81</v>
      </c>
      <c r="AH1130" s="6" t="s">
        <v>15700</v>
      </c>
      <c r="AI1130" s="6" t="s">
        <v>81</v>
      </c>
      <c r="AJ1130" s="6" t="s">
        <v>17904</v>
      </c>
      <c r="AK1130" s="6" t="s">
        <v>18377</v>
      </c>
      <c r="AL1130" s="6" t="s">
        <v>18444</v>
      </c>
      <c r="AM1130" s="6" t="s">
        <v>19092</v>
      </c>
      <c r="AN1130" s="6" t="s">
        <v>81</v>
      </c>
      <c r="AO1130" s="6" t="s">
        <v>81</v>
      </c>
      <c r="AP1130" s="6" t="s">
        <v>81</v>
      </c>
      <c r="AQ1130" s="6" t="s">
        <v>81</v>
      </c>
      <c r="AR1130" s="6" t="s">
        <v>81</v>
      </c>
      <c r="AS1130" s="6" t="s">
        <v>81</v>
      </c>
      <c r="AT1130" s="6" t="s">
        <v>81</v>
      </c>
      <c r="AU1130" s="6" t="s">
        <v>81</v>
      </c>
      <c r="AV1130" s="6" t="s">
        <v>81</v>
      </c>
      <c r="AW1130" s="6" t="s">
        <v>81</v>
      </c>
      <c r="AX1130" s="6" t="s">
        <v>21459</v>
      </c>
      <c r="AY1130" s="6" t="s">
        <v>22981</v>
      </c>
      <c r="AZ1130" s="6" t="s">
        <v>81</v>
      </c>
      <c r="BA1130" s="6" t="s">
        <v>81</v>
      </c>
      <c r="BB1130" s="24" t="n">
        <v>0</v>
      </c>
      <c r="BC1130" s="26"/>
      <c r="BD1130" s="26"/>
      <c r="BE1130" s="26"/>
      <c r="BF1130" s="26"/>
      <c r="BG1130" s="26" t="s">
        <v>23900</v>
      </c>
      <c r="BH1130" s="26"/>
      <c r="BI1130" s="26"/>
      <c r="BJ1130" s="26"/>
      <c r="BK1130" s="26"/>
      <c r="BL1130" s="26"/>
      <c r="BM1130" s="26"/>
      <c r="BN1130" s="26"/>
      <c r="BO1130" s="26"/>
      <c r="BP1130" s="16" t="n">
        <v>45691</v>
      </c>
      <c r="BQ1130" s="28" t="str">
        <f>HYPERLINK("https://organic.ams.usda.gov/Integrity/Certificate.aspx?cid=24&amp;nopid=7880289693")</f>
        <v>https://organic.ams.usda.gov/Integrity/Certificate.aspx?cid=24&amp;nopid=7880289693</v>
      </c>
    </row>
    <row r="1131">
      <c r="A1131" t="s">
        <v>3</v>
      </c>
      <c r="B1131" s="6" t="s">
        <v>25</v>
      </c>
      <c r="C1131" s="6" t="s">
        <v>72</v>
      </c>
      <c r="D1131" s="6" t="s">
        <v>118</v>
      </c>
      <c r="E1131" s="10" t="s">
        <v>1272</v>
      </c>
      <c r="F1131" s="6" t="s">
        <v>4000</v>
      </c>
      <c r="G1131" s="6" t="s">
        <v>81</v>
      </c>
      <c r="H1131" s="6" t="s">
        <v>6925</v>
      </c>
      <c r="I1131" s="6" t="s">
        <v>81</v>
      </c>
      <c r="J1131" s="6" t="s">
        <v>81</v>
      </c>
      <c r="K1131" s="6" t="s">
        <v>10886</v>
      </c>
      <c r="L1131" s="16" t="n">
        <v>40724</v>
      </c>
      <c r="M1131" s="16" t="n">
        <v>46023</v>
      </c>
      <c r="N1131" s="6" t="s">
        <v>10886</v>
      </c>
      <c r="O1131" s="16" t="n">
        <v>40724</v>
      </c>
      <c r="P1131" s="6" t="s">
        <v>11031</v>
      </c>
      <c r="Q1131" s="6" t="s">
        <v>81</v>
      </c>
      <c r="R1131" s="6" t="s">
        <v>81</v>
      </c>
      <c r="S1131" s="6" t="s">
        <v>10886</v>
      </c>
      <c r="T1131" s="16" t="n">
        <v>40724</v>
      </c>
      <c r="U1131" s="6" t="s">
        <v>13553</v>
      </c>
      <c r="V1131" s="6" t="s">
        <v>81</v>
      </c>
      <c r="W1131" s="6" t="s">
        <v>81</v>
      </c>
      <c r="X1131" s="6" t="s">
        <v>81</v>
      </c>
      <c r="Y1131" s="21" t="s">
        <v>81</v>
      </c>
      <c r="Z1131" s="6" t="s">
        <v>81</v>
      </c>
      <c r="AA1131" s="6" t="s">
        <v>81</v>
      </c>
      <c r="AB1131" s="6" t="s">
        <v>81</v>
      </c>
      <c r="AC1131" s="6" t="s">
        <v>10886</v>
      </c>
      <c r="AD1131" s="16" t="n">
        <v>44734</v>
      </c>
      <c r="AE1131" s="6" t="s">
        <v>14081</v>
      </c>
      <c r="AF1131" s="6" t="s">
        <v>81</v>
      </c>
      <c r="AG1131" s="6" t="s">
        <v>81</v>
      </c>
      <c r="AH1131" s="6" t="s">
        <v>15701</v>
      </c>
      <c r="AI1131" s="6" t="s">
        <v>81</v>
      </c>
      <c r="AJ1131" s="6" t="s">
        <v>17700</v>
      </c>
      <c r="AK1131" s="6" t="s">
        <v>18386</v>
      </c>
      <c r="AL1131" s="6" t="s">
        <v>18444</v>
      </c>
      <c r="AM1131" s="6" t="s">
        <v>18866</v>
      </c>
      <c r="AN1131" s="6" t="s">
        <v>19674</v>
      </c>
      <c r="AO1131" s="6" t="s">
        <v>19803</v>
      </c>
      <c r="AP1131" s="6" t="s">
        <v>20259</v>
      </c>
      <c r="AQ1131" s="6" t="s">
        <v>81</v>
      </c>
      <c r="AR1131" s="6" t="s">
        <v>17700</v>
      </c>
      <c r="AS1131" s="6" t="s">
        <v>18386</v>
      </c>
      <c r="AT1131" s="6" t="s">
        <v>18444</v>
      </c>
      <c r="AU1131" s="6" t="s">
        <v>18866</v>
      </c>
      <c r="AV1131" s="6" t="s">
        <v>81</v>
      </c>
      <c r="AW1131" s="6" t="s">
        <v>81</v>
      </c>
      <c r="AX1131" s="6" t="s">
        <v>81</v>
      </c>
      <c r="AY1131" s="6" t="s">
        <v>81</v>
      </c>
      <c r="AZ1131" s="6" t="s">
        <v>81</v>
      </c>
      <c r="BA1131" s="6" t="s">
        <v>81</v>
      </c>
      <c r="BB1131" s="24" t="n">
        <v>1158</v>
      </c>
      <c r="BC1131" s="26"/>
      <c r="BD1131" s="26"/>
      <c r="BE1131" s="26"/>
      <c r="BF1131" s="26"/>
      <c r="BG1131" s="26"/>
      <c r="BH1131" s="26"/>
      <c r="BI1131" s="26"/>
      <c r="BJ1131" s="26"/>
      <c r="BK1131" s="26"/>
      <c r="BL1131" s="26"/>
      <c r="BM1131" s="26"/>
      <c r="BN1131" s="26"/>
      <c r="BO1131" s="26"/>
      <c r="BP1131" s="16" t="n">
        <v>45667</v>
      </c>
      <c r="BQ1131" s="28" t="str">
        <f>HYPERLINK("https://organic.ams.usda.gov/Integrity/Certificate.aspx?cid=15&amp;nopid=5561001379")</f>
        <v>https://organic.ams.usda.gov/Integrity/Certificate.aspx?cid=15&amp;nopid=5561001379</v>
      </c>
    </row>
    <row r="1132">
      <c r="A1132" t="s">
        <v>3</v>
      </c>
      <c r="B1132" s="6" t="s">
        <v>23</v>
      </c>
      <c r="C1132" s="6" t="s">
        <v>70</v>
      </c>
      <c r="D1132" s="6" t="s">
        <v>116</v>
      </c>
      <c r="E1132" s="10" t="s">
        <v>1273</v>
      </c>
      <c r="F1132" s="6" t="s">
        <v>4001</v>
      </c>
      <c r="G1132" s="6" t="s">
        <v>81</v>
      </c>
      <c r="H1132" s="6" t="s">
        <v>6926</v>
      </c>
      <c r="I1132" s="6" t="s">
        <v>9028</v>
      </c>
      <c r="J1132" s="6" t="s">
        <v>10231</v>
      </c>
      <c r="K1132" s="6" t="s">
        <v>10886</v>
      </c>
      <c r="L1132" s="16" t="n">
        <v>41375</v>
      </c>
      <c r="M1132" s="16" t="n">
        <v>45758</v>
      </c>
      <c r="N1132" s="6" t="s">
        <v>10886</v>
      </c>
      <c r="O1132" s="16" t="n">
        <v>41375</v>
      </c>
      <c r="P1132" s="6" t="s">
        <v>11570</v>
      </c>
      <c r="Q1132" s="6" t="s">
        <v>81</v>
      </c>
      <c r="R1132" s="6" t="s">
        <v>12736</v>
      </c>
      <c r="S1132" s="6" t="s">
        <v>10886</v>
      </c>
      <c r="T1132" s="16" t="n">
        <v>41375</v>
      </c>
      <c r="U1132" s="6" t="s">
        <v>13554</v>
      </c>
      <c r="V1132" s="6" t="s">
        <v>81</v>
      </c>
      <c r="W1132" s="6" t="s">
        <v>12736</v>
      </c>
      <c r="X1132" s="6" t="s">
        <v>81</v>
      </c>
      <c r="Y1132" s="21" t="s">
        <v>81</v>
      </c>
      <c r="Z1132" s="6" t="s">
        <v>81</v>
      </c>
      <c r="AA1132" s="6" t="s">
        <v>81</v>
      </c>
      <c r="AB1132" s="6" t="s">
        <v>81</v>
      </c>
      <c r="AC1132" s="6" t="s">
        <v>81</v>
      </c>
      <c r="AD1132" s="21" t="s">
        <v>81</v>
      </c>
      <c r="AE1132" s="6" t="s">
        <v>81</v>
      </c>
      <c r="AF1132" s="6" t="s">
        <v>81</v>
      </c>
      <c r="AG1132" s="6" t="s">
        <v>81</v>
      </c>
      <c r="AH1132" s="6" t="s">
        <v>15702</v>
      </c>
      <c r="AI1132" s="6" t="s">
        <v>81</v>
      </c>
      <c r="AJ1132" s="6" t="s">
        <v>17905</v>
      </c>
      <c r="AK1132" s="6" t="s">
        <v>18386</v>
      </c>
      <c r="AL1132" s="6" t="s">
        <v>18454</v>
      </c>
      <c r="AM1132" s="6" t="s">
        <v>19093</v>
      </c>
      <c r="AN1132" s="6" t="s">
        <v>81</v>
      </c>
      <c r="AO1132" s="6" t="s">
        <v>81</v>
      </c>
      <c r="AP1132" s="6" t="s">
        <v>20260</v>
      </c>
      <c r="AQ1132" s="6" t="s">
        <v>81</v>
      </c>
      <c r="AR1132" s="6" t="s">
        <v>17905</v>
      </c>
      <c r="AS1132" s="6" t="s">
        <v>18386</v>
      </c>
      <c r="AT1132" s="6" t="s">
        <v>18444</v>
      </c>
      <c r="AU1132" s="6" t="s">
        <v>19093</v>
      </c>
      <c r="AV1132" s="6" t="s">
        <v>19672</v>
      </c>
      <c r="AW1132" s="6" t="s">
        <v>19787</v>
      </c>
      <c r="AX1132" s="6" t="s">
        <v>21460</v>
      </c>
      <c r="AY1132" s="6" t="s">
        <v>22982</v>
      </c>
      <c r="AZ1132" s="6" t="s">
        <v>81</v>
      </c>
      <c r="BA1132" s="6" t="s">
        <v>81</v>
      </c>
      <c r="BB1132" s="24" t="n">
        <v>1562</v>
      </c>
      <c r="BC1132" s="26"/>
      <c r="BD1132" s="26"/>
      <c r="BE1132" s="26"/>
      <c r="BF1132" s="26"/>
      <c r="BG1132" s="26"/>
      <c r="BH1132" s="26"/>
      <c r="BI1132" s="26"/>
      <c r="BJ1132" s="26"/>
      <c r="BK1132" s="26"/>
      <c r="BL1132" s="26"/>
      <c r="BM1132" s="26"/>
      <c r="BN1132" s="26"/>
      <c r="BO1132" s="26"/>
      <c r="BP1132" s="16" t="n">
        <v>45579</v>
      </c>
      <c r="BQ1132" s="28" t="str">
        <f>HYPERLINK("https://organic.ams.usda.gov/Integrity/Certificate.aspx?cid=63&amp;nopid=6220005790")</f>
        <v>https://organic.ams.usda.gov/Integrity/Certificate.aspx?cid=63&amp;nopid=6220005790</v>
      </c>
    </row>
    <row r="1133">
      <c r="A1133" t="s">
        <v>3</v>
      </c>
      <c r="B1133" s="6" t="s">
        <v>46</v>
      </c>
      <c r="C1133" s="6" t="s">
        <v>93</v>
      </c>
      <c r="D1133" s="6" t="s">
        <v>138</v>
      </c>
      <c r="E1133" s="10" t="s">
        <v>1274</v>
      </c>
      <c r="F1133" s="6" t="s">
        <v>4002</v>
      </c>
      <c r="G1133" s="6" t="s">
        <v>81</v>
      </c>
      <c r="H1133" s="6" t="s">
        <v>81</v>
      </c>
      <c r="I1133" s="6" t="s">
        <v>8520</v>
      </c>
      <c r="J1133" s="6" t="s">
        <v>10232</v>
      </c>
      <c r="K1133" s="6" t="s">
        <v>10886</v>
      </c>
      <c r="L1133" s="16" t="n">
        <v>44182</v>
      </c>
      <c r="M1133" s="16" t="n">
        <v>45643</v>
      </c>
      <c r="N1133" s="6" t="s">
        <v>81</v>
      </c>
      <c r="O1133" s="21" t="s">
        <v>81</v>
      </c>
      <c r="P1133" s="6" t="s">
        <v>81</v>
      </c>
      <c r="Q1133" s="6" t="s">
        <v>81</v>
      </c>
      <c r="R1133" s="6" t="s">
        <v>81</v>
      </c>
      <c r="S1133" s="6" t="s">
        <v>81</v>
      </c>
      <c r="T1133" s="21" t="s">
        <v>81</v>
      </c>
      <c r="U1133" s="6" t="s">
        <v>81</v>
      </c>
      <c r="V1133" s="6" t="s">
        <v>81</v>
      </c>
      <c r="W1133" s="6" t="s">
        <v>81</v>
      </c>
      <c r="X1133" s="6" t="s">
        <v>81</v>
      </c>
      <c r="Y1133" s="21" t="s">
        <v>81</v>
      </c>
      <c r="Z1133" s="6" t="s">
        <v>81</v>
      </c>
      <c r="AA1133" s="6" t="s">
        <v>81</v>
      </c>
      <c r="AB1133" s="6" t="s">
        <v>81</v>
      </c>
      <c r="AC1133" s="6" t="s">
        <v>10886</v>
      </c>
      <c r="AD1133" s="16" t="n">
        <v>44182</v>
      </c>
      <c r="AE1133" s="6" t="s">
        <v>14236</v>
      </c>
      <c r="AF1133" s="6" t="s">
        <v>14504</v>
      </c>
      <c r="AG1133" s="6" t="s">
        <v>81</v>
      </c>
      <c r="AH1133" s="6" t="s">
        <v>15703</v>
      </c>
      <c r="AI1133" s="6" t="s">
        <v>81</v>
      </c>
      <c r="AJ1133" s="6" t="s">
        <v>17906</v>
      </c>
      <c r="AK1133" s="6" t="s">
        <v>18385</v>
      </c>
      <c r="AL1133" s="6" t="s">
        <v>18444</v>
      </c>
      <c r="AM1133" s="6" t="s">
        <v>19094</v>
      </c>
      <c r="AN1133" s="6" t="s">
        <v>19647</v>
      </c>
      <c r="AO1133" s="6" t="s">
        <v>19812</v>
      </c>
      <c r="AP1133" s="6" t="s">
        <v>81</v>
      </c>
      <c r="AQ1133" s="6" t="s">
        <v>81</v>
      </c>
      <c r="AR1133" s="6" t="s">
        <v>81</v>
      </c>
      <c r="AS1133" s="6" t="s">
        <v>81</v>
      </c>
      <c r="AT1133" s="6" t="s">
        <v>81</v>
      </c>
      <c r="AU1133" s="6" t="s">
        <v>81</v>
      </c>
      <c r="AV1133" s="6" t="s">
        <v>81</v>
      </c>
      <c r="AW1133" s="6" t="s">
        <v>81</v>
      </c>
      <c r="AX1133" s="6" t="s">
        <v>81</v>
      </c>
      <c r="AY1133" s="6" t="s">
        <v>22983</v>
      </c>
      <c r="AZ1133" s="6" t="s">
        <v>23687</v>
      </c>
      <c r="BA1133" s="6" t="s">
        <v>81</v>
      </c>
      <c r="BB1133" s="6" t="s">
        <v>81</v>
      </c>
      <c r="BC1133" s="26"/>
      <c r="BD1133" s="26"/>
      <c r="BE1133" s="26"/>
      <c r="BF1133" s="26"/>
      <c r="BG1133" s="26"/>
      <c r="BH1133" s="26"/>
      <c r="BI1133" s="26"/>
      <c r="BJ1133" s="26"/>
      <c r="BK1133" s="26"/>
      <c r="BL1133" s="26"/>
      <c r="BM1133" s="26"/>
      <c r="BN1133" s="26"/>
      <c r="BO1133" s="26"/>
      <c r="BP1133" s="16" t="n">
        <v>45727</v>
      </c>
      <c r="BQ1133" s="28" t="str">
        <f>HYPERLINK("https://organic.ams.usda.gov/Integrity/Certificate.aspx?cid=74&amp;nopid=5350000154")</f>
        <v>https://organic.ams.usda.gov/Integrity/Certificate.aspx?cid=74&amp;nopid=5350000154</v>
      </c>
    </row>
    <row r="1134">
      <c r="A1134" t="s">
        <v>3</v>
      </c>
      <c r="B1134" s="6" t="s">
        <v>13</v>
      </c>
      <c r="C1134" s="6" t="s">
        <v>60</v>
      </c>
      <c r="D1134" s="6" t="s">
        <v>106</v>
      </c>
      <c r="E1134" s="10" t="s">
        <v>1275</v>
      </c>
      <c r="F1134" s="6" t="s">
        <v>4003</v>
      </c>
      <c r="G1134" s="6" t="s">
        <v>81</v>
      </c>
      <c r="H1134" s="6" t="s">
        <v>6927</v>
      </c>
      <c r="I1134" s="6" t="s">
        <v>9029</v>
      </c>
      <c r="J1134" s="6" t="s">
        <v>9233</v>
      </c>
      <c r="K1134" s="6" t="s">
        <v>10886</v>
      </c>
      <c r="L1134" s="16" t="n">
        <v>41422</v>
      </c>
      <c r="M1134" s="16" t="n">
        <v>45748</v>
      </c>
      <c r="N1134" s="6" t="s">
        <v>10886</v>
      </c>
      <c r="O1134" s="16" t="n">
        <v>41422</v>
      </c>
      <c r="P1134" s="6" t="s">
        <v>11571</v>
      </c>
      <c r="Q1134" s="6" t="s">
        <v>81</v>
      </c>
      <c r="R1134" s="6" t="s">
        <v>12737</v>
      </c>
      <c r="S1134" s="6" t="s">
        <v>10886</v>
      </c>
      <c r="T1134" s="16" t="n">
        <v>41422</v>
      </c>
      <c r="U1134" s="6" t="s">
        <v>13402</v>
      </c>
      <c r="V1134" s="6" t="s">
        <v>81</v>
      </c>
      <c r="W1134" s="6" t="s">
        <v>12737</v>
      </c>
      <c r="X1134" s="6" t="s">
        <v>81</v>
      </c>
      <c r="Y1134" s="21" t="s">
        <v>81</v>
      </c>
      <c r="Z1134" s="6" t="s">
        <v>81</v>
      </c>
      <c r="AA1134" s="6" t="s">
        <v>81</v>
      </c>
      <c r="AB1134" s="6" t="s">
        <v>81</v>
      </c>
      <c r="AC1134" s="6" t="s">
        <v>81</v>
      </c>
      <c r="AD1134" s="21" t="s">
        <v>81</v>
      </c>
      <c r="AE1134" s="6" t="s">
        <v>81</v>
      </c>
      <c r="AF1134" s="6" t="s">
        <v>81</v>
      </c>
      <c r="AG1134" s="6" t="s">
        <v>81</v>
      </c>
      <c r="AH1134" s="6" t="s">
        <v>15704</v>
      </c>
      <c r="AI1134" s="6" t="s">
        <v>81</v>
      </c>
      <c r="AJ1134" s="6" t="s">
        <v>17448</v>
      </c>
      <c r="AK1134" s="6" t="s">
        <v>18379</v>
      </c>
      <c r="AL1134" s="6" t="s">
        <v>18444</v>
      </c>
      <c r="AM1134" s="6" t="s">
        <v>18606</v>
      </c>
      <c r="AN1134" s="6" t="s">
        <v>19654</v>
      </c>
      <c r="AO1134" s="6" t="s">
        <v>19765</v>
      </c>
      <c r="AP1134" s="6" t="s">
        <v>15704</v>
      </c>
      <c r="AQ1134" s="6" t="s">
        <v>81</v>
      </c>
      <c r="AR1134" s="6" t="s">
        <v>17448</v>
      </c>
      <c r="AS1134" s="6" t="s">
        <v>18379</v>
      </c>
      <c r="AT1134" s="6" t="s">
        <v>18444</v>
      </c>
      <c r="AU1134" s="6" t="s">
        <v>18606</v>
      </c>
      <c r="AV1134" s="6" t="s">
        <v>81</v>
      </c>
      <c r="AW1134" s="6" t="s">
        <v>81</v>
      </c>
      <c r="AX1134" s="6" t="s">
        <v>21461</v>
      </c>
      <c r="AY1134" s="6" t="s">
        <v>22984</v>
      </c>
      <c r="AZ1134" s="6" t="s">
        <v>81</v>
      </c>
      <c r="BA1134" s="6" t="s">
        <v>81</v>
      </c>
      <c r="BB1134" s="24" t="n">
        <v>1511</v>
      </c>
      <c r="BC1134" s="26"/>
      <c r="BD1134" s="26"/>
      <c r="BE1134" s="26"/>
      <c r="BF1134" s="26" t="s">
        <v>23900</v>
      </c>
      <c r="BG1134" s="26"/>
      <c r="BH1134" s="26"/>
      <c r="BI1134" s="26"/>
      <c r="BJ1134" s="26"/>
      <c r="BK1134" s="26"/>
      <c r="BL1134" s="26"/>
      <c r="BM1134" s="26"/>
      <c r="BN1134" s="26"/>
      <c r="BO1134" s="26"/>
      <c r="BP1134" s="16" t="n">
        <v>45663</v>
      </c>
      <c r="BQ1134" s="28" t="str">
        <f>HYPERLINK("https://organic.ams.usda.gov/Integrity/Certificate.aspx?cid=72&amp;nopid=5870001621")</f>
        <v>https://organic.ams.usda.gov/Integrity/Certificate.aspx?cid=72&amp;nopid=5870001621</v>
      </c>
    </row>
    <row r="1135">
      <c r="A1135" t="s">
        <v>3</v>
      </c>
      <c r="B1135" s="6" t="s">
        <v>14</v>
      </c>
      <c r="C1135" s="6" t="s">
        <v>61</v>
      </c>
      <c r="D1135" s="6" t="s">
        <v>107</v>
      </c>
      <c r="E1135" s="10" t="s">
        <v>1276</v>
      </c>
      <c r="F1135" s="6" t="s">
        <v>4004</v>
      </c>
      <c r="G1135" s="6" t="s">
        <v>81</v>
      </c>
      <c r="H1135" s="6" t="s">
        <v>6928</v>
      </c>
      <c r="I1135" s="6" t="s">
        <v>8667</v>
      </c>
      <c r="J1135" s="6" t="s">
        <v>10233</v>
      </c>
      <c r="K1135" s="6" t="s">
        <v>10886</v>
      </c>
      <c r="L1135" s="16" t="n">
        <v>45716</v>
      </c>
      <c r="M1135" s="16" t="n">
        <v>45992</v>
      </c>
      <c r="N1135" s="6" t="s">
        <v>81</v>
      </c>
      <c r="O1135" s="21" t="s">
        <v>81</v>
      </c>
      <c r="P1135" s="6" t="s">
        <v>81</v>
      </c>
      <c r="Q1135" s="6" t="s">
        <v>81</v>
      </c>
      <c r="R1135" s="6" t="s">
        <v>81</v>
      </c>
      <c r="S1135" s="6" t="s">
        <v>81</v>
      </c>
      <c r="T1135" s="21" t="s">
        <v>81</v>
      </c>
      <c r="U1135" s="6" t="s">
        <v>81</v>
      </c>
      <c r="V1135" s="6" t="s">
        <v>81</v>
      </c>
      <c r="W1135" s="6" t="s">
        <v>81</v>
      </c>
      <c r="X1135" s="6" t="s">
        <v>81</v>
      </c>
      <c r="Y1135" s="21" t="s">
        <v>81</v>
      </c>
      <c r="Z1135" s="6" t="s">
        <v>81</v>
      </c>
      <c r="AA1135" s="6" t="s">
        <v>81</v>
      </c>
      <c r="AB1135" s="6" t="s">
        <v>81</v>
      </c>
      <c r="AC1135" s="6" t="s">
        <v>10886</v>
      </c>
      <c r="AD1135" s="16" t="n">
        <v>45716</v>
      </c>
      <c r="AE1135" s="6" t="s">
        <v>14237</v>
      </c>
      <c r="AF1135" s="6" t="s">
        <v>81</v>
      </c>
      <c r="AG1135" s="6" t="s">
        <v>81</v>
      </c>
      <c r="AH1135" s="6" t="s">
        <v>15705</v>
      </c>
      <c r="AI1135" s="6" t="s">
        <v>81</v>
      </c>
      <c r="AJ1135" s="6" t="s">
        <v>17907</v>
      </c>
      <c r="AK1135" s="6" t="s">
        <v>18380</v>
      </c>
      <c r="AL1135" s="6" t="s">
        <v>18444</v>
      </c>
      <c r="AM1135" s="6" t="s">
        <v>19095</v>
      </c>
      <c r="AN1135" s="6" t="s">
        <v>81</v>
      </c>
      <c r="AO1135" s="6" t="s">
        <v>81</v>
      </c>
      <c r="AP1135" s="6" t="s">
        <v>15705</v>
      </c>
      <c r="AQ1135" s="6" t="s">
        <v>81</v>
      </c>
      <c r="AR1135" s="6" t="s">
        <v>17907</v>
      </c>
      <c r="AS1135" s="6" t="s">
        <v>18380</v>
      </c>
      <c r="AT1135" s="6" t="s">
        <v>18444</v>
      </c>
      <c r="AU1135" s="6" t="s">
        <v>19095</v>
      </c>
      <c r="AV1135" s="6" t="s">
        <v>81</v>
      </c>
      <c r="AW1135" s="6" t="s">
        <v>81</v>
      </c>
      <c r="AX1135" s="6" t="s">
        <v>21462</v>
      </c>
      <c r="AY1135" s="6" t="s">
        <v>22985</v>
      </c>
      <c r="AZ1135" s="6" t="s">
        <v>81</v>
      </c>
      <c r="BA1135" s="6" t="s">
        <v>81</v>
      </c>
      <c r="BB1135" s="24" t="n">
        <v>0</v>
      </c>
      <c r="BC1135" s="26"/>
      <c r="BD1135" s="26"/>
      <c r="BE1135" s="26"/>
      <c r="BF1135" s="26"/>
      <c r="BG1135" s="26"/>
      <c r="BH1135" s="26"/>
      <c r="BI1135" s="26"/>
      <c r="BJ1135" s="26"/>
      <c r="BK1135" s="26"/>
      <c r="BL1135" s="26"/>
      <c r="BM1135" s="26"/>
      <c r="BN1135" s="26"/>
      <c r="BO1135" s="26"/>
      <c r="BP1135" s="16" t="n">
        <v>45722</v>
      </c>
      <c r="BQ1135" s="28" t="str">
        <f>HYPERLINK("https://organic.ams.usda.gov/Integrity/Certificate.aspx?cid=51&amp;nopid=8241000243")</f>
        <v>https://organic.ams.usda.gov/Integrity/Certificate.aspx?cid=51&amp;nopid=8241000243</v>
      </c>
    </row>
    <row r="1136">
      <c r="A1136" t="s">
        <v>3</v>
      </c>
      <c r="B1136" s="6" t="s">
        <v>10</v>
      </c>
      <c r="C1136" s="6" t="s">
        <v>57</v>
      </c>
      <c r="D1136" s="6" t="s">
        <v>103</v>
      </c>
      <c r="E1136" s="10" t="s">
        <v>1277</v>
      </c>
      <c r="F1136" s="6" t="s">
        <v>4005</v>
      </c>
      <c r="G1136" s="6" t="s">
        <v>81</v>
      </c>
      <c r="H1136" s="6" t="s">
        <v>6929</v>
      </c>
      <c r="I1136" s="6" t="s">
        <v>9030</v>
      </c>
      <c r="J1136" s="6" t="s">
        <v>10135</v>
      </c>
      <c r="K1136" s="6" t="s">
        <v>10886</v>
      </c>
      <c r="L1136" s="16" t="n">
        <v>43018</v>
      </c>
      <c r="M1136" s="16" t="n">
        <v>45748</v>
      </c>
      <c r="N1136" s="6" t="s">
        <v>10886</v>
      </c>
      <c r="O1136" s="16" t="n">
        <v>43018</v>
      </c>
      <c r="P1136" s="6" t="s">
        <v>11572</v>
      </c>
      <c r="Q1136" s="6" t="s">
        <v>81</v>
      </c>
      <c r="R1136" s="6" t="s">
        <v>12738</v>
      </c>
      <c r="S1136" s="6" t="s">
        <v>10886</v>
      </c>
      <c r="T1136" s="16" t="n">
        <v>43018</v>
      </c>
      <c r="U1136" s="6" t="s">
        <v>13163</v>
      </c>
      <c r="V1136" s="6" t="s">
        <v>81</v>
      </c>
      <c r="W1136" s="6" t="s">
        <v>81</v>
      </c>
      <c r="X1136" s="6" t="s">
        <v>81</v>
      </c>
      <c r="Y1136" s="21" t="s">
        <v>81</v>
      </c>
      <c r="Z1136" s="6" t="s">
        <v>81</v>
      </c>
      <c r="AA1136" s="6" t="s">
        <v>81</v>
      </c>
      <c r="AB1136" s="6" t="s">
        <v>81</v>
      </c>
      <c r="AC1136" s="6" t="s">
        <v>81</v>
      </c>
      <c r="AD1136" s="21" t="s">
        <v>81</v>
      </c>
      <c r="AE1136" s="6" t="s">
        <v>81</v>
      </c>
      <c r="AF1136" s="6" t="s">
        <v>81</v>
      </c>
      <c r="AG1136" s="6" t="s">
        <v>81</v>
      </c>
      <c r="AH1136" s="6" t="s">
        <v>15706</v>
      </c>
      <c r="AI1136" s="6" t="s">
        <v>81</v>
      </c>
      <c r="AJ1136" s="6" t="s">
        <v>9812</v>
      </c>
      <c r="AK1136" s="6" t="s">
        <v>18391</v>
      </c>
      <c r="AL1136" s="6" t="s">
        <v>18444</v>
      </c>
      <c r="AM1136" s="6" t="s">
        <v>19096</v>
      </c>
      <c r="AN1136" s="6" t="s">
        <v>19648</v>
      </c>
      <c r="AO1136" s="6" t="s">
        <v>19973</v>
      </c>
      <c r="AP1136" s="6" t="s">
        <v>15706</v>
      </c>
      <c r="AQ1136" s="6" t="s">
        <v>81</v>
      </c>
      <c r="AR1136" s="6" t="s">
        <v>9812</v>
      </c>
      <c r="AS1136" s="6" t="s">
        <v>18391</v>
      </c>
      <c r="AT1136" s="6" t="s">
        <v>18444</v>
      </c>
      <c r="AU1136" s="6" t="s">
        <v>19096</v>
      </c>
      <c r="AV1136" s="6" t="s">
        <v>81</v>
      </c>
      <c r="AW1136" s="6" t="s">
        <v>81</v>
      </c>
      <c r="AX1136" s="6" t="s">
        <v>21463</v>
      </c>
      <c r="AY1136" s="6" t="s">
        <v>22986</v>
      </c>
      <c r="AZ1136" s="6" t="s">
        <v>81</v>
      </c>
      <c r="BA1136" s="6" t="s">
        <v>81</v>
      </c>
      <c r="BB1136" s="24" t="n">
        <v>264</v>
      </c>
      <c r="BC1136" s="26"/>
      <c r="BD1136" s="26"/>
      <c r="BE1136" s="26"/>
      <c r="BF1136" s="26"/>
      <c r="BG1136" s="26"/>
      <c r="BH1136" s="26"/>
      <c r="BI1136" s="26"/>
      <c r="BJ1136" s="26"/>
      <c r="BK1136" s="26"/>
      <c r="BL1136" s="26"/>
      <c r="BM1136" s="26"/>
      <c r="BN1136" s="26"/>
      <c r="BO1136" s="26"/>
      <c r="BP1136" s="16" t="n">
        <v>45730</v>
      </c>
      <c r="BQ1136" s="28" t="str">
        <f>HYPERLINK("https://organic.ams.usda.gov/Integrity/Certificate.aspx?cid=90&amp;nopid=7170020229")</f>
        <v>https://organic.ams.usda.gov/Integrity/Certificate.aspx?cid=90&amp;nopid=7170020229</v>
      </c>
    </row>
    <row r="1137">
      <c r="A1137" t="s">
        <v>3</v>
      </c>
      <c r="B1137" s="6" t="s">
        <v>25</v>
      </c>
      <c r="C1137" s="6" t="s">
        <v>72</v>
      </c>
      <c r="D1137" s="6" t="s">
        <v>118</v>
      </c>
      <c r="E1137" s="10" t="s">
        <v>1278</v>
      </c>
      <c r="F1137" s="6" t="s">
        <v>4006</v>
      </c>
      <c r="G1137" s="6" t="s">
        <v>81</v>
      </c>
      <c r="H1137" s="6" t="s">
        <v>6930</v>
      </c>
      <c r="I1137" s="6" t="s">
        <v>9031</v>
      </c>
      <c r="J1137" s="6" t="s">
        <v>10234</v>
      </c>
      <c r="K1137" s="6" t="s">
        <v>10886</v>
      </c>
      <c r="L1137" s="16" t="n">
        <v>44856</v>
      </c>
      <c r="M1137" s="16" t="n">
        <v>46023</v>
      </c>
      <c r="N1137" s="6" t="s">
        <v>10886</v>
      </c>
      <c r="O1137" s="16" t="n">
        <v>44856</v>
      </c>
      <c r="P1137" s="6" t="s">
        <v>11573</v>
      </c>
      <c r="Q1137" s="6" t="s">
        <v>81</v>
      </c>
      <c r="R1137" s="6" t="s">
        <v>81</v>
      </c>
      <c r="S1137" s="6" t="s">
        <v>10886</v>
      </c>
      <c r="T1137" s="16" t="n">
        <v>44856</v>
      </c>
      <c r="U1137" s="6" t="s">
        <v>13555</v>
      </c>
      <c r="V1137" s="6" t="s">
        <v>81</v>
      </c>
      <c r="W1137" s="6" t="s">
        <v>81</v>
      </c>
      <c r="X1137" s="6" t="s">
        <v>81</v>
      </c>
      <c r="Y1137" s="21" t="s">
        <v>81</v>
      </c>
      <c r="Z1137" s="6" t="s">
        <v>81</v>
      </c>
      <c r="AA1137" s="6" t="s">
        <v>81</v>
      </c>
      <c r="AB1137" s="6" t="s">
        <v>81</v>
      </c>
      <c r="AC1137" s="6" t="s">
        <v>10886</v>
      </c>
      <c r="AD1137" s="16" t="n">
        <v>44856</v>
      </c>
      <c r="AE1137" s="6" t="s">
        <v>14081</v>
      </c>
      <c r="AF1137" s="6" t="s">
        <v>81</v>
      </c>
      <c r="AG1137" s="6" t="s">
        <v>81</v>
      </c>
      <c r="AH1137" s="6" t="s">
        <v>15707</v>
      </c>
      <c r="AI1137" s="6" t="s">
        <v>81</v>
      </c>
      <c r="AJ1137" s="6" t="s">
        <v>17506</v>
      </c>
      <c r="AK1137" s="6" t="s">
        <v>18386</v>
      </c>
      <c r="AL1137" s="6" t="s">
        <v>18444</v>
      </c>
      <c r="AM1137" s="6" t="s">
        <v>18667</v>
      </c>
      <c r="AN1137" s="6" t="s">
        <v>19651</v>
      </c>
      <c r="AO1137" s="6" t="s">
        <v>19864</v>
      </c>
      <c r="AP1137" s="6" t="s">
        <v>20261</v>
      </c>
      <c r="AQ1137" s="6" t="s">
        <v>81</v>
      </c>
      <c r="AR1137" s="6" t="s">
        <v>17506</v>
      </c>
      <c r="AS1137" s="6" t="s">
        <v>18386</v>
      </c>
      <c r="AT1137" s="6" t="s">
        <v>18444</v>
      </c>
      <c r="AU1137" s="6" t="s">
        <v>18667</v>
      </c>
      <c r="AV1137" s="6" t="s">
        <v>81</v>
      </c>
      <c r="AW1137" s="6" t="s">
        <v>81</v>
      </c>
      <c r="AX1137" s="6" t="s">
        <v>21464</v>
      </c>
      <c r="AY1137" s="6" t="s">
        <v>22987</v>
      </c>
      <c r="AZ1137" s="6" t="s">
        <v>81</v>
      </c>
      <c r="BA1137" s="6" t="s">
        <v>23861</v>
      </c>
      <c r="BB1137" s="24" t="n">
        <v>333</v>
      </c>
      <c r="BC1137" s="26"/>
      <c r="BD1137" s="26"/>
      <c r="BE1137" s="26"/>
      <c r="BF1137" s="26"/>
      <c r="BG1137" s="26"/>
      <c r="BH1137" s="26"/>
      <c r="BI1137" s="26"/>
      <c r="BJ1137" s="26"/>
      <c r="BK1137" s="26"/>
      <c r="BL1137" s="26"/>
      <c r="BM1137" s="26"/>
      <c r="BN1137" s="26"/>
      <c r="BO1137" s="26"/>
      <c r="BP1137" s="16" t="n">
        <v>45667</v>
      </c>
      <c r="BQ1137" s="28" t="str">
        <f>HYPERLINK("https://organic.ams.usda.gov/Integrity/Certificate.aspx?cid=15&amp;nopid=5561007543")</f>
        <v>https://organic.ams.usda.gov/Integrity/Certificate.aspx?cid=15&amp;nopid=5561007543</v>
      </c>
    </row>
    <row r="1138">
      <c r="A1138" t="s">
        <v>3</v>
      </c>
      <c r="B1138" s="6" t="s">
        <v>25</v>
      </c>
      <c r="C1138" s="6" t="s">
        <v>72</v>
      </c>
      <c r="D1138" s="6" t="s">
        <v>118</v>
      </c>
      <c r="E1138" s="10" t="s">
        <v>1279</v>
      </c>
      <c r="F1138" s="6" t="s">
        <v>4007</v>
      </c>
      <c r="G1138" s="6" t="s">
        <v>5697</v>
      </c>
      <c r="H1138" s="6" t="s">
        <v>6931</v>
      </c>
      <c r="I1138" s="6" t="s">
        <v>9032</v>
      </c>
      <c r="J1138" s="6" t="s">
        <v>10235</v>
      </c>
      <c r="K1138" s="6" t="s">
        <v>10886</v>
      </c>
      <c r="L1138" s="16" t="n">
        <v>45390</v>
      </c>
      <c r="M1138" s="16" t="n">
        <v>46023</v>
      </c>
      <c r="N1138" s="6" t="s">
        <v>81</v>
      </c>
      <c r="O1138" s="21" t="s">
        <v>81</v>
      </c>
      <c r="P1138" s="6" t="s">
        <v>81</v>
      </c>
      <c r="Q1138" s="6" t="s">
        <v>81</v>
      </c>
      <c r="R1138" s="6" t="s">
        <v>81</v>
      </c>
      <c r="S1138" s="6" t="s">
        <v>81</v>
      </c>
      <c r="T1138" s="21" t="s">
        <v>81</v>
      </c>
      <c r="U1138" s="6" t="s">
        <v>81</v>
      </c>
      <c r="V1138" s="6" t="s">
        <v>81</v>
      </c>
      <c r="W1138" s="6" t="s">
        <v>81</v>
      </c>
      <c r="X1138" s="6" t="s">
        <v>81</v>
      </c>
      <c r="Y1138" s="21" t="s">
        <v>81</v>
      </c>
      <c r="Z1138" s="6" t="s">
        <v>81</v>
      </c>
      <c r="AA1138" s="6" t="s">
        <v>81</v>
      </c>
      <c r="AB1138" s="6" t="s">
        <v>81</v>
      </c>
      <c r="AC1138" s="6" t="s">
        <v>10886</v>
      </c>
      <c r="AD1138" s="16" t="n">
        <v>45390</v>
      </c>
      <c r="AE1138" s="6" t="s">
        <v>14238</v>
      </c>
      <c r="AF1138" s="6" t="s">
        <v>81</v>
      </c>
      <c r="AG1138" s="6" t="s">
        <v>81</v>
      </c>
      <c r="AH1138" s="6" t="s">
        <v>15708</v>
      </c>
      <c r="AI1138" s="6" t="s">
        <v>81</v>
      </c>
      <c r="AJ1138" s="6" t="s">
        <v>17908</v>
      </c>
      <c r="AK1138" s="6" t="s">
        <v>18386</v>
      </c>
      <c r="AL1138" s="6" t="s">
        <v>18444</v>
      </c>
      <c r="AM1138" s="6" t="s">
        <v>19097</v>
      </c>
      <c r="AN1138" s="6" t="s">
        <v>81</v>
      </c>
      <c r="AO1138" s="6" t="s">
        <v>81</v>
      </c>
      <c r="AP1138" s="6" t="s">
        <v>15708</v>
      </c>
      <c r="AQ1138" s="6" t="s">
        <v>81</v>
      </c>
      <c r="AR1138" s="6" t="s">
        <v>17908</v>
      </c>
      <c r="AS1138" s="6" t="s">
        <v>18386</v>
      </c>
      <c r="AT1138" s="6" t="s">
        <v>18444</v>
      </c>
      <c r="AU1138" s="6" t="s">
        <v>19097</v>
      </c>
      <c r="AV1138" s="6" t="s">
        <v>81</v>
      </c>
      <c r="AW1138" s="6" t="s">
        <v>81</v>
      </c>
      <c r="AX1138" s="6" t="s">
        <v>21465</v>
      </c>
      <c r="AY1138" s="6" t="s">
        <v>22988</v>
      </c>
      <c r="AZ1138" s="6" t="s">
        <v>23688</v>
      </c>
      <c r="BA1138" s="6" t="s">
        <v>81</v>
      </c>
      <c r="BB1138" s="6" t="s">
        <v>81</v>
      </c>
      <c r="BC1138" s="26"/>
      <c r="BD1138" s="26"/>
      <c r="BE1138" s="26"/>
      <c r="BF1138" s="26"/>
      <c r="BG1138" s="26"/>
      <c r="BH1138" s="26"/>
      <c r="BI1138" s="26"/>
      <c r="BJ1138" s="26"/>
      <c r="BK1138" s="26"/>
      <c r="BL1138" s="26"/>
      <c r="BM1138" s="26"/>
      <c r="BN1138" s="26"/>
      <c r="BO1138" s="26"/>
      <c r="BP1138" s="16" t="n">
        <v>45667</v>
      </c>
      <c r="BQ1138" s="28" t="str">
        <f>HYPERLINK("https://organic.ams.usda.gov/Integrity/Certificate.aspx?cid=15&amp;nopid=5561008157")</f>
        <v>https://organic.ams.usda.gov/Integrity/Certificate.aspx?cid=15&amp;nopid=5561008157</v>
      </c>
    </row>
    <row r="1139">
      <c r="A1139" t="s">
        <v>3</v>
      </c>
      <c r="B1139" s="6" t="s">
        <v>8</v>
      </c>
      <c r="C1139" s="6" t="s">
        <v>55</v>
      </c>
      <c r="D1139" s="6" t="s">
        <v>101</v>
      </c>
      <c r="E1139" s="10" t="s">
        <v>1280</v>
      </c>
      <c r="F1139" s="6" t="s">
        <v>4008</v>
      </c>
      <c r="G1139" s="6" t="s">
        <v>81</v>
      </c>
      <c r="H1139" s="6" t="s">
        <v>6932</v>
      </c>
      <c r="I1139" s="6" t="s">
        <v>9033</v>
      </c>
      <c r="J1139" s="6" t="s">
        <v>10236</v>
      </c>
      <c r="K1139" s="6" t="s">
        <v>10886</v>
      </c>
      <c r="L1139" s="16" t="n">
        <v>43363</v>
      </c>
      <c r="M1139" s="16" t="n">
        <v>45689</v>
      </c>
      <c r="N1139" s="6" t="s">
        <v>10886</v>
      </c>
      <c r="O1139" s="16" t="n">
        <v>43363</v>
      </c>
      <c r="P1139" s="6" t="s">
        <v>11574</v>
      </c>
      <c r="Q1139" s="6" t="s">
        <v>81</v>
      </c>
      <c r="R1139" s="6" t="s">
        <v>6932</v>
      </c>
      <c r="S1139" s="6" t="s">
        <v>10886</v>
      </c>
      <c r="T1139" s="16" t="n">
        <v>43363</v>
      </c>
      <c r="U1139" s="6" t="s">
        <v>13556</v>
      </c>
      <c r="V1139" s="6" t="s">
        <v>81</v>
      </c>
      <c r="W1139" s="6" t="s">
        <v>6932</v>
      </c>
      <c r="X1139" s="6" t="s">
        <v>81</v>
      </c>
      <c r="Y1139" s="21" t="s">
        <v>81</v>
      </c>
      <c r="Z1139" s="6" t="s">
        <v>81</v>
      </c>
      <c r="AA1139" s="6" t="s">
        <v>81</v>
      </c>
      <c r="AB1139" s="6" t="s">
        <v>81</v>
      </c>
      <c r="AC1139" s="6" t="s">
        <v>81</v>
      </c>
      <c r="AD1139" s="21" t="s">
        <v>81</v>
      </c>
      <c r="AE1139" s="6" t="s">
        <v>81</v>
      </c>
      <c r="AF1139" s="6" t="s">
        <v>81</v>
      </c>
      <c r="AG1139" s="6" t="s">
        <v>81</v>
      </c>
      <c r="AH1139" s="6" t="s">
        <v>15709</v>
      </c>
      <c r="AI1139" s="6" t="s">
        <v>81</v>
      </c>
      <c r="AJ1139" s="6" t="s">
        <v>17503</v>
      </c>
      <c r="AK1139" s="6" t="s">
        <v>18377</v>
      </c>
      <c r="AL1139" s="6" t="s">
        <v>18444</v>
      </c>
      <c r="AM1139" s="6" t="s">
        <v>18664</v>
      </c>
      <c r="AN1139" s="6" t="s">
        <v>7195</v>
      </c>
      <c r="AO1139" s="6" t="s">
        <v>19737</v>
      </c>
      <c r="AP1139" s="6" t="s">
        <v>81</v>
      </c>
      <c r="AQ1139" s="6" t="s">
        <v>81</v>
      </c>
      <c r="AR1139" s="6" t="s">
        <v>81</v>
      </c>
      <c r="AS1139" s="6" t="s">
        <v>81</v>
      </c>
      <c r="AT1139" s="6" t="s">
        <v>81</v>
      </c>
      <c r="AU1139" s="6" t="s">
        <v>81</v>
      </c>
      <c r="AV1139" s="6" t="s">
        <v>81</v>
      </c>
      <c r="AW1139" s="6" t="s">
        <v>81</v>
      </c>
      <c r="AX1139" s="6" t="s">
        <v>81</v>
      </c>
      <c r="AY1139" s="6" t="s">
        <v>22989</v>
      </c>
      <c r="AZ1139" s="6" t="s">
        <v>81</v>
      </c>
      <c r="BA1139" s="6" t="s">
        <v>23819</v>
      </c>
      <c r="BB1139" s="24" t="n">
        <v>328</v>
      </c>
      <c r="BC1139" s="26"/>
      <c r="BD1139" s="26"/>
      <c r="BE1139" s="26"/>
      <c r="BF1139" s="26" t="s">
        <v>23900</v>
      </c>
      <c r="BG1139" s="26"/>
      <c r="BH1139" s="26"/>
      <c r="BI1139" s="26"/>
      <c r="BJ1139" s="26"/>
      <c r="BK1139" s="26"/>
      <c r="BL1139" s="26"/>
      <c r="BM1139" s="26"/>
      <c r="BN1139" s="26"/>
      <c r="BO1139" s="26"/>
      <c r="BP1139" s="16" t="n">
        <v>45678</v>
      </c>
      <c r="BQ1139" s="28" t="str">
        <f>HYPERLINK("https://organic.ams.usda.gov/Integrity/Certificate.aspx?cid=45&amp;nopid=9950010825")</f>
        <v>https://organic.ams.usda.gov/Integrity/Certificate.aspx?cid=45&amp;nopid=9950010825</v>
      </c>
    </row>
    <row r="1140">
      <c r="A1140" t="s">
        <v>3</v>
      </c>
      <c r="B1140" s="6" t="s">
        <v>20</v>
      </c>
      <c r="C1140" s="6" t="s">
        <v>67</v>
      </c>
      <c r="D1140" s="6" t="s">
        <v>113</v>
      </c>
      <c r="E1140" s="10" t="s">
        <v>1281</v>
      </c>
      <c r="F1140" s="6" t="s">
        <v>4009</v>
      </c>
      <c r="G1140" s="6" t="s">
        <v>81</v>
      </c>
      <c r="H1140" s="6" t="s">
        <v>6933</v>
      </c>
      <c r="I1140" s="6" t="s">
        <v>8916</v>
      </c>
      <c r="J1140" s="6" t="s">
        <v>10237</v>
      </c>
      <c r="K1140" s="6" t="s">
        <v>10886</v>
      </c>
      <c r="L1140" s="16" t="n">
        <v>41502</v>
      </c>
      <c r="M1140" s="16" t="n">
        <v>45643</v>
      </c>
      <c r="N1140" s="6" t="s">
        <v>81</v>
      </c>
      <c r="O1140" s="21" t="s">
        <v>81</v>
      </c>
      <c r="P1140" s="6" t="s">
        <v>81</v>
      </c>
      <c r="Q1140" s="6" t="s">
        <v>81</v>
      </c>
      <c r="R1140" s="6" t="s">
        <v>81</v>
      </c>
      <c r="S1140" s="6" t="s">
        <v>81</v>
      </c>
      <c r="T1140" s="21" t="s">
        <v>81</v>
      </c>
      <c r="U1140" s="6" t="s">
        <v>81</v>
      </c>
      <c r="V1140" s="6" t="s">
        <v>81</v>
      </c>
      <c r="W1140" s="6" t="s">
        <v>81</v>
      </c>
      <c r="X1140" s="6" t="s">
        <v>81</v>
      </c>
      <c r="Y1140" s="21" t="s">
        <v>81</v>
      </c>
      <c r="Z1140" s="6" t="s">
        <v>81</v>
      </c>
      <c r="AA1140" s="6" t="s">
        <v>81</v>
      </c>
      <c r="AB1140" s="6" t="s">
        <v>81</v>
      </c>
      <c r="AC1140" s="6" t="s">
        <v>10886</v>
      </c>
      <c r="AD1140" s="16" t="n">
        <v>41502</v>
      </c>
      <c r="AE1140" s="6" t="s">
        <v>14239</v>
      </c>
      <c r="AF1140" s="6" t="s">
        <v>81</v>
      </c>
      <c r="AG1140" s="6" t="s">
        <v>14558</v>
      </c>
      <c r="AH1140" s="6" t="s">
        <v>15710</v>
      </c>
      <c r="AI1140" s="6" t="s">
        <v>81</v>
      </c>
      <c r="AJ1140" s="6" t="s">
        <v>17909</v>
      </c>
      <c r="AK1140" s="6" t="s">
        <v>17759</v>
      </c>
      <c r="AL1140" s="6" t="s">
        <v>18444</v>
      </c>
      <c r="AM1140" s="6" t="s">
        <v>19098</v>
      </c>
      <c r="AN1140" s="6" t="s">
        <v>19696</v>
      </c>
      <c r="AO1140" s="6" t="s">
        <v>19974</v>
      </c>
      <c r="AP1140" s="6" t="s">
        <v>20262</v>
      </c>
      <c r="AQ1140" s="6" t="s">
        <v>81</v>
      </c>
      <c r="AR1140" s="6" t="s">
        <v>20535</v>
      </c>
      <c r="AS1140" s="6" t="s">
        <v>18385</v>
      </c>
      <c r="AT1140" s="6" t="s">
        <v>18444</v>
      </c>
      <c r="AU1140" s="6" t="s">
        <v>20659</v>
      </c>
      <c r="AV1140" s="6" t="s">
        <v>81</v>
      </c>
      <c r="AW1140" s="6" t="s">
        <v>81</v>
      </c>
      <c r="AX1140" s="6" t="s">
        <v>21466</v>
      </c>
      <c r="AY1140" s="6" t="s">
        <v>81</v>
      </c>
      <c r="AZ1140" s="6" t="s">
        <v>81</v>
      </c>
      <c r="BA1140" s="6" t="s">
        <v>81</v>
      </c>
      <c r="BB1140" s="6" t="s">
        <v>81</v>
      </c>
      <c r="BC1140" s="26"/>
      <c r="BD1140" s="26"/>
      <c r="BE1140" s="26"/>
      <c r="BF1140" s="26"/>
      <c r="BG1140" s="26"/>
      <c r="BH1140" s="26"/>
      <c r="BI1140" s="26"/>
      <c r="BJ1140" s="26"/>
      <c r="BK1140" s="26"/>
      <c r="BL1140" s="26"/>
      <c r="BM1140" s="26"/>
      <c r="BN1140" s="26"/>
      <c r="BO1140" s="26"/>
      <c r="BP1140" s="16" t="n">
        <v>45737</v>
      </c>
      <c r="BQ1140" s="28" t="str">
        <f>HYPERLINK("https://organic.ams.usda.gov/Integrity/Certificate.aspx?cid=71&amp;nopid=5520168321")</f>
        <v>https://organic.ams.usda.gov/Integrity/Certificate.aspx?cid=71&amp;nopid=5520168321</v>
      </c>
    </row>
    <row r="1141">
      <c r="A1141" t="s">
        <v>3</v>
      </c>
      <c r="B1141" s="6" t="s">
        <v>20</v>
      </c>
      <c r="C1141" s="6" t="s">
        <v>67</v>
      </c>
      <c r="D1141" s="6" t="s">
        <v>113</v>
      </c>
      <c r="E1141" s="10" t="s">
        <v>1282</v>
      </c>
      <c r="F1141" s="6" t="s">
        <v>4009</v>
      </c>
      <c r="G1141" s="6" t="s">
        <v>81</v>
      </c>
      <c r="H1141" s="6" t="s">
        <v>6934</v>
      </c>
      <c r="I1141" s="6" t="s">
        <v>8916</v>
      </c>
      <c r="J1141" s="6" t="s">
        <v>10237</v>
      </c>
      <c r="K1141" s="6" t="s">
        <v>10886</v>
      </c>
      <c r="L1141" s="16" t="n">
        <v>40269</v>
      </c>
      <c r="M1141" s="16" t="n">
        <v>45642</v>
      </c>
      <c r="N1141" s="6" t="s">
        <v>81</v>
      </c>
      <c r="O1141" s="21" t="s">
        <v>81</v>
      </c>
      <c r="P1141" s="6" t="s">
        <v>81</v>
      </c>
      <c r="Q1141" s="6" t="s">
        <v>81</v>
      </c>
      <c r="R1141" s="6" t="s">
        <v>81</v>
      </c>
      <c r="S1141" s="6" t="s">
        <v>81</v>
      </c>
      <c r="T1141" s="21" t="s">
        <v>81</v>
      </c>
      <c r="U1141" s="6" t="s">
        <v>81</v>
      </c>
      <c r="V1141" s="6" t="s">
        <v>81</v>
      </c>
      <c r="W1141" s="6" t="s">
        <v>81</v>
      </c>
      <c r="X1141" s="6" t="s">
        <v>81</v>
      </c>
      <c r="Y1141" s="21" t="s">
        <v>81</v>
      </c>
      <c r="Z1141" s="6" t="s">
        <v>81</v>
      </c>
      <c r="AA1141" s="6" t="s">
        <v>81</v>
      </c>
      <c r="AB1141" s="6" t="s">
        <v>81</v>
      </c>
      <c r="AC1141" s="6" t="s">
        <v>10886</v>
      </c>
      <c r="AD1141" s="16" t="n">
        <v>40269</v>
      </c>
      <c r="AE1141" s="6" t="s">
        <v>14240</v>
      </c>
      <c r="AF1141" s="6" t="s">
        <v>81</v>
      </c>
      <c r="AG1141" s="6" t="s">
        <v>14559</v>
      </c>
      <c r="AH1141" s="6" t="s">
        <v>15711</v>
      </c>
      <c r="AI1141" s="6" t="s">
        <v>81</v>
      </c>
      <c r="AJ1141" s="6" t="s">
        <v>17909</v>
      </c>
      <c r="AK1141" s="6" t="s">
        <v>17759</v>
      </c>
      <c r="AL1141" s="6" t="s">
        <v>18444</v>
      </c>
      <c r="AM1141" s="6" t="s">
        <v>19098</v>
      </c>
      <c r="AN1141" s="6" t="s">
        <v>19696</v>
      </c>
      <c r="AO1141" s="6" t="s">
        <v>19974</v>
      </c>
      <c r="AP1141" s="6" t="s">
        <v>20262</v>
      </c>
      <c r="AQ1141" s="6" t="s">
        <v>81</v>
      </c>
      <c r="AR1141" s="6" t="s">
        <v>20535</v>
      </c>
      <c r="AS1141" s="6" t="s">
        <v>18385</v>
      </c>
      <c r="AT1141" s="6" t="s">
        <v>18444</v>
      </c>
      <c r="AU1141" s="6" t="s">
        <v>20659</v>
      </c>
      <c r="AV1141" s="6" t="s">
        <v>81</v>
      </c>
      <c r="AW1141" s="6" t="s">
        <v>81</v>
      </c>
      <c r="AX1141" s="6" t="s">
        <v>21466</v>
      </c>
      <c r="AY1141" s="6" t="s">
        <v>81</v>
      </c>
      <c r="AZ1141" s="6" t="s">
        <v>81</v>
      </c>
      <c r="BA1141" s="6" t="s">
        <v>81</v>
      </c>
      <c r="BB1141" s="6" t="s">
        <v>81</v>
      </c>
      <c r="BC1141" s="26"/>
      <c r="BD1141" s="26"/>
      <c r="BE1141" s="26"/>
      <c r="BF1141" s="26"/>
      <c r="BG1141" s="26"/>
      <c r="BH1141" s="26"/>
      <c r="BI1141" s="26"/>
      <c r="BJ1141" s="26"/>
      <c r="BK1141" s="26"/>
      <c r="BL1141" s="26"/>
      <c r="BM1141" s="26"/>
      <c r="BN1141" s="26"/>
      <c r="BO1141" s="26"/>
      <c r="BP1141" s="16" t="n">
        <v>45737</v>
      </c>
      <c r="BQ1141" s="28" t="str">
        <f>HYPERLINK("https://organic.ams.usda.gov/Integrity/Certificate.aspx?cid=71&amp;nopid=5520048410")</f>
        <v>https://organic.ams.usda.gov/Integrity/Certificate.aspx?cid=71&amp;nopid=5520048410</v>
      </c>
    </row>
    <row r="1142">
      <c r="A1142" t="s">
        <v>3</v>
      </c>
      <c r="B1142" s="6" t="s">
        <v>47</v>
      </c>
      <c r="C1142" s="6" t="s">
        <v>94</v>
      </c>
      <c r="D1142" s="6" t="s">
        <v>139</v>
      </c>
      <c r="E1142" s="10" t="s">
        <v>1283</v>
      </c>
      <c r="F1142" s="6" t="s">
        <v>4010</v>
      </c>
      <c r="G1142" s="6" t="s">
        <v>81</v>
      </c>
      <c r="H1142" s="6" t="s">
        <v>6935</v>
      </c>
      <c r="I1142" s="6" t="s">
        <v>9034</v>
      </c>
      <c r="J1142" s="6" t="s">
        <v>10238</v>
      </c>
      <c r="K1142" s="6" t="s">
        <v>10886</v>
      </c>
      <c r="L1142" s="16" t="n">
        <v>45545</v>
      </c>
      <c r="M1142" s="16" t="n">
        <v>45689</v>
      </c>
      <c r="N1142" s="6" t="s">
        <v>81</v>
      </c>
      <c r="O1142" s="21" t="s">
        <v>81</v>
      </c>
      <c r="P1142" s="6" t="s">
        <v>81</v>
      </c>
      <c r="Q1142" s="6" t="s">
        <v>81</v>
      </c>
      <c r="R1142" s="6" t="s">
        <v>81</v>
      </c>
      <c r="S1142" s="6" t="s">
        <v>81</v>
      </c>
      <c r="T1142" s="21" t="s">
        <v>81</v>
      </c>
      <c r="U1142" s="6" t="s">
        <v>81</v>
      </c>
      <c r="V1142" s="6" t="s">
        <v>81</v>
      </c>
      <c r="W1142" s="6" t="s">
        <v>81</v>
      </c>
      <c r="X1142" s="6" t="s">
        <v>81</v>
      </c>
      <c r="Y1142" s="21" t="s">
        <v>81</v>
      </c>
      <c r="Z1142" s="6" t="s">
        <v>81</v>
      </c>
      <c r="AA1142" s="6" t="s">
        <v>81</v>
      </c>
      <c r="AB1142" s="6" t="s">
        <v>81</v>
      </c>
      <c r="AC1142" s="6" t="s">
        <v>10886</v>
      </c>
      <c r="AD1142" s="16" t="n">
        <v>45545</v>
      </c>
      <c r="AE1142" s="6" t="s">
        <v>14241</v>
      </c>
      <c r="AF1142" s="6" t="s">
        <v>81</v>
      </c>
      <c r="AG1142" s="6" t="s">
        <v>81</v>
      </c>
      <c r="AH1142" s="6" t="s">
        <v>15712</v>
      </c>
      <c r="AI1142" s="6" t="s">
        <v>81</v>
      </c>
      <c r="AJ1142" s="6" t="s">
        <v>17463</v>
      </c>
      <c r="AK1142" s="6" t="s">
        <v>18424</v>
      </c>
      <c r="AL1142" s="6" t="s">
        <v>18455</v>
      </c>
      <c r="AM1142" s="6" t="s">
        <v>19099</v>
      </c>
      <c r="AN1142" s="6" t="s">
        <v>81</v>
      </c>
      <c r="AO1142" s="6" t="s">
        <v>81</v>
      </c>
      <c r="AP1142" s="6" t="s">
        <v>81</v>
      </c>
      <c r="AQ1142" s="6" t="s">
        <v>81</v>
      </c>
      <c r="AR1142" s="6" t="s">
        <v>81</v>
      </c>
      <c r="AS1142" s="6" t="s">
        <v>81</v>
      </c>
      <c r="AT1142" s="6" t="s">
        <v>81</v>
      </c>
      <c r="AU1142" s="6" t="s">
        <v>81</v>
      </c>
      <c r="AV1142" s="6" t="s">
        <v>81</v>
      </c>
      <c r="AW1142" s="6" t="s">
        <v>81</v>
      </c>
      <c r="AX1142" s="6" t="s">
        <v>21467</v>
      </c>
      <c r="AY1142" s="6" t="s">
        <v>22990</v>
      </c>
      <c r="AZ1142" s="6" t="s">
        <v>81</v>
      </c>
      <c r="BA1142" s="6" t="s">
        <v>23862</v>
      </c>
      <c r="BB1142" s="6" t="s">
        <v>81</v>
      </c>
      <c r="BC1142" s="26"/>
      <c r="BD1142" s="26"/>
      <c r="BE1142" s="26"/>
      <c r="BF1142" s="26"/>
      <c r="BG1142" s="26"/>
      <c r="BH1142" s="26"/>
      <c r="BI1142" s="26"/>
      <c r="BJ1142" s="26"/>
      <c r="BK1142" s="26"/>
      <c r="BL1142" s="26"/>
      <c r="BM1142" s="26"/>
      <c r="BN1142" s="26"/>
      <c r="BO1142" s="26"/>
      <c r="BP1142" s="16" t="n">
        <v>45553</v>
      </c>
      <c r="BQ1142" s="28" t="str">
        <f>HYPERLINK("https://organic.ams.usda.gov/Integrity/Certificate.aspx?cid=60&amp;nopid=2580006974")</f>
        <v>https://organic.ams.usda.gov/Integrity/Certificate.aspx?cid=60&amp;nopid=2580006974</v>
      </c>
    </row>
    <row r="1143">
      <c r="A1143" t="s">
        <v>3</v>
      </c>
      <c r="B1143" s="6" t="s">
        <v>23</v>
      </c>
      <c r="C1143" s="6" t="s">
        <v>70</v>
      </c>
      <c r="D1143" s="6" t="s">
        <v>116</v>
      </c>
      <c r="E1143" s="10" t="s">
        <v>1284</v>
      </c>
      <c r="F1143" s="6" t="s">
        <v>4011</v>
      </c>
      <c r="G1143" s="6" t="s">
        <v>81</v>
      </c>
      <c r="H1143" s="6" t="s">
        <v>6936</v>
      </c>
      <c r="I1143" s="6" t="s">
        <v>9035</v>
      </c>
      <c r="J1143" s="6" t="s">
        <v>10239</v>
      </c>
      <c r="K1143" s="6" t="s">
        <v>10886</v>
      </c>
      <c r="L1143" s="16" t="n">
        <v>45042</v>
      </c>
      <c r="M1143" s="16" t="n">
        <v>46138</v>
      </c>
      <c r="N1143" s="6" t="s">
        <v>81</v>
      </c>
      <c r="O1143" s="21" t="s">
        <v>81</v>
      </c>
      <c r="P1143" s="6" t="s">
        <v>81</v>
      </c>
      <c r="Q1143" s="6" t="s">
        <v>81</v>
      </c>
      <c r="R1143" s="6" t="s">
        <v>81</v>
      </c>
      <c r="S1143" s="6" t="s">
        <v>81</v>
      </c>
      <c r="T1143" s="21" t="s">
        <v>81</v>
      </c>
      <c r="U1143" s="6" t="s">
        <v>81</v>
      </c>
      <c r="V1143" s="6" t="s">
        <v>81</v>
      </c>
      <c r="W1143" s="6" t="s">
        <v>81</v>
      </c>
      <c r="X1143" s="6" t="s">
        <v>81</v>
      </c>
      <c r="Y1143" s="21" t="s">
        <v>81</v>
      </c>
      <c r="Z1143" s="6" t="s">
        <v>81</v>
      </c>
      <c r="AA1143" s="6" t="s">
        <v>81</v>
      </c>
      <c r="AB1143" s="6" t="s">
        <v>81</v>
      </c>
      <c r="AC1143" s="6" t="s">
        <v>10886</v>
      </c>
      <c r="AD1143" s="16" t="n">
        <v>45042</v>
      </c>
      <c r="AE1143" s="6" t="s">
        <v>14242</v>
      </c>
      <c r="AF1143" s="6" t="s">
        <v>81</v>
      </c>
      <c r="AG1143" s="6" t="s">
        <v>81</v>
      </c>
      <c r="AH1143" s="6" t="s">
        <v>15713</v>
      </c>
      <c r="AI1143" s="6" t="s">
        <v>81</v>
      </c>
      <c r="AJ1143" s="6" t="s">
        <v>17561</v>
      </c>
      <c r="AK1143" s="6" t="s">
        <v>18386</v>
      </c>
      <c r="AL1143" s="6" t="s">
        <v>18444</v>
      </c>
      <c r="AM1143" s="6" t="s">
        <v>18760</v>
      </c>
      <c r="AN1143" s="6" t="s">
        <v>81</v>
      </c>
      <c r="AO1143" s="6" t="s">
        <v>81</v>
      </c>
      <c r="AP1143" s="6" t="s">
        <v>20263</v>
      </c>
      <c r="AQ1143" s="6" t="s">
        <v>81</v>
      </c>
      <c r="AR1143" s="6" t="s">
        <v>17561</v>
      </c>
      <c r="AS1143" s="6" t="s">
        <v>18386</v>
      </c>
      <c r="AT1143" s="6" t="s">
        <v>18444</v>
      </c>
      <c r="AU1143" s="6" t="s">
        <v>18760</v>
      </c>
      <c r="AV1143" s="6" t="s">
        <v>19672</v>
      </c>
      <c r="AW1143" s="6" t="s">
        <v>19787</v>
      </c>
      <c r="AX1143" s="6" t="s">
        <v>21468</v>
      </c>
      <c r="AY1143" s="6" t="s">
        <v>22991</v>
      </c>
      <c r="AZ1143" s="6" t="s">
        <v>81</v>
      </c>
      <c r="BA1143" s="6" t="s">
        <v>81</v>
      </c>
      <c r="BB1143" s="6" t="s">
        <v>81</v>
      </c>
      <c r="BC1143" s="26"/>
      <c r="BD1143" s="26"/>
      <c r="BE1143" s="26"/>
      <c r="BF1143" s="26"/>
      <c r="BG1143" s="26"/>
      <c r="BH1143" s="26"/>
      <c r="BI1143" s="26"/>
      <c r="BJ1143" s="26"/>
      <c r="BK1143" s="26"/>
      <c r="BL1143" s="26"/>
      <c r="BM1143" s="26"/>
      <c r="BN1143" s="26"/>
      <c r="BO1143" s="26"/>
      <c r="BP1143" s="16" t="n">
        <v>45727</v>
      </c>
      <c r="BQ1143" s="28" t="str">
        <f>HYPERLINK("https://organic.ams.usda.gov/Integrity/Certificate.aspx?cid=63&amp;nopid=6220009131")</f>
        <v>https://organic.ams.usda.gov/Integrity/Certificate.aspx?cid=63&amp;nopid=6220009131</v>
      </c>
    </row>
    <row r="1144">
      <c r="A1144" t="s">
        <v>3</v>
      </c>
      <c r="B1144" s="6" t="s">
        <v>47</v>
      </c>
      <c r="C1144" s="6" t="s">
        <v>94</v>
      </c>
      <c r="D1144" s="6" t="s">
        <v>139</v>
      </c>
      <c r="E1144" s="10" t="s">
        <v>1285</v>
      </c>
      <c r="F1144" s="6" t="s">
        <v>4012</v>
      </c>
      <c r="G1144" s="6" t="s">
        <v>81</v>
      </c>
      <c r="H1144" s="6" t="s">
        <v>6937</v>
      </c>
      <c r="I1144" s="6" t="s">
        <v>8732</v>
      </c>
      <c r="J1144" s="6" t="s">
        <v>10240</v>
      </c>
      <c r="K1144" s="6" t="s">
        <v>10886</v>
      </c>
      <c r="L1144" s="16" t="n">
        <v>40869</v>
      </c>
      <c r="M1144" s="16" t="n">
        <v>45809</v>
      </c>
      <c r="N1144" s="6" t="s">
        <v>81</v>
      </c>
      <c r="O1144" s="21" t="s">
        <v>81</v>
      </c>
      <c r="P1144" s="6" t="s">
        <v>81</v>
      </c>
      <c r="Q1144" s="6" t="s">
        <v>81</v>
      </c>
      <c r="R1144" s="6" t="s">
        <v>81</v>
      </c>
      <c r="S1144" s="6" t="s">
        <v>81</v>
      </c>
      <c r="T1144" s="21" t="s">
        <v>81</v>
      </c>
      <c r="U1144" s="6" t="s">
        <v>81</v>
      </c>
      <c r="V1144" s="6" t="s">
        <v>81</v>
      </c>
      <c r="W1144" s="6" t="s">
        <v>81</v>
      </c>
      <c r="X1144" s="6" t="s">
        <v>81</v>
      </c>
      <c r="Y1144" s="21" t="s">
        <v>81</v>
      </c>
      <c r="Z1144" s="6" t="s">
        <v>81</v>
      </c>
      <c r="AA1144" s="6" t="s">
        <v>81</v>
      </c>
      <c r="AB1144" s="6" t="s">
        <v>81</v>
      </c>
      <c r="AC1144" s="6" t="s">
        <v>10886</v>
      </c>
      <c r="AD1144" s="16" t="n">
        <v>40869</v>
      </c>
      <c r="AE1144" s="6" t="s">
        <v>14243</v>
      </c>
      <c r="AF1144" s="6" t="s">
        <v>81</v>
      </c>
      <c r="AG1144" s="6" t="s">
        <v>81</v>
      </c>
      <c r="AH1144" s="6" t="s">
        <v>15714</v>
      </c>
      <c r="AI1144" s="6" t="s">
        <v>81</v>
      </c>
      <c r="AJ1144" s="6" t="s">
        <v>17910</v>
      </c>
      <c r="AK1144" s="6" t="s">
        <v>18403</v>
      </c>
      <c r="AL1144" s="6" t="s">
        <v>18444</v>
      </c>
      <c r="AM1144" s="6" t="s">
        <v>19100</v>
      </c>
      <c r="AN1144" s="6" t="s">
        <v>7295</v>
      </c>
      <c r="AO1144" s="6" t="s">
        <v>19975</v>
      </c>
      <c r="AP1144" s="6" t="s">
        <v>20264</v>
      </c>
      <c r="AQ1144" s="6" t="s">
        <v>81</v>
      </c>
      <c r="AR1144" s="6" t="s">
        <v>20536</v>
      </c>
      <c r="AS1144" s="6" t="s">
        <v>18403</v>
      </c>
      <c r="AT1144" s="6" t="s">
        <v>18444</v>
      </c>
      <c r="AU1144" s="6" t="s">
        <v>20660</v>
      </c>
      <c r="AV1144" s="6" t="s">
        <v>81</v>
      </c>
      <c r="AW1144" s="6" t="s">
        <v>81</v>
      </c>
      <c r="AX1144" s="6" t="s">
        <v>21469</v>
      </c>
      <c r="AY1144" s="6" t="s">
        <v>22992</v>
      </c>
      <c r="AZ1144" s="6" t="s">
        <v>81</v>
      </c>
      <c r="BA1144" s="6" t="s">
        <v>81</v>
      </c>
      <c r="BB1144" s="6" t="s">
        <v>81</v>
      </c>
      <c r="BC1144" s="26"/>
      <c r="BD1144" s="26"/>
      <c r="BE1144" s="26"/>
      <c r="BF1144" s="26"/>
      <c r="BG1144" s="26" t="s">
        <v>23900</v>
      </c>
      <c r="BH1144" s="26"/>
      <c r="BI1144" s="26"/>
      <c r="BJ1144" s="26"/>
      <c r="BK1144" s="26"/>
      <c r="BL1144" s="26"/>
      <c r="BM1144" s="26"/>
      <c r="BN1144" s="26" t="s">
        <v>23900</v>
      </c>
      <c r="BO1144" s="26"/>
      <c r="BP1144" s="16" t="n">
        <v>45597</v>
      </c>
      <c r="BQ1144" s="28" t="str">
        <f>HYPERLINK("https://organic.ams.usda.gov/Integrity/Certificate.aspx?cid=60&amp;nopid=2580001101")</f>
        <v>https://organic.ams.usda.gov/Integrity/Certificate.aspx?cid=60&amp;nopid=2580001101</v>
      </c>
    </row>
    <row r="1145">
      <c r="A1145" t="s">
        <v>3</v>
      </c>
      <c r="B1145" s="6" t="s">
        <v>13</v>
      </c>
      <c r="C1145" s="6" t="s">
        <v>60</v>
      </c>
      <c r="D1145" s="6" t="s">
        <v>106</v>
      </c>
      <c r="E1145" s="10" t="s">
        <v>1286</v>
      </c>
      <c r="F1145" s="6" t="s">
        <v>4013</v>
      </c>
      <c r="G1145" s="6" t="s">
        <v>81</v>
      </c>
      <c r="H1145" s="6" t="s">
        <v>6938</v>
      </c>
      <c r="I1145" s="6" t="s">
        <v>9036</v>
      </c>
      <c r="J1145" s="6" t="s">
        <v>10241</v>
      </c>
      <c r="K1145" s="6" t="s">
        <v>10886</v>
      </c>
      <c r="L1145" s="16" t="n">
        <v>41379</v>
      </c>
      <c r="M1145" s="16" t="n">
        <v>45748</v>
      </c>
      <c r="N1145" s="6" t="s">
        <v>10886</v>
      </c>
      <c r="O1145" s="16" t="n">
        <v>41379</v>
      </c>
      <c r="P1145" s="6" t="s">
        <v>11575</v>
      </c>
      <c r="Q1145" s="6" t="s">
        <v>81</v>
      </c>
      <c r="R1145" s="6" t="s">
        <v>12739</v>
      </c>
      <c r="S1145" s="6" t="s">
        <v>10886</v>
      </c>
      <c r="T1145" s="16" t="n">
        <v>41379</v>
      </c>
      <c r="U1145" s="6" t="s">
        <v>13557</v>
      </c>
      <c r="V1145" s="6" t="s">
        <v>81</v>
      </c>
      <c r="W1145" s="6" t="s">
        <v>12739</v>
      </c>
      <c r="X1145" s="6" t="s">
        <v>81</v>
      </c>
      <c r="Y1145" s="21" t="s">
        <v>81</v>
      </c>
      <c r="Z1145" s="6" t="s">
        <v>81</v>
      </c>
      <c r="AA1145" s="6" t="s">
        <v>81</v>
      </c>
      <c r="AB1145" s="6" t="s">
        <v>81</v>
      </c>
      <c r="AC1145" s="6" t="s">
        <v>81</v>
      </c>
      <c r="AD1145" s="21" t="s">
        <v>81</v>
      </c>
      <c r="AE1145" s="6" t="s">
        <v>81</v>
      </c>
      <c r="AF1145" s="6" t="s">
        <v>81</v>
      </c>
      <c r="AG1145" s="6" t="s">
        <v>81</v>
      </c>
      <c r="AH1145" s="6" t="s">
        <v>15715</v>
      </c>
      <c r="AI1145" s="6" t="s">
        <v>81</v>
      </c>
      <c r="AJ1145" s="6" t="s">
        <v>17911</v>
      </c>
      <c r="AK1145" s="6" t="s">
        <v>18425</v>
      </c>
      <c r="AL1145" s="6" t="s">
        <v>18456</v>
      </c>
      <c r="AM1145" s="6" t="s">
        <v>81</v>
      </c>
      <c r="AN1145" s="6" t="s">
        <v>81</v>
      </c>
      <c r="AO1145" s="6" t="s">
        <v>81</v>
      </c>
      <c r="AP1145" s="6" t="s">
        <v>15715</v>
      </c>
      <c r="AQ1145" s="6" t="s">
        <v>81</v>
      </c>
      <c r="AR1145" s="6" t="s">
        <v>17911</v>
      </c>
      <c r="AS1145" s="6" t="s">
        <v>18425</v>
      </c>
      <c r="AT1145" s="6" t="s">
        <v>18456</v>
      </c>
      <c r="AU1145" s="6" t="s">
        <v>81</v>
      </c>
      <c r="AV1145" s="6" t="s">
        <v>81</v>
      </c>
      <c r="AW1145" s="6" t="s">
        <v>81</v>
      </c>
      <c r="AX1145" s="6" t="s">
        <v>21470</v>
      </c>
      <c r="AY1145" s="6" t="s">
        <v>22993</v>
      </c>
      <c r="AZ1145" s="6" t="s">
        <v>81</v>
      </c>
      <c r="BA1145" s="6" t="s">
        <v>81</v>
      </c>
      <c r="BB1145" s="24" t="n">
        <v>5436</v>
      </c>
      <c r="BC1145" s="26"/>
      <c r="BD1145" s="26"/>
      <c r="BE1145" s="26"/>
      <c r="BF1145" s="26" t="s">
        <v>23900</v>
      </c>
      <c r="BG1145" s="26"/>
      <c r="BH1145" s="26"/>
      <c r="BI1145" s="26"/>
      <c r="BJ1145" s="26"/>
      <c r="BK1145" s="26" t="s">
        <v>23900</v>
      </c>
      <c r="BL1145" s="26" t="s">
        <v>23900</v>
      </c>
      <c r="BM1145" s="26"/>
      <c r="BN1145" s="26"/>
      <c r="BO1145" s="26"/>
      <c r="BP1145" s="16" t="n">
        <v>45663</v>
      </c>
      <c r="BQ1145" s="28" t="str">
        <f>HYPERLINK("https://organic.ams.usda.gov/Integrity/Certificate.aspx?cid=72&amp;nopid=5870001591")</f>
        <v>https://organic.ams.usda.gov/Integrity/Certificate.aspx?cid=72&amp;nopid=5870001591</v>
      </c>
    </row>
    <row r="1146">
      <c r="A1146" t="s">
        <v>3</v>
      </c>
      <c r="B1146" s="6" t="s">
        <v>8</v>
      </c>
      <c r="C1146" s="6" t="s">
        <v>55</v>
      </c>
      <c r="D1146" s="6" t="s">
        <v>101</v>
      </c>
      <c r="E1146" s="10" t="s">
        <v>1287</v>
      </c>
      <c r="F1146" s="6" t="s">
        <v>4014</v>
      </c>
      <c r="G1146" s="6" t="s">
        <v>81</v>
      </c>
      <c r="H1146" s="6" t="s">
        <v>6939</v>
      </c>
      <c r="I1146" s="6" t="s">
        <v>8511</v>
      </c>
      <c r="J1146" s="6" t="s">
        <v>10242</v>
      </c>
      <c r="K1146" s="6" t="s">
        <v>10886</v>
      </c>
      <c r="L1146" s="16" t="n">
        <v>36866</v>
      </c>
      <c r="M1146" s="16" t="n">
        <v>45748</v>
      </c>
      <c r="N1146" s="6" t="s">
        <v>10886</v>
      </c>
      <c r="O1146" s="16" t="n">
        <v>36866</v>
      </c>
      <c r="P1146" s="6" t="s">
        <v>11576</v>
      </c>
      <c r="Q1146" s="6" t="s">
        <v>81</v>
      </c>
      <c r="R1146" s="6" t="s">
        <v>6939</v>
      </c>
      <c r="S1146" s="6" t="s">
        <v>10886</v>
      </c>
      <c r="T1146" s="16" t="n">
        <v>36866</v>
      </c>
      <c r="U1146" s="6" t="s">
        <v>13179</v>
      </c>
      <c r="V1146" s="6" t="s">
        <v>81</v>
      </c>
      <c r="W1146" s="6" t="s">
        <v>6939</v>
      </c>
      <c r="X1146" s="6" t="s">
        <v>81</v>
      </c>
      <c r="Y1146" s="21" t="s">
        <v>81</v>
      </c>
      <c r="Z1146" s="6" t="s">
        <v>81</v>
      </c>
      <c r="AA1146" s="6" t="s">
        <v>81</v>
      </c>
      <c r="AB1146" s="6" t="s">
        <v>81</v>
      </c>
      <c r="AC1146" s="6" t="s">
        <v>81</v>
      </c>
      <c r="AD1146" s="21" t="s">
        <v>81</v>
      </c>
      <c r="AE1146" s="6" t="s">
        <v>81</v>
      </c>
      <c r="AF1146" s="6" t="s">
        <v>81</v>
      </c>
      <c r="AG1146" s="6" t="s">
        <v>81</v>
      </c>
      <c r="AH1146" s="6" t="s">
        <v>15716</v>
      </c>
      <c r="AI1146" s="6" t="s">
        <v>81</v>
      </c>
      <c r="AJ1146" s="6" t="s">
        <v>17842</v>
      </c>
      <c r="AK1146" s="6" t="s">
        <v>18377</v>
      </c>
      <c r="AL1146" s="6" t="s">
        <v>18444</v>
      </c>
      <c r="AM1146" s="6" t="s">
        <v>19024</v>
      </c>
      <c r="AN1146" s="6" t="s">
        <v>19683</v>
      </c>
      <c r="AO1146" s="6" t="s">
        <v>19837</v>
      </c>
      <c r="AP1146" s="6" t="s">
        <v>20265</v>
      </c>
      <c r="AQ1146" s="6" t="s">
        <v>81</v>
      </c>
      <c r="AR1146" s="6" t="s">
        <v>17842</v>
      </c>
      <c r="AS1146" s="6" t="s">
        <v>18377</v>
      </c>
      <c r="AT1146" s="6" t="s">
        <v>18444</v>
      </c>
      <c r="AU1146" s="6" t="s">
        <v>19024</v>
      </c>
      <c r="AV1146" s="6" t="s">
        <v>81</v>
      </c>
      <c r="AW1146" s="6" t="s">
        <v>81</v>
      </c>
      <c r="AX1146" s="6" t="s">
        <v>81</v>
      </c>
      <c r="AY1146" s="6" t="s">
        <v>22994</v>
      </c>
      <c r="AZ1146" s="6" t="s">
        <v>81</v>
      </c>
      <c r="BA1146" s="6" t="s">
        <v>23824</v>
      </c>
      <c r="BB1146" s="24" t="n">
        <v>284</v>
      </c>
      <c r="BC1146" s="26"/>
      <c r="BD1146" s="26"/>
      <c r="BE1146" s="26"/>
      <c r="BF1146" s="26" t="s">
        <v>23900</v>
      </c>
      <c r="BG1146" s="26"/>
      <c r="BH1146" s="26"/>
      <c r="BI1146" s="26"/>
      <c r="BJ1146" s="26"/>
      <c r="BK1146" s="26"/>
      <c r="BL1146" s="26"/>
      <c r="BM1146" s="26"/>
      <c r="BN1146" s="26"/>
      <c r="BO1146" s="26"/>
      <c r="BP1146" s="16" t="n">
        <v>45645</v>
      </c>
      <c r="BQ1146" s="28" t="str">
        <f>HYPERLINK("https://organic.ams.usda.gov/Integrity/Certificate.aspx?cid=45&amp;nopid=9950000324")</f>
        <v>https://organic.ams.usda.gov/Integrity/Certificate.aspx?cid=45&amp;nopid=9950000324</v>
      </c>
    </row>
    <row r="1147">
      <c r="A1147" t="s">
        <v>3</v>
      </c>
      <c r="B1147" s="6" t="s">
        <v>24</v>
      </c>
      <c r="C1147" s="6" t="s">
        <v>71</v>
      </c>
      <c r="D1147" s="6" t="s">
        <v>117</v>
      </c>
      <c r="E1147" s="10" t="s">
        <v>1288</v>
      </c>
      <c r="F1147" s="6" t="s">
        <v>4015</v>
      </c>
      <c r="G1147" s="6" t="s">
        <v>81</v>
      </c>
      <c r="H1147" s="6" t="s">
        <v>81</v>
      </c>
      <c r="I1147" s="6" t="s">
        <v>9029</v>
      </c>
      <c r="J1147" s="6" t="s">
        <v>9233</v>
      </c>
      <c r="K1147" s="6" t="s">
        <v>10886</v>
      </c>
      <c r="L1147" s="16" t="n">
        <v>44628</v>
      </c>
      <c r="M1147" s="16" t="n">
        <v>45809</v>
      </c>
      <c r="N1147" s="6" t="s">
        <v>10886</v>
      </c>
      <c r="O1147" s="16" t="n">
        <v>44628</v>
      </c>
      <c r="P1147" s="6" t="s">
        <v>11577</v>
      </c>
      <c r="Q1147" s="6" t="s">
        <v>81</v>
      </c>
      <c r="R1147" s="6" t="s">
        <v>81</v>
      </c>
      <c r="S1147" s="6" t="s">
        <v>10886</v>
      </c>
      <c r="T1147" s="16" t="n">
        <v>44628</v>
      </c>
      <c r="U1147" s="6" t="s">
        <v>13558</v>
      </c>
      <c r="V1147" s="6" t="s">
        <v>81</v>
      </c>
      <c r="W1147" s="6" t="s">
        <v>81</v>
      </c>
      <c r="X1147" s="6" t="s">
        <v>81</v>
      </c>
      <c r="Y1147" s="21" t="s">
        <v>81</v>
      </c>
      <c r="Z1147" s="6" t="s">
        <v>81</v>
      </c>
      <c r="AA1147" s="6" t="s">
        <v>81</v>
      </c>
      <c r="AB1147" s="6" t="s">
        <v>81</v>
      </c>
      <c r="AC1147" s="6" t="s">
        <v>10886</v>
      </c>
      <c r="AD1147" s="16" t="n">
        <v>44628</v>
      </c>
      <c r="AE1147" s="6" t="s">
        <v>14014</v>
      </c>
      <c r="AF1147" s="6" t="s">
        <v>81</v>
      </c>
      <c r="AG1147" s="6" t="s">
        <v>81</v>
      </c>
      <c r="AH1147" s="6" t="s">
        <v>15717</v>
      </c>
      <c r="AI1147" s="6" t="s">
        <v>81</v>
      </c>
      <c r="AJ1147" s="6" t="s">
        <v>17311</v>
      </c>
      <c r="AK1147" s="6" t="s">
        <v>17712</v>
      </c>
      <c r="AL1147" s="6" t="s">
        <v>18444</v>
      </c>
      <c r="AM1147" s="6" t="s">
        <v>18463</v>
      </c>
      <c r="AN1147" s="6" t="s">
        <v>19634</v>
      </c>
      <c r="AO1147" s="6" t="s">
        <v>19719</v>
      </c>
      <c r="AP1147" s="6" t="s">
        <v>15717</v>
      </c>
      <c r="AQ1147" s="6" t="s">
        <v>81</v>
      </c>
      <c r="AR1147" s="6" t="s">
        <v>17311</v>
      </c>
      <c r="AS1147" s="6" t="s">
        <v>17712</v>
      </c>
      <c r="AT1147" s="6" t="s">
        <v>18444</v>
      </c>
      <c r="AU1147" s="6" t="s">
        <v>18463</v>
      </c>
      <c r="AV1147" s="6" t="s">
        <v>81</v>
      </c>
      <c r="AW1147" s="6" t="s">
        <v>81</v>
      </c>
      <c r="AX1147" s="6" t="s">
        <v>81</v>
      </c>
      <c r="AY1147" s="6" t="s">
        <v>81</v>
      </c>
      <c r="AZ1147" s="6" t="s">
        <v>81</v>
      </c>
      <c r="BA1147" s="6" t="s">
        <v>81</v>
      </c>
      <c r="BB1147" s="24" t="n">
        <v>171</v>
      </c>
      <c r="BC1147" s="26"/>
      <c r="BD1147" s="26"/>
      <c r="BE1147" s="26"/>
      <c r="BF1147" s="26"/>
      <c r="BG1147" s="26"/>
      <c r="BH1147" s="26"/>
      <c r="BI1147" s="26"/>
      <c r="BJ1147" s="26"/>
      <c r="BK1147" s="26"/>
      <c r="BL1147" s="26"/>
      <c r="BM1147" s="26"/>
      <c r="BN1147" s="26"/>
      <c r="BO1147" s="26"/>
      <c r="BP1147" s="16" t="n">
        <v>45628</v>
      </c>
      <c r="BQ1147" s="28" t="str">
        <f>HYPERLINK("https://organic.ams.usda.gov/Integrity/Certificate.aspx?cid=1&amp;nopid=9092135402")</f>
        <v>https://organic.ams.usda.gov/Integrity/Certificate.aspx?cid=1&amp;nopid=9092135402</v>
      </c>
    </row>
    <row r="1148">
      <c r="A1148" t="s">
        <v>3</v>
      </c>
      <c r="B1148" s="6" t="s">
        <v>7</v>
      </c>
      <c r="C1148" s="6" t="s">
        <v>54</v>
      </c>
      <c r="D1148" s="6" t="s">
        <v>100</v>
      </c>
      <c r="E1148" s="10" t="s">
        <v>1289</v>
      </c>
      <c r="F1148" s="6" t="s">
        <v>4016</v>
      </c>
      <c r="G1148" s="6" t="s">
        <v>81</v>
      </c>
      <c r="H1148" s="6" t="s">
        <v>6940</v>
      </c>
      <c r="I1148" s="6" t="s">
        <v>9029</v>
      </c>
      <c r="J1148" s="6" t="s">
        <v>9233</v>
      </c>
      <c r="K1148" s="6" t="s">
        <v>10886</v>
      </c>
      <c r="L1148" s="16" t="n">
        <v>40040</v>
      </c>
      <c r="M1148" s="16" t="n">
        <v>45716</v>
      </c>
      <c r="N1148" s="6" t="s">
        <v>10886</v>
      </c>
      <c r="O1148" s="16" t="n">
        <v>40040</v>
      </c>
      <c r="P1148" s="6" t="s">
        <v>11578</v>
      </c>
      <c r="Q1148" s="6" t="s">
        <v>81</v>
      </c>
      <c r="R1148" s="6" t="s">
        <v>81</v>
      </c>
      <c r="S1148" s="6" t="s">
        <v>10886</v>
      </c>
      <c r="T1148" s="16" t="n">
        <v>40232</v>
      </c>
      <c r="U1148" s="6" t="s">
        <v>13169</v>
      </c>
      <c r="V1148" s="6" t="s">
        <v>81</v>
      </c>
      <c r="W1148" s="6" t="s">
        <v>81</v>
      </c>
      <c r="X1148" s="6" t="s">
        <v>81</v>
      </c>
      <c r="Y1148" s="21" t="s">
        <v>81</v>
      </c>
      <c r="Z1148" s="6" t="s">
        <v>81</v>
      </c>
      <c r="AA1148" s="6" t="s">
        <v>81</v>
      </c>
      <c r="AB1148" s="6" t="s">
        <v>81</v>
      </c>
      <c r="AC1148" s="6" t="s">
        <v>81</v>
      </c>
      <c r="AD1148" s="21" t="s">
        <v>81</v>
      </c>
      <c r="AE1148" s="6" t="s">
        <v>81</v>
      </c>
      <c r="AF1148" s="6" t="s">
        <v>81</v>
      </c>
      <c r="AG1148" s="6" t="s">
        <v>81</v>
      </c>
      <c r="AH1148" s="6" t="s">
        <v>15718</v>
      </c>
      <c r="AI1148" s="6" t="s">
        <v>81</v>
      </c>
      <c r="AJ1148" s="6" t="s">
        <v>17454</v>
      </c>
      <c r="AK1148" s="6" t="s">
        <v>17712</v>
      </c>
      <c r="AL1148" s="6" t="s">
        <v>18444</v>
      </c>
      <c r="AM1148" s="6" t="s">
        <v>7228</v>
      </c>
      <c r="AN1148" s="6" t="s">
        <v>19661</v>
      </c>
      <c r="AO1148" s="6" t="s">
        <v>19841</v>
      </c>
      <c r="AP1148" s="6" t="s">
        <v>15718</v>
      </c>
      <c r="AQ1148" s="6" t="s">
        <v>81</v>
      </c>
      <c r="AR1148" s="6" t="s">
        <v>17454</v>
      </c>
      <c r="AS1148" s="6" t="s">
        <v>17712</v>
      </c>
      <c r="AT1148" s="6" t="s">
        <v>18444</v>
      </c>
      <c r="AU1148" s="6" t="s">
        <v>7228</v>
      </c>
      <c r="AV1148" s="6" t="s">
        <v>81</v>
      </c>
      <c r="AW1148" s="6" t="s">
        <v>81</v>
      </c>
      <c r="AX1148" s="6" t="s">
        <v>21471</v>
      </c>
      <c r="AY1148" s="6" t="s">
        <v>81</v>
      </c>
      <c r="AZ1148" s="6" t="s">
        <v>81</v>
      </c>
      <c r="BA1148" s="6" t="s">
        <v>81</v>
      </c>
      <c r="BB1148" s="24" t="n">
        <v>152</v>
      </c>
      <c r="BC1148" s="26"/>
      <c r="BD1148" s="26"/>
      <c r="BE1148" s="26"/>
      <c r="BF1148" s="26"/>
      <c r="BG1148" s="26"/>
      <c r="BH1148" s="26"/>
      <c r="BI1148" s="26"/>
      <c r="BJ1148" s="26"/>
      <c r="BK1148" s="26"/>
      <c r="BL1148" s="26"/>
      <c r="BM1148" s="26"/>
      <c r="BN1148" s="26"/>
      <c r="BO1148" s="26"/>
      <c r="BP1148" s="16" t="n">
        <v>45595</v>
      </c>
      <c r="BQ1148" s="28" t="str">
        <f>HYPERLINK("https://organic.ams.usda.gov/Integrity/Certificate.aspx?cid=57&amp;nopid=3252007025")</f>
        <v>https://organic.ams.usda.gov/Integrity/Certificate.aspx?cid=57&amp;nopid=3252007025</v>
      </c>
    </row>
    <row r="1149">
      <c r="A1149" t="s">
        <v>3</v>
      </c>
      <c r="B1149" s="6" t="s">
        <v>7</v>
      </c>
      <c r="C1149" s="6" t="s">
        <v>54</v>
      </c>
      <c r="D1149" s="6" t="s">
        <v>100</v>
      </c>
      <c r="E1149" s="10" t="s">
        <v>1290</v>
      </c>
      <c r="F1149" s="6" t="s">
        <v>4017</v>
      </c>
      <c r="G1149" s="6" t="s">
        <v>81</v>
      </c>
      <c r="H1149" s="6" t="s">
        <v>6941</v>
      </c>
      <c r="I1149" s="6" t="s">
        <v>9037</v>
      </c>
      <c r="J1149" s="6" t="s">
        <v>10197</v>
      </c>
      <c r="K1149" s="6" t="s">
        <v>10886</v>
      </c>
      <c r="L1149" s="16" t="n">
        <v>45310</v>
      </c>
      <c r="M1149" s="16" t="n">
        <v>45716</v>
      </c>
      <c r="N1149" s="6" t="s">
        <v>10886</v>
      </c>
      <c r="O1149" s="16" t="n">
        <v>45310</v>
      </c>
      <c r="P1149" s="6" t="s">
        <v>11015</v>
      </c>
      <c r="Q1149" s="6" t="s">
        <v>81</v>
      </c>
      <c r="R1149" s="6" t="s">
        <v>81</v>
      </c>
      <c r="S1149" s="6" t="s">
        <v>10886</v>
      </c>
      <c r="T1149" s="16" t="n">
        <v>45440</v>
      </c>
      <c r="U1149" s="6" t="s">
        <v>13175</v>
      </c>
      <c r="V1149" s="6" t="s">
        <v>81</v>
      </c>
      <c r="W1149" s="6" t="s">
        <v>81</v>
      </c>
      <c r="X1149" s="6" t="s">
        <v>81</v>
      </c>
      <c r="Y1149" s="21" t="s">
        <v>81</v>
      </c>
      <c r="Z1149" s="6" t="s">
        <v>81</v>
      </c>
      <c r="AA1149" s="6" t="s">
        <v>81</v>
      </c>
      <c r="AB1149" s="6" t="s">
        <v>81</v>
      </c>
      <c r="AC1149" s="6" t="s">
        <v>81</v>
      </c>
      <c r="AD1149" s="21" t="s">
        <v>81</v>
      </c>
      <c r="AE1149" s="6" t="s">
        <v>81</v>
      </c>
      <c r="AF1149" s="6" t="s">
        <v>81</v>
      </c>
      <c r="AG1149" s="6" t="s">
        <v>81</v>
      </c>
      <c r="AH1149" s="6" t="s">
        <v>15719</v>
      </c>
      <c r="AI1149" s="6" t="s">
        <v>81</v>
      </c>
      <c r="AJ1149" s="6" t="s">
        <v>17490</v>
      </c>
      <c r="AK1149" s="6" t="s">
        <v>17712</v>
      </c>
      <c r="AL1149" s="6" t="s">
        <v>18444</v>
      </c>
      <c r="AM1149" s="6" t="s">
        <v>18650</v>
      </c>
      <c r="AN1149" s="6" t="s">
        <v>81</v>
      </c>
      <c r="AO1149" s="6" t="s">
        <v>81</v>
      </c>
      <c r="AP1149" s="6" t="s">
        <v>15719</v>
      </c>
      <c r="AQ1149" s="6" t="s">
        <v>81</v>
      </c>
      <c r="AR1149" s="6" t="s">
        <v>17490</v>
      </c>
      <c r="AS1149" s="6" t="s">
        <v>17712</v>
      </c>
      <c r="AT1149" s="6" t="s">
        <v>18444</v>
      </c>
      <c r="AU1149" s="6" t="s">
        <v>18650</v>
      </c>
      <c r="AV1149" s="6" t="s">
        <v>81</v>
      </c>
      <c r="AW1149" s="6" t="s">
        <v>81</v>
      </c>
      <c r="AX1149" s="6" t="s">
        <v>81</v>
      </c>
      <c r="AY1149" s="6" t="s">
        <v>81</v>
      </c>
      <c r="AZ1149" s="6" t="s">
        <v>81</v>
      </c>
      <c r="BA1149" s="6" t="s">
        <v>81</v>
      </c>
      <c r="BB1149" s="24" t="n">
        <v>99</v>
      </c>
      <c r="BC1149" s="26"/>
      <c r="BD1149" s="26"/>
      <c r="BE1149" s="26"/>
      <c r="BF1149" s="26" t="s">
        <v>23900</v>
      </c>
      <c r="BG1149" s="26"/>
      <c r="BH1149" s="26"/>
      <c r="BI1149" s="26"/>
      <c r="BJ1149" s="26"/>
      <c r="BK1149" s="26"/>
      <c r="BL1149" s="26"/>
      <c r="BM1149" s="26"/>
      <c r="BN1149" s="26"/>
      <c r="BO1149" s="26"/>
      <c r="BP1149" s="16" t="n">
        <v>45666</v>
      </c>
      <c r="BQ1149" s="28" t="str">
        <f>HYPERLINK("https://organic.ams.usda.gov/Integrity/Certificate.aspx?cid=57&amp;nopid=3252023069")</f>
        <v>https://organic.ams.usda.gov/Integrity/Certificate.aspx?cid=57&amp;nopid=3252023069</v>
      </c>
    </row>
    <row r="1150">
      <c r="A1150" t="s">
        <v>3</v>
      </c>
      <c r="B1150" s="6" t="s">
        <v>12</v>
      </c>
      <c r="C1150" s="6" t="s">
        <v>59</v>
      </c>
      <c r="D1150" s="6" t="s">
        <v>105</v>
      </c>
      <c r="E1150" s="10" t="s">
        <v>1291</v>
      </c>
      <c r="F1150" s="6" t="s">
        <v>4018</v>
      </c>
      <c r="G1150" s="6" t="s">
        <v>81</v>
      </c>
      <c r="H1150" s="6" t="s">
        <v>6942</v>
      </c>
      <c r="I1150" s="6" t="s">
        <v>9038</v>
      </c>
      <c r="J1150" s="6" t="s">
        <v>9672</v>
      </c>
      <c r="K1150" s="6" t="s">
        <v>10886</v>
      </c>
      <c r="L1150" s="16" t="n">
        <v>37935</v>
      </c>
      <c r="M1150" s="16" t="n">
        <v>45352</v>
      </c>
      <c r="N1150" s="6" t="s">
        <v>10886</v>
      </c>
      <c r="O1150" s="16" t="n">
        <v>37935</v>
      </c>
      <c r="P1150" s="6" t="s">
        <v>11579</v>
      </c>
      <c r="Q1150" s="6" t="s">
        <v>81</v>
      </c>
      <c r="R1150" s="6" t="s">
        <v>81</v>
      </c>
      <c r="S1150" s="6" t="s">
        <v>10886</v>
      </c>
      <c r="T1150" s="16" t="n">
        <v>37935</v>
      </c>
      <c r="U1150" s="6" t="s">
        <v>13559</v>
      </c>
      <c r="V1150" s="6" t="s">
        <v>81</v>
      </c>
      <c r="W1150" s="6" t="s">
        <v>81</v>
      </c>
      <c r="X1150" s="6" t="s">
        <v>81</v>
      </c>
      <c r="Y1150" s="21" t="s">
        <v>81</v>
      </c>
      <c r="Z1150" s="6" t="s">
        <v>81</v>
      </c>
      <c r="AA1150" s="6" t="s">
        <v>81</v>
      </c>
      <c r="AB1150" s="6" t="s">
        <v>81</v>
      </c>
      <c r="AC1150" s="6" t="s">
        <v>81</v>
      </c>
      <c r="AD1150" s="21" t="s">
        <v>81</v>
      </c>
      <c r="AE1150" s="6" t="s">
        <v>81</v>
      </c>
      <c r="AF1150" s="6" t="s">
        <v>81</v>
      </c>
      <c r="AG1150" s="6" t="s">
        <v>81</v>
      </c>
      <c r="AH1150" s="6" t="s">
        <v>15720</v>
      </c>
      <c r="AI1150" s="6" t="s">
        <v>81</v>
      </c>
      <c r="AJ1150" s="6" t="s">
        <v>17912</v>
      </c>
      <c r="AK1150" s="6" t="s">
        <v>18380</v>
      </c>
      <c r="AL1150" s="6" t="s">
        <v>18444</v>
      </c>
      <c r="AM1150" s="6" t="s">
        <v>19101</v>
      </c>
      <c r="AN1150" s="6" t="s">
        <v>19655</v>
      </c>
      <c r="AO1150" s="6" t="s">
        <v>19748</v>
      </c>
      <c r="AP1150" s="6" t="s">
        <v>15720</v>
      </c>
      <c r="AQ1150" s="6" t="s">
        <v>81</v>
      </c>
      <c r="AR1150" s="6" t="s">
        <v>17912</v>
      </c>
      <c r="AS1150" s="6" t="s">
        <v>18380</v>
      </c>
      <c r="AT1150" s="6" t="s">
        <v>18444</v>
      </c>
      <c r="AU1150" s="6" t="s">
        <v>19101</v>
      </c>
      <c r="AV1150" s="6" t="s">
        <v>81</v>
      </c>
      <c r="AW1150" s="6" t="s">
        <v>81</v>
      </c>
      <c r="AX1150" s="6" t="s">
        <v>21472</v>
      </c>
      <c r="AY1150" s="6" t="s">
        <v>81</v>
      </c>
      <c r="AZ1150" s="6" t="s">
        <v>81</v>
      </c>
      <c r="BA1150" s="6" t="s">
        <v>81</v>
      </c>
      <c r="BB1150" s="24" t="n">
        <v>92</v>
      </c>
      <c r="BC1150" s="26"/>
      <c r="BD1150" s="26"/>
      <c r="BE1150" s="26"/>
      <c r="BF1150" s="26"/>
      <c r="BG1150" s="26"/>
      <c r="BH1150" s="26"/>
      <c r="BI1150" s="26"/>
      <c r="BJ1150" s="26"/>
      <c r="BK1150" s="26"/>
      <c r="BL1150" s="26"/>
      <c r="BM1150" s="26"/>
      <c r="BN1150" s="26"/>
      <c r="BO1150" s="26"/>
      <c r="BP1150" s="16" t="n">
        <v>45684</v>
      </c>
      <c r="BQ1150" s="28" t="str">
        <f>HYPERLINK("https://organic.ams.usda.gov/Integrity/Certificate.aspx?cid=68&amp;nopid=8210002579")</f>
        <v>https://organic.ams.usda.gov/Integrity/Certificate.aspx?cid=68&amp;nopid=8210002579</v>
      </c>
    </row>
    <row r="1151">
      <c r="A1151" t="s">
        <v>3</v>
      </c>
      <c r="B1151" s="6" t="s">
        <v>8</v>
      </c>
      <c r="C1151" s="6" t="s">
        <v>55</v>
      </c>
      <c r="D1151" s="6" t="s">
        <v>101</v>
      </c>
      <c r="E1151" s="10" t="s">
        <v>1292</v>
      </c>
      <c r="F1151" s="6" t="s">
        <v>4019</v>
      </c>
      <c r="G1151" s="6" t="s">
        <v>81</v>
      </c>
      <c r="H1151" s="6" t="s">
        <v>6943</v>
      </c>
      <c r="I1151" s="6" t="s">
        <v>9037</v>
      </c>
      <c r="J1151" s="6" t="s">
        <v>9672</v>
      </c>
      <c r="K1151" s="6" t="s">
        <v>10886</v>
      </c>
      <c r="L1151" s="16" t="n">
        <v>43018</v>
      </c>
      <c r="M1151" s="16" t="n">
        <v>45689</v>
      </c>
      <c r="N1151" s="6" t="s">
        <v>10886</v>
      </c>
      <c r="O1151" s="16" t="n">
        <v>43018</v>
      </c>
      <c r="P1151" s="6" t="s">
        <v>11580</v>
      </c>
      <c r="Q1151" s="6" t="s">
        <v>81</v>
      </c>
      <c r="R1151" s="6" t="s">
        <v>6943</v>
      </c>
      <c r="S1151" s="6" t="s">
        <v>10886</v>
      </c>
      <c r="T1151" s="16" t="n">
        <v>43018</v>
      </c>
      <c r="U1151" s="6" t="s">
        <v>13173</v>
      </c>
      <c r="V1151" s="6" t="s">
        <v>81</v>
      </c>
      <c r="W1151" s="6" t="s">
        <v>6943</v>
      </c>
      <c r="X1151" s="6" t="s">
        <v>81</v>
      </c>
      <c r="Y1151" s="21" t="s">
        <v>81</v>
      </c>
      <c r="Z1151" s="6" t="s">
        <v>81</v>
      </c>
      <c r="AA1151" s="6" t="s">
        <v>81</v>
      </c>
      <c r="AB1151" s="6" t="s">
        <v>81</v>
      </c>
      <c r="AC1151" s="6" t="s">
        <v>81</v>
      </c>
      <c r="AD1151" s="21" t="s">
        <v>81</v>
      </c>
      <c r="AE1151" s="6" t="s">
        <v>81</v>
      </c>
      <c r="AF1151" s="6" t="s">
        <v>81</v>
      </c>
      <c r="AG1151" s="6" t="s">
        <v>81</v>
      </c>
      <c r="AH1151" s="6" t="s">
        <v>15721</v>
      </c>
      <c r="AI1151" s="6" t="s">
        <v>81</v>
      </c>
      <c r="AJ1151" s="6" t="s">
        <v>17471</v>
      </c>
      <c r="AK1151" s="6" t="s">
        <v>18380</v>
      </c>
      <c r="AL1151" s="6" t="s">
        <v>18444</v>
      </c>
      <c r="AM1151" s="6" t="s">
        <v>18633</v>
      </c>
      <c r="AN1151" s="6" t="s">
        <v>19650</v>
      </c>
      <c r="AO1151" s="6" t="s">
        <v>19739</v>
      </c>
      <c r="AP1151" s="6" t="s">
        <v>81</v>
      </c>
      <c r="AQ1151" s="6" t="s">
        <v>81</v>
      </c>
      <c r="AR1151" s="6" t="s">
        <v>81</v>
      </c>
      <c r="AS1151" s="6" t="s">
        <v>81</v>
      </c>
      <c r="AT1151" s="6" t="s">
        <v>81</v>
      </c>
      <c r="AU1151" s="6" t="s">
        <v>81</v>
      </c>
      <c r="AV1151" s="6" t="s">
        <v>81</v>
      </c>
      <c r="AW1151" s="6" t="s">
        <v>81</v>
      </c>
      <c r="AX1151" s="6" t="s">
        <v>81</v>
      </c>
      <c r="AY1151" s="6" t="s">
        <v>81</v>
      </c>
      <c r="AZ1151" s="6" t="s">
        <v>81</v>
      </c>
      <c r="BA1151" s="6" t="s">
        <v>23819</v>
      </c>
      <c r="BB1151" s="24" t="n">
        <v>86</v>
      </c>
      <c r="BC1151" s="26"/>
      <c r="BD1151" s="26"/>
      <c r="BE1151" s="26"/>
      <c r="BF1151" s="26" t="s">
        <v>23900</v>
      </c>
      <c r="BG1151" s="26"/>
      <c r="BH1151" s="26"/>
      <c r="BI1151" s="26"/>
      <c r="BJ1151" s="26"/>
      <c r="BK1151" s="26"/>
      <c r="BL1151" s="26"/>
      <c r="BM1151" s="26"/>
      <c r="BN1151" s="26"/>
      <c r="BO1151" s="26"/>
      <c r="BP1151" s="16" t="n">
        <v>45709</v>
      </c>
      <c r="BQ1151" s="28" t="str">
        <f>HYPERLINK("https://organic.ams.usda.gov/Integrity/Certificate.aspx?cid=45&amp;nopid=9950009229")</f>
        <v>https://organic.ams.usda.gov/Integrity/Certificate.aspx?cid=45&amp;nopid=9950009229</v>
      </c>
    </row>
    <row r="1152">
      <c r="A1152" t="s">
        <v>3</v>
      </c>
      <c r="B1152" s="6" t="s">
        <v>11</v>
      </c>
      <c r="C1152" s="6" t="s">
        <v>58</v>
      </c>
      <c r="D1152" s="6" t="s">
        <v>104</v>
      </c>
      <c r="E1152" s="10" t="s">
        <v>1293</v>
      </c>
      <c r="F1152" s="6" t="s">
        <v>4020</v>
      </c>
      <c r="G1152" s="6" t="s">
        <v>81</v>
      </c>
      <c r="H1152" s="6" t="s">
        <v>81</v>
      </c>
      <c r="I1152" s="6" t="s">
        <v>9039</v>
      </c>
      <c r="J1152" s="6" t="s">
        <v>9671</v>
      </c>
      <c r="K1152" s="6" t="s">
        <v>10886</v>
      </c>
      <c r="L1152" s="16" t="n">
        <v>45132</v>
      </c>
      <c r="M1152" s="16" t="n">
        <v>45748</v>
      </c>
      <c r="N1152" s="6" t="s">
        <v>10886</v>
      </c>
      <c r="O1152" s="16" t="n">
        <v>45132</v>
      </c>
      <c r="P1152" s="6" t="s">
        <v>11581</v>
      </c>
      <c r="Q1152" s="6" t="s">
        <v>81</v>
      </c>
      <c r="R1152" s="6" t="s">
        <v>81</v>
      </c>
      <c r="S1152" s="6" t="s">
        <v>10886</v>
      </c>
      <c r="T1152" s="16" t="n">
        <v>45132</v>
      </c>
      <c r="U1152" s="6" t="s">
        <v>13560</v>
      </c>
      <c r="V1152" s="6" t="s">
        <v>81</v>
      </c>
      <c r="W1152" s="6" t="s">
        <v>81</v>
      </c>
      <c r="X1152" s="6" t="s">
        <v>81</v>
      </c>
      <c r="Y1152" s="21" t="s">
        <v>81</v>
      </c>
      <c r="Z1152" s="6" t="s">
        <v>81</v>
      </c>
      <c r="AA1152" s="6" t="s">
        <v>81</v>
      </c>
      <c r="AB1152" s="6" t="s">
        <v>81</v>
      </c>
      <c r="AC1152" s="6" t="s">
        <v>81</v>
      </c>
      <c r="AD1152" s="21" t="s">
        <v>81</v>
      </c>
      <c r="AE1152" s="6" t="s">
        <v>81</v>
      </c>
      <c r="AF1152" s="6" t="s">
        <v>81</v>
      </c>
      <c r="AG1152" s="6" t="s">
        <v>81</v>
      </c>
      <c r="AH1152" s="6" t="s">
        <v>15722</v>
      </c>
      <c r="AI1152" s="6" t="s">
        <v>81</v>
      </c>
      <c r="AJ1152" s="6" t="s">
        <v>17339</v>
      </c>
      <c r="AK1152" s="6" t="s">
        <v>18377</v>
      </c>
      <c r="AL1152" s="6" t="s">
        <v>18444</v>
      </c>
      <c r="AM1152" s="6" t="s">
        <v>18493</v>
      </c>
      <c r="AN1152" s="6" t="s">
        <v>7195</v>
      </c>
      <c r="AO1152" s="6" t="s">
        <v>19737</v>
      </c>
      <c r="AP1152" s="6" t="s">
        <v>81</v>
      </c>
      <c r="AQ1152" s="6" t="s">
        <v>81</v>
      </c>
      <c r="AR1152" s="6" t="s">
        <v>81</v>
      </c>
      <c r="AS1152" s="6" t="s">
        <v>81</v>
      </c>
      <c r="AT1152" s="6" t="s">
        <v>81</v>
      </c>
      <c r="AU1152" s="6" t="s">
        <v>81</v>
      </c>
      <c r="AV1152" s="6" t="s">
        <v>81</v>
      </c>
      <c r="AW1152" s="6" t="s">
        <v>81</v>
      </c>
      <c r="AX1152" s="6" t="s">
        <v>81</v>
      </c>
      <c r="AY1152" s="6" t="s">
        <v>81</v>
      </c>
      <c r="AZ1152" s="6" t="s">
        <v>81</v>
      </c>
      <c r="BA1152" s="6" t="s">
        <v>81</v>
      </c>
      <c r="BB1152" s="24" t="n">
        <v>116</v>
      </c>
      <c r="BC1152" s="26"/>
      <c r="BD1152" s="26"/>
      <c r="BE1152" s="26"/>
      <c r="BF1152" s="26"/>
      <c r="BG1152" s="26"/>
      <c r="BH1152" s="26"/>
      <c r="BI1152" s="26"/>
      <c r="BJ1152" s="26"/>
      <c r="BK1152" s="26"/>
      <c r="BL1152" s="26"/>
      <c r="BM1152" s="26"/>
      <c r="BN1152" s="26"/>
      <c r="BO1152" s="26"/>
      <c r="BP1152" s="16" t="n">
        <v>45622</v>
      </c>
      <c r="BQ1152" s="28" t="str">
        <f>HYPERLINK("https://organic.ams.usda.gov/Integrity/Certificate.aspx?cid=46&amp;nopid=3672300039")</f>
        <v>https://organic.ams.usda.gov/Integrity/Certificate.aspx?cid=46&amp;nopid=3672300039</v>
      </c>
    </row>
    <row r="1153">
      <c r="A1153" t="s">
        <v>3</v>
      </c>
      <c r="B1153" s="6" t="s">
        <v>12</v>
      </c>
      <c r="C1153" s="6" t="s">
        <v>59</v>
      </c>
      <c r="D1153" s="6" t="s">
        <v>105</v>
      </c>
      <c r="E1153" s="10" t="s">
        <v>1294</v>
      </c>
      <c r="F1153" s="6" t="s">
        <v>4021</v>
      </c>
      <c r="G1153" s="6" t="s">
        <v>81</v>
      </c>
      <c r="H1153" s="6" t="s">
        <v>6944</v>
      </c>
      <c r="I1153" s="6" t="s">
        <v>9037</v>
      </c>
      <c r="J1153" s="6" t="s">
        <v>9730</v>
      </c>
      <c r="K1153" s="6" t="s">
        <v>10886</v>
      </c>
      <c r="L1153" s="16" t="n">
        <v>43472</v>
      </c>
      <c r="M1153" s="16" t="n">
        <v>45717</v>
      </c>
      <c r="N1153" s="6" t="s">
        <v>10886</v>
      </c>
      <c r="O1153" s="16" t="n">
        <v>43472</v>
      </c>
      <c r="P1153" s="6" t="s">
        <v>11582</v>
      </c>
      <c r="Q1153" s="6" t="s">
        <v>81</v>
      </c>
      <c r="R1153" s="6" t="s">
        <v>81</v>
      </c>
      <c r="S1153" s="6" t="s">
        <v>10886</v>
      </c>
      <c r="T1153" s="16" t="n">
        <v>43472</v>
      </c>
      <c r="U1153" s="6" t="s">
        <v>13183</v>
      </c>
      <c r="V1153" s="6" t="s">
        <v>81</v>
      </c>
      <c r="W1153" s="6" t="s">
        <v>81</v>
      </c>
      <c r="X1153" s="6" t="s">
        <v>81</v>
      </c>
      <c r="Y1153" s="21" t="s">
        <v>81</v>
      </c>
      <c r="Z1153" s="6" t="s">
        <v>81</v>
      </c>
      <c r="AA1153" s="6" t="s">
        <v>81</v>
      </c>
      <c r="AB1153" s="6" t="s">
        <v>81</v>
      </c>
      <c r="AC1153" s="6" t="s">
        <v>81</v>
      </c>
      <c r="AD1153" s="21" t="s">
        <v>81</v>
      </c>
      <c r="AE1153" s="6" t="s">
        <v>81</v>
      </c>
      <c r="AF1153" s="6" t="s">
        <v>81</v>
      </c>
      <c r="AG1153" s="6" t="s">
        <v>81</v>
      </c>
      <c r="AH1153" s="6" t="s">
        <v>15723</v>
      </c>
      <c r="AI1153" s="6" t="s">
        <v>81</v>
      </c>
      <c r="AJ1153" s="6" t="s">
        <v>17913</v>
      </c>
      <c r="AK1153" s="6" t="s">
        <v>18380</v>
      </c>
      <c r="AL1153" s="6" t="s">
        <v>18444</v>
      </c>
      <c r="AM1153" s="6" t="s">
        <v>19102</v>
      </c>
      <c r="AN1153" s="6" t="s">
        <v>19640</v>
      </c>
      <c r="AO1153" s="6" t="s">
        <v>19958</v>
      </c>
      <c r="AP1153" s="6" t="s">
        <v>15723</v>
      </c>
      <c r="AQ1153" s="6" t="s">
        <v>81</v>
      </c>
      <c r="AR1153" s="6" t="s">
        <v>17913</v>
      </c>
      <c r="AS1153" s="6" t="s">
        <v>18380</v>
      </c>
      <c r="AT1153" s="6" t="s">
        <v>18444</v>
      </c>
      <c r="AU1153" s="6" t="s">
        <v>19102</v>
      </c>
      <c r="AV1153" s="6" t="s">
        <v>81</v>
      </c>
      <c r="AW1153" s="6" t="s">
        <v>81</v>
      </c>
      <c r="AX1153" s="6" t="s">
        <v>21473</v>
      </c>
      <c r="AY1153" s="6" t="s">
        <v>81</v>
      </c>
      <c r="AZ1153" s="6" t="s">
        <v>81</v>
      </c>
      <c r="BA1153" s="6" t="s">
        <v>81</v>
      </c>
      <c r="BB1153" s="24" t="n">
        <v>124</v>
      </c>
      <c r="BC1153" s="26"/>
      <c r="BD1153" s="26"/>
      <c r="BE1153" s="26"/>
      <c r="BF1153" s="26"/>
      <c r="BG1153" s="26"/>
      <c r="BH1153" s="26"/>
      <c r="BI1153" s="26"/>
      <c r="BJ1153" s="26"/>
      <c r="BK1153" s="26"/>
      <c r="BL1153" s="26"/>
      <c r="BM1153" s="26"/>
      <c r="BN1153" s="26"/>
      <c r="BO1153" s="26"/>
      <c r="BP1153" s="16" t="n">
        <v>45684</v>
      </c>
      <c r="BQ1153" s="28" t="str">
        <f>HYPERLINK("https://organic.ams.usda.gov/Integrity/Certificate.aspx?cid=68&amp;nopid=8210005794")</f>
        <v>https://organic.ams.usda.gov/Integrity/Certificate.aspx?cid=68&amp;nopid=8210005794</v>
      </c>
    </row>
    <row r="1154">
      <c r="A1154" t="s">
        <v>3</v>
      </c>
      <c r="B1154" s="6" t="s">
        <v>7</v>
      </c>
      <c r="C1154" s="6" t="s">
        <v>54</v>
      </c>
      <c r="D1154" s="6" t="s">
        <v>100</v>
      </c>
      <c r="E1154" s="10" t="s">
        <v>1295</v>
      </c>
      <c r="F1154" s="6" t="s">
        <v>4022</v>
      </c>
      <c r="G1154" s="6" t="s">
        <v>81</v>
      </c>
      <c r="H1154" s="6" t="s">
        <v>6945</v>
      </c>
      <c r="I1154" s="6" t="s">
        <v>9037</v>
      </c>
      <c r="J1154" s="6" t="s">
        <v>9906</v>
      </c>
      <c r="K1154" s="6" t="s">
        <v>10886</v>
      </c>
      <c r="L1154" s="16" t="n">
        <v>42930</v>
      </c>
      <c r="M1154" s="16" t="n">
        <v>45716</v>
      </c>
      <c r="N1154" s="6" t="s">
        <v>10886</v>
      </c>
      <c r="O1154" s="16" t="n">
        <v>42930</v>
      </c>
      <c r="P1154" s="6" t="s">
        <v>11583</v>
      </c>
      <c r="Q1154" s="6" t="s">
        <v>81</v>
      </c>
      <c r="R1154" s="6" t="s">
        <v>81</v>
      </c>
      <c r="S1154" s="6" t="s">
        <v>10886</v>
      </c>
      <c r="T1154" s="16" t="n">
        <v>43161</v>
      </c>
      <c r="U1154" s="6" t="s">
        <v>13169</v>
      </c>
      <c r="V1154" s="6" t="s">
        <v>81</v>
      </c>
      <c r="W1154" s="6" t="s">
        <v>81</v>
      </c>
      <c r="X1154" s="6" t="s">
        <v>81</v>
      </c>
      <c r="Y1154" s="21" t="s">
        <v>81</v>
      </c>
      <c r="Z1154" s="6" t="s">
        <v>81</v>
      </c>
      <c r="AA1154" s="6" t="s">
        <v>81</v>
      </c>
      <c r="AB1154" s="6" t="s">
        <v>81</v>
      </c>
      <c r="AC1154" s="6" t="s">
        <v>81</v>
      </c>
      <c r="AD1154" s="21" t="s">
        <v>81</v>
      </c>
      <c r="AE1154" s="6" t="s">
        <v>81</v>
      </c>
      <c r="AF1154" s="6" t="s">
        <v>81</v>
      </c>
      <c r="AG1154" s="6" t="s">
        <v>81</v>
      </c>
      <c r="AH1154" s="6" t="s">
        <v>15724</v>
      </c>
      <c r="AI1154" s="6" t="s">
        <v>81</v>
      </c>
      <c r="AJ1154" s="6" t="s">
        <v>17914</v>
      </c>
      <c r="AK1154" s="6" t="s">
        <v>17712</v>
      </c>
      <c r="AL1154" s="6" t="s">
        <v>18444</v>
      </c>
      <c r="AM1154" s="6" t="s">
        <v>19103</v>
      </c>
      <c r="AN1154" s="6" t="s">
        <v>19683</v>
      </c>
      <c r="AO1154" s="6" t="s">
        <v>19868</v>
      </c>
      <c r="AP1154" s="6" t="s">
        <v>15724</v>
      </c>
      <c r="AQ1154" s="6" t="s">
        <v>81</v>
      </c>
      <c r="AR1154" s="6" t="s">
        <v>17914</v>
      </c>
      <c r="AS1154" s="6" t="s">
        <v>17712</v>
      </c>
      <c r="AT1154" s="6" t="s">
        <v>18444</v>
      </c>
      <c r="AU1154" s="6" t="s">
        <v>19103</v>
      </c>
      <c r="AV1154" s="6" t="s">
        <v>81</v>
      </c>
      <c r="AW1154" s="6" t="s">
        <v>81</v>
      </c>
      <c r="AX1154" s="6" t="s">
        <v>21474</v>
      </c>
      <c r="AY1154" s="6" t="s">
        <v>81</v>
      </c>
      <c r="AZ1154" s="6" t="s">
        <v>81</v>
      </c>
      <c r="BA1154" s="6" t="s">
        <v>81</v>
      </c>
      <c r="BB1154" s="24" t="n">
        <v>242</v>
      </c>
      <c r="BC1154" s="26"/>
      <c r="BD1154" s="26"/>
      <c r="BE1154" s="26"/>
      <c r="BF1154" s="26" t="s">
        <v>23900</v>
      </c>
      <c r="BG1154" s="26"/>
      <c r="BH1154" s="26"/>
      <c r="BI1154" s="26"/>
      <c r="BJ1154" s="26"/>
      <c r="BK1154" s="26"/>
      <c r="BL1154" s="26"/>
      <c r="BM1154" s="26"/>
      <c r="BN1154" s="26"/>
      <c r="BO1154" s="26"/>
      <c r="BP1154" s="16" t="n">
        <v>45595</v>
      </c>
      <c r="BQ1154" s="28" t="str">
        <f>HYPERLINK("https://organic.ams.usda.gov/Integrity/Certificate.aspx?cid=57&amp;nopid=3252017066")</f>
        <v>https://organic.ams.usda.gov/Integrity/Certificate.aspx?cid=57&amp;nopid=3252017066</v>
      </c>
    </row>
    <row r="1155">
      <c r="A1155" t="s">
        <v>3</v>
      </c>
      <c r="B1155" s="6" t="s">
        <v>12</v>
      </c>
      <c r="C1155" s="6" t="s">
        <v>59</v>
      </c>
      <c r="D1155" s="6" t="s">
        <v>105</v>
      </c>
      <c r="E1155" s="10" t="s">
        <v>1296</v>
      </c>
      <c r="F1155" s="6" t="s">
        <v>4023</v>
      </c>
      <c r="G1155" s="6" t="s">
        <v>81</v>
      </c>
      <c r="H1155" s="6" t="s">
        <v>6946</v>
      </c>
      <c r="I1155" s="6" t="s">
        <v>9040</v>
      </c>
      <c r="J1155" s="6" t="s">
        <v>9668</v>
      </c>
      <c r="K1155" s="6" t="s">
        <v>10886</v>
      </c>
      <c r="L1155" s="16" t="n">
        <v>43354</v>
      </c>
      <c r="M1155" s="16" t="n">
        <v>45717</v>
      </c>
      <c r="N1155" s="6" t="s">
        <v>10886</v>
      </c>
      <c r="O1155" s="16" t="n">
        <v>43354</v>
      </c>
      <c r="P1155" s="6" t="s">
        <v>10925</v>
      </c>
      <c r="Q1155" s="6" t="s">
        <v>81</v>
      </c>
      <c r="R1155" s="6" t="s">
        <v>81</v>
      </c>
      <c r="S1155" s="6" t="s">
        <v>10886</v>
      </c>
      <c r="T1155" s="16" t="n">
        <v>43354</v>
      </c>
      <c r="U1155" s="6" t="s">
        <v>13166</v>
      </c>
      <c r="V1155" s="6" t="s">
        <v>81</v>
      </c>
      <c r="W1155" s="6" t="s">
        <v>81</v>
      </c>
      <c r="X1155" s="6" t="s">
        <v>81</v>
      </c>
      <c r="Y1155" s="21" t="s">
        <v>81</v>
      </c>
      <c r="Z1155" s="6" t="s">
        <v>81</v>
      </c>
      <c r="AA1155" s="6" t="s">
        <v>81</v>
      </c>
      <c r="AB1155" s="6" t="s">
        <v>81</v>
      </c>
      <c r="AC1155" s="6" t="s">
        <v>81</v>
      </c>
      <c r="AD1155" s="21" t="s">
        <v>81</v>
      </c>
      <c r="AE1155" s="6" t="s">
        <v>81</v>
      </c>
      <c r="AF1155" s="6" t="s">
        <v>81</v>
      </c>
      <c r="AG1155" s="6" t="s">
        <v>81</v>
      </c>
      <c r="AH1155" s="6" t="s">
        <v>15725</v>
      </c>
      <c r="AI1155" s="6" t="s">
        <v>81</v>
      </c>
      <c r="AJ1155" s="6" t="s">
        <v>17425</v>
      </c>
      <c r="AK1155" s="6" t="s">
        <v>18380</v>
      </c>
      <c r="AL1155" s="6" t="s">
        <v>18444</v>
      </c>
      <c r="AM1155" s="6" t="s">
        <v>18582</v>
      </c>
      <c r="AN1155" s="6" t="s">
        <v>8233</v>
      </c>
      <c r="AO1155" s="6" t="s">
        <v>19806</v>
      </c>
      <c r="AP1155" s="6" t="s">
        <v>15725</v>
      </c>
      <c r="AQ1155" s="6" t="s">
        <v>81</v>
      </c>
      <c r="AR1155" s="6" t="s">
        <v>17425</v>
      </c>
      <c r="AS1155" s="6" t="s">
        <v>18380</v>
      </c>
      <c r="AT1155" s="6" t="s">
        <v>18444</v>
      </c>
      <c r="AU1155" s="6" t="s">
        <v>18582</v>
      </c>
      <c r="AV1155" s="6" t="s">
        <v>81</v>
      </c>
      <c r="AW1155" s="6" t="s">
        <v>81</v>
      </c>
      <c r="AX1155" s="6" t="s">
        <v>81</v>
      </c>
      <c r="AY1155" s="6" t="s">
        <v>81</v>
      </c>
      <c r="AZ1155" s="6" t="s">
        <v>81</v>
      </c>
      <c r="BA1155" s="6" t="s">
        <v>81</v>
      </c>
      <c r="BB1155" s="24" t="n">
        <v>99</v>
      </c>
      <c r="BC1155" s="26"/>
      <c r="BD1155" s="26"/>
      <c r="BE1155" s="26"/>
      <c r="BF1155" s="26"/>
      <c r="BG1155" s="26"/>
      <c r="BH1155" s="26"/>
      <c r="BI1155" s="26"/>
      <c r="BJ1155" s="26"/>
      <c r="BK1155" s="26"/>
      <c r="BL1155" s="26"/>
      <c r="BM1155" s="26"/>
      <c r="BN1155" s="26"/>
      <c r="BO1155" s="26"/>
      <c r="BP1155" s="16" t="n">
        <v>45684</v>
      </c>
      <c r="BQ1155" s="28" t="str">
        <f>HYPERLINK("https://organic.ams.usda.gov/Integrity/Certificate.aspx?cid=68&amp;nopid=8210004469")</f>
        <v>https://organic.ams.usda.gov/Integrity/Certificate.aspx?cid=68&amp;nopid=8210004469</v>
      </c>
    </row>
    <row r="1156">
      <c r="A1156" t="s">
        <v>3</v>
      </c>
      <c r="B1156" s="6" t="s">
        <v>7</v>
      </c>
      <c r="C1156" s="6" t="s">
        <v>54</v>
      </c>
      <c r="D1156" s="6" t="s">
        <v>100</v>
      </c>
      <c r="E1156" s="10" t="s">
        <v>1297</v>
      </c>
      <c r="F1156" s="6" t="s">
        <v>4024</v>
      </c>
      <c r="G1156" s="6" t="s">
        <v>5698</v>
      </c>
      <c r="H1156" s="6" t="s">
        <v>6947</v>
      </c>
      <c r="I1156" s="6" t="s">
        <v>9037</v>
      </c>
      <c r="J1156" s="6" t="s">
        <v>9726</v>
      </c>
      <c r="K1156" s="6" t="s">
        <v>10886</v>
      </c>
      <c r="L1156" s="16" t="n">
        <v>44361</v>
      </c>
      <c r="M1156" s="16" t="n">
        <v>45716</v>
      </c>
      <c r="N1156" s="6" t="s">
        <v>10886</v>
      </c>
      <c r="O1156" s="16" t="n">
        <v>44361</v>
      </c>
      <c r="P1156" s="6" t="s">
        <v>11584</v>
      </c>
      <c r="Q1156" s="6" t="s">
        <v>81</v>
      </c>
      <c r="R1156" s="6" t="s">
        <v>81</v>
      </c>
      <c r="S1156" s="6" t="s">
        <v>10886</v>
      </c>
      <c r="T1156" s="16" t="n">
        <v>44361</v>
      </c>
      <c r="U1156" s="6" t="s">
        <v>13169</v>
      </c>
      <c r="V1156" s="6" t="s">
        <v>81</v>
      </c>
      <c r="W1156" s="6" t="s">
        <v>81</v>
      </c>
      <c r="X1156" s="6" t="s">
        <v>81</v>
      </c>
      <c r="Y1156" s="21" t="s">
        <v>81</v>
      </c>
      <c r="Z1156" s="6" t="s">
        <v>81</v>
      </c>
      <c r="AA1156" s="6" t="s">
        <v>81</v>
      </c>
      <c r="AB1156" s="6" t="s">
        <v>81</v>
      </c>
      <c r="AC1156" s="6" t="s">
        <v>81</v>
      </c>
      <c r="AD1156" s="21" t="s">
        <v>81</v>
      </c>
      <c r="AE1156" s="6" t="s">
        <v>81</v>
      </c>
      <c r="AF1156" s="6" t="s">
        <v>81</v>
      </c>
      <c r="AG1156" s="6" t="s">
        <v>81</v>
      </c>
      <c r="AH1156" s="6" t="s">
        <v>15726</v>
      </c>
      <c r="AI1156" s="6" t="s">
        <v>81</v>
      </c>
      <c r="AJ1156" s="6" t="s">
        <v>17679</v>
      </c>
      <c r="AK1156" s="6" t="s">
        <v>17712</v>
      </c>
      <c r="AL1156" s="6" t="s">
        <v>18444</v>
      </c>
      <c r="AM1156" s="6" t="s">
        <v>18845</v>
      </c>
      <c r="AN1156" s="6" t="s">
        <v>7450</v>
      </c>
      <c r="AO1156" s="6" t="s">
        <v>19897</v>
      </c>
      <c r="AP1156" s="6" t="s">
        <v>15726</v>
      </c>
      <c r="AQ1156" s="6" t="s">
        <v>81</v>
      </c>
      <c r="AR1156" s="6" t="s">
        <v>17679</v>
      </c>
      <c r="AS1156" s="6" t="s">
        <v>17712</v>
      </c>
      <c r="AT1156" s="6" t="s">
        <v>18444</v>
      </c>
      <c r="AU1156" s="6" t="s">
        <v>18845</v>
      </c>
      <c r="AV1156" s="6" t="s">
        <v>81</v>
      </c>
      <c r="AW1156" s="6" t="s">
        <v>81</v>
      </c>
      <c r="AX1156" s="6" t="s">
        <v>21475</v>
      </c>
      <c r="AY1156" s="6" t="s">
        <v>81</v>
      </c>
      <c r="AZ1156" s="6" t="s">
        <v>81</v>
      </c>
      <c r="BA1156" s="6" t="s">
        <v>81</v>
      </c>
      <c r="BB1156" s="24" t="n">
        <v>112</v>
      </c>
      <c r="BC1156" s="26"/>
      <c r="BD1156" s="26"/>
      <c r="BE1156" s="26"/>
      <c r="BF1156" s="26" t="s">
        <v>23900</v>
      </c>
      <c r="BG1156" s="26"/>
      <c r="BH1156" s="26"/>
      <c r="BI1156" s="26"/>
      <c r="BJ1156" s="26"/>
      <c r="BK1156" s="26"/>
      <c r="BL1156" s="26"/>
      <c r="BM1156" s="26"/>
      <c r="BN1156" s="26"/>
      <c r="BO1156" s="26"/>
      <c r="BP1156" s="16" t="n">
        <v>45646</v>
      </c>
      <c r="BQ1156" s="28" t="str">
        <f>HYPERLINK("https://organic.ams.usda.gov/Integrity/Certificate.aspx?cid=57&amp;nopid=3252021060")</f>
        <v>https://organic.ams.usda.gov/Integrity/Certificate.aspx?cid=57&amp;nopid=3252021060</v>
      </c>
    </row>
    <row r="1157">
      <c r="A1157" t="s">
        <v>3</v>
      </c>
      <c r="B1157" s="6" t="s">
        <v>32</v>
      </c>
      <c r="C1157" s="6" t="s">
        <v>79</v>
      </c>
      <c r="D1157" s="6" t="s">
        <v>125</v>
      </c>
      <c r="E1157" s="10" t="s">
        <v>1298</v>
      </c>
      <c r="F1157" s="6" t="s">
        <v>4025</v>
      </c>
      <c r="G1157" s="6" t="s">
        <v>81</v>
      </c>
      <c r="H1157" s="6" t="s">
        <v>6948</v>
      </c>
      <c r="I1157" s="6" t="s">
        <v>9041</v>
      </c>
      <c r="J1157" s="6" t="s">
        <v>10243</v>
      </c>
      <c r="K1157" s="6" t="s">
        <v>10886</v>
      </c>
      <c r="L1157" s="16" t="n">
        <v>37375</v>
      </c>
      <c r="M1157" s="16" t="n">
        <v>46082</v>
      </c>
      <c r="N1157" s="6" t="s">
        <v>81</v>
      </c>
      <c r="O1157" s="21" t="s">
        <v>81</v>
      </c>
      <c r="P1157" s="6" t="s">
        <v>81</v>
      </c>
      <c r="Q1157" s="6" t="s">
        <v>81</v>
      </c>
      <c r="R1157" s="6" t="s">
        <v>81</v>
      </c>
      <c r="S1157" s="6" t="s">
        <v>81</v>
      </c>
      <c r="T1157" s="21" t="s">
        <v>81</v>
      </c>
      <c r="U1157" s="6" t="s">
        <v>81</v>
      </c>
      <c r="V1157" s="6" t="s">
        <v>81</v>
      </c>
      <c r="W1157" s="6" t="s">
        <v>81</v>
      </c>
      <c r="X1157" s="6" t="s">
        <v>81</v>
      </c>
      <c r="Y1157" s="21" t="s">
        <v>81</v>
      </c>
      <c r="Z1157" s="6" t="s">
        <v>81</v>
      </c>
      <c r="AA1157" s="6" t="s">
        <v>81</v>
      </c>
      <c r="AB1157" s="6" t="s">
        <v>81</v>
      </c>
      <c r="AC1157" s="6" t="s">
        <v>10886</v>
      </c>
      <c r="AD1157" s="16" t="n">
        <v>37375</v>
      </c>
      <c r="AE1157" s="6" t="s">
        <v>14244</v>
      </c>
      <c r="AF1157" s="6" t="s">
        <v>81</v>
      </c>
      <c r="AG1157" s="6" t="s">
        <v>5606</v>
      </c>
      <c r="AH1157" s="6" t="s">
        <v>15727</v>
      </c>
      <c r="AI1157" s="6" t="s">
        <v>81</v>
      </c>
      <c r="AJ1157" s="6" t="s">
        <v>17915</v>
      </c>
      <c r="AK1157" s="6" t="s">
        <v>18152</v>
      </c>
      <c r="AL1157" s="6" t="s">
        <v>18444</v>
      </c>
      <c r="AM1157" s="6" t="s">
        <v>19104</v>
      </c>
      <c r="AN1157" s="6" t="s">
        <v>81</v>
      </c>
      <c r="AO1157" s="6" t="s">
        <v>81</v>
      </c>
      <c r="AP1157" s="6" t="s">
        <v>20266</v>
      </c>
      <c r="AQ1157" s="6" t="s">
        <v>81</v>
      </c>
      <c r="AR1157" s="6" t="s">
        <v>17915</v>
      </c>
      <c r="AS1157" s="6" t="s">
        <v>18152</v>
      </c>
      <c r="AT1157" s="6" t="s">
        <v>18444</v>
      </c>
      <c r="AU1157" s="6" t="s">
        <v>19104</v>
      </c>
      <c r="AV1157" s="6" t="s">
        <v>19657</v>
      </c>
      <c r="AW1157" s="6" t="s">
        <v>19914</v>
      </c>
      <c r="AX1157" s="6" t="s">
        <v>21476</v>
      </c>
      <c r="AY1157" s="6" t="s">
        <v>22995</v>
      </c>
      <c r="AZ1157" s="6" t="s">
        <v>23689</v>
      </c>
      <c r="BA1157" s="6" t="s">
        <v>81</v>
      </c>
      <c r="BB1157" s="6" t="s">
        <v>81</v>
      </c>
      <c r="BC1157" s="26"/>
      <c r="BD1157" s="26"/>
      <c r="BE1157" s="26"/>
      <c r="BF1157" s="26"/>
      <c r="BG1157" s="26"/>
      <c r="BH1157" s="26"/>
      <c r="BI1157" s="26"/>
      <c r="BJ1157" s="26"/>
      <c r="BK1157" s="26"/>
      <c r="BL1157" s="26"/>
      <c r="BM1157" s="26"/>
      <c r="BN1157" s="26"/>
      <c r="BO1157" s="26"/>
      <c r="BP1157" s="16" t="n">
        <v>45739</v>
      </c>
      <c r="BQ1157" s="28" t="str">
        <f>HYPERLINK("https://organic.ams.usda.gov/Integrity/Certificate.aspx?cid=82&amp;nopid=2780093459")</f>
        <v>https://organic.ams.usda.gov/Integrity/Certificate.aspx?cid=82&amp;nopid=2780093459</v>
      </c>
    </row>
    <row r="1158">
      <c r="A1158" t="s">
        <v>3</v>
      </c>
      <c r="B1158" s="6" t="s">
        <v>12</v>
      </c>
      <c r="C1158" s="6" t="s">
        <v>59</v>
      </c>
      <c r="D1158" s="6" t="s">
        <v>105</v>
      </c>
      <c r="E1158" s="10" t="s">
        <v>1299</v>
      </c>
      <c r="F1158" s="6" t="s">
        <v>4026</v>
      </c>
      <c r="G1158" s="6" t="s">
        <v>81</v>
      </c>
      <c r="H1158" s="6" t="s">
        <v>6949</v>
      </c>
      <c r="I1158" s="6" t="s">
        <v>9042</v>
      </c>
      <c r="J1158" s="6" t="s">
        <v>9668</v>
      </c>
      <c r="K1158" s="6" t="s">
        <v>10886</v>
      </c>
      <c r="L1158" s="16" t="n">
        <v>38014</v>
      </c>
      <c r="M1158" s="16" t="n">
        <v>45717</v>
      </c>
      <c r="N1158" s="6" t="s">
        <v>10886</v>
      </c>
      <c r="O1158" s="16" t="n">
        <v>38014</v>
      </c>
      <c r="P1158" s="6" t="s">
        <v>11136</v>
      </c>
      <c r="Q1158" s="6" t="s">
        <v>81</v>
      </c>
      <c r="R1158" s="6" t="s">
        <v>81</v>
      </c>
      <c r="S1158" s="6" t="s">
        <v>10886</v>
      </c>
      <c r="T1158" s="16" t="n">
        <v>38014</v>
      </c>
      <c r="U1158" s="6" t="s">
        <v>13183</v>
      </c>
      <c r="V1158" s="6" t="s">
        <v>81</v>
      </c>
      <c r="W1158" s="6" t="s">
        <v>81</v>
      </c>
      <c r="X1158" s="6" t="s">
        <v>81</v>
      </c>
      <c r="Y1158" s="21" t="s">
        <v>81</v>
      </c>
      <c r="Z1158" s="6" t="s">
        <v>81</v>
      </c>
      <c r="AA1158" s="6" t="s">
        <v>81</v>
      </c>
      <c r="AB1158" s="6" t="s">
        <v>81</v>
      </c>
      <c r="AC1158" s="6" t="s">
        <v>81</v>
      </c>
      <c r="AD1158" s="21" t="s">
        <v>81</v>
      </c>
      <c r="AE1158" s="6" t="s">
        <v>81</v>
      </c>
      <c r="AF1158" s="6" t="s">
        <v>81</v>
      </c>
      <c r="AG1158" s="6" t="s">
        <v>81</v>
      </c>
      <c r="AH1158" s="6" t="s">
        <v>15728</v>
      </c>
      <c r="AI1158" s="6" t="s">
        <v>81</v>
      </c>
      <c r="AJ1158" s="6" t="s">
        <v>17413</v>
      </c>
      <c r="AK1158" s="6" t="s">
        <v>18380</v>
      </c>
      <c r="AL1158" s="6" t="s">
        <v>18444</v>
      </c>
      <c r="AM1158" s="6" t="s">
        <v>18569</v>
      </c>
      <c r="AN1158" s="6" t="s">
        <v>19639</v>
      </c>
      <c r="AO1158" s="6" t="s">
        <v>19725</v>
      </c>
      <c r="AP1158" s="6" t="s">
        <v>15728</v>
      </c>
      <c r="AQ1158" s="6" t="s">
        <v>81</v>
      </c>
      <c r="AR1158" s="6" t="s">
        <v>17413</v>
      </c>
      <c r="AS1158" s="6" t="s">
        <v>18380</v>
      </c>
      <c r="AT1158" s="6" t="s">
        <v>18444</v>
      </c>
      <c r="AU1158" s="6" t="s">
        <v>18569</v>
      </c>
      <c r="AV1158" s="6" t="s">
        <v>81</v>
      </c>
      <c r="AW1158" s="6" t="s">
        <v>81</v>
      </c>
      <c r="AX1158" s="6" t="s">
        <v>21477</v>
      </c>
      <c r="AY1158" s="6" t="s">
        <v>81</v>
      </c>
      <c r="AZ1158" s="6" t="s">
        <v>81</v>
      </c>
      <c r="BA1158" s="6" t="s">
        <v>81</v>
      </c>
      <c r="BB1158" s="24" t="n">
        <v>72</v>
      </c>
      <c r="BC1158" s="26"/>
      <c r="BD1158" s="26"/>
      <c r="BE1158" s="26"/>
      <c r="BF1158" s="26"/>
      <c r="BG1158" s="26"/>
      <c r="BH1158" s="26"/>
      <c r="BI1158" s="26"/>
      <c r="BJ1158" s="26"/>
      <c r="BK1158" s="26"/>
      <c r="BL1158" s="26"/>
      <c r="BM1158" s="26"/>
      <c r="BN1158" s="26"/>
      <c r="BO1158" s="26"/>
      <c r="BP1158" s="16" t="n">
        <v>45684</v>
      </c>
      <c r="BQ1158" s="28" t="str">
        <f>HYPERLINK("https://organic.ams.usda.gov/Integrity/Certificate.aspx?cid=68&amp;nopid=8210002783")</f>
        <v>https://organic.ams.usda.gov/Integrity/Certificate.aspx?cid=68&amp;nopid=8210002783</v>
      </c>
    </row>
    <row r="1159">
      <c r="A1159" t="s">
        <v>3</v>
      </c>
      <c r="B1159" s="6" t="s">
        <v>12</v>
      </c>
      <c r="C1159" s="6" t="s">
        <v>59</v>
      </c>
      <c r="D1159" s="6" t="s">
        <v>105</v>
      </c>
      <c r="E1159" s="10" t="s">
        <v>1300</v>
      </c>
      <c r="F1159" s="6" t="s">
        <v>4027</v>
      </c>
      <c r="G1159" s="6" t="s">
        <v>81</v>
      </c>
      <c r="H1159" s="6" t="s">
        <v>6950</v>
      </c>
      <c r="I1159" s="6" t="s">
        <v>9043</v>
      </c>
      <c r="J1159" s="6" t="s">
        <v>9671</v>
      </c>
      <c r="K1159" s="6" t="s">
        <v>10886</v>
      </c>
      <c r="L1159" s="16" t="n">
        <v>45127</v>
      </c>
      <c r="M1159" s="16" t="n">
        <v>45717</v>
      </c>
      <c r="N1159" s="6" t="s">
        <v>10886</v>
      </c>
      <c r="O1159" s="16" t="n">
        <v>45127</v>
      </c>
      <c r="P1159" s="6" t="s">
        <v>11585</v>
      </c>
      <c r="Q1159" s="6" t="s">
        <v>81</v>
      </c>
      <c r="R1159" s="6" t="s">
        <v>81</v>
      </c>
      <c r="S1159" s="6" t="s">
        <v>10886</v>
      </c>
      <c r="T1159" s="16" t="n">
        <v>45127</v>
      </c>
      <c r="U1159" s="6" t="s">
        <v>13399</v>
      </c>
      <c r="V1159" s="6" t="s">
        <v>81</v>
      </c>
      <c r="W1159" s="6" t="s">
        <v>81</v>
      </c>
      <c r="X1159" s="6" t="s">
        <v>81</v>
      </c>
      <c r="Y1159" s="21" t="s">
        <v>81</v>
      </c>
      <c r="Z1159" s="6" t="s">
        <v>81</v>
      </c>
      <c r="AA1159" s="6" t="s">
        <v>81</v>
      </c>
      <c r="AB1159" s="6" t="s">
        <v>81</v>
      </c>
      <c r="AC1159" s="6" t="s">
        <v>81</v>
      </c>
      <c r="AD1159" s="21" t="s">
        <v>81</v>
      </c>
      <c r="AE1159" s="6" t="s">
        <v>81</v>
      </c>
      <c r="AF1159" s="6" t="s">
        <v>81</v>
      </c>
      <c r="AG1159" s="6" t="s">
        <v>81</v>
      </c>
      <c r="AH1159" s="6" t="s">
        <v>15729</v>
      </c>
      <c r="AI1159" s="6" t="s">
        <v>81</v>
      </c>
      <c r="AJ1159" s="6" t="s">
        <v>17342</v>
      </c>
      <c r="AK1159" s="6" t="s">
        <v>18380</v>
      </c>
      <c r="AL1159" s="6" t="s">
        <v>18444</v>
      </c>
      <c r="AM1159" s="6" t="s">
        <v>18496</v>
      </c>
      <c r="AN1159" s="6" t="s">
        <v>81</v>
      </c>
      <c r="AO1159" s="6" t="s">
        <v>81</v>
      </c>
      <c r="AP1159" s="6" t="s">
        <v>15729</v>
      </c>
      <c r="AQ1159" s="6" t="s">
        <v>81</v>
      </c>
      <c r="AR1159" s="6" t="s">
        <v>17342</v>
      </c>
      <c r="AS1159" s="6" t="s">
        <v>18380</v>
      </c>
      <c r="AT1159" s="6" t="s">
        <v>18444</v>
      </c>
      <c r="AU1159" s="6" t="s">
        <v>18496</v>
      </c>
      <c r="AV1159" s="6" t="s">
        <v>81</v>
      </c>
      <c r="AW1159" s="6" t="s">
        <v>81</v>
      </c>
      <c r="AX1159" s="6" t="s">
        <v>81</v>
      </c>
      <c r="AY1159" s="6" t="s">
        <v>81</v>
      </c>
      <c r="AZ1159" s="6" t="s">
        <v>81</v>
      </c>
      <c r="BA1159" s="6" t="s">
        <v>81</v>
      </c>
      <c r="BB1159" s="24" t="n">
        <v>73</v>
      </c>
      <c r="BC1159" s="26"/>
      <c r="BD1159" s="26"/>
      <c r="BE1159" s="26"/>
      <c r="BF1159" s="26"/>
      <c r="BG1159" s="26"/>
      <c r="BH1159" s="26"/>
      <c r="BI1159" s="26"/>
      <c r="BJ1159" s="26"/>
      <c r="BK1159" s="26"/>
      <c r="BL1159" s="26"/>
      <c r="BM1159" s="26"/>
      <c r="BN1159" s="26"/>
      <c r="BO1159" s="26"/>
      <c r="BP1159" s="16" t="n">
        <v>45684</v>
      </c>
      <c r="BQ1159" s="28" t="str">
        <f>HYPERLINK("https://organic.ams.usda.gov/Integrity/Certificate.aspx?cid=68&amp;nopid=8210008813")</f>
        <v>https://organic.ams.usda.gov/Integrity/Certificate.aspx?cid=68&amp;nopid=8210008813</v>
      </c>
    </row>
    <row r="1160">
      <c r="A1160" t="s">
        <v>3</v>
      </c>
      <c r="B1160" s="6" t="s">
        <v>8</v>
      </c>
      <c r="C1160" s="6" t="s">
        <v>55</v>
      </c>
      <c r="D1160" s="6" t="s">
        <v>101</v>
      </c>
      <c r="E1160" s="10" t="s">
        <v>1301</v>
      </c>
      <c r="F1160" s="6" t="s">
        <v>4028</v>
      </c>
      <c r="G1160" s="6" t="s">
        <v>81</v>
      </c>
      <c r="H1160" s="6" t="s">
        <v>6951</v>
      </c>
      <c r="I1160" s="6" t="s">
        <v>9044</v>
      </c>
      <c r="J1160" s="6" t="s">
        <v>9683</v>
      </c>
      <c r="K1160" s="6" t="s">
        <v>10886</v>
      </c>
      <c r="L1160" s="16" t="n">
        <v>42251</v>
      </c>
      <c r="M1160" s="16" t="n">
        <v>45748</v>
      </c>
      <c r="N1160" s="6" t="s">
        <v>10886</v>
      </c>
      <c r="O1160" s="16" t="n">
        <v>42251</v>
      </c>
      <c r="P1160" s="6" t="s">
        <v>11586</v>
      </c>
      <c r="Q1160" s="6" t="s">
        <v>81</v>
      </c>
      <c r="R1160" s="6" t="s">
        <v>6951</v>
      </c>
      <c r="S1160" s="6" t="s">
        <v>10886</v>
      </c>
      <c r="T1160" s="16" t="n">
        <v>42251</v>
      </c>
      <c r="U1160" s="6" t="s">
        <v>13179</v>
      </c>
      <c r="V1160" s="6" t="s">
        <v>81</v>
      </c>
      <c r="W1160" s="6" t="s">
        <v>6951</v>
      </c>
      <c r="X1160" s="6" t="s">
        <v>81</v>
      </c>
      <c r="Y1160" s="21" t="s">
        <v>81</v>
      </c>
      <c r="Z1160" s="6" t="s">
        <v>81</v>
      </c>
      <c r="AA1160" s="6" t="s">
        <v>81</v>
      </c>
      <c r="AB1160" s="6" t="s">
        <v>81</v>
      </c>
      <c r="AC1160" s="6" t="s">
        <v>81</v>
      </c>
      <c r="AD1160" s="21" t="s">
        <v>81</v>
      </c>
      <c r="AE1160" s="6" t="s">
        <v>81</v>
      </c>
      <c r="AF1160" s="6" t="s">
        <v>81</v>
      </c>
      <c r="AG1160" s="6" t="s">
        <v>81</v>
      </c>
      <c r="AH1160" s="6" t="s">
        <v>15730</v>
      </c>
      <c r="AI1160" s="6" t="s">
        <v>81</v>
      </c>
      <c r="AJ1160" s="6" t="s">
        <v>17916</v>
      </c>
      <c r="AK1160" s="6" t="s">
        <v>18377</v>
      </c>
      <c r="AL1160" s="6" t="s">
        <v>18444</v>
      </c>
      <c r="AM1160" s="6" t="s">
        <v>19105</v>
      </c>
      <c r="AN1160" s="6" t="s">
        <v>6332</v>
      </c>
      <c r="AO1160" s="6" t="s">
        <v>19885</v>
      </c>
      <c r="AP1160" s="6" t="s">
        <v>81</v>
      </c>
      <c r="AQ1160" s="6" t="s">
        <v>81</v>
      </c>
      <c r="AR1160" s="6" t="s">
        <v>81</v>
      </c>
      <c r="AS1160" s="6" t="s">
        <v>81</v>
      </c>
      <c r="AT1160" s="6" t="s">
        <v>81</v>
      </c>
      <c r="AU1160" s="6" t="s">
        <v>81</v>
      </c>
      <c r="AV1160" s="6" t="s">
        <v>81</v>
      </c>
      <c r="AW1160" s="6" t="s">
        <v>81</v>
      </c>
      <c r="AX1160" s="6" t="s">
        <v>81</v>
      </c>
      <c r="AY1160" s="6" t="s">
        <v>81</v>
      </c>
      <c r="AZ1160" s="6" t="s">
        <v>81</v>
      </c>
      <c r="BA1160" s="6" t="s">
        <v>23819</v>
      </c>
      <c r="BB1160" s="24" t="n">
        <v>104</v>
      </c>
      <c r="BC1160" s="26"/>
      <c r="BD1160" s="26"/>
      <c r="BE1160" s="26"/>
      <c r="BF1160" s="26" t="s">
        <v>23900</v>
      </c>
      <c r="BG1160" s="26"/>
      <c r="BH1160" s="26"/>
      <c r="BI1160" s="26"/>
      <c r="BJ1160" s="26"/>
      <c r="BK1160" s="26"/>
      <c r="BL1160" s="26"/>
      <c r="BM1160" s="26"/>
      <c r="BN1160" s="26"/>
      <c r="BO1160" s="26"/>
      <c r="BP1160" s="16" t="n">
        <v>45642</v>
      </c>
      <c r="BQ1160" s="28" t="str">
        <f>HYPERLINK("https://organic.ams.usda.gov/Integrity/Certificate.aspx?cid=45&amp;nopid=9950008526")</f>
        <v>https://organic.ams.usda.gov/Integrity/Certificate.aspx?cid=45&amp;nopid=9950008526</v>
      </c>
    </row>
    <row r="1161">
      <c r="A1161" t="s">
        <v>3</v>
      </c>
      <c r="B1161" s="6" t="s">
        <v>12</v>
      </c>
      <c r="C1161" s="6" t="s">
        <v>59</v>
      </c>
      <c r="D1161" s="6" t="s">
        <v>105</v>
      </c>
      <c r="E1161" s="10" t="s">
        <v>1302</v>
      </c>
      <c r="F1161" s="6" t="s">
        <v>4029</v>
      </c>
      <c r="G1161" s="6" t="s">
        <v>81</v>
      </c>
      <c r="H1161" s="6" t="s">
        <v>6952</v>
      </c>
      <c r="I1161" s="6" t="s">
        <v>8560</v>
      </c>
      <c r="J1161" s="6" t="s">
        <v>9671</v>
      </c>
      <c r="K1161" s="6" t="s">
        <v>10886</v>
      </c>
      <c r="L1161" s="16" t="n">
        <v>44095</v>
      </c>
      <c r="M1161" s="16" t="n">
        <v>45717</v>
      </c>
      <c r="N1161" s="6" t="s">
        <v>10886</v>
      </c>
      <c r="O1161" s="16" t="n">
        <v>44095</v>
      </c>
      <c r="P1161" s="6" t="s">
        <v>11587</v>
      </c>
      <c r="Q1161" s="6" t="s">
        <v>81</v>
      </c>
      <c r="R1161" s="6" t="s">
        <v>81</v>
      </c>
      <c r="S1161" s="6" t="s">
        <v>10886</v>
      </c>
      <c r="T1161" s="16" t="n">
        <v>44095</v>
      </c>
      <c r="U1161" s="6" t="s">
        <v>13459</v>
      </c>
      <c r="V1161" s="6" t="s">
        <v>81</v>
      </c>
      <c r="W1161" s="6" t="s">
        <v>81</v>
      </c>
      <c r="X1161" s="6" t="s">
        <v>81</v>
      </c>
      <c r="Y1161" s="21" t="s">
        <v>81</v>
      </c>
      <c r="Z1161" s="6" t="s">
        <v>81</v>
      </c>
      <c r="AA1161" s="6" t="s">
        <v>81</v>
      </c>
      <c r="AB1161" s="6" t="s">
        <v>81</v>
      </c>
      <c r="AC1161" s="6" t="s">
        <v>81</v>
      </c>
      <c r="AD1161" s="21" t="s">
        <v>81</v>
      </c>
      <c r="AE1161" s="6" t="s">
        <v>81</v>
      </c>
      <c r="AF1161" s="6" t="s">
        <v>81</v>
      </c>
      <c r="AG1161" s="6" t="s">
        <v>81</v>
      </c>
      <c r="AH1161" s="6" t="s">
        <v>15731</v>
      </c>
      <c r="AI1161" s="6" t="s">
        <v>81</v>
      </c>
      <c r="AJ1161" s="6" t="s">
        <v>17324</v>
      </c>
      <c r="AK1161" s="6" t="s">
        <v>18380</v>
      </c>
      <c r="AL1161" s="6" t="s">
        <v>18444</v>
      </c>
      <c r="AM1161" s="6" t="s">
        <v>19106</v>
      </c>
      <c r="AN1161" s="6" t="s">
        <v>7195</v>
      </c>
      <c r="AO1161" s="6" t="s">
        <v>19863</v>
      </c>
      <c r="AP1161" s="6" t="s">
        <v>15731</v>
      </c>
      <c r="AQ1161" s="6" t="s">
        <v>81</v>
      </c>
      <c r="AR1161" s="6" t="s">
        <v>17324</v>
      </c>
      <c r="AS1161" s="6" t="s">
        <v>18380</v>
      </c>
      <c r="AT1161" s="6" t="s">
        <v>18444</v>
      </c>
      <c r="AU1161" s="6" t="s">
        <v>19106</v>
      </c>
      <c r="AV1161" s="6" t="s">
        <v>81</v>
      </c>
      <c r="AW1161" s="6" t="s">
        <v>81</v>
      </c>
      <c r="AX1161" s="6" t="s">
        <v>21478</v>
      </c>
      <c r="AY1161" s="6" t="s">
        <v>81</v>
      </c>
      <c r="AZ1161" s="6" t="s">
        <v>81</v>
      </c>
      <c r="BA1161" s="6" t="s">
        <v>81</v>
      </c>
      <c r="BB1161" s="24" t="n">
        <v>141</v>
      </c>
      <c r="BC1161" s="26"/>
      <c r="BD1161" s="26"/>
      <c r="BE1161" s="26"/>
      <c r="BF1161" s="26"/>
      <c r="BG1161" s="26"/>
      <c r="BH1161" s="26"/>
      <c r="BI1161" s="26"/>
      <c r="BJ1161" s="26"/>
      <c r="BK1161" s="26"/>
      <c r="BL1161" s="26"/>
      <c r="BM1161" s="26"/>
      <c r="BN1161" s="26"/>
      <c r="BO1161" s="26"/>
      <c r="BP1161" s="16" t="n">
        <v>45684</v>
      </c>
      <c r="BQ1161" s="28" t="str">
        <f>HYPERLINK("https://organic.ams.usda.gov/Integrity/Certificate.aspx?cid=68&amp;nopid=8210006353")</f>
        <v>https://organic.ams.usda.gov/Integrity/Certificate.aspx?cid=68&amp;nopid=8210006353</v>
      </c>
    </row>
    <row r="1162">
      <c r="A1162" t="s">
        <v>3</v>
      </c>
      <c r="B1162" s="6" t="s">
        <v>8</v>
      </c>
      <c r="C1162" s="6" t="s">
        <v>55</v>
      </c>
      <c r="D1162" s="6" t="s">
        <v>101</v>
      </c>
      <c r="E1162" s="10" t="s">
        <v>1303</v>
      </c>
      <c r="F1162" s="6" t="s">
        <v>4030</v>
      </c>
      <c r="G1162" s="6" t="s">
        <v>81</v>
      </c>
      <c r="H1162" s="6" t="s">
        <v>6953</v>
      </c>
      <c r="I1162" s="6" t="s">
        <v>8560</v>
      </c>
      <c r="J1162" s="6" t="s">
        <v>10049</v>
      </c>
      <c r="K1162" s="6" t="s">
        <v>10886</v>
      </c>
      <c r="L1162" s="16" t="n">
        <v>43313</v>
      </c>
      <c r="M1162" s="16" t="n">
        <v>45689</v>
      </c>
      <c r="N1162" s="6" t="s">
        <v>10886</v>
      </c>
      <c r="O1162" s="16" t="n">
        <v>43313</v>
      </c>
      <c r="P1162" s="6" t="s">
        <v>11588</v>
      </c>
      <c r="Q1162" s="6" t="s">
        <v>81</v>
      </c>
      <c r="R1162" s="6" t="s">
        <v>6953</v>
      </c>
      <c r="S1162" s="6" t="s">
        <v>10886</v>
      </c>
      <c r="T1162" s="16" t="n">
        <v>43313</v>
      </c>
      <c r="U1162" s="6" t="s">
        <v>13173</v>
      </c>
      <c r="V1162" s="6" t="s">
        <v>81</v>
      </c>
      <c r="W1162" s="6" t="s">
        <v>6953</v>
      </c>
      <c r="X1162" s="6" t="s">
        <v>81</v>
      </c>
      <c r="Y1162" s="21" t="s">
        <v>81</v>
      </c>
      <c r="Z1162" s="6" t="s">
        <v>81</v>
      </c>
      <c r="AA1162" s="6" t="s">
        <v>81</v>
      </c>
      <c r="AB1162" s="6" t="s">
        <v>81</v>
      </c>
      <c r="AC1162" s="6" t="s">
        <v>81</v>
      </c>
      <c r="AD1162" s="21" t="s">
        <v>81</v>
      </c>
      <c r="AE1162" s="6" t="s">
        <v>81</v>
      </c>
      <c r="AF1162" s="6" t="s">
        <v>81</v>
      </c>
      <c r="AG1162" s="6" t="s">
        <v>81</v>
      </c>
      <c r="AH1162" s="6" t="s">
        <v>15732</v>
      </c>
      <c r="AI1162" s="6" t="s">
        <v>81</v>
      </c>
      <c r="AJ1162" s="6" t="s">
        <v>17383</v>
      </c>
      <c r="AK1162" s="6" t="s">
        <v>17712</v>
      </c>
      <c r="AL1162" s="6" t="s">
        <v>18444</v>
      </c>
      <c r="AM1162" s="6" t="s">
        <v>18537</v>
      </c>
      <c r="AN1162" s="6" t="s">
        <v>19653</v>
      </c>
      <c r="AO1162" s="6" t="s">
        <v>19744</v>
      </c>
      <c r="AP1162" s="6" t="s">
        <v>81</v>
      </c>
      <c r="AQ1162" s="6" t="s">
        <v>81</v>
      </c>
      <c r="AR1162" s="6" t="s">
        <v>81</v>
      </c>
      <c r="AS1162" s="6" t="s">
        <v>81</v>
      </c>
      <c r="AT1162" s="6" t="s">
        <v>81</v>
      </c>
      <c r="AU1162" s="6" t="s">
        <v>81</v>
      </c>
      <c r="AV1162" s="6" t="s">
        <v>81</v>
      </c>
      <c r="AW1162" s="6" t="s">
        <v>81</v>
      </c>
      <c r="AX1162" s="6" t="s">
        <v>81</v>
      </c>
      <c r="AY1162" s="6" t="s">
        <v>81</v>
      </c>
      <c r="AZ1162" s="6" t="s">
        <v>81</v>
      </c>
      <c r="BA1162" s="6" t="s">
        <v>23819</v>
      </c>
      <c r="BB1162" s="24" t="n">
        <v>244</v>
      </c>
      <c r="BC1162" s="26"/>
      <c r="BD1162" s="26"/>
      <c r="BE1162" s="26"/>
      <c r="BF1162" s="26" t="s">
        <v>23900</v>
      </c>
      <c r="BG1162" s="26"/>
      <c r="BH1162" s="26"/>
      <c r="BI1162" s="26"/>
      <c r="BJ1162" s="26"/>
      <c r="BK1162" s="26"/>
      <c r="BL1162" s="26"/>
      <c r="BM1162" s="26"/>
      <c r="BN1162" s="26"/>
      <c r="BO1162" s="26"/>
      <c r="BP1162" s="16" t="n">
        <v>45698</v>
      </c>
      <c r="BQ1162" s="28" t="str">
        <f>HYPERLINK("https://organic.ams.usda.gov/Integrity/Certificate.aspx?cid=45&amp;nopid=9950011182")</f>
        <v>https://organic.ams.usda.gov/Integrity/Certificate.aspx?cid=45&amp;nopid=9950011182</v>
      </c>
    </row>
    <row r="1163">
      <c r="A1163" t="s">
        <v>3</v>
      </c>
      <c r="B1163" s="6" t="s">
        <v>15</v>
      </c>
      <c r="C1163" s="6" t="s">
        <v>62</v>
      </c>
      <c r="D1163" s="6" t="s">
        <v>108</v>
      </c>
      <c r="E1163" s="10" t="s">
        <v>1304</v>
      </c>
      <c r="F1163" s="6" t="s">
        <v>4031</v>
      </c>
      <c r="G1163" s="6" t="s">
        <v>5699</v>
      </c>
      <c r="H1163" s="6" t="s">
        <v>6954</v>
      </c>
      <c r="I1163" s="6" t="s">
        <v>8560</v>
      </c>
      <c r="J1163" s="6" t="s">
        <v>9675</v>
      </c>
      <c r="K1163" s="6" t="s">
        <v>10886</v>
      </c>
      <c r="L1163" s="16" t="n">
        <v>43707</v>
      </c>
      <c r="M1163" s="16" t="n">
        <v>46157</v>
      </c>
      <c r="N1163" s="6" t="s">
        <v>10886</v>
      </c>
      <c r="O1163" s="16" t="n">
        <v>43707</v>
      </c>
      <c r="P1163" s="6" t="s">
        <v>11589</v>
      </c>
      <c r="Q1163" s="6" t="s">
        <v>81</v>
      </c>
      <c r="R1163" s="6" t="s">
        <v>81</v>
      </c>
      <c r="S1163" s="6" t="s">
        <v>10886</v>
      </c>
      <c r="T1163" s="16" t="n">
        <v>44470</v>
      </c>
      <c r="U1163" s="6" t="s">
        <v>13561</v>
      </c>
      <c r="V1163" s="6" t="s">
        <v>81</v>
      </c>
      <c r="W1163" s="6" t="s">
        <v>81</v>
      </c>
      <c r="X1163" s="6" t="s">
        <v>81</v>
      </c>
      <c r="Y1163" s="21" t="s">
        <v>81</v>
      </c>
      <c r="Z1163" s="6" t="s">
        <v>81</v>
      </c>
      <c r="AA1163" s="6" t="s">
        <v>81</v>
      </c>
      <c r="AB1163" s="6" t="s">
        <v>81</v>
      </c>
      <c r="AC1163" s="6" t="s">
        <v>81</v>
      </c>
      <c r="AD1163" s="21" t="s">
        <v>81</v>
      </c>
      <c r="AE1163" s="6" t="s">
        <v>81</v>
      </c>
      <c r="AF1163" s="6" t="s">
        <v>81</v>
      </c>
      <c r="AG1163" s="6" t="s">
        <v>81</v>
      </c>
      <c r="AH1163" s="6" t="s">
        <v>15733</v>
      </c>
      <c r="AI1163" s="6" t="s">
        <v>81</v>
      </c>
      <c r="AJ1163" s="6" t="s">
        <v>17917</v>
      </c>
      <c r="AK1163" s="6" t="s">
        <v>18378</v>
      </c>
      <c r="AL1163" s="6" t="s">
        <v>18444</v>
      </c>
      <c r="AM1163" s="6" t="s">
        <v>19107</v>
      </c>
      <c r="AN1163" s="6" t="s">
        <v>19640</v>
      </c>
      <c r="AO1163" s="6" t="s">
        <v>19726</v>
      </c>
      <c r="AP1163" s="6" t="s">
        <v>15733</v>
      </c>
      <c r="AQ1163" s="6" t="s">
        <v>81</v>
      </c>
      <c r="AR1163" s="6" t="s">
        <v>17917</v>
      </c>
      <c r="AS1163" s="6" t="s">
        <v>18378</v>
      </c>
      <c r="AT1163" s="6" t="s">
        <v>18444</v>
      </c>
      <c r="AU1163" s="6" t="s">
        <v>19107</v>
      </c>
      <c r="AV1163" s="6" t="s">
        <v>81</v>
      </c>
      <c r="AW1163" s="6" t="s">
        <v>81</v>
      </c>
      <c r="AX1163" s="6" t="s">
        <v>21479</v>
      </c>
      <c r="AY1163" s="6" t="s">
        <v>81</v>
      </c>
      <c r="AZ1163" s="6" t="s">
        <v>81</v>
      </c>
      <c r="BA1163" s="6" t="s">
        <v>81</v>
      </c>
      <c r="BB1163" s="24" t="n">
        <v>119</v>
      </c>
      <c r="BC1163" s="26"/>
      <c r="BD1163" s="26"/>
      <c r="BE1163" s="26"/>
      <c r="BF1163" s="26" t="s">
        <v>23900</v>
      </c>
      <c r="BG1163" s="26"/>
      <c r="BH1163" s="26"/>
      <c r="BI1163" s="26"/>
      <c r="BJ1163" s="26"/>
      <c r="BK1163" s="26"/>
      <c r="BL1163" s="26"/>
      <c r="BM1163" s="26"/>
      <c r="BN1163" s="26"/>
      <c r="BO1163" s="26"/>
      <c r="BP1163" s="16" t="n">
        <v>45737</v>
      </c>
      <c r="BQ1163" s="28" t="str">
        <f>HYPERLINK("https://organic.ams.usda.gov/Integrity/Certificate.aspx?cid=58&amp;nopid=1600003333")</f>
        <v>https://organic.ams.usda.gov/Integrity/Certificate.aspx?cid=58&amp;nopid=1600003333</v>
      </c>
    </row>
    <row r="1164">
      <c r="A1164" t="s">
        <v>3</v>
      </c>
      <c r="B1164" s="6" t="s">
        <v>8</v>
      </c>
      <c r="C1164" s="6" t="s">
        <v>55</v>
      </c>
      <c r="D1164" s="6" t="s">
        <v>101</v>
      </c>
      <c r="E1164" s="10" t="s">
        <v>1305</v>
      </c>
      <c r="F1164" s="6" t="s">
        <v>4032</v>
      </c>
      <c r="G1164" s="6" t="s">
        <v>81</v>
      </c>
      <c r="H1164" s="6" t="s">
        <v>6955</v>
      </c>
      <c r="I1164" s="6" t="s">
        <v>8560</v>
      </c>
      <c r="J1164" s="6" t="s">
        <v>9667</v>
      </c>
      <c r="K1164" s="6" t="s">
        <v>10886</v>
      </c>
      <c r="L1164" s="16" t="n">
        <v>43633</v>
      </c>
      <c r="M1164" s="18" t="s">
        <v>81</v>
      </c>
      <c r="N1164" s="6" t="s">
        <v>10886</v>
      </c>
      <c r="O1164" s="16" t="n">
        <v>43633</v>
      </c>
      <c r="P1164" s="6" t="s">
        <v>11590</v>
      </c>
      <c r="Q1164" s="6" t="s">
        <v>81</v>
      </c>
      <c r="R1164" s="6" t="s">
        <v>81</v>
      </c>
      <c r="S1164" s="6" t="s">
        <v>10886</v>
      </c>
      <c r="T1164" s="16" t="n">
        <v>43633</v>
      </c>
      <c r="U1164" s="6" t="s">
        <v>13562</v>
      </c>
      <c r="V1164" s="6" t="s">
        <v>81</v>
      </c>
      <c r="W1164" s="6" t="s">
        <v>81</v>
      </c>
      <c r="X1164" s="6" t="s">
        <v>81</v>
      </c>
      <c r="Y1164" s="21" t="s">
        <v>81</v>
      </c>
      <c r="Z1164" s="6" t="s">
        <v>81</v>
      </c>
      <c r="AA1164" s="6" t="s">
        <v>81</v>
      </c>
      <c r="AB1164" s="6" t="s">
        <v>81</v>
      </c>
      <c r="AC1164" s="6" t="s">
        <v>81</v>
      </c>
      <c r="AD1164" s="21" t="s">
        <v>81</v>
      </c>
      <c r="AE1164" s="6" t="s">
        <v>81</v>
      </c>
      <c r="AF1164" s="6" t="s">
        <v>81</v>
      </c>
      <c r="AG1164" s="6" t="s">
        <v>81</v>
      </c>
      <c r="AH1164" s="6" t="s">
        <v>15734</v>
      </c>
      <c r="AI1164" s="6" t="s">
        <v>81</v>
      </c>
      <c r="AJ1164" s="6" t="s">
        <v>17337</v>
      </c>
      <c r="AK1164" s="6" t="s">
        <v>18377</v>
      </c>
      <c r="AL1164" s="6" t="s">
        <v>18444</v>
      </c>
      <c r="AM1164" s="6" t="s">
        <v>18491</v>
      </c>
      <c r="AN1164" s="6" t="s">
        <v>19643</v>
      </c>
      <c r="AO1164" s="6" t="s">
        <v>19730</v>
      </c>
      <c r="AP1164" s="6" t="s">
        <v>81</v>
      </c>
      <c r="AQ1164" s="6" t="s">
        <v>81</v>
      </c>
      <c r="AR1164" s="6" t="s">
        <v>81</v>
      </c>
      <c r="AS1164" s="6" t="s">
        <v>81</v>
      </c>
      <c r="AT1164" s="6" t="s">
        <v>81</v>
      </c>
      <c r="AU1164" s="6" t="s">
        <v>81</v>
      </c>
      <c r="AV1164" s="6" t="s">
        <v>81</v>
      </c>
      <c r="AW1164" s="6" t="s">
        <v>81</v>
      </c>
      <c r="AX1164" s="6" t="s">
        <v>81</v>
      </c>
      <c r="AY1164" s="6" t="s">
        <v>81</v>
      </c>
      <c r="AZ1164" s="6" t="s">
        <v>81</v>
      </c>
      <c r="BA1164" s="6" t="s">
        <v>81</v>
      </c>
      <c r="BB1164" s="24" t="n">
        <v>92</v>
      </c>
      <c r="BC1164" s="26"/>
      <c r="BD1164" s="26"/>
      <c r="BE1164" s="26"/>
      <c r="BF1164" s="26"/>
      <c r="BG1164" s="26"/>
      <c r="BH1164" s="26"/>
      <c r="BI1164" s="26"/>
      <c r="BJ1164" s="26"/>
      <c r="BK1164" s="26"/>
      <c r="BL1164" s="26"/>
      <c r="BM1164" s="26"/>
      <c r="BN1164" s="26"/>
      <c r="BO1164" s="26"/>
      <c r="BP1164" s="16" t="n">
        <v>45292</v>
      </c>
      <c r="BQ1164" s="28" t="str">
        <f>HYPERLINK("https://organic.ams.usda.gov/Integrity/Certificate.aspx?cid=45&amp;nopid=9950004219")</f>
        <v>https://organic.ams.usda.gov/Integrity/Certificate.aspx?cid=45&amp;nopid=9950004219</v>
      </c>
    </row>
    <row r="1165">
      <c r="A1165" t="s">
        <v>3</v>
      </c>
      <c r="B1165" s="6" t="s">
        <v>10</v>
      </c>
      <c r="C1165" s="6" t="s">
        <v>57</v>
      </c>
      <c r="D1165" s="6" t="s">
        <v>103</v>
      </c>
      <c r="E1165" s="10" t="s">
        <v>1306</v>
      </c>
      <c r="F1165" s="6" t="s">
        <v>4033</v>
      </c>
      <c r="G1165" s="6" t="s">
        <v>81</v>
      </c>
      <c r="H1165" s="6" t="s">
        <v>6956</v>
      </c>
      <c r="I1165" s="6" t="s">
        <v>9045</v>
      </c>
      <c r="J1165" s="6" t="s">
        <v>9669</v>
      </c>
      <c r="K1165" s="6" t="s">
        <v>10886</v>
      </c>
      <c r="L1165" s="16" t="n">
        <v>43731</v>
      </c>
      <c r="M1165" s="16" t="n">
        <v>45748</v>
      </c>
      <c r="N1165" s="6" t="s">
        <v>10886</v>
      </c>
      <c r="O1165" s="16" t="n">
        <v>43731</v>
      </c>
      <c r="P1165" s="6" t="s">
        <v>11591</v>
      </c>
      <c r="Q1165" s="6" t="s">
        <v>81</v>
      </c>
      <c r="R1165" s="6" t="s">
        <v>12740</v>
      </c>
      <c r="S1165" s="6" t="s">
        <v>10886</v>
      </c>
      <c r="T1165" s="16" t="n">
        <v>43731</v>
      </c>
      <c r="U1165" s="6" t="s">
        <v>13163</v>
      </c>
      <c r="V1165" s="6" t="s">
        <v>81</v>
      </c>
      <c r="W1165" s="6" t="s">
        <v>81</v>
      </c>
      <c r="X1165" s="6" t="s">
        <v>81</v>
      </c>
      <c r="Y1165" s="21" t="s">
        <v>81</v>
      </c>
      <c r="Z1165" s="6" t="s">
        <v>81</v>
      </c>
      <c r="AA1165" s="6" t="s">
        <v>81</v>
      </c>
      <c r="AB1165" s="6" t="s">
        <v>81</v>
      </c>
      <c r="AC1165" s="6" t="s">
        <v>81</v>
      </c>
      <c r="AD1165" s="21" t="s">
        <v>81</v>
      </c>
      <c r="AE1165" s="6" t="s">
        <v>81</v>
      </c>
      <c r="AF1165" s="6" t="s">
        <v>81</v>
      </c>
      <c r="AG1165" s="6" t="s">
        <v>81</v>
      </c>
      <c r="AH1165" s="6" t="s">
        <v>15735</v>
      </c>
      <c r="AI1165" s="6" t="s">
        <v>81</v>
      </c>
      <c r="AJ1165" s="6" t="s">
        <v>17402</v>
      </c>
      <c r="AK1165" s="6" t="s">
        <v>18391</v>
      </c>
      <c r="AL1165" s="6" t="s">
        <v>18444</v>
      </c>
      <c r="AM1165" s="6" t="s">
        <v>18558</v>
      </c>
      <c r="AN1165" s="6" t="s">
        <v>19669</v>
      </c>
      <c r="AO1165" s="6" t="s">
        <v>19780</v>
      </c>
      <c r="AP1165" s="6" t="s">
        <v>15735</v>
      </c>
      <c r="AQ1165" s="6" t="s">
        <v>81</v>
      </c>
      <c r="AR1165" s="6" t="s">
        <v>17402</v>
      </c>
      <c r="AS1165" s="6" t="s">
        <v>18391</v>
      </c>
      <c r="AT1165" s="6" t="s">
        <v>18444</v>
      </c>
      <c r="AU1165" s="6" t="s">
        <v>18558</v>
      </c>
      <c r="AV1165" s="6" t="s">
        <v>81</v>
      </c>
      <c r="AW1165" s="6" t="s">
        <v>81</v>
      </c>
      <c r="AX1165" s="6" t="s">
        <v>21480</v>
      </c>
      <c r="AY1165" s="6" t="s">
        <v>81</v>
      </c>
      <c r="AZ1165" s="6" t="s">
        <v>81</v>
      </c>
      <c r="BA1165" s="6" t="s">
        <v>81</v>
      </c>
      <c r="BB1165" s="24" t="n">
        <v>97</v>
      </c>
      <c r="BC1165" s="26"/>
      <c r="BD1165" s="26"/>
      <c r="BE1165" s="26"/>
      <c r="BF1165" s="26"/>
      <c r="BG1165" s="26"/>
      <c r="BH1165" s="26"/>
      <c r="BI1165" s="26"/>
      <c r="BJ1165" s="26"/>
      <c r="BK1165" s="26"/>
      <c r="BL1165" s="26"/>
      <c r="BM1165" s="26"/>
      <c r="BN1165" s="26"/>
      <c r="BO1165" s="26"/>
      <c r="BP1165" s="16" t="n">
        <v>45730</v>
      </c>
      <c r="BQ1165" s="28" t="str">
        <f>HYPERLINK("https://organic.ams.usda.gov/Integrity/Certificate.aspx?cid=90&amp;nopid=7170019026")</f>
        <v>https://organic.ams.usda.gov/Integrity/Certificate.aspx?cid=90&amp;nopid=7170019026</v>
      </c>
    </row>
    <row r="1166">
      <c r="A1166" t="s">
        <v>3</v>
      </c>
      <c r="B1166" s="6" t="s">
        <v>9</v>
      </c>
      <c r="C1166" s="6" t="s">
        <v>56</v>
      </c>
      <c r="D1166" s="6" t="s">
        <v>102</v>
      </c>
      <c r="E1166" s="10" t="s">
        <v>1307</v>
      </c>
      <c r="F1166" s="6" t="s">
        <v>4034</v>
      </c>
      <c r="G1166" s="6" t="s">
        <v>81</v>
      </c>
      <c r="H1166" s="6" t="s">
        <v>6957</v>
      </c>
      <c r="I1166" s="6" t="s">
        <v>8560</v>
      </c>
      <c r="J1166" s="6" t="s">
        <v>10198</v>
      </c>
      <c r="K1166" s="6" t="s">
        <v>10886</v>
      </c>
      <c r="L1166" s="16" t="n">
        <v>43774</v>
      </c>
      <c r="M1166" s="16" t="n">
        <v>45748</v>
      </c>
      <c r="N1166" s="6" t="s">
        <v>10886</v>
      </c>
      <c r="O1166" s="16" t="n">
        <v>43774</v>
      </c>
      <c r="P1166" s="6" t="s">
        <v>10900</v>
      </c>
      <c r="Q1166" s="6" t="s">
        <v>81</v>
      </c>
      <c r="R1166" s="6" t="s">
        <v>12741</v>
      </c>
      <c r="S1166" s="6" t="s">
        <v>10886</v>
      </c>
      <c r="T1166" s="16" t="n">
        <v>43774</v>
      </c>
      <c r="U1166" s="6" t="s">
        <v>13176</v>
      </c>
      <c r="V1166" s="6" t="s">
        <v>81</v>
      </c>
      <c r="W1166" s="6" t="s">
        <v>12741</v>
      </c>
      <c r="X1166" s="6" t="s">
        <v>81</v>
      </c>
      <c r="Y1166" s="21" t="s">
        <v>81</v>
      </c>
      <c r="Z1166" s="6" t="s">
        <v>81</v>
      </c>
      <c r="AA1166" s="6" t="s">
        <v>81</v>
      </c>
      <c r="AB1166" s="6" t="s">
        <v>81</v>
      </c>
      <c r="AC1166" s="6" t="s">
        <v>81</v>
      </c>
      <c r="AD1166" s="21" t="s">
        <v>81</v>
      </c>
      <c r="AE1166" s="6" t="s">
        <v>81</v>
      </c>
      <c r="AF1166" s="6" t="s">
        <v>81</v>
      </c>
      <c r="AG1166" s="6" t="s">
        <v>81</v>
      </c>
      <c r="AH1166" s="6" t="s">
        <v>15736</v>
      </c>
      <c r="AI1166" s="6" t="s">
        <v>81</v>
      </c>
      <c r="AJ1166" s="6" t="s">
        <v>17643</v>
      </c>
      <c r="AK1166" s="6" t="s">
        <v>18377</v>
      </c>
      <c r="AL1166" s="6" t="s">
        <v>18444</v>
      </c>
      <c r="AM1166" s="6" t="s">
        <v>18812</v>
      </c>
      <c r="AN1166" s="6" t="s">
        <v>19646</v>
      </c>
      <c r="AO1166" s="6" t="s">
        <v>19733</v>
      </c>
      <c r="AP1166" s="6" t="s">
        <v>81</v>
      </c>
      <c r="AQ1166" s="6" t="s">
        <v>81</v>
      </c>
      <c r="AR1166" s="6" t="s">
        <v>81</v>
      </c>
      <c r="AS1166" s="6" t="s">
        <v>81</v>
      </c>
      <c r="AT1166" s="6" t="s">
        <v>81</v>
      </c>
      <c r="AU1166" s="6" t="s">
        <v>81</v>
      </c>
      <c r="AV1166" s="6" t="s">
        <v>81</v>
      </c>
      <c r="AW1166" s="6" t="s">
        <v>81</v>
      </c>
      <c r="AX1166" s="6" t="s">
        <v>81</v>
      </c>
      <c r="AY1166" s="6" t="s">
        <v>81</v>
      </c>
      <c r="AZ1166" s="6" t="s">
        <v>81</v>
      </c>
      <c r="BA1166" s="6" t="s">
        <v>81</v>
      </c>
      <c r="BB1166" s="24" t="n">
        <v>74</v>
      </c>
      <c r="BC1166" s="26"/>
      <c r="BD1166" s="26"/>
      <c r="BE1166" s="26"/>
      <c r="BF1166" s="26"/>
      <c r="BG1166" s="26"/>
      <c r="BH1166" s="26"/>
      <c r="BI1166" s="26"/>
      <c r="BJ1166" s="26"/>
      <c r="BK1166" s="26"/>
      <c r="BL1166" s="26"/>
      <c r="BM1166" s="26"/>
      <c r="BN1166" s="26"/>
      <c r="BO1166" s="26"/>
      <c r="BP1166" s="16" t="n">
        <v>45738</v>
      </c>
      <c r="BQ1166" s="28" t="str">
        <f>HYPERLINK("https://organic.ams.usda.gov/Integrity/Certificate.aspx?cid=52&amp;nopid=8431901733")</f>
        <v>https://organic.ams.usda.gov/Integrity/Certificate.aspx?cid=52&amp;nopid=8431901733</v>
      </c>
    </row>
    <row r="1167">
      <c r="A1167" t="s">
        <v>3</v>
      </c>
      <c r="B1167" s="6" t="s">
        <v>12</v>
      </c>
      <c r="C1167" s="6" t="s">
        <v>59</v>
      </c>
      <c r="D1167" s="6" t="s">
        <v>105</v>
      </c>
      <c r="E1167" s="10" t="s">
        <v>1308</v>
      </c>
      <c r="F1167" s="6" t="s">
        <v>4035</v>
      </c>
      <c r="G1167" s="6" t="s">
        <v>81</v>
      </c>
      <c r="H1167" s="6" t="s">
        <v>6958</v>
      </c>
      <c r="I1167" s="6" t="s">
        <v>8560</v>
      </c>
      <c r="J1167" s="6" t="s">
        <v>10053</v>
      </c>
      <c r="K1167" s="6" t="s">
        <v>10886</v>
      </c>
      <c r="L1167" s="16" t="n">
        <v>41908</v>
      </c>
      <c r="M1167" s="16" t="n">
        <v>45717</v>
      </c>
      <c r="N1167" s="6" t="s">
        <v>10886</v>
      </c>
      <c r="O1167" s="16" t="n">
        <v>41908</v>
      </c>
      <c r="P1167" s="6" t="s">
        <v>11592</v>
      </c>
      <c r="Q1167" s="6" t="s">
        <v>81</v>
      </c>
      <c r="R1167" s="6" t="s">
        <v>81</v>
      </c>
      <c r="S1167" s="6" t="s">
        <v>10886</v>
      </c>
      <c r="T1167" s="16" t="n">
        <v>41908</v>
      </c>
      <c r="U1167" s="6" t="s">
        <v>13563</v>
      </c>
      <c r="V1167" s="6" t="s">
        <v>81</v>
      </c>
      <c r="W1167" s="6" t="s">
        <v>81</v>
      </c>
      <c r="X1167" s="6" t="s">
        <v>81</v>
      </c>
      <c r="Y1167" s="21" t="s">
        <v>81</v>
      </c>
      <c r="Z1167" s="6" t="s">
        <v>81</v>
      </c>
      <c r="AA1167" s="6" t="s">
        <v>81</v>
      </c>
      <c r="AB1167" s="6" t="s">
        <v>81</v>
      </c>
      <c r="AC1167" s="6" t="s">
        <v>81</v>
      </c>
      <c r="AD1167" s="21" t="s">
        <v>81</v>
      </c>
      <c r="AE1167" s="6" t="s">
        <v>81</v>
      </c>
      <c r="AF1167" s="6" t="s">
        <v>81</v>
      </c>
      <c r="AG1167" s="6" t="s">
        <v>81</v>
      </c>
      <c r="AH1167" s="6" t="s">
        <v>15737</v>
      </c>
      <c r="AI1167" s="6" t="s">
        <v>81</v>
      </c>
      <c r="AJ1167" s="6" t="s">
        <v>17743</v>
      </c>
      <c r="AK1167" s="6" t="s">
        <v>18380</v>
      </c>
      <c r="AL1167" s="6" t="s">
        <v>18444</v>
      </c>
      <c r="AM1167" s="6" t="s">
        <v>18911</v>
      </c>
      <c r="AN1167" s="6" t="s">
        <v>19637</v>
      </c>
      <c r="AO1167" s="6" t="s">
        <v>19904</v>
      </c>
      <c r="AP1167" s="6" t="s">
        <v>15737</v>
      </c>
      <c r="AQ1167" s="6" t="s">
        <v>81</v>
      </c>
      <c r="AR1167" s="6" t="s">
        <v>17743</v>
      </c>
      <c r="AS1167" s="6" t="s">
        <v>18380</v>
      </c>
      <c r="AT1167" s="6" t="s">
        <v>18444</v>
      </c>
      <c r="AU1167" s="6" t="s">
        <v>18911</v>
      </c>
      <c r="AV1167" s="6" t="s">
        <v>81</v>
      </c>
      <c r="AW1167" s="6" t="s">
        <v>81</v>
      </c>
      <c r="AX1167" s="6" t="s">
        <v>21481</v>
      </c>
      <c r="AY1167" s="6" t="s">
        <v>81</v>
      </c>
      <c r="AZ1167" s="6" t="s">
        <v>81</v>
      </c>
      <c r="BA1167" s="6" t="s">
        <v>81</v>
      </c>
      <c r="BB1167" s="24" t="n">
        <v>110</v>
      </c>
      <c r="BC1167" s="26"/>
      <c r="BD1167" s="26"/>
      <c r="BE1167" s="26"/>
      <c r="BF1167" s="26"/>
      <c r="BG1167" s="26"/>
      <c r="BH1167" s="26"/>
      <c r="BI1167" s="26"/>
      <c r="BJ1167" s="26"/>
      <c r="BK1167" s="26"/>
      <c r="BL1167" s="26"/>
      <c r="BM1167" s="26"/>
      <c r="BN1167" s="26"/>
      <c r="BO1167" s="26"/>
      <c r="BP1167" s="16" t="n">
        <v>45684</v>
      </c>
      <c r="BQ1167" s="28" t="str">
        <f>HYPERLINK("https://organic.ams.usda.gov/Integrity/Certificate.aspx?cid=68&amp;nopid=8210001870")</f>
        <v>https://organic.ams.usda.gov/Integrity/Certificate.aspx?cid=68&amp;nopid=8210001870</v>
      </c>
    </row>
    <row r="1168">
      <c r="A1168" t="s">
        <v>3</v>
      </c>
      <c r="B1168" s="6" t="s">
        <v>8</v>
      </c>
      <c r="C1168" s="6" t="s">
        <v>55</v>
      </c>
      <c r="D1168" s="6" t="s">
        <v>101</v>
      </c>
      <c r="E1168" s="10" t="s">
        <v>1309</v>
      </c>
      <c r="F1168" s="6" t="s">
        <v>4036</v>
      </c>
      <c r="G1168" s="6" t="s">
        <v>81</v>
      </c>
      <c r="H1168" s="6" t="s">
        <v>6959</v>
      </c>
      <c r="I1168" s="6" t="s">
        <v>8560</v>
      </c>
      <c r="J1168" s="6" t="s">
        <v>9726</v>
      </c>
      <c r="K1168" s="6" t="s">
        <v>10886</v>
      </c>
      <c r="L1168" s="16" t="n">
        <v>40885</v>
      </c>
      <c r="M1168" s="16" t="n">
        <v>45689</v>
      </c>
      <c r="N1168" s="6" t="s">
        <v>10886</v>
      </c>
      <c r="O1168" s="16" t="n">
        <v>40885</v>
      </c>
      <c r="P1168" s="6" t="s">
        <v>11593</v>
      </c>
      <c r="Q1168" s="6" t="s">
        <v>81</v>
      </c>
      <c r="R1168" s="6" t="s">
        <v>6959</v>
      </c>
      <c r="S1168" s="6" t="s">
        <v>10886</v>
      </c>
      <c r="T1168" s="16" t="n">
        <v>40885</v>
      </c>
      <c r="U1168" s="6" t="s">
        <v>13179</v>
      </c>
      <c r="V1168" s="6" t="s">
        <v>81</v>
      </c>
      <c r="W1168" s="6" t="s">
        <v>6959</v>
      </c>
      <c r="X1168" s="6" t="s">
        <v>81</v>
      </c>
      <c r="Y1168" s="21" t="s">
        <v>81</v>
      </c>
      <c r="Z1168" s="6" t="s">
        <v>81</v>
      </c>
      <c r="AA1168" s="6" t="s">
        <v>81</v>
      </c>
      <c r="AB1168" s="6" t="s">
        <v>81</v>
      </c>
      <c r="AC1168" s="6" t="s">
        <v>81</v>
      </c>
      <c r="AD1168" s="21" t="s">
        <v>81</v>
      </c>
      <c r="AE1168" s="6" t="s">
        <v>81</v>
      </c>
      <c r="AF1168" s="6" t="s">
        <v>81</v>
      </c>
      <c r="AG1168" s="6" t="s">
        <v>81</v>
      </c>
      <c r="AH1168" s="6" t="s">
        <v>15738</v>
      </c>
      <c r="AI1168" s="6" t="s">
        <v>81</v>
      </c>
      <c r="AJ1168" s="6" t="s">
        <v>17918</v>
      </c>
      <c r="AK1168" s="6" t="s">
        <v>18378</v>
      </c>
      <c r="AL1168" s="6" t="s">
        <v>18444</v>
      </c>
      <c r="AM1168" s="6" t="s">
        <v>18471</v>
      </c>
      <c r="AN1168" s="6" t="s">
        <v>19676</v>
      </c>
      <c r="AO1168" s="6" t="s">
        <v>19784</v>
      </c>
      <c r="AP1168" s="6" t="s">
        <v>81</v>
      </c>
      <c r="AQ1168" s="6" t="s">
        <v>81</v>
      </c>
      <c r="AR1168" s="6" t="s">
        <v>81</v>
      </c>
      <c r="AS1168" s="6" t="s">
        <v>81</v>
      </c>
      <c r="AT1168" s="6" t="s">
        <v>81</v>
      </c>
      <c r="AU1168" s="6" t="s">
        <v>81</v>
      </c>
      <c r="AV1168" s="6" t="s">
        <v>81</v>
      </c>
      <c r="AW1168" s="6" t="s">
        <v>81</v>
      </c>
      <c r="AX1168" s="6" t="s">
        <v>81</v>
      </c>
      <c r="AY1168" s="6" t="s">
        <v>81</v>
      </c>
      <c r="AZ1168" s="6" t="s">
        <v>81</v>
      </c>
      <c r="BA1168" s="6" t="s">
        <v>23819</v>
      </c>
      <c r="BB1168" s="24" t="n">
        <v>82</v>
      </c>
      <c r="BC1168" s="26"/>
      <c r="BD1168" s="26"/>
      <c r="BE1168" s="26"/>
      <c r="BF1168" s="26" t="s">
        <v>23900</v>
      </c>
      <c r="BG1168" s="26"/>
      <c r="BH1168" s="26"/>
      <c r="BI1168" s="26"/>
      <c r="BJ1168" s="26"/>
      <c r="BK1168" s="26"/>
      <c r="BL1168" s="26"/>
      <c r="BM1168" s="26"/>
      <c r="BN1168" s="26"/>
      <c r="BO1168" s="26"/>
      <c r="BP1168" s="16" t="n">
        <v>45702</v>
      </c>
      <c r="BQ1168" s="28" t="str">
        <f>HYPERLINK("https://organic.ams.usda.gov/Integrity/Certificate.aspx?cid=45&amp;nopid=9950004623")</f>
        <v>https://organic.ams.usda.gov/Integrity/Certificate.aspx?cid=45&amp;nopid=9950004623</v>
      </c>
    </row>
    <row r="1169">
      <c r="A1169" t="s">
        <v>3</v>
      </c>
      <c r="B1169" s="6" t="s">
        <v>8</v>
      </c>
      <c r="C1169" s="6" t="s">
        <v>55</v>
      </c>
      <c r="D1169" s="6" t="s">
        <v>101</v>
      </c>
      <c r="E1169" s="10" t="s">
        <v>1310</v>
      </c>
      <c r="F1169" s="6" t="s">
        <v>4037</v>
      </c>
      <c r="G1169" s="6" t="s">
        <v>5700</v>
      </c>
      <c r="H1169" s="6" t="s">
        <v>6960</v>
      </c>
      <c r="I1169" s="6" t="s">
        <v>8952</v>
      </c>
      <c r="J1169" s="6" t="s">
        <v>10244</v>
      </c>
      <c r="K1169" s="6" t="s">
        <v>10886</v>
      </c>
      <c r="L1169" s="16" t="n">
        <v>38893</v>
      </c>
      <c r="M1169" s="16" t="n">
        <v>45689</v>
      </c>
      <c r="N1169" s="6" t="s">
        <v>10886</v>
      </c>
      <c r="O1169" s="16" t="n">
        <v>38893</v>
      </c>
      <c r="P1169" s="6" t="s">
        <v>11594</v>
      </c>
      <c r="Q1169" s="6" t="s">
        <v>81</v>
      </c>
      <c r="R1169" s="6" t="s">
        <v>6960</v>
      </c>
      <c r="S1169" s="6" t="s">
        <v>10886</v>
      </c>
      <c r="T1169" s="16" t="n">
        <v>38893</v>
      </c>
      <c r="U1169" s="6" t="s">
        <v>13179</v>
      </c>
      <c r="V1169" s="6" t="s">
        <v>81</v>
      </c>
      <c r="W1169" s="6" t="s">
        <v>6960</v>
      </c>
      <c r="X1169" s="6" t="s">
        <v>81</v>
      </c>
      <c r="Y1169" s="21" t="s">
        <v>81</v>
      </c>
      <c r="Z1169" s="6" t="s">
        <v>81</v>
      </c>
      <c r="AA1169" s="6" t="s">
        <v>81</v>
      </c>
      <c r="AB1169" s="6" t="s">
        <v>81</v>
      </c>
      <c r="AC1169" s="6" t="s">
        <v>81</v>
      </c>
      <c r="AD1169" s="21" t="s">
        <v>81</v>
      </c>
      <c r="AE1169" s="6" t="s">
        <v>81</v>
      </c>
      <c r="AF1169" s="6" t="s">
        <v>81</v>
      </c>
      <c r="AG1169" s="6" t="s">
        <v>81</v>
      </c>
      <c r="AH1169" s="6" t="s">
        <v>15739</v>
      </c>
      <c r="AI1169" s="6" t="s">
        <v>81</v>
      </c>
      <c r="AJ1169" s="6" t="s">
        <v>17501</v>
      </c>
      <c r="AK1169" s="6" t="s">
        <v>18384</v>
      </c>
      <c r="AL1169" s="6" t="s">
        <v>18444</v>
      </c>
      <c r="AM1169" s="6" t="s">
        <v>18662</v>
      </c>
      <c r="AN1169" s="6" t="s">
        <v>19636</v>
      </c>
      <c r="AO1169" s="6" t="s">
        <v>19745</v>
      </c>
      <c r="AP1169" s="6" t="s">
        <v>81</v>
      </c>
      <c r="AQ1169" s="6" t="s">
        <v>81</v>
      </c>
      <c r="AR1169" s="6" t="s">
        <v>81</v>
      </c>
      <c r="AS1169" s="6" t="s">
        <v>81</v>
      </c>
      <c r="AT1169" s="6" t="s">
        <v>81</v>
      </c>
      <c r="AU1169" s="6" t="s">
        <v>81</v>
      </c>
      <c r="AV1169" s="6" t="s">
        <v>81</v>
      </c>
      <c r="AW1169" s="6" t="s">
        <v>81</v>
      </c>
      <c r="AX1169" s="6" t="s">
        <v>81</v>
      </c>
      <c r="AY1169" s="6" t="s">
        <v>22996</v>
      </c>
      <c r="AZ1169" s="6" t="s">
        <v>81</v>
      </c>
      <c r="BA1169" s="6" t="s">
        <v>23819</v>
      </c>
      <c r="BB1169" s="24" t="n">
        <v>211</v>
      </c>
      <c r="BC1169" s="26"/>
      <c r="BD1169" s="26"/>
      <c r="BE1169" s="26"/>
      <c r="BF1169" s="26" t="s">
        <v>23900</v>
      </c>
      <c r="BG1169" s="26"/>
      <c r="BH1169" s="26"/>
      <c r="BI1169" s="26"/>
      <c r="BJ1169" s="26"/>
      <c r="BK1169" s="26"/>
      <c r="BL1169" s="26"/>
      <c r="BM1169" s="26"/>
      <c r="BN1169" s="26"/>
      <c r="BO1169" s="26"/>
      <c r="BP1169" s="16" t="n">
        <v>45679</v>
      </c>
      <c r="BQ1169" s="28" t="str">
        <f>HYPERLINK("https://organic.ams.usda.gov/Integrity/Certificate.aspx?cid=45&amp;nopid=9950002271")</f>
        <v>https://organic.ams.usda.gov/Integrity/Certificate.aspx?cid=45&amp;nopid=9950002271</v>
      </c>
    </row>
    <row r="1170">
      <c r="A1170" t="s">
        <v>3</v>
      </c>
      <c r="B1170" s="6" t="s">
        <v>8</v>
      </c>
      <c r="C1170" s="6" t="s">
        <v>55</v>
      </c>
      <c r="D1170" s="6" t="s">
        <v>101</v>
      </c>
      <c r="E1170" s="10" t="s">
        <v>1311</v>
      </c>
      <c r="F1170" s="6" t="s">
        <v>4038</v>
      </c>
      <c r="G1170" s="6" t="s">
        <v>81</v>
      </c>
      <c r="H1170" s="6" t="s">
        <v>6961</v>
      </c>
      <c r="I1170" s="6" t="s">
        <v>8391</v>
      </c>
      <c r="J1170" s="6" t="s">
        <v>10245</v>
      </c>
      <c r="K1170" s="6" t="s">
        <v>10886</v>
      </c>
      <c r="L1170" s="16" t="n">
        <v>42654</v>
      </c>
      <c r="M1170" s="16" t="n">
        <v>45689</v>
      </c>
      <c r="N1170" s="6" t="s">
        <v>10886</v>
      </c>
      <c r="O1170" s="16" t="n">
        <v>42654</v>
      </c>
      <c r="P1170" s="6" t="s">
        <v>11595</v>
      </c>
      <c r="Q1170" s="6" t="s">
        <v>81</v>
      </c>
      <c r="R1170" s="6" t="s">
        <v>6961</v>
      </c>
      <c r="S1170" s="6" t="s">
        <v>10886</v>
      </c>
      <c r="T1170" s="16" t="n">
        <v>43462</v>
      </c>
      <c r="U1170" s="6" t="s">
        <v>13508</v>
      </c>
      <c r="V1170" s="6" t="s">
        <v>81</v>
      </c>
      <c r="W1170" s="6" t="s">
        <v>6961</v>
      </c>
      <c r="X1170" s="6" t="s">
        <v>81</v>
      </c>
      <c r="Y1170" s="21" t="s">
        <v>81</v>
      </c>
      <c r="Z1170" s="6" t="s">
        <v>81</v>
      </c>
      <c r="AA1170" s="6" t="s">
        <v>81</v>
      </c>
      <c r="AB1170" s="6" t="s">
        <v>81</v>
      </c>
      <c r="AC1170" s="6" t="s">
        <v>81</v>
      </c>
      <c r="AD1170" s="21" t="s">
        <v>81</v>
      </c>
      <c r="AE1170" s="6" t="s">
        <v>81</v>
      </c>
      <c r="AF1170" s="6" t="s">
        <v>81</v>
      </c>
      <c r="AG1170" s="6" t="s">
        <v>81</v>
      </c>
      <c r="AH1170" s="6" t="s">
        <v>15740</v>
      </c>
      <c r="AI1170" s="6" t="s">
        <v>81</v>
      </c>
      <c r="AJ1170" s="6" t="s">
        <v>17919</v>
      </c>
      <c r="AK1170" s="6" t="s">
        <v>18377</v>
      </c>
      <c r="AL1170" s="6" t="s">
        <v>18444</v>
      </c>
      <c r="AM1170" s="6" t="s">
        <v>19108</v>
      </c>
      <c r="AN1170" s="6" t="s">
        <v>6842</v>
      </c>
      <c r="AO1170" s="6" t="s">
        <v>19788</v>
      </c>
      <c r="AP1170" s="6" t="s">
        <v>81</v>
      </c>
      <c r="AQ1170" s="6" t="s">
        <v>81</v>
      </c>
      <c r="AR1170" s="6" t="s">
        <v>81</v>
      </c>
      <c r="AS1170" s="6" t="s">
        <v>81</v>
      </c>
      <c r="AT1170" s="6" t="s">
        <v>81</v>
      </c>
      <c r="AU1170" s="6" t="s">
        <v>81</v>
      </c>
      <c r="AV1170" s="6" t="s">
        <v>81</v>
      </c>
      <c r="AW1170" s="6" t="s">
        <v>81</v>
      </c>
      <c r="AX1170" s="6" t="s">
        <v>81</v>
      </c>
      <c r="AY1170" s="6" t="s">
        <v>22997</v>
      </c>
      <c r="AZ1170" s="6" t="s">
        <v>81</v>
      </c>
      <c r="BA1170" s="6" t="s">
        <v>23819</v>
      </c>
      <c r="BB1170" s="24" t="n">
        <v>944</v>
      </c>
      <c r="BC1170" s="26"/>
      <c r="BD1170" s="26"/>
      <c r="BE1170" s="26"/>
      <c r="BF1170" s="26" t="s">
        <v>23900</v>
      </c>
      <c r="BG1170" s="26"/>
      <c r="BH1170" s="26"/>
      <c r="BI1170" s="26"/>
      <c r="BJ1170" s="26"/>
      <c r="BK1170" s="26"/>
      <c r="BL1170" s="26"/>
      <c r="BM1170" s="26"/>
      <c r="BN1170" s="26"/>
      <c r="BO1170" s="26"/>
      <c r="BP1170" s="16" t="n">
        <v>45714</v>
      </c>
      <c r="BQ1170" s="28" t="str">
        <f>HYPERLINK("https://organic.ams.usda.gov/Integrity/Certificate.aspx?cid=45&amp;nopid=9950009351")</f>
        <v>https://organic.ams.usda.gov/Integrity/Certificate.aspx?cid=45&amp;nopid=9950009351</v>
      </c>
    </row>
    <row r="1171">
      <c r="A1171" t="s">
        <v>3</v>
      </c>
      <c r="B1171" s="6" t="s">
        <v>8</v>
      </c>
      <c r="C1171" s="6" t="s">
        <v>55</v>
      </c>
      <c r="D1171" s="6" t="s">
        <v>101</v>
      </c>
      <c r="E1171" s="10" t="s">
        <v>1312</v>
      </c>
      <c r="F1171" s="6" t="s">
        <v>4039</v>
      </c>
      <c r="G1171" s="6" t="s">
        <v>81</v>
      </c>
      <c r="H1171" s="6" t="s">
        <v>6962</v>
      </c>
      <c r="I1171" s="6" t="s">
        <v>8586</v>
      </c>
      <c r="J1171" s="6" t="s">
        <v>10246</v>
      </c>
      <c r="K1171" s="6" t="s">
        <v>10886</v>
      </c>
      <c r="L1171" s="16" t="n">
        <v>38348</v>
      </c>
      <c r="M1171" s="16" t="n">
        <v>45748</v>
      </c>
      <c r="N1171" s="6" t="s">
        <v>10886</v>
      </c>
      <c r="O1171" s="16" t="n">
        <v>38348</v>
      </c>
      <c r="P1171" s="6" t="s">
        <v>11596</v>
      </c>
      <c r="Q1171" s="6" t="s">
        <v>81</v>
      </c>
      <c r="R1171" s="6" t="s">
        <v>6962</v>
      </c>
      <c r="S1171" s="6" t="s">
        <v>10886</v>
      </c>
      <c r="T1171" s="16" t="n">
        <v>38348</v>
      </c>
      <c r="U1171" s="6" t="s">
        <v>13179</v>
      </c>
      <c r="V1171" s="6" t="s">
        <v>81</v>
      </c>
      <c r="W1171" s="6" t="s">
        <v>6962</v>
      </c>
      <c r="X1171" s="6" t="s">
        <v>81</v>
      </c>
      <c r="Y1171" s="21" t="s">
        <v>81</v>
      </c>
      <c r="Z1171" s="6" t="s">
        <v>81</v>
      </c>
      <c r="AA1171" s="6" t="s">
        <v>81</v>
      </c>
      <c r="AB1171" s="6" t="s">
        <v>81</v>
      </c>
      <c r="AC1171" s="6" t="s">
        <v>81</v>
      </c>
      <c r="AD1171" s="21" t="s">
        <v>81</v>
      </c>
      <c r="AE1171" s="6" t="s">
        <v>81</v>
      </c>
      <c r="AF1171" s="6" t="s">
        <v>81</v>
      </c>
      <c r="AG1171" s="6" t="s">
        <v>81</v>
      </c>
      <c r="AH1171" s="6" t="s">
        <v>15741</v>
      </c>
      <c r="AI1171" s="6" t="s">
        <v>81</v>
      </c>
      <c r="AJ1171" s="6" t="s">
        <v>17681</v>
      </c>
      <c r="AK1171" s="6" t="s">
        <v>18377</v>
      </c>
      <c r="AL1171" s="6" t="s">
        <v>18444</v>
      </c>
      <c r="AM1171" s="6" t="s">
        <v>18847</v>
      </c>
      <c r="AN1171" s="6" t="s">
        <v>19638</v>
      </c>
      <c r="AO1171" s="6" t="s">
        <v>19724</v>
      </c>
      <c r="AP1171" s="6" t="s">
        <v>81</v>
      </c>
      <c r="AQ1171" s="6" t="s">
        <v>81</v>
      </c>
      <c r="AR1171" s="6" t="s">
        <v>81</v>
      </c>
      <c r="AS1171" s="6" t="s">
        <v>81</v>
      </c>
      <c r="AT1171" s="6" t="s">
        <v>81</v>
      </c>
      <c r="AU1171" s="6" t="s">
        <v>81</v>
      </c>
      <c r="AV1171" s="6" t="s">
        <v>81</v>
      </c>
      <c r="AW1171" s="6" t="s">
        <v>81</v>
      </c>
      <c r="AX1171" s="6" t="s">
        <v>81</v>
      </c>
      <c r="AY1171" s="6" t="s">
        <v>22998</v>
      </c>
      <c r="AZ1171" s="6" t="s">
        <v>81</v>
      </c>
      <c r="BA1171" s="6" t="s">
        <v>23819</v>
      </c>
      <c r="BB1171" s="24" t="n">
        <v>144</v>
      </c>
      <c r="BC1171" s="26"/>
      <c r="BD1171" s="26"/>
      <c r="BE1171" s="26"/>
      <c r="BF1171" s="26" t="s">
        <v>23900</v>
      </c>
      <c r="BG1171" s="26"/>
      <c r="BH1171" s="26"/>
      <c r="BI1171" s="26"/>
      <c r="BJ1171" s="26"/>
      <c r="BK1171" s="26"/>
      <c r="BL1171" s="26"/>
      <c r="BM1171" s="26"/>
      <c r="BN1171" s="26"/>
      <c r="BO1171" s="26"/>
      <c r="BP1171" s="16" t="n">
        <v>45644</v>
      </c>
      <c r="BQ1171" s="28" t="str">
        <f>HYPERLINK("https://organic.ams.usda.gov/Integrity/Certificate.aspx?cid=45&amp;nopid=9950001596")</f>
        <v>https://organic.ams.usda.gov/Integrity/Certificate.aspx?cid=45&amp;nopid=9950001596</v>
      </c>
    </row>
    <row r="1172">
      <c r="A1172" t="s">
        <v>3</v>
      </c>
      <c r="B1172" s="6" t="s">
        <v>8</v>
      </c>
      <c r="C1172" s="6" t="s">
        <v>55</v>
      </c>
      <c r="D1172" s="6" t="s">
        <v>101</v>
      </c>
      <c r="E1172" s="10" t="s">
        <v>1313</v>
      </c>
      <c r="F1172" s="6" t="s">
        <v>4040</v>
      </c>
      <c r="G1172" s="6" t="s">
        <v>81</v>
      </c>
      <c r="H1172" s="6" t="s">
        <v>6963</v>
      </c>
      <c r="I1172" s="6" t="s">
        <v>8513</v>
      </c>
      <c r="J1172" s="6" t="s">
        <v>9683</v>
      </c>
      <c r="K1172" s="6" t="s">
        <v>10886</v>
      </c>
      <c r="L1172" s="16" t="n">
        <v>37768</v>
      </c>
      <c r="M1172" s="16" t="n">
        <v>45689</v>
      </c>
      <c r="N1172" s="6" t="s">
        <v>10886</v>
      </c>
      <c r="O1172" s="16" t="n">
        <v>37768</v>
      </c>
      <c r="P1172" s="6" t="s">
        <v>11597</v>
      </c>
      <c r="Q1172" s="6" t="s">
        <v>81</v>
      </c>
      <c r="R1172" s="6" t="s">
        <v>6963</v>
      </c>
      <c r="S1172" s="6" t="s">
        <v>10886</v>
      </c>
      <c r="T1172" s="16" t="n">
        <v>37768</v>
      </c>
      <c r="U1172" s="6" t="s">
        <v>13173</v>
      </c>
      <c r="V1172" s="6" t="s">
        <v>81</v>
      </c>
      <c r="W1172" s="6" t="s">
        <v>6963</v>
      </c>
      <c r="X1172" s="6" t="s">
        <v>81</v>
      </c>
      <c r="Y1172" s="21" t="s">
        <v>81</v>
      </c>
      <c r="Z1172" s="6" t="s">
        <v>81</v>
      </c>
      <c r="AA1172" s="6" t="s">
        <v>81</v>
      </c>
      <c r="AB1172" s="6" t="s">
        <v>81</v>
      </c>
      <c r="AC1172" s="6" t="s">
        <v>81</v>
      </c>
      <c r="AD1172" s="21" t="s">
        <v>81</v>
      </c>
      <c r="AE1172" s="6" t="s">
        <v>81</v>
      </c>
      <c r="AF1172" s="6" t="s">
        <v>81</v>
      </c>
      <c r="AG1172" s="6" t="s">
        <v>81</v>
      </c>
      <c r="AH1172" s="6" t="s">
        <v>15742</v>
      </c>
      <c r="AI1172" s="6" t="s">
        <v>81</v>
      </c>
      <c r="AJ1172" s="6" t="s">
        <v>17916</v>
      </c>
      <c r="AK1172" s="6" t="s">
        <v>18377</v>
      </c>
      <c r="AL1172" s="6" t="s">
        <v>18444</v>
      </c>
      <c r="AM1172" s="6" t="s">
        <v>19105</v>
      </c>
      <c r="AN1172" s="6" t="s">
        <v>6332</v>
      </c>
      <c r="AO1172" s="6" t="s">
        <v>19885</v>
      </c>
      <c r="AP1172" s="6" t="s">
        <v>81</v>
      </c>
      <c r="AQ1172" s="6" t="s">
        <v>81</v>
      </c>
      <c r="AR1172" s="6" t="s">
        <v>81</v>
      </c>
      <c r="AS1172" s="6" t="s">
        <v>81</v>
      </c>
      <c r="AT1172" s="6" t="s">
        <v>81</v>
      </c>
      <c r="AU1172" s="6" t="s">
        <v>81</v>
      </c>
      <c r="AV1172" s="6" t="s">
        <v>81</v>
      </c>
      <c r="AW1172" s="6" t="s">
        <v>81</v>
      </c>
      <c r="AX1172" s="6" t="s">
        <v>81</v>
      </c>
      <c r="AY1172" s="6" t="s">
        <v>81</v>
      </c>
      <c r="AZ1172" s="6" t="s">
        <v>81</v>
      </c>
      <c r="BA1172" s="6" t="s">
        <v>23819</v>
      </c>
      <c r="BB1172" s="24" t="n">
        <v>106</v>
      </c>
      <c r="BC1172" s="26"/>
      <c r="BD1172" s="26"/>
      <c r="BE1172" s="26"/>
      <c r="BF1172" s="26" t="s">
        <v>23900</v>
      </c>
      <c r="BG1172" s="26"/>
      <c r="BH1172" s="26"/>
      <c r="BI1172" s="26"/>
      <c r="BJ1172" s="26"/>
      <c r="BK1172" s="26"/>
      <c r="BL1172" s="26"/>
      <c r="BM1172" s="26"/>
      <c r="BN1172" s="26"/>
      <c r="BO1172" s="26"/>
      <c r="BP1172" s="16" t="n">
        <v>45701</v>
      </c>
      <c r="BQ1172" s="28" t="str">
        <f>HYPERLINK("https://organic.ams.usda.gov/Integrity/Certificate.aspx?cid=45&amp;nopid=9950001232")</f>
        <v>https://organic.ams.usda.gov/Integrity/Certificate.aspx?cid=45&amp;nopid=9950001232</v>
      </c>
    </row>
    <row r="1173">
      <c r="A1173" t="s">
        <v>3</v>
      </c>
      <c r="B1173" s="6" t="s">
        <v>47</v>
      </c>
      <c r="C1173" s="6" t="s">
        <v>94</v>
      </c>
      <c r="D1173" s="6" t="s">
        <v>139</v>
      </c>
      <c r="E1173" s="10" t="s">
        <v>1314</v>
      </c>
      <c r="F1173" s="6" t="s">
        <v>4041</v>
      </c>
      <c r="G1173" s="6" t="s">
        <v>81</v>
      </c>
      <c r="H1173" s="6" t="s">
        <v>6964</v>
      </c>
      <c r="I1173" s="6" t="s">
        <v>9009</v>
      </c>
      <c r="J1173" s="6" t="s">
        <v>10247</v>
      </c>
      <c r="K1173" s="6" t="s">
        <v>10886</v>
      </c>
      <c r="L1173" s="16" t="n">
        <v>42727</v>
      </c>
      <c r="M1173" s="16" t="n">
        <v>45809</v>
      </c>
      <c r="N1173" s="6" t="s">
        <v>81</v>
      </c>
      <c r="O1173" s="21" t="s">
        <v>81</v>
      </c>
      <c r="P1173" s="6" t="s">
        <v>81</v>
      </c>
      <c r="Q1173" s="6" t="s">
        <v>81</v>
      </c>
      <c r="R1173" s="6" t="s">
        <v>81</v>
      </c>
      <c r="S1173" s="6" t="s">
        <v>81</v>
      </c>
      <c r="T1173" s="21" t="s">
        <v>81</v>
      </c>
      <c r="U1173" s="6" t="s">
        <v>81</v>
      </c>
      <c r="V1173" s="6" t="s">
        <v>81</v>
      </c>
      <c r="W1173" s="6" t="s">
        <v>81</v>
      </c>
      <c r="X1173" s="6" t="s">
        <v>81</v>
      </c>
      <c r="Y1173" s="21" t="s">
        <v>81</v>
      </c>
      <c r="Z1173" s="6" t="s">
        <v>81</v>
      </c>
      <c r="AA1173" s="6" t="s">
        <v>81</v>
      </c>
      <c r="AB1173" s="6" t="s">
        <v>81</v>
      </c>
      <c r="AC1173" s="6" t="s">
        <v>10886</v>
      </c>
      <c r="AD1173" s="16" t="n">
        <v>42727</v>
      </c>
      <c r="AE1173" s="6" t="s">
        <v>14245</v>
      </c>
      <c r="AF1173" s="6" t="s">
        <v>81</v>
      </c>
      <c r="AG1173" s="6" t="s">
        <v>81</v>
      </c>
      <c r="AH1173" s="6" t="s">
        <v>15743</v>
      </c>
      <c r="AI1173" s="6" t="s">
        <v>81</v>
      </c>
      <c r="AJ1173" s="6" t="s">
        <v>17920</v>
      </c>
      <c r="AK1173" s="6" t="s">
        <v>18382</v>
      </c>
      <c r="AL1173" s="6" t="s">
        <v>18444</v>
      </c>
      <c r="AM1173" s="6" t="s">
        <v>19109</v>
      </c>
      <c r="AN1173" s="6" t="s">
        <v>19654</v>
      </c>
      <c r="AO1173" s="6" t="s">
        <v>19960</v>
      </c>
      <c r="AP1173" s="6" t="s">
        <v>81</v>
      </c>
      <c r="AQ1173" s="6" t="s">
        <v>81</v>
      </c>
      <c r="AR1173" s="6" t="s">
        <v>81</v>
      </c>
      <c r="AS1173" s="6" t="s">
        <v>81</v>
      </c>
      <c r="AT1173" s="6" t="s">
        <v>81</v>
      </c>
      <c r="AU1173" s="6" t="s">
        <v>81</v>
      </c>
      <c r="AV1173" s="6" t="s">
        <v>81</v>
      </c>
      <c r="AW1173" s="6" t="s">
        <v>81</v>
      </c>
      <c r="AX1173" s="6" t="s">
        <v>21482</v>
      </c>
      <c r="AY1173" s="6" t="s">
        <v>22999</v>
      </c>
      <c r="AZ1173" s="6" t="s">
        <v>23690</v>
      </c>
      <c r="BA1173" s="6" t="s">
        <v>81</v>
      </c>
      <c r="BB1173" s="6" t="s">
        <v>81</v>
      </c>
      <c r="BC1173" s="26"/>
      <c r="BD1173" s="26"/>
      <c r="BE1173" s="26"/>
      <c r="BF1173" s="26"/>
      <c r="BG1173" s="26"/>
      <c r="BH1173" s="26"/>
      <c r="BI1173" s="26"/>
      <c r="BJ1173" s="26"/>
      <c r="BK1173" s="26"/>
      <c r="BL1173" s="26"/>
      <c r="BM1173" s="26"/>
      <c r="BN1173" s="26"/>
      <c r="BO1173" s="26"/>
      <c r="BP1173" s="16" t="n">
        <v>45657</v>
      </c>
      <c r="BQ1173" s="28" t="str">
        <f>HYPERLINK("https://organic.ams.usda.gov/Integrity/Certificate.aspx?cid=60&amp;nopid=2580001947")</f>
        <v>https://organic.ams.usda.gov/Integrity/Certificate.aspx?cid=60&amp;nopid=2580001947</v>
      </c>
    </row>
    <row r="1174">
      <c r="A1174" t="s">
        <v>3</v>
      </c>
      <c r="B1174" s="6" t="s">
        <v>8</v>
      </c>
      <c r="C1174" s="6" t="s">
        <v>55</v>
      </c>
      <c r="D1174" s="6" t="s">
        <v>101</v>
      </c>
      <c r="E1174" s="10" t="s">
        <v>1315</v>
      </c>
      <c r="F1174" s="6" t="s">
        <v>4042</v>
      </c>
      <c r="G1174" s="6" t="s">
        <v>81</v>
      </c>
      <c r="H1174" s="6" t="s">
        <v>6965</v>
      </c>
      <c r="I1174" s="6" t="s">
        <v>8799</v>
      </c>
      <c r="J1174" s="6" t="s">
        <v>10248</v>
      </c>
      <c r="K1174" s="6" t="s">
        <v>10886</v>
      </c>
      <c r="L1174" s="16" t="n">
        <v>43719</v>
      </c>
      <c r="M1174" s="16" t="n">
        <v>45748</v>
      </c>
      <c r="N1174" s="6" t="s">
        <v>10886</v>
      </c>
      <c r="O1174" s="16" t="n">
        <v>43719</v>
      </c>
      <c r="P1174" s="6" t="s">
        <v>11598</v>
      </c>
      <c r="Q1174" s="6" t="s">
        <v>81</v>
      </c>
      <c r="R1174" s="6" t="s">
        <v>6965</v>
      </c>
      <c r="S1174" s="6" t="s">
        <v>10886</v>
      </c>
      <c r="T1174" s="16" t="n">
        <v>43719</v>
      </c>
      <c r="U1174" s="6" t="s">
        <v>13179</v>
      </c>
      <c r="V1174" s="6" t="s">
        <v>81</v>
      </c>
      <c r="W1174" s="6" t="s">
        <v>6965</v>
      </c>
      <c r="X1174" s="6" t="s">
        <v>81</v>
      </c>
      <c r="Y1174" s="21" t="s">
        <v>81</v>
      </c>
      <c r="Z1174" s="6" t="s">
        <v>81</v>
      </c>
      <c r="AA1174" s="6" t="s">
        <v>81</v>
      </c>
      <c r="AB1174" s="6" t="s">
        <v>81</v>
      </c>
      <c r="AC1174" s="6" t="s">
        <v>81</v>
      </c>
      <c r="AD1174" s="21" t="s">
        <v>81</v>
      </c>
      <c r="AE1174" s="6" t="s">
        <v>81</v>
      </c>
      <c r="AF1174" s="6" t="s">
        <v>81</v>
      </c>
      <c r="AG1174" s="6" t="s">
        <v>81</v>
      </c>
      <c r="AH1174" s="6" t="s">
        <v>15744</v>
      </c>
      <c r="AI1174" s="6" t="s">
        <v>81</v>
      </c>
      <c r="AJ1174" s="6" t="s">
        <v>8569</v>
      </c>
      <c r="AK1174" s="6" t="s">
        <v>18381</v>
      </c>
      <c r="AL1174" s="6" t="s">
        <v>18444</v>
      </c>
      <c r="AM1174" s="6" t="s">
        <v>19110</v>
      </c>
      <c r="AN1174" s="6" t="s">
        <v>19674</v>
      </c>
      <c r="AO1174" s="6" t="s">
        <v>19789</v>
      </c>
      <c r="AP1174" s="6" t="s">
        <v>15744</v>
      </c>
      <c r="AQ1174" s="6" t="s">
        <v>81</v>
      </c>
      <c r="AR1174" s="6" t="s">
        <v>8569</v>
      </c>
      <c r="AS1174" s="6" t="s">
        <v>18381</v>
      </c>
      <c r="AT1174" s="6" t="s">
        <v>18444</v>
      </c>
      <c r="AU1174" s="6" t="s">
        <v>19110</v>
      </c>
      <c r="AV1174" s="6" t="s">
        <v>81</v>
      </c>
      <c r="AW1174" s="6" t="s">
        <v>81</v>
      </c>
      <c r="AX1174" s="6" t="s">
        <v>81</v>
      </c>
      <c r="AY1174" s="6" t="s">
        <v>23000</v>
      </c>
      <c r="AZ1174" s="6" t="s">
        <v>81</v>
      </c>
      <c r="BA1174" s="6" t="s">
        <v>23819</v>
      </c>
      <c r="BB1174" s="24" t="n">
        <v>158</v>
      </c>
      <c r="BC1174" s="26"/>
      <c r="BD1174" s="26"/>
      <c r="BE1174" s="26"/>
      <c r="BF1174" s="26" t="s">
        <v>23900</v>
      </c>
      <c r="BG1174" s="26"/>
      <c r="BH1174" s="26"/>
      <c r="BI1174" s="26"/>
      <c r="BJ1174" s="26"/>
      <c r="BK1174" s="26"/>
      <c r="BL1174" s="26"/>
      <c r="BM1174" s="26"/>
      <c r="BN1174" s="26"/>
      <c r="BO1174" s="26"/>
      <c r="BP1174" s="16" t="n">
        <v>45637</v>
      </c>
      <c r="BQ1174" s="28" t="str">
        <f>HYPERLINK("https://organic.ams.usda.gov/Integrity/Certificate.aspx?cid=45&amp;nopid=9950011911")</f>
        <v>https://organic.ams.usda.gov/Integrity/Certificate.aspx?cid=45&amp;nopid=9950011911</v>
      </c>
    </row>
    <row r="1175">
      <c r="A1175" t="s">
        <v>3</v>
      </c>
      <c r="B1175" s="6" t="s">
        <v>7</v>
      </c>
      <c r="C1175" s="6" t="s">
        <v>54</v>
      </c>
      <c r="D1175" s="6" t="s">
        <v>100</v>
      </c>
      <c r="E1175" s="10" t="s">
        <v>1316</v>
      </c>
      <c r="F1175" s="6" t="s">
        <v>4043</v>
      </c>
      <c r="G1175" s="6" t="s">
        <v>81</v>
      </c>
      <c r="H1175" s="6" t="s">
        <v>6966</v>
      </c>
      <c r="I1175" s="6" t="s">
        <v>8757</v>
      </c>
      <c r="J1175" s="6" t="s">
        <v>9669</v>
      </c>
      <c r="K1175" s="6" t="s">
        <v>10886</v>
      </c>
      <c r="L1175" s="16" t="n">
        <v>45107</v>
      </c>
      <c r="M1175" s="16" t="n">
        <v>45716</v>
      </c>
      <c r="N1175" s="6" t="s">
        <v>10886</v>
      </c>
      <c r="O1175" s="16" t="n">
        <v>45107</v>
      </c>
      <c r="P1175" s="6" t="s">
        <v>11240</v>
      </c>
      <c r="Q1175" s="6" t="s">
        <v>81</v>
      </c>
      <c r="R1175" s="6" t="s">
        <v>81</v>
      </c>
      <c r="S1175" s="6" t="s">
        <v>10886</v>
      </c>
      <c r="T1175" s="16" t="n">
        <v>45107</v>
      </c>
      <c r="U1175" s="6" t="s">
        <v>13169</v>
      </c>
      <c r="V1175" s="6" t="s">
        <v>81</v>
      </c>
      <c r="W1175" s="6" t="s">
        <v>81</v>
      </c>
      <c r="X1175" s="6" t="s">
        <v>81</v>
      </c>
      <c r="Y1175" s="21" t="s">
        <v>81</v>
      </c>
      <c r="Z1175" s="6" t="s">
        <v>81</v>
      </c>
      <c r="AA1175" s="6" t="s">
        <v>81</v>
      </c>
      <c r="AB1175" s="6" t="s">
        <v>81</v>
      </c>
      <c r="AC1175" s="6" t="s">
        <v>81</v>
      </c>
      <c r="AD1175" s="21" t="s">
        <v>81</v>
      </c>
      <c r="AE1175" s="6" t="s">
        <v>81</v>
      </c>
      <c r="AF1175" s="6" t="s">
        <v>81</v>
      </c>
      <c r="AG1175" s="6" t="s">
        <v>81</v>
      </c>
      <c r="AH1175" s="6" t="s">
        <v>15745</v>
      </c>
      <c r="AI1175" s="6" t="s">
        <v>81</v>
      </c>
      <c r="AJ1175" s="6" t="s">
        <v>17410</v>
      </c>
      <c r="AK1175" s="6" t="s">
        <v>17712</v>
      </c>
      <c r="AL1175" s="6" t="s">
        <v>18444</v>
      </c>
      <c r="AM1175" s="6" t="s">
        <v>18566</v>
      </c>
      <c r="AN1175" s="6" t="s">
        <v>81</v>
      </c>
      <c r="AO1175" s="6" t="s">
        <v>81</v>
      </c>
      <c r="AP1175" s="6" t="s">
        <v>15745</v>
      </c>
      <c r="AQ1175" s="6" t="s">
        <v>81</v>
      </c>
      <c r="AR1175" s="6" t="s">
        <v>17410</v>
      </c>
      <c r="AS1175" s="6" t="s">
        <v>17712</v>
      </c>
      <c r="AT1175" s="6" t="s">
        <v>18444</v>
      </c>
      <c r="AU1175" s="6" t="s">
        <v>18566</v>
      </c>
      <c r="AV1175" s="6" t="s">
        <v>81</v>
      </c>
      <c r="AW1175" s="6" t="s">
        <v>81</v>
      </c>
      <c r="AX1175" s="6" t="s">
        <v>81</v>
      </c>
      <c r="AY1175" s="6" t="s">
        <v>81</v>
      </c>
      <c r="AZ1175" s="6" t="s">
        <v>81</v>
      </c>
      <c r="BA1175" s="6" t="s">
        <v>81</v>
      </c>
      <c r="BB1175" s="24" t="n">
        <v>98</v>
      </c>
      <c r="BC1175" s="26"/>
      <c r="BD1175" s="26"/>
      <c r="BE1175" s="26"/>
      <c r="BF1175" s="26" t="s">
        <v>23900</v>
      </c>
      <c r="BG1175" s="26"/>
      <c r="BH1175" s="26"/>
      <c r="BI1175" s="26"/>
      <c r="BJ1175" s="26"/>
      <c r="BK1175" s="26"/>
      <c r="BL1175" s="26"/>
      <c r="BM1175" s="26"/>
      <c r="BN1175" s="26"/>
      <c r="BO1175" s="26"/>
      <c r="BP1175" s="16" t="n">
        <v>45595</v>
      </c>
      <c r="BQ1175" s="28" t="str">
        <f>HYPERLINK("https://organic.ams.usda.gov/Integrity/Certificate.aspx?cid=57&amp;nopid=3252023030")</f>
        <v>https://organic.ams.usda.gov/Integrity/Certificate.aspx?cid=57&amp;nopid=3252023030</v>
      </c>
    </row>
    <row r="1176">
      <c r="A1176" t="s">
        <v>3</v>
      </c>
      <c r="B1176" s="6" t="s">
        <v>30</v>
      </c>
      <c r="C1176" s="6" t="s">
        <v>77</v>
      </c>
      <c r="D1176" s="6" t="s">
        <v>123</v>
      </c>
      <c r="E1176" s="10" t="s">
        <v>1317</v>
      </c>
      <c r="F1176" s="6" t="s">
        <v>4044</v>
      </c>
      <c r="G1176" s="6" t="s">
        <v>81</v>
      </c>
      <c r="H1176" s="6" t="s">
        <v>6967</v>
      </c>
      <c r="I1176" s="6" t="s">
        <v>8757</v>
      </c>
      <c r="J1176" s="6" t="s">
        <v>9665</v>
      </c>
      <c r="K1176" s="6" t="s">
        <v>10886</v>
      </c>
      <c r="L1176" s="16" t="n">
        <v>43370</v>
      </c>
      <c r="M1176" s="16" t="n">
        <v>45747</v>
      </c>
      <c r="N1176" s="6" t="s">
        <v>10886</v>
      </c>
      <c r="O1176" s="16" t="n">
        <v>43370</v>
      </c>
      <c r="P1176" s="6" t="s">
        <v>11599</v>
      </c>
      <c r="Q1176" s="6" t="s">
        <v>81</v>
      </c>
      <c r="R1176" s="6" t="s">
        <v>81</v>
      </c>
      <c r="S1176" s="6" t="s">
        <v>10886</v>
      </c>
      <c r="T1176" s="16" t="n">
        <v>43565</v>
      </c>
      <c r="U1176" s="6" t="s">
        <v>13564</v>
      </c>
      <c r="V1176" s="6" t="s">
        <v>81</v>
      </c>
      <c r="W1176" s="6" t="s">
        <v>81</v>
      </c>
      <c r="X1176" s="6" t="s">
        <v>81</v>
      </c>
      <c r="Y1176" s="21" t="s">
        <v>81</v>
      </c>
      <c r="Z1176" s="6" t="s">
        <v>81</v>
      </c>
      <c r="AA1176" s="6" t="s">
        <v>81</v>
      </c>
      <c r="AB1176" s="6" t="s">
        <v>81</v>
      </c>
      <c r="AC1176" s="6" t="s">
        <v>81</v>
      </c>
      <c r="AD1176" s="21" t="s">
        <v>81</v>
      </c>
      <c r="AE1176" s="6" t="s">
        <v>81</v>
      </c>
      <c r="AF1176" s="6" t="s">
        <v>81</v>
      </c>
      <c r="AG1176" s="6" t="s">
        <v>81</v>
      </c>
      <c r="AH1176" s="6" t="s">
        <v>15746</v>
      </c>
      <c r="AI1176" s="6" t="s">
        <v>81</v>
      </c>
      <c r="AJ1176" s="6" t="s">
        <v>17417</v>
      </c>
      <c r="AK1176" s="6" t="s">
        <v>18380</v>
      </c>
      <c r="AL1176" s="6" t="s">
        <v>18444</v>
      </c>
      <c r="AM1176" s="6" t="s">
        <v>18574</v>
      </c>
      <c r="AN1176" s="6" t="s">
        <v>19639</v>
      </c>
      <c r="AO1176" s="6" t="s">
        <v>19725</v>
      </c>
      <c r="AP1176" s="6" t="s">
        <v>15746</v>
      </c>
      <c r="AQ1176" s="6" t="s">
        <v>81</v>
      </c>
      <c r="AR1176" s="6" t="s">
        <v>17417</v>
      </c>
      <c r="AS1176" s="6" t="s">
        <v>18380</v>
      </c>
      <c r="AT1176" s="6" t="s">
        <v>18444</v>
      </c>
      <c r="AU1176" s="6" t="s">
        <v>18574</v>
      </c>
      <c r="AV1176" s="6" t="s">
        <v>81</v>
      </c>
      <c r="AW1176" s="6" t="s">
        <v>81</v>
      </c>
      <c r="AX1176" s="6" t="s">
        <v>21483</v>
      </c>
      <c r="AY1176" s="6" t="s">
        <v>81</v>
      </c>
      <c r="AZ1176" s="6" t="s">
        <v>81</v>
      </c>
      <c r="BA1176" s="6" t="s">
        <v>81</v>
      </c>
      <c r="BB1176" s="24" t="n">
        <v>120</v>
      </c>
      <c r="BC1176" s="26"/>
      <c r="BD1176" s="26"/>
      <c r="BE1176" s="26"/>
      <c r="BF1176" s="26"/>
      <c r="BG1176" s="26"/>
      <c r="BH1176" s="26"/>
      <c r="BI1176" s="26"/>
      <c r="BJ1176" s="26"/>
      <c r="BK1176" s="26"/>
      <c r="BL1176" s="26"/>
      <c r="BM1176" s="26"/>
      <c r="BN1176" s="26"/>
      <c r="BO1176" s="26"/>
      <c r="BP1176" s="16" t="n">
        <v>45610</v>
      </c>
      <c r="BQ1176" s="28" t="str">
        <f>HYPERLINK("https://organic.ams.usda.gov/Integrity/Certificate.aspx?cid=70&amp;nopid=6431813920")</f>
        <v>https://organic.ams.usda.gov/Integrity/Certificate.aspx?cid=70&amp;nopid=6431813920</v>
      </c>
    </row>
    <row r="1177">
      <c r="A1177" t="s">
        <v>3</v>
      </c>
      <c r="B1177" s="6" t="s">
        <v>13</v>
      </c>
      <c r="C1177" s="6" t="s">
        <v>60</v>
      </c>
      <c r="D1177" s="6" t="s">
        <v>106</v>
      </c>
      <c r="E1177" s="10" t="s">
        <v>1318</v>
      </c>
      <c r="F1177" s="6" t="s">
        <v>4045</v>
      </c>
      <c r="G1177" s="6" t="s">
        <v>81</v>
      </c>
      <c r="H1177" s="6" t="s">
        <v>6968</v>
      </c>
      <c r="I1177" s="6" t="s">
        <v>8757</v>
      </c>
      <c r="J1177" s="6" t="s">
        <v>9666</v>
      </c>
      <c r="K1177" s="6" t="s">
        <v>10886</v>
      </c>
      <c r="L1177" s="16" t="n">
        <v>40664</v>
      </c>
      <c r="M1177" s="16" t="n">
        <v>45748</v>
      </c>
      <c r="N1177" s="6" t="s">
        <v>10886</v>
      </c>
      <c r="O1177" s="16" t="n">
        <v>40664</v>
      </c>
      <c r="P1177" s="6" t="s">
        <v>11600</v>
      </c>
      <c r="Q1177" s="6" t="s">
        <v>81</v>
      </c>
      <c r="R1177" s="6" t="s">
        <v>12742</v>
      </c>
      <c r="S1177" s="6" t="s">
        <v>10886</v>
      </c>
      <c r="T1177" s="16" t="n">
        <v>40664</v>
      </c>
      <c r="U1177" s="6" t="s">
        <v>13565</v>
      </c>
      <c r="V1177" s="6" t="s">
        <v>81</v>
      </c>
      <c r="W1177" s="6" t="s">
        <v>12742</v>
      </c>
      <c r="X1177" s="6" t="s">
        <v>81</v>
      </c>
      <c r="Y1177" s="21" t="s">
        <v>81</v>
      </c>
      <c r="Z1177" s="6" t="s">
        <v>81</v>
      </c>
      <c r="AA1177" s="6" t="s">
        <v>81</v>
      </c>
      <c r="AB1177" s="6" t="s">
        <v>81</v>
      </c>
      <c r="AC1177" s="6" t="s">
        <v>81</v>
      </c>
      <c r="AD1177" s="21" t="s">
        <v>81</v>
      </c>
      <c r="AE1177" s="6" t="s">
        <v>81</v>
      </c>
      <c r="AF1177" s="6" t="s">
        <v>81</v>
      </c>
      <c r="AG1177" s="6" t="s">
        <v>81</v>
      </c>
      <c r="AH1177" s="6" t="s">
        <v>15747</v>
      </c>
      <c r="AI1177" s="6" t="s">
        <v>81</v>
      </c>
      <c r="AJ1177" s="6" t="s">
        <v>17335</v>
      </c>
      <c r="AK1177" s="6" t="s">
        <v>18378</v>
      </c>
      <c r="AL1177" s="6" t="s">
        <v>18444</v>
      </c>
      <c r="AM1177" s="6" t="s">
        <v>18489</v>
      </c>
      <c r="AN1177" s="6" t="s">
        <v>19640</v>
      </c>
      <c r="AO1177" s="6" t="s">
        <v>19726</v>
      </c>
      <c r="AP1177" s="6" t="s">
        <v>15747</v>
      </c>
      <c r="AQ1177" s="6" t="s">
        <v>81</v>
      </c>
      <c r="AR1177" s="6" t="s">
        <v>17335</v>
      </c>
      <c r="AS1177" s="6" t="s">
        <v>18378</v>
      </c>
      <c r="AT1177" s="6" t="s">
        <v>18444</v>
      </c>
      <c r="AU1177" s="6" t="s">
        <v>18489</v>
      </c>
      <c r="AV1177" s="6" t="s">
        <v>81</v>
      </c>
      <c r="AW1177" s="6" t="s">
        <v>81</v>
      </c>
      <c r="AX1177" s="6" t="s">
        <v>21484</v>
      </c>
      <c r="AY1177" s="6" t="s">
        <v>81</v>
      </c>
      <c r="AZ1177" s="6" t="s">
        <v>81</v>
      </c>
      <c r="BA1177" s="6" t="s">
        <v>81</v>
      </c>
      <c r="BB1177" s="24" t="n">
        <v>15</v>
      </c>
      <c r="BC1177" s="26"/>
      <c r="BD1177" s="26"/>
      <c r="BE1177" s="26"/>
      <c r="BF1177" s="26" t="s">
        <v>23900</v>
      </c>
      <c r="BG1177" s="26"/>
      <c r="BH1177" s="26"/>
      <c r="BI1177" s="26"/>
      <c r="BJ1177" s="26"/>
      <c r="BK1177" s="26"/>
      <c r="BL1177" s="26"/>
      <c r="BM1177" s="26"/>
      <c r="BN1177" s="26"/>
      <c r="BO1177" s="26"/>
      <c r="BP1177" s="16" t="n">
        <v>45663</v>
      </c>
      <c r="BQ1177" s="28" t="str">
        <f>HYPERLINK("https://organic.ams.usda.gov/Integrity/Certificate.aspx?cid=72&amp;nopid=5870001643")</f>
        <v>https://organic.ams.usda.gov/Integrity/Certificate.aspx?cid=72&amp;nopid=5870001643</v>
      </c>
    </row>
    <row r="1178">
      <c r="A1178" t="s">
        <v>3</v>
      </c>
      <c r="B1178" s="6" t="s">
        <v>8</v>
      </c>
      <c r="C1178" s="6" t="s">
        <v>55</v>
      </c>
      <c r="D1178" s="6" t="s">
        <v>101</v>
      </c>
      <c r="E1178" s="10" t="s">
        <v>1319</v>
      </c>
      <c r="F1178" s="6" t="s">
        <v>4046</v>
      </c>
      <c r="G1178" s="6" t="s">
        <v>5701</v>
      </c>
      <c r="H1178" s="6" t="s">
        <v>6969</v>
      </c>
      <c r="I1178" s="6" t="s">
        <v>8757</v>
      </c>
      <c r="J1178" s="6" t="s">
        <v>10249</v>
      </c>
      <c r="K1178" s="6" t="s">
        <v>10886</v>
      </c>
      <c r="L1178" s="16" t="n">
        <v>38625</v>
      </c>
      <c r="M1178" s="16" t="n">
        <v>45748</v>
      </c>
      <c r="N1178" s="6" t="s">
        <v>10886</v>
      </c>
      <c r="O1178" s="16" t="n">
        <v>38625</v>
      </c>
      <c r="P1178" s="6" t="s">
        <v>11601</v>
      </c>
      <c r="Q1178" s="6" t="s">
        <v>81</v>
      </c>
      <c r="R1178" s="6" t="s">
        <v>6969</v>
      </c>
      <c r="S1178" s="6" t="s">
        <v>10886</v>
      </c>
      <c r="T1178" s="16" t="n">
        <v>38625</v>
      </c>
      <c r="U1178" s="6" t="s">
        <v>13179</v>
      </c>
      <c r="V1178" s="6" t="s">
        <v>81</v>
      </c>
      <c r="W1178" s="6" t="s">
        <v>6969</v>
      </c>
      <c r="X1178" s="6" t="s">
        <v>81</v>
      </c>
      <c r="Y1178" s="21" t="s">
        <v>81</v>
      </c>
      <c r="Z1178" s="6" t="s">
        <v>81</v>
      </c>
      <c r="AA1178" s="6" t="s">
        <v>81</v>
      </c>
      <c r="AB1178" s="6" t="s">
        <v>81</v>
      </c>
      <c r="AC1178" s="6" t="s">
        <v>81</v>
      </c>
      <c r="AD1178" s="21" t="s">
        <v>81</v>
      </c>
      <c r="AE1178" s="6" t="s">
        <v>81</v>
      </c>
      <c r="AF1178" s="6" t="s">
        <v>81</v>
      </c>
      <c r="AG1178" s="6" t="s">
        <v>81</v>
      </c>
      <c r="AH1178" s="6" t="s">
        <v>15748</v>
      </c>
      <c r="AI1178" s="6" t="s">
        <v>81</v>
      </c>
      <c r="AJ1178" s="6" t="s">
        <v>17921</v>
      </c>
      <c r="AK1178" s="6" t="s">
        <v>18381</v>
      </c>
      <c r="AL1178" s="6" t="s">
        <v>18444</v>
      </c>
      <c r="AM1178" s="6" t="s">
        <v>19111</v>
      </c>
      <c r="AN1178" s="6" t="s">
        <v>19635</v>
      </c>
      <c r="AO1178" s="6" t="s">
        <v>19976</v>
      </c>
      <c r="AP1178" s="6" t="s">
        <v>20267</v>
      </c>
      <c r="AQ1178" s="6" t="s">
        <v>81</v>
      </c>
      <c r="AR1178" s="6" t="s">
        <v>17921</v>
      </c>
      <c r="AS1178" s="6" t="s">
        <v>18381</v>
      </c>
      <c r="AT1178" s="6" t="s">
        <v>18444</v>
      </c>
      <c r="AU1178" s="6" t="s">
        <v>19111</v>
      </c>
      <c r="AV1178" s="6" t="s">
        <v>81</v>
      </c>
      <c r="AW1178" s="6" t="s">
        <v>81</v>
      </c>
      <c r="AX1178" s="6" t="s">
        <v>21485</v>
      </c>
      <c r="AY1178" s="6" t="s">
        <v>23001</v>
      </c>
      <c r="AZ1178" s="6" t="s">
        <v>81</v>
      </c>
      <c r="BA1178" s="6" t="s">
        <v>23819</v>
      </c>
      <c r="BB1178" s="24" t="n">
        <v>318</v>
      </c>
      <c r="BC1178" s="26"/>
      <c r="BD1178" s="26"/>
      <c r="BE1178" s="26"/>
      <c r="BF1178" s="26" t="s">
        <v>23900</v>
      </c>
      <c r="BG1178" s="26"/>
      <c r="BH1178" s="26"/>
      <c r="BI1178" s="26"/>
      <c r="BJ1178" s="26"/>
      <c r="BK1178" s="26"/>
      <c r="BL1178" s="26"/>
      <c r="BM1178" s="26"/>
      <c r="BN1178" s="26"/>
      <c r="BO1178" s="26"/>
      <c r="BP1178" s="16" t="n">
        <v>45576</v>
      </c>
      <c r="BQ1178" s="28" t="str">
        <f>HYPERLINK("https://organic.ams.usda.gov/Integrity/Certificate.aspx?cid=45&amp;nopid=9950001772")</f>
        <v>https://organic.ams.usda.gov/Integrity/Certificate.aspx?cid=45&amp;nopid=9950001772</v>
      </c>
    </row>
    <row r="1179">
      <c r="A1179" t="s">
        <v>3</v>
      </c>
      <c r="B1179" s="6" t="s">
        <v>10</v>
      </c>
      <c r="C1179" s="6" t="s">
        <v>57</v>
      </c>
      <c r="D1179" s="6" t="s">
        <v>103</v>
      </c>
      <c r="E1179" s="10" t="s">
        <v>1320</v>
      </c>
      <c r="F1179" s="6" t="s">
        <v>4047</v>
      </c>
      <c r="G1179" s="6" t="s">
        <v>81</v>
      </c>
      <c r="H1179" s="6" t="s">
        <v>6970</v>
      </c>
      <c r="I1179" s="6" t="s">
        <v>8757</v>
      </c>
      <c r="J1179" s="6" t="s">
        <v>9959</v>
      </c>
      <c r="K1179" s="6" t="s">
        <v>10886</v>
      </c>
      <c r="L1179" s="16" t="n">
        <v>42835</v>
      </c>
      <c r="M1179" s="16" t="n">
        <v>45748</v>
      </c>
      <c r="N1179" s="6" t="s">
        <v>10886</v>
      </c>
      <c r="O1179" s="16" t="n">
        <v>42835</v>
      </c>
      <c r="P1179" s="6" t="s">
        <v>11602</v>
      </c>
      <c r="Q1179" s="6" t="s">
        <v>81</v>
      </c>
      <c r="R1179" s="6" t="s">
        <v>12743</v>
      </c>
      <c r="S1179" s="6" t="s">
        <v>10886</v>
      </c>
      <c r="T1179" s="16" t="n">
        <v>44562</v>
      </c>
      <c r="U1179" s="6" t="s">
        <v>13163</v>
      </c>
      <c r="V1179" s="6" t="s">
        <v>81</v>
      </c>
      <c r="W1179" s="6" t="s">
        <v>81</v>
      </c>
      <c r="X1179" s="6" t="s">
        <v>81</v>
      </c>
      <c r="Y1179" s="21" t="s">
        <v>81</v>
      </c>
      <c r="Z1179" s="6" t="s">
        <v>81</v>
      </c>
      <c r="AA1179" s="6" t="s">
        <v>81</v>
      </c>
      <c r="AB1179" s="6" t="s">
        <v>81</v>
      </c>
      <c r="AC1179" s="6" t="s">
        <v>81</v>
      </c>
      <c r="AD1179" s="21" t="s">
        <v>81</v>
      </c>
      <c r="AE1179" s="6" t="s">
        <v>81</v>
      </c>
      <c r="AF1179" s="6" t="s">
        <v>81</v>
      </c>
      <c r="AG1179" s="6" t="s">
        <v>81</v>
      </c>
      <c r="AH1179" s="6" t="s">
        <v>15749</v>
      </c>
      <c r="AI1179" s="6" t="s">
        <v>81</v>
      </c>
      <c r="AJ1179" s="6" t="s">
        <v>17663</v>
      </c>
      <c r="AK1179" s="6" t="s">
        <v>18378</v>
      </c>
      <c r="AL1179" s="6" t="s">
        <v>18444</v>
      </c>
      <c r="AM1179" s="6" t="s">
        <v>18831</v>
      </c>
      <c r="AN1179" s="6" t="s">
        <v>19647</v>
      </c>
      <c r="AO1179" s="6" t="s">
        <v>19734</v>
      </c>
      <c r="AP1179" s="6" t="s">
        <v>15749</v>
      </c>
      <c r="AQ1179" s="6" t="s">
        <v>81</v>
      </c>
      <c r="AR1179" s="6" t="s">
        <v>17663</v>
      </c>
      <c r="AS1179" s="6" t="s">
        <v>18378</v>
      </c>
      <c r="AT1179" s="6" t="s">
        <v>18444</v>
      </c>
      <c r="AU1179" s="6" t="s">
        <v>18831</v>
      </c>
      <c r="AV1179" s="6" t="s">
        <v>81</v>
      </c>
      <c r="AW1179" s="6" t="s">
        <v>81</v>
      </c>
      <c r="AX1179" s="6" t="s">
        <v>21486</v>
      </c>
      <c r="AY1179" s="6" t="s">
        <v>81</v>
      </c>
      <c r="AZ1179" s="6" t="s">
        <v>81</v>
      </c>
      <c r="BA1179" s="6" t="s">
        <v>81</v>
      </c>
      <c r="BB1179" s="24" t="n">
        <v>149</v>
      </c>
      <c r="BC1179" s="26"/>
      <c r="BD1179" s="26"/>
      <c r="BE1179" s="26"/>
      <c r="BF1179" s="26"/>
      <c r="BG1179" s="26"/>
      <c r="BH1179" s="26"/>
      <c r="BI1179" s="26"/>
      <c r="BJ1179" s="26"/>
      <c r="BK1179" s="26"/>
      <c r="BL1179" s="26"/>
      <c r="BM1179" s="26"/>
      <c r="BN1179" s="26"/>
      <c r="BO1179" s="26"/>
      <c r="BP1179" s="16" t="n">
        <v>45730</v>
      </c>
      <c r="BQ1179" s="28" t="str">
        <f>HYPERLINK("https://organic.ams.usda.gov/Integrity/Certificate.aspx?cid=90&amp;nopid=7170220439")</f>
        <v>https://organic.ams.usda.gov/Integrity/Certificate.aspx?cid=90&amp;nopid=7170220439</v>
      </c>
    </row>
    <row r="1180">
      <c r="A1180" t="s">
        <v>3</v>
      </c>
      <c r="B1180" s="6" t="s">
        <v>7</v>
      </c>
      <c r="C1180" s="6" t="s">
        <v>54</v>
      </c>
      <c r="D1180" s="6" t="s">
        <v>100</v>
      </c>
      <c r="E1180" s="10" t="s">
        <v>1321</v>
      </c>
      <c r="F1180" s="6" t="s">
        <v>4048</v>
      </c>
      <c r="G1180" s="6" t="s">
        <v>81</v>
      </c>
      <c r="H1180" s="6" t="s">
        <v>6971</v>
      </c>
      <c r="I1180" s="6" t="s">
        <v>8757</v>
      </c>
      <c r="J1180" s="6" t="s">
        <v>9668</v>
      </c>
      <c r="K1180" s="6" t="s">
        <v>10886</v>
      </c>
      <c r="L1180" s="16" t="n">
        <v>45194</v>
      </c>
      <c r="M1180" s="16" t="n">
        <v>45716</v>
      </c>
      <c r="N1180" s="6" t="s">
        <v>10886</v>
      </c>
      <c r="O1180" s="16" t="n">
        <v>45194</v>
      </c>
      <c r="P1180" s="6" t="s">
        <v>10944</v>
      </c>
      <c r="Q1180" s="6" t="s">
        <v>81</v>
      </c>
      <c r="R1180" s="6" t="s">
        <v>81</v>
      </c>
      <c r="S1180" s="6" t="s">
        <v>10886</v>
      </c>
      <c r="T1180" s="16" t="n">
        <v>45212</v>
      </c>
      <c r="U1180" s="6" t="s">
        <v>13385</v>
      </c>
      <c r="V1180" s="6" t="s">
        <v>81</v>
      </c>
      <c r="W1180" s="6" t="s">
        <v>81</v>
      </c>
      <c r="X1180" s="6" t="s">
        <v>81</v>
      </c>
      <c r="Y1180" s="21" t="s">
        <v>81</v>
      </c>
      <c r="Z1180" s="6" t="s">
        <v>81</v>
      </c>
      <c r="AA1180" s="6" t="s">
        <v>81</v>
      </c>
      <c r="AB1180" s="6" t="s">
        <v>81</v>
      </c>
      <c r="AC1180" s="6" t="s">
        <v>81</v>
      </c>
      <c r="AD1180" s="21" t="s">
        <v>81</v>
      </c>
      <c r="AE1180" s="6" t="s">
        <v>81</v>
      </c>
      <c r="AF1180" s="6" t="s">
        <v>81</v>
      </c>
      <c r="AG1180" s="6" t="s">
        <v>81</v>
      </c>
      <c r="AH1180" s="6" t="s">
        <v>15750</v>
      </c>
      <c r="AI1180" s="6" t="s">
        <v>81</v>
      </c>
      <c r="AJ1180" s="6" t="s">
        <v>17490</v>
      </c>
      <c r="AK1180" s="6" t="s">
        <v>17712</v>
      </c>
      <c r="AL1180" s="6" t="s">
        <v>18444</v>
      </c>
      <c r="AM1180" s="6" t="s">
        <v>18650</v>
      </c>
      <c r="AN1180" s="6" t="s">
        <v>81</v>
      </c>
      <c r="AO1180" s="6" t="s">
        <v>81</v>
      </c>
      <c r="AP1180" s="6" t="s">
        <v>15750</v>
      </c>
      <c r="AQ1180" s="6" t="s">
        <v>81</v>
      </c>
      <c r="AR1180" s="6" t="s">
        <v>17490</v>
      </c>
      <c r="AS1180" s="6" t="s">
        <v>17712</v>
      </c>
      <c r="AT1180" s="6" t="s">
        <v>18444</v>
      </c>
      <c r="AU1180" s="6" t="s">
        <v>18650</v>
      </c>
      <c r="AV1180" s="6" t="s">
        <v>81</v>
      </c>
      <c r="AW1180" s="6" t="s">
        <v>81</v>
      </c>
      <c r="AX1180" s="6" t="s">
        <v>81</v>
      </c>
      <c r="AY1180" s="6" t="s">
        <v>81</v>
      </c>
      <c r="AZ1180" s="6" t="s">
        <v>81</v>
      </c>
      <c r="BA1180" s="6" t="s">
        <v>81</v>
      </c>
      <c r="BB1180" s="24" t="n">
        <v>67</v>
      </c>
      <c r="BC1180" s="26"/>
      <c r="BD1180" s="26"/>
      <c r="BE1180" s="26"/>
      <c r="BF1180" s="26" t="s">
        <v>23900</v>
      </c>
      <c r="BG1180" s="26"/>
      <c r="BH1180" s="26"/>
      <c r="BI1180" s="26"/>
      <c r="BJ1180" s="26"/>
      <c r="BK1180" s="26"/>
      <c r="BL1180" s="26"/>
      <c r="BM1180" s="26"/>
      <c r="BN1180" s="26"/>
      <c r="BO1180" s="26"/>
      <c r="BP1180" s="16" t="n">
        <v>45681</v>
      </c>
      <c r="BQ1180" s="28" t="str">
        <f>HYPERLINK("https://organic.ams.usda.gov/Integrity/Certificate.aspx?cid=57&amp;nopid=3252023073")</f>
        <v>https://organic.ams.usda.gov/Integrity/Certificate.aspx?cid=57&amp;nopid=3252023073</v>
      </c>
    </row>
    <row r="1181">
      <c r="A1181" t="s">
        <v>3</v>
      </c>
      <c r="B1181" s="6" t="s">
        <v>7</v>
      </c>
      <c r="C1181" s="6" t="s">
        <v>54</v>
      </c>
      <c r="D1181" s="6" t="s">
        <v>100</v>
      </c>
      <c r="E1181" s="10" t="s">
        <v>1322</v>
      </c>
      <c r="F1181" s="6" t="s">
        <v>4049</v>
      </c>
      <c r="G1181" s="6" t="s">
        <v>81</v>
      </c>
      <c r="H1181" s="6" t="s">
        <v>6972</v>
      </c>
      <c r="I1181" s="6" t="s">
        <v>8757</v>
      </c>
      <c r="J1181" s="6" t="s">
        <v>9733</v>
      </c>
      <c r="K1181" s="6" t="s">
        <v>10886</v>
      </c>
      <c r="L1181" s="16" t="n">
        <v>42894</v>
      </c>
      <c r="M1181" s="16" t="n">
        <v>45716</v>
      </c>
      <c r="N1181" s="6" t="s">
        <v>10886</v>
      </c>
      <c r="O1181" s="16" t="n">
        <v>42894</v>
      </c>
      <c r="P1181" s="6" t="s">
        <v>11603</v>
      </c>
      <c r="Q1181" s="6" t="s">
        <v>81</v>
      </c>
      <c r="R1181" s="6" t="s">
        <v>81</v>
      </c>
      <c r="S1181" s="6" t="s">
        <v>10886</v>
      </c>
      <c r="T1181" s="16" t="n">
        <v>43070</v>
      </c>
      <c r="U1181" s="6" t="s">
        <v>13169</v>
      </c>
      <c r="V1181" s="6" t="s">
        <v>81</v>
      </c>
      <c r="W1181" s="6" t="s">
        <v>81</v>
      </c>
      <c r="X1181" s="6" t="s">
        <v>81</v>
      </c>
      <c r="Y1181" s="21" t="s">
        <v>81</v>
      </c>
      <c r="Z1181" s="6" t="s">
        <v>81</v>
      </c>
      <c r="AA1181" s="6" t="s">
        <v>81</v>
      </c>
      <c r="AB1181" s="6" t="s">
        <v>81</v>
      </c>
      <c r="AC1181" s="6" t="s">
        <v>81</v>
      </c>
      <c r="AD1181" s="21" t="s">
        <v>81</v>
      </c>
      <c r="AE1181" s="6" t="s">
        <v>81</v>
      </c>
      <c r="AF1181" s="6" t="s">
        <v>81</v>
      </c>
      <c r="AG1181" s="6" t="s">
        <v>81</v>
      </c>
      <c r="AH1181" s="6" t="s">
        <v>15751</v>
      </c>
      <c r="AI1181" s="6" t="s">
        <v>81</v>
      </c>
      <c r="AJ1181" s="6" t="s">
        <v>17393</v>
      </c>
      <c r="AK1181" s="6" t="s">
        <v>17712</v>
      </c>
      <c r="AL1181" s="6" t="s">
        <v>18444</v>
      </c>
      <c r="AM1181" s="6" t="s">
        <v>18549</v>
      </c>
      <c r="AN1181" s="6" t="s">
        <v>19643</v>
      </c>
      <c r="AO1181" s="6" t="s">
        <v>19766</v>
      </c>
      <c r="AP1181" s="6" t="s">
        <v>15751</v>
      </c>
      <c r="AQ1181" s="6" t="s">
        <v>81</v>
      </c>
      <c r="AR1181" s="6" t="s">
        <v>17393</v>
      </c>
      <c r="AS1181" s="6" t="s">
        <v>17712</v>
      </c>
      <c r="AT1181" s="6" t="s">
        <v>18444</v>
      </c>
      <c r="AU1181" s="6" t="s">
        <v>18549</v>
      </c>
      <c r="AV1181" s="6" t="s">
        <v>81</v>
      </c>
      <c r="AW1181" s="6" t="s">
        <v>81</v>
      </c>
      <c r="AX1181" s="6" t="s">
        <v>81</v>
      </c>
      <c r="AY1181" s="6" t="s">
        <v>81</v>
      </c>
      <c r="AZ1181" s="6" t="s">
        <v>81</v>
      </c>
      <c r="BA1181" s="6" t="s">
        <v>81</v>
      </c>
      <c r="BB1181" s="24" t="n">
        <v>88</v>
      </c>
      <c r="BC1181" s="26"/>
      <c r="BD1181" s="26"/>
      <c r="BE1181" s="26"/>
      <c r="BF1181" s="26" t="s">
        <v>23900</v>
      </c>
      <c r="BG1181" s="26"/>
      <c r="BH1181" s="26"/>
      <c r="BI1181" s="26"/>
      <c r="BJ1181" s="26"/>
      <c r="BK1181" s="26"/>
      <c r="BL1181" s="26"/>
      <c r="BM1181" s="26"/>
      <c r="BN1181" s="26"/>
      <c r="BO1181" s="26"/>
      <c r="BP1181" s="16" t="n">
        <v>45674</v>
      </c>
      <c r="BQ1181" s="28" t="str">
        <f>HYPERLINK("https://organic.ams.usda.gov/Integrity/Certificate.aspx?cid=57&amp;nopid=3252017017")</f>
        <v>https://organic.ams.usda.gov/Integrity/Certificate.aspx?cid=57&amp;nopid=3252017017</v>
      </c>
    </row>
    <row r="1182">
      <c r="A1182" t="s">
        <v>3</v>
      </c>
      <c r="B1182" s="6" t="s">
        <v>7</v>
      </c>
      <c r="C1182" s="6" t="s">
        <v>54</v>
      </c>
      <c r="D1182" s="6" t="s">
        <v>100</v>
      </c>
      <c r="E1182" s="10" t="s">
        <v>1323</v>
      </c>
      <c r="F1182" s="6" t="s">
        <v>4050</v>
      </c>
      <c r="G1182" s="6" t="s">
        <v>81</v>
      </c>
      <c r="H1182" s="6" t="s">
        <v>6973</v>
      </c>
      <c r="I1182" s="6" t="s">
        <v>8757</v>
      </c>
      <c r="J1182" s="6" t="s">
        <v>9669</v>
      </c>
      <c r="K1182" s="6" t="s">
        <v>10886</v>
      </c>
      <c r="L1182" s="16" t="n">
        <v>45610</v>
      </c>
      <c r="M1182" s="16" t="n">
        <v>45716</v>
      </c>
      <c r="N1182" s="6" t="s">
        <v>10886</v>
      </c>
      <c r="O1182" s="16" t="n">
        <v>45610</v>
      </c>
      <c r="P1182" s="6" t="s">
        <v>11604</v>
      </c>
      <c r="Q1182" s="6" t="s">
        <v>81</v>
      </c>
      <c r="R1182" s="6" t="s">
        <v>81</v>
      </c>
      <c r="S1182" s="6" t="s">
        <v>10886</v>
      </c>
      <c r="T1182" s="16" t="n">
        <v>45610</v>
      </c>
      <c r="U1182" s="6" t="s">
        <v>13169</v>
      </c>
      <c r="V1182" s="6" t="s">
        <v>81</v>
      </c>
      <c r="W1182" s="6" t="s">
        <v>81</v>
      </c>
      <c r="X1182" s="6" t="s">
        <v>81</v>
      </c>
      <c r="Y1182" s="21" t="s">
        <v>81</v>
      </c>
      <c r="Z1182" s="6" t="s">
        <v>81</v>
      </c>
      <c r="AA1182" s="6" t="s">
        <v>81</v>
      </c>
      <c r="AB1182" s="6" t="s">
        <v>81</v>
      </c>
      <c r="AC1182" s="6" t="s">
        <v>81</v>
      </c>
      <c r="AD1182" s="21" t="s">
        <v>81</v>
      </c>
      <c r="AE1182" s="6" t="s">
        <v>81</v>
      </c>
      <c r="AF1182" s="6" t="s">
        <v>81</v>
      </c>
      <c r="AG1182" s="6" t="s">
        <v>81</v>
      </c>
      <c r="AH1182" s="6" t="s">
        <v>15752</v>
      </c>
      <c r="AI1182" s="6" t="s">
        <v>81</v>
      </c>
      <c r="AJ1182" s="6" t="s">
        <v>17581</v>
      </c>
      <c r="AK1182" s="6" t="s">
        <v>17712</v>
      </c>
      <c r="AL1182" s="6" t="s">
        <v>18444</v>
      </c>
      <c r="AM1182" s="6" t="s">
        <v>7469</v>
      </c>
      <c r="AN1182" s="6" t="s">
        <v>81</v>
      </c>
      <c r="AO1182" s="6" t="s">
        <v>81</v>
      </c>
      <c r="AP1182" s="6" t="s">
        <v>15752</v>
      </c>
      <c r="AQ1182" s="6" t="s">
        <v>81</v>
      </c>
      <c r="AR1182" s="6" t="s">
        <v>17581</v>
      </c>
      <c r="AS1182" s="6" t="s">
        <v>17712</v>
      </c>
      <c r="AT1182" s="6" t="s">
        <v>18444</v>
      </c>
      <c r="AU1182" s="6" t="s">
        <v>7469</v>
      </c>
      <c r="AV1182" s="6" t="s">
        <v>81</v>
      </c>
      <c r="AW1182" s="6" t="s">
        <v>81</v>
      </c>
      <c r="AX1182" s="6" t="s">
        <v>81</v>
      </c>
      <c r="AY1182" s="6" t="s">
        <v>81</v>
      </c>
      <c r="AZ1182" s="6" t="s">
        <v>81</v>
      </c>
      <c r="BA1182" s="6" t="s">
        <v>81</v>
      </c>
      <c r="BB1182" s="24" t="n">
        <v>148</v>
      </c>
      <c r="BC1182" s="26"/>
      <c r="BD1182" s="26"/>
      <c r="BE1182" s="26"/>
      <c r="BF1182" s="26" t="s">
        <v>23900</v>
      </c>
      <c r="BG1182" s="26"/>
      <c r="BH1182" s="26"/>
      <c r="BI1182" s="26"/>
      <c r="BJ1182" s="26"/>
      <c r="BK1182" s="26"/>
      <c r="BL1182" s="26"/>
      <c r="BM1182" s="26"/>
      <c r="BN1182" s="26"/>
      <c r="BO1182" s="26"/>
      <c r="BP1182" s="16" t="n">
        <v>45616</v>
      </c>
      <c r="BQ1182" s="28" t="str">
        <f>HYPERLINK("https://organic.ams.usda.gov/Integrity/Certificate.aspx?cid=57&amp;nopid=3252024052")</f>
        <v>https://organic.ams.usda.gov/Integrity/Certificate.aspx?cid=57&amp;nopid=3252024052</v>
      </c>
    </row>
    <row r="1183">
      <c r="A1183" t="s">
        <v>3</v>
      </c>
      <c r="B1183" s="6" t="s">
        <v>7</v>
      </c>
      <c r="C1183" s="6" t="s">
        <v>54</v>
      </c>
      <c r="D1183" s="6" t="s">
        <v>100</v>
      </c>
      <c r="E1183" s="10" t="s">
        <v>1324</v>
      </c>
      <c r="F1183" s="6" t="s">
        <v>4051</v>
      </c>
      <c r="G1183" s="6" t="s">
        <v>81</v>
      </c>
      <c r="H1183" s="6" t="s">
        <v>6974</v>
      </c>
      <c r="I1183" s="6" t="s">
        <v>8757</v>
      </c>
      <c r="J1183" s="6" t="s">
        <v>10250</v>
      </c>
      <c r="K1183" s="6" t="s">
        <v>10886</v>
      </c>
      <c r="L1183" s="16" t="n">
        <v>44434</v>
      </c>
      <c r="M1183" s="16" t="n">
        <v>45716</v>
      </c>
      <c r="N1183" s="6" t="s">
        <v>10886</v>
      </c>
      <c r="O1183" s="16" t="n">
        <v>44434</v>
      </c>
      <c r="P1183" s="6" t="s">
        <v>11605</v>
      </c>
      <c r="Q1183" s="6" t="s">
        <v>81</v>
      </c>
      <c r="R1183" s="6" t="s">
        <v>81</v>
      </c>
      <c r="S1183" s="6" t="s">
        <v>10886</v>
      </c>
      <c r="T1183" s="16" t="n">
        <v>44439</v>
      </c>
      <c r="U1183" s="6" t="s">
        <v>13169</v>
      </c>
      <c r="V1183" s="6" t="s">
        <v>81</v>
      </c>
      <c r="W1183" s="6" t="s">
        <v>81</v>
      </c>
      <c r="X1183" s="6" t="s">
        <v>81</v>
      </c>
      <c r="Y1183" s="21" t="s">
        <v>81</v>
      </c>
      <c r="Z1183" s="6" t="s">
        <v>81</v>
      </c>
      <c r="AA1183" s="6" t="s">
        <v>81</v>
      </c>
      <c r="AB1183" s="6" t="s">
        <v>81</v>
      </c>
      <c r="AC1183" s="6" t="s">
        <v>81</v>
      </c>
      <c r="AD1183" s="21" t="s">
        <v>81</v>
      </c>
      <c r="AE1183" s="6" t="s">
        <v>81</v>
      </c>
      <c r="AF1183" s="6" t="s">
        <v>81</v>
      </c>
      <c r="AG1183" s="6" t="s">
        <v>81</v>
      </c>
      <c r="AH1183" s="6" t="s">
        <v>15753</v>
      </c>
      <c r="AI1183" s="6" t="s">
        <v>81</v>
      </c>
      <c r="AJ1183" s="6" t="s">
        <v>17356</v>
      </c>
      <c r="AK1183" s="6" t="s">
        <v>17712</v>
      </c>
      <c r="AL1183" s="6" t="s">
        <v>18444</v>
      </c>
      <c r="AM1183" s="6" t="s">
        <v>18510</v>
      </c>
      <c r="AN1183" s="6" t="s">
        <v>19649</v>
      </c>
      <c r="AO1183" s="6" t="s">
        <v>19738</v>
      </c>
      <c r="AP1183" s="6" t="s">
        <v>15753</v>
      </c>
      <c r="AQ1183" s="6" t="s">
        <v>81</v>
      </c>
      <c r="AR1183" s="6" t="s">
        <v>17356</v>
      </c>
      <c r="AS1183" s="6" t="s">
        <v>17712</v>
      </c>
      <c r="AT1183" s="6" t="s">
        <v>18444</v>
      </c>
      <c r="AU1183" s="6" t="s">
        <v>18510</v>
      </c>
      <c r="AV1183" s="6" t="s">
        <v>81</v>
      </c>
      <c r="AW1183" s="6" t="s">
        <v>81</v>
      </c>
      <c r="AX1183" s="6" t="s">
        <v>21487</v>
      </c>
      <c r="AY1183" s="6" t="s">
        <v>81</v>
      </c>
      <c r="AZ1183" s="6" t="s">
        <v>81</v>
      </c>
      <c r="BA1183" s="6" t="s">
        <v>81</v>
      </c>
      <c r="BB1183" s="24" t="n">
        <v>209</v>
      </c>
      <c r="BC1183" s="26"/>
      <c r="BD1183" s="26"/>
      <c r="BE1183" s="26"/>
      <c r="BF1183" s="26"/>
      <c r="BG1183" s="26"/>
      <c r="BH1183" s="26"/>
      <c r="BI1183" s="26"/>
      <c r="BJ1183" s="26"/>
      <c r="BK1183" s="26"/>
      <c r="BL1183" s="26"/>
      <c r="BM1183" s="26"/>
      <c r="BN1183" s="26"/>
      <c r="BO1183" s="26"/>
      <c r="BP1183" s="16" t="n">
        <v>45595</v>
      </c>
      <c r="BQ1183" s="28" t="str">
        <f>HYPERLINK("https://organic.ams.usda.gov/Integrity/Certificate.aspx?cid=57&amp;nopid=3252021091")</f>
        <v>https://organic.ams.usda.gov/Integrity/Certificate.aspx?cid=57&amp;nopid=3252021091</v>
      </c>
    </row>
    <row r="1184">
      <c r="A1184" t="s">
        <v>3</v>
      </c>
      <c r="B1184" s="6" t="s">
        <v>9</v>
      </c>
      <c r="C1184" s="6" t="s">
        <v>56</v>
      </c>
      <c r="D1184" s="6" t="s">
        <v>102</v>
      </c>
      <c r="E1184" s="10" t="s">
        <v>1325</v>
      </c>
      <c r="F1184" s="6" t="s">
        <v>4052</v>
      </c>
      <c r="G1184" s="6" t="s">
        <v>81</v>
      </c>
      <c r="H1184" s="6" t="s">
        <v>6975</v>
      </c>
      <c r="I1184" s="6" t="s">
        <v>8757</v>
      </c>
      <c r="J1184" s="6" t="s">
        <v>9923</v>
      </c>
      <c r="K1184" s="6" t="s">
        <v>10886</v>
      </c>
      <c r="L1184" s="16" t="n">
        <v>42964</v>
      </c>
      <c r="M1184" s="16" t="n">
        <v>45748</v>
      </c>
      <c r="N1184" s="6" t="s">
        <v>10886</v>
      </c>
      <c r="O1184" s="16" t="n">
        <v>42964</v>
      </c>
      <c r="P1184" s="6" t="s">
        <v>11606</v>
      </c>
      <c r="Q1184" s="6" t="s">
        <v>81</v>
      </c>
      <c r="R1184" s="6" t="s">
        <v>12744</v>
      </c>
      <c r="S1184" s="6" t="s">
        <v>10886</v>
      </c>
      <c r="T1184" s="16" t="n">
        <v>42964</v>
      </c>
      <c r="U1184" s="6" t="s">
        <v>13566</v>
      </c>
      <c r="V1184" s="6" t="s">
        <v>81</v>
      </c>
      <c r="W1184" s="6" t="s">
        <v>12744</v>
      </c>
      <c r="X1184" s="6" t="s">
        <v>81</v>
      </c>
      <c r="Y1184" s="21" t="s">
        <v>81</v>
      </c>
      <c r="Z1184" s="6" t="s">
        <v>81</v>
      </c>
      <c r="AA1184" s="6" t="s">
        <v>81</v>
      </c>
      <c r="AB1184" s="6" t="s">
        <v>81</v>
      </c>
      <c r="AC1184" s="6" t="s">
        <v>81</v>
      </c>
      <c r="AD1184" s="21" t="s">
        <v>81</v>
      </c>
      <c r="AE1184" s="6" t="s">
        <v>81</v>
      </c>
      <c r="AF1184" s="6" t="s">
        <v>81</v>
      </c>
      <c r="AG1184" s="6" t="s">
        <v>81</v>
      </c>
      <c r="AH1184" s="6" t="s">
        <v>15754</v>
      </c>
      <c r="AI1184" s="6" t="s">
        <v>81</v>
      </c>
      <c r="AJ1184" s="6" t="s">
        <v>17636</v>
      </c>
      <c r="AK1184" s="6" t="s">
        <v>18377</v>
      </c>
      <c r="AL1184" s="6" t="s">
        <v>18444</v>
      </c>
      <c r="AM1184" s="6" t="s">
        <v>18805</v>
      </c>
      <c r="AN1184" s="6" t="s">
        <v>7195</v>
      </c>
      <c r="AO1184" s="6" t="s">
        <v>19737</v>
      </c>
      <c r="AP1184" s="6" t="s">
        <v>81</v>
      </c>
      <c r="AQ1184" s="6" t="s">
        <v>81</v>
      </c>
      <c r="AR1184" s="6" t="s">
        <v>81</v>
      </c>
      <c r="AS1184" s="6" t="s">
        <v>81</v>
      </c>
      <c r="AT1184" s="6" t="s">
        <v>81</v>
      </c>
      <c r="AU1184" s="6" t="s">
        <v>81</v>
      </c>
      <c r="AV1184" s="6" t="s">
        <v>81</v>
      </c>
      <c r="AW1184" s="6" t="s">
        <v>81</v>
      </c>
      <c r="AX1184" s="6" t="s">
        <v>81</v>
      </c>
      <c r="AY1184" s="6" t="s">
        <v>81</v>
      </c>
      <c r="AZ1184" s="6" t="s">
        <v>81</v>
      </c>
      <c r="BA1184" s="6" t="s">
        <v>81</v>
      </c>
      <c r="BB1184" s="24" t="n">
        <v>123</v>
      </c>
      <c r="BC1184" s="26"/>
      <c r="BD1184" s="26"/>
      <c r="BE1184" s="26"/>
      <c r="BF1184" s="26"/>
      <c r="BG1184" s="26"/>
      <c r="BH1184" s="26"/>
      <c r="BI1184" s="26"/>
      <c r="BJ1184" s="26"/>
      <c r="BK1184" s="26"/>
      <c r="BL1184" s="26"/>
      <c r="BM1184" s="26"/>
      <c r="BN1184" s="26"/>
      <c r="BO1184" s="26"/>
      <c r="BP1184" s="16" t="n">
        <v>45738</v>
      </c>
      <c r="BQ1184" s="28" t="str">
        <f>HYPERLINK("https://organic.ams.usda.gov/Integrity/Certificate.aspx?cid=52&amp;nopid=8431701263")</f>
        <v>https://organic.ams.usda.gov/Integrity/Certificate.aspx?cid=52&amp;nopid=8431701263</v>
      </c>
    </row>
    <row r="1185">
      <c r="A1185" t="s">
        <v>3</v>
      </c>
      <c r="B1185" s="6" t="s">
        <v>12</v>
      </c>
      <c r="C1185" s="6" t="s">
        <v>59</v>
      </c>
      <c r="D1185" s="6" t="s">
        <v>105</v>
      </c>
      <c r="E1185" s="10" t="s">
        <v>1326</v>
      </c>
      <c r="F1185" s="6" t="s">
        <v>4053</v>
      </c>
      <c r="G1185" s="6" t="s">
        <v>81</v>
      </c>
      <c r="H1185" s="6" t="s">
        <v>6976</v>
      </c>
      <c r="I1185" s="6" t="s">
        <v>81</v>
      </c>
      <c r="J1185" s="6" t="s">
        <v>81</v>
      </c>
      <c r="K1185" s="6" t="s">
        <v>10886</v>
      </c>
      <c r="L1185" s="16" t="n">
        <v>43767</v>
      </c>
      <c r="M1185" s="16" t="n">
        <v>45717</v>
      </c>
      <c r="N1185" s="6" t="s">
        <v>10886</v>
      </c>
      <c r="O1185" s="16" t="n">
        <v>45379</v>
      </c>
      <c r="P1185" s="6" t="s">
        <v>11607</v>
      </c>
      <c r="Q1185" s="6" t="s">
        <v>81</v>
      </c>
      <c r="R1185" s="6" t="s">
        <v>81</v>
      </c>
      <c r="S1185" s="6" t="s">
        <v>10886</v>
      </c>
      <c r="T1185" s="16" t="n">
        <v>43767</v>
      </c>
      <c r="U1185" s="6" t="s">
        <v>13166</v>
      </c>
      <c r="V1185" s="6" t="s">
        <v>81</v>
      </c>
      <c r="W1185" s="6" t="s">
        <v>81</v>
      </c>
      <c r="X1185" s="6" t="s">
        <v>81</v>
      </c>
      <c r="Y1185" s="21" t="s">
        <v>81</v>
      </c>
      <c r="Z1185" s="6" t="s">
        <v>81</v>
      </c>
      <c r="AA1185" s="6" t="s">
        <v>81</v>
      </c>
      <c r="AB1185" s="6" t="s">
        <v>81</v>
      </c>
      <c r="AC1185" s="6" t="s">
        <v>81</v>
      </c>
      <c r="AD1185" s="21" t="s">
        <v>81</v>
      </c>
      <c r="AE1185" s="6" t="s">
        <v>81</v>
      </c>
      <c r="AF1185" s="6" t="s">
        <v>81</v>
      </c>
      <c r="AG1185" s="6" t="s">
        <v>81</v>
      </c>
      <c r="AH1185" s="6" t="s">
        <v>15755</v>
      </c>
      <c r="AI1185" s="6" t="s">
        <v>81</v>
      </c>
      <c r="AJ1185" s="6" t="s">
        <v>17471</v>
      </c>
      <c r="AK1185" s="6" t="s">
        <v>18380</v>
      </c>
      <c r="AL1185" s="6" t="s">
        <v>18444</v>
      </c>
      <c r="AM1185" s="6" t="s">
        <v>18633</v>
      </c>
      <c r="AN1185" s="6" t="s">
        <v>19650</v>
      </c>
      <c r="AO1185" s="6" t="s">
        <v>19739</v>
      </c>
      <c r="AP1185" s="6" t="s">
        <v>20268</v>
      </c>
      <c r="AQ1185" s="6" t="s">
        <v>81</v>
      </c>
      <c r="AR1185" s="6" t="s">
        <v>17471</v>
      </c>
      <c r="AS1185" s="6" t="s">
        <v>18380</v>
      </c>
      <c r="AT1185" s="6" t="s">
        <v>18444</v>
      </c>
      <c r="AU1185" s="6" t="s">
        <v>18633</v>
      </c>
      <c r="AV1185" s="6" t="s">
        <v>81</v>
      </c>
      <c r="AW1185" s="6" t="s">
        <v>81</v>
      </c>
      <c r="AX1185" s="6" t="s">
        <v>81</v>
      </c>
      <c r="AY1185" s="6" t="s">
        <v>81</v>
      </c>
      <c r="AZ1185" s="6" t="s">
        <v>81</v>
      </c>
      <c r="BA1185" s="6" t="s">
        <v>81</v>
      </c>
      <c r="BB1185" s="24" t="n">
        <v>92</v>
      </c>
      <c r="BC1185" s="26"/>
      <c r="BD1185" s="26"/>
      <c r="BE1185" s="26"/>
      <c r="BF1185" s="26"/>
      <c r="BG1185" s="26"/>
      <c r="BH1185" s="26"/>
      <c r="BI1185" s="26"/>
      <c r="BJ1185" s="26"/>
      <c r="BK1185" s="26"/>
      <c r="BL1185" s="26"/>
      <c r="BM1185" s="26"/>
      <c r="BN1185" s="26"/>
      <c r="BO1185" s="26"/>
      <c r="BP1185" s="16" t="n">
        <v>45684</v>
      </c>
      <c r="BQ1185" s="28" t="str">
        <f>HYPERLINK("https://organic.ams.usda.gov/Integrity/Certificate.aspx?cid=68&amp;nopid=8210006349")</f>
        <v>https://organic.ams.usda.gov/Integrity/Certificate.aspx?cid=68&amp;nopid=8210006349</v>
      </c>
    </row>
    <row r="1186">
      <c r="A1186" t="s">
        <v>3</v>
      </c>
      <c r="B1186" s="6" t="s">
        <v>9</v>
      </c>
      <c r="C1186" s="6" t="s">
        <v>56</v>
      </c>
      <c r="D1186" s="6" t="s">
        <v>102</v>
      </c>
      <c r="E1186" s="10" t="s">
        <v>1327</v>
      </c>
      <c r="F1186" s="6" t="s">
        <v>4054</v>
      </c>
      <c r="G1186" s="6" t="s">
        <v>81</v>
      </c>
      <c r="H1186" s="6" t="s">
        <v>6977</v>
      </c>
      <c r="I1186" s="6" t="s">
        <v>8757</v>
      </c>
      <c r="J1186" s="6" t="s">
        <v>9672</v>
      </c>
      <c r="K1186" s="6" t="s">
        <v>10886</v>
      </c>
      <c r="L1186" s="16" t="n">
        <v>44341</v>
      </c>
      <c r="M1186" s="16" t="n">
        <v>45748</v>
      </c>
      <c r="N1186" s="6" t="s">
        <v>10886</v>
      </c>
      <c r="O1186" s="16" t="n">
        <v>44341</v>
      </c>
      <c r="P1186" s="6" t="s">
        <v>11210</v>
      </c>
      <c r="Q1186" s="6" t="s">
        <v>81</v>
      </c>
      <c r="R1186" s="6" t="s">
        <v>12745</v>
      </c>
      <c r="S1186" s="6" t="s">
        <v>10886</v>
      </c>
      <c r="T1186" s="16" t="n">
        <v>44341</v>
      </c>
      <c r="U1186" s="6" t="s">
        <v>13168</v>
      </c>
      <c r="V1186" s="6" t="s">
        <v>81</v>
      </c>
      <c r="W1186" s="6" t="s">
        <v>12745</v>
      </c>
      <c r="X1186" s="6" t="s">
        <v>81</v>
      </c>
      <c r="Y1186" s="21" t="s">
        <v>81</v>
      </c>
      <c r="Z1186" s="6" t="s">
        <v>81</v>
      </c>
      <c r="AA1186" s="6" t="s">
        <v>81</v>
      </c>
      <c r="AB1186" s="6" t="s">
        <v>81</v>
      </c>
      <c r="AC1186" s="6" t="s">
        <v>81</v>
      </c>
      <c r="AD1186" s="21" t="s">
        <v>81</v>
      </c>
      <c r="AE1186" s="6" t="s">
        <v>81</v>
      </c>
      <c r="AF1186" s="6" t="s">
        <v>81</v>
      </c>
      <c r="AG1186" s="6" t="s">
        <v>81</v>
      </c>
      <c r="AH1186" s="6" t="s">
        <v>15756</v>
      </c>
      <c r="AI1186" s="6" t="s">
        <v>81</v>
      </c>
      <c r="AJ1186" s="6" t="s">
        <v>17724</v>
      </c>
      <c r="AK1186" s="6" t="s">
        <v>18377</v>
      </c>
      <c r="AL1186" s="6" t="s">
        <v>18444</v>
      </c>
      <c r="AM1186" s="6" t="s">
        <v>18892</v>
      </c>
      <c r="AN1186" s="6" t="s">
        <v>19643</v>
      </c>
      <c r="AO1186" s="6" t="s">
        <v>19730</v>
      </c>
      <c r="AP1186" s="6" t="s">
        <v>81</v>
      </c>
      <c r="AQ1186" s="6" t="s">
        <v>81</v>
      </c>
      <c r="AR1186" s="6" t="s">
        <v>81</v>
      </c>
      <c r="AS1186" s="6" t="s">
        <v>81</v>
      </c>
      <c r="AT1186" s="6" t="s">
        <v>81</v>
      </c>
      <c r="AU1186" s="6" t="s">
        <v>81</v>
      </c>
      <c r="AV1186" s="6" t="s">
        <v>81</v>
      </c>
      <c r="AW1186" s="6" t="s">
        <v>81</v>
      </c>
      <c r="AX1186" s="6" t="s">
        <v>21488</v>
      </c>
      <c r="AY1186" s="6" t="s">
        <v>81</v>
      </c>
      <c r="AZ1186" s="6" t="s">
        <v>81</v>
      </c>
      <c r="BA1186" s="6" t="s">
        <v>81</v>
      </c>
      <c r="BB1186" s="24" t="n">
        <v>109</v>
      </c>
      <c r="BC1186" s="26"/>
      <c r="BD1186" s="26"/>
      <c r="BE1186" s="26"/>
      <c r="BF1186" s="26"/>
      <c r="BG1186" s="26"/>
      <c r="BH1186" s="26"/>
      <c r="BI1186" s="26"/>
      <c r="BJ1186" s="26"/>
      <c r="BK1186" s="26"/>
      <c r="BL1186" s="26"/>
      <c r="BM1186" s="26"/>
      <c r="BN1186" s="26"/>
      <c r="BO1186" s="26"/>
      <c r="BP1186" s="16" t="n">
        <v>45738</v>
      </c>
      <c r="BQ1186" s="28" t="str">
        <f>HYPERLINK("https://organic.ams.usda.gov/Integrity/Certificate.aspx?cid=52&amp;nopid=8432101935")</f>
        <v>https://organic.ams.usda.gov/Integrity/Certificate.aspx?cid=52&amp;nopid=8432101935</v>
      </c>
    </row>
    <row r="1187">
      <c r="A1187" t="s">
        <v>3</v>
      </c>
      <c r="B1187" s="6" t="s">
        <v>11</v>
      </c>
      <c r="C1187" s="6" t="s">
        <v>58</v>
      </c>
      <c r="D1187" s="6" t="s">
        <v>104</v>
      </c>
      <c r="E1187" s="10" t="s">
        <v>1328</v>
      </c>
      <c r="F1187" s="6" t="s">
        <v>4055</v>
      </c>
      <c r="G1187" s="6" t="s">
        <v>81</v>
      </c>
      <c r="H1187" s="6" t="s">
        <v>81</v>
      </c>
      <c r="I1187" s="6" t="s">
        <v>9046</v>
      </c>
      <c r="J1187" s="6" t="s">
        <v>10251</v>
      </c>
      <c r="K1187" s="6" t="s">
        <v>10886</v>
      </c>
      <c r="L1187" s="16" t="n">
        <v>45323</v>
      </c>
      <c r="M1187" s="16" t="n">
        <v>45748</v>
      </c>
      <c r="N1187" s="6" t="s">
        <v>10886</v>
      </c>
      <c r="O1187" s="16" t="n">
        <v>45323</v>
      </c>
      <c r="P1187" s="6" t="s">
        <v>11608</v>
      </c>
      <c r="Q1187" s="6" t="s">
        <v>81</v>
      </c>
      <c r="R1187" s="6" t="s">
        <v>81</v>
      </c>
      <c r="S1187" s="6" t="s">
        <v>10886</v>
      </c>
      <c r="T1187" s="16" t="n">
        <v>45504</v>
      </c>
      <c r="U1187" s="6" t="s">
        <v>13567</v>
      </c>
      <c r="V1187" s="6" t="s">
        <v>81</v>
      </c>
      <c r="W1187" s="6" t="s">
        <v>81</v>
      </c>
      <c r="X1187" s="6" t="s">
        <v>81</v>
      </c>
      <c r="Y1187" s="21" t="s">
        <v>81</v>
      </c>
      <c r="Z1187" s="6" t="s">
        <v>81</v>
      </c>
      <c r="AA1187" s="6" t="s">
        <v>81</v>
      </c>
      <c r="AB1187" s="6" t="s">
        <v>81</v>
      </c>
      <c r="AC1187" s="6" t="s">
        <v>81</v>
      </c>
      <c r="AD1187" s="21" t="s">
        <v>81</v>
      </c>
      <c r="AE1187" s="6" t="s">
        <v>81</v>
      </c>
      <c r="AF1187" s="6" t="s">
        <v>81</v>
      </c>
      <c r="AG1187" s="6" t="s">
        <v>81</v>
      </c>
      <c r="AH1187" s="6" t="s">
        <v>15757</v>
      </c>
      <c r="AI1187" s="6" t="s">
        <v>81</v>
      </c>
      <c r="AJ1187" s="6" t="s">
        <v>17328</v>
      </c>
      <c r="AK1187" s="6" t="s">
        <v>18377</v>
      </c>
      <c r="AL1187" s="6" t="s">
        <v>18444</v>
      </c>
      <c r="AM1187" s="6" t="s">
        <v>18480</v>
      </c>
      <c r="AN1187" s="6" t="s">
        <v>81</v>
      </c>
      <c r="AO1187" s="6" t="s">
        <v>81</v>
      </c>
      <c r="AP1187" s="6" t="s">
        <v>15757</v>
      </c>
      <c r="AQ1187" s="6" t="s">
        <v>81</v>
      </c>
      <c r="AR1187" s="6" t="s">
        <v>17328</v>
      </c>
      <c r="AS1187" s="6" t="s">
        <v>18377</v>
      </c>
      <c r="AT1187" s="6" t="s">
        <v>18444</v>
      </c>
      <c r="AU1187" s="6" t="s">
        <v>18480</v>
      </c>
      <c r="AV1187" s="6" t="s">
        <v>81</v>
      </c>
      <c r="AW1187" s="6" t="s">
        <v>81</v>
      </c>
      <c r="AX1187" s="6" t="s">
        <v>81</v>
      </c>
      <c r="AY1187" s="6" t="s">
        <v>81</v>
      </c>
      <c r="AZ1187" s="6" t="s">
        <v>81</v>
      </c>
      <c r="BA1187" s="6" t="s">
        <v>23820</v>
      </c>
      <c r="BB1187" s="24" t="n">
        <v>57</v>
      </c>
      <c r="BC1187" s="26"/>
      <c r="BD1187" s="26"/>
      <c r="BE1187" s="26"/>
      <c r="BF1187" s="26"/>
      <c r="BG1187" s="26"/>
      <c r="BH1187" s="26"/>
      <c r="BI1187" s="26"/>
      <c r="BJ1187" s="26"/>
      <c r="BK1187" s="26"/>
      <c r="BL1187" s="26"/>
      <c r="BM1187" s="26"/>
      <c r="BN1187" s="26"/>
      <c r="BO1187" s="26"/>
      <c r="BP1187" s="16" t="n">
        <v>45636</v>
      </c>
      <c r="BQ1187" s="28" t="str">
        <f>HYPERLINK("https://organic.ams.usda.gov/Integrity/Certificate.aspx?cid=46&amp;nopid=3672400003")</f>
        <v>https://organic.ams.usda.gov/Integrity/Certificate.aspx?cid=46&amp;nopid=3672400003</v>
      </c>
    </row>
    <row r="1188">
      <c r="A1188" t="s">
        <v>3</v>
      </c>
      <c r="B1188" s="6" t="s">
        <v>9</v>
      </c>
      <c r="C1188" s="6" t="s">
        <v>56</v>
      </c>
      <c r="D1188" s="6" t="s">
        <v>102</v>
      </c>
      <c r="E1188" s="10" t="s">
        <v>1329</v>
      </c>
      <c r="F1188" s="6" t="s">
        <v>4056</v>
      </c>
      <c r="G1188" s="6" t="s">
        <v>81</v>
      </c>
      <c r="H1188" s="6" t="s">
        <v>6978</v>
      </c>
      <c r="I1188" s="6" t="s">
        <v>81</v>
      </c>
      <c r="J1188" s="6" t="s">
        <v>81</v>
      </c>
      <c r="K1188" s="6" t="s">
        <v>10886</v>
      </c>
      <c r="L1188" s="16" t="n">
        <v>45678</v>
      </c>
      <c r="M1188" s="16" t="n">
        <v>45748</v>
      </c>
      <c r="N1188" s="6" t="s">
        <v>10886</v>
      </c>
      <c r="O1188" s="16" t="n">
        <v>45678</v>
      </c>
      <c r="P1188" s="6" t="s">
        <v>10907</v>
      </c>
      <c r="Q1188" s="6" t="s">
        <v>81</v>
      </c>
      <c r="R1188" s="6" t="s">
        <v>12746</v>
      </c>
      <c r="S1188" s="6" t="s">
        <v>10886</v>
      </c>
      <c r="T1188" s="16" t="n">
        <v>45678</v>
      </c>
      <c r="U1188" s="6" t="s">
        <v>13162</v>
      </c>
      <c r="V1188" s="6" t="s">
        <v>81</v>
      </c>
      <c r="W1188" s="6" t="s">
        <v>12746</v>
      </c>
      <c r="X1188" s="6" t="s">
        <v>81</v>
      </c>
      <c r="Y1188" s="21" t="s">
        <v>81</v>
      </c>
      <c r="Z1188" s="6" t="s">
        <v>81</v>
      </c>
      <c r="AA1188" s="6" t="s">
        <v>81</v>
      </c>
      <c r="AB1188" s="6" t="s">
        <v>81</v>
      </c>
      <c r="AC1188" s="6" t="s">
        <v>81</v>
      </c>
      <c r="AD1188" s="21" t="s">
        <v>81</v>
      </c>
      <c r="AE1188" s="6" t="s">
        <v>81</v>
      </c>
      <c r="AF1188" s="6" t="s">
        <v>81</v>
      </c>
      <c r="AG1188" s="6" t="s">
        <v>81</v>
      </c>
      <c r="AH1188" s="6" t="s">
        <v>14635</v>
      </c>
      <c r="AI1188" s="6" t="s">
        <v>81</v>
      </c>
      <c r="AJ1188" s="6" t="s">
        <v>17326</v>
      </c>
      <c r="AK1188" s="6" t="s">
        <v>18377</v>
      </c>
      <c r="AL1188" s="6" t="s">
        <v>18444</v>
      </c>
      <c r="AM1188" s="6" t="s">
        <v>18478</v>
      </c>
      <c r="AN1188" s="6" t="s">
        <v>81</v>
      </c>
      <c r="AO1188" s="6" t="s">
        <v>81</v>
      </c>
      <c r="AP1188" s="6" t="s">
        <v>81</v>
      </c>
      <c r="AQ1188" s="6" t="s">
        <v>81</v>
      </c>
      <c r="AR1188" s="6" t="s">
        <v>81</v>
      </c>
      <c r="AS1188" s="6" t="s">
        <v>81</v>
      </c>
      <c r="AT1188" s="6" t="s">
        <v>81</v>
      </c>
      <c r="AU1188" s="6" t="s">
        <v>81</v>
      </c>
      <c r="AV1188" s="6" t="s">
        <v>81</v>
      </c>
      <c r="AW1188" s="6" t="s">
        <v>81</v>
      </c>
      <c r="AX1188" s="6" t="s">
        <v>81</v>
      </c>
      <c r="AY1188" s="6" t="s">
        <v>81</v>
      </c>
      <c r="AZ1188" s="6" t="s">
        <v>81</v>
      </c>
      <c r="BA1188" s="6" t="s">
        <v>81</v>
      </c>
      <c r="BB1188" s="24" t="n">
        <v>95</v>
      </c>
      <c r="BC1188" s="26"/>
      <c r="BD1188" s="26"/>
      <c r="BE1188" s="26"/>
      <c r="BF1188" s="26"/>
      <c r="BG1188" s="26"/>
      <c r="BH1188" s="26"/>
      <c r="BI1188" s="26"/>
      <c r="BJ1188" s="26"/>
      <c r="BK1188" s="26"/>
      <c r="BL1188" s="26"/>
      <c r="BM1188" s="26"/>
      <c r="BN1188" s="26"/>
      <c r="BO1188" s="26"/>
      <c r="BP1188" s="16" t="n">
        <v>45738</v>
      </c>
      <c r="BQ1188" s="28" t="str">
        <f>HYPERLINK("https://organic.ams.usda.gov/Integrity/Certificate.aspx?cid=52&amp;nopid=8432402251")</f>
        <v>https://organic.ams.usda.gov/Integrity/Certificate.aspx?cid=52&amp;nopid=8432402251</v>
      </c>
    </row>
    <row r="1189">
      <c r="A1189" t="s">
        <v>3</v>
      </c>
      <c r="B1189" s="6" t="s">
        <v>7</v>
      </c>
      <c r="C1189" s="6" t="s">
        <v>54</v>
      </c>
      <c r="D1189" s="6" t="s">
        <v>100</v>
      </c>
      <c r="E1189" s="10" t="s">
        <v>1330</v>
      </c>
      <c r="F1189" s="6" t="s">
        <v>4057</v>
      </c>
      <c r="G1189" s="6" t="s">
        <v>81</v>
      </c>
      <c r="H1189" s="6" t="s">
        <v>6979</v>
      </c>
      <c r="I1189" s="6" t="s">
        <v>8757</v>
      </c>
      <c r="J1189" s="6" t="s">
        <v>9727</v>
      </c>
      <c r="K1189" s="6" t="s">
        <v>10886</v>
      </c>
      <c r="L1189" s="16" t="n">
        <v>45615</v>
      </c>
      <c r="M1189" s="16" t="n">
        <v>45716</v>
      </c>
      <c r="N1189" s="6" t="s">
        <v>10886</v>
      </c>
      <c r="O1189" s="16" t="n">
        <v>45615</v>
      </c>
      <c r="P1189" s="6" t="s">
        <v>11017</v>
      </c>
      <c r="Q1189" s="6" t="s">
        <v>81</v>
      </c>
      <c r="R1189" s="6" t="s">
        <v>81</v>
      </c>
      <c r="S1189" s="6" t="s">
        <v>10886</v>
      </c>
      <c r="T1189" s="16" t="n">
        <v>45615</v>
      </c>
      <c r="U1189" s="6" t="s">
        <v>13160</v>
      </c>
      <c r="V1189" s="6" t="s">
        <v>81</v>
      </c>
      <c r="W1189" s="6" t="s">
        <v>81</v>
      </c>
      <c r="X1189" s="6" t="s">
        <v>81</v>
      </c>
      <c r="Y1189" s="21" t="s">
        <v>81</v>
      </c>
      <c r="Z1189" s="6" t="s">
        <v>81</v>
      </c>
      <c r="AA1189" s="6" t="s">
        <v>81</v>
      </c>
      <c r="AB1189" s="6" t="s">
        <v>81</v>
      </c>
      <c r="AC1189" s="6" t="s">
        <v>81</v>
      </c>
      <c r="AD1189" s="21" t="s">
        <v>81</v>
      </c>
      <c r="AE1189" s="6" t="s">
        <v>81</v>
      </c>
      <c r="AF1189" s="6" t="s">
        <v>81</v>
      </c>
      <c r="AG1189" s="6" t="s">
        <v>81</v>
      </c>
      <c r="AH1189" s="6" t="s">
        <v>15758</v>
      </c>
      <c r="AI1189" s="6" t="s">
        <v>81</v>
      </c>
      <c r="AJ1189" s="6" t="s">
        <v>17431</v>
      </c>
      <c r="AK1189" s="6" t="s">
        <v>17712</v>
      </c>
      <c r="AL1189" s="6" t="s">
        <v>18444</v>
      </c>
      <c r="AM1189" s="6" t="s">
        <v>18588</v>
      </c>
      <c r="AN1189" s="6" t="s">
        <v>81</v>
      </c>
      <c r="AO1189" s="6" t="s">
        <v>81</v>
      </c>
      <c r="AP1189" s="6" t="s">
        <v>15758</v>
      </c>
      <c r="AQ1189" s="6" t="s">
        <v>81</v>
      </c>
      <c r="AR1189" s="6" t="s">
        <v>17431</v>
      </c>
      <c r="AS1189" s="6" t="s">
        <v>17712</v>
      </c>
      <c r="AT1189" s="6" t="s">
        <v>18444</v>
      </c>
      <c r="AU1189" s="6" t="s">
        <v>18588</v>
      </c>
      <c r="AV1189" s="6" t="s">
        <v>81</v>
      </c>
      <c r="AW1189" s="6" t="s">
        <v>81</v>
      </c>
      <c r="AX1189" s="6" t="s">
        <v>81</v>
      </c>
      <c r="AY1189" s="6" t="s">
        <v>81</v>
      </c>
      <c r="AZ1189" s="6" t="s">
        <v>81</v>
      </c>
      <c r="BA1189" s="6" t="s">
        <v>81</v>
      </c>
      <c r="BB1189" s="24" t="n">
        <v>169</v>
      </c>
      <c r="BC1189" s="26"/>
      <c r="BD1189" s="26"/>
      <c r="BE1189" s="26"/>
      <c r="BF1189" s="26" t="s">
        <v>23900</v>
      </c>
      <c r="BG1189" s="26"/>
      <c r="BH1189" s="26"/>
      <c r="BI1189" s="26"/>
      <c r="BJ1189" s="26"/>
      <c r="BK1189" s="26"/>
      <c r="BL1189" s="26"/>
      <c r="BM1189" s="26"/>
      <c r="BN1189" s="26"/>
      <c r="BO1189" s="26"/>
      <c r="BP1189" s="16" t="n">
        <v>45618</v>
      </c>
      <c r="BQ1189" s="28" t="str">
        <f>HYPERLINK("https://organic.ams.usda.gov/Integrity/Certificate.aspx?cid=57&amp;nopid=3252024089")</f>
        <v>https://organic.ams.usda.gov/Integrity/Certificate.aspx?cid=57&amp;nopid=3252024089</v>
      </c>
    </row>
    <row r="1190">
      <c r="A1190" t="s">
        <v>3</v>
      </c>
      <c r="B1190" s="6" t="s">
        <v>9</v>
      </c>
      <c r="C1190" s="6" t="s">
        <v>56</v>
      </c>
      <c r="D1190" s="6" t="s">
        <v>102</v>
      </c>
      <c r="E1190" s="10" t="s">
        <v>1331</v>
      </c>
      <c r="F1190" s="6" t="s">
        <v>4058</v>
      </c>
      <c r="G1190" s="6" t="s">
        <v>81</v>
      </c>
      <c r="H1190" s="6" t="s">
        <v>6980</v>
      </c>
      <c r="I1190" s="6" t="s">
        <v>8757</v>
      </c>
      <c r="J1190" s="6" t="s">
        <v>9677</v>
      </c>
      <c r="K1190" s="6" t="s">
        <v>10886</v>
      </c>
      <c r="L1190" s="16" t="n">
        <v>44252</v>
      </c>
      <c r="M1190" s="16" t="n">
        <v>45748</v>
      </c>
      <c r="N1190" s="6" t="s">
        <v>10886</v>
      </c>
      <c r="O1190" s="16" t="n">
        <v>44252</v>
      </c>
      <c r="P1190" s="6" t="s">
        <v>11052</v>
      </c>
      <c r="Q1190" s="6" t="s">
        <v>81</v>
      </c>
      <c r="R1190" s="6" t="s">
        <v>12747</v>
      </c>
      <c r="S1190" s="6" t="s">
        <v>10886</v>
      </c>
      <c r="T1190" s="16" t="n">
        <v>44252</v>
      </c>
      <c r="U1190" s="6" t="s">
        <v>13223</v>
      </c>
      <c r="V1190" s="6" t="s">
        <v>81</v>
      </c>
      <c r="W1190" s="6" t="s">
        <v>12747</v>
      </c>
      <c r="X1190" s="6" t="s">
        <v>81</v>
      </c>
      <c r="Y1190" s="21" t="s">
        <v>81</v>
      </c>
      <c r="Z1190" s="6" t="s">
        <v>81</v>
      </c>
      <c r="AA1190" s="6" t="s">
        <v>81</v>
      </c>
      <c r="AB1190" s="6" t="s">
        <v>81</v>
      </c>
      <c r="AC1190" s="6" t="s">
        <v>81</v>
      </c>
      <c r="AD1190" s="21" t="s">
        <v>81</v>
      </c>
      <c r="AE1190" s="6" t="s">
        <v>81</v>
      </c>
      <c r="AF1190" s="6" t="s">
        <v>81</v>
      </c>
      <c r="AG1190" s="6" t="s">
        <v>81</v>
      </c>
      <c r="AH1190" s="6" t="s">
        <v>15759</v>
      </c>
      <c r="AI1190" s="6" t="s">
        <v>81</v>
      </c>
      <c r="AJ1190" s="6" t="s">
        <v>17548</v>
      </c>
      <c r="AK1190" s="6" t="s">
        <v>18377</v>
      </c>
      <c r="AL1190" s="6" t="s">
        <v>18444</v>
      </c>
      <c r="AM1190" s="6" t="s">
        <v>18711</v>
      </c>
      <c r="AN1190" s="6" t="s">
        <v>19651</v>
      </c>
      <c r="AO1190" s="6" t="s">
        <v>19747</v>
      </c>
      <c r="AP1190" s="6" t="s">
        <v>81</v>
      </c>
      <c r="AQ1190" s="6" t="s">
        <v>81</v>
      </c>
      <c r="AR1190" s="6" t="s">
        <v>81</v>
      </c>
      <c r="AS1190" s="6" t="s">
        <v>81</v>
      </c>
      <c r="AT1190" s="6" t="s">
        <v>81</v>
      </c>
      <c r="AU1190" s="6" t="s">
        <v>81</v>
      </c>
      <c r="AV1190" s="6" t="s">
        <v>81</v>
      </c>
      <c r="AW1190" s="6" t="s">
        <v>81</v>
      </c>
      <c r="AX1190" s="6" t="s">
        <v>81</v>
      </c>
      <c r="AY1190" s="6" t="s">
        <v>81</v>
      </c>
      <c r="AZ1190" s="6" t="s">
        <v>81</v>
      </c>
      <c r="BA1190" s="6" t="s">
        <v>23837</v>
      </c>
      <c r="BB1190" s="24" t="n">
        <v>85</v>
      </c>
      <c r="BC1190" s="26"/>
      <c r="BD1190" s="26"/>
      <c r="BE1190" s="26"/>
      <c r="BF1190" s="26"/>
      <c r="BG1190" s="26"/>
      <c r="BH1190" s="26"/>
      <c r="BI1190" s="26"/>
      <c r="BJ1190" s="26"/>
      <c r="BK1190" s="26"/>
      <c r="BL1190" s="26"/>
      <c r="BM1190" s="26"/>
      <c r="BN1190" s="26"/>
      <c r="BO1190" s="26"/>
      <c r="BP1190" s="16" t="n">
        <v>45738</v>
      </c>
      <c r="BQ1190" s="28" t="str">
        <f>HYPERLINK("https://organic.ams.usda.gov/Integrity/Certificate.aspx?cid=52&amp;nopid=8432001924")</f>
        <v>https://organic.ams.usda.gov/Integrity/Certificate.aspx?cid=52&amp;nopid=8432001924</v>
      </c>
    </row>
    <row r="1191">
      <c r="A1191" t="s">
        <v>3</v>
      </c>
      <c r="B1191" s="6" t="s">
        <v>30</v>
      </c>
      <c r="C1191" s="6" t="s">
        <v>77</v>
      </c>
      <c r="D1191" s="6" t="s">
        <v>123</v>
      </c>
      <c r="E1191" s="10" t="s">
        <v>1332</v>
      </c>
      <c r="F1191" s="6" t="s">
        <v>4059</v>
      </c>
      <c r="G1191" s="6" t="s">
        <v>81</v>
      </c>
      <c r="H1191" s="6" t="s">
        <v>6981</v>
      </c>
      <c r="I1191" s="6" t="s">
        <v>81</v>
      </c>
      <c r="J1191" s="6" t="s">
        <v>81</v>
      </c>
      <c r="K1191" s="6" t="s">
        <v>10886</v>
      </c>
      <c r="L1191" s="16" t="n">
        <v>44417</v>
      </c>
      <c r="M1191" s="16" t="n">
        <v>45747</v>
      </c>
      <c r="N1191" s="6" t="s">
        <v>10886</v>
      </c>
      <c r="O1191" s="16" t="n">
        <v>44417</v>
      </c>
      <c r="P1191" s="6" t="s">
        <v>11609</v>
      </c>
      <c r="Q1191" s="6" t="s">
        <v>81</v>
      </c>
      <c r="R1191" s="6" t="s">
        <v>81</v>
      </c>
      <c r="S1191" s="6" t="s">
        <v>10886</v>
      </c>
      <c r="T1191" s="16" t="n">
        <v>44417</v>
      </c>
      <c r="U1191" s="6" t="s">
        <v>13568</v>
      </c>
      <c r="V1191" s="6" t="s">
        <v>81</v>
      </c>
      <c r="W1191" s="6" t="s">
        <v>81</v>
      </c>
      <c r="X1191" s="6" t="s">
        <v>81</v>
      </c>
      <c r="Y1191" s="21" t="s">
        <v>81</v>
      </c>
      <c r="Z1191" s="6" t="s">
        <v>81</v>
      </c>
      <c r="AA1191" s="6" t="s">
        <v>81</v>
      </c>
      <c r="AB1191" s="6" t="s">
        <v>81</v>
      </c>
      <c r="AC1191" s="6" t="s">
        <v>81</v>
      </c>
      <c r="AD1191" s="21" t="s">
        <v>81</v>
      </c>
      <c r="AE1191" s="6" t="s">
        <v>81</v>
      </c>
      <c r="AF1191" s="6" t="s">
        <v>81</v>
      </c>
      <c r="AG1191" s="6" t="s">
        <v>81</v>
      </c>
      <c r="AH1191" s="6" t="s">
        <v>15760</v>
      </c>
      <c r="AI1191" s="6" t="s">
        <v>81</v>
      </c>
      <c r="AJ1191" s="6" t="s">
        <v>17317</v>
      </c>
      <c r="AK1191" s="6" t="s">
        <v>18380</v>
      </c>
      <c r="AL1191" s="6" t="s">
        <v>18444</v>
      </c>
      <c r="AM1191" s="6" t="s">
        <v>18469</v>
      </c>
      <c r="AN1191" s="6" t="s">
        <v>19639</v>
      </c>
      <c r="AO1191" s="6" t="s">
        <v>19725</v>
      </c>
      <c r="AP1191" s="6" t="s">
        <v>15760</v>
      </c>
      <c r="AQ1191" s="6" t="s">
        <v>81</v>
      </c>
      <c r="AR1191" s="6" t="s">
        <v>17317</v>
      </c>
      <c r="AS1191" s="6" t="s">
        <v>18380</v>
      </c>
      <c r="AT1191" s="6" t="s">
        <v>18444</v>
      </c>
      <c r="AU1191" s="6" t="s">
        <v>18469</v>
      </c>
      <c r="AV1191" s="6" t="s">
        <v>81</v>
      </c>
      <c r="AW1191" s="6" t="s">
        <v>81</v>
      </c>
      <c r="AX1191" s="6" t="s">
        <v>81</v>
      </c>
      <c r="AY1191" s="6" t="s">
        <v>81</v>
      </c>
      <c r="AZ1191" s="6" t="s">
        <v>81</v>
      </c>
      <c r="BA1191" s="6" t="s">
        <v>81</v>
      </c>
      <c r="BB1191" s="24" t="n">
        <v>42</v>
      </c>
      <c r="BC1191" s="26"/>
      <c r="BD1191" s="26"/>
      <c r="BE1191" s="26"/>
      <c r="BF1191" s="26"/>
      <c r="BG1191" s="26"/>
      <c r="BH1191" s="26"/>
      <c r="BI1191" s="26"/>
      <c r="BJ1191" s="26"/>
      <c r="BK1191" s="26"/>
      <c r="BL1191" s="26"/>
      <c r="BM1191" s="26"/>
      <c r="BN1191" s="26"/>
      <c r="BO1191" s="26"/>
      <c r="BP1191" s="16" t="n">
        <v>45678</v>
      </c>
      <c r="BQ1191" s="28" t="str">
        <f>HYPERLINK("https://organic.ams.usda.gov/Integrity/Certificate.aspx?cid=70&amp;nopid=6432117440")</f>
        <v>https://organic.ams.usda.gov/Integrity/Certificate.aspx?cid=70&amp;nopid=6432117440</v>
      </c>
    </row>
    <row r="1192">
      <c r="A1192" t="s">
        <v>3</v>
      </c>
      <c r="B1192" s="6" t="s">
        <v>12</v>
      </c>
      <c r="C1192" s="6" t="s">
        <v>59</v>
      </c>
      <c r="D1192" s="6" t="s">
        <v>105</v>
      </c>
      <c r="E1192" s="10" t="s">
        <v>1333</v>
      </c>
      <c r="F1192" s="6" t="s">
        <v>4060</v>
      </c>
      <c r="G1192" s="6" t="s">
        <v>81</v>
      </c>
      <c r="H1192" s="6" t="s">
        <v>6982</v>
      </c>
      <c r="I1192" s="6" t="s">
        <v>9047</v>
      </c>
      <c r="J1192" s="6" t="s">
        <v>9741</v>
      </c>
      <c r="K1192" s="6" t="s">
        <v>10886</v>
      </c>
      <c r="L1192" s="16" t="n">
        <v>43861</v>
      </c>
      <c r="M1192" s="16" t="n">
        <v>45717</v>
      </c>
      <c r="N1192" s="6" t="s">
        <v>10886</v>
      </c>
      <c r="O1192" s="16" t="n">
        <v>43861</v>
      </c>
      <c r="P1192" s="6" t="s">
        <v>11610</v>
      </c>
      <c r="Q1192" s="6" t="s">
        <v>81</v>
      </c>
      <c r="R1192" s="6" t="s">
        <v>81</v>
      </c>
      <c r="S1192" s="6" t="s">
        <v>10886</v>
      </c>
      <c r="T1192" s="16" t="n">
        <v>43861</v>
      </c>
      <c r="U1192" s="6" t="s">
        <v>13183</v>
      </c>
      <c r="V1192" s="6" t="s">
        <v>81</v>
      </c>
      <c r="W1192" s="6" t="s">
        <v>81</v>
      </c>
      <c r="X1192" s="6" t="s">
        <v>81</v>
      </c>
      <c r="Y1192" s="21" t="s">
        <v>81</v>
      </c>
      <c r="Z1192" s="6" t="s">
        <v>81</v>
      </c>
      <c r="AA1192" s="6" t="s">
        <v>81</v>
      </c>
      <c r="AB1192" s="6" t="s">
        <v>81</v>
      </c>
      <c r="AC1192" s="6" t="s">
        <v>81</v>
      </c>
      <c r="AD1192" s="21" t="s">
        <v>81</v>
      </c>
      <c r="AE1192" s="6" t="s">
        <v>81</v>
      </c>
      <c r="AF1192" s="6" t="s">
        <v>81</v>
      </c>
      <c r="AG1192" s="6" t="s">
        <v>81</v>
      </c>
      <c r="AH1192" s="6" t="s">
        <v>15761</v>
      </c>
      <c r="AI1192" s="6" t="s">
        <v>81</v>
      </c>
      <c r="AJ1192" s="6" t="s">
        <v>17387</v>
      </c>
      <c r="AK1192" s="6" t="s">
        <v>18380</v>
      </c>
      <c r="AL1192" s="6" t="s">
        <v>18444</v>
      </c>
      <c r="AM1192" s="6" t="s">
        <v>18541</v>
      </c>
      <c r="AN1192" s="6" t="s">
        <v>19639</v>
      </c>
      <c r="AO1192" s="6" t="s">
        <v>19725</v>
      </c>
      <c r="AP1192" s="6" t="s">
        <v>15761</v>
      </c>
      <c r="AQ1192" s="6" t="s">
        <v>81</v>
      </c>
      <c r="AR1192" s="6" t="s">
        <v>17387</v>
      </c>
      <c r="AS1192" s="6" t="s">
        <v>18380</v>
      </c>
      <c r="AT1192" s="6" t="s">
        <v>18444</v>
      </c>
      <c r="AU1192" s="6" t="s">
        <v>18541</v>
      </c>
      <c r="AV1192" s="6" t="s">
        <v>81</v>
      </c>
      <c r="AW1192" s="6" t="s">
        <v>81</v>
      </c>
      <c r="AX1192" s="6" t="s">
        <v>21489</v>
      </c>
      <c r="AY1192" s="6" t="s">
        <v>81</v>
      </c>
      <c r="AZ1192" s="6" t="s">
        <v>81</v>
      </c>
      <c r="BA1192" s="6" t="s">
        <v>81</v>
      </c>
      <c r="BB1192" s="24" t="n">
        <v>104</v>
      </c>
      <c r="BC1192" s="26"/>
      <c r="BD1192" s="26"/>
      <c r="BE1192" s="26"/>
      <c r="BF1192" s="26"/>
      <c r="BG1192" s="26"/>
      <c r="BH1192" s="26"/>
      <c r="BI1192" s="26"/>
      <c r="BJ1192" s="26"/>
      <c r="BK1192" s="26"/>
      <c r="BL1192" s="26"/>
      <c r="BM1192" s="26"/>
      <c r="BN1192" s="26"/>
      <c r="BO1192" s="26"/>
      <c r="BP1192" s="16" t="n">
        <v>45684</v>
      </c>
      <c r="BQ1192" s="28" t="str">
        <f>HYPERLINK("https://organic.ams.usda.gov/Integrity/Certificate.aspx?cid=68&amp;nopid=8210007082")</f>
        <v>https://organic.ams.usda.gov/Integrity/Certificate.aspx?cid=68&amp;nopid=8210007082</v>
      </c>
    </row>
    <row r="1193">
      <c r="A1193" t="s">
        <v>3</v>
      </c>
      <c r="B1193" s="6" t="s">
        <v>7</v>
      </c>
      <c r="C1193" s="6" t="s">
        <v>54</v>
      </c>
      <c r="D1193" s="6" t="s">
        <v>100</v>
      </c>
      <c r="E1193" s="10" t="s">
        <v>1334</v>
      </c>
      <c r="F1193" s="6" t="s">
        <v>4061</v>
      </c>
      <c r="G1193" s="6" t="s">
        <v>81</v>
      </c>
      <c r="H1193" s="6" t="s">
        <v>6983</v>
      </c>
      <c r="I1193" s="6" t="s">
        <v>8757</v>
      </c>
      <c r="J1193" s="6" t="s">
        <v>9671</v>
      </c>
      <c r="K1193" s="6" t="s">
        <v>10886</v>
      </c>
      <c r="L1193" s="16" t="n">
        <v>45083</v>
      </c>
      <c r="M1193" s="16" t="n">
        <v>45716</v>
      </c>
      <c r="N1193" s="6" t="s">
        <v>10886</v>
      </c>
      <c r="O1193" s="16" t="n">
        <v>45083</v>
      </c>
      <c r="P1193" s="6" t="s">
        <v>11611</v>
      </c>
      <c r="Q1193" s="6" t="s">
        <v>81</v>
      </c>
      <c r="R1193" s="6" t="s">
        <v>81</v>
      </c>
      <c r="S1193" s="6" t="s">
        <v>10886</v>
      </c>
      <c r="T1193" s="16" t="n">
        <v>45083</v>
      </c>
      <c r="U1193" s="6" t="s">
        <v>13175</v>
      </c>
      <c r="V1193" s="6" t="s">
        <v>81</v>
      </c>
      <c r="W1193" s="6" t="s">
        <v>81</v>
      </c>
      <c r="X1193" s="6" t="s">
        <v>81</v>
      </c>
      <c r="Y1193" s="21" t="s">
        <v>81</v>
      </c>
      <c r="Z1193" s="6" t="s">
        <v>81</v>
      </c>
      <c r="AA1193" s="6" t="s">
        <v>81</v>
      </c>
      <c r="AB1193" s="6" t="s">
        <v>81</v>
      </c>
      <c r="AC1193" s="6" t="s">
        <v>81</v>
      </c>
      <c r="AD1193" s="21" t="s">
        <v>81</v>
      </c>
      <c r="AE1193" s="6" t="s">
        <v>81</v>
      </c>
      <c r="AF1193" s="6" t="s">
        <v>81</v>
      </c>
      <c r="AG1193" s="6" t="s">
        <v>81</v>
      </c>
      <c r="AH1193" s="6" t="s">
        <v>15762</v>
      </c>
      <c r="AI1193" s="6" t="s">
        <v>81</v>
      </c>
      <c r="AJ1193" s="6" t="s">
        <v>17490</v>
      </c>
      <c r="AK1193" s="6" t="s">
        <v>17712</v>
      </c>
      <c r="AL1193" s="6" t="s">
        <v>18444</v>
      </c>
      <c r="AM1193" s="6" t="s">
        <v>18650</v>
      </c>
      <c r="AN1193" s="6" t="s">
        <v>81</v>
      </c>
      <c r="AO1193" s="6" t="s">
        <v>81</v>
      </c>
      <c r="AP1193" s="6" t="s">
        <v>15762</v>
      </c>
      <c r="AQ1193" s="6" t="s">
        <v>81</v>
      </c>
      <c r="AR1193" s="6" t="s">
        <v>17490</v>
      </c>
      <c r="AS1193" s="6" t="s">
        <v>17712</v>
      </c>
      <c r="AT1193" s="6" t="s">
        <v>18444</v>
      </c>
      <c r="AU1193" s="6" t="s">
        <v>18650</v>
      </c>
      <c r="AV1193" s="6" t="s">
        <v>81</v>
      </c>
      <c r="AW1193" s="6" t="s">
        <v>81</v>
      </c>
      <c r="AX1193" s="6" t="s">
        <v>81</v>
      </c>
      <c r="AY1193" s="6" t="s">
        <v>81</v>
      </c>
      <c r="AZ1193" s="6" t="s">
        <v>81</v>
      </c>
      <c r="BA1193" s="6" t="s">
        <v>81</v>
      </c>
      <c r="BB1193" s="24" t="n">
        <v>181</v>
      </c>
      <c r="BC1193" s="26"/>
      <c r="BD1193" s="26"/>
      <c r="BE1193" s="26"/>
      <c r="BF1193" s="26" t="s">
        <v>23900</v>
      </c>
      <c r="BG1193" s="26"/>
      <c r="BH1193" s="26"/>
      <c r="BI1193" s="26"/>
      <c r="BJ1193" s="26"/>
      <c r="BK1193" s="26"/>
      <c r="BL1193" s="26"/>
      <c r="BM1193" s="26"/>
      <c r="BN1193" s="26"/>
      <c r="BO1193" s="26"/>
      <c r="BP1193" s="16" t="n">
        <v>45595</v>
      </c>
      <c r="BQ1193" s="28" t="str">
        <f>HYPERLINK("https://organic.ams.usda.gov/Integrity/Certificate.aspx?cid=57&amp;nopid=3252023037")</f>
        <v>https://organic.ams.usda.gov/Integrity/Certificate.aspx?cid=57&amp;nopid=3252023037</v>
      </c>
    </row>
    <row r="1194">
      <c r="A1194" t="s">
        <v>3</v>
      </c>
      <c r="B1194" s="6" t="s">
        <v>7</v>
      </c>
      <c r="C1194" s="6" t="s">
        <v>54</v>
      </c>
      <c r="D1194" s="6" t="s">
        <v>100</v>
      </c>
      <c r="E1194" s="10" t="s">
        <v>1335</v>
      </c>
      <c r="F1194" s="6" t="s">
        <v>4062</v>
      </c>
      <c r="G1194" s="6" t="s">
        <v>81</v>
      </c>
      <c r="H1194" s="6" t="s">
        <v>6984</v>
      </c>
      <c r="I1194" s="6" t="s">
        <v>8757</v>
      </c>
      <c r="J1194" s="6" t="s">
        <v>9699</v>
      </c>
      <c r="K1194" s="6" t="s">
        <v>10886</v>
      </c>
      <c r="L1194" s="16" t="n">
        <v>42919</v>
      </c>
      <c r="M1194" s="16" t="n">
        <v>45716</v>
      </c>
      <c r="N1194" s="6" t="s">
        <v>10886</v>
      </c>
      <c r="O1194" s="16" t="n">
        <v>42919</v>
      </c>
      <c r="P1194" s="6" t="s">
        <v>10910</v>
      </c>
      <c r="Q1194" s="6" t="s">
        <v>81</v>
      </c>
      <c r="R1194" s="6" t="s">
        <v>81</v>
      </c>
      <c r="S1194" s="6" t="s">
        <v>10886</v>
      </c>
      <c r="T1194" s="16" t="n">
        <v>43010</v>
      </c>
      <c r="U1194" s="6" t="s">
        <v>13169</v>
      </c>
      <c r="V1194" s="6" t="s">
        <v>81</v>
      </c>
      <c r="W1194" s="6" t="s">
        <v>81</v>
      </c>
      <c r="X1194" s="6" t="s">
        <v>81</v>
      </c>
      <c r="Y1194" s="21" t="s">
        <v>81</v>
      </c>
      <c r="Z1194" s="6" t="s">
        <v>81</v>
      </c>
      <c r="AA1194" s="6" t="s">
        <v>81</v>
      </c>
      <c r="AB1194" s="6" t="s">
        <v>81</v>
      </c>
      <c r="AC1194" s="6" t="s">
        <v>81</v>
      </c>
      <c r="AD1194" s="21" t="s">
        <v>81</v>
      </c>
      <c r="AE1194" s="6" t="s">
        <v>81</v>
      </c>
      <c r="AF1194" s="6" t="s">
        <v>81</v>
      </c>
      <c r="AG1194" s="6" t="s">
        <v>81</v>
      </c>
      <c r="AH1194" s="6" t="s">
        <v>15763</v>
      </c>
      <c r="AI1194" s="6" t="s">
        <v>81</v>
      </c>
      <c r="AJ1194" s="6" t="s">
        <v>17922</v>
      </c>
      <c r="AK1194" s="6" t="s">
        <v>17712</v>
      </c>
      <c r="AL1194" s="6" t="s">
        <v>18444</v>
      </c>
      <c r="AM1194" s="6" t="s">
        <v>19112</v>
      </c>
      <c r="AN1194" s="6" t="s">
        <v>19665</v>
      </c>
      <c r="AO1194" s="6" t="s">
        <v>19834</v>
      </c>
      <c r="AP1194" s="6" t="s">
        <v>15763</v>
      </c>
      <c r="AQ1194" s="6" t="s">
        <v>81</v>
      </c>
      <c r="AR1194" s="6" t="s">
        <v>17922</v>
      </c>
      <c r="AS1194" s="6" t="s">
        <v>17712</v>
      </c>
      <c r="AT1194" s="6" t="s">
        <v>18444</v>
      </c>
      <c r="AU1194" s="6" t="s">
        <v>19112</v>
      </c>
      <c r="AV1194" s="6" t="s">
        <v>81</v>
      </c>
      <c r="AW1194" s="6" t="s">
        <v>81</v>
      </c>
      <c r="AX1194" s="6" t="s">
        <v>21490</v>
      </c>
      <c r="AY1194" s="6" t="s">
        <v>81</v>
      </c>
      <c r="AZ1194" s="6" t="s">
        <v>81</v>
      </c>
      <c r="BA1194" s="6" t="s">
        <v>81</v>
      </c>
      <c r="BB1194" s="24" t="n">
        <v>625</v>
      </c>
      <c r="BC1194" s="26"/>
      <c r="BD1194" s="26"/>
      <c r="BE1194" s="26"/>
      <c r="BF1194" s="26" t="s">
        <v>23900</v>
      </c>
      <c r="BG1194" s="26"/>
      <c r="BH1194" s="26"/>
      <c r="BI1194" s="26"/>
      <c r="BJ1194" s="26"/>
      <c r="BK1194" s="26"/>
      <c r="BL1194" s="26"/>
      <c r="BM1194" s="26"/>
      <c r="BN1194" s="26"/>
      <c r="BO1194" s="26"/>
      <c r="BP1194" s="16" t="n">
        <v>45595</v>
      </c>
      <c r="BQ1194" s="28" t="str">
        <f>HYPERLINK("https://organic.ams.usda.gov/Integrity/Certificate.aspx?cid=57&amp;nopid=3252017050")</f>
        <v>https://organic.ams.usda.gov/Integrity/Certificate.aspx?cid=57&amp;nopid=3252017050</v>
      </c>
    </row>
    <row r="1195">
      <c r="A1195" t="s">
        <v>3</v>
      </c>
      <c r="B1195" s="6" t="s">
        <v>12</v>
      </c>
      <c r="C1195" s="6" t="s">
        <v>59</v>
      </c>
      <c r="D1195" s="6" t="s">
        <v>105</v>
      </c>
      <c r="E1195" s="10" t="s">
        <v>1336</v>
      </c>
      <c r="F1195" s="6" t="s">
        <v>4063</v>
      </c>
      <c r="G1195" s="6" t="s">
        <v>81</v>
      </c>
      <c r="H1195" s="6" t="s">
        <v>6985</v>
      </c>
      <c r="I1195" s="6" t="s">
        <v>8757</v>
      </c>
      <c r="J1195" s="6" t="s">
        <v>10252</v>
      </c>
      <c r="K1195" s="6" t="s">
        <v>10886</v>
      </c>
      <c r="L1195" s="16" t="n">
        <v>43329</v>
      </c>
      <c r="M1195" s="16" t="n">
        <v>45717</v>
      </c>
      <c r="N1195" s="6" t="s">
        <v>10886</v>
      </c>
      <c r="O1195" s="16" t="n">
        <v>43329</v>
      </c>
      <c r="P1195" s="6" t="s">
        <v>10997</v>
      </c>
      <c r="Q1195" s="6" t="s">
        <v>81</v>
      </c>
      <c r="R1195" s="6" t="s">
        <v>81</v>
      </c>
      <c r="S1195" s="6" t="s">
        <v>10886</v>
      </c>
      <c r="T1195" s="16" t="n">
        <v>43329</v>
      </c>
      <c r="U1195" s="6" t="s">
        <v>13405</v>
      </c>
      <c r="V1195" s="6" t="s">
        <v>81</v>
      </c>
      <c r="W1195" s="6" t="s">
        <v>81</v>
      </c>
      <c r="X1195" s="6" t="s">
        <v>81</v>
      </c>
      <c r="Y1195" s="21" t="s">
        <v>81</v>
      </c>
      <c r="Z1195" s="6" t="s">
        <v>81</v>
      </c>
      <c r="AA1195" s="6" t="s">
        <v>81</v>
      </c>
      <c r="AB1195" s="6" t="s">
        <v>81</v>
      </c>
      <c r="AC1195" s="6" t="s">
        <v>81</v>
      </c>
      <c r="AD1195" s="21" t="s">
        <v>81</v>
      </c>
      <c r="AE1195" s="6" t="s">
        <v>81</v>
      </c>
      <c r="AF1195" s="6" t="s">
        <v>81</v>
      </c>
      <c r="AG1195" s="6" t="s">
        <v>81</v>
      </c>
      <c r="AH1195" s="6" t="s">
        <v>15764</v>
      </c>
      <c r="AI1195" s="6" t="s">
        <v>81</v>
      </c>
      <c r="AJ1195" s="6" t="s">
        <v>17923</v>
      </c>
      <c r="AK1195" s="6" t="s">
        <v>18380</v>
      </c>
      <c r="AL1195" s="6" t="s">
        <v>18444</v>
      </c>
      <c r="AM1195" s="6" t="s">
        <v>19113</v>
      </c>
      <c r="AN1195" s="6" t="s">
        <v>81</v>
      </c>
      <c r="AO1195" s="6" t="s">
        <v>81</v>
      </c>
      <c r="AP1195" s="6" t="s">
        <v>15764</v>
      </c>
      <c r="AQ1195" s="6" t="s">
        <v>81</v>
      </c>
      <c r="AR1195" s="6" t="s">
        <v>17923</v>
      </c>
      <c r="AS1195" s="6" t="s">
        <v>18380</v>
      </c>
      <c r="AT1195" s="6" t="s">
        <v>18444</v>
      </c>
      <c r="AU1195" s="6" t="s">
        <v>19113</v>
      </c>
      <c r="AV1195" s="6" t="s">
        <v>19660</v>
      </c>
      <c r="AW1195" s="6" t="s">
        <v>19833</v>
      </c>
      <c r="AX1195" s="6" t="s">
        <v>81</v>
      </c>
      <c r="AY1195" s="6" t="s">
        <v>23002</v>
      </c>
      <c r="AZ1195" s="6" t="s">
        <v>81</v>
      </c>
      <c r="BA1195" s="6" t="s">
        <v>81</v>
      </c>
      <c r="BB1195" s="24" t="n">
        <v>323</v>
      </c>
      <c r="BC1195" s="26"/>
      <c r="BD1195" s="26"/>
      <c r="BE1195" s="26"/>
      <c r="BF1195" s="26"/>
      <c r="BG1195" s="26"/>
      <c r="BH1195" s="26"/>
      <c r="BI1195" s="26"/>
      <c r="BJ1195" s="26"/>
      <c r="BK1195" s="26"/>
      <c r="BL1195" s="26"/>
      <c r="BM1195" s="26"/>
      <c r="BN1195" s="26"/>
      <c r="BO1195" s="26"/>
      <c r="BP1195" s="16" t="n">
        <v>45684</v>
      </c>
      <c r="BQ1195" s="28" t="str">
        <f>HYPERLINK("https://organic.ams.usda.gov/Integrity/Certificate.aspx?cid=68&amp;nopid=8210006463")</f>
        <v>https://organic.ams.usda.gov/Integrity/Certificate.aspx?cid=68&amp;nopid=8210006463</v>
      </c>
    </row>
    <row r="1196">
      <c r="A1196" t="s">
        <v>3</v>
      </c>
      <c r="B1196" s="6" t="s">
        <v>7</v>
      </c>
      <c r="C1196" s="6" t="s">
        <v>54</v>
      </c>
      <c r="D1196" s="6" t="s">
        <v>100</v>
      </c>
      <c r="E1196" s="10" t="s">
        <v>1337</v>
      </c>
      <c r="F1196" s="6" t="s">
        <v>4064</v>
      </c>
      <c r="G1196" s="6" t="s">
        <v>81</v>
      </c>
      <c r="H1196" s="6" t="s">
        <v>6986</v>
      </c>
      <c r="I1196" s="6" t="s">
        <v>8757</v>
      </c>
      <c r="J1196" s="6" t="s">
        <v>9727</v>
      </c>
      <c r="K1196" s="6" t="s">
        <v>10886</v>
      </c>
      <c r="L1196" s="16" t="n">
        <v>39283</v>
      </c>
      <c r="M1196" s="16" t="n">
        <v>45716</v>
      </c>
      <c r="N1196" s="6" t="s">
        <v>10886</v>
      </c>
      <c r="O1196" s="16" t="n">
        <v>39283</v>
      </c>
      <c r="P1196" s="6" t="s">
        <v>10910</v>
      </c>
      <c r="Q1196" s="6" t="s">
        <v>81</v>
      </c>
      <c r="R1196" s="6" t="s">
        <v>81</v>
      </c>
      <c r="S1196" s="6" t="s">
        <v>10886</v>
      </c>
      <c r="T1196" s="16" t="n">
        <v>39283</v>
      </c>
      <c r="U1196" s="6" t="s">
        <v>13160</v>
      </c>
      <c r="V1196" s="6" t="s">
        <v>81</v>
      </c>
      <c r="W1196" s="6" t="s">
        <v>81</v>
      </c>
      <c r="X1196" s="6" t="s">
        <v>81</v>
      </c>
      <c r="Y1196" s="21" t="s">
        <v>81</v>
      </c>
      <c r="Z1196" s="6" t="s">
        <v>81</v>
      </c>
      <c r="AA1196" s="6" t="s">
        <v>81</v>
      </c>
      <c r="AB1196" s="6" t="s">
        <v>81</v>
      </c>
      <c r="AC1196" s="6" t="s">
        <v>81</v>
      </c>
      <c r="AD1196" s="21" t="s">
        <v>81</v>
      </c>
      <c r="AE1196" s="6" t="s">
        <v>81</v>
      </c>
      <c r="AF1196" s="6" t="s">
        <v>81</v>
      </c>
      <c r="AG1196" s="6" t="s">
        <v>81</v>
      </c>
      <c r="AH1196" s="6" t="s">
        <v>15765</v>
      </c>
      <c r="AI1196" s="6" t="s">
        <v>81</v>
      </c>
      <c r="AJ1196" s="6" t="s">
        <v>17346</v>
      </c>
      <c r="AK1196" s="6" t="s">
        <v>17712</v>
      </c>
      <c r="AL1196" s="6" t="s">
        <v>18444</v>
      </c>
      <c r="AM1196" s="6" t="s">
        <v>18500</v>
      </c>
      <c r="AN1196" s="6" t="s">
        <v>19652</v>
      </c>
      <c r="AO1196" s="6" t="s">
        <v>19742</v>
      </c>
      <c r="AP1196" s="6" t="s">
        <v>15765</v>
      </c>
      <c r="AQ1196" s="6" t="s">
        <v>81</v>
      </c>
      <c r="AR1196" s="6" t="s">
        <v>17346</v>
      </c>
      <c r="AS1196" s="6" t="s">
        <v>17712</v>
      </c>
      <c r="AT1196" s="6" t="s">
        <v>18444</v>
      </c>
      <c r="AU1196" s="6" t="s">
        <v>18500</v>
      </c>
      <c r="AV1196" s="6" t="s">
        <v>81</v>
      </c>
      <c r="AW1196" s="6" t="s">
        <v>81</v>
      </c>
      <c r="AX1196" s="6" t="s">
        <v>81</v>
      </c>
      <c r="AY1196" s="6" t="s">
        <v>81</v>
      </c>
      <c r="AZ1196" s="6" t="s">
        <v>81</v>
      </c>
      <c r="BA1196" s="6" t="s">
        <v>81</v>
      </c>
      <c r="BB1196" s="24" t="n">
        <v>107</v>
      </c>
      <c r="BC1196" s="26"/>
      <c r="BD1196" s="26"/>
      <c r="BE1196" s="26"/>
      <c r="BF1196" s="26" t="s">
        <v>23900</v>
      </c>
      <c r="BG1196" s="26"/>
      <c r="BH1196" s="26"/>
      <c r="BI1196" s="26"/>
      <c r="BJ1196" s="26"/>
      <c r="BK1196" s="26"/>
      <c r="BL1196" s="26"/>
      <c r="BM1196" s="26"/>
      <c r="BN1196" s="26"/>
      <c r="BO1196" s="26"/>
      <c r="BP1196" s="16" t="n">
        <v>45595</v>
      </c>
      <c r="BQ1196" s="28" t="str">
        <f>HYPERLINK("https://organic.ams.usda.gov/Integrity/Certificate.aspx?cid=57&amp;nopid=3252007054")</f>
        <v>https://organic.ams.usda.gov/Integrity/Certificate.aspx?cid=57&amp;nopid=3252007054</v>
      </c>
    </row>
    <row r="1197">
      <c r="A1197" t="s">
        <v>3</v>
      </c>
      <c r="B1197" s="6" t="s">
        <v>29</v>
      </c>
      <c r="C1197" s="6" t="s">
        <v>76</v>
      </c>
      <c r="D1197" s="6" t="s">
        <v>122</v>
      </c>
      <c r="E1197" s="10" t="s">
        <v>1338</v>
      </c>
      <c r="F1197" s="6" t="s">
        <v>4065</v>
      </c>
      <c r="G1197" s="6" t="s">
        <v>81</v>
      </c>
      <c r="H1197" s="6" t="s">
        <v>6987</v>
      </c>
      <c r="I1197" s="6" t="s">
        <v>9048</v>
      </c>
      <c r="J1197" s="6" t="s">
        <v>9668</v>
      </c>
      <c r="K1197" s="6" t="s">
        <v>10886</v>
      </c>
      <c r="L1197" s="16" t="n">
        <v>43306</v>
      </c>
      <c r="M1197" s="16" t="n">
        <v>45870</v>
      </c>
      <c r="N1197" s="6" t="s">
        <v>10886</v>
      </c>
      <c r="O1197" s="16" t="n">
        <v>43306</v>
      </c>
      <c r="P1197" s="6" t="s">
        <v>11612</v>
      </c>
      <c r="Q1197" s="6" t="s">
        <v>81</v>
      </c>
      <c r="R1197" s="6" t="s">
        <v>12748</v>
      </c>
      <c r="S1197" s="6" t="s">
        <v>10886</v>
      </c>
      <c r="T1197" s="16" t="n">
        <v>43375</v>
      </c>
      <c r="U1197" s="6" t="s">
        <v>13288</v>
      </c>
      <c r="V1197" s="6" t="s">
        <v>81</v>
      </c>
      <c r="W1197" s="6" t="s">
        <v>13977</v>
      </c>
      <c r="X1197" s="6" t="s">
        <v>81</v>
      </c>
      <c r="Y1197" s="21" t="s">
        <v>81</v>
      </c>
      <c r="Z1197" s="6" t="s">
        <v>81</v>
      </c>
      <c r="AA1197" s="6" t="s">
        <v>81</v>
      </c>
      <c r="AB1197" s="6" t="s">
        <v>81</v>
      </c>
      <c r="AC1197" s="6" t="s">
        <v>81</v>
      </c>
      <c r="AD1197" s="21" t="s">
        <v>81</v>
      </c>
      <c r="AE1197" s="6" t="s">
        <v>81</v>
      </c>
      <c r="AF1197" s="6" t="s">
        <v>81</v>
      </c>
      <c r="AG1197" s="6" t="s">
        <v>81</v>
      </c>
      <c r="AH1197" s="6" t="s">
        <v>15766</v>
      </c>
      <c r="AI1197" s="6" t="s">
        <v>81</v>
      </c>
      <c r="AJ1197" s="6" t="s">
        <v>17762</v>
      </c>
      <c r="AK1197" s="6" t="s">
        <v>18380</v>
      </c>
      <c r="AL1197" s="6" t="s">
        <v>18444</v>
      </c>
      <c r="AM1197" s="6" t="s">
        <v>18935</v>
      </c>
      <c r="AN1197" s="6" t="s">
        <v>19639</v>
      </c>
      <c r="AO1197" s="6" t="s">
        <v>19725</v>
      </c>
      <c r="AP1197" s="6" t="s">
        <v>81</v>
      </c>
      <c r="AQ1197" s="6" t="s">
        <v>81</v>
      </c>
      <c r="AR1197" s="6" t="s">
        <v>81</v>
      </c>
      <c r="AS1197" s="6" t="s">
        <v>81</v>
      </c>
      <c r="AT1197" s="6" t="s">
        <v>81</v>
      </c>
      <c r="AU1197" s="6" t="s">
        <v>81</v>
      </c>
      <c r="AV1197" s="6" t="s">
        <v>81</v>
      </c>
      <c r="AW1197" s="6" t="s">
        <v>81</v>
      </c>
      <c r="AX1197" s="6" t="s">
        <v>21491</v>
      </c>
      <c r="AY1197" s="6" t="s">
        <v>81</v>
      </c>
      <c r="AZ1197" s="6" t="s">
        <v>81</v>
      </c>
      <c r="BA1197" s="6" t="s">
        <v>81</v>
      </c>
      <c r="BB1197" s="24" t="n">
        <v>63</v>
      </c>
      <c r="BC1197" s="26"/>
      <c r="BD1197" s="26"/>
      <c r="BE1197" s="26"/>
      <c r="BF1197" s="26" t="s">
        <v>23900</v>
      </c>
      <c r="BG1197" s="26"/>
      <c r="BH1197" s="26"/>
      <c r="BI1197" s="26"/>
      <c r="BJ1197" s="26"/>
      <c r="BK1197" s="26"/>
      <c r="BL1197" s="26"/>
      <c r="BM1197" s="26"/>
      <c r="BN1197" s="26"/>
      <c r="BO1197" s="26"/>
      <c r="BP1197" s="16" t="n">
        <v>45737</v>
      </c>
      <c r="BQ1197" s="28" t="str">
        <f>HYPERLINK("https://organic.ams.usda.gov/Integrity/Certificate.aspx?cid=31&amp;nopid=3928971931")</f>
        <v>https://organic.ams.usda.gov/Integrity/Certificate.aspx?cid=31&amp;nopid=3928971931</v>
      </c>
    </row>
    <row r="1198">
      <c r="A1198" t="s">
        <v>3</v>
      </c>
      <c r="B1198" s="6" t="s">
        <v>15</v>
      </c>
      <c r="C1198" s="6" t="s">
        <v>62</v>
      </c>
      <c r="D1198" s="6" t="s">
        <v>108</v>
      </c>
      <c r="E1198" s="10" t="s">
        <v>1339</v>
      </c>
      <c r="F1198" s="6" t="s">
        <v>4066</v>
      </c>
      <c r="G1198" s="6" t="s">
        <v>5702</v>
      </c>
      <c r="H1198" s="6" t="s">
        <v>6988</v>
      </c>
      <c r="I1198" s="6" t="s">
        <v>8757</v>
      </c>
      <c r="J1198" s="6" t="s">
        <v>9679</v>
      </c>
      <c r="K1198" s="6" t="s">
        <v>10886</v>
      </c>
      <c r="L1198" s="16" t="n">
        <v>39763</v>
      </c>
      <c r="M1198" s="16" t="n">
        <v>46157</v>
      </c>
      <c r="N1198" s="6" t="s">
        <v>10886</v>
      </c>
      <c r="O1198" s="16" t="n">
        <v>39763</v>
      </c>
      <c r="P1198" s="6" t="s">
        <v>11613</v>
      </c>
      <c r="Q1198" s="6" t="s">
        <v>81</v>
      </c>
      <c r="R1198" s="6" t="s">
        <v>81</v>
      </c>
      <c r="S1198" s="6" t="s">
        <v>10886</v>
      </c>
      <c r="T1198" s="16" t="n">
        <v>39763</v>
      </c>
      <c r="U1198" s="6" t="s">
        <v>13569</v>
      </c>
      <c r="V1198" s="6" t="s">
        <v>81</v>
      </c>
      <c r="W1198" s="6" t="s">
        <v>81</v>
      </c>
      <c r="X1198" s="6" t="s">
        <v>81</v>
      </c>
      <c r="Y1198" s="21" t="s">
        <v>81</v>
      </c>
      <c r="Z1198" s="6" t="s">
        <v>81</v>
      </c>
      <c r="AA1198" s="6" t="s">
        <v>81</v>
      </c>
      <c r="AB1198" s="6" t="s">
        <v>81</v>
      </c>
      <c r="AC1198" s="6" t="s">
        <v>81</v>
      </c>
      <c r="AD1198" s="21" t="s">
        <v>81</v>
      </c>
      <c r="AE1198" s="6" t="s">
        <v>81</v>
      </c>
      <c r="AF1198" s="6" t="s">
        <v>81</v>
      </c>
      <c r="AG1198" s="6" t="s">
        <v>81</v>
      </c>
      <c r="AH1198" s="6" t="s">
        <v>15767</v>
      </c>
      <c r="AI1198" s="6" t="s">
        <v>81</v>
      </c>
      <c r="AJ1198" s="6" t="s">
        <v>17924</v>
      </c>
      <c r="AK1198" s="6" t="s">
        <v>18380</v>
      </c>
      <c r="AL1198" s="6" t="s">
        <v>18444</v>
      </c>
      <c r="AM1198" s="6" t="s">
        <v>19114</v>
      </c>
      <c r="AN1198" s="6" t="s">
        <v>81</v>
      </c>
      <c r="AO1198" s="6" t="s">
        <v>81</v>
      </c>
      <c r="AP1198" s="6" t="s">
        <v>15767</v>
      </c>
      <c r="AQ1198" s="6" t="s">
        <v>81</v>
      </c>
      <c r="AR1198" s="6" t="s">
        <v>17924</v>
      </c>
      <c r="AS1198" s="6" t="s">
        <v>18380</v>
      </c>
      <c r="AT1198" s="6" t="s">
        <v>18444</v>
      </c>
      <c r="AU1198" s="6" t="s">
        <v>19114</v>
      </c>
      <c r="AV1198" s="6" t="s">
        <v>81</v>
      </c>
      <c r="AW1198" s="6" t="s">
        <v>81</v>
      </c>
      <c r="AX1198" s="6" t="s">
        <v>21492</v>
      </c>
      <c r="AY1198" s="6" t="s">
        <v>81</v>
      </c>
      <c r="AZ1198" s="6" t="s">
        <v>81</v>
      </c>
      <c r="BA1198" s="6" t="s">
        <v>81</v>
      </c>
      <c r="BB1198" s="24" t="n">
        <v>36</v>
      </c>
      <c r="BC1198" s="26"/>
      <c r="BD1198" s="26"/>
      <c r="BE1198" s="26"/>
      <c r="BF1198" s="26" t="s">
        <v>23900</v>
      </c>
      <c r="BG1198" s="26"/>
      <c r="BH1198" s="26"/>
      <c r="BI1198" s="26"/>
      <c r="BJ1198" s="26"/>
      <c r="BK1198" s="26"/>
      <c r="BL1198" s="26"/>
      <c r="BM1198" s="26"/>
      <c r="BN1198" s="26"/>
      <c r="BO1198" s="26"/>
      <c r="BP1198" s="16" t="n">
        <v>45737</v>
      </c>
      <c r="BQ1198" s="28" t="str">
        <f>HYPERLINK("https://organic.ams.usda.gov/Integrity/Certificate.aspx?cid=58&amp;nopid=1600003744")</f>
        <v>https://organic.ams.usda.gov/Integrity/Certificate.aspx?cid=58&amp;nopid=1600003744</v>
      </c>
    </row>
    <row r="1199">
      <c r="A1199" t="s">
        <v>3</v>
      </c>
      <c r="B1199" s="6" t="s">
        <v>7</v>
      </c>
      <c r="C1199" s="6" t="s">
        <v>54</v>
      </c>
      <c r="D1199" s="6" t="s">
        <v>100</v>
      </c>
      <c r="E1199" s="10" t="s">
        <v>1340</v>
      </c>
      <c r="F1199" s="6" t="s">
        <v>4067</v>
      </c>
      <c r="G1199" s="6" t="s">
        <v>81</v>
      </c>
      <c r="H1199" s="6" t="s">
        <v>6989</v>
      </c>
      <c r="I1199" s="6" t="s">
        <v>8757</v>
      </c>
      <c r="J1199" s="6" t="s">
        <v>9799</v>
      </c>
      <c r="K1199" s="6" t="s">
        <v>10886</v>
      </c>
      <c r="L1199" s="16" t="n">
        <v>44789</v>
      </c>
      <c r="M1199" s="16" t="n">
        <v>45716</v>
      </c>
      <c r="N1199" s="6" t="s">
        <v>10886</v>
      </c>
      <c r="O1199" s="16" t="n">
        <v>44789</v>
      </c>
      <c r="P1199" s="6" t="s">
        <v>10944</v>
      </c>
      <c r="Q1199" s="6" t="s">
        <v>81</v>
      </c>
      <c r="R1199" s="6" t="s">
        <v>81</v>
      </c>
      <c r="S1199" s="6" t="s">
        <v>10886</v>
      </c>
      <c r="T1199" s="16" t="n">
        <v>44804</v>
      </c>
      <c r="U1199" s="6" t="s">
        <v>13169</v>
      </c>
      <c r="V1199" s="6" t="s">
        <v>81</v>
      </c>
      <c r="W1199" s="6" t="s">
        <v>81</v>
      </c>
      <c r="X1199" s="6" t="s">
        <v>81</v>
      </c>
      <c r="Y1199" s="21" t="s">
        <v>81</v>
      </c>
      <c r="Z1199" s="6" t="s">
        <v>81</v>
      </c>
      <c r="AA1199" s="6" t="s">
        <v>81</v>
      </c>
      <c r="AB1199" s="6" t="s">
        <v>81</v>
      </c>
      <c r="AC1199" s="6" t="s">
        <v>81</v>
      </c>
      <c r="AD1199" s="21" t="s">
        <v>81</v>
      </c>
      <c r="AE1199" s="6" t="s">
        <v>81</v>
      </c>
      <c r="AF1199" s="6" t="s">
        <v>81</v>
      </c>
      <c r="AG1199" s="6" t="s">
        <v>81</v>
      </c>
      <c r="AH1199" s="6" t="s">
        <v>15768</v>
      </c>
      <c r="AI1199" s="6" t="s">
        <v>81</v>
      </c>
      <c r="AJ1199" s="6" t="s">
        <v>17619</v>
      </c>
      <c r="AK1199" s="6" t="s">
        <v>17712</v>
      </c>
      <c r="AL1199" s="6" t="s">
        <v>18444</v>
      </c>
      <c r="AM1199" s="6" t="s">
        <v>5908</v>
      </c>
      <c r="AN1199" s="6" t="s">
        <v>19652</v>
      </c>
      <c r="AO1199" s="6" t="s">
        <v>19742</v>
      </c>
      <c r="AP1199" s="6" t="s">
        <v>15768</v>
      </c>
      <c r="AQ1199" s="6" t="s">
        <v>81</v>
      </c>
      <c r="AR1199" s="6" t="s">
        <v>17619</v>
      </c>
      <c r="AS1199" s="6" t="s">
        <v>17712</v>
      </c>
      <c r="AT1199" s="6" t="s">
        <v>18444</v>
      </c>
      <c r="AU1199" s="6" t="s">
        <v>5908</v>
      </c>
      <c r="AV1199" s="6" t="s">
        <v>81</v>
      </c>
      <c r="AW1199" s="6" t="s">
        <v>81</v>
      </c>
      <c r="AX1199" s="6" t="s">
        <v>81</v>
      </c>
      <c r="AY1199" s="6" t="s">
        <v>81</v>
      </c>
      <c r="AZ1199" s="6" t="s">
        <v>81</v>
      </c>
      <c r="BA1199" s="6" t="s">
        <v>81</v>
      </c>
      <c r="BB1199" s="24" t="n">
        <v>85</v>
      </c>
      <c r="BC1199" s="26"/>
      <c r="BD1199" s="26"/>
      <c r="BE1199" s="26"/>
      <c r="BF1199" s="26" t="s">
        <v>23900</v>
      </c>
      <c r="BG1199" s="26"/>
      <c r="BH1199" s="26"/>
      <c r="BI1199" s="26"/>
      <c r="BJ1199" s="26"/>
      <c r="BK1199" s="26"/>
      <c r="BL1199" s="26"/>
      <c r="BM1199" s="26"/>
      <c r="BN1199" s="26"/>
      <c r="BO1199" s="26"/>
      <c r="BP1199" s="16" t="n">
        <v>45595</v>
      </c>
      <c r="BQ1199" s="28" t="str">
        <f>HYPERLINK("https://organic.ams.usda.gov/Integrity/Certificate.aspx?cid=57&amp;nopid=3255814142")</f>
        <v>https://organic.ams.usda.gov/Integrity/Certificate.aspx?cid=57&amp;nopid=3255814142</v>
      </c>
    </row>
    <row r="1200">
      <c r="A1200" t="s">
        <v>3</v>
      </c>
      <c r="B1200" s="6" t="s">
        <v>8</v>
      </c>
      <c r="C1200" s="6" t="s">
        <v>55</v>
      </c>
      <c r="D1200" s="6" t="s">
        <v>101</v>
      </c>
      <c r="E1200" s="10" t="s">
        <v>1341</v>
      </c>
      <c r="F1200" s="6" t="s">
        <v>4068</v>
      </c>
      <c r="G1200" s="6" t="s">
        <v>81</v>
      </c>
      <c r="H1200" s="6" t="s">
        <v>6990</v>
      </c>
      <c r="I1200" s="6" t="s">
        <v>8757</v>
      </c>
      <c r="J1200" s="6" t="s">
        <v>9671</v>
      </c>
      <c r="K1200" s="6" t="s">
        <v>10886</v>
      </c>
      <c r="L1200" s="16" t="n">
        <v>43003</v>
      </c>
      <c r="M1200" s="18" t="s">
        <v>81</v>
      </c>
      <c r="N1200" s="6" t="s">
        <v>10886</v>
      </c>
      <c r="O1200" s="16" t="n">
        <v>43003</v>
      </c>
      <c r="P1200" s="6" t="s">
        <v>11614</v>
      </c>
      <c r="Q1200" s="6" t="s">
        <v>81</v>
      </c>
      <c r="R1200" s="6" t="s">
        <v>81</v>
      </c>
      <c r="S1200" s="6" t="s">
        <v>10886</v>
      </c>
      <c r="T1200" s="16" t="n">
        <v>43003</v>
      </c>
      <c r="U1200" s="6" t="s">
        <v>13229</v>
      </c>
      <c r="V1200" s="6" t="s">
        <v>81</v>
      </c>
      <c r="W1200" s="6" t="s">
        <v>81</v>
      </c>
      <c r="X1200" s="6" t="s">
        <v>81</v>
      </c>
      <c r="Y1200" s="21" t="s">
        <v>81</v>
      </c>
      <c r="Z1200" s="6" t="s">
        <v>81</v>
      </c>
      <c r="AA1200" s="6" t="s">
        <v>81</v>
      </c>
      <c r="AB1200" s="6" t="s">
        <v>81</v>
      </c>
      <c r="AC1200" s="6" t="s">
        <v>81</v>
      </c>
      <c r="AD1200" s="21" t="s">
        <v>81</v>
      </c>
      <c r="AE1200" s="6" t="s">
        <v>81</v>
      </c>
      <c r="AF1200" s="6" t="s">
        <v>81</v>
      </c>
      <c r="AG1200" s="6" t="s">
        <v>81</v>
      </c>
      <c r="AH1200" s="6" t="s">
        <v>15769</v>
      </c>
      <c r="AI1200" s="6" t="s">
        <v>81</v>
      </c>
      <c r="AJ1200" s="6" t="s">
        <v>17418</v>
      </c>
      <c r="AK1200" s="6" t="s">
        <v>18379</v>
      </c>
      <c r="AL1200" s="6" t="s">
        <v>18444</v>
      </c>
      <c r="AM1200" s="6" t="s">
        <v>18575</v>
      </c>
      <c r="AN1200" s="6" t="s">
        <v>19671</v>
      </c>
      <c r="AO1200" s="6" t="s">
        <v>19784</v>
      </c>
      <c r="AP1200" s="6" t="s">
        <v>81</v>
      </c>
      <c r="AQ1200" s="6" t="s">
        <v>81</v>
      </c>
      <c r="AR1200" s="6" t="s">
        <v>81</v>
      </c>
      <c r="AS1200" s="6" t="s">
        <v>81</v>
      </c>
      <c r="AT1200" s="6" t="s">
        <v>81</v>
      </c>
      <c r="AU1200" s="6" t="s">
        <v>81</v>
      </c>
      <c r="AV1200" s="6" t="s">
        <v>81</v>
      </c>
      <c r="AW1200" s="6" t="s">
        <v>81</v>
      </c>
      <c r="AX1200" s="6" t="s">
        <v>81</v>
      </c>
      <c r="AY1200" s="6" t="s">
        <v>81</v>
      </c>
      <c r="AZ1200" s="6" t="s">
        <v>81</v>
      </c>
      <c r="BA1200" s="6" t="s">
        <v>81</v>
      </c>
      <c r="BB1200" s="24" t="n">
        <v>187</v>
      </c>
      <c r="BC1200" s="26"/>
      <c r="BD1200" s="26"/>
      <c r="BE1200" s="26"/>
      <c r="BF1200" s="26"/>
      <c r="BG1200" s="26"/>
      <c r="BH1200" s="26"/>
      <c r="BI1200" s="26"/>
      <c r="BJ1200" s="26"/>
      <c r="BK1200" s="26"/>
      <c r="BL1200" s="26"/>
      <c r="BM1200" s="26"/>
      <c r="BN1200" s="26"/>
      <c r="BO1200" s="26"/>
      <c r="BP1200" s="16" t="n">
        <v>45292</v>
      </c>
      <c r="BQ1200" s="28" t="str">
        <f>HYPERLINK("https://organic.ams.usda.gov/Integrity/Certificate.aspx?cid=45&amp;nopid=9950010007")</f>
        <v>https://organic.ams.usda.gov/Integrity/Certificate.aspx?cid=45&amp;nopid=9950010007</v>
      </c>
    </row>
    <row r="1201">
      <c r="A1201" t="s">
        <v>3</v>
      </c>
      <c r="B1201" s="6" t="s">
        <v>13</v>
      </c>
      <c r="C1201" s="6" t="s">
        <v>60</v>
      </c>
      <c r="D1201" s="6" t="s">
        <v>106</v>
      </c>
      <c r="E1201" s="10" t="s">
        <v>1342</v>
      </c>
      <c r="F1201" s="6" t="s">
        <v>4069</v>
      </c>
      <c r="G1201" s="6" t="s">
        <v>81</v>
      </c>
      <c r="H1201" s="6" t="s">
        <v>6991</v>
      </c>
      <c r="I1201" s="6" t="s">
        <v>8757</v>
      </c>
      <c r="J1201" s="6" t="s">
        <v>9799</v>
      </c>
      <c r="K1201" s="6" t="s">
        <v>10886</v>
      </c>
      <c r="L1201" s="16" t="n">
        <v>42741</v>
      </c>
      <c r="M1201" s="16" t="n">
        <v>45992</v>
      </c>
      <c r="N1201" s="6" t="s">
        <v>10886</v>
      </c>
      <c r="O1201" s="16" t="n">
        <v>42741</v>
      </c>
      <c r="P1201" s="6" t="s">
        <v>11031</v>
      </c>
      <c r="Q1201" s="6" t="s">
        <v>81</v>
      </c>
      <c r="R1201" s="6" t="s">
        <v>12749</v>
      </c>
      <c r="S1201" s="6" t="s">
        <v>10886</v>
      </c>
      <c r="T1201" s="16" t="n">
        <v>42767</v>
      </c>
      <c r="U1201" s="6" t="s">
        <v>13570</v>
      </c>
      <c r="V1201" s="6" t="s">
        <v>81</v>
      </c>
      <c r="W1201" s="6" t="s">
        <v>12749</v>
      </c>
      <c r="X1201" s="6" t="s">
        <v>81</v>
      </c>
      <c r="Y1201" s="21" t="s">
        <v>81</v>
      </c>
      <c r="Z1201" s="6" t="s">
        <v>81</v>
      </c>
      <c r="AA1201" s="6" t="s">
        <v>81</v>
      </c>
      <c r="AB1201" s="6" t="s">
        <v>81</v>
      </c>
      <c r="AC1201" s="6" t="s">
        <v>81</v>
      </c>
      <c r="AD1201" s="21" t="s">
        <v>81</v>
      </c>
      <c r="AE1201" s="6" t="s">
        <v>81</v>
      </c>
      <c r="AF1201" s="6" t="s">
        <v>81</v>
      </c>
      <c r="AG1201" s="6" t="s">
        <v>81</v>
      </c>
      <c r="AH1201" s="6" t="s">
        <v>15770</v>
      </c>
      <c r="AI1201" s="6" t="s">
        <v>81</v>
      </c>
      <c r="AJ1201" s="6" t="s">
        <v>17786</v>
      </c>
      <c r="AK1201" s="6" t="s">
        <v>18378</v>
      </c>
      <c r="AL1201" s="6" t="s">
        <v>18444</v>
      </c>
      <c r="AM1201" s="6" t="s">
        <v>18961</v>
      </c>
      <c r="AN1201" s="6" t="s">
        <v>19673</v>
      </c>
      <c r="AO1201" s="6" t="s">
        <v>19786</v>
      </c>
      <c r="AP1201" s="6" t="s">
        <v>15770</v>
      </c>
      <c r="AQ1201" s="6" t="s">
        <v>81</v>
      </c>
      <c r="AR1201" s="6" t="s">
        <v>17786</v>
      </c>
      <c r="AS1201" s="6" t="s">
        <v>18378</v>
      </c>
      <c r="AT1201" s="6" t="s">
        <v>18444</v>
      </c>
      <c r="AU1201" s="6" t="s">
        <v>18961</v>
      </c>
      <c r="AV1201" s="6" t="s">
        <v>81</v>
      </c>
      <c r="AW1201" s="6" t="s">
        <v>81</v>
      </c>
      <c r="AX1201" s="6" t="s">
        <v>21493</v>
      </c>
      <c r="AY1201" s="6" t="s">
        <v>81</v>
      </c>
      <c r="AZ1201" s="6" t="s">
        <v>81</v>
      </c>
      <c r="BA1201" s="6" t="s">
        <v>81</v>
      </c>
      <c r="BB1201" s="24" t="n">
        <v>73</v>
      </c>
      <c r="BC1201" s="26"/>
      <c r="BD1201" s="26"/>
      <c r="BE1201" s="26"/>
      <c r="BF1201" s="26" t="s">
        <v>23900</v>
      </c>
      <c r="BG1201" s="26"/>
      <c r="BH1201" s="26"/>
      <c r="BI1201" s="26"/>
      <c r="BJ1201" s="26"/>
      <c r="BK1201" s="26"/>
      <c r="BL1201" s="26"/>
      <c r="BM1201" s="26"/>
      <c r="BN1201" s="26"/>
      <c r="BO1201" s="26"/>
      <c r="BP1201" s="16" t="n">
        <v>45663</v>
      </c>
      <c r="BQ1201" s="28" t="str">
        <f>HYPERLINK("https://organic.ams.usda.gov/Integrity/Certificate.aspx?cid=72&amp;nopid=5870002600")</f>
        <v>https://organic.ams.usda.gov/Integrity/Certificate.aspx?cid=72&amp;nopid=5870002600</v>
      </c>
    </row>
    <row r="1202">
      <c r="A1202" t="s">
        <v>3</v>
      </c>
      <c r="B1202" s="6" t="s">
        <v>7</v>
      </c>
      <c r="C1202" s="6" t="s">
        <v>54</v>
      </c>
      <c r="D1202" s="6" t="s">
        <v>100</v>
      </c>
      <c r="E1202" s="10" t="s">
        <v>1343</v>
      </c>
      <c r="F1202" s="6" t="s">
        <v>4070</v>
      </c>
      <c r="G1202" s="6" t="s">
        <v>81</v>
      </c>
      <c r="H1202" s="6" t="s">
        <v>6992</v>
      </c>
      <c r="I1202" s="6" t="s">
        <v>8757</v>
      </c>
      <c r="J1202" s="6" t="s">
        <v>9803</v>
      </c>
      <c r="K1202" s="6" t="s">
        <v>10886</v>
      </c>
      <c r="L1202" s="16" t="n">
        <v>44523</v>
      </c>
      <c r="M1202" s="16" t="n">
        <v>45716</v>
      </c>
      <c r="N1202" s="6" t="s">
        <v>10886</v>
      </c>
      <c r="O1202" s="16" t="n">
        <v>44523</v>
      </c>
      <c r="P1202" s="6" t="s">
        <v>10944</v>
      </c>
      <c r="Q1202" s="6" t="s">
        <v>81</v>
      </c>
      <c r="R1202" s="6" t="s">
        <v>81</v>
      </c>
      <c r="S1202" s="6" t="s">
        <v>10886</v>
      </c>
      <c r="T1202" s="16" t="n">
        <v>44552</v>
      </c>
      <c r="U1202" s="6" t="s">
        <v>13169</v>
      </c>
      <c r="V1202" s="6" t="s">
        <v>81</v>
      </c>
      <c r="W1202" s="6" t="s">
        <v>81</v>
      </c>
      <c r="X1202" s="6" t="s">
        <v>81</v>
      </c>
      <c r="Y1202" s="21" t="s">
        <v>81</v>
      </c>
      <c r="Z1202" s="6" t="s">
        <v>81</v>
      </c>
      <c r="AA1202" s="6" t="s">
        <v>81</v>
      </c>
      <c r="AB1202" s="6" t="s">
        <v>81</v>
      </c>
      <c r="AC1202" s="6" t="s">
        <v>81</v>
      </c>
      <c r="AD1202" s="21" t="s">
        <v>81</v>
      </c>
      <c r="AE1202" s="6" t="s">
        <v>81</v>
      </c>
      <c r="AF1202" s="6" t="s">
        <v>81</v>
      </c>
      <c r="AG1202" s="6" t="s">
        <v>81</v>
      </c>
      <c r="AH1202" s="6" t="s">
        <v>15771</v>
      </c>
      <c r="AI1202" s="6" t="s">
        <v>81</v>
      </c>
      <c r="AJ1202" s="6" t="s">
        <v>17581</v>
      </c>
      <c r="AK1202" s="6" t="s">
        <v>17712</v>
      </c>
      <c r="AL1202" s="6" t="s">
        <v>18444</v>
      </c>
      <c r="AM1202" s="6" t="s">
        <v>7469</v>
      </c>
      <c r="AN1202" s="6" t="s">
        <v>19670</v>
      </c>
      <c r="AO1202" s="6" t="s">
        <v>19782</v>
      </c>
      <c r="AP1202" s="6" t="s">
        <v>15771</v>
      </c>
      <c r="AQ1202" s="6" t="s">
        <v>81</v>
      </c>
      <c r="AR1202" s="6" t="s">
        <v>17581</v>
      </c>
      <c r="AS1202" s="6" t="s">
        <v>17712</v>
      </c>
      <c r="AT1202" s="6" t="s">
        <v>18444</v>
      </c>
      <c r="AU1202" s="6" t="s">
        <v>7469</v>
      </c>
      <c r="AV1202" s="6" t="s">
        <v>81</v>
      </c>
      <c r="AW1202" s="6" t="s">
        <v>81</v>
      </c>
      <c r="AX1202" s="6" t="s">
        <v>81</v>
      </c>
      <c r="AY1202" s="6" t="s">
        <v>81</v>
      </c>
      <c r="AZ1202" s="6" t="s">
        <v>81</v>
      </c>
      <c r="BA1202" s="6" t="s">
        <v>81</v>
      </c>
      <c r="BB1202" s="24" t="n">
        <v>50</v>
      </c>
      <c r="BC1202" s="26"/>
      <c r="BD1202" s="26"/>
      <c r="BE1202" s="26"/>
      <c r="BF1202" s="26" t="s">
        <v>23900</v>
      </c>
      <c r="BG1202" s="26"/>
      <c r="BH1202" s="26"/>
      <c r="BI1202" s="26"/>
      <c r="BJ1202" s="26"/>
      <c r="BK1202" s="26"/>
      <c r="BL1202" s="26"/>
      <c r="BM1202" s="26"/>
      <c r="BN1202" s="26"/>
      <c r="BO1202" s="26"/>
      <c r="BP1202" s="16" t="n">
        <v>45715</v>
      </c>
      <c r="BQ1202" s="28" t="str">
        <f>HYPERLINK("https://organic.ams.usda.gov/Integrity/Certificate.aspx?cid=57&amp;nopid=3252021085")</f>
        <v>https://organic.ams.usda.gov/Integrity/Certificate.aspx?cid=57&amp;nopid=3252021085</v>
      </c>
    </row>
    <row r="1203">
      <c r="A1203" t="s">
        <v>3</v>
      </c>
      <c r="B1203" s="6" t="s">
        <v>9</v>
      </c>
      <c r="C1203" s="6" t="s">
        <v>56</v>
      </c>
      <c r="D1203" s="6" t="s">
        <v>102</v>
      </c>
      <c r="E1203" s="10" t="s">
        <v>1344</v>
      </c>
      <c r="F1203" s="6" t="s">
        <v>4071</v>
      </c>
      <c r="G1203" s="6" t="s">
        <v>81</v>
      </c>
      <c r="H1203" s="6" t="s">
        <v>6993</v>
      </c>
      <c r="I1203" s="6" t="s">
        <v>8757</v>
      </c>
      <c r="J1203" s="6" t="s">
        <v>9666</v>
      </c>
      <c r="K1203" s="6" t="s">
        <v>10886</v>
      </c>
      <c r="L1203" s="16" t="n">
        <v>42003</v>
      </c>
      <c r="M1203" s="16" t="n">
        <v>46113</v>
      </c>
      <c r="N1203" s="6" t="s">
        <v>10886</v>
      </c>
      <c r="O1203" s="16" t="n">
        <v>42003</v>
      </c>
      <c r="P1203" s="6" t="s">
        <v>10907</v>
      </c>
      <c r="Q1203" s="6" t="s">
        <v>81</v>
      </c>
      <c r="R1203" s="6" t="s">
        <v>12750</v>
      </c>
      <c r="S1203" s="6" t="s">
        <v>10886</v>
      </c>
      <c r="T1203" s="16" t="n">
        <v>42003</v>
      </c>
      <c r="U1203" s="6" t="s">
        <v>13168</v>
      </c>
      <c r="V1203" s="6" t="s">
        <v>81</v>
      </c>
      <c r="W1203" s="6" t="s">
        <v>12750</v>
      </c>
      <c r="X1203" s="6" t="s">
        <v>81</v>
      </c>
      <c r="Y1203" s="21" t="s">
        <v>81</v>
      </c>
      <c r="Z1203" s="6" t="s">
        <v>81</v>
      </c>
      <c r="AA1203" s="6" t="s">
        <v>81</v>
      </c>
      <c r="AB1203" s="6" t="s">
        <v>81</v>
      </c>
      <c r="AC1203" s="6" t="s">
        <v>81</v>
      </c>
      <c r="AD1203" s="21" t="s">
        <v>81</v>
      </c>
      <c r="AE1203" s="6" t="s">
        <v>81</v>
      </c>
      <c r="AF1203" s="6" t="s">
        <v>81</v>
      </c>
      <c r="AG1203" s="6" t="s">
        <v>81</v>
      </c>
      <c r="AH1203" s="6" t="s">
        <v>15772</v>
      </c>
      <c r="AI1203" s="6" t="s">
        <v>81</v>
      </c>
      <c r="AJ1203" s="6" t="s">
        <v>17635</v>
      </c>
      <c r="AK1203" s="6" t="s">
        <v>18379</v>
      </c>
      <c r="AL1203" s="6" t="s">
        <v>18444</v>
      </c>
      <c r="AM1203" s="6" t="s">
        <v>18804</v>
      </c>
      <c r="AN1203" s="6" t="s">
        <v>19637</v>
      </c>
      <c r="AO1203" s="6" t="s">
        <v>19723</v>
      </c>
      <c r="AP1203" s="6" t="s">
        <v>81</v>
      </c>
      <c r="AQ1203" s="6" t="s">
        <v>81</v>
      </c>
      <c r="AR1203" s="6" t="s">
        <v>81</v>
      </c>
      <c r="AS1203" s="6" t="s">
        <v>81</v>
      </c>
      <c r="AT1203" s="6" t="s">
        <v>81</v>
      </c>
      <c r="AU1203" s="6" t="s">
        <v>81</v>
      </c>
      <c r="AV1203" s="6" t="s">
        <v>81</v>
      </c>
      <c r="AW1203" s="6" t="s">
        <v>81</v>
      </c>
      <c r="AX1203" s="6" t="s">
        <v>81</v>
      </c>
      <c r="AY1203" s="6" t="s">
        <v>81</v>
      </c>
      <c r="AZ1203" s="6" t="s">
        <v>81</v>
      </c>
      <c r="BA1203" s="6" t="s">
        <v>81</v>
      </c>
      <c r="BB1203" s="24" t="n">
        <v>116</v>
      </c>
      <c r="BC1203" s="26"/>
      <c r="BD1203" s="26"/>
      <c r="BE1203" s="26"/>
      <c r="BF1203" s="26"/>
      <c r="BG1203" s="26"/>
      <c r="BH1203" s="26"/>
      <c r="BI1203" s="26"/>
      <c r="BJ1203" s="26"/>
      <c r="BK1203" s="26"/>
      <c r="BL1203" s="26"/>
      <c r="BM1203" s="26"/>
      <c r="BN1203" s="26"/>
      <c r="BO1203" s="26"/>
      <c r="BP1203" s="16" t="n">
        <v>45738</v>
      </c>
      <c r="BQ1203" s="28" t="str">
        <f>HYPERLINK("https://organic.ams.usda.gov/Integrity/Certificate.aspx?cid=52&amp;nopid=8431400909")</f>
        <v>https://organic.ams.usda.gov/Integrity/Certificate.aspx?cid=52&amp;nopid=8431400909</v>
      </c>
    </row>
    <row r="1204">
      <c r="A1204" t="s">
        <v>3</v>
      </c>
      <c r="B1204" s="6" t="s">
        <v>7</v>
      </c>
      <c r="C1204" s="6" t="s">
        <v>54</v>
      </c>
      <c r="D1204" s="6" t="s">
        <v>100</v>
      </c>
      <c r="E1204" s="10" t="s">
        <v>1345</v>
      </c>
      <c r="F1204" s="6" t="s">
        <v>4072</v>
      </c>
      <c r="G1204" s="6" t="s">
        <v>5703</v>
      </c>
      <c r="H1204" s="6" t="s">
        <v>6994</v>
      </c>
      <c r="I1204" s="6" t="s">
        <v>9049</v>
      </c>
      <c r="J1204" s="6" t="s">
        <v>10087</v>
      </c>
      <c r="K1204" s="6" t="s">
        <v>10886</v>
      </c>
      <c r="L1204" s="16" t="n">
        <v>42480</v>
      </c>
      <c r="M1204" s="16" t="n">
        <v>45716</v>
      </c>
      <c r="N1204" s="6" t="s">
        <v>10886</v>
      </c>
      <c r="O1204" s="16" t="n">
        <v>42480</v>
      </c>
      <c r="P1204" s="6" t="s">
        <v>10993</v>
      </c>
      <c r="Q1204" s="6" t="s">
        <v>81</v>
      </c>
      <c r="R1204" s="6" t="s">
        <v>81</v>
      </c>
      <c r="S1204" s="6" t="s">
        <v>10886</v>
      </c>
      <c r="T1204" s="16" t="n">
        <v>42480</v>
      </c>
      <c r="U1204" s="6" t="s">
        <v>13160</v>
      </c>
      <c r="V1204" s="6" t="s">
        <v>81</v>
      </c>
      <c r="W1204" s="6" t="s">
        <v>81</v>
      </c>
      <c r="X1204" s="6" t="s">
        <v>81</v>
      </c>
      <c r="Y1204" s="21" t="s">
        <v>81</v>
      </c>
      <c r="Z1204" s="6" t="s">
        <v>81</v>
      </c>
      <c r="AA1204" s="6" t="s">
        <v>81</v>
      </c>
      <c r="AB1204" s="6" t="s">
        <v>81</v>
      </c>
      <c r="AC1204" s="6" t="s">
        <v>81</v>
      </c>
      <c r="AD1204" s="21" t="s">
        <v>81</v>
      </c>
      <c r="AE1204" s="6" t="s">
        <v>81</v>
      </c>
      <c r="AF1204" s="6" t="s">
        <v>81</v>
      </c>
      <c r="AG1204" s="6" t="s">
        <v>81</v>
      </c>
      <c r="AH1204" s="6" t="s">
        <v>15773</v>
      </c>
      <c r="AI1204" s="6" t="s">
        <v>81</v>
      </c>
      <c r="AJ1204" s="6" t="s">
        <v>17925</v>
      </c>
      <c r="AK1204" s="6" t="s">
        <v>17712</v>
      </c>
      <c r="AL1204" s="6" t="s">
        <v>18444</v>
      </c>
      <c r="AM1204" s="6" t="s">
        <v>19115</v>
      </c>
      <c r="AN1204" s="6" t="s">
        <v>19645</v>
      </c>
      <c r="AO1204" s="6" t="s">
        <v>19770</v>
      </c>
      <c r="AP1204" s="6" t="s">
        <v>15773</v>
      </c>
      <c r="AQ1204" s="6" t="s">
        <v>81</v>
      </c>
      <c r="AR1204" s="6" t="s">
        <v>17925</v>
      </c>
      <c r="AS1204" s="6" t="s">
        <v>17712</v>
      </c>
      <c r="AT1204" s="6" t="s">
        <v>18444</v>
      </c>
      <c r="AU1204" s="6" t="s">
        <v>19115</v>
      </c>
      <c r="AV1204" s="6" t="s">
        <v>81</v>
      </c>
      <c r="AW1204" s="6" t="s">
        <v>81</v>
      </c>
      <c r="AX1204" s="6" t="s">
        <v>21494</v>
      </c>
      <c r="AY1204" s="6" t="s">
        <v>81</v>
      </c>
      <c r="AZ1204" s="6" t="s">
        <v>81</v>
      </c>
      <c r="BA1204" s="6" t="s">
        <v>81</v>
      </c>
      <c r="BB1204" s="24" t="n">
        <v>1137</v>
      </c>
      <c r="BC1204" s="26"/>
      <c r="BD1204" s="26"/>
      <c r="BE1204" s="26"/>
      <c r="BF1204" s="26" t="s">
        <v>23900</v>
      </c>
      <c r="BG1204" s="26"/>
      <c r="BH1204" s="26"/>
      <c r="BI1204" s="26"/>
      <c r="BJ1204" s="26"/>
      <c r="BK1204" s="26"/>
      <c r="BL1204" s="26"/>
      <c r="BM1204" s="26"/>
      <c r="BN1204" s="26"/>
      <c r="BO1204" s="26"/>
      <c r="BP1204" s="16" t="n">
        <v>45595</v>
      </c>
      <c r="BQ1204" s="28" t="str">
        <f>HYPERLINK("https://organic.ams.usda.gov/Integrity/Certificate.aspx?cid=57&amp;nopid=3252016008")</f>
        <v>https://organic.ams.usda.gov/Integrity/Certificate.aspx?cid=57&amp;nopid=3252016008</v>
      </c>
    </row>
    <row r="1205">
      <c r="A1205" t="s">
        <v>3</v>
      </c>
      <c r="B1205" s="6" t="s">
        <v>29</v>
      </c>
      <c r="C1205" s="6" t="s">
        <v>76</v>
      </c>
      <c r="D1205" s="6" t="s">
        <v>122</v>
      </c>
      <c r="E1205" s="10" t="s">
        <v>1346</v>
      </c>
      <c r="F1205" s="6" t="s">
        <v>4073</v>
      </c>
      <c r="G1205" s="6" t="s">
        <v>81</v>
      </c>
      <c r="H1205" s="6" t="s">
        <v>6995</v>
      </c>
      <c r="I1205" s="6" t="s">
        <v>9050</v>
      </c>
      <c r="J1205" s="6" t="s">
        <v>10253</v>
      </c>
      <c r="K1205" s="6" t="s">
        <v>10886</v>
      </c>
      <c r="L1205" s="16" t="n">
        <v>37926</v>
      </c>
      <c r="M1205" s="16" t="n">
        <v>45870</v>
      </c>
      <c r="N1205" s="6" t="s">
        <v>10886</v>
      </c>
      <c r="O1205" s="16" t="n">
        <v>37926</v>
      </c>
      <c r="P1205" s="6" t="s">
        <v>10910</v>
      </c>
      <c r="Q1205" s="6" t="s">
        <v>81</v>
      </c>
      <c r="R1205" s="6" t="s">
        <v>12751</v>
      </c>
      <c r="S1205" s="6" t="s">
        <v>10886</v>
      </c>
      <c r="T1205" s="16" t="n">
        <v>37926</v>
      </c>
      <c r="U1205" s="6" t="s">
        <v>13212</v>
      </c>
      <c r="V1205" s="6" t="s">
        <v>81</v>
      </c>
      <c r="W1205" s="6" t="s">
        <v>12751</v>
      </c>
      <c r="X1205" s="6" t="s">
        <v>81</v>
      </c>
      <c r="Y1205" s="21" t="s">
        <v>81</v>
      </c>
      <c r="Z1205" s="6" t="s">
        <v>81</v>
      </c>
      <c r="AA1205" s="6" t="s">
        <v>81</v>
      </c>
      <c r="AB1205" s="6" t="s">
        <v>81</v>
      </c>
      <c r="AC1205" s="6" t="s">
        <v>81</v>
      </c>
      <c r="AD1205" s="21" t="s">
        <v>81</v>
      </c>
      <c r="AE1205" s="6" t="s">
        <v>81</v>
      </c>
      <c r="AF1205" s="6" t="s">
        <v>81</v>
      </c>
      <c r="AG1205" s="6" t="s">
        <v>81</v>
      </c>
      <c r="AH1205" s="6" t="s">
        <v>15774</v>
      </c>
      <c r="AI1205" s="6" t="s">
        <v>81</v>
      </c>
      <c r="AJ1205" s="6" t="s">
        <v>17926</v>
      </c>
      <c r="AK1205" s="6" t="s">
        <v>18377</v>
      </c>
      <c r="AL1205" s="6" t="s">
        <v>18444</v>
      </c>
      <c r="AM1205" s="6" t="s">
        <v>19116</v>
      </c>
      <c r="AN1205" s="6" t="s">
        <v>7195</v>
      </c>
      <c r="AO1205" s="6" t="s">
        <v>19737</v>
      </c>
      <c r="AP1205" s="6" t="s">
        <v>81</v>
      </c>
      <c r="AQ1205" s="6" t="s">
        <v>81</v>
      </c>
      <c r="AR1205" s="6" t="s">
        <v>81</v>
      </c>
      <c r="AS1205" s="6" t="s">
        <v>81</v>
      </c>
      <c r="AT1205" s="6" t="s">
        <v>81</v>
      </c>
      <c r="AU1205" s="6" t="s">
        <v>81</v>
      </c>
      <c r="AV1205" s="6" t="s">
        <v>81</v>
      </c>
      <c r="AW1205" s="6" t="s">
        <v>81</v>
      </c>
      <c r="AX1205" s="6" t="s">
        <v>21495</v>
      </c>
      <c r="AY1205" s="6" t="s">
        <v>23003</v>
      </c>
      <c r="AZ1205" s="6" t="s">
        <v>81</v>
      </c>
      <c r="BA1205" s="6" t="s">
        <v>81</v>
      </c>
      <c r="BB1205" s="24" t="n">
        <v>444</v>
      </c>
      <c r="BC1205" s="26"/>
      <c r="BD1205" s="26"/>
      <c r="BE1205" s="26"/>
      <c r="BF1205" s="26" t="s">
        <v>23900</v>
      </c>
      <c r="BG1205" s="26"/>
      <c r="BH1205" s="26"/>
      <c r="BI1205" s="26"/>
      <c r="BJ1205" s="26"/>
      <c r="BK1205" s="26"/>
      <c r="BL1205" s="26"/>
      <c r="BM1205" s="26"/>
      <c r="BN1205" s="26"/>
      <c r="BO1205" s="26"/>
      <c r="BP1205" s="16" t="n">
        <v>45737</v>
      </c>
      <c r="BQ1205" s="28" t="str">
        <f>HYPERLINK("https://organic.ams.usda.gov/Integrity/Certificate.aspx?cid=31&amp;nopid=3920897317")</f>
        <v>https://organic.ams.usda.gov/Integrity/Certificate.aspx?cid=31&amp;nopid=3920897317</v>
      </c>
    </row>
    <row r="1206">
      <c r="A1206" t="s">
        <v>3</v>
      </c>
      <c r="B1206" s="6" t="s">
        <v>30</v>
      </c>
      <c r="C1206" s="6" t="s">
        <v>77</v>
      </c>
      <c r="D1206" s="6" t="s">
        <v>123</v>
      </c>
      <c r="E1206" s="10" t="s">
        <v>1347</v>
      </c>
      <c r="F1206" s="6" t="s">
        <v>4074</v>
      </c>
      <c r="G1206" s="6" t="s">
        <v>81</v>
      </c>
      <c r="H1206" s="6" t="s">
        <v>6996</v>
      </c>
      <c r="I1206" s="6" t="s">
        <v>81</v>
      </c>
      <c r="J1206" s="6" t="s">
        <v>81</v>
      </c>
      <c r="K1206" s="6" t="s">
        <v>10886</v>
      </c>
      <c r="L1206" s="16" t="n">
        <v>44365</v>
      </c>
      <c r="M1206" s="16" t="n">
        <v>45747</v>
      </c>
      <c r="N1206" s="6" t="s">
        <v>10886</v>
      </c>
      <c r="O1206" s="16" t="n">
        <v>44365</v>
      </c>
      <c r="P1206" s="6" t="s">
        <v>11615</v>
      </c>
      <c r="Q1206" s="6" t="s">
        <v>81</v>
      </c>
      <c r="R1206" s="6" t="s">
        <v>81</v>
      </c>
      <c r="S1206" s="6" t="s">
        <v>10886</v>
      </c>
      <c r="T1206" s="16" t="n">
        <v>44365</v>
      </c>
      <c r="U1206" s="6" t="s">
        <v>13571</v>
      </c>
      <c r="V1206" s="6" t="s">
        <v>81</v>
      </c>
      <c r="W1206" s="6" t="s">
        <v>81</v>
      </c>
      <c r="X1206" s="6" t="s">
        <v>81</v>
      </c>
      <c r="Y1206" s="21" t="s">
        <v>81</v>
      </c>
      <c r="Z1206" s="6" t="s">
        <v>81</v>
      </c>
      <c r="AA1206" s="6" t="s">
        <v>81</v>
      </c>
      <c r="AB1206" s="6" t="s">
        <v>81</v>
      </c>
      <c r="AC1206" s="6" t="s">
        <v>81</v>
      </c>
      <c r="AD1206" s="21" t="s">
        <v>81</v>
      </c>
      <c r="AE1206" s="6" t="s">
        <v>81</v>
      </c>
      <c r="AF1206" s="6" t="s">
        <v>81</v>
      </c>
      <c r="AG1206" s="6" t="s">
        <v>81</v>
      </c>
      <c r="AH1206" s="6" t="s">
        <v>15775</v>
      </c>
      <c r="AI1206" s="6" t="s">
        <v>81</v>
      </c>
      <c r="AJ1206" s="6" t="s">
        <v>17927</v>
      </c>
      <c r="AK1206" s="6" t="s">
        <v>17712</v>
      </c>
      <c r="AL1206" s="6" t="s">
        <v>18444</v>
      </c>
      <c r="AM1206" s="6" t="s">
        <v>18562</v>
      </c>
      <c r="AN1206" s="6" t="s">
        <v>19670</v>
      </c>
      <c r="AO1206" s="6" t="s">
        <v>19782</v>
      </c>
      <c r="AP1206" s="6" t="s">
        <v>15775</v>
      </c>
      <c r="AQ1206" s="6" t="s">
        <v>81</v>
      </c>
      <c r="AR1206" s="6" t="s">
        <v>17927</v>
      </c>
      <c r="AS1206" s="6" t="s">
        <v>17712</v>
      </c>
      <c r="AT1206" s="6" t="s">
        <v>18444</v>
      </c>
      <c r="AU1206" s="6" t="s">
        <v>18562</v>
      </c>
      <c r="AV1206" s="6" t="s">
        <v>81</v>
      </c>
      <c r="AW1206" s="6" t="s">
        <v>81</v>
      </c>
      <c r="AX1206" s="6" t="s">
        <v>81</v>
      </c>
      <c r="AY1206" s="6" t="s">
        <v>81</v>
      </c>
      <c r="AZ1206" s="6" t="s">
        <v>81</v>
      </c>
      <c r="BA1206" s="6" t="s">
        <v>81</v>
      </c>
      <c r="BB1206" s="24" t="n">
        <v>88</v>
      </c>
      <c r="BC1206" s="26"/>
      <c r="BD1206" s="26"/>
      <c r="BE1206" s="26"/>
      <c r="BF1206" s="26"/>
      <c r="BG1206" s="26"/>
      <c r="BH1206" s="26"/>
      <c r="BI1206" s="26"/>
      <c r="BJ1206" s="26"/>
      <c r="BK1206" s="26"/>
      <c r="BL1206" s="26"/>
      <c r="BM1206" s="26"/>
      <c r="BN1206" s="26"/>
      <c r="BO1206" s="26"/>
      <c r="BP1206" s="16" t="n">
        <v>45565</v>
      </c>
      <c r="BQ1206" s="28" t="str">
        <f>HYPERLINK("https://organic.ams.usda.gov/Integrity/Certificate.aspx?cid=70&amp;nopid=6432117560")</f>
        <v>https://organic.ams.usda.gov/Integrity/Certificate.aspx?cid=70&amp;nopid=6432117560</v>
      </c>
    </row>
    <row r="1207">
      <c r="A1207" t="s">
        <v>3</v>
      </c>
      <c r="B1207" s="6" t="s">
        <v>7</v>
      </c>
      <c r="C1207" s="6" t="s">
        <v>54</v>
      </c>
      <c r="D1207" s="6" t="s">
        <v>100</v>
      </c>
      <c r="E1207" s="10" t="s">
        <v>1348</v>
      </c>
      <c r="F1207" s="6" t="s">
        <v>4075</v>
      </c>
      <c r="G1207" s="6" t="s">
        <v>81</v>
      </c>
      <c r="H1207" s="6" t="s">
        <v>6997</v>
      </c>
      <c r="I1207" s="6" t="s">
        <v>8522</v>
      </c>
      <c r="J1207" s="6" t="s">
        <v>9727</v>
      </c>
      <c r="K1207" s="6" t="s">
        <v>10886</v>
      </c>
      <c r="L1207" s="16" t="n">
        <v>42584</v>
      </c>
      <c r="M1207" s="16" t="n">
        <v>45716</v>
      </c>
      <c r="N1207" s="6" t="s">
        <v>10886</v>
      </c>
      <c r="O1207" s="16" t="n">
        <v>42584</v>
      </c>
      <c r="P1207" s="6" t="s">
        <v>10944</v>
      </c>
      <c r="Q1207" s="6" t="s">
        <v>81</v>
      </c>
      <c r="R1207" s="6" t="s">
        <v>81</v>
      </c>
      <c r="S1207" s="6" t="s">
        <v>10886</v>
      </c>
      <c r="T1207" s="16" t="n">
        <v>42662</v>
      </c>
      <c r="U1207" s="6" t="s">
        <v>13169</v>
      </c>
      <c r="V1207" s="6" t="s">
        <v>81</v>
      </c>
      <c r="W1207" s="6" t="s">
        <v>81</v>
      </c>
      <c r="X1207" s="6" t="s">
        <v>81</v>
      </c>
      <c r="Y1207" s="21" t="s">
        <v>81</v>
      </c>
      <c r="Z1207" s="6" t="s">
        <v>81</v>
      </c>
      <c r="AA1207" s="6" t="s">
        <v>81</v>
      </c>
      <c r="AB1207" s="6" t="s">
        <v>81</v>
      </c>
      <c r="AC1207" s="6" t="s">
        <v>81</v>
      </c>
      <c r="AD1207" s="21" t="s">
        <v>81</v>
      </c>
      <c r="AE1207" s="6" t="s">
        <v>81</v>
      </c>
      <c r="AF1207" s="6" t="s">
        <v>81</v>
      </c>
      <c r="AG1207" s="6" t="s">
        <v>81</v>
      </c>
      <c r="AH1207" s="6" t="s">
        <v>15776</v>
      </c>
      <c r="AI1207" s="6" t="s">
        <v>81</v>
      </c>
      <c r="AJ1207" s="6" t="s">
        <v>17406</v>
      </c>
      <c r="AK1207" s="6" t="s">
        <v>17712</v>
      </c>
      <c r="AL1207" s="6" t="s">
        <v>18444</v>
      </c>
      <c r="AM1207" s="6" t="s">
        <v>18562</v>
      </c>
      <c r="AN1207" s="6" t="s">
        <v>19657</v>
      </c>
      <c r="AO1207" s="6" t="s">
        <v>19751</v>
      </c>
      <c r="AP1207" s="6" t="s">
        <v>15776</v>
      </c>
      <c r="AQ1207" s="6" t="s">
        <v>81</v>
      </c>
      <c r="AR1207" s="6" t="s">
        <v>17406</v>
      </c>
      <c r="AS1207" s="6" t="s">
        <v>17712</v>
      </c>
      <c r="AT1207" s="6" t="s">
        <v>18444</v>
      </c>
      <c r="AU1207" s="6" t="s">
        <v>18562</v>
      </c>
      <c r="AV1207" s="6" t="s">
        <v>81</v>
      </c>
      <c r="AW1207" s="6" t="s">
        <v>81</v>
      </c>
      <c r="AX1207" s="6" t="s">
        <v>81</v>
      </c>
      <c r="AY1207" s="6" t="s">
        <v>81</v>
      </c>
      <c r="AZ1207" s="6" t="s">
        <v>81</v>
      </c>
      <c r="BA1207" s="6" t="s">
        <v>81</v>
      </c>
      <c r="BB1207" s="24" t="n">
        <v>88</v>
      </c>
      <c r="BC1207" s="26"/>
      <c r="BD1207" s="26"/>
      <c r="BE1207" s="26"/>
      <c r="BF1207" s="26" t="s">
        <v>23900</v>
      </c>
      <c r="BG1207" s="26"/>
      <c r="BH1207" s="26"/>
      <c r="BI1207" s="26"/>
      <c r="BJ1207" s="26"/>
      <c r="BK1207" s="26"/>
      <c r="BL1207" s="26"/>
      <c r="BM1207" s="26"/>
      <c r="BN1207" s="26"/>
      <c r="BO1207" s="26"/>
      <c r="BP1207" s="16" t="n">
        <v>45595</v>
      </c>
      <c r="BQ1207" s="28" t="str">
        <f>HYPERLINK("https://organic.ams.usda.gov/Integrity/Certificate.aspx?cid=57&amp;nopid=3252016052")</f>
        <v>https://organic.ams.usda.gov/Integrity/Certificate.aspx?cid=57&amp;nopid=3252016052</v>
      </c>
    </row>
    <row r="1208">
      <c r="A1208" t="s">
        <v>3</v>
      </c>
      <c r="B1208" s="6" t="s">
        <v>8</v>
      </c>
      <c r="C1208" s="6" t="s">
        <v>55</v>
      </c>
      <c r="D1208" s="6" t="s">
        <v>101</v>
      </c>
      <c r="E1208" s="10" t="s">
        <v>1349</v>
      </c>
      <c r="F1208" s="6" t="s">
        <v>4076</v>
      </c>
      <c r="G1208" s="6" t="s">
        <v>81</v>
      </c>
      <c r="H1208" s="6" t="s">
        <v>6998</v>
      </c>
      <c r="I1208" s="6" t="s">
        <v>81</v>
      </c>
      <c r="J1208" s="6" t="s">
        <v>81</v>
      </c>
      <c r="K1208" s="6" t="s">
        <v>10886</v>
      </c>
      <c r="L1208" s="16" t="n">
        <v>44642</v>
      </c>
      <c r="M1208" s="18" t="s">
        <v>81</v>
      </c>
      <c r="N1208" s="6" t="s">
        <v>81</v>
      </c>
      <c r="O1208" s="21" t="s">
        <v>81</v>
      </c>
      <c r="P1208" s="6" t="s">
        <v>81</v>
      </c>
      <c r="Q1208" s="6" t="s">
        <v>81</v>
      </c>
      <c r="R1208" s="6" t="s">
        <v>81</v>
      </c>
      <c r="S1208" s="6" t="s">
        <v>10886</v>
      </c>
      <c r="T1208" s="16" t="n">
        <v>44642</v>
      </c>
      <c r="U1208" s="6" t="s">
        <v>13572</v>
      </c>
      <c r="V1208" s="6" t="s">
        <v>81</v>
      </c>
      <c r="W1208" s="6" t="s">
        <v>81</v>
      </c>
      <c r="X1208" s="6" t="s">
        <v>81</v>
      </c>
      <c r="Y1208" s="21" t="s">
        <v>81</v>
      </c>
      <c r="Z1208" s="6" t="s">
        <v>81</v>
      </c>
      <c r="AA1208" s="6" t="s">
        <v>81</v>
      </c>
      <c r="AB1208" s="6" t="s">
        <v>81</v>
      </c>
      <c r="AC1208" s="6" t="s">
        <v>81</v>
      </c>
      <c r="AD1208" s="21" t="s">
        <v>81</v>
      </c>
      <c r="AE1208" s="6" t="s">
        <v>81</v>
      </c>
      <c r="AF1208" s="6" t="s">
        <v>81</v>
      </c>
      <c r="AG1208" s="6" t="s">
        <v>81</v>
      </c>
      <c r="AH1208" s="6" t="s">
        <v>15777</v>
      </c>
      <c r="AI1208" s="6" t="s">
        <v>81</v>
      </c>
      <c r="AJ1208" s="6" t="s">
        <v>17928</v>
      </c>
      <c r="AK1208" s="6" t="s">
        <v>18381</v>
      </c>
      <c r="AL1208" s="6" t="s">
        <v>18444</v>
      </c>
      <c r="AM1208" s="6" t="s">
        <v>19117</v>
      </c>
      <c r="AN1208" s="6" t="s">
        <v>7595</v>
      </c>
      <c r="AO1208" s="6" t="s">
        <v>19866</v>
      </c>
      <c r="AP1208" s="6" t="s">
        <v>81</v>
      </c>
      <c r="AQ1208" s="6" t="s">
        <v>81</v>
      </c>
      <c r="AR1208" s="6" t="s">
        <v>81</v>
      </c>
      <c r="AS1208" s="6" t="s">
        <v>81</v>
      </c>
      <c r="AT1208" s="6" t="s">
        <v>81</v>
      </c>
      <c r="AU1208" s="6" t="s">
        <v>81</v>
      </c>
      <c r="AV1208" s="6" t="s">
        <v>81</v>
      </c>
      <c r="AW1208" s="6" t="s">
        <v>81</v>
      </c>
      <c r="AX1208" s="6" t="s">
        <v>81</v>
      </c>
      <c r="AY1208" s="6" t="s">
        <v>81</v>
      </c>
      <c r="AZ1208" s="6" t="s">
        <v>81</v>
      </c>
      <c r="BA1208" s="6" t="s">
        <v>81</v>
      </c>
      <c r="BB1208" s="6" t="s">
        <v>81</v>
      </c>
      <c r="BC1208" s="26"/>
      <c r="BD1208" s="26"/>
      <c r="BE1208" s="26"/>
      <c r="BF1208" s="26"/>
      <c r="BG1208" s="26"/>
      <c r="BH1208" s="26"/>
      <c r="BI1208" s="26"/>
      <c r="BJ1208" s="26"/>
      <c r="BK1208" s="26"/>
      <c r="BL1208" s="26"/>
      <c r="BM1208" s="26"/>
      <c r="BN1208" s="26"/>
      <c r="BO1208" s="26"/>
      <c r="BP1208" s="16" t="n">
        <v>44657</v>
      </c>
      <c r="BQ1208" s="28" t="str">
        <f>HYPERLINK("https://organic.ams.usda.gov/Integrity/Certificate.aspx?cid=45&amp;nopid=9950107802")</f>
        <v>https://organic.ams.usda.gov/Integrity/Certificate.aspx?cid=45&amp;nopid=9950107802</v>
      </c>
    </row>
    <row r="1209">
      <c r="A1209" t="s">
        <v>3</v>
      </c>
      <c r="B1209" s="6" t="s">
        <v>7</v>
      </c>
      <c r="C1209" s="6" t="s">
        <v>54</v>
      </c>
      <c r="D1209" s="6" t="s">
        <v>100</v>
      </c>
      <c r="E1209" s="10" t="s">
        <v>1350</v>
      </c>
      <c r="F1209" s="6" t="s">
        <v>4077</v>
      </c>
      <c r="G1209" s="6" t="s">
        <v>81</v>
      </c>
      <c r="H1209" s="6" t="s">
        <v>6999</v>
      </c>
      <c r="I1209" s="6" t="s">
        <v>9051</v>
      </c>
      <c r="J1209" s="6" t="s">
        <v>9803</v>
      </c>
      <c r="K1209" s="6" t="s">
        <v>10886</v>
      </c>
      <c r="L1209" s="16" t="n">
        <v>43671</v>
      </c>
      <c r="M1209" s="16" t="n">
        <v>45716</v>
      </c>
      <c r="N1209" s="6" t="s">
        <v>10886</v>
      </c>
      <c r="O1209" s="16" t="n">
        <v>43671</v>
      </c>
      <c r="P1209" s="6" t="s">
        <v>10944</v>
      </c>
      <c r="Q1209" s="6" t="s">
        <v>81</v>
      </c>
      <c r="R1209" s="6" t="s">
        <v>81</v>
      </c>
      <c r="S1209" s="6" t="s">
        <v>10886</v>
      </c>
      <c r="T1209" s="16" t="n">
        <v>43707</v>
      </c>
      <c r="U1209" s="6" t="s">
        <v>13169</v>
      </c>
      <c r="V1209" s="6" t="s">
        <v>81</v>
      </c>
      <c r="W1209" s="6" t="s">
        <v>81</v>
      </c>
      <c r="X1209" s="6" t="s">
        <v>81</v>
      </c>
      <c r="Y1209" s="21" t="s">
        <v>81</v>
      </c>
      <c r="Z1209" s="6" t="s">
        <v>81</v>
      </c>
      <c r="AA1209" s="6" t="s">
        <v>81</v>
      </c>
      <c r="AB1209" s="6" t="s">
        <v>81</v>
      </c>
      <c r="AC1209" s="6" t="s">
        <v>81</v>
      </c>
      <c r="AD1209" s="21" t="s">
        <v>81</v>
      </c>
      <c r="AE1209" s="6" t="s">
        <v>81</v>
      </c>
      <c r="AF1209" s="6" t="s">
        <v>81</v>
      </c>
      <c r="AG1209" s="6" t="s">
        <v>81</v>
      </c>
      <c r="AH1209" s="6" t="s">
        <v>15778</v>
      </c>
      <c r="AI1209" s="6" t="s">
        <v>81</v>
      </c>
      <c r="AJ1209" s="6" t="s">
        <v>17431</v>
      </c>
      <c r="AK1209" s="6" t="s">
        <v>17712</v>
      </c>
      <c r="AL1209" s="6" t="s">
        <v>18444</v>
      </c>
      <c r="AM1209" s="6" t="s">
        <v>18588</v>
      </c>
      <c r="AN1209" s="6" t="s">
        <v>19646</v>
      </c>
      <c r="AO1209" s="6" t="s">
        <v>19729</v>
      </c>
      <c r="AP1209" s="6" t="s">
        <v>15778</v>
      </c>
      <c r="AQ1209" s="6" t="s">
        <v>81</v>
      </c>
      <c r="AR1209" s="6" t="s">
        <v>17431</v>
      </c>
      <c r="AS1209" s="6" t="s">
        <v>17712</v>
      </c>
      <c r="AT1209" s="6" t="s">
        <v>18444</v>
      </c>
      <c r="AU1209" s="6" t="s">
        <v>18588</v>
      </c>
      <c r="AV1209" s="6" t="s">
        <v>81</v>
      </c>
      <c r="AW1209" s="6" t="s">
        <v>81</v>
      </c>
      <c r="AX1209" s="6" t="s">
        <v>81</v>
      </c>
      <c r="AY1209" s="6" t="s">
        <v>81</v>
      </c>
      <c r="AZ1209" s="6" t="s">
        <v>81</v>
      </c>
      <c r="BA1209" s="6" t="s">
        <v>81</v>
      </c>
      <c r="BB1209" s="24" t="n">
        <v>169</v>
      </c>
      <c r="BC1209" s="26"/>
      <c r="BD1209" s="26"/>
      <c r="BE1209" s="26"/>
      <c r="BF1209" s="26" t="s">
        <v>23900</v>
      </c>
      <c r="BG1209" s="26"/>
      <c r="BH1209" s="26"/>
      <c r="BI1209" s="26"/>
      <c r="BJ1209" s="26"/>
      <c r="BK1209" s="26"/>
      <c r="BL1209" s="26"/>
      <c r="BM1209" s="26"/>
      <c r="BN1209" s="26"/>
      <c r="BO1209" s="26"/>
      <c r="BP1209" s="16" t="n">
        <v>45702</v>
      </c>
      <c r="BQ1209" s="28" t="str">
        <f>HYPERLINK("https://organic.ams.usda.gov/Integrity/Certificate.aspx?cid=57&amp;nopid=3252019067")</f>
        <v>https://organic.ams.usda.gov/Integrity/Certificate.aspx?cid=57&amp;nopid=3252019067</v>
      </c>
    </row>
    <row r="1210">
      <c r="A1210" t="s">
        <v>3</v>
      </c>
      <c r="B1210" s="6" t="s">
        <v>7</v>
      </c>
      <c r="C1210" s="6" t="s">
        <v>54</v>
      </c>
      <c r="D1210" s="6" t="s">
        <v>100</v>
      </c>
      <c r="E1210" s="10" t="s">
        <v>1351</v>
      </c>
      <c r="F1210" s="6" t="s">
        <v>4078</v>
      </c>
      <c r="G1210" s="6" t="s">
        <v>81</v>
      </c>
      <c r="H1210" s="6" t="s">
        <v>7000</v>
      </c>
      <c r="I1210" s="6" t="s">
        <v>8511</v>
      </c>
      <c r="J1210" s="6" t="s">
        <v>9662</v>
      </c>
      <c r="K1210" s="6" t="s">
        <v>10886</v>
      </c>
      <c r="L1210" s="16" t="n">
        <v>43622</v>
      </c>
      <c r="M1210" s="16" t="n">
        <v>45716</v>
      </c>
      <c r="N1210" s="6" t="s">
        <v>10886</v>
      </c>
      <c r="O1210" s="16" t="n">
        <v>43622</v>
      </c>
      <c r="P1210" s="6" t="s">
        <v>11616</v>
      </c>
      <c r="Q1210" s="6" t="s">
        <v>81</v>
      </c>
      <c r="R1210" s="6" t="s">
        <v>81</v>
      </c>
      <c r="S1210" s="6" t="s">
        <v>10886</v>
      </c>
      <c r="T1210" s="16" t="n">
        <v>44019</v>
      </c>
      <c r="U1210" s="6" t="s">
        <v>13573</v>
      </c>
      <c r="V1210" s="6" t="s">
        <v>81</v>
      </c>
      <c r="W1210" s="6" t="s">
        <v>81</v>
      </c>
      <c r="X1210" s="6" t="s">
        <v>81</v>
      </c>
      <c r="Y1210" s="21" t="s">
        <v>81</v>
      </c>
      <c r="Z1210" s="6" t="s">
        <v>81</v>
      </c>
      <c r="AA1210" s="6" t="s">
        <v>81</v>
      </c>
      <c r="AB1210" s="6" t="s">
        <v>81</v>
      </c>
      <c r="AC1210" s="6" t="s">
        <v>81</v>
      </c>
      <c r="AD1210" s="21" t="s">
        <v>81</v>
      </c>
      <c r="AE1210" s="6" t="s">
        <v>81</v>
      </c>
      <c r="AF1210" s="6" t="s">
        <v>81</v>
      </c>
      <c r="AG1210" s="6" t="s">
        <v>81</v>
      </c>
      <c r="AH1210" s="6" t="s">
        <v>15779</v>
      </c>
      <c r="AI1210" s="6" t="s">
        <v>81</v>
      </c>
      <c r="AJ1210" s="6" t="s">
        <v>17929</v>
      </c>
      <c r="AK1210" s="6" t="s">
        <v>17712</v>
      </c>
      <c r="AL1210" s="6" t="s">
        <v>18444</v>
      </c>
      <c r="AM1210" s="6" t="s">
        <v>19118</v>
      </c>
      <c r="AN1210" s="6" t="s">
        <v>19672</v>
      </c>
      <c r="AO1210" s="6" t="s">
        <v>19977</v>
      </c>
      <c r="AP1210" s="6" t="s">
        <v>15779</v>
      </c>
      <c r="AQ1210" s="6" t="s">
        <v>81</v>
      </c>
      <c r="AR1210" s="6" t="s">
        <v>17929</v>
      </c>
      <c r="AS1210" s="6" t="s">
        <v>17712</v>
      </c>
      <c r="AT1210" s="6" t="s">
        <v>18444</v>
      </c>
      <c r="AU1210" s="6" t="s">
        <v>19118</v>
      </c>
      <c r="AV1210" s="6" t="s">
        <v>81</v>
      </c>
      <c r="AW1210" s="6" t="s">
        <v>81</v>
      </c>
      <c r="AX1210" s="6" t="s">
        <v>21496</v>
      </c>
      <c r="AY1210" s="6" t="s">
        <v>23004</v>
      </c>
      <c r="AZ1210" s="6" t="s">
        <v>81</v>
      </c>
      <c r="BA1210" s="6" t="s">
        <v>81</v>
      </c>
      <c r="BB1210" s="24" t="n">
        <v>169</v>
      </c>
      <c r="BC1210" s="26"/>
      <c r="BD1210" s="26"/>
      <c r="BE1210" s="26"/>
      <c r="BF1210" s="26" t="s">
        <v>23900</v>
      </c>
      <c r="BG1210" s="26"/>
      <c r="BH1210" s="26"/>
      <c r="BI1210" s="26"/>
      <c r="BJ1210" s="26"/>
      <c r="BK1210" s="26"/>
      <c r="BL1210" s="26"/>
      <c r="BM1210" s="26"/>
      <c r="BN1210" s="26"/>
      <c r="BO1210" s="26"/>
      <c r="BP1210" s="16" t="n">
        <v>45595</v>
      </c>
      <c r="BQ1210" s="28" t="str">
        <f>HYPERLINK("https://organic.ams.usda.gov/Integrity/Certificate.aspx?cid=57&amp;nopid=3252019072")</f>
        <v>https://organic.ams.usda.gov/Integrity/Certificate.aspx?cid=57&amp;nopid=3252019072</v>
      </c>
    </row>
    <row r="1211">
      <c r="A1211" t="s">
        <v>3</v>
      </c>
      <c r="B1211" s="6" t="s">
        <v>8</v>
      </c>
      <c r="C1211" s="6" t="s">
        <v>55</v>
      </c>
      <c r="D1211" s="6" t="s">
        <v>101</v>
      </c>
      <c r="E1211" s="10" t="s">
        <v>1352</v>
      </c>
      <c r="F1211" s="6" t="s">
        <v>4079</v>
      </c>
      <c r="G1211" s="6" t="s">
        <v>81</v>
      </c>
      <c r="H1211" s="6" t="s">
        <v>6014</v>
      </c>
      <c r="I1211" s="6" t="s">
        <v>8511</v>
      </c>
      <c r="J1211" s="6" t="s">
        <v>10254</v>
      </c>
      <c r="K1211" s="6" t="s">
        <v>10886</v>
      </c>
      <c r="L1211" s="16" t="n">
        <v>43843</v>
      </c>
      <c r="M1211" s="16" t="n">
        <v>45689</v>
      </c>
      <c r="N1211" s="6" t="s">
        <v>10886</v>
      </c>
      <c r="O1211" s="16" t="n">
        <v>43843</v>
      </c>
      <c r="P1211" s="6" t="s">
        <v>11617</v>
      </c>
      <c r="Q1211" s="6" t="s">
        <v>81</v>
      </c>
      <c r="R1211" s="6" t="s">
        <v>6014</v>
      </c>
      <c r="S1211" s="6" t="s">
        <v>10886</v>
      </c>
      <c r="T1211" s="16" t="n">
        <v>44109</v>
      </c>
      <c r="U1211" s="6" t="s">
        <v>13357</v>
      </c>
      <c r="V1211" s="6" t="s">
        <v>81</v>
      </c>
      <c r="W1211" s="6" t="s">
        <v>6014</v>
      </c>
      <c r="X1211" s="6" t="s">
        <v>81</v>
      </c>
      <c r="Y1211" s="21" t="s">
        <v>81</v>
      </c>
      <c r="Z1211" s="6" t="s">
        <v>81</v>
      </c>
      <c r="AA1211" s="6" t="s">
        <v>81</v>
      </c>
      <c r="AB1211" s="6" t="s">
        <v>81</v>
      </c>
      <c r="AC1211" s="6" t="s">
        <v>81</v>
      </c>
      <c r="AD1211" s="21" t="s">
        <v>81</v>
      </c>
      <c r="AE1211" s="6" t="s">
        <v>81</v>
      </c>
      <c r="AF1211" s="6" t="s">
        <v>81</v>
      </c>
      <c r="AG1211" s="6" t="s">
        <v>81</v>
      </c>
      <c r="AH1211" s="6" t="s">
        <v>15780</v>
      </c>
      <c r="AI1211" s="6" t="s">
        <v>81</v>
      </c>
      <c r="AJ1211" s="6" t="s">
        <v>17930</v>
      </c>
      <c r="AK1211" s="6" t="s">
        <v>18377</v>
      </c>
      <c r="AL1211" s="6" t="s">
        <v>18444</v>
      </c>
      <c r="AM1211" s="6" t="s">
        <v>19119</v>
      </c>
      <c r="AN1211" s="6" t="s">
        <v>19661</v>
      </c>
      <c r="AO1211" s="6" t="s">
        <v>19761</v>
      </c>
      <c r="AP1211" s="6" t="s">
        <v>20269</v>
      </c>
      <c r="AQ1211" s="6" t="s">
        <v>81</v>
      </c>
      <c r="AR1211" s="6" t="s">
        <v>17930</v>
      </c>
      <c r="AS1211" s="6" t="s">
        <v>18377</v>
      </c>
      <c r="AT1211" s="6" t="s">
        <v>18444</v>
      </c>
      <c r="AU1211" s="6" t="s">
        <v>19119</v>
      </c>
      <c r="AV1211" s="6" t="s">
        <v>81</v>
      </c>
      <c r="AW1211" s="6" t="s">
        <v>81</v>
      </c>
      <c r="AX1211" s="6" t="s">
        <v>81</v>
      </c>
      <c r="AY1211" s="6" t="s">
        <v>23005</v>
      </c>
      <c r="AZ1211" s="6" t="s">
        <v>81</v>
      </c>
      <c r="BA1211" s="6" t="s">
        <v>23819</v>
      </c>
      <c r="BB1211" s="24" t="n">
        <v>430</v>
      </c>
      <c r="BC1211" s="26"/>
      <c r="BD1211" s="26"/>
      <c r="BE1211" s="26"/>
      <c r="BF1211" s="26" t="s">
        <v>23900</v>
      </c>
      <c r="BG1211" s="26"/>
      <c r="BH1211" s="26"/>
      <c r="BI1211" s="26"/>
      <c r="BJ1211" s="26"/>
      <c r="BK1211" s="26"/>
      <c r="BL1211" s="26"/>
      <c r="BM1211" s="26"/>
      <c r="BN1211" s="26"/>
      <c r="BO1211" s="26"/>
      <c r="BP1211" s="16" t="n">
        <v>45728</v>
      </c>
      <c r="BQ1211" s="28" t="str">
        <f>HYPERLINK("https://organic.ams.usda.gov/Integrity/Certificate.aspx?cid=45&amp;nopid=9950010785")</f>
        <v>https://organic.ams.usda.gov/Integrity/Certificate.aspx?cid=45&amp;nopid=9950010785</v>
      </c>
    </row>
    <row r="1212">
      <c r="A1212" t="s">
        <v>3</v>
      </c>
      <c r="B1212" s="6" t="s">
        <v>8</v>
      </c>
      <c r="C1212" s="6" t="s">
        <v>55</v>
      </c>
      <c r="D1212" s="6" t="s">
        <v>101</v>
      </c>
      <c r="E1212" s="10" t="s">
        <v>1353</v>
      </c>
      <c r="F1212" s="6" t="s">
        <v>4080</v>
      </c>
      <c r="G1212" s="6" t="s">
        <v>81</v>
      </c>
      <c r="H1212" s="6" t="s">
        <v>7001</v>
      </c>
      <c r="I1212" s="6" t="s">
        <v>8511</v>
      </c>
      <c r="J1212" s="6" t="s">
        <v>9666</v>
      </c>
      <c r="K1212" s="6" t="s">
        <v>10886</v>
      </c>
      <c r="L1212" s="16" t="n">
        <v>38631</v>
      </c>
      <c r="M1212" s="16" t="n">
        <v>45383</v>
      </c>
      <c r="N1212" s="6" t="s">
        <v>10886</v>
      </c>
      <c r="O1212" s="16" t="n">
        <v>38631</v>
      </c>
      <c r="P1212" s="6" t="s">
        <v>11618</v>
      </c>
      <c r="Q1212" s="6" t="s">
        <v>81</v>
      </c>
      <c r="R1212" s="6" t="s">
        <v>7001</v>
      </c>
      <c r="S1212" s="6" t="s">
        <v>10886</v>
      </c>
      <c r="T1212" s="16" t="n">
        <v>38631</v>
      </c>
      <c r="U1212" s="6" t="s">
        <v>13179</v>
      </c>
      <c r="V1212" s="6" t="s">
        <v>81</v>
      </c>
      <c r="W1212" s="6" t="s">
        <v>7001</v>
      </c>
      <c r="X1212" s="6" t="s">
        <v>81</v>
      </c>
      <c r="Y1212" s="21" t="s">
        <v>81</v>
      </c>
      <c r="Z1212" s="6" t="s">
        <v>81</v>
      </c>
      <c r="AA1212" s="6" t="s">
        <v>81</v>
      </c>
      <c r="AB1212" s="6" t="s">
        <v>81</v>
      </c>
      <c r="AC1212" s="6" t="s">
        <v>81</v>
      </c>
      <c r="AD1212" s="21" t="s">
        <v>81</v>
      </c>
      <c r="AE1212" s="6" t="s">
        <v>81</v>
      </c>
      <c r="AF1212" s="6" t="s">
        <v>81</v>
      </c>
      <c r="AG1212" s="6" t="s">
        <v>81</v>
      </c>
      <c r="AH1212" s="6" t="s">
        <v>15781</v>
      </c>
      <c r="AI1212" s="6" t="s">
        <v>81</v>
      </c>
      <c r="AJ1212" s="6" t="s">
        <v>8987</v>
      </c>
      <c r="AK1212" s="6" t="s">
        <v>18377</v>
      </c>
      <c r="AL1212" s="6" t="s">
        <v>18444</v>
      </c>
      <c r="AM1212" s="6" t="s">
        <v>18487</v>
      </c>
      <c r="AN1212" s="6" t="s">
        <v>19646</v>
      </c>
      <c r="AO1212" s="6" t="s">
        <v>19733</v>
      </c>
      <c r="AP1212" s="6" t="s">
        <v>81</v>
      </c>
      <c r="AQ1212" s="6" t="s">
        <v>81</v>
      </c>
      <c r="AR1212" s="6" t="s">
        <v>81</v>
      </c>
      <c r="AS1212" s="6" t="s">
        <v>81</v>
      </c>
      <c r="AT1212" s="6" t="s">
        <v>81</v>
      </c>
      <c r="AU1212" s="6" t="s">
        <v>81</v>
      </c>
      <c r="AV1212" s="6" t="s">
        <v>81</v>
      </c>
      <c r="AW1212" s="6" t="s">
        <v>81</v>
      </c>
      <c r="AX1212" s="6" t="s">
        <v>81</v>
      </c>
      <c r="AY1212" s="6" t="s">
        <v>81</v>
      </c>
      <c r="AZ1212" s="6" t="s">
        <v>81</v>
      </c>
      <c r="BA1212" s="6" t="s">
        <v>23819</v>
      </c>
      <c r="BB1212" s="24" t="n">
        <v>220</v>
      </c>
      <c r="BC1212" s="26"/>
      <c r="BD1212" s="26"/>
      <c r="BE1212" s="26"/>
      <c r="BF1212" s="26" t="s">
        <v>23900</v>
      </c>
      <c r="BG1212" s="26"/>
      <c r="BH1212" s="26"/>
      <c r="BI1212" s="26"/>
      <c r="BJ1212" s="26"/>
      <c r="BK1212" s="26"/>
      <c r="BL1212" s="26"/>
      <c r="BM1212" s="26"/>
      <c r="BN1212" s="26"/>
      <c r="BO1212" s="26"/>
      <c r="BP1212" s="16" t="n">
        <v>45377</v>
      </c>
      <c r="BQ1212" s="28" t="str">
        <f>HYPERLINK("https://organic.ams.usda.gov/Integrity/Certificate.aspx?cid=45&amp;nopid=9950002064")</f>
        <v>https://organic.ams.usda.gov/Integrity/Certificate.aspx?cid=45&amp;nopid=9950002064</v>
      </c>
    </row>
    <row r="1213">
      <c r="A1213" t="s">
        <v>3</v>
      </c>
      <c r="B1213" s="6" t="s">
        <v>12</v>
      </c>
      <c r="C1213" s="6" t="s">
        <v>59</v>
      </c>
      <c r="D1213" s="6" t="s">
        <v>105</v>
      </c>
      <c r="E1213" s="10" t="s">
        <v>1354</v>
      </c>
      <c r="F1213" s="6" t="s">
        <v>4081</v>
      </c>
      <c r="G1213" s="6" t="s">
        <v>81</v>
      </c>
      <c r="H1213" s="6" t="s">
        <v>7002</v>
      </c>
      <c r="I1213" s="6" t="s">
        <v>8511</v>
      </c>
      <c r="J1213" s="6" t="s">
        <v>10255</v>
      </c>
      <c r="K1213" s="6" t="s">
        <v>10886</v>
      </c>
      <c r="L1213" s="16" t="n">
        <v>42566</v>
      </c>
      <c r="M1213" s="16" t="n">
        <v>45717</v>
      </c>
      <c r="N1213" s="6" t="s">
        <v>10886</v>
      </c>
      <c r="O1213" s="16" t="n">
        <v>42566</v>
      </c>
      <c r="P1213" s="6" t="s">
        <v>11619</v>
      </c>
      <c r="Q1213" s="6" t="s">
        <v>81</v>
      </c>
      <c r="R1213" s="6" t="s">
        <v>81</v>
      </c>
      <c r="S1213" s="6" t="s">
        <v>10886</v>
      </c>
      <c r="T1213" s="16" t="n">
        <v>42566</v>
      </c>
      <c r="U1213" s="6" t="s">
        <v>13187</v>
      </c>
      <c r="V1213" s="6" t="s">
        <v>81</v>
      </c>
      <c r="W1213" s="6" t="s">
        <v>81</v>
      </c>
      <c r="X1213" s="6" t="s">
        <v>81</v>
      </c>
      <c r="Y1213" s="21" t="s">
        <v>81</v>
      </c>
      <c r="Z1213" s="6" t="s">
        <v>81</v>
      </c>
      <c r="AA1213" s="6" t="s">
        <v>81</v>
      </c>
      <c r="AB1213" s="6" t="s">
        <v>81</v>
      </c>
      <c r="AC1213" s="6" t="s">
        <v>81</v>
      </c>
      <c r="AD1213" s="21" t="s">
        <v>81</v>
      </c>
      <c r="AE1213" s="6" t="s">
        <v>81</v>
      </c>
      <c r="AF1213" s="6" t="s">
        <v>81</v>
      </c>
      <c r="AG1213" s="6" t="s">
        <v>81</v>
      </c>
      <c r="AH1213" s="6" t="s">
        <v>15782</v>
      </c>
      <c r="AI1213" s="6" t="s">
        <v>81</v>
      </c>
      <c r="AJ1213" s="6" t="s">
        <v>17931</v>
      </c>
      <c r="AK1213" s="6" t="s">
        <v>18380</v>
      </c>
      <c r="AL1213" s="6" t="s">
        <v>18444</v>
      </c>
      <c r="AM1213" s="6" t="s">
        <v>19120</v>
      </c>
      <c r="AN1213" s="6" t="s">
        <v>19684</v>
      </c>
      <c r="AO1213" s="6" t="s">
        <v>19897</v>
      </c>
      <c r="AP1213" s="6" t="s">
        <v>15782</v>
      </c>
      <c r="AQ1213" s="6" t="s">
        <v>81</v>
      </c>
      <c r="AR1213" s="6" t="s">
        <v>17931</v>
      </c>
      <c r="AS1213" s="6" t="s">
        <v>18380</v>
      </c>
      <c r="AT1213" s="6" t="s">
        <v>18444</v>
      </c>
      <c r="AU1213" s="6" t="s">
        <v>19120</v>
      </c>
      <c r="AV1213" s="6" t="s">
        <v>81</v>
      </c>
      <c r="AW1213" s="6" t="s">
        <v>81</v>
      </c>
      <c r="AX1213" s="6" t="s">
        <v>21497</v>
      </c>
      <c r="AY1213" s="6" t="s">
        <v>81</v>
      </c>
      <c r="AZ1213" s="6" t="s">
        <v>81</v>
      </c>
      <c r="BA1213" s="6" t="s">
        <v>81</v>
      </c>
      <c r="BB1213" s="24" t="n">
        <v>573</v>
      </c>
      <c r="BC1213" s="26"/>
      <c r="BD1213" s="26"/>
      <c r="BE1213" s="26"/>
      <c r="BF1213" s="26"/>
      <c r="BG1213" s="26"/>
      <c r="BH1213" s="26"/>
      <c r="BI1213" s="26"/>
      <c r="BJ1213" s="26"/>
      <c r="BK1213" s="26"/>
      <c r="BL1213" s="26"/>
      <c r="BM1213" s="26"/>
      <c r="BN1213" s="26"/>
      <c r="BO1213" s="26"/>
      <c r="BP1213" s="16" t="n">
        <v>45698</v>
      </c>
      <c r="BQ1213" s="28" t="str">
        <f>HYPERLINK("https://organic.ams.usda.gov/Integrity/Certificate.aspx?cid=68&amp;nopid=8210004282")</f>
        <v>https://organic.ams.usda.gov/Integrity/Certificate.aspx?cid=68&amp;nopid=8210004282</v>
      </c>
    </row>
    <row r="1214">
      <c r="A1214" t="s">
        <v>3</v>
      </c>
      <c r="B1214" s="6" t="s">
        <v>12</v>
      </c>
      <c r="C1214" s="6" t="s">
        <v>59</v>
      </c>
      <c r="D1214" s="6" t="s">
        <v>105</v>
      </c>
      <c r="E1214" s="10" t="s">
        <v>1355</v>
      </c>
      <c r="F1214" s="6" t="s">
        <v>4082</v>
      </c>
      <c r="G1214" s="6" t="s">
        <v>81</v>
      </c>
      <c r="H1214" s="6" t="s">
        <v>7003</v>
      </c>
      <c r="I1214" s="6" t="s">
        <v>8511</v>
      </c>
      <c r="J1214" s="6" t="s">
        <v>9750</v>
      </c>
      <c r="K1214" s="6" t="s">
        <v>10886</v>
      </c>
      <c r="L1214" s="16" t="n">
        <v>42831</v>
      </c>
      <c r="M1214" s="16" t="n">
        <v>45717</v>
      </c>
      <c r="N1214" s="6" t="s">
        <v>10886</v>
      </c>
      <c r="O1214" s="16" t="n">
        <v>42831</v>
      </c>
      <c r="P1214" s="6" t="s">
        <v>11620</v>
      </c>
      <c r="Q1214" s="6" t="s">
        <v>81</v>
      </c>
      <c r="R1214" s="6" t="s">
        <v>81</v>
      </c>
      <c r="S1214" s="6" t="s">
        <v>10886</v>
      </c>
      <c r="T1214" s="16" t="n">
        <v>42831</v>
      </c>
      <c r="U1214" s="6" t="s">
        <v>13183</v>
      </c>
      <c r="V1214" s="6" t="s">
        <v>81</v>
      </c>
      <c r="W1214" s="6" t="s">
        <v>81</v>
      </c>
      <c r="X1214" s="6" t="s">
        <v>81</v>
      </c>
      <c r="Y1214" s="21" t="s">
        <v>81</v>
      </c>
      <c r="Z1214" s="6" t="s">
        <v>81</v>
      </c>
      <c r="AA1214" s="6" t="s">
        <v>81</v>
      </c>
      <c r="AB1214" s="6" t="s">
        <v>81</v>
      </c>
      <c r="AC1214" s="6" t="s">
        <v>81</v>
      </c>
      <c r="AD1214" s="21" t="s">
        <v>81</v>
      </c>
      <c r="AE1214" s="6" t="s">
        <v>81</v>
      </c>
      <c r="AF1214" s="6" t="s">
        <v>81</v>
      </c>
      <c r="AG1214" s="6" t="s">
        <v>81</v>
      </c>
      <c r="AH1214" s="6" t="s">
        <v>15783</v>
      </c>
      <c r="AI1214" s="6" t="s">
        <v>81</v>
      </c>
      <c r="AJ1214" s="6" t="s">
        <v>17311</v>
      </c>
      <c r="AK1214" s="6" t="s">
        <v>17712</v>
      </c>
      <c r="AL1214" s="6" t="s">
        <v>18444</v>
      </c>
      <c r="AM1214" s="6" t="s">
        <v>18463</v>
      </c>
      <c r="AN1214" s="6" t="s">
        <v>19634</v>
      </c>
      <c r="AO1214" s="6" t="s">
        <v>19719</v>
      </c>
      <c r="AP1214" s="6" t="s">
        <v>15783</v>
      </c>
      <c r="AQ1214" s="6" t="s">
        <v>81</v>
      </c>
      <c r="AR1214" s="6" t="s">
        <v>17311</v>
      </c>
      <c r="AS1214" s="6" t="s">
        <v>17712</v>
      </c>
      <c r="AT1214" s="6" t="s">
        <v>18444</v>
      </c>
      <c r="AU1214" s="6" t="s">
        <v>18463</v>
      </c>
      <c r="AV1214" s="6" t="s">
        <v>81</v>
      </c>
      <c r="AW1214" s="6" t="s">
        <v>81</v>
      </c>
      <c r="AX1214" s="6" t="s">
        <v>21498</v>
      </c>
      <c r="AY1214" s="6" t="s">
        <v>81</v>
      </c>
      <c r="AZ1214" s="6" t="s">
        <v>81</v>
      </c>
      <c r="BA1214" s="6" t="s">
        <v>81</v>
      </c>
      <c r="BB1214" s="24" t="n">
        <v>124</v>
      </c>
      <c r="BC1214" s="26"/>
      <c r="BD1214" s="26"/>
      <c r="BE1214" s="26"/>
      <c r="BF1214" s="26"/>
      <c r="BG1214" s="26"/>
      <c r="BH1214" s="26"/>
      <c r="BI1214" s="26"/>
      <c r="BJ1214" s="26"/>
      <c r="BK1214" s="26"/>
      <c r="BL1214" s="26"/>
      <c r="BM1214" s="26"/>
      <c r="BN1214" s="26"/>
      <c r="BO1214" s="26"/>
      <c r="BP1214" s="16" t="n">
        <v>45684</v>
      </c>
      <c r="BQ1214" s="28" t="str">
        <f>HYPERLINK("https://organic.ams.usda.gov/Integrity/Certificate.aspx?cid=68&amp;nopid=8210002584")</f>
        <v>https://organic.ams.usda.gov/Integrity/Certificate.aspx?cid=68&amp;nopid=8210002584</v>
      </c>
    </row>
    <row r="1215">
      <c r="A1215" t="s">
        <v>3</v>
      </c>
      <c r="B1215" s="6" t="s">
        <v>12</v>
      </c>
      <c r="C1215" s="6" t="s">
        <v>59</v>
      </c>
      <c r="D1215" s="6" t="s">
        <v>105</v>
      </c>
      <c r="E1215" s="10" t="s">
        <v>1356</v>
      </c>
      <c r="F1215" s="6" t="s">
        <v>4083</v>
      </c>
      <c r="G1215" s="6" t="s">
        <v>81</v>
      </c>
      <c r="H1215" s="6" t="s">
        <v>7004</v>
      </c>
      <c r="I1215" s="6" t="s">
        <v>9052</v>
      </c>
      <c r="J1215" s="6" t="s">
        <v>10256</v>
      </c>
      <c r="K1215" s="6" t="s">
        <v>10886</v>
      </c>
      <c r="L1215" s="16" t="n">
        <v>43160</v>
      </c>
      <c r="M1215" s="16" t="n">
        <v>45717</v>
      </c>
      <c r="N1215" s="6" t="s">
        <v>10886</v>
      </c>
      <c r="O1215" s="16" t="n">
        <v>43160</v>
      </c>
      <c r="P1215" s="6" t="s">
        <v>11621</v>
      </c>
      <c r="Q1215" s="6" t="s">
        <v>81</v>
      </c>
      <c r="R1215" s="6" t="s">
        <v>81</v>
      </c>
      <c r="S1215" s="6" t="s">
        <v>10886</v>
      </c>
      <c r="T1215" s="16" t="n">
        <v>43160</v>
      </c>
      <c r="U1215" s="6" t="s">
        <v>13405</v>
      </c>
      <c r="V1215" s="6" t="s">
        <v>81</v>
      </c>
      <c r="W1215" s="6" t="s">
        <v>81</v>
      </c>
      <c r="X1215" s="6" t="s">
        <v>81</v>
      </c>
      <c r="Y1215" s="21" t="s">
        <v>81</v>
      </c>
      <c r="Z1215" s="6" t="s">
        <v>81</v>
      </c>
      <c r="AA1215" s="6" t="s">
        <v>81</v>
      </c>
      <c r="AB1215" s="6" t="s">
        <v>81</v>
      </c>
      <c r="AC1215" s="6" t="s">
        <v>81</v>
      </c>
      <c r="AD1215" s="21" t="s">
        <v>81</v>
      </c>
      <c r="AE1215" s="6" t="s">
        <v>81</v>
      </c>
      <c r="AF1215" s="6" t="s">
        <v>81</v>
      </c>
      <c r="AG1215" s="6" t="s">
        <v>81</v>
      </c>
      <c r="AH1215" s="6" t="s">
        <v>15784</v>
      </c>
      <c r="AI1215" s="6" t="s">
        <v>81</v>
      </c>
      <c r="AJ1215" s="6" t="s">
        <v>17932</v>
      </c>
      <c r="AK1215" s="6" t="s">
        <v>18380</v>
      </c>
      <c r="AL1215" s="6" t="s">
        <v>18444</v>
      </c>
      <c r="AM1215" s="6" t="s">
        <v>19121</v>
      </c>
      <c r="AN1215" s="6" t="s">
        <v>7595</v>
      </c>
      <c r="AO1215" s="6" t="s">
        <v>19978</v>
      </c>
      <c r="AP1215" s="6" t="s">
        <v>15784</v>
      </c>
      <c r="AQ1215" s="6" t="s">
        <v>81</v>
      </c>
      <c r="AR1215" s="6" t="s">
        <v>17932</v>
      </c>
      <c r="AS1215" s="6" t="s">
        <v>18380</v>
      </c>
      <c r="AT1215" s="6" t="s">
        <v>18444</v>
      </c>
      <c r="AU1215" s="6" t="s">
        <v>19121</v>
      </c>
      <c r="AV1215" s="6" t="s">
        <v>81</v>
      </c>
      <c r="AW1215" s="6" t="s">
        <v>81</v>
      </c>
      <c r="AX1215" s="6" t="s">
        <v>81</v>
      </c>
      <c r="AY1215" s="6" t="s">
        <v>23006</v>
      </c>
      <c r="AZ1215" s="6" t="s">
        <v>81</v>
      </c>
      <c r="BA1215" s="6" t="s">
        <v>81</v>
      </c>
      <c r="BB1215" s="24" t="n">
        <v>398</v>
      </c>
      <c r="BC1215" s="26"/>
      <c r="BD1215" s="26"/>
      <c r="BE1215" s="26"/>
      <c r="BF1215" s="26"/>
      <c r="BG1215" s="26"/>
      <c r="BH1215" s="26"/>
      <c r="BI1215" s="26"/>
      <c r="BJ1215" s="26"/>
      <c r="BK1215" s="26"/>
      <c r="BL1215" s="26"/>
      <c r="BM1215" s="26"/>
      <c r="BN1215" s="26"/>
      <c r="BO1215" s="26"/>
      <c r="BP1215" s="16" t="n">
        <v>45684</v>
      </c>
      <c r="BQ1215" s="28" t="str">
        <f>HYPERLINK("https://organic.ams.usda.gov/Integrity/Certificate.aspx?cid=68&amp;nopid=8210005613")</f>
        <v>https://organic.ams.usda.gov/Integrity/Certificate.aspx?cid=68&amp;nopid=8210005613</v>
      </c>
    </row>
    <row r="1216">
      <c r="A1216" t="s">
        <v>3</v>
      </c>
      <c r="B1216" s="6" t="s">
        <v>8</v>
      </c>
      <c r="C1216" s="6" t="s">
        <v>55</v>
      </c>
      <c r="D1216" s="6" t="s">
        <v>101</v>
      </c>
      <c r="E1216" s="10" t="s">
        <v>1357</v>
      </c>
      <c r="F1216" s="6" t="s">
        <v>4084</v>
      </c>
      <c r="G1216" s="6" t="s">
        <v>81</v>
      </c>
      <c r="H1216" s="6" t="s">
        <v>7005</v>
      </c>
      <c r="I1216" s="6" t="s">
        <v>8511</v>
      </c>
      <c r="J1216" s="6" t="s">
        <v>9665</v>
      </c>
      <c r="K1216" s="6" t="s">
        <v>10886</v>
      </c>
      <c r="L1216" s="16" t="n">
        <v>43082</v>
      </c>
      <c r="M1216" s="16" t="n">
        <v>45748</v>
      </c>
      <c r="N1216" s="6" t="s">
        <v>10886</v>
      </c>
      <c r="O1216" s="16" t="n">
        <v>43082</v>
      </c>
      <c r="P1216" s="6" t="s">
        <v>11622</v>
      </c>
      <c r="Q1216" s="6" t="s">
        <v>81</v>
      </c>
      <c r="R1216" s="6" t="s">
        <v>7005</v>
      </c>
      <c r="S1216" s="6" t="s">
        <v>10886</v>
      </c>
      <c r="T1216" s="16" t="n">
        <v>43082</v>
      </c>
      <c r="U1216" s="6" t="s">
        <v>13173</v>
      </c>
      <c r="V1216" s="6" t="s">
        <v>81</v>
      </c>
      <c r="W1216" s="6" t="s">
        <v>7005</v>
      </c>
      <c r="X1216" s="6" t="s">
        <v>81</v>
      </c>
      <c r="Y1216" s="21" t="s">
        <v>81</v>
      </c>
      <c r="Z1216" s="6" t="s">
        <v>81</v>
      </c>
      <c r="AA1216" s="6" t="s">
        <v>81</v>
      </c>
      <c r="AB1216" s="6" t="s">
        <v>81</v>
      </c>
      <c r="AC1216" s="6" t="s">
        <v>81</v>
      </c>
      <c r="AD1216" s="21" t="s">
        <v>81</v>
      </c>
      <c r="AE1216" s="6" t="s">
        <v>81</v>
      </c>
      <c r="AF1216" s="6" t="s">
        <v>81</v>
      </c>
      <c r="AG1216" s="6" t="s">
        <v>81</v>
      </c>
      <c r="AH1216" s="6" t="s">
        <v>15785</v>
      </c>
      <c r="AI1216" s="6" t="s">
        <v>81</v>
      </c>
      <c r="AJ1216" s="6" t="s">
        <v>17579</v>
      </c>
      <c r="AK1216" s="6" t="s">
        <v>18391</v>
      </c>
      <c r="AL1216" s="6" t="s">
        <v>18444</v>
      </c>
      <c r="AM1216" s="6" t="s">
        <v>18743</v>
      </c>
      <c r="AN1216" s="6" t="s">
        <v>6139</v>
      </c>
      <c r="AO1216" s="6" t="s">
        <v>19970</v>
      </c>
      <c r="AP1216" s="6" t="s">
        <v>81</v>
      </c>
      <c r="AQ1216" s="6" t="s">
        <v>81</v>
      </c>
      <c r="AR1216" s="6" t="s">
        <v>81</v>
      </c>
      <c r="AS1216" s="6" t="s">
        <v>81</v>
      </c>
      <c r="AT1216" s="6" t="s">
        <v>81</v>
      </c>
      <c r="AU1216" s="6" t="s">
        <v>81</v>
      </c>
      <c r="AV1216" s="6" t="s">
        <v>81</v>
      </c>
      <c r="AW1216" s="6" t="s">
        <v>81</v>
      </c>
      <c r="AX1216" s="6" t="s">
        <v>81</v>
      </c>
      <c r="AY1216" s="6" t="s">
        <v>81</v>
      </c>
      <c r="AZ1216" s="6" t="s">
        <v>81</v>
      </c>
      <c r="BA1216" s="6" t="s">
        <v>23819</v>
      </c>
      <c r="BB1216" s="24" t="n">
        <v>184</v>
      </c>
      <c r="BC1216" s="26"/>
      <c r="BD1216" s="26"/>
      <c r="BE1216" s="26"/>
      <c r="BF1216" s="26" t="s">
        <v>23900</v>
      </c>
      <c r="BG1216" s="26"/>
      <c r="BH1216" s="26"/>
      <c r="BI1216" s="26"/>
      <c r="BJ1216" s="26"/>
      <c r="BK1216" s="26"/>
      <c r="BL1216" s="26"/>
      <c r="BM1216" s="26"/>
      <c r="BN1216" s="26"/>
      <c r="BO1216" s="26"/>
      <c r="BP1216" s="16" t="n">
        <v>45565</v>
      </c>
      <c r="BQ1216" s="28" t="str">
        <f>HYPERLINK("https://organic.ams.usda.gov/Integrity/Certificate.aspx?cid=45&amp;nopid=9950009731")</f>
        <v>https://organic.ams.usda.gov/Integrity/Certificate.aspx?cid=45&amp;nopid=9950009731</v>
      </c>
    </row>
    <row r="1217">
      <c r="A1217" t="s">
        <v>3</v>
      </c>
      <c r="B1217" s="6" t="s">
        <v>9</v>
      </c>
      <c r="C1217" s="6" t="s">
        <v>56</v>
      </c>
      <c r="D1217" s="6" t="s">
        <v>102</v>
      </c>
      <c r="E1217" s="10" t="s">
        <v>1358</v>
      </c>
      <c r="F1217" s="6" t="s">
        <v>4084</v>
      </c>
      <c r="G1217" s="6" t="s">
        <v>81</v>
      </c>
      <c r="H1217" s="6" t="s">
        <v>7006</v>
      </c>
      <c r="I1217" s="6" t="s">
        <v>8511</v>
      </c>
      <c r="J1217" s="6" t="s">
        <v>9665</v>
      </c>
      <c r="K1217" s="6" t="s">
        <v>10886</v>
      </c>
      <c r="L1217" s="16" t="n">
        <v>44705</v>
      </c>
      <c r="M1217" s="16" t="n">
        <v>45748</v>
      </c>
      <c r="N1217" s="6" t="s">
        <v>10886</v>
      </c>
      <c r="O1217" s="16" t="n">
        <v>44705</v>
      </c>
      <c r="P1217" s="6" t="s">
        <v>11623</v>
      </c>
      <c r="Q1217" s="6" t="s">
        <v>81</v>
      </c>
      <c r="R1217" s="6" t="s">
        <v>12752</v>
      </c>
      <c r="S1217" s="6" t="s">
        <v>10886</v>
      </c>
      <c r="T1217" s="16" t="n">
        <v>44705</v>
      </c>
      <c r="U1217" s="6" t="s">
        <v>13168</v>
      </c>
      <c r="V1217" s="6" t="s">
        <v>81</v>
      </c>
      <c r="W1217" s="6" t="s">
        <v>12752</v>
      </c>
      <c r="X1217" s="6" t="s">
        <v>81</v>
      </c>
      <c r="Y1217" s="21" t="s">
        <v>81</v>
      </c>
      <c r="Z1217" s="6" t="s">
        <v>81</v>
      </c>
      <c r="AA1217" s="6" t="s">
        <v>81</v>
      </c>
      <c r="AB1217" s="6" t="s">
        <v>81</v>
      </c>
      <c r="AC1217" s="6" t="s">
        <v>81</v>
      </c>
      <c r="AD1217" s="21" t="s">
        <v>81</v>
      </c>
      <c r="AE1217" s="6" t="s">
        <v>81</v>
      </c>
      <c r="AF1217" s="6" t="s">
        <v>81</v>
      </c>
      <c r="AG1217" s="6" t="s">
        <v>81</v>
      </c>
      <c r="AH1217" s="6" t="s">
        <v>15786</v>
      </c>
      <c r="AI1217" s="6" t="s">
        <v>81</v>
      </c>
      <c r="AJ1217" s="6" t="s">
        <v>17385</v>
      </c>
      <c r="AK1217" s="6" t="s">
        <v>18377</v>
      </c>
      <c r="AL1217" s="6" t="s">
        <v>18444</v>
      </c>
      <c r="AM1217" s="6" t="s">
        <v>18539</v>
      </c>
      <c r="AN1217" s="6" t="s">
        <v>19634</v>
      </c>
      <c r="AO1217" s="6" t="s">
        <v>19764</v>
      </c>
      <c r="AP1217" s="6" t="s">
        <v>81</v>
      </c>
      <c r="AQ1217" s="6" t="s">
        <v>81</v>
      </c>
      <c r="AR1217" s="6" t="s">
        <v>81</v>
      </c>
      <c r="AS1217" s="6" t="s">
        <v>81</v>
      </c>
      <c r="AT1217" s="6" t="s">
        <v>81</v>
      </c>
      <c r="AU1217" s="6" t="s">
        <v>81</v>
      </c>
      <c r="AV1217" s="6" t="s">
        <v>81</v>
      </c>
      <c r="AW1217" s="6" t="s">
        <v>81</v>
      </c>
      <c r="AX1217" s="6" t="s">
        <v>81</v>
      </c>
      <c r="AY1217" s="6" t="s">
        <v>81</v>
      </c>
      <c r="AZ1217" s="6" t="s">
        <v>81</v>
      </c>
      <c r="BA1217" s="6" t="s">
        <v>81</v>
      </c>
      <c r="BB1217" s="24" t="n">
        <v>76</v>
      </c>
      <c r="BC1217" s="26"/>
      <c r="BD1217" s="26"/>
      <c r="BE1217" s="26"/>
      <c r="BF1217" s="26"/>
      <c r="BG1217" s="26"/>
      <c r="BH1217" s="26"/>
      <c r="BI1217" s="26"/>
      <c r="BJ1217" s="26"/>
      <c r="BK1217" s="26"/>
      <c r="BL1217" s="26"/>
      <c r="BM1217" s="26"/>
      <c r="BN1217" s="26"/>
      <c r="BO1217" s="26"/>
      <c r="BP1217" s="16" t="n">
        <v>45738</v>
      </c>
      <c r="BQ1217" s="28" t="str">
        <f>HYPERLINK("https://organic.ams.usda.gov/Integrity/Certificate.aspx?cid=52&amp;nopid=8432202018")</f>
        <v>https://organic.ams.usda.gov/Integrity/Certificate.aspx?cid=52&amp;nopid=8432202018</v>
      </c>
    </row>
    <row r="1218">
      <c r="A1218" t="s">
        <v>3</v>
      </c>
      <c r="B1218" s="6" t="s">
        <v>7</v>
      </c>
      <c r="C1218" s="6" t="s">
        <v>54</v>
      </c>
      <c r="D1218" s="6" t="s">
        <v>100</v>
      </c>
      <c r="E1218" s="10" t="s">
        <v>1359</v>
      </c>
      <c r="F1218" s="6" t="s">
        <v>4085</v>
      </c>
      <c r="G1218" s="6" t="s">
        <v>81</v>
      </c>
      <c r="H1218" s="6" t="s">
        <v>7007</v>
      </c>
      <c r="I1218" s="6" t="s">
        <v>8511</v>
      </c>
      <c r="J1218" s="6" t="s">
        <v>9750</v>
      </c>
      <c r="K1218" s="6" t="s">
        <v>10886</v>
      </c>
      <c r="L1218" s="16" t="n">
        <v>45098</v>
      </c>
      <c r="M1218" s="16" t="n">
        <v>45716</v>
      </c>
      <c r="N1218" s="6" t="s">
        <v>10886</v>
      </c>
      <c r="O1218" s="16" t="n">
        <v>45098</v>
      </c>
      <c r="P1218" s="6" t="s">
        <v>11015</v>
      </c>
      <c r="Q1218" s="6" t="s">
        <v>81</v>
      </c>
      <c r="R1218" s="6" t="s">
        <v>81</v>
      </c>
      <c r="S1218" s="6" t="s">
        <v>10886</v>
      </c>
      <c r="T1218" s="16" t="n">
        <v>45098</v>
      </c>
      <c r="U1218" s="6" t="s">
        <v>13169</v>
      </c>
      <c r="V1218" s="6" t="s">
        <v>81</v>
      </c>
      <c r="W1218" s="6" t="s">
        <v>81</v>
      </c>
      <c r="X1218" s="6" t="s">
        <v>81</v>
      </c>
      <c r="Y1218" s="21" t="s">
        <v>81</v>
      </c>
      <c r="Z1218" s="6" t="s">
        <v>81</v>
      </c>
      <c r="AA1218" s="6" t="s">
        <v>81</v>
      </c>
      <c r="AB1218" s="6" t="s">
        <v>81</v>
      </c>
      <c r="AC1218" s="6" t="s">
        <v>81</v>
      </c>
      <c r="AD1218" s="21" t="s">
        <v>81</v>
      </c>
      <c r="AE1218" s="6" t="s">
        <v>81</v>
      </c>
      <c r="AF1218" s="6" t="s">
        <v>81</v>
      </c>
      <c r="AG1218" s="6" t="s">
        <v>81</v>
      </c>
      <c r="AH1218" s="6" t="s">
        <v>15787</v>
      </c>
      <c r="AI1218" s="6" t="s">
        <v>81</v>
      </c>
      <c r="AJ1218" s="6" t="s">
        <v>17347</v>
      </c>
      <c r="AK1218" s="6" t="s">
        <v>17712</v>
      </c>
      <c r="AL1218" s="6" t="s">
        <v>18444</v>
      </c>
      <c r="AM1218" s="6" t="s">
        <v>18659</v>
      </c>
      <c r="AN1218" s="6" t="s">
        <v>81</v>
      </c>
      <c r="AO1218" s="6" t="s">
        <v>81</v>
      </c>
      <c r="AP1218" s="6" t="s">
        <v>15787</v>
      </c>
      <c r="AQ1218" s="6" t="s">
        <v>81</v>
      </c>
      <c r="AR1218" s="6" t="s">
        <v>17347</v>
      </c>
      <c r="AS1218" s="6" t="s">
        <v>17712</v>
      </c>
      <c r="AT1218" s="6" t="s">
        <v>18444</v>
      </c>
      <c r="AU1218" s="6" t="s">
        <v>18659</v>
      </c>
      <c r="AV1218" s="6" t="s">
        <v>81</v>
      </c>
      <c r="AW1218" s="6" t="s">
        <v>81</v>
      </c>
      <c r="AX1218" s="6" t="s">
        <v>21499</v>
      </c>
      <c r="AY1218" s="6" t="s">
        <v>81</v>
      </c>
      <c r="AZ1218" s="6" t="s">
        <v>81</v>
      </c>
      <c r="BA1218" s="6" t="s">
        <v>81</v>
      </c>
      <c r="BB1218" s="24" t="n">
        <v>180</v>
      </c>
      <c r="BC1218" s="26"/>
      <c r="BD1218" s="26"/>
      <c r="BE1218" s="26"/>
      <c r="BF1218" s="26" t="s">
        <v>23900</v>
      </c>
      <c r="BG1218" s="26"/>
      <c r="BH1218" s="26"/>
      <c r="BI1218" s="26"/>
      <c r="BJ1218" s="26"/>
      <c r="BK1218" s="26"/>
      <c r="BL1218" s="26"/>
      <c r="BM1218" s="26"/>
      <c r="BN1218" s="26"/>
      <c r="BO1218" s="26"/>
      <c r="BP1218" s="16" t="n">
        <v>45672</v>
      </c>
      <c r="BQ1218" s="28" t="str">
        <f>HYPERLINK("https://organic.ams.usda.gov/Integrity/Certificate.aspx?cid=57&amp;nopid=3252023057")</f>
        <v>https://organic.ams.usda.gov/Integrity/Certificate.aspx?cid=57&amp;nopid=3252023057</v>
      </c>
    </row>
    <row r="1219">
      <c r="A1219" t="s">
        <v>3</v>
      </c>
      <c r="B1219" s="6" t="s">
        <v>12</v>
      </c>
      <c r="C1219" s="6" t="s">
        <v>59</v>
      </c>
      <c r="D1219" s="6" t="s">
        <v>105</v>
      </c>
      <c r="E1219" s="10" t="s">
        <v>1360</v>
      </c>
      <c r="F1219" s="6" t="s">
        <v>4086</v>
      </c>
      <c r="G1219" s="6" t="s">
        <v>81</v>
      </c>
      <c r="H1219" s="6" t="s">
        <v>7008</v>
      </c>
      <c r="I1219" s="6" t="s">
        <v>8511</v>
      </c>
      <c r="J1219" s="6" t="s">
        <v>10257</v>
      </c>
      <c r="K1219" s="6" t="s">
        <v>10886</v>
      </c>
      <c r="L1219" s="16" t="n">
        <v>42661</v>
      </c>
      <c r="M1219" s="16" t="n">
        <v>45717</v>
      </c>
      <c r="N1219" s="6" t="s">
        <v>10886</v>
      </c>
      <c r="O1219" s="16" t="n">
        <v>42661</v>
      </c>
      <c r="P1219" s="6" t="s">
        <v>10997</v>
      </c>
      <c r="Q1219" s="6" t="s">
        <v>81</v>
      </c>
      <c r="R1219" s="6" t="s">
        <v>81</v>
      </c>
      <c r="S1219" s="6" t="s">
        <v>10886</v>
      </c>
      <c r="T1219" s="16" t="n">
        <v>42661</v>
      </c>
      <c r="U1219" s="6" t="s">
        <v>13183</v>
      </c>
      <c r="V1219" s="6" t="s">
        <v>81</v>
      </c>
      <c r="W1219" s="6" t="s">
        <v>81</v>
      </c>
      <c r="X1219" s="6" t="s">
        <v>81</v>
      </c>
      <c r="Y1219" s="21" t="s">
        <v>81</v>
      </c>
      <c r="Z1219" s="6" t="s">
        <v>81</v>
      </c>
      <c r="AA1219" s="6" t="s">
        <v>81</v>
      </c>
      <c r="AB1219" s="6" t="s">
        <v>81</v>
      </c>
      <c r="AC1219" s="6" t="s">
        <v>81</v>
      </c>
      <c r="AD1219" s="21" t="s">
        <v>81</v>
      </c>
      <c r="AE1219" s="6" t="s">
        <v>81</v>
      </c>
      <c r="AF1219" s="6" t="s">
        <v>81</v>
      </c>
      <c r="AG1219" s="6" t="s">
        <v>81</v>
      </c>
      <c r="AH1219" s="6" t="s">
        <v>15788</v>
      </c>
      <c r="AI1219" s="6" t="s">
        <v>81</v>
      </c>
      <c r="AJ1219" s="6" t="s">
        <v>17892</v>
      </c>
      <c r="AK1219" s="6" t="s">
        <v>17712</v>
      </c>
      <c r="AL1219" s="6" t="s">
        <v>18444</v>
      </c>
      <c r="AM1219" s="6" t="s">
        <v>7478</v>
      </c>
      <c r="AN1219" s="6" t="s">
        <v>19696</v>
      </c>
      <c r="AO1219" s="6" t="s">
        <v>19791</v>
      </c>
      <c r="AP1219" s="6" t="s">
        <v>15788</v>
      </c>
      <c r="AQ1219" s="6" t="s">
        <v>81</v>
      </c>
      <c r="AR1219" s="6" t="s">
        <v>17892</v>
      </c>
      <c r="AS1219" s="6" t="s">
        <v>17712</v>
      </c>
      <c r="AT1219" s="6" t="s">
        <v>18444</v>
      </c>
      <c r="AU1219" s="6" t="s">
        <v>7478</v>
      </c>
      <c r="AV1219" s="6" t="s">
        <v>81</v>
      </c>
      <c r="AW1219" s="6" t="s">
        <v>81</v>
      </c>
      <c r="AX1219" s="6" t="s">
        <v>21500</v>
      </c>
      <c r="AY1219" s="6" t="s">
        <v>81</v>
      </c>
      <c r="AZ1219" s="6" t="s">
        <v>81</v>
      </c>
      <c r="BA1219" s="6" t="s">
        <v>81</v>
      </c>
      <c r="BB1219" s="24" t="n">
        <v>328</v>
      </c>
      <c r="BC1219" s="26"/>
      <c r="BD1219" s="26"/>
      <c r="BE1219" s="26"/>
      <c r="BF1219" s="26"/>
      <c r="BG1219" s="26"/>
      <c r="BH1219" s="26"/>
      <c r="BI1219" s="26"/>
      <c r="BJ1219" s="26"/>
      <c r="BK1219" s="26"/>
      <c r="BL1219" s="26"/>
      <c r="BM1219" s="26"/>
      <c r="BN1219" s="26"/>
      <c r="BO1219" s="26"/>
      <c r="BP1219" s="16" t="n">
        <v>45684</v>
      </c>
      <c r="BQ1219" s="28" t="str">
        <f>HYPERLINK("https://organic.ams.usda.gov/Integrity/Certificate.aspx?cid=68&amp;nopid=8210004173")</f>
        <v>https://organic.ams.usda.gov/Integrity/Certificate.aspx?cid=68&amp;nopid=8210004173</v>
      </c>
    </row>
    <row r="1220">
      <c r="A1220" t="s">
        <v>3</v>
      </c>
      <c r="B1220" s="6" t="s">
        <v>15</v>
      </c>
      <c r="C1220" s="6" t="s">
        <v>62</v>
      </c>
      <c r="D1220" s="6" t="s">
        <v>108</v>
      </c>
      <c r="E1220" s="10" t="s">
        <v>1361</v>
      </c>
      <c r="F1220" s="6" t="s">
        <v>4087</v>
      </c>
      <c r="G1220" s="6" t="s">
        <v>5704</v>
      </c>
      <c r="H1220" s="6" t="s">
        <v>7009</v>
      </c>
      <c r="I1220" s="6" t="s">
        <v>8511</v>
      </c>
      <c r="J1220" s="6" t="s">
        <v>9726</v>
      </c>
      <c r="K1220" s="6" t="s">
        <v>10886</v>
      </c>
      <c r="L1220" s="16" t="n">
        <v>39930</v>
      </c>
      <c r="M1220" s="16" t="n">
        <v>46157</v>
      </c>
      <c r="N1220" s="6" t="s">
        <v>10886</v>
      </c>
      <c r="O1220" s="16" t="n">
        <v>39930</v>
      </c>
      <c r="P1220" s="6" t="s">
        <v>11624</v>
      </c>
      <c r="Q1220" s="6" t="s">
        <v>81</v>
      </c>
      <c r="R1220" s="6" t="s">
        <v>81</v>
      </c>
      <c r="S1220" s="6" t="s">
        <v>10886</v>
      </c>
      <c r="T1220" s="16" t="n">
        <v>39930</v>
      </c>
      <c r="U1220" s="6" t="s">
        <v>13316</v>
      </c>
      <c r="V1220" s="6" t="s">
        <v>81</v>
      </c>
      <c r="W1220" s="6" t="s">
        <v>81</v>
      </c>
      <c r="X1220" s="6" t="s">
        <v>81</v>
      </c>
      <c r="Y1220" s="21" t="s">
        <v>81</v>
      </c>
      <c r="Z1220" s="6" t="s">
        <v>81</v>
      </c>
      <c r="AA1220" s="6" t="s">
        <v>81</v>
      </c>
      <c r="AB1220" s="6" t="s">
        <v>81</v>
      </c>
      <c r="AC1220" s="6" t="s">
        <v>81</v>
      </c>
      <c r="AD1220" s="21" t="s">
        <v>81</v>
      </c>
      <c r="AE1220" s="6" t="s">
        <v>81</v>
      </c>
      <c r="AF1220" s="6" t="s">
        <v>81</v>
      </c>
      <c r="AG1220" s="6" t="s">
        <v>81</v>
      </c>
      <c r="AH1220" s="6" t="s">
        <v>15789</v>
      </c>
      <c r="AI1220" s="6" t="s">
        <v>81</v>
      </c>
      <c r="AJ1220" s="6" t="s">
        <v>17933</v>
      </c>
      <c r="AK1220" s="6" t="s">
        <v>18378</v>
      </c>
      <c r="AL1220" s="6" t="s">
        <v>18444</v>
      </c>
      <c r="AM1220" s="6" t="s">
        <v>19122</v>
      </c>
      <c r="AN1220" s="6" t="s">
        <v>19664</v>
      </c>
      <c r="AO1220" s="6" t="s">
        <v>19874</v>
      </c>
      <c r="AP1220" s="6" t="s">
        <v>15789</v>
      </c>
      <c r="AQ1220" s="6" t="s">
        <v>81</v>
      </c>
      <c r="AR1220" s="6" t="s">
        <v>17933</v>
      </c>
      <c r="AS1220" s="6" t="s">
        <v>18378</v>
      </c>
      <c r="AT1220" s="6" t="s">
        <v>18444</v>
      </c>
      <c r="AU1220" s="6" t="s">
        <v>19122</v>
      </c>
      <c r="AV1220" s="6" t="s">
        <v>81</v>
      </c>
      <c r="AW1220" s="6" t="s">
        <v>81</v>
      </c>
      <c r="AX1220" s="6" t="s">
        <v>21501</v>
      </c>
      <c r="AY1220" s="6" t="s">
        <v>81</v>
      </c>
      <c r="AZ1220" s="6" t="s">
        <v>81</v>
      </c>
      <c r="BA1220" s="6" t="s">
        <v>81</v>
      </c>
      <c r="BB1220" s="24" t="n">
        <v>137</v>
      </c>
      <c r="BC1220" s="26"/>
      <c r="BD1220" s="26"/>
      <c r="BE1220" s="26"/>
      <c r="BF1220" s="26" t="s">
        <v>23900</v>
      </c>
      <c r="BG1220" s="26"/>
      <c r="BH1220" s="26"/>
      <c r="BI1220" s="26"/>
      <c r="BJ1220" s="26"/>
      <c r="BK1220" s="26"/>
      <c r="BL1220" s="26"/>
      <c r="BM1220" s="26"/>
      <c r="BN1220" s="26"/>
      <c r="BO1220" s="26"/>
      <c r="BP1220" s="16" t="n">
        <v>45737</v>
      </c>
      <c r="BQ1220" s="28" t="str">
        <f>HYPERLINK("https://organic.ams.usda.gov/Integrity/Certificate.aspx?cid=58&amp;nopid=1600001586")</f>
        <v>https://organic.ams.usda.gov/Integrity/Certificate.aspx?cid=58&amp;nopid=1600001586</v>
      </c>
    </row>
    <row r="1221">
      <c r="A1221" t="s">
        <v>3</v>
      </c>
      <c r="B1221" s="6" t="s">
        <v>12</v>
      </c>
      <c r="C1221" s="6" t="s">
        <v>59</v>
      </c>
      <c r="D1221" s="6" t="s">
        <v>105</v>
      </c>
      <c r="E1221" s="10" t="s">
        <v>1362</v>
      </c>
      <c r="F1221" s="6" t="s">
        <v>4088</v>
      </c>
      <c r="G1221" s="6" t="s">
        <v>81</v>
      </c>
      <c r="H1221" s="6" t="s">
        <v>7010</v>
      </c>
      <c r="I1221" s="6" t="s">
        <v>8511</v>
      </c>
      <c r="J1221" s="6" t="s">
        <v>9699</v>
      </c>
      <c r="K1221" s="6" t="s">
        <v>10886</v>
      </c>
      <c r="L1221" s="16" t="n">
        <v>43621</v>
      </c>
      <c r="M1221" s="16" t="n">
        <v>45717</v>
      </c>
      <c r="N1221" s="6" t="s">
        <v>10886</v>
      </c>
      <c r="O1221" s="16" t="n">
        <v>43621</v>
      </c>
      <c r="P1221" s="6" t="s">
        <v>11625</v>
      </c>
      <c r="Q1221" s="6" t="s">
        <v>81</v>
      </c>
      <c r="R1221" s="6" t="s">
        <v>81</v>
      </c>
      <c r="S1221" s="6" t="s">
        <v>10886</v>
      </c>
      <c r="T1221" s="16" t="n">
        <v>43621</v>
      </c>
      <c r="U1221" s="6" t="s">
        <v>13209</v>
      </c>
      <c r="V1221" s="6" t="s">
        <v>81</v>
      </c>
      <c r="W1221" s="6" t="s">
        <v>81</v>
      </c>
      <c r="X1221" s="6" t="s">
        <v>81</v>
      </c>
      <c r="Y1221" s="21" t="s">
        <v>81</v>
      </c>
      <c r="Z1221" s="6" t="s">
        <v>81</v>
      </c>
      <c r="AA1221" s="6" t="s">
        <v>81</v>
      </c>
      <c r="AB1221" s="6" t="s">
        <v>81</v>
      </c>
      <c r="AC1221" s="6" t="s">
        <v>81</v>
      </c>
      <c r="AD1221" s="21" t="s">
        <v>81</v>
      </c>
      <c r="AE1221" s="6" t="s">
        <v>81</v>
      </c>
      <c r="AF1221" s="6" t="s">
        <v>81</v>
      </c>
      <c r="AG1221" s="6" t="s">
        <v>81</v>
      </c>
      <c r="AH1221" s="6" t="s">
        <v>15790</v>
      </c>
      <c r="AI1221" s="6" t="s">
        <v>81</v>
      </c>
      <c r="AJ1221" s="6" t="s">
        <v>17395</v>
      </c>
      <c r="AK1221" s="6" t="s">
        <v>17712</v>
      </c>
      <c r="AL1221" s="6" t="s">
        <v>18444</v>
      </c>
      <c r="AM1221" s="6" t="s">
        <v>18551</v>
      </c>
      <c r="AN1221" s="6" t="s">
        <v>19667</v>
      </c>
      <c r="AO1221" s="6" t="s">
        <v>19774</v>
      </c>
      <c r="AP1221" s="6" t="s">
        <v>15790</v>
      </c>
      <c r="AQ1221" s="6" t="s">
        <v>81</v>
      </c>
      <c r="AR1221" s="6" t="s">
        <v>17395</v>
      </c>
      <c r="AS1221" s="6" t="s">
        <v>17712</v>
      </c>
      <c r="AT1221" s="6" t="s">
        <v>18444</v>
      </c>
      <c r="AU1221" s="6" t="s">
        <v>18551</v>
      </c>
      <c r="AV1221" s="6" t="s">
        <v>81</v>
      </c>
      <c r="AW1221" s="6" t="s">
        <v>81</v>
      </c>
      <c r="AX1221" s="6" t="s">
        <v>21502</v>
      </c>
      <c r="AY1221" s="6" t="s">
        <v>81</v>
      </c>
      <c r="AZ1221" s="6" t="s">
        <v>81</v>
      </c>
      <c r="BA1221" s="6" t="s">
        <v>81</v>
      </c>
      <c r="BB1221" s="24" t="n">
        <v>106</v>
      </c>
      <c r="BC1221" s="26"/>
      <c r="BD1221" s="26"/>
      <c r="BE1221" s="26"/>
      <c r="BF1221" s="26"/>
      <c r="BG1221" s="26"/>
      <c r="BH1221" s="26"/>
      <c r="BI1221" s="26"/>
      <c r="BJ1221" s="26"/>
      <c r="BK1221" s="26"/>
      <c r="BL1221" s="26"/>
      <c r="BM1221" s="26"/>
      <c r="BN1221" s="26"/>
      <c r="BO1221" s="26"/>
      <c r="BP1221" s="16" t="n">
        <v>45684</v>
      </c>
      <c r="BQ1221" s="28" t="str">
        <f>HYPERLINK("https://organic.ams.usda.gov/Integrity/Certificate.aspx?cid=68&amp;nopid=8210002815")</f>
        <v>https://organic.ams.usda.gov/Integrity/Certificate.aspx?cid=68&amp;nopid=8210002815</v>
      </c>
    </row>
    <row r="1222">
      <c r="A1222" t="s">
        <v>3</v>
      </c>
      <c r="B1222" s="6" t="s">
        <v>8</v>
      </c>
      <c r="C1222" s="6" t="s">
        <v>55</v>
      </c>
      <c r="D1222" s="6" t="s">
        <v>101</v>
      </c>
      <c r="E1222" s="10" t="s">
        <v>1363</v>
      </c>
      <c r="F1222" s="6" t="s">
        <v>4089</v>
      </c>
      <c r="G1222" s="6" t="s">
        <v>81</v>
      </c>
      <c r="H1222" s="6" t="s">
        <v>7011</v>
      </c>
      <c r="I1222" s="6" t="s">
        <v>8511</v>
      </c>
      <c r="J1222" s="6" t="s">
        <v>10258</v>
      </c>
      <c r="K1222" s="6" t="s">
        <v>10886</v>
      </c>
      <c r="L1222" s="16" t="n">
        <v>39108</v>
      </c>
      <c r="M1222" s="16" t="n">
        <v>45383</v>
      </c>
      <c r="N1222" s="6" t="s">
        <v>10886</v>
      </c>
      <c r="O1222" s="16" t="n">
        <v>39108</v>
      </c>
      <c r="P1222" s="6" t="s">
        <v>11626</v>
      </c>
      <c r="Q1222" s="6" t="s">
        <v>81</v>
      </c>
      <c r="R1222" s="6" t="s">
        <v>7011</v>
      </c>
      <c r="S1222" s="6" t="s">
        <v>10886</v>
      </c>
      <c r="T1222" s="16" t="n">
        <v>39108</v>
      </c>
      <c r="U1222" s="6" t="s">
        <v>13173</v>
      </c>
      <c r="V1222" s="6" t="s">
        <v>81</v>
      </c>
      <c r="W1222" s="6" t="s">
        <v>7011</v>
      </c>
      <c r="X1222" s="6" t="s">
        <v>81</v>
      </c>
      <c r="Y1222" s="21" t="s">
        <v>81</v>
      </c>
      <c r="Z1222" s="6" t="s">
        <v>81</v>
      </c>
      <c r="AA1222" s="6" t="s">
        <v>81</v>
      </c>
      <c r="AB1222" s="6" t="s">
        <v>81</v>
      </c>
      <c r="AC1222" s="6" t="s">
        <v>81</v>
      </c>
      <c r="AD1222" s="21" t="s">
        <v>81</v>
      </c>
      <c r="AE1222" s="6" t="s">
        <v>81</v>
      </c>
      <c r="AF1222" s="6" t="s">
        <v>81</v>
      </c>
      <c r="AG1222" s="6" t="s">
        <v>81</v>
      </c>
      <c r="AH1222" s="6" t="s">
        <v>15791</v>
      </c>
      <c r="AI1222" s="6" t="s">
        <v>81</v>
      </c>
      <c r="AJ1222" s="6" t="s">
        <v>17893</v>
      </c>
      <c r="AK1222" s="6" t="s">
        <v>18377</v>
      </c>
      <c r="AL1222" s="6" t="s">
        <v>18444</v>
      </c>
      <c r="AM1222" s="6" t="s">
        <v>19080</v>
      </c>
      <c r="AN1222" s="6" t="s">
        <v>19681</v>
      </c>
      <c r="AO1222" s="6" t="s">
        <v>19853</v>
      </c>
      <c r="AP1222" s="6" t="s">
        <v>81</v>
      </c>
      <c r="AQ1222" s="6" t="s">
        <v>81</v>
      </c>
      <c r="AR1222" s="6" t="s">
        <v>81</v>
      </c>
      <c r="AS1222" s="6" t="s">
        <v>81</v>
      </c>
      <c r="AT1222" s="6" t="s">
        <v>81</v>
      </c>
      <c r="AU1222" s="6" t="s">
        <v>81</v>
      </c>
      <c r="AV1222" s="6" t="s">
        <v>81</v>
      </c>
      <c r="AW1222" s="6" t="s">
        <v>81</v>
      </c>
      <c r="AX1222" s="6" t="s">
        <v>81</v>
      </c>
      <c r="AY1222" s="6" t="s">
        <v>23007</v>
      </c>
      <c r="AZ1222" s="6" t="s">
        <v>81</v>
      </c>
      <c r="BA1222" s="6" t="s">
        <v>23819</v>
      </c>
      <c r="BB1222" s="24" t="n">
        <v>44</v>
      </c>
      <c r="BC1222" s="26"/>
      <c r="BD1222" s="26"/>
      <c r="BE1222" s="26"/>
      <c r="BF1222" s="26" t="s">
        <v>23900</v>
      </c>
      <c r="BG1222" s="26"/>
      <c r="BH1222" s="26"/>
      <c r="BI1222" s="26"/>
      <c r="BJ1222" s="26"/>
      <c r="BK1222" s="26"/>
      <c r="BL1222" s="26"/>
      <c r="BM1222" s="26"/>
      <c r="BN1222" s="26"/>
      <c r="BO1222" s="26"/>
      <c r="BP1222" s="16" t="n">
        <v>45397</v>
      </c>
      <c r="BQ1222" s="28" t="str">
        <f>HYPERLINK("https://organic.ams.usda.gov/Integrity/Certificate.aspx?cid=45&amp;nopid=9950002573")</f>
        <v>https://organic.ams.usda.gov/Integrity/Certificate.aspx?cid=45&amp;nopid=9950002573</v>
      </c>
    </row>
    <row r="1223">
      <c r="A1223" t="s">
        <v>3</v>
      </c>
      <c r="B1223" s="6" t="s">
        <v>7</v>
      </c>
      <c r="C1223" s="6" t="s">
        <v>54</v>
      </c>
      <c r="D1223" s="6" t="s">
        <v>100</v>
      </c>
      <c r="E1223" s="10" t="s">
        <v>1364</v>
      </c>
      <c r="F1223" s="6" t="s">
        <v>4090</v>
      </c>
      <c r="G1223" s="6" t="s">
        <v>81</v>
      </c>
      <c r="H1223" s="6" t="s">
        <v>7012</v>
      </c>
      <c r="I1223" s="6" t="s">
        <v>8511</v>
      </c>
      <c r="J1223" s="6" t="s">
        <v>9666</v>
      </c>
      <c r="K1223" s="6" t="s">
        <v>10886</v>
      </c>
      <c r="L1223" s="16" t="n">
        <v>43291</v>
      </c>
      <c r="M1223" s="16" t="n">
        <v>45716</v>
      </c>
      <c r="N1223" s="6" t="s">
        <v>10886</v>
      </c>
      <c r="O1223" s="16" t="n">
        <v>43291</v>
      </c>
      <c r="P1223" s="6" t="s">
        <v>10910</v>
      </c>
      <c r="Q1223" s="6" t="s">
        <v>81</v>
      </c>
      <c r="R1223" s="6" t="s">
        <v>81</v>
      </c>
      <c r="S1223" s="6" t="s">
        <v>10886</v>
      </c>
      <c r="T1223" s="16" t="n">
        <v>43348</v>
      </c>
      <c r="U1223" s="6" t="s">
        <v>13169</v>
      </c>
      <c r="V1223" s="6" t="s">
        <v>81</v>
      </c>
      <c r="W1223" s="6" t="s">
        <v>81</v>
      </c>
      <c r="X1223" s="6" t="s">
        <v>81</v>
      </c>
      <c r="Y1223" s="21" t="s">
        <v>81</v>
      </c>
      <c r="Z1223" s="6" t="s">
        <v>81</v>
      </c>
      <c r="AA1223" s="6" t="s">
        <v>81</v>
      </c>
      <c r="AB1223" s="6" t="s">
        <v>81</v>
      </c>
      <c r="AC1223" s="6" t="s">
        <v>81</v>
      </c>
      <c r="AD1223" s="21" t="s">
        <v>81</v>
      </c>
      <c r="AE1223" s="6" t="s">
        <v>81</v>
      </c>
      <c r="AF1223" s="6" t="s">
        <v>81</v>
      </c>
      <c r="AG1223" s="6" t="s">
        <v>81</v>
      </c>
      <c r="AH1223" s="6" t="s">
        <v>15792</v>
      </c>
      <c r="AI1223" s="6" t="s">
        <v>81</v>
      </c>
      <c r="AJ1223" s="6" t="s">
        <v>17352</v>
      </c>
      <c r="AK1223" s="6" t="s">
        <v>17712</v>
      </c>
      <c r="AL1223" s="6" t="s">
        <v>18444</v>
      </c>
      <c r="AM1223" s="6" t="s">
        <v>18506</v>
      </c>
      <c r="AN1223" s="6" t="s">
        <v>19652</v>
      </c>
      <c r="AO1223" s="6" t="s">
        <v>19742</v>
      </c>
      <c r="AP1223" s="6" t="s">
        <v>15792</v>
      </c>
      <c r="AQ1223" s="6" t="s">
        <v>81</v>
      </c>
      <c r="AR1223" s="6" t="s">
        <v>17352</v>
      </c>
      <c r="AS1223" s="6" t="s">
        <v>17712</v>
      </c>
      <c r="AT1223" s="6" t="s">
        <v>18444</v>
      </c>
      <c r="AU1223" s="6" t="s">
        <v>18506</v>
      </c>
      <c r="AV1223" s="6" t="s">
        <v>81</v>
      </c>
      <c r="AW1223" s="6" t="s">
        <v>81</v>
      </c>
      <c r="AX1223" s="6" t="s">
        <v>21503</v>
      </c>
      <c r="AY1223" s="6" t="s">
        <v>81</v>
      </c>
      <c r="AZ1223" s="6" t="s">
        <v>81</v>
      </c>
      <c r="BA1223" s="6" t="s">
        <v>81</v>
      </c>
      <c r="BB1223" s="24" t="n">
        <v>174</v>
      </c>
      <c r="BC1223" s="26"/>
      <c r="BD1223" s="26"/>
      <c r="BE1223" s="26"/>
      <c r="BF1223" s="26" t="s">
        <v>23900</v>
      </c>
      <c r="BG1223" s="26"/>
      <c r="BH1223" s="26"/>
      <c r="BI1223" s="26"/>
      <c r="BJ1223" s="26"/>
      <c r="BK1223" s="26"/>
      <c r="BL1223" s="26"/>
      <c r="BM1223" s="26"/>
      <c r="BN1223" s="26"/>
      <c r="BO1223" s="26"/>
      <c r="BP1223" s="16" t="n">
        <v>45595</v>
      </c>
      <c r="BQ1223" s="28" t="str">
        <f>HYPERLINK("https://organic.ams.usda.gov/Integrity/Certificate.aspx?cid=57&amp;nopid=3252018045")</f>
        <v>https://organic.ams.usda.gov/Integrity/Certificate.aspx?cid=57&amp;nopid=3252018045</v>
      </c>
    </row>
    <row r="1224">
      <c r="A1224" t="s">
        <v>3</v>
      </c>
      <c r="B1224" s="6" t="s">
        <v>8</v>
      </c>
      <c r="C1224" s="6" t="s">
        <v>55</v>
      </c>
      <c r="D1224" s="6" t="s">
        <v>101</v>
      </c>
      <c r="E1224" s="10" t="s">
        <v>1365</v>
      </c>
      <c r="F1224" s="6" t="s">
        <v>4091</v>
      </c>
      <c r="G1224" s="6" t="s">
        <v>81</v>
      </c>
      <c r="H1224" s="6" t="s">
        <v>7013</v>
      </c>
      <c r="I1224" s="6" t="s">
        <v>8666</v>
      </c>
      <c r="J1224" s="6" t="s">
        <v>10259</v>
      </c>
      <c r="K1224" s="6" t="s">
        <v>10886</v>
      </c>
      <c r="L1224" s="16" t="n">
        <v>38551</v>
      </c>
      <c r="M1224" s="16" t="n">
        <v>45689</v>
      </c>
      <c r="N1224" s="6" t="s">
        <v>10886</v>
      </c>
      <c r="O1224" s="16" t="n">
        <v>38551</v>
      </c>
      <c r="P1224" s="6" t="s">
        <v>11627</v>
      </c>
      <c r="Q1224" s="6" t="s">
        <v>81</v>
      </c>
      <c r="R1224" s="6" t="s">
        <v>7013</v>
      </c>
      <c r="S1224" s="6" t="s">
        <v>10886</v>
      </c>
      <c r="T1224" s="16" t="n">
        <v>38551</v>
      </c>
      <c r="U1224" s="6" t="s">
        <v>13179</v>
      </c>
      <c r="V1224" s="6" t="s">
        <v>81</v>
      </c>
      <c r="W1224" s="6" t="s">
        <v>7013</v>
      </c>
      <c r="X1224" s="6" t="s">
        <v>81</v>
      </c>
      <c r="Y1224" s="21" t="s">
        <v>81</v>
      </c>
      <c r="Z1224" s="6" t="s">
        <v>81</v>
      </c>
      <c r="AA1224" s="6" t="s">
        <v>81</v>
      </c>
      <c r="AB1224" s="6" t="s">
        <v>81</v>
      </c>
      <c r="AC1224" s="6" t="s">
        <v>81</v>
      </c>
      <c r="AD1224" s="21" t="s">
        <v>81</v>
      </c>
      <c r="AE1224" s="6" t="s">
        <v>81</v>
      </c>
      <c r="AF1224" s="6" t="s">
        <v>81</v>
      </c>
      <c r="AG1224" s="6" t="s">
        <v>81</v>
      </c>
      <c r="AH1224" s="6" t="s">
        <v>15793</v>
      </c>
      <c r="AI1224" s="6" t="s">
        <v>81</v>
      </c>
      <c r="AJ1224" s="6" t="s">
        <v>17366</v>
      </c>
      <c r="AK1224" s="6" t="s">
        <v>18381</v>
      </c>
      <c r="AL1224" s="6" t="s">
        <v>18444</v>
      </c>
      <c r="AM1224" s="6" t="s">
        <v>18518</v>
      </c>
      <c r="AN1224" s="6" t="s">
        <v>19676</v>
      </c>
      <c r="AO1224" s="6" t="s">
        <v>19797</v>
      </c>
      <c r="AP1224" s="6" t="s">
        <v>20270</v>
      </c>
      <c r="AQ1224" s="6" t="s">
        <v>81</v>
      </c>
      <c r="AR1224" s="6" t="s">
        <v>17366</v>
      </c>
      <c r="AS1224" s="6" t="s">
        <v>18381</v>
      </c>
      <c r="AT1224" s="6" t="s">
        <v>18444</v>
      </c>
      <c r="AU1224" s="6" t="s">
        <v>18518</v>
      </c>
      <c r="AV1224" s="6" t="s">
        <v>81</v>
      </c>
      <c r="AW1224" s="6" t="s">
        <v>81</v>
      </c>
      <c r="AX1224" s="6" t="s">
        <v>81</v>
      </c>
      <c r="AY1224" s="6" t="s">
        <v>23008</v>
      </c>
      <c r="AZ1224" s="6" t="s">
        <v>81</v>
      </c>
      <c r="BA1224" s="6" t="s">
        <v>23819</v>
      </c>
      <c r="BB1224" s="24" t="n">
        <v>800</v>
      </c>
      <c r="BC1224" s="26"/>
      <c r="BD1224" s="26"/>
      <c r="BE1224" s="26"/>
      <c r="BF1224" s="26" t="s">
        <v>23900</v>
      </c>
      <c r="BG1224" s="26"/>
      <c r="BH1224" s="26"/>
      <c r="BI1224" s="26"/>
      <c r="BJ1224" s="26"/>
      <c r="BK1224" s="26"/>
      <c r="BL1224" s="26"/>
      <c r="BM1224" s="26"/>
      <c r="BN1224" s="26"/>
      <c r="BO1224" s="26"/>
      <c r="BP1224" s="16" t="n">
        <v>45674</v>
      </c>
      <c r="BQ1224" s="28" t="str">
        <f>HYPERLINK("https://organic.ams.usda.gov/Integrity/Certificate.aspx?cid=45&amp;nopid=9950001948")</f>
        <v>https://organic.ams.usda.gov/Integrity/Certificate.aspx?cid=45&amp;nopid=9950001948</v>
      </c>
    </row>
    <row r="1225">
      <c r="A1225" t="s">
        <v>3</v>
      </c>
      <c r="B1225" s="6" t="s">
        <v>25</v>
      </c>
      <c r="C1225" s="6" t="s">
        <v>72</v>
      </c>
      <c r="D1225" s="6" t="s">
        <v>118</v>
      </c>
      <c r="E1225" s="10" t="s">
        <v>1366</v>
      </c>
      <c r="F1225" s="6" t="s">
        <v>4092</v>
      </c>
      <c r="G1225" s="6" t="s">
        <v>81</v>
      </c>
      <c r="H1225" s="6" t="s">
        <v>7014</v>
      </c>
      <c r="I1225" s="6" t="s">
        <v>9053</v>
      </c>
      <c r="J1225" s="6" t="s">
        <v>10260</v>
      </c>
      <c r="K1225" s="6" t="s">
        <v>10886</v>
      </c>
      <c r="L1225" s="16" t="n">
        <v>40111</v>
      </c>
      <c r="M1225" s="16" t="n">
        <v>46023</v>
      </c>
      <c r="N1225" s="6" t="s">
        <v>10886</v>
      </c>
      <c r="O1225" s="16" t="n">
        <v>40458</v>
      </c>
      <c r="P1225" s="6" t="s">
        <v>11628</v>
      </c>
      <c r="Q1225" s="6" t="s">
        <v>81</v>
      </c>
      <c r="R1225" s="6" t="s">
        <v>81</v>
      </c>
      <c r="S1225" s="6" t="s">
        <v>10886</v>
      </c>
      <c r="T1225" s="16" t="n">
        <v>40118</v>
      </c>
      <c r="U1225" s="6" t="s">
        <v>13574</v>
      </c>
      <c r="V1225" s="6" t="s">
        <v>81</v>
      </c>
      <c r="W1225" s="6" t="s">
        <v>81</v>
      </c>
      <c r="X1225" s="6" t="s">
        <v>81</v>
      </c>
      <c r="Y1225" s="21" t="s">
        <v>81</v>
      </c>
      <c r="Z1225" s="6" t="s">
        <v>81</v>
      </c>
      <c r="AA1225" s="6" t="s">
        <v>81</v>
      </c>
      <c r="AB1225" s="6" t="s">
        <v>81</v>
      </c>
      <c r="AC1225" s="6" t="s">
        <v>10886</v>
      </c>
      <c r="AD1225" s="16" t="n">
        <v>40118</v>
      </c>
      <c r="AE1225" s="6" t="s">
        <v>14246</v>
      </c>
      <c r="AF1225" s="6" t="s">
        <v>81</v>
      </c>
      <c r="AG1225" s="6" t="s">
        <v>81</v>
      </c>
      <c r="AH1225" s="6" t="s">
        <v>15794</v>
      </c>
      <c r="AI1225" s="6" t="s">
        <v>81</v>
      </c>
      <c r="AJ1225" s="6" t="s">
        <v>17934</v>
      </c>
      <c r="AK1225" s="6" t="s">
        <v>18426</v>
      </c>
      <c r="AL1225" s="6" t="s">
        <v>18444</v>
      </c>
      <c r="AM1225" s="6" t="s">
        <v>19123</v>
      </c>
      <c r="AN1225" s="6" t="s">
        <v>19700</v>
      </c>
      <c r="AO1225" s="6" t="s">
        <v>19979</v>
      </c>
      <c r="AP1225" s="6" t="s">
        <v>15794</v>
      </c>
      <c r="AQ1225" s="6" t="s">
        <v>81</v>
      </c>
      <c r="AR1225" s="6" t="s">
        <v>17934</v>
      </c>
      <c r="AS1225" s="6" t="s">
        <v>18426</v>
      </c>
      <c r="AT1225" s="6" t="s">
        <v>18444</v>
      </c>
      <c r="AU1225" s="6" t="s">
        <v>19123</v>
      </c>
      <c r="AV1225" s="6" t="s">
        <v>81</v>
      </c>
      <c r="AW1225" s="6" t="s">
        <v>81</v>
      </c>
      <c r="AX1225" s="6" t="s">
        <v>21504</v>
      </c>
      <c r="AY1225" s="6" t="s">
        <v>23009</v>
      </c>
      <c r="AZ1225" s="6" t="s">
        <v>23691</v>
      </c>
      <c r="BA1225" s="6" t="s">
        <v>23863</v>
      </c>
      <c r="BB1225" s="24" t="n">
        <v>544</v>
      </c>
      <c r="BC1225" s="26"/>
      <c r="BD1225" s="26"/>
      <c r="BE1225" s="26"/>
      <c r="BF1225" s="26"/>
      <c r="BG1225" s="26"/>
      <c r="BH1225" s="26"/>
      <c r="BI1225" s="26"/>
      <c r="BJ1225" s="26"/>
      <c r="BK1225" s="26"/>
      <c r="BL1225" s="26"/>
      <c r="BM1225" s="26"/>
      <c r="BN1225" s="26"/>
      <c r="BO1225" s="26"/>
      <c r="BP1225" s="16" t="n">
        <v>45698</v>
      </c>
      <c r="BQ1225" s="28" t="str">
        <f>HYPERLINK("https://organic.ams.usda.gov/Integrity/Certificate.aspx?cid=15&amp;nopid=5561000051")</f>
        <v>https://organic.ams.usda.gov/Integrity/Certificate.aspx?cid=15&amp;nopid=5561000051</v>
      </c>
    </row>
    <row r="1226">
      <c r="A1226" t="s">
        <v>3</v>
      </c>
      <c r="B1226" s="6" t="s">
        <v>12</v>
      </c>
      <c r="C1226" s="6" t="s">
        <v>59</v>
      </c>
      <c r="D1226" s="6" t="s">
        <v>105</v>
      </c>
      <c r="E1226" s="10" t="s">
        <v>1367</v>
      </c>
      <c r="F1226" s="6" t="s">
        <v>4093</v>
      </c>
      <c r="G1226" s="6" t="s">
        <v>81</v>
      </c>
      <c r="H1226" s="6" t="s">
        <v>7015</v>
      </c>
      <c r="I1226" s="6" t="s">
        <v>9054</v>
      </c>
      <c r="J1226" s="6" t="s">
        <v>10261</v>
      </c>
      <c r="K1226" s="6" t="s">
        <v>10886</v>
      </c>
      <c r="L1226" s="16" t="n">
        <v>41843</v>
      </c>
      <c r="M1226" s="16" t="n">
        <v>45717</v>
      </c>
      <c r="N1226" s="6" t="s">
        <v>10886</v>
      </c>
      <c r="O1226" s="16" t="n">
        <v>41843</v>
      </c>
      <c r="P1226" s="6" t="s">
        <v>10910</v>
      </c>
      <c r="Q1226" s="6" t="s">
        <v>81</v>
      </c>
      <c r="R1226" s="6" t="s">
        <v>81</v>
      </c>
      <c r="S1226" s="6" t="s">
        <v>10886</v>
      </c>
      <c r="T1226" s="16" t="n">
        <v>41843</v>
      </c>
      <c r="U1226" s="6" t="s">
        <v>13575</v>
      </c>
      <c r="V1226" s="6" t="s">
        <v>81</v>
      </c>
      <c r="W1226" s="6" t="s">
        <v>81</v>
      </c>
      <c r="X1226" s="6" t="s">
        <v>81</v>
      </c>
      <c r="Y1226" s="21" t="s">
        <v>81</v>
      </c>
      <c r="Z1226" s="6" t="s">
        <v>81</v>
      </c>
      <c r="AA1226" s="6" t="s">
        <v>81</v>
      </c>
      <c r="AB1226" s="6" t="s">
        <v>81</v>
      </c>
      <c r="AC1226" s="6" t="s">
        <v>81</v>
      </c>
      <c r="AD1226" s="21" t="s">
        <v>81</v>
      </c>
      <c r="AE1226" s="6" t="s">
        <v>81</v>
      </c>
      <c r="AF1226" s="6" t="s">
        <v>81</v>
      </c>
      <c r="AG1226" s="6" t="s">
        <v>81</v>
      </c>
      <c r="AH1226" s="6" t="s">
        <v>15795</v>
      </c>
      <c r="AI1226" s="6" t="s">
        <v>81</v>
      </c>
      <c r="AJ1226" s="6" t="s">
        <v>17935</v>
      </c>
      <c r="AK1226" s="6" t="s">
        <v>17712</v>
      </c>
      <c r="AL1226" s="6" t="s">
        <v>18444</v>
      </c>
      <c r="AM1226" s="6" t="s">
        <v>19124</v>
      </c>
      <c r="AN1226" s="6" t="s">
        <v>19646</v>
      </c>
      <c r="AO1226" s="6" t="s">
        <v>19729</v>
      </c>
      <c r="AP1226" s="6" t="s">
        <v>15795</v>
      </c>
      <c r="AQ1226" s="6" t="s">
        <v>81</v>
      </c>
      <c r="AR1226" s="6" t="s">
        <v>17935</v>
      </c>
      <c r="AS1226" s="6" t="s">
        <v>17712</v>
      </c>
      <c r="AT1226" s="6" t="s">
        <v>18444</v>
      </c>
      <c r="AU1226" s="6" t="s">
        <v>19124</v>
      </c>
      <c r="AV1226" s="6" t="s">
        <v>81</v>
      </c>
      <c r="AW1226" s="6" t="s">
        <v>81</v>
      </c>
      <c r="AX1226" s="6" t="s">
        <v>21505</v>
      </c>
      <c r="AY1226" s="6" t="s">
        <v>81</v>
      </c>
      <c r="AZ1226" s="6" t="s">
        <v>81</v>
      </c>
      <c r="BA1226" s="6" t="s">
        <v>81</v>
      </c>
      <c r="BB1226" s="24" t="n">
        <v>545</v>
      </c>
      <c r="BC1226" s="26"/>
      <c r="BD1226" s="26"/>
      <c r="BE1226" s="26"/>
      <c r="BF1226" s="26"/>
      <c r="BG1226" s="26"/>
      <c r="BH1226" s="26"/>
      <c r="BI1226" s="26"/>
      <c r="BJ1226" s="26"/>
      <c r="BK1226" s="26"/>
      <c r="BL1226" s="26"/>
      <c r="BM1226" s="26"/>
      <c r="BN1226" s="26"/>
      <c r="BO1226" s="26"/>
      <c r="BP1226" s="16" t="n">
        <v>45720</v>
      </c>
      <c r="BQ1226" s="28" t="str">
        <f>HYPERLINK("https://organic.ams.usda.gov/Integrity/Certificate.aspx?cid=68&amp;nopid=8210002145")</f>
        <v>https://organic.ams.usda.gov/Integrity/Certificate.aspx?cid=68&amp;nopid=8210002145</v>
      </c>
    </row>
    <row r="1227">
      <c r="A1227" t="s">
        <v>3</v>
      </c>
      <c r="B1227" s="6" t="s">
        <v>7</v>
      </c>
      <c r="C1227" s="6" t="s">
        <v>54</v>
      </c>
      <c r="D1227" s="6" t="s">
        <v>100</v>
      </c>
      <c r="E1227" s="10" t="s">
        <v>1368</v>
      </c>
      <c r="F1227" s="6" t="s">
        <v>4094</v>
      </c>
      <c r="G1227" s="6" t="s">
        <v>81</v>
      </c>
      <c r="H1227" s="6" t="s">
        <v>7016</v>
      </c>
      <c r="I1227" s="6" t="s">
        <v>9055</v>
      </c>
      <c r="J1227" s="6" t="s">
        <v>10262</v>
      </c>
      <c r="K1227" s="6" t="s">
        <v>10886</v>
      </c>
      <c r="L1227" s="16" t="n">
        <v>42507</v>
      </c>
      <c r="M1227" s="16" t="n">
        <v>45716</v>
      </c>
      <c r="N1227" s="6" t="s">
        <v>10886</v>
      </c>
      <c r="O1227" s="16" t="n">
        <v>42507</v>
      </c>
      <c r="P1227" s="6" t="s">
        <v>11629</v>
      </c>
      <c r="Q1227" s="6" t="s">
        <v>81</v>
      </c>
      <c r="R1227" s="6" t="s">
        <v>81</v>
      </c>
      <c r="S1227" s="6" t="s">
        <v>10886</v>
      </c>
      <c r="T1227" s="16" t="n">
        <v>42599</v>
      </c>
      <c r="U1227" s="6" t="s">
        <v>13169</v>
      </c>
      <c r="V1227" s="6" t="s">
        <v>81</v>
      </c>
      <c r="W1227" s="6" t="s">
        <v>81</v>
      </c>
      <c r="X1227" s="6" t="s">
        <v>81</v>
      </c>
      <c r="Y1227" s="21" t="s">
        <v>81</v>
      </c>
      <c r="Z1227" s="6" t="s">
        <v>81</v>
      </c>
      <c r="AA1227" s="6" t="s">
        <v>81</v>
      </c>
      <c r="AB1227" s="6" t="s">
        <v>81</v>
      </c>
      <c r="AC1227" s="6" t="s">
        <v>81</v>
      </c>
      <c r="AD1227" s="21" t="s">
        <v>81</v>
      </c>
      <c r="AE1227" s="6" t="s">
        <v>81</v>
      </c>
      <c r="AF1227" s="6" t="s">
        <v>81</v>
      </c>
      <c r="AG1227" s="6" t="s">
        <v>81</v>
      </c>
      <c r="AH1227" s="6" t="s">
        <v>15796</v>
      </c>
      <c r="AI1227" s="6" t="s">
        <v>81</v>
      </c>
      <c r="AJ1227" s="6" t="s">
        <v>17936</v>
      </c>
      <c r="AK1227" s="6" t="s">
        <v>17712</v>
      </c>
      <c r="AL1227" s="6" t="s">
        <v>18444</v>
      </c>
      <c r="AM1227" s="6" t="s">
        <v>19125</v>
      </c>
      <c r="AN1227" s="6" t="s">
        <v>19657</v>
      </c>
      <c r="AO1227" s="6" t="s">
        <v>19751</v>
      </c>
      <c r="AP1227" s="6" t="s">
        <v>15796</v>
      </c>
      <c r="AQ1227" s="6" t="s">
        <v>81</v>
      </c>
      <c r="AR1227" s="6" t="s">
        <v>17936</v>
      </c>
      <c r="AS1227" s="6" t="s">
        <v>17712</v>
      </c>
      <c r="AT1227" s="6" t="s">
        <v>18444</v>
      </c>
      <c r="AU1227" s="6" t="s">
        <v>19125</v>
      </c>
      <c r="AV1227" s="6" t="s">
        <v>81</v>
      </c>
      <c r="AW1227" s="6" t="s">
        <v>81</v>
      </c>
      <c r="AX1227" s="6" t="s">
        <v>21506</v>
      </c>
      <c r="AY1227" s="6" t="s">
        <v>81</v>
      </c>
      <c r="AZ1227" s="6" t="s">
        <v>81</v>
      </c>
      <c r="BA1227" s="6" t="s">
        <v>81</v>
      </c>
      <c r="BB1227" s="24" t="n">
        <v>270</v>
      </c>
      <c r="BC1227" s="26"/>
      <c r="BD1227" s="26"/>
      <c r="BE1227" s="26"/>
      <c r="BF1227" s="26" t="s">
        <v>23900</v>
      </c>
      <c r="BG1227" s="26"/>
      <c r="BH1227" s="26"/>
      <c r="BI1227" s="26"/>
      <c r="BJ1227" s="26"/>
      <c r="BK1227" s="26"/>
      <c r="BL1227" s="26"/>
      <c r="BM1227" s="26"/>
      <c r="BN1227" s="26"/>
      <c r="BO1227" s="26"/>
      <c r="BP1227" s="16" t="n">
        <v>45595</v>
      </c>
      <c r="BQ1227" s="28" t="str">
        <f>HYPERLINK("https://organic.ams.usda.gov/Integrity/Certificate.aspx?cid=57&amp;nopid=3252016079")</f>
        <v>https://organic.ams.usda.gov/Integrity/Certificate.aspx?cid=57&amp;nopid=3252016079</v>
      </c>
    </row>
    <row r="1228">
      <c r="A1228" t="s">
        <v>3</v>
      </c>
      <c r="B1228" s="6" t="s">
        <v>22</v>
      </c>
      <c r="C1228" s="6" t="s">
        <v>69</v>
      </c>
      <c r="D1228" s="6" t="s">
        <v>115</v>
      </c>
      <c r="E1228" s="10" t="s">
        <v>1369</v>
      </c>
      <c r="F1228" s="6" t="s">
        <v>4095</v>
      </c>
      <c r="G1228" s="6" t="s">
        <v>81</v>
      </c>
      <c r="H1228" s="6" t="s">
        <v>7017</v>
      </c>
      <c r="I1228" s="6" t="s">
        <v>9056</v>
      </c>
      <c r="J1228" s="6" t="s">
        <v>10263</v>
      </c>
      <c r="K1228" s="6" t="s">
        <v>10886</v>
      </c>
      <c r="L1228" s="16" t="n">
        <v>43322</v>
      </c>
      <c r="M1228" s="16" t="n">
        <v>45514</v>
      </c>
      <c r="N1228" s="6" t="s">
        <v>10886</v>
      </c>
      <c r="O1228" s="16" t="n">
        <v>43322</v>
      </c>
      <c r="P1228" s="6" t="s">
        <v>11630</v>
      </c>
      <c r="Q1228" s="6" t="s">
        <v>81</v>
      </c>
      <c r="R1228" s="6" t="s">
        <v>81</v>
      </c>
      <c r="S1228" s="6" t="s">
        <v>81</v>
      </c>
      <c r="T1228" s="21" t="s">
        <v>81</v>
      </c>
      <c r="U1228" s="6" t="s">
        <v>81</v>
      </c>
      <c r="V1228" s="6" t="s">
        <v>81</v>
      </c>
      <c r="W1228" s="6" t="s">
        <v>81</v>
      </c>
      <c r="X1228" s="6" t="s">
        <v>81</v>
      </c>
      <c r="Y1228" s="21" t="s">
        <v>81</v>
      </c>
      <c r="Z1228" s="6" t="s">
        <v>81</v>
      </c>
      <c r="AA1228" s="6" t="s">
        <v>81</v>
      </c>
      <c r="AB1228" s="6" t="s">
        <v>81</v>
      </c>
      <c r="AC1228" s="6" t="s">
        <v>10886</v>
      </c>
      <c r="AD1228" s="16" t="n">
        <v>43322</v>
      </c>
      <c r="AE1228" s="6" t="s">
        <v>14247</v>
      </c>
      <c r="AF1228" s="6" t="s">
        <v>81</v>
      </c>
      <c r="AG1228" s="6" t="s">
        <v>81</v>
      </c>
      <c r="AH1228" s="6" t="s">
        <v>15797</v>
      </c>
      <c r="AI1228" s="6" t="s">
        <v>17290</v>
      </c>
      <c r="AJ1228" s="6" t="s">
        <v>17937</v>
      </c>
      <c r="AK1228" s="6" t="s">
        <v>18427</v>
      </c>
      <c r="AL1228" s="6" t="s">
        <v>17856</v>
      </c>
      <c r="AM1228" s="6" t="s">
        <v>81</v>
      </c>
      <c r="AN1228" s="6" t="s">
        <v>81</v>
      </c>
      <c r="AO1228" s="6" t="s">
        <v>81</v>
      </c>
      <c r="AP1228" s="6" t="s">
        <v>20271</v>
      </c>
      <c r="AQ1228" s="6" t="s">
        <v>20481</v>
      </c>
      <c r="AR1228" s="6" t="s">
        <v>20537</v>
      </c>
      <c r="AS1228" s="6" t="s">
        <v>18427</v>
      </c>
      <c r="AT1228" s="6" t="s">
        <v>17856</v>
      </c>
      <c r="AU1228" s="6" t="s">
        <v>20661</v>
      </c>
      <c r="AV1228" s="6" t="s">
        <v>81</v>
      </c>
      <c r="AW1228" s="6" t="s">
        <v>81</v>
      </c>
      <c r="AX1228" s="6" t="s">
        <v>21507</v>
      </c>
      <c r="AY1228" s="6" t="s">
        <v>23010</v>
      </c>
      <c r="AZ1228" s="6" t="s">
        <v>81</v>
      </c>
      <c r="BA1228" s="6" t="s">
        <v>81</v>
      </c>
      <c r="BB1228" s="24" t="n">
        <v>158</v>
      </c>
      <c r="BC1228" s="26"/>
      <c r="BD1228" s="26"/>
      <c r="BE1228" s="26"/>
      <c r="BF1228" s="26"/>
      <c r="BG1228" s="26"/>
      <c r="BH1228" s="26"/>
      <c r="BI1228" s="26"/>
      <c r="BJ1228" s="26"/>
      <c r="BK1228" s="26"/>
      <c r="BL1228" s="26"/>
      <c r="BM1228" s="26"/>
      <c r="BN1228" s="26"/>
      <c r="BO1228" s="26"/>
      <c r="BP1228" s="16" t="n">
        <v>45702</v>
      </c>
      <c r="BQ1228" s="28" t="str">
        <f>HYPERLINK("https://organic.ams.usda.gov/Integrity/Certificate.aspx?cid=21&amp;nopid=1780832904")</f>
        <v>https://organic.ams.usda.gov/Integrity/Certificate.aspx?cid=21&amp;nopid=1780832904</v>
      </c>
    </row>
    <row r="1229">
      <c r="A1229" t="s">
        <v>3</v>
      </c>
      <c r="B1229" s="6" t="s">
        <v>8</v>
      </c>
      <c r="C1229" s="6" t="s">
        <v>55</v>
      </c>
      <c r="D1229" s="6" t="s">
        <v>101</v>
      </c>
      <c r="E1229" s="10" t="s">
        <v>1370</v>
      </c>
      <c r="F1229" s="6" t="s">
        <v>4096</v>
      </c>
      <c r="G1229" s="6" t="s">
        <v>81</v>
      </c>
      <c r="H1229" s="6" t="s">
        <v>7018</v>
      </c>
      <c r="I1229" s="6" t="s">
        <v>8439</v>
      </c>
      <c r="J1229" s="6" t="s">
        <v>10264</v>
      </c>
      <c r="K1229" s="6" t="s">
        <v>10886</v>
      </c>
      <c r="L1229" s="16" t="n">
        <v>39954</v>
      </c>
      <c r="M1229" s="16" t="n">
        <v>45748</v>
      </c>
      <c r="N1229" s="6" t="s">
        <v>10886</v>
      </c>
      <c r="O1229" s="16" t="n">
        <v>39954</v>
      </c>
      <c r="P1229" s="6" t="s">
        <v>11631</v>
      </c>
      <c r="Q1229" s="6" t="s">
        <v>81</v>
      </c>
      <c r="R1229" s="6" t="s">
        <v>7018</v>
      </c>
      <c r="S1229" s="6" t="s">
        <v>10886</v>
      </c>
      <c r="T1229" s="16" t="n">
        <v>39954</v>
      </c>
      <c r="U1229" s="6" t="s">
        <v>13179</v>
      </c>
      <c r="V1229" s="6" t="s">
        <v>81</v>
      </c>
      <c r="W1229" s="6" t="s">
        <v>7018</v>
      </c>
      <c r="X1229" s="6" t="s">
        <v>81</v>
      </c>
      <c r="Y1229" s="21" t="s">
        <v>81</v>
      </c>
      <c r="Z1229" s="6" t="s">
        <v>81</v>
      </c>
      <c r="AA1229" s="6" t="s">
        <v>81</v>
      </c>
      <c r="AB1229" s="6" t="s">
        <v>81</v>
      </c>
      <c r="AC1229" s="6" t="s">
        <v>81</v>
      </c>
      <c r="AD1229" s="21" t="s">
        <v>81</v>
      </c>
      <c r="AE1229" s="6" t="s">
        <v>81</v>
      </c>
      <c r="AF1229" s="6" t="s">
        <v>81</v>
      </c>
      <c r="AG1229" s="6" t="s">
        <v>81</v>
      </c>
      <c r="AH1229" s="6" t="s">
        <v>15798</v>
      </c>
      <c r="AI1229" s="6" t="s">
        <v>81</v>
      </c>
      <c r="AJ1229" s="6" t="s">
        <v>17926</v>
      </c>
      <c r="AK1229" s="6" t="s">
        <v>18377</v>
      </c>
      <c r="AL1229" s="6" t="s">
        <v>18444</v>
      </c>
      <c r="AM1229" s="6" t="s">
        <v>19116</v>
      </c>
      <c r="AN1229" s="6" t="s">
        <v>7195</v>
      </c>
      <c r="AO1229" s="6" t="s">
        <v>19737</v>
      </c>
      <c r="AP1229" s="6" t="s">
        <v>81</v>
      </c>
      <c r="AQ1229" s="6" t="s">
        <v>81</v>
      </c>
      <c r="AR1229" s="6" t="s">
        <v>81</v>
      </c>
      <c r="AS1229" s="6" t="s">
        <v>81</v>
      </c>
      <c r="AT1229" s="6" t="s">
        <v>81</v>
      </c>
      <c r="AU1229" s="6" t="s">
        <v>81</v>
      </c>
      <c r="AV1229" s="6" t="s">
        <v>81</v>
      </c>
      <c r="AW1229" s="6" t="s">
        <v>81</v>
      </c>
      <c r="AX1229" s="6" t="s">
        <v>81</v>
      </c>
      <c r="AY1229" s="6" t="s">
        <v>81</v>
      </c>
      <c r="AZ1229" s="6" t="s">
        <v>81</v>
      </c>
      <c r="BA1229" s="6" t="s">
        <v>23819</v>
      </c>
      <c r="BB1229" s="24" t="n">
        <v>207</v>
      </c>
      <c r="BC1229" s="26"/>
      <c r="BD1229" s="26"/>
      <c r="BE1229" s="26"/>
      <c r="BF1229" s="26" t="s">
        <v>23900</v>
      </c>
      <c r="BG1229" s="26"/>
      <c r="BH1229" s="26"/>
      <c r="BI1229" s="26"/>
      <c r="BJ1229" s="26"/>
      <c r="BK1229" s="26"/>
      <c r="BL1229" s="26"/>
      <c r="BM1229" s="26"/>
      <c r="BN1229" s="26"/>
      <c r="BO1229" s="26"/>
      <c r="BP1229" s="16" t="n">
        <v>45597</v>
      </c>
      <c r="BQ1229" s="28" t="str">
        <f>HYPERLINK("https://organic.ams.usda.gov/Integrity/Certificate.aspx?cid=45&amp;nopid=9950003488")</f>
        <v>https://organic.ams.usda.gov/Integrity/Certificate.aspx?cid=45&amp;nopid=9950003488</v>
      </c>
    </row>
    <row r="1230">
      <c r="A1230" t="s">
        <v>3</v>
      </c>
      <c r="B1230" s="6" t="s">
        <v>10</v>
      </c>
      <c r="C1230" s="6" t="s">
        <v>57</v>
      </c>
      <c r="D1230" s="6" t="s">
        <v>103</v>
      </c>
      <c r="E1230" s="10" t="s">
        <v>1371</v>
      </c>
      <c r="F1230" s="6" t="s">
        <v>4097</v>
      </c>
      <c r="G1230" s="6" t="s">
        <v>81</v>
      </c>
      <c r="H1230" s="6" t="s">
        <v>7019</v>
      </c>
      <c r="I1230" s="6" t="s">
        <v>8439</v>
      </c>
      <c r="J1230" s="6" t="s">
        <v>9804</v>
      </c>
      <c r="K1230" s="6" t="s">
        <v>10886</v>
      </c>
      <c r="L1230" s="16" t="n">
        <v>40121</v>
      </c>
      <c r="M1230" s="16" t="n">
        <v>45748</v>
      </c>
      <c r="N1230" s="6" t="s">
        <v>10886</v>
      </c>
      <c r="O1230" s="16" t="n">
        <v>40121</v>
      </c>
      <c r="P1230" s="6" t="s">
        <v>10925</v>
      </c>
      <c r="Q1230" s="6" t="s">
        <v>81</v>
      </c>
      <c r="R1230" s="6" t="s">
        <v>12753</v>
      </c>
      <c r="S1230" s="6" t="s">
        <v>10886</v>
      </c>
      <c r="T1230" s="16" t="n">
        <v>40121</v>
      </c>
      <c r="U1230" s="6" t="s">
        <v>13163</v>
      </c>
      <c r="V1230" s="6" t="s">
        <v>81</v>
      </c>
      <c r="W1230" s="6" t="s">
        <v>81</v>
      </c>
      <c r="X1230" s="6" t="s">
        <v>81</v>
      </c>
      <c r="Y1230" s="21" t="s">
        <v>81</v>
      </c>
      <c r="Z1230" s="6" t="s">
        <v>81</v>
      </c>
      <c r="AA1230" s="6" t="s">
        <v>81</v>
      </c>
      <c r="AB1230" s="6" t="s">
        <v>81</v>
      </c>
      <c r="AC1230" s="6" t="s">
        <v>81</v>
      </c>
      <c r="AD1230" s="21" t="s">
        <v>81</v>
      </c>
      <c r="AE1230" s="6" t="s">
        <v>81</v>
      </c>
      <c r="AF1230" s="6" t="s">
        <v>81</v>
      </c>
      <c r="AG1230" s="6" t="s">
        <v>81</v>
      </c>
      <c r="AH1230" s="6" t="s">
        <v>15799</v>
      </c>
      <c r="AI1230" s="6" t="s">
        <v>81</v>
      </c>
      <c r="AJ1230" s="6" t="s">
        <v>17402</v>
      </c>
      <c r="AK1230" s="6" t="s">
        <v>18391</v>
      </c>
      <c r="AL1230" s="6" t="s">
        <v>18444</v>
      </c>
      <c r="AM1230" s="6" t="s">
        <v>18558</v>
      </c>
      <c r="AN1230" s="6" t="s">
        <v>19669</v>
      </c>
      <c r="AO1230" s="6" t="s">
        <v>19780</v>
      </c>
      <c r="AP1230" s="6" t="s">
        <v>15799</v>
      </c>
      <c r="AQ1230" s="6" t="s">
        <v>81</v>
      </c>
      <c r="AR1230" s="6" t="s">
        <v>17402</v>
      </c>
      <c r="AS1230" s="6" t="s">
        <v>18391</v>
      </c>
      <c r="AT1230" s="6" t="s">
        <v>18444</v>
      </c>
      <c r="AU1230" s="6" t="s">
        <v>18558</v>
      </c>
      <c r="AV1230" s="6" t="s">
        <v>81</v>
      </c>
      <c r="AW1230" s="6" t="s">
        <v>81</v>
      </c>
      <c r="AX1230" s="6" t="s">
        <v>21508</v>
      </c>
      <c r="AY1230" s="6" t="s">
        <v>81</v>
      </c>
      <c r="AZ1230" s="6" t="s">
        <v>81</v>
      </c>
      <c r="BA1230" s="6" t="s">
        <v>81</v>
      </c>
      <c r="BB1230" s="24" t="n">
        <v>85</v>
      </c>
      <c r="BC1230" s="26"/>
      <c r="BD1230" s="26"/>
      <c r="BE1230" s="26"/>
      <c r="BF1230" s="26"/>
      <c r="BG1230" s="26"/>
      <c r="BH1230" s="26"/>
      <c r="BI1230" s="26"/>
      <c r="BJ1230" s="26"/>
      <c r="BK1230" s="26"/>
      <c r="BL1230" s="26"/>
      <c r="BM1230" s="26"/>
      <c r="BN1230" s="26"/>
      <c r="BO1230" s="26"/>
      <c r="BP1230" s="16" t="n">
        <v>45730</v>
      </c>
      <c r="BQ1230" s="28" t="str">
        <f>HYPERLINK("https://organic.ams.usda.gov/Integrity/Certificate.aspx?cid=90&amp;nopid=7170020135")</f>
        <v>https://organic.ams.usda.gov/Integrity/Certificate.aspx?cid=90&amp;nopid=7170020135</v>
      </c>
    </row>
    <row r="1231">
      <c r="A1231" t="s">
        <v>3</v>
      </c>
      <c r="B1231" s="6" t="s">
        <v>19</v>
      </c>
      <c r="C1231" s="6" t="s">
        <v>66</v>
      </c>
      <c r="D1231" s="6" t="s">
        <v>112</v>
      </c>
      <c r="E1231" s="10" t="s">
        <v>1372</v>
      </c>
      <c r="F1231" s="6" t="s">
        <v>4098</v>
      </c>
      <c r="G1231" s="6" t="s">
        <v>81</v>
      </c>
      <c r="H1231" s="6" t="s">
        <v>7020</v>
      </c>
      <c r="I1231" s="6" t="s">
        <v>81</v>
      </c>
      <c r="J1231" s="6" t="s">
        <v>10265</v>
      </c>
      <c r="K1231" s="6" t="s">
        <v>10886</v>
      </c>
      <c r="L1231" s="16" t="n">
        <v>44139</v>
      </c>
      <c r="M1231" s="16" t="n">
        <v>46054</v>
      </c>
      <c r="N1231" s="6" t="s">
        <v>10886</v>
      </c>
      <c r="O1231" s="16" t="n">
        <v>44139</v>
      </c>
      <c r="P1231" s="6" t="s">
        <v>11155</v>
      </c>
      <c r="Q1231" s="6" t="s">
        <v>81</v>
      </c>
      <c r="R1231" s="6" t="s">
        <v>81</v>
      </c>
      <c r="S1231" s="6" t="s">
        <v>10886</v>
      </c>
      <c r="T1231" s="16" t="n">
        <v>44139</v>
      </c>
      <c r="U1231" s="6" t="s">
        <v>13576</v>
      </c>
      <c r="V1231" s="6" t="s">
        <v>81</v>
      </c>
      <c r="W1231" s="6" t="s">
        <v>81</v>
      </c>
      <c r="X1231" s="6" t="s">
        <v>81</v>
      </c>
      <c r="Y1231" s="21" t="s">
        <v>81</v>
      </c>
      <c r="Z1231" s="6" t="s">
        <v>81</v>
      </c>
      <c r="AA1231" s="6" t="s">
        <v>81</v>
      </c>
      <c r="AB1231" s="6" t="s">
        <v>81</v>
      </c>
      <c r="AC1231" s="6" t="s">
        <v>10886</v>
      </c>
      <c r="AD1231" s="16" t="n">
        <v>44139</v>
      </c>
      <c r="AE1231" s="6" t="s">
        <v>14066</v>
      </c>
      <c r="AF1231" s="6" t="s">
        <v>81</v>
      </c>
      <c r="AG1231" s="6" t="s">
        <v>81</v>
      </c>
      <c r="AH1231" s="6" t="s">
        <v>15800</v>
      </c>
      <c r="AI1231" s="6" t="s">
        <v>81</v>
      </c>
      <c r="AJ1231" s="6" t="s">
        <v>17584</v>
      </c>
      <c r="AK1231" s="6" t="s">
        <v>17712</v>
      </c>
      <c r="AL1231" s="6" t="s">
        <v>18444</v>
      </c>
      <c r="AM1231" s="6" t="s">
        <v>18747</v>
      </c>
      <c r="AN1231" s="6" t="s">
        <v>19669</v>
      </c>
      <c r="AO1231" s="6" t="s">
        <v>19790</v>
      </c>
      <c r="AP1231" s="6" t="s">
        <v>81</v>
      </c>
      <c r="AQ1231" s="6" t="s">
        <v>81</v>
      </c>
      <c r="AR1231" s="6" t="s">
        <v>81</v>
      </c>
      <c r="AS1231" s="6" t="s">
        <v>81</v>
      </c>
      <c r="AT1231" s="6" t="s">
        <v>81</v>
      </c>
      <c r="AU1231" s="6" t="s">
        <v>81</v>
      </c>
      <c r="AV1231" s="6" t="s">
        <v>81</v>
      </c>
      <c r="AW1231" s="6" t="s">
        <v>81</v>
      </c>
      <c r="AX1231" s="6" t="s">
        <v>21509</v>
      </c>
      <c r="AY1231" s="6" t="s">
        <v>23011</v>
      </c>
      <c r="AZ1231" s="6" t="s">
        <v>81</v>
      </c>
      <c r="BA1231" s="6" t="s">
        <v>81</v>
      </c>
      <c r="BB1231" s="24" t="n">
        <v>654</v>
      </c>
      <c r="BC1231" s="26"/>
      <c r="BD1231" s="26"/>
      <c r="BE1231" s="26"/>
      <c r="BF1231" s="26" t="s">
        <v>23900</v>
      </c>
      <c r="BG1231" s="26"/>
      <c r="BH1231" s="26"/>
      <c r="BI1231" s="26"/>
      <c r="BJ1231" s="26"/>
      <c r="BK1231" s="26"/>
      <c r="BL1231" s="26"/>
      <c r="BM1231" s="26"/>
      <c r="BN1231" s="26"/>
      <c r="BO1231" s="26"/>
      <c r="BP1231" s="16" t="n">
        <v>45707</v>
      </c>
      <c r="BQ1231" s="28" t="str">
        <f>HYPERLINK("https://organic.ams.usda.gov/Integrity/Certificate.aspx?cid=24&amp;nopid=7880090240")</f>
        <v>https://organic.ams.usda.gov/Integrity/Certificate.aspx?cid=24&amp;nopid=7880090240</v>
      </c>
    </row>
    <row r="1232">
      <c r="A1232" t="s">
        <v>3</v>
      </c>
      <c r="B1232" s="6" t="s">
        <v>12</v>
      </c>
      <c r="C1232" s="6" t="s">
        <v>59</v>
      </c>
      <c r="D1232" s="6" t="s">
        <v>105</v>
      </c>
      <c r="E1232" s="10" t="s">
        <v>1373</v>
      </c>
      <c r="F1232" s="6" t="s">
        <v>4099</v>
      </c>
      <c r="G1232" s="6" t="s">
        <v>81</v>
      </c>
      <c r="H1232" s="6" t="s">
        <v>7021</v>
      </c>
      <c r="I1232" s="6" t="s">
        <v>8439</v>
      </c>
      <c r="J1232" s="6" t="s">
        <v>9763</v>
      </c>
      <c r="K1232" s="6" t="s">
        <v>10886</v>
      </c>
      <c r="L1232" s="16" t="n">
        <v>42261</v>
      </c>
      <c r="M1232" s="16" t="n">
        <v>45717</v>
      </c>
      <c r="N1232" s="6" t="s">
        <v>10886</v>
      </c>
      <c r="O1232" s="16" t="n">
        <v>42261</v>
      </c>
      <c r="P1232" s="6" t="s">
        <v>11632</v>
      </c>
      <c r="Q1232" s="6" t="s">
        <v>81</v>
      </c>
      <c r="R1232" s="6" t="s">
        <v>81</v>
      </c>
      <c r="S1232" s="6" t="s">
        <v>10886</v>
      </c>
      <c r="T1232" s="16" t="n">
        <v>42261</v>
      </c>
      <c r="U1232" s="6" t="s">
        <v>13171</v>
      </c>
      <c r="V1232" s="6" t="s">
        <v>81</v>
      </c>
      <c r="W1232" s="6" t="s">
        <v>81</v>
      </c>
      <c r="X1232" s="6" t="s">
        <v>81</v>
      </c>
      <c r="Y1232" s="21" t="s">
        <v>81</v>
      </c>
      <c r="Z1232" s="6" t="s">
        <v>81</v>
      </c>
      <c r="AA1232" s="6" t="s">
        <v>81</v>
      </c>
      <c r="AB1232" s="6" t="s">
        <v>81</v>
      </c>
      <c r="AC1232" s="6" t="s">
        <v>81</v>
      </c>
      <c r="AD1232" s="21" t="s">
        <v>81</v>
      </c>
      <c r="AE1232" s="6" t="s">
        <v>81</v>
      </c>
      <c r="AF1232" s="6" t="s">
        <v>81</v>
      </c>
      <c r="AG1232" s="6" t="s">
        <v>81</v>
      </c>
      <c r="AH1232" s="6" t="s">
        <v>15801</v>
      </c>
      <c r="AI1232" s="6" t="s">
        <v>81</v>
      </c>
      <c r="AJ1232" s="6" t="s">
        <v>17595</v>
      </c>
      <c r="AK1232" s="6" t="s">
        <v>17712</v>
      </c>
      <c r="AL1232" s="6" t="s">
        <v>18444</v>
      </c>
      <c r="AM1232" s="6" t="s">
        <v>18761</v>
      </c>
      <c r="AN1232" s="6" t="s">
        <v>7926</v>
      </c>
      <c r="AO1232" s="6" t="s">
        <v>19842</v>
      </c>
      <c r="AP1232" s="6" t="s">
        <v>15801</v>
      </c>
      <c r="AQ1232" s="6" t="s">
        <v>81</v>
      </c>
      <c r="AR1232" s="6" t="s">
        <v>17595</v>
      </c>
      <c r="AS1232" s="6" t="s">
        <v>17712</v>
      </c>
      <c r="AT1232" s="6" t="s">
        <v>18444</v>
      </c>
      <c r="AU1232" s="6" t="s">
        <v>18761</v>
      </c>
      <c r="AV1232" s="6" t="s">
        <v>81</v>
      </c>
      <c r="AW1232" s="6" t="s">
        <v>81</v>
      </c>
      <c r="AX1232" s="6" t="s">
        <v>21510</v>
      </c>
      <c r="AY1232" s="6" t="s">
        <v>81</v>
      </c>
      <c r="AZ1232" s="6" t="s">
        <v>81</v>
      </c>
      <c r="BA1232" s="6" t="s">
        <v>81</v>
      </c>
      <c r="BB1232" s="24" t="n">
        <v>180</v>
      </c>
      <c r="BC1232" s="26"/>
      <c r="BD1232" s="26"/>
      <c r="BE1232" s="26"/>
      <c r="BF1232" s="26"/>
      <c r="BG1232" s="26"/>
      <c r="BH1232" s="26"/>
      <c r="BI1232" s="26"/>
      <c r="BJ1232" s="26"/>
      <c r="BK1232" s="26"/>
      <c r="BL1232" s="26"/>
      <c r="BM1232" s="26"/>
      <c r="BN1232" s="26"/>
      <c r="BO1232" s="26"/>
      <c r="BP1232" s="16" t="n">
        <v>45684</v>
      </c>
      <c r="BQ1232" s="28" t="str">
        <f>HYPERLINK("https://organic.ams.usda.gov/Integrity/Certificate.aspx?cid=68&amp;nopid=8210002824")</f>
        <v>https://organic.ams.usda.gov/Integrity/Certificate.aspx?cid=68&amp;nopid=8210002824</v>
      </c>
    </row>
    <row r="1233">
      <c r="A1233" t="s">
        <v>3</v>
      </c>
      <c r="B1233" s="6" t="s">
        <v>7</v>
      </c>
      <c r="C1233" s="6" t="s">
        <v>54</v>
      </c>
      <c r="D1233" s="6" t="s">
        <v>100</v>
      </c>
      <c r="E1233" s="10" t="s">
        <v>1374</v>
      </c>
      <c r="F1233" s="6" t="s">
        <v>4100</v>
      </c>
      <c r="G1233" s="6" t="s">
        <v>81</v>
      </c>
      <c r="H1233" s="6" t="s">
        <v>7022</v>
      </c>
      <c r="I1233" s="6" t="s">
        <v>8439</v>
      </c>
      <c r="J1233" s="6" t="s">
        <v>10266</v>
      </c>
      <c r="K1233" s="6" t="s">
        <v>10886</v>
      </c>
      <c r="L1233" s="16" t="n">
        <v>39013</v>
      </c>
      <c r="M1233" s="16" t="n">
        <v>45716</v>
      </c>
      <c r="N1233" s="6" t="s">
        <v>10886</v>
      </c>
      <c r="O1233" s="16" t="n">
        <v>39013</v>
      </c>
      <c r="P1233" s="6" t="s">
        <v>10910</v>
      </c>
      <c r="Q1233" s="6" t="s">
        <v>81</v>
      </c>
      <c r="R1233" s="6" t="s">
        <v>81</v>
      </c>
      <c r="S1233" s="6" t="s">
        <v>10886</v>
      </c>
      <c r="T1233" s="16" t="n">
        <v>39013</v>
      </c>
      <c r="U1233" s="6" t="s">
        <v>13169</v>
      </c>
      <c r="V1233" s="6" t="s">
        <v>81</v>
      </c>
      <c r="W1233" s="6" t="s">
        <v>81</v>
      </c>
      <c r="X1233" s="6" t="s">
        <v>81</v>
      </c>
      <c r="Y1233" s="21" t="s">
        <v>81</v>
      </c>
      <c r="Z1233" s="6" t="s">
        <v>81</v>
      </c>
      <c r="AA1233" s="6" t="s">
        <v>81</v>
      </c>
      <c r="AB1233" s="6" t="s">
        <v>81</v>
      </c>
      <c r="AC1233" s="6" t="s">
        <v>81</v>
      </c>
      <c r="AD1233" s="21" t="s">
        <v>81</v>
      </c>
      <c r="AE1233" s="6" t="s">
        <v>81</v>
      </c>
      <c r="AF1233" s="6" t="s">
        <v>81</v>
      </c>
      <c r="AG1233" s="6" t="s">
        <v>81</v>
      </c>
      <c r="AH1233" s="6" t="s">
        <v>15802</v>
      </c>
      <c r="AI1233" s="6" t="s">
        <v>81</v>
      </c>
      <c r="AJ1233" s="6" t="s">
        <v>17938</v>
      </c>
      <c r="AK1233" s="6" t="s">
        <v>17712</v>
      </c>
      <c r="AL1233" s="6" t="s">
        <v>18444</v>
      </c>
      <c r="AM1233" s="6" t="s">
        <v>19126</v>
      </c>
      <c r="AN1233" s="6" t="s">
        <v>6842</v>
      </c>
      <c r="AO1233" s="6" t="s">
        <v>19815</v>
      </c>
      <c r="AP1233" s="6" t="s">
        <v>15802</v>
      </c>
      <c r="AQ1233" s="6" t="s">
        <v>81</v>
      </c>
      <c r="AR1233" s="6" t="s">
        <v>17938</v>
      </c>
      <c r="AS1233" s="6" t="s">
        <v>17712</v>
      </c>
      <c r="AT1233" s="6" t="s">
        <v>18444</v>
      </c>
      <c r="AU1233" s="6" t="s">
        <v>19126</v>
      </c>
      <c r="AV1233" s="6" t="s">
        <v>81</v>
      </c>
      <c r="AW1233" s="6" t="s">
        <v>81</v>
      </c>
      <c r="AX1233" s="6" t="s">
        <v>21511</v>
      </c>
      <c r="AY1233" s="6" t="s">
        <v>81</v>
      </c>
      <c r="AZ1233" s="6" t="s">
        <v>81</v>
      </c>
      <c r="BA1233" s="6" t="s">
        <v>81</v>
      </c>
      <c r="BB1233" s="24" t="n">
        <v>207</v>
      </c>
      <c r="BC1233" s="26"/>
      <c r="BD1233" s="26"/>
      <c r="BE1233" s="26"/>
      <c r="BF1233" s="26" t="s">
        <v>23900</v>
      </c>
      <c r="BG1233" s="26"/>
      <c r="BH1233" s="26"/>
      <c r="BI1233" s="26"/>
      <c r="BJ1233" s="26"/>
      <c r="BK1233" s="26"/>
      <c r="BL1233" s="26"/>
      <c r="BM1233" s="26"/>
      <c r="BN1233" s="26"/>
      <c r="BO1233" s="26"/>
      <c r="BP1233" s="16" t="n">
        <v>45595</v>
      </c>
      <c r="BQ1233" s="28" t="str">
        <f>HYPERLINK("https://organic.ams.usda.gov/Integrity/Certificate.aspx?cid=57&amp;nopid=3252006166")</f>
        <v>https://organic.ams.usda.gov/Integrity/Certificate.aspx?cid=57&amp;nopid=3252006166</v>
      </c>
    </row>
    <row r="1234">
      <c r="A1234" t="s">
        <v>3</v>
      </c>
      <c r="B1234" s="6" t="s">
        <v>24</v>
      </c>
      <c r="C1234" s="6" t="s">
        <v>71</v>
      </c>
      <c r="D1234" s="6" t="s">
        <v>117</v>
      </c>
      <c r="E1234" s="10" t="s">
        <v>1375</v>
      </c>
      <c r="F1234" s="6" t="s">
        <v>4101</v>
      </c>
      <c r="G1234" s="6" t="s">
        <v>81</v>
      </c>
      <c r="H1234" s="6" t="s">
        <v>81</v>
      </c>
      <c r="I1234" s="6" t="s">
        <v>8439</v>
      </c>
      <c r="J1234" s="6" t="s">
        <v>10267</v>
      </c>
      <c r="K1234" s="6" t="s">
        <v>10886</v>
      </c>
      <c r="L1234" s="16" t="n">
        <v>44698</v>
      </c>
      <c r="M1234" s="16" t="n">
        <v>45901</v>
      </c>
      <c r="N1234" s="6" t="s">
        <v>10886</v>
      </c>
      <c r="O1234" s="16" t="n">
        <v>44698</v>
      </c>
      <c r="P1234" s="6" t="s">
        <v>81</v>
      </c>
      <c r="Q1234" s="6" t="s">
        <v>81</v>
      </c>
      <c r="R1234" s="6" t="s">
        <v>81</v>
      </c>
      <c r="S1234" s="6" t="s">
        <v>10886</v>
      </c>
      <c r="T1234" s="16" t="n">
        <v>45404</v>
      </c>
      <c r="U1234" s="6" t="s">
        <v>13577</v>
      </c>
      <c r="V1234" s="6" t="s">
        <v>81</v>
      </c>
      <c r="W1234" s="6" t="s">
        <v>81</v>
      </c>
      <c r="X1234" s="6" t="s">
        <v>81</v>
      </c>
      <c r="Y1234" s="21" t="s">
        <v>81</v>
      </c>
      <c r="Z1234" s="6" t="s">
        <v>81</v>
      </c>
      <c r="AA1234" s="6" t="s">
        <v>81</v>
      </c>
      <c r="AB1234" s="6" t="s">
        <v>81</v>
      </c>
      <c r="AC1234" s="6" t="s">
        <v>10886</v>
      </c>
      <c r="AD1234" s="16" t="n">
        <v>45404</v>
      </c>
      <c r="AE1234" s="6" t="s">
        <v>14248</v>
      </c>
      <c r="AF1234" s="6" t="s">
        <v>81</v>
      </c>
      <c r="AG1234" s="6" t="s">
        <v>81</v>
      </c>
      <c r="AH1234" s="6" t="s">
        <v>15803</v>
      </c>
      <c r="AI1234" s="6" t="s">
        <v>81</v>
      </c>
      <c r="AJ1234" s="6" t="s">
        <v>17939</v>
      </c>
      <c r="AK1234" s="6" t="s">
        <v>18400</v>
      </c>
      <c r="AL1234" s="6" t="s">
        <v>18444</v>
      </c>
      <c r="AM1234" s="6" t="s">
        <v>19127</v>
      </c>
      <c r="AN1234" s="6" t="s">
        <v>19669</v>
      </c>
      <c r="AO1234" s="6" t="s">
        <v>19980</v>
      </c>
      <c r="AP1234" s="6" t="s">
        <v>15803</v>
      </c>
      <c r="AQ1234" s="6" t="s">
        <v>81</v>
      </c>
      <c r="AR1234" s="6" t="s">
        <v>17939</v>
      </c>
      <c r="AS1234" s="6" t="s">
        <v>18400</v>
      </c>
      <c r="AT1234" s="6" t="s">
        <v>18444</v>
      </c>
      <c r="AU1234" s="6" t="s">
        <v>19127</v>
      </c>
      <c r="AV1234" s="6" t="s">
        <v>81</v>
      </c>
      <c r="AW1234" s="6" t="s">
        <v>81</v>
      </c>
      <c r="AX1234" s="6" t="s">
        <v>81</v>
      </c>
      <c r="AY1234" s="6" t="s">
        <v>23012</v>
      </c>
      <c r="AZ1234" s="6" t="s">
        <v>81</v>
      </c>
      <c r="BA1234" s="6" t="s">
        <v>81</v>
      </c>
      <c r="BB1234" s="24" t="n">
        <v>138</v>
      </c>
      <c r="BC1234" s="26"/>
      <c r="BD1234" s="26"/>
      <c r="BE1234" s="26"/>
      <c r="BF1234" s="26"/>
      <c r="BG1234" s="26"/>
      <c r="BH1234" s="26"/>
      <c r="BI1234" s="26"/>
      <c r="BJ1234" s="26"/>
      <c r="BK1234" s="26"/>
      <c r="BL1234" s="26"/>
      <c r="BM1234" s="26"/>
      <c r="BN1234" s="26"/>
      <c r="BO1234" s="26"/>
      <c r="BP1234" s="16" t="n">
        <v>45628</v>
      </c>
      <c r="BQ1234" s="28" t="str">
        <f>HYPERLINK("https://organic.ams.usda.gov/Integrity/Certificate.aspx?cid=1&amp;nopid=9092201702")</f>
        <v>https://organic.ams.usda.gov/Integrity/Certificate.aspx?cid=1&amp;nopid=9092201702</v>
      </c>
    </row>
    <row r="1235">
      <c r="A1235" t="s">
        <v>3</v>
      </c>
      <c r="B1235" s="6" t="s">
        <v>20</v>
      </c>
      <c r="C1235" s="6" t="s">
        <v>67</v>
      </c>
      <c r="D1235" s="6" t="s">
        <v>113</v>
      </c>
      <c r="E1235" s="10" t="s">
        <v>1376</v>
      </c>
      <c r="F1235" s="6" t="s">
        <v>4102</v>
      </c>
      <c r="G1235" s="6" t="s">
        <v>81</v>
      </c>
      <c r="H1235" s="6" t="s">
        <v>7023</v>
      </c>
      <c r="I1235" s="6" t="s">
        <v>8681</v>
      </c>
      <c r="J1235" s="6" t="s">
        <v>10092</v>
      </c>
      <c r="K1235" s="6" t="s">
        <v>10886</v>
      </c>
      <c r="L1235" s="16" t="n">
        <v>43693</v>
      </c>
      <c r="M1235" s="16" t="n">
        <v>45742</v>
      </c>
      <c r="N1235" s="6" t="s">
        <v>81</v>
      </c>
      <c r="O1235" s="21" t="s">
        <v>81</v>
      </c>
      <c r="P1235" s="6" t="s">
        <v>81</v>
      </c>
      <c r="Q1235" s="6" t="s">
        <v>81</v>
      </c>
      <c r="R1235" s="6" t="s">
        <v>81</v>
      </c>
      <c r="S1235" s="6" t="s">
        <v>81</v>
      </c>
      <c r="T1235" s="21" t="s">
        <v>81</v>
      </c>
      <c r="U1235" s="6" t="s">
        <v>81</v>
      </c>
      <c r="V1235" s="6" t="s">
        <v>81</v>
      </c>
      <c r="W1235" s="6" t="s">
        <v>81</v>
      </c>
      <c r="X1235" s="6" t="s">
        <v>81</v>
      </c>
      <c r="Y1235" s="21" t="s">
        <v>81</v>
      </c>
      <c r="Z1235" s="6" t="s">
        <v>81</v>
      </c>
      <c r="AA1235" s="6" t="s">
        <v>81</v>
      </c>
      <c r="AB1235" s="6" t="s">
        <v>81</v>
      </c>
      <c r="AC1235" s="6" t="s">
        <v>10886</v>
      </c>
      <c r="AD1235" s="16" t="n">
        <v>43693</v>
      </c>
      <c r="AE1235" s="6" t="s">
        <v>14249</v>
      </c>
      <c r="AF1235" s="6" t="s">
        <v>81</v>
      </c>
      <c r="AG1235" s="6" t="s">
        <v>14560</v>
      </c>
      <c r="AH1235" s="6" t="s">
        <v>15804</v>
      </c>
      <c r="AI1235" s="6" t="s">
        <v>81</v>
      </c>
      <c r="AJ1235" s="6" t="s">
        <v>17940</v>
      </c>
      <c r="AK1235" s="6" t="s">
        <v>18403</v>
      </c>
      <c r="AL1235" s="6" t="s">
        <v>18444</v>
      </c>
      <c r="AM1235" s="6" t="s">
        <v>19128</v>
      </c>
      <c r="AN1235" s="6" t="s">
        <v>19672</v>
      </c>
      <c r="AO1235" s="6" t="s">
        <v>19981</v>
      </c>
      <c r="AP1235" s="6" t="s">
        <v>15804</v>
      </c>
      <c r="AQ1235" s="6" t="s">
        <v>81</v>
      </c>
      <c r="AR1235" s="6" t="s">
        <v>17940</v>
      </c>
      <c r="AS1235" s="6" t="s">
        <v>18403</v>
      </c>
      <c r="AT1235" s="6" t="s">
        <v>18444</v>
      </c>
      <c r="AU1235" s="6" t="s">
        <v>19128</v>
      </c>
      <c r="AV1235" s="6" t="s">
        <v>81</v>
      </c>
      <c r="AW1235" s="6" t="s">
        <v>81</v>
      </c>
      <c r="AX1235" s="6" t="s">
        <v>21512</v>
      </c>
      <c r="AY1235" s="6" t="s">
        <v>23013</v>
      </c>
      <c r="AZ1235" s="6" t="s">
        <v>81</v>
      </c>
      <c r="BA1235" s="6" t="s">
        <v>81</v>
      </c>
      <c r="BB1235" s="6" t="s">
        <v>81</v>
      </c>
      <c r="BC1235" s="26"/>
      <c r="BD1235" s="26"/>
      <c r="BE1235" s="26"/>
      <c r="BF1235" s="26"/>
      <c r="BG1235" s="26"/>
      <c r="BH1235" s="26"/>
      <c r="BI1235" s="26"/>
      <c r="BJ1235" s="26"/>
      <c r="BK1235" s="26"/>
      <c r="BL1235" s="26"/>
      <c r="BM1235" s="26"/>
      <c r="BN1235" s="26"/>
      <c r="BO1235" s="26"/>
      <c r="BP1235" s="16" t="n">
        <v>45737</v>
      </c>
      <c r="BQ1235" s="28" t="str">
        <f>HYPERLINK("https://organic.ams.usda.gov/Integrity/Certificate.aspx?cid=71&amp;nopid=5520031278")</f>
        <v>https://organic.ams.usda.gov/Integrity/Certificate.aspx?cid=71&amp;nopid=5520031278</v>
      </c>
    </row>
    <row r="1236">
      <c r="A1236" t="s">
        <v>3</v>
      </c>
      <c r="B1236" s="6" t="s">
        <v>8</v>
      </c>
      <c r="C1236" s="6" t="s">
        <v>55</v>
      </c>
      <c r="D1236" s="6" t="s">
        <v>101</v>
      </c>
      <c r="E1236" s="10" t="s">
        <v>1377</v>
      </c>
      <c r="F1236" s="6" t="s">
        <v>4103</v>
      </c>
      <c r="G1236" s="6" t="s">
        <v>81</v>
      </c>
      <c r="H1236" s="6" t="s">
        <v>7024</v>
      </c>
      <c r="I1236" s="6" t="s">
        <v>8391</v>
      </c>
      <c r="J1236" s="6" t="s">
        <v>10268</v>
      </c>
      <c r="K1236" s="6" t="s">
        <v>10886</v>
      </c>
      <c r="L1236" s="16" t="n">
        <v>37628</v>
      </c>
      <c r="M1236" s="16" t="n">
        <v>45748</v>
      </c>
      <c r="N1236" s="6" t="s">
        <v>10886</v>
      </c>
      <c r="O1236" s="16" t="n">
        <v>37628</v>
      </c>
      <c r="P1236" s="6" t="s">
        <v>11633</v>
      </c>
      <c r="Q1236" s="6" t="s">
        <v>81</v>
      </c>
      <c r="R1236" s="6" t="s">
        <v>7024</v>
      </c>
      <c r="S1236" s="6" t="s">
        <v>10886</v>
      </c>
      <c r="T1236" s="16" t="n">
        <v>37628</v>
      </c>
      <c r="U1236" s="6" t="s">
        <v>13578</v>
      </c>
      <c r="V1236" s="6" t="s">
        <v>81</v>
      </c>
      <c r="W1236" s="6" t="s">
        <v>7024</v>
      </c>
      <c r="X1236" s="6" t="s">
        <v>81</v>
      </c>
      <c r="Y1236" s="21" t="s">
        <v>81</v>
      </c>
      <c r="Z1236" s="6" t="s">
        <v>81</v>
      </c>
      <c r="AA1236" s="6" t="s">
        <v>81</v>
      </c>
      <c r="AB1236" s="6" t="s">
        <v>81</v>
      </c>
      <c r="AC1236" s="6" t="s">
        <v>81</v>
      </c>
      <c r="AD1236" s="21" t="s">
        <v>81</v>
      </c>
      <c r="AE1236" s="6" t="s">
        <v>81</v>
      </c>
      <c r="AF1236" s="6" t="s">
        <v>81</v>
      </c>
      <c r="AG1236" s="6" t="s">
        <v>81</v>
      </c>
      <c r="AH1236" s="6" t="s">
        <v>15805</v>
      </c>
      <c r="AI1236" s="6" t="s">
        <v>81</v>
      </c>
      <c r="AJ1236" s="6" t="s">
        <v>17465</v>
      </c>
      <c r="AK1236" s="6" t="s">
        <v>18377</v>
      </c>
      <c r="AL1236" s="6" t="s">
        <v>18444</v>
      </c>
      <c r="AM1236" s="6" t="s">
        <v>18626</v>
      </c>
      <c r="AN1236" s="6" t="s">
        <v>19635</v>
      </c>
      <c r="AO1236" s="6" t="s">
        <v>19720</v>
      </c>
      <c r="AP1236" s="6" t="s">
        <v>81</v>
      </c>
      <c r="AQ1236" s="6" t="s">
        <v>81</v>
      </c>
      <c r="AR1236" s="6" t="s">
        <v>81</v>
      </c>
      <c r="AS1236" s="6" t="s">
        <v>81</v>
      </c>
      <c r="AT1236" s="6" t="s">
        <v>81</v>
      </c>
      <c r="AU1236" s="6" t="s">
        <v>81</v>
      </c>
      <c r="AV1236" s="6" t="s">
        <v>81</v>
      </c>
      <c r="AW1236" s="6" t="s">
        <v>81</v>
      </c>
      <c r="AX1236" s="6" t="s">
        <v>81</v>
      </c>
      <c r="AY1236" s="6" t="s">
        <v>23014</v>
      </c>
      <c r="AZ1236" s="6" t="s">
        <v>81</v>
      </c>
      <c r="BA1236" s="6" t="s">
        <v>23824</v>
      </c>
      <c r="BB1236" s="24" t="n">
        <v>401</v>
      </c>
      <c r="BC1236" s="26"/>
      <c r="BD1236" s="26"/>
      <c r="BE1236" s="26"/>
      <c r="BF1236" s="26" t="s">
        <v>23900</v>
      </c>
      <c r="BG1236" s="26"/>
      <c r="BH1236" s="26"/>
      <c r="BI1236" s="26"/>
      <c r="BJ1236" s="26"/>
      <c r="BK1236" s="26"/>
      <c r="BL1236" s="26"/>
      <c r="BM1236" s="26"/>
      <c r="BN1236" s="26"/>
      <c r="BO1236" s="26"/>
      <c r="BP1236" s="16" t="n">
        <v>45667</v>
      </c>
      <c r="BQ1236" s="28" t="str">
        <f>HYPERLINK("https://organic.ams.usda.gov/Integrity/Certificate.aspx?cid=45&amp;nopid=9950001153")</f>
        <v>https://organic.ams.usda.gov/Integrity/Certificate.aspx?cid=45&amp;nopid=9950001153</v>
      </c>
    </row>
    <row r="1237">
      <c r="A1237" t="s">
        <v>3</v>
      </c>
      <c r="B1237" s="6" t="s">
        <v>7</v>
      </c>
      <c r="C1237" s="6" t="s">
        <v>54</v>
      </c>
      <c r="D1237" s="6" t="s">
        <v>100</v>
      </c>
      <c r="E1237" s="10" t="s">
        <v>1378</v>
      </c>
      <c r="F1237" s="6" t="s">
        <v>4104</v>
      </c>
      <c r="G1237" s="6" t="s">
        <v>81</v>
      </c>
      <c r="H1237" s="6" t="s">
        <v>7025</v>
      </c>
      <c r="I1237" s="6" t="s">
        <v>9057</v>
      </c>
      <c r="J1237" s="6" t="s">
        <v>10269</v>
      </c>
      <c r="K1237" s="6" t="s">
        <v>10886</v>
      </c>
      <c r="L1237" s="16" t="n">
        <v>42633</v>
      </c>
      <c r="M1237" s="16" t="n">
        <v>45716</v>
      </c>
      <c r="N1237" s="6" t="s">
        <v>10886</v>
      </c>
      <c r="O1237" s="16" t="n">
        <v>42633</v>
      </c>
      <c r="P1237" s="6" t="s">
        <v>10910</v>
      </c>
      <c r="Q1237" s="6" t="s">
        <v>81</v>
      </c>
      <c r="R1237" s="6" t="s">
        <v>81</v>
      </c>
      <c r="S1237" s="6" t="s">
        <v>10886</v>
      </c>
      <c r="T1237" s="16" t="n">
        <v>42840</v>
      </c>
      <c r="U1237" s="6" t="s">
        <v>13169</v>
      </c>
      <c r="V1237" s="6" t="s">
        <v>81</v>
      </c>
      <c r="W1237" s="6" t="s">
        <v>81</v>
      </c>
      <c r="X1237" s="6" t="s">
        <v>81</v>
      </c>
      <c r="Y1237" s="21" t="s">
        <v>81</v>
      </c>
      <c r="Z1237" s="6" t="s">
        <v>81</v>
      </c>
      <c r="AA1237" s="6" t="s">
        <v>81</v>
      </c>
      <c r="AB1237" s="6" t="s">
        <v>81</v>
      </c>
      <c r="AC1237" s="6" t="s">
        <v>81</v>
      </c>
      <c r="AD1237" s="21" t="s">
        <v>81</v>
      </c>
      <c r="AE1237" s="6" t="s">
        <v>81</v>
      </c>
      <c r="AF1237" s="6" t="s">
        <v>81</v>
      </c>
      <c r="AG1237" s="6" t="s">
        <v>81</v>
      </c>
      <c r="AH1237" s="6" t="s">
        <v>15806</v>
      </c>
      <c r="AI1237" s="6" t="s">
        <v>81</v>
      </c>
      <c r="AJ1237" s="6" t="s">
        <v>17619</v>
      </c>
      <c r="AK1237" s="6" t="s">
        <v>17712</v>
      </c>
      <c r="AL1237" s="6" t="s">
        <v>18444</v>
      </c>
      <c r="AM1237" s="6" t="s">
        <v>5908</v>
      </c>
      <c r="AN1237" s="6" t="s">
        <v>19652</v>
      </c>
      <c r="AO1237" s="6" t="s">
        <v>19742</v>
      </c>
      <c r="AP1237" s="6" t="s">
        <v>20272</v>
      </c>
      <c r="AQ1237" s="6" t="s">
        <v>81</v>
      </c>
      <c r="AR1237" s="6" t="s">
        <v>17619</v>
      </c>
      <c r="AS1237" s="6" t="s">
        <v>17712</v>
      </c>
      <c r="AT1237" s="6" t="s">
        <v>18444</v>
      </c>
      <c r="AU1237" s="6" t="s">
        <v>5908</v>
      </c>
      <c r="AV1237" s="6" t="s">
        <v>81</v>
      </c>
      <c r="AW1237" s="6" t="s">
        <v>81</v>
      </c>
      <c r="AX1237" s="6" t="s">
        <v>21513</v>
      </c>
      <c r="AY1237" s="6" t="s">
        <v>23015</v>
      </c>
      <c r="AZ1237" s="6" t="s">
        <v>81</v>
      </c>
      <c r="BA1237" s="6" t="s">
        <v>81</v>
      </c>
      <c r="BB1237" s="24" t="n">
        <v>0</v>
      </c>
      <c r="BC1237" s="26"/>
      <c r="BD1237" s="26"/>
      <c r="BE1237" s="26"/>
      <c r="BF1237" s="26" t="s">
        <v>23900</v>
      </c>
      <c r="BG1237" s="26"/>
      <c r="BH1237" s="26"/>
      <c r="BI1237" s="26"/>
      <c r="BJ1237" s="26"/>
      <c r="BK1237" s="26"/>
      <c r="BL1237" s="26"/>
      <c r="BM1237" s="26"/>
      <c r="BN1237" s="26"/>
      <c r="BO1237" s="26"/>
      <c r="BP1237" s="16" t="n">
        <v>45735</v>
      </c>
      <c r="BQ1237" s="28" t="str">
        <f>HYPERLINK("https://organic.ams.usda.gov/Integrity/Certificate.aspx?cid=57&amp;nopid=3252016098")</f>
        <v>https://organic.ams.usda.gov/Integrity/Certificate.aspx?cid=57&amp;nopid=3252016098</v>
      </c>
    </row>
    <row r="1238">
      <c r="A1238" t="s">
        <v>3</v>
      </c>
      <c r="B1238" s="6" t="s">
        <v>12</v>
      </c>
      <c r="C1238" s="6" t="s">
        <v>59</v>
      </c>
      <c r="D1238" s="6" t="s">
        <v>105</v>
      </c>
      <c r="E1238" s="10" t="s">
        <v>1379</v>
      </c>
      <c r="F1238" s="6" t="s">
        <v>4105</v>
      </c>
      <c r="G1238" s="6" t="s">
        <v>81</v>
      </c>
      <c r="H1238" s="6" t="s">
        <v>7026</v>
      </c>
      <c r="I1238" s="6" t="s">
        <v>9058</v>
      </c>
      <c r="J1238" s="6" t="s">
        <v>10270</v>
      </c>
      <c r="K1238" s="6" t="s">
        <v>10886</v>
      </c>
      <c r="L1238" s="16" t="n">
        <v>45345</v>
      </c>
      <c r="M1238" s="16" t="n">
        <v>45717</v>
      </c>
      <c r="N1238" s="6" t="s">
        <v>81</v>
      </c>
      <c r="O1238" s="21" t="s">
        <v>81</v>
      </c>
      <c r="P1238" s="6" t="s">
        <v>81</v>
      </c>
      <c r="Q1238" s="6" t="s">
        <v>81</v>
      </c>
      <c r="R1238" s="6" t="s">
        <v>81</v>
      </c>
      <c r="S1238" s="6" t="s">
        <v>81</v>
      </c>
      <c r="T1238" s="21" t="s">
        <v>81</v>
      </c>
      <c r="U1238" s="6" t="s">
        <v>81</v>
      </c>
      <c r="V1238" s="6" t="s">
        <v>81</v>
      </c>
      <c r="W1238" s="6" t="s">
        <v>81</v>
      </c>
      <c r="X1238" s="6" t="s">
        <v>81</v>
      </c>
      <c r="Y1238" s="21" t="s">
        <v>81</v>
      </c>
      <c r="Z1238" s="6" t="s">
        <v>81</v>
      </c>
      <c r="AA1238" s="6" t="s">
        <v>81</v>
      </c>
      <c r="AB1238" s="6" t="s">
        <v>81</v>
      </c>
      <c r="AC1238" s="6" t="s">
        <v>10886</v>
      </c>
      <c r="AD1238" s="16" t="n">
        <v>45345</v>
      </c>
      <c r="AE1238" s="6" t="s">
        <v>14250</v>
      </c>
      <c r="AF1238" s="6" t="s">
        <v>81</v>
      </c>
      <c r="AG1238" s="6" t="s">
        <v>81</v>
      </c>
      <c r="AH1238" s="6" t="s">
        <v>15807</v>
      </c>
      <c r="AI1238" s="6" t="s">
        <v>81</v>
      </c>
      <c r="AJ1238" s="6" t="s">
        <v>17941</v>
      </c>
      <c r="AK1238" s="6" t="s">
        <v>18380</v>
      </c>
      <c r="AL1238" s="6" t="s">
        <v>18444</v>
      </c>
      <c r="AM1238" s="6" t="s">
        <v>19129</v>
      </c>
      <c r="AN1238" s="6" t="s">
        <v>81</v>
      </c>
      <c r="AO1238" s="6" t="s">
        <v>81</v>
      </c>
      <c r="AP1238" s="6" t="s">
        <v>20273</v>
      </c>
      <c r="AQ1238" s="6" t="s">
        <v>81</v>
      </c>
      <c r="AR1238" s="6" t="s">
        <v>17584</v>
      </c>
      <c r="AS1238" s="6" t="s">
        <v>18380</v>
      </c>
      <c r="AT1238" s="6" t="s">
        <v>18444</v>
      </c>
      <c r="AU1238" s="6" t="s">
        <v>20662</v>
      </c>
      <c r="AV1238" s="6" t="s">
        <v>81</v>
      </c>
      <c r="AW1238" s="6" t="s">
        <v>81</v>
      </c>
      <c r="AX1238" s="6" t="s">
        <v>21514</v>
      </c>
      <c r="AY1238" s="6" t="s">
        <v>23016</v>
      </c>
      <c r="AZ1238" s="6" t="s">
        <v>23692</v>
      </c>
      <c r="BA1238" s="6" t="s">
        <v>81</v>
      </c>
      <c r="BB1238" s="6" t="s">
        <v>81</v>
      </c>
      <c r="BC1238" s="26"/>
      <c r="BD1238" s="26"/>
      <c r="BE1238" s="26"/>
      <c r="BF1238" s="26"/>
      <c r="BG1238" s="26"/>
      <c r="BH1238" s="26"/>
      <c r="BI1238" s="26"/>
      <c r="BJ1238" s="26"/>
      <c r="BK1238" s="26"/>
      <c r="BL1238" s="26"/>
      <c r="BM1238" s="26"/>
      <c r="BN1238" s="26"/>
      <c r="BO1238" s="26"/>
      <c r="BP1238" s="16" t="n">
        <v>45684</v>
      </c>
      <c r="BQ1238" s="28" t="str">
        <f>HYPERLINK("https://organic.ams.usda.gov/Integrity/Certificate.aspx?cid=68&amp;nopid=8210008076")</f>
        <v>https://organic.ams.usda.gov/Integrity/Certificate.aspx?cid=68&amp;nopid=8210008076</v>
      </c>
    </row>
    <row r="1239">
      <c r="A1239" t="s">
        <v>3</v>
      </c>
      <c r="B1239" s="6" t="s">
        <v>16</v>
      </c>
      <c r="C1239" s="6" t="s">
        <v>63</v>
      </c>
      <c r="D1239" s="6" t="s">
        <v>109</v>
      </c>
      <c r="E1239" s="10" t="s">
        <v>1380</v>
      </c>
      <c r="F1239" s="6" t="s">
        <v>4106</v>
      </c>
      <c r="G1239" s="6" t="s">
        <v>5705</v>
      </c>
      <c r="H1239" s="6" t="s">
        <v>7027</v>
      </c>
      <c r="I1239" s="6" t="s">
        <v>8674</v>
      </c>
      <c r="J1239" s="6" t="s">
        <v>10271</v>
      </c>
      <c r="K1239" s="6" t="s">
        <v>10886</v>
      </c>
      <c r="L1239" s="16" t="n">
        <v>42671</v>
      </c>
      <c r="M1239" s="16" t="n">
        <v>45731</v>
      </c>
      <c r="N1239" s="6" t="s">
        <v>10886</v>
      </c>
      <c r="O1239" s="16" t="n">
        <v>42671</v>
      </c>
      <c r="P1239" s="6" t="s">
        <v>11130</v>
      </c>
      <c r="Q1239" s="6" t="s">
        <v>81</v>
      </c>
      <c r="R1239" s="6" t="s">
        <v>81</v>
      </c>
      <c r="S1239" s="6" t="s">
        <v>10886</v>
      </c>
      <c r="T1239" s="16" t="n">
        <v>42671</v>
      </c>
      <c r="U1239" s="6" t="s">
        <v>13281</v>
      </c>
      <c r="V1239" s="6" t="s">
        <v>81</v>
      </c>
      <c r="W1239" s="6" t="s">
        <v>81</v>
      </c>
      <c r="X1239" s="6" t="s">
        <v>81</v>
      </c>
      <c r="Y1239" s="21" t="s">
        <v>81</v>
      </c>
      <c r="Z1239" s="6" t="s">
        <v>81</v>
      </c>
      <c r="AA1239" s="6" t="s">
        <v>81</v>
      </c>
      <c r="AB1239" s="6" t="s">
        <v>81</v>
      </c>
      <c r="AC1239" s="6" t="s">
        <v>10886</v>
      </c>
      <c r="AD1239" s="16" t="n">
        <v>42671</v>
      </c>
      <c r="AE1239" s="6" t="s">
        <v>81</v>
      </c>
      <c r="AF1239" s="6" t="s">
        <v>81</v>
      </c>
      <c r="AG1239" s="6" t="s">
        <v>81</v>
      </c>
      <c r="AH1239" s="6" t="s">
        <v>15808</v>
      </c>
      <c r="AI1239" s="6" t="s">
        <v>81</v>
      </c>
      <c r="AJ1239" s="6" t="s">
        <v>17875</v>
      </c>
      <c r="AK1239" s="6" t="s">
        <v>18383</v>
      </c>
      <c r="AL1239" s="6" t="s">
        <v>18444</v>
      </c>
      <c r="AM1239" s="6" t="s">
        <v>19058</v>
      </c>
      <c r="AN1239" s="6" t="s">
        <v>19693</v>
      </c>
      <c r="AO1239" s="6" t="s">
        <v>19963</v>
      </c>
      <c r="AP1239" s="6" t="s">
        <v>81</v>
      </c>
      <c r="AQ1239" s="6" t="s">
        <v>81</v>
      </c>
      <c r="AR1239" s="6" t="s">
        <v>81</v>
      </c>
      <c r="AS1239" s="6" t="s">
        <v>81</v>
      </c>
      <c r="AT1239" s="6" t="s">
        <v>81</v>
      </c>
      <c r="AU1239" s="6" t="s">
        <v>81</v>
      </c>
      <c r="AV1239" s="6" t="s">
        <v>81</v>
      </c>
      <c r="AW1239" s="6" t="s">
        <v>81</v>
      </c>
      <c r="AX1239" s="6" t="s">
        <v>21515</v>
      </c>
      <c r="AY1239" s="6" t="s">
        <v>81</v>
      </c>
      <c r="AZ1239" s="6" t="s">
        <v>81</v>
      </c>
      <c r="BA1239" s="6" t="s">
        <v>81</v>
      </c>
      <c r="BB1239" s="24" t="n">
        <v>265</v>
      </c>
      <c r="BC1239" s="26"/>
      <c r="BD1239" s="26"/>
      <c r="BE1239" s="26"/>
      <c r="BF1239" s="26"/>
      <c r="BG1239" s="26"/>
      <c r="BH1239" s="26"/>
      <c r="BI1239" s="26"/>
      <c r="BJ1239" s="26"/>
      <c r="BK1239" s="26"/>
      <c r="BL1239" s="26"/>
      <c r="BM1239" s="26"/>
      <c r="BN1239" s="26"/>
      <c r="BO1239" s="26"/>
      <c r="BP1239" s="16" t="n">
        <v>45701</v>
      </c>
      <c r="BQ1239" s="28" t="str">
        <f>HYPERLINK("https://organic.ams.usda.gov/Integrity/Certificate.aspx?cid=81&amp;nopid=4210016110")</f>
        <v>https://organic.ams.usda.gov/Integrity/Certificate.aspx?cid=81&amp;nopid=4210016110</v>
      </c>
    </row>
    <row r="1240">
      <c r="A1240" t="s">
        <v>3</v>
      </c>
      <c r="B1240" s="6" t="s">
        <v>8</v>
      </c>
      <c r="C1240" s="6" t="s">
        <v>55</v>
      </c>
      <c r="D1240" s="6" t="s">
        <v>101</v>
      </c>
      <c r="E1240" s="10" t="s">
        <v>1381</v>
      </c>
      <c r="F1240" s="6" t="s">
        <v>4107</v>
      </c>
      <c r="G1240" s="6" t="s">
        <v>81</v>
      </c>
      <c r="H1240" s="6" t="s">
        <v>7028</v>
      </c>
      <c r="I1240" s="6" t="s">
        <v>8626</v>
      </c>
      <c r="J1240" s="6" t="s">
        <v>10272</v>
      </c>
      <c r="K1240" s="6" t="s">
        <v>10886</v>
      </c>
      <c r="L1240" s="16" t="n">
        <v>38628</v>
      </c>
      <c r="M1240" s="18" t="s">
        <v>81</v>
      </c>
      <c r="N1240" s="6" t="s">
        <v>10886</v>
      </c>
      <c r="O1240" s="16" t="n">
        <v>38628</v>
      </c>
      <c r="P1240" s="6" t="s">
        <v>11634</v>
      </c>
      <c r="Q1240" s="6" t="s">
        <v>81</v>
      </c>
      <c r="R1240" s="6" t="s">
        <v>81</v>
      </c>
      <c r="S1240" s="6" t="s">
        <v>10886</v>
      </c>
      <c r="T1240" s="16" t="n">
        <v>38628</v>
      </c>
      <c r="U1240" s="6" t="s">
        <v>13229</v>
      </c>
      <c r="V1240" s="6" t="s">
        <v>81</v>
      </c>
      <c r="W1240" s="6" t="s">
        <v>81</v>
      </c>
      <c r="X1240" s="6" t="s">
        <v>81</v>
      </c>
      <c r="Y1240" s="21" t="s">
        <v>81</v>
      </c>
      <c r="Z1240" s="6" t="s">
        <v>81</v>
      </c>
      <c r="AA1240" s="6" t="s">
        <v>81</v>
      </c>
      <c r="AB1240" s="6" t="s">
        <v>81</v>
      </c>
      <c r="AC1240" s="6" t="s">
        <v>81</v>
      </c>
      <c r="AD1240" s="21" t="s">
        <v>81</v>
      </c>
      <c r="AE1240" s="6" t="s">
        <v>81</v>
      </c>
      <c r="AF1240" s="6" t="s">
        <v>81</v>
      </c>
      <c r="AG1240" s="6" t="s">
        <v>81</v>
      </c>
      <c r="AH1240" s="6" t="s">
        <v>15809</v>
      </c>
      <c r="AI1240" s="6" t="s">
        <v>81</v>
      </c>
      <c r="AJ1240" s="6" t="s">
        <v>17942</v>
      </c>
      <c r="AK1240" s="6" t="s">
        <v>18385</v>
      </c>
      <c r="AL1240" s="6" t="s">
        <v>18444</v>
      </c>
      <c r="AM1240" s="6" t="s">
        <v>19130</v>
      </c>
      <c r="AN1240" s="6" t="s">
        <v>19698</v>
      </c>
      <c r="AO1240" s="6" t="s">
        <v>19982</v>
      </c>
      <c r="AP1240" s="6" t="s">
        <v>81</v>
      </c>
      <c r="AQ1240" s="6" t="s">
        <v>81</v>
      </c>
      <c r="AR1240" s="6" t="s">
        <v>81</v>
      </c>
      <c r="AS1240" s="6" t="s">
        <v>81</v>
      </c>
      <c r="AT1240" s="6" t="s">
        <v>81</v>
      </c>
      <c r="AU1240" s="6" t="s">
        <v>81</v>
      </c>
      <c r="AV1240" s="6" t="s">
        <v>81</v>
      </c>
      <c r="AW1240" s="6" t="s">
        <v>81</v>
      </c>
      <c r="AX1240" s="6" t="s">
        <v>81</v>
      </c>
      <c r="AY1240" s="6" t="s">
        <v>81</v>
      </c>
      <c r="AZ1240" s="6" t="s">
        <v>81</v>
      </c>
      <c r="BA1240" s="6" t="s">
        <v>81</v>
      </c>
      <c r="BB1240" s="24" t="n">
        <v>368</v>
      </c>
      <c r="BC1240" s="26"/>
      <c r="BD1240" s="26"/>
      <c r="BE1240" s="26"/>
      <c r="BF1240" s="26"/>
      <c r="BG1240" s="26"/>
      <c r="BH1240" s="26"/>
      <c r="BI1240" s="26"/>
      <c r="BJ1240" s="26"/>
      <c r="BK1240" s="26"/>
      <c r="BL1240" s="26"/>
      <c r="BM1240" s="26"/>
      <c r="BN1240" s="26"/>
      <c r="BO1240" s="26"/>
      <c r="BP1240" s="16" t="n">
        <v>45292</v>
      </c>
      <c r="BQ1240" s="28" t="str">
        <f>HYPERLINK("https://organic.ams.usda.gov/Integrity/Certificate.aspx?cid=45&amp;nopid=9950001860")</f>
        <v>https://organic.ams.usda.gov/Integrity/Certificate.aspx?cid=45&amp;nopid=9950001860</v>
      </c>
    </row>
    <row r="1241">
      <c r="A1241" t="s">
        <v>3</v>
      </c>
      <c r="B1241" s="6" t="s">
        <v>12</v>
      </c>
      <c r="C1241" s="6" t="s">
        <v>59</v>
      </c>
      <c r="D1241" s="6" t="s">
        <v>105</v>
      </c>
      <c r="E1241" s="10" t="s">
        <v>1382</v>
      </c>
      <c r="F1241" s="6" t="s">
        <v>4108</v>
      </c>
      <c r="G1241" s="6" t="s">
        <v>81</v>
      </c>
      <c r="H1241" s="6" t="s">
        <v>7029</v>
      </c>
      <c r="I1241" s="6" t="s">
        <v>9059</v>
      </c>
      <c r="J1241" s="6" t="s">
        <v>10273</v>
      </c>
      <c r="K1241" s="6" t="s">
        <v>10886</v>
      </c>
      <c r="L1241" s="16" t="n">
        <v>42599</v>
      </c>
      <c r="M1241" s="16" t="n">
        <v>45717</v>
      </c>
      <c r="N1241" s="6" t="s">
        <v>10886</v>
      </c>
      <c r="O1241" s="16" t="n">
        <v>42599</v>
      </c>
      <c r="P1241" s="6" t="s">
        <v>10910</v>
      </c>
      <c r="Q1241" s="6" t="s">
        <v>81</v>
      </c>
      <c r="R1241" s="6" t="s">
        <v>81</v>
      </c>
      <c r="S1241" s="6" t="s">
        <v>10886</v>
      </c>
      <c r="T1241" s="16" t="n">
        <v>42599</v>
      </c>
      <c r="U1241" s="6" t="s">
        <v>13183</v>
      </c>
      <c r="V1241" s="6" t="s">
        <v>81</v>
      </c>
      <c r="W1241" s="6" t="s">
        <v>81</v>
      </c>
      <c r="X1241" s="6" t="s">
        <v>81</v>
      </c>
      <c r="Y1241" s="21" t="s">
        <v>81</v>
      </c>
      <c r="Z1241" s="6" t="s">
        <v>81</v>
      </c>
      <c r="AA1241" s="6" t="s">
        <v>81</v>
      </c>
      <c r="AB1241" s="6" t="s">
        <v>81</v>
      </c>
      <c r="AC1241" s="6" t="s">
        <v>81</v>
      </c>
      <c r="AD1241" s="21" t="s">
        <v>81</v>
      </c>
      <c r="AE1241" s="6" t="s">
        <v>81</v>
      </c>
      <c r="AF1241" s="6" t="s">
        <v>81</v>
      </c>
      <c r="AG1241" s="6" t="s">
        <v>81</v>
      </c>
      <c r="AH1241" s="6" t="s">
        <v>15810</v>
      </c>
      <c r="AI1241" s="6" t="s">
        <v>81</v>
      </c>
      <c r="AJ1241" s="6" t="s">
        <v>17943</v>
      </c>
      <c r="AK1241" s="6" t="s">
        <v>18380</v>
      </c>
      <c r="AL1241" s="6" t="s">
        <v>18444</v>
      </c>
      <c r="AM1241" s="6" t="s">
        <v>19131</v>
      </c>
      <c r="AN1241" s="6" t="s">
        <v>19706</v>
      </c>
      <c r="AO1241" s="6" t="s">
        <v>19784</v>
      </c>
      <c r="AP1241" s="6" t="s">
        <v>20274</v>
      </c>
      <c r="AQ1241" s="6" t="s">
        <v>81</v>
      </c>
      <c r="AR1241" s="6" t="s">
        <v>20538</v>
      </c>
      <c r="AS1241" s="6" t="s">
        <v>18380</v>
      </c>
      <c r="AT1241" s="6" t="s">
        <v>18444</v>
      </c>
      <c r="AU1241" s="6" t="s">
        <v>20663</v>
      </c>
      <c r="AV1241" s="6" t="s">
        <v>81</v>
      </c>
      <c r="AW1241" s="6" t="s">
        <v>81</v>
      </c>
      <c r="AX1241" s="6" t="s">
        <v>21516</v>
      </c>
      <c r="AY1241" s="6" t="s">
        <v>23017</v>
      </c>
      <c r="AZ1241" s="6" t="s">
        <v>81</v>
      </c>
      <c r="BA1241" s="6" t="s">
        <v>81</v>
      </c>
      <c r="BB1241" s="24" t="n">
        <v>176</v>
      </c>
      <c r="BC1241" s="26"/>
      <c r="BD1241" s="26"/>
      <c r="BE1241" s="26"/>
      <c r="BF1241" s="26"/>
      <c r="BG1241" s="26"/>
      <c r="BH1241" s="26"/>
      <c r="BI1241" s="26"/>
      <c r="BJ1241" s="26"/>
      <c r="BK1241" s="26"/>
      <c r="BL1241" s="26"/>
      <c r="BM1241" s="26"/>
      <c r="BN1241" s="26"/>
      <c r="BO1241" s="26"/>
      <c r="BP1241" s="16" t="n">
        <v>45684</v>
      </c>
      <c r="BQ1241" s="28" t="str">
        <f>HYPERLINK("https://organic.ams.usda.gov/Integrity/Certificate.aspx?cid=68&amp;nopid=8210002837")</f>
        <v>https://organic.ams.usda.gov/Integrity/Certificate.aspx?cid=68&amp;nopid=8210002837</v>
      </c>
    </row>
    <row r="1242">
      <c r="A1242" t="s">
        <v>3</v>
      </c>
      <c r="B1242" s="6" t="s">
        <v>12</v>
      </c>
      <c r="C1242" s="6" t="s">
        <v>59</v>
      </c>
      <c r="D1242" s="6" t="s">
        <v>105</v>
      </c>
      <c r="E1242" s="10" t="s">
        <v>1383</v>
      </c>
      <c r="F1242" s="6" t="s">
        <v>4109</v>
      </c>
      <c r="G1242" s="6" t="s">
        <v>81</v>
      </c>
      <c r="H1242" s="6" t="s">
        <v>7030</v>
      </c>
      <c r="I1242" s="6" t="s">
        <v>9059</v>
      </c>
      <c r="J1242" s="6" t="s">
        <v>10274</v>
      </c>
      <c r="K1242" s="6" t="s">
        <v>10886</v>
      </c>
      <c r="L1242" s="16" t="n">
        <v>42487</v>
      </c>
      <c r="M1242" s="16" t="n">
        <v>45717</v>
      </c>
      <c r="N1242" s="6" t="s">
        <v>10886</v>
      </c>
      <c r="O1242" s="16" t="n">
        <v>42324</v>
      </c>
      <c r="P1242" s="6" t="s">
        <v>10910</v>
      </c>
      <c r="Q1242" s="6" t="s">
        <v>81</v>
      </c>
      <c r="R1242" s="6" t="s">
        <v>81</v>
      </c>
      <c r="S1242" s="6" t="s">
        <v>10886</v>
      </c>
      <c r="T1242" s="16" t="n">
        <v>42324</v>
      </c>
      <c r="U1242" s="6" t="s">
        <v>13183</v>
      </c>
      <c r="V1242" s="6" t="s">
        <v>81</v>
      </c>
      <c r="W1242" s="6" t="s">
        <v>81</v>
      </c>
      <c r="X1242" s="6" t="s">
        <v>81</v>
      </c>
      <c r="Y1242" s="21" t="s">
        <v>81</v>
      </c>
      <c r="Z1242" s="6" t="s">
        <v>81</v>
      </c>
      <c r="AA1242" s="6" t="s">
        <v>81</v>
      </c>
      <c r="AB1242" s="6" t="s">
        <v>81</v>
      </c>
      <c r="AC1242" s="6" t="s">
        <v>81</v>
      </c>
      <c r="AD1242" s="21" t="s">
        <v>81</v>
      </c>
      <c r="AE1242" s="6" t="s">
        <v>81</v>
      </c>
      <c r="AF1242" s="6" t="s">
        <v>81</v>
      </c>
      <c r="AG1242" s="6" t="s">
        <v>81</v>
      </c>
      <c r="AH1242" s="6" t="s">
        <v>15811</v>
      </c>
      <c r="AI1242" s="6" t="s">
        <v>81</v>
      </c>
      <c r="AJ1242" s="6" t="s">
        <v>17772</v>
      </c>
      <c r="AK1242" s="6" t="s">
        <v>17712</v>
      </c>
      <c r="AL1242" s="6" t="s">
        <v>18444</v>
      </c>
      <c r="AM1242" s="6" t="s">
        <v>18944</v>
      </c>
      <c r="AN1242" s="6" t="s">
        <v>19645</v>
      </c>
      <c r="AO1242" s="6" t="s">
        <v>19770</v>
      </c>
      <c r="AP1242" s="6" t="s">
        <v>15811</v>
      </c>
      <c r="AQ1242" s="6" t="s">
        <v>81</v>
      </c>
      <c r="AR1242" s="6" t="s">
        <v>17772</v>
      </c>
      <c r="AS1242" s="6" t="s">
        <v>17712</v>
      </c>
      <c r="AT1242" s="6" t="s">
        <v>18444</v>
      </c>
      <c r="AU1242" s="6" t="s">
        <v>18944</v>
      </c>
      <c r="AV1242" s="6" t="s">
        <v>81</v>
      </c>
      <c r="AW1242" s="6" t="s">
        <v>81</v>
      </c>
      <c r="AX1242" s="6" t="s">
        <v>21517</v>
      </c>
      <c r="AY1242" s="6" t="s">
        <v>23018</v>
      </c>
      <c r="AZ1242" s="6" t="s">
        <v>81</v>
      </c>
      <c r="BA1242" s="6" t="s">
        <v>81</v>
      </c>
      <c r="BB1242" s="24" t="n">
        <v>484</v>
      </c>
      <c r="BC1242" s="26"/>
      <c r="BD1242" s="26"/>
      <c r="BE1242" s="26"/>
      <c r="BF1242" s="26"/>
      <c r="BG1242" s="26"/>
      <c r="BH1242" s="26"/>
      <c r="BI1242" s="26"/>
      <c r="BJ1242" s="26"/>
      <c r="BK1242" s="26"/>
      <c r="BL1242" s="26"/>
      <c r="BM1242" s="26"/>
      <c r="BN1242" s="26"/>
      <c r="BO1242" s="26"/>
      <c r="BP1242" s="16" t="n">
        <v>45684</v>
      </c>
      <c r="BQ1242" s="28" t="str">
        <f>HYPERLINK("https://organic.ams.usda.gov/Integrity/Certificate.aspx?cid=68&amp;nopid=8210003436")</f>
        <v>https://organic.ams.usda.gov/Integrity/Certificate.aspx?cid=68&amp;nopid=8210003436</v>
      </c>
    </row>
    <row r="1243">
      <c r="A1243" t="s">
        <v>3</v>
      </c>
      <c r="B1243" s="6" t="s">
        <v>10</v>
      </c>
      <c r="C1243" s="6" t="s">
        <v>57</v>
      </c>
      <c r="D1243" s="6" t="s">
        <v>103</v>
      </c>
      <c r="E1243" s="10" t="s">
        <v>1384</v>
      </c>
      <c r="F1243" s="6" t="s">
        <v>4110</v>
      </c>
      <c r="G1243" s="6" t="s">
        <v>81</v>
      </c>
      <c r="H1243" s="6" t="s">
        <v>7031</v>
      </c>
      <c r="I1243" s="6" t="s">
        <v>9059</v>
      </c>
      <c r="J1243" s="6" t="s">
        <v>10275</v>
      </c>
      <c r="K1243" s="6" t="s">
        <v>10886</v>
      </c>
      <c r="L1243" s="16" t="n">
        <v>45074</v>
      </c>
      <c r="M1243" s="16" t="n">
        <v>45748</v>
      </c>
      <c r="N1243" s="6" t="s">
        <v>10886</v>
      </c>
      <c r="O1243" s="16" t="n">
        <v>45074</v>
      </c>
      <c r="P1243" s="6" t="s">
        <v>11635</v>
      </c>
      <c r="Q1243" s="6" t="s">
        <v>81</v>
      </c>
      <c r="R1243" s="6" t="s">
        <v>12754</v>
      </c>
      <c r="S1243" s="6" t="s">
        <v>10886</v>
      </c>
      <c r="T1243" s="16" t="n">
        <v>45074</v>
      </c>
      <c r="U1243" s="6" t="s">
        <v>13163</v>
      </c>
      <c r="V1243" s="6" t="s">
        <v>81</v>
      </c>
      <c r="W1243" s="6" t="s">
        <v>81</v>
      </c>
      <c r="X1243" s="6" t="s">
        <v>81</v>
      </c>
      <c r="Y1243" s="21" t="s">
        <v>81</v>
      </c>
      <c r="Z1243" s="6" t="s">
        <v>81</v>
      </c>
      <c r="AA1243" s="6" t="s">
        <v>81</v>
      </c>
      <c r="AB1243" s="6" t="s">
        <v>81</v>
      </c>
      <c r="AC1243" s="6" t="s">
        <v>81</v>
      </c>
      <c r="AD1243" s="21" t="s">
        <v>81</v>
      </c>
      <c r="AE1243" s="6" t="s">
        <v>81</v>
      </c>
      <c r="AF1243" s="6" t="s">
        <v>81</v>
      </c>
      <c r="AG1243" s="6" t="s">
        <v>81</v>
      </c>
      <c r="AH1243" s="6" t="s">
        <v>15812</v>
      </c>
      <c r="AI1243" s="6" t="s">
        <v>81</v>
      </c>
      <c r="AJ1243" s="6" t="s">
        <v>17944</v>
      </c>
      <c r="AK1243" s="6" t="s">
        <v>17712</v>
      </c>
      <c r="AL1243" s="6" t="s">
        <v>18444</v>
      </c>
      <c r="AM1243" s="6" t="s">
        <v>19132</v>
      </c>
      <c r="AN1243" s="6" t="s">
        <v>19635</v>
      </c>
      <c r="AO1243" s="6" t="s">
        <v>19795</v>
      </c>
      <c r="AP1243" s="6" t="s">
        <v>15812</v>
      </c>
      <c r="AQ1243" s="6" t="s">
        <v>81</v>
      </c>
      <c r="AR1243" s="6" t="s">
        <v>17944</v>
      </c>
      <c r="AS1243" s="6" t="s">
        <v>17712</v>
      </c>
      <c r="AT1243" s="6" t="s">
        <v>18444</v>
      </c>
      <c r="AU1243" s="6" t="s">
        <v>19132</v>
      </c>
      <c r="AV1243" s="6" t="s">
        <v>81</v>
      </c>
      <c r="AW1243" s="6" t="s">
        <v>81</v>
      </c>
      <c r="AX1243" s="6" t="s">
        <v>21518</v>
      </c>
      <c r="AY1243" s="6" t="s">
        <v>81</v>
      </c>
      <c r="AZ1243" s="6" t="s">
        <v>81</v>
      </c>
      <c r="BA1243" s="6" t="s">
        <v>81</v>
      </c>
      <c r="BB1243" s="24" t="n">
        <v>268</v>
      </c>
      <c r="BC1243" s="26"/>
      <c r="BD1243" s="26"/>
      <c r="BE1243" s="26"/>
      <c r="BF1243" s="26"/>
      <c r="BG1243" s="26"/>
      <c r="BH1243" s="26"/>
      <c r="BI1243" s="26"/>
      <c r="BJ1243" s="26"/>
      <c r="BK1243" s="26"/>
      <c r="BL1243" s="26"/>
      <c r="BM1243" s="26"/>
      <c r="BN1243" s="26"/>
      <c r="BO1243" s="26"/>
      <c r="BP1243" s="16" t="n">
        <v>45730</v>
      </c>
      <c r="BQ1243" s="28" t="str">
        <f>HYPERLINK("https://organic.ams.usda.gov/Integrity/Certificate.aspx?cid=90&amp;nopid=7170230679")</f>
        <v>https://organic.ams.usda.gov/Integrity/Certificate.aspx?cid=90&amp;nopid=7170230679</v>
      </c>
    </row>
    <row r="1244">
      <c r="A1244" t="s">
        <v>3</v>
      </c>
      <c r="B1244" s="6" t="s">
        <v>28</v>
      </c>
      <c r="C1244" s="6" t="s">
        <v>75</v>
      </c>
      <c r="D1244" s="6" t="s">
        <v>121</v>
      </c>
      <c r="E1244" s="10" t="s">
        <v>1385</v>
      </c>
      <c r="F1244" s="6" t="s">
        <v>4111</v>
      </c>
      <c r="G1244" s="6" t="s">
        <v>81</v>
      </c>
      <c r="H1244" s="6" t="s">
        <v>7032</v>
      </c>
      <c r="I1244" s="6" t="s">
        <v>8973</v>
      </c>
      <c r="J1244" s="6" t="s">
        <v>10276</v>
      </c>
      <c r="K1244" s="6" t="s">
        <v>10886</v>
      </c>
      <c r="L1244" s="16" t="n">
        <v>37841</v>
      </c>
      <c r="M1244" s="16" t="n">
        <v>45717</v>
      </c>
      <c r="N1244" s="6" t="s">
        <v>81</v>
      </c>
      <c r="O1244" s="21" t="s">
        <v>81</v>
      </c>
      <c r="P1244" s="6" t="s">
        <v>81</v>
      </c>
      <c r="Q1244" s="6" t="s">
        <v>81</v>
      </c>
      <c r="R1244" s="6" t="s">
        <v>81</v>
      </c>
      <c r="S1244" s="6" t="s">
        <v>81</v>
      </c>
      <c r="T1244" s="21" t="s">
        <v>81</v>
      </c>
      <c r="U1244" s="6" t="s">
        <v>81</v>
      </c>
      <c r="V1244" s="6" t="s">
        <v>81</v>
      </c>
      <c r="W1244" s="6" t="s">
        <v>81</v>
      </c>
      <c r="X1244" s="6" t="s">
        <v>81</v>
      </c>
      <c r="Y1244" s="21" t="s">
        <v>81</v>
      </c>
      <c r="Z1244" s="6" t="s">
        <v>81</v>
      </c>
      <c r="AA1244" s="6" t="s">
        <v>81</v>
      </c>
      <c r="AB1244" s="6" t="s">
        <v>81</v>
      </c>
      <c r="AC1244" s="6" t="s">
        <v>10886</v>
      </c>
      <c r="AD1244" s="16" t="n">
        <v>37841</v>
      </c>
      <c r="AE1244" s="6" t="s">
        <v>14251</v>
      </c>
      <c r="AF1244" s="6" t="s">
        <v>81</v>
      </c>
      <c r="AG1244" s="6" t="s">
        <v>81</v>
      </c>
      <c r="AH1244" s="6" t="s">
        <v>15813</v>
      </c>
      <c r="AI1244" s="6" t="s">
        <v>81</v>
      </c>
      <c r="AJ1244" s="6" t="s">
        <v>17945</v>
      </c>
      <c r="AK1244" s="6" t="s">
        <v>18377</v>
      </c>
      <c r="AL1244" s="6" t="s">
        <v>18444</v>
      </c>
      <c r="AM1244" s="6" t="s">
        <v>19133</v>
      </c>
      <c r="AN1244" s="6" t="s">
        <v>19670</v>
      </c>
      <c r="AO1244" s="6" t="s">
        <v>19983</v>
      </c>
      <c r="AP1244" s="6" t="s">
        <v>81</v>
      </c>
      <c r="AQ1244" s="6" t="s">
        <v>81</v>
      </c>
      <c r="AR1244" s="6" t="s">
        <v>81</v>
      </c>
      <c r="AS1244" s="6" t="s">
        <v>81</v>
      </c>
      <c r="AT1244" s="6" t="s">
        <v>81</v>
      </c>
      <c r="AU1244" s="6" t="s">
        <v>81</v>
      </c>
      <c r="AV1244" s="6" t="s">
        <v>81</v>
      </c>
      <c r="AW1244" s="6" t="s">
        <v>81</v>
      </c>
      <c r="AX1244" s="6" t="s">
        <v>21519</v>
      </c>
      <c r="AY1244" s="6" t="s">
        <v>23019</v>
      </c>
      <c r="AZ1244" s="6" t="s">
        <v>81</v>
      </c>
      <c r="BA1244" s="6" t="s">
        <v>81</v>
      </c>
      <c r="BB1244" s="6" t="s">
        <v>81</v>
      </c>
      <c r="BC1244" s="26"/>
      <c r="BD1244" s="26"/>
      <c r="BE1244" s="26"/>
      <c r="BF1244" s="26"/>
      <c r="BG1244" s="26"/>
      <c r="BH1244" s="26"/>
      <c r="BI1244" s="26"/>
      <c r="BJ1244" s="26"/>
      <c r="BK1244" s="26"/>
      <c r="BL1244" s="26"/>
      <c r="BM1244" s="26"/>
      <c r="BN1244" s="26"/>
      <c r="BO1244" s="26"/>
      <c r="BP1244" s="16" t="n">
        <v>45628</v>
      </c>
      <c r="BQ1244" s="28" t="str">
        <f>HYPERLINK("https://organic.ams.usda.gov/Integrity/Certificate.aspx?cid=64&amp;nopid=8830000508")</f>
        <v>https://organic.ams.usda.gov/Integrity/Certificate.aspx?cid=64&amp;nopid=8830000508</v>
      </c>
    </row>
    <row r="1245">
      <c r="A1245" t="s">
        <v>3</v>
      </c>
      <c r="B1245" s="6" t="s">
        <v>35</v>
      </c>
      <c r="C1245" s="6" t="s">
        <v>82</v>
      </c>
      <c r="D1245" s="6" t="s">
        <v>127</v>
      </c>
      <c r="E1245" s="10" t="s">
        <v>1386</v>
      </c>
      <c r="F1245" s="6" t="s">
        <v>4112</v>
      </c>
      <c r="G1245" s="6" t="s">
        <v>81</v>
      </c>
      <c r="H1245" s="6" t="s">
        <v>7033</v>
      </c>
      <c r="I1245" s="6" t="s">
        <v>9060</v>
      </c>
      <c r="J1245" s="6" t="s">
        <v>10277</v>
      </c>
      <c r="K1245" s="6" t="s">
        <v>10886</v>
      </c>
      <c r="L1245" s="16" t="n">
        <v>42073</v>
      </c>
      <c r="M1245" s="16" t="n">
        <v>45762</v>
      </c>
      <c r="N1245" s="6" t="s">
        <v>10886</v>
      </c>
      <c r="O1245" s="16" t="n">
        <v>42073</v>
      </c>
      <c r="P1245" s="6" t="s">
        <v>11101</v>
      </c>
      <c r="Q1245" s="6" t="s">
        <v>81</v>
      </c>
      <c r="R1245" s="6" t="s">
        <v>12755</v>
      </c>
      <c r="S1245" s="6" t="s">
        <v>10886</v>
      </c>
      <c r="T1245" s="16" t="n">
        <v>42073</v>
      </c>
      <c r="U1245" s="6" t="s">
        <v>13320</v>
      </c>
      <c r="V1245" s="6" t="s">
        <v>81</v>
      </c>
      <c r="W1245" s="6" t="s">
        <v>12755</v>
      </c>
      <c r="X1245" s="6" t="s">
        <v>81</v>
      </c>
      <c r="Y1245" s="21" t="s">
        <v>81</v>
      </c>
      <c r="Z1245" s="6" t="s">
        <v>81</v>
      </c>
      <c r="AA1245" s="6" t="s">
        <v>81</v>
      </c>
      <c r="AB1245" s="6" t="s">
        <v>81</v>
      </c>
      <c r="AC1245" s="6" t="s">
        <v>81</v>
      </c>
      <c r="AD1245" s="21" t="s">
        <v>81</v>
      </c>
      <c r="AE1245" s="6" t="s">
        <v>81</v>
      </c>
      <c r="AF1245" s="6" t="s">
        <v>81</v>
      </c>
      <c r="AG1245" s="6" t="s">
        <v>81</v>
      </c>
      <c r="AH1245" s="6" t="s">
        <v>15814</v>
      </c>
      <c r="AI1245" s="6" t="s">
        <v>81</v>
      </c>
      <c r="AJ1245" s="6" t="s">
        <v>9070</v>
      </c>
      <c r="AK1245" s="6" t="s">
        <v>18405</v>
      </c>
      <c r="AL1245" s="6" t="s">
        <v>18444</v>
      </c>
      <c r="AM1245" s="6" t="s">
        <v>19134</v>
      </c>
      <c r="AN1245" s="6" t="s">
        <v>19692</v>
      </c>
      <c r="AO1245" s="6" t="s">
        <v>19751</v>
      </c>
      <c r="AP1245" s="6" t="s">
        <v>20275</v>
      </c>
      <c r="AQ1245" s="6" t="s">
        <v>81</v>
      </c>
      <c r="AR1245" s="6" t="s">
        <v>9070</v>
      </c>
      <c r="AS1245" s="6" t="s">
        <v>18405</v>
      </c>
      <c r="AT1245" s="6" t="s">
        <v>18444</v>
      </c>
      <c r="AU1245" s="6" t="s">
        <v>19134</v>
      </c>
      <c r="AV1245" s="6" t="s">
        <v>81</v>
      </c>
      <c r="AW1245" s="6" t="s">
        <v>81</v>
      </c>
      <c r="AX1245" s="6" t="s">
        <v>81</v>
      </c>
      <c r="AY1245" s="6" t="s">
        <v>23020</v>
      </c>
      <c r="AZ1245" s="6" t="s">
        <v>81</v>
      </c>
      <c r="BA1245" s="6" t="s">
        <v>81</v>
      </c>
      <c r="BB1245" s="24" t="n">
        <v>382</v>
      </c>
      <c r="BC1245" s="26"/>
      <c r="BD1245" s="26"/>
      <c r="BE1245" s="26"/>
      <c r="BF1245" s="26"/>
      <c r="BG1245" s="26"/>
      <c r="BH1245" s="26"/>
      <c r="BI1245" s="26"/>
      <c r="BJ1245" s="26"/>
      <c r="BK1245" s="26"/>
      <c r="BL1245" s="26"/>
      <c r="BM1245" s="26"/>
      <c r="BN1245" s="26"/>
      <c r="BO1245" s="26"/>
      <c r="BP1245" s="16" t="n">
        <v>45695</v>
      </c>
      <c r="BQ1245" s="28" t="str">
        <f>HYPERLINK("https://organic.ams.usda.gov/Integrity/Certificate.aspx?cid=47&amp;nopid=7142074589")</f>
        <v>https://organic.ams.usda.gov/Integrity/Certificate.aspx?cid=47&amp;nopid=7142074589</v>
      </c>
    </row>
    <row r="1246">
      <c r="A1246" t="s">
        <v>3</v>
      </c>
      <c r="B1246" s="6" t="s">
        <v>10</v>
      </c>
      <c r="C1246" s="6" t="s">
        <v>57</v>
      </c>
      <c r="D1246" s="6" t="s">
        <v>103</v>
      </c>
      <c r="E1246" s="10" t="s">
        <v>1387</v>
      </c>
      <c r="F1246" s="6" t="s">
        <v>4113</v>
      </c>
      <c r="G1246" s="6" t="s">
        <v>5706</v>
      </c>
      <c r="H1246" s="6" t="s">
        <v>7034</v>
      </c>
      <c r="I1246" s="6" t="s">
        <v>9061</v>
      </c>
      <c r="J1246" s="6" t="s">
        <v>9728</v>
      </c>
      <c r="K1246" s="6" t="s">
        <v>10886</v>
      </c>
      <c r="L1246" s="16" t="n">
        <v>41865</v>
      </c>
      <c r="M1246" s="16" t="n">
        <v>45748</v>
      </c>
      <c r="N1246" s="6" t="s">
        <v>10886</v>
      </c>
      <c r="O1246" s="16" t="n">
        <v>41865</v>
      </c>
      <c r="P1246" s="6" t="s">
        <v>11636</v>
      </c>
      <c r="Q1246" s="6" t="s">
        <v>81</v>
      </c>
      <c r="R1246" s="6" t="s">
        <v>12756</v>
      </c>
      <c r="S1246" s="6" t="s">
        <v>10886</v>
      </c>
      <c r="T1246" s="16" t="n">
        <v>41865</v>
      </c>
      <c r="U1246" s="6" t="s">
        <v>13579</v>
      </c>
      <c r="V1246" s="6" t="s">
        <v>81</v>
      </c>
      <c r="W1246" s="6" t="s">
        <v>81</v>
      </c>
      <c r="X1246" s="6" t="s">
        <v>81</v>
      </c>
      <c r="Y1246" s="21" t="s">
        <v>81</v>
      </c>
      <c r="Z1246" s="6" t="s">
        <v>81</v>
      </c>
      <c r="AA1246" s="6" t="s">
        <v>81</v>
      </c>
      <c r="AB1246" s="6" t="s">
        <v>81</v>
      </c>
      <c r="AC1246" s="6" t="s">
        <v>81</v>
      </c>
      <c r="AD1246" s="21" t="s">
        <v>81</v>
      </c>
      <c r="AE1246" s="6" t="s">
        <v>81</v>
      </c>
      <c r="AF1246" s="6" t="s">
        <v>81</v>
      </c>
      <c r="AG1246" s="6" t="s">
        <v>81</v>
      </c>
      <c r="AH1246" s="6" t="s">
        <v>15815</v>
      </c>
      <c r="AI1246" s="6" t="s">
        <v>81</v>
      </c>
      <c r="AJ1246" s="6" t="s">
        <v>17391</v>
      </c>
      <c r="AK1246" s="6" t="s">
        <v>18379</v>
      </c>
      <c r="AL1246" s="6" t="s">
        <v>18444</v>
      </c>
      <c r="AM1246" s="6" t="s">
        <v>18467</v>
      </c>
      <c r="AN1246" s="6" t="s">
        <v>19637</v>
      </c>
      <c r="AO1246" s="6" t="s">
        <v>19723</v>
      </c>
      <c r="AP1246" s="6" t="s">
        <v>15815</v>
      </c>
      <c r="AQ1246" s="6" t="s">
        <v>81</v>
      </c>
      <c r="AR1246" s="6" t="s">
        <v>17391</v>
      </c>
      <c r="AS1246" s="6" t="s">
        <v>18379</v>
      </c>
      <c r="AT1246" s="6" t="s">
        <v>18444</v>
      </c>
      <c r="AU1246" s="6" t="s">
        <v>18467</v>
      </c>
      <c r="AV1246" s="6" t="s">
        <v>81</v>
      </c>
      <c r="AW1246" s="6" t="s">
        <v>81</v>
      </c>
      <c r="AX1246" s="6" t="s">
        <v>21520</v>
      </c>
      <c r="AY1246" s="6" t="s">
        <v>81</v>
      </c>
      <c r="AZ1246" s="6" t="s">
        <v>81</v>
      </c>
      <c r="BA1246" s="6" t="s">
        <v>81</v>
      </c>
      <c r="BB1246" s="24" t="n">
        <v>107</v>
      </c>
      <c r="BC1246" s="26"/>
      <c r="BD1246" s="26"/>
      <c r="BE1246" s="26"/>
      <c r="BF1246" s="26"/>
      <c r="BG1246" s="26"/>
      <c r="BH1246" s="26"/>
      <c r="BI1246" s="26"/>
      <c r="BJ1246" s="26"/>
      <c r="BK1246" s="26"/>
      <c r="BL1246" s="26"/>
      <c r="BM1246" s="26"/>
      <c r="BN1246" s="26"/>
      <c r="BO1246" s="26"/>
      <c r="BP1246" s="16" t="n">
        <v>45730</v>
      </c>
      <c r="BQ1246" s="28" t="str">
        <f>HYPERLINK("https://organic.ams.usda.gov/Integrity/Certificate.aspx?cid=90&amp;nopid=7170210297")</f>
        <v>https://organic.ams.usda.gov/Integrity/Certificate.aspx?cid=90&amp;nopid=7170210297</v>
      </c>
    </row>
    <row r="1247">
      <c r="A1247" t="s">
        <v>3</v>
      </c>
      <c r="B1247" s="6" t="s">
        <v>9</v>
      </c>
      <c r="C1247" s="6" t="s">
        <v>56</v>
      </c>
      <c r="D1247" s="6" t="s">
        <v>102</v>
      </c>
      <c r="E1247" s="10" t="s">
        <v>1388</v>
      </c>
      <c r="F1247" s="6" t="s">
        <v>4114</v>
      </c>
      <c r="G1247" s="6" t="s">
        <v>81</v>
      </c>
      <c r="H1247" s="6" t="s">
        <v>7035</v>
      </c>
      <c r="I1247" s="6" t="s">
        <v>8952</v>
      </c>
      <c r="J1247" s="6" t="s">
        <v>10278</v>
      </c>
      <c r="K1247" s="6" t="s">
        <v>10886</v>
      </c>
      <c r="L1247" s="16" t="n">
        <v>42009</v>
      </c>
      <c r="M1247" s="16" t="n">
        <v>45748</v>
      </c>
      <c r="N1247" s="6" t="s">
        <v>10886</v>
      </c>
      <c r="O1247" s="16" t="n">
        <v>42009</v>
      </c>
      <c r="P1247" s="6" t="s">
        <v>11637</v>
      </c>
      <c r="Q1247" s="6" t="s">
        <v>81</v>
      </c>
      <c r="R1247" s="6" t="s">
        <v>12757</v>
      </c>
      <c r="S1247" s="6" t="s">
        <v>10886</v>
      </c>
      <c r="T1247" s="16" t="n">
        <v>42009</v>
      </c>
      <c r="U1247" s="6" t="s">
        <v>13168</v>
      </c>
      <c r="V1247" s="6" t="s">
        <v>81</v>
      </c>
      <c r="W1247" s="6" t="s">
        <v>12757</v>
      </c>
      <c r="X1247" s="6" t="s">
        <v>81</v>
      </c>
      <c r="Y1247" s="21" t="s">
        <v>81</v>
      </c>
      <c r="Z1247" s="6" t="s">
        <v>81</v>
      </c>
      <c r="AA1247" s="6" t="s">
        <v>81</v>
      </c>
      <c r="AB1247" s="6" t="s">
        <v>81</v>
      </c>
      <c r="AC1247" s="6" t="s">
        <v>81</v>
      </c>
      <c r="AD1247" s="21" t="s">
        <v>81</v>
      </c>
      <c r="AE1247" s="6" t="s">
        <v>81</v>
      </c>
      <c r="AF1247" s="6" t="s">
        <v>81</v>
      </c>
      <c r="AG1247" s="6" t="s">
        <v>81</v>
      </c>
      <c r="AH1247" s="6" t="s">
        <v>15816</v>
      </c>
      <c r="AI1247" s="6" t="s">
        <v>81</v>
      </c>
      <c r="AJ1247" s="6" t="s">
        <v>17476</v>
      </c>
      <c r="AK1247" s="6" t="s">
        <v>18377</v>
      </c>
      <c r="AL1247" s="6" t="s">
        <v>18444</v>
      </c>
      <c r="AM1247" s="6" t="s">
        <v>19135</v>
      </c>
      <c r="AN1247" s="6" t="s">
        <v>19666</v>
      </c>
      <c r="AO1247" s="6" t="s">
        <v>19771</v>
      </c>
      <c r="AP1247" s="6" t="s">
        <v>81</v>
      </c>
      <c r="AQ1247" s="6" t="s">
        <v>81</v>
      </c>
      <c r="AR1247" s="6" t="s">
        <v>81</v>
      </c>
      <c r="AS1247" s="6" t="s">
        <v>81</v>
      </c>
      <c r="AT1247" s="6" t="s">
        <v>81</v>
      </c>
      <c r="AU1247" s="6" t="s">
        <v>81</v>
      </c>
      <c r="AV1247" s="6" t="s">
        <v>81</v>
      </c>
      <c r="AW1247" s="6" t="s">
        <v>81</v>
      </c>
      <c r="AX1247" s="6" t="s">
        <v>21521</v>
      </c>
      <c r="AY1247" s="6" t="s">
        <v>23021</v>
      </c>
      <c r="AZ1247" s="6" t="s">
        <v>81</v>
      </c>
      <c r="BA1247" s="6" t="s">
        <v>23837</v>
      </c>
      <c r="BB1247" s="24" t="n">
        <v>306</v>
      </c>
      <c r="BC1247" s="26"/>
      <c r="BD1247" s="26"/>
      <c r="BE1247" s="26"/>
      <c r="BF1247" s="26"/>
      <c r="BG1247" s="26"/>
      <c r="BH1247" s="26"/>
      <c r="BI1247" s="26"/>
      <c r="BJ1247" s="26"/>
      <c r="BK1247" s="26"/>
      <c r="BL1247" s="26"/>
      <c r="BM1247" s="26"/>
      <c r="BN1247" s="26"/>
      <c r="BO1247" s="26"/>
      <c r="BP1247" s="16" t="n">
        <v>45738</v>
      </c>
      <c r="BQ1247" s="28" t="str">
        <f>HYPERLINK("https://organic.ams.usda.gov/Integrity/Certificate.aspx?cid=52&amp;nopid=8431400912")</f>
        <v>https://organic.ams.usda.gov/Integrity/Certificate.aspx?cid=52&amp;nopid=8431400912</v>
      </c>
    </row>
    <row r="1248">
      <c r="A1248" t="s">
        <v>3</v>
      </c>
      <c r="B1248" s="6" t="s">
        <v>10</v>
      </c>
      <c r="C1248" s="6" t="s">
        <v>57</v>
      </c>
      <c r="D1248" s="6" t="s">
        <v>103</v>
      </c>
      <c r="E1248" s="10" t="s">
        <v>1389</v>
      </c>
      <c r="F1248" s="6" t="s">
        <v>4115</v>
      </c>
      <c r="G1248" s="6" t="s">
        <v>81</v>
      </c>
      <c r="H1248" s="6" t="s">
        <v>7036</v>
      </c>
      <c r="I1248" s="6" t="s">
        <v>9062</v>
      </c>
      <c r="J1248" s="6" t="s">
        <v>9666</v>
      </c>
      <c r="K1248" s="6" t="s">
        <v>10886</v>
      </c>
      <c r="L1248" s="16" t="n">
        <v>45083</v>
      </c>
      <c r="M1248" s="16" t="n">
        <v>45748</v>
      </c>
      <c r="N1248" s="6" t="s">
        <v>10886</v>
      </c>
      <c r="O1248" s="16" t="n">
        <v>45083</v>
      </c>
      <c r="P1248" s="6" t="s">
        <v>11635</v>
      </c>
      <c r="Q1248" s="6" t="s">
        <v>81</v>
      </c>
      <c r="R1248" s="6" t="s">
        <v>12758</v>
      </c>
      <c r="S1248" s="6" t="s">
        <v>10886</v>
      </c>
      <c r="T1248" s="16" t="n">
        <v>45083</v>
      </c>
      <c r="U1248" s="6" t="s">
        <v>13163</v>
      </c>
      <c r="V1248" s="6" t="s">
        <v>81</v>
      </c>
      <c r="W1248" s="6" t="s">
        <v>81</v>
      </c>
      <c r="X1248" s="6" t="s">
        <v>81</v>
      </c>
      <c r="Y1248" s="21" t="s">
        <v>81</v>
      </c>
      <c r="Z1248" s="6" t="s">
        <v>81</v>
      </c>
      <c r="AA1248" s="6" t="s">
        <v>81</v>
      </c>
      <c r="AB1248" s="6" t="s">
        <v>81</v>
      </c>
      <c r="AC1248" s="6" t="s">
        <v>81</v>
      </c>
      <c r="AD1248" s="21" t="s">
        <v>81</v>
      </c>
      <c r="AE1248" s="6" t="s">
        <v>81</v>
      </c>
      <c r="AF1248" s="6" t="s">
        <v>81</v>
      </c>
      <c r="AG1248" s="6" t="s">
        <v>81</v>
      </c>
      <c r="AH1248" s="6" t="s">
        <v>15817</v>
      </c>
      <c r="AI1248" s="6" t="s">
        <v>81</v>
      </c>
      <c r="AJ1248" s="6" t="s">
        <v>17389</v>
      </c>
      <c r="AK1248" s="6" t="s">
        <v>17712</v>
      </c>
      <c r="AL1248" s="6" t="s">
        <v>18444</v>
      </c>
      <c r="AM1248" s="6" t="s">
        <v>18543</v>
      </c>
      <c r="AN1248" s="6" t="s">
        <v>19707</v>
      </c>
      <c r="AO1248" s="6" t="s">
        <v>81</v>
      </c>
      <c r="AP1248" s="6" t="s">
        <v>15817</v>
      </c>
      <c r="AQ1248" s="6" t="s">
        <v>81</v>
      </c>
      <c r="AR1248" s="6" t="s">
        <v>17389</v>
      </c>
      <c r="AS1248" s="6" t="s">
        <v>17712</v>
      </c>
      <c r="AT1248" s="6" t="s">
        <v>18444</v>
      </c>
      <c r="AU1248" s="6" t="s">
        <v>18543</v>
      </c>
      <c r="AV1248" s="6" t="s">
        <v>81</v>
      </c>
      <c r="AW1248" s="6" t="s">
        <v>81</v>
      </c>
      <c r="AX1248" s="6" t="s">
        <v>21522</v>
      </c>
      <c r="AY1248" s="6" t="s">
        <v>81</v>
      </c>
      <c r="AZ1248" s="6" t="s">
        <v>81</v>
      </c>
      <c r="BA1248" s="6" t="s">
        <v>81</v>
      </c>
      <c r="BB1248" s="24" t="n">
        <v>180</v>
      </c>
      <c r="BC1248" s="26"/>
      <c r="BD1248" s="26"/>
      <c r="BE1248" s="26"/>
      <c r="BF1248" s="26"/>
      <c r="BG1248" s="26"/>
      <c r="BH1248" s="26"/>
      <c r="BI1248" s="26"/>
      <c r="BJ1248" s="26"/>
      <c r="BK1248" s="26"/>
      <c r="BL1248" s="26"/>
      <c r="BM1248" s="26"/>
      <c r="BN1248" s="26"/>
      <c r="BO1248" s="26"/>
      <c r="BP1248" s="16" t="n">
        <v>45730</v>
      </c>
      <c r="BQ1248" s="28" t="str">
        <f>HYPERLINK("https://organic.ams.usda.gov/Integrity/Certificate.aspx?cid=90&amp;nopid=7170230656")</f>
        <v>https://organic.ams.usda.gov/Integrity/Certificate.aspx?cid=90&amp;nopid=7170230656</v>
      </c>
    </row>
    <row r="1249">
      <c r="A1249" t="s">
        <v>3</v>
      </c>
      <c r="B1249" s="6" t="s">
        <v>12</v>
      </c>
      <c r="C1249" s="6" t="s">
        <v>59</v>
      </c>
      <c r="D1249" s="6" t="s">
        <v>105</v>
      </c>
      <c r="E1249" s="10" t="s">
        <v>1390</v>
      </c>
      <c r="F1249" s="6" t="s">
        <v>4116</v>
      </c>
      <c r="G1249" s="6" t="s">
        <v>81</v>
      </c>
      <c r="H1249" s="6" t="s">
        <v>7037</v>
      </c>
      <c r="I1249" s="6" t="s">
        <v>8937</v>
      </c>
      <c r="J1249" s="6" t="s">
        <v>10279</v>
      </c>
      <c r="K1249" s="6" t="s">
        <v>10886</v>
      </c>
      <c r="L1249" s="16" t="n">
        <v>39198</v>
      </c>
      <c r="M1249" s="16" t="n">
        <v>45717</v>
      </c>
      <c r="N1249" s="6" t="s">
        <v>10886</v>
      </c>
      <c r="O1249" s="16" t="n">
        <v>39198</v>
      </c>
      <c r="P1249" s="6" t="s">
        <v>10910</v>
      </c>
      <c r="Q1249" s="6" t="s">
        <v>81</v>
      </c>
      <c r="R1249" s="6" t="s">
        <v>81</v>
      </c>
      <c r="S1249" s="6" t="s">
        <v>10886</v>
      </c>
      <c r="T1249" s="16" t="n">
        <v>39198</v>
      </c>
      <c r="U1249" s="6" t="s">
        <v>13183</v>
      </c>
      <c r="V1249" s="6" t="s">
        <v>81</v>
      </c>
      <c r="W1249" s="6" t="s">
        <v>81</v>
      </c>
      <c r="X1249" s="6" t="s">
        <v>81</v>
      </c>
      <c r="Y1249" s="21" t="s">
        <v>81</v>
      </c>
      <c r="Z1249" s="6" t="s">
        <v>81</v>
      </c>
      <c r="AA1249" s="6" t="s">
        <v>81</v>
      </c>
      <c r="AB1249" s="6" t="s">
        <v>81</v>
      </c>
      <c r="AC1249" s="6" t="s">
        <v>81</v>
      </c>
      <c r="AD1249" s="21" t="s">
        <v>81</v>
      </c>
      <c r="AE1249" s="6" t="s">
        <v>81</v>
      </c>
      <c r="AF1249" s="6" t="s">
        <v>81</v>
      </c>
      <c r="AG1249" s="6" t="s">
        <v>81</v>
      </c>
      <c r="AH1249" s="6" t="s">
        <v>15818</v>
      </c>
      <c r="AI1249" s="6" t="s">
        <v>81</v>
      </c>
      <c r="AJ1249" s="6" t="s">
        <v>17946</v>
      </c>
      <c r="AK1249" s="6" t="s">
        <v>18380</v>
      </c>
      <c r="AL1249" s="6" t="s">
        <v>18444</v>
      </c>
      <c r="AM1249" s="6" t="s">
        <v>19136</v>
      </c>
      <c r="AN1249" s="6" t="s">
        <v>19660</v>
      </c>
      <c r="AO1249" s="6" t="s">
        <v>19833</v>
      </c>
      <c r="AP1249" s="6" t="s">
        <v>15818</v>
      </c>
      <c r="AQ1249" s="6" t="s">
        <v>81</v>
      </c>
      <c r="AR1249" s="6" t="s">
        <v>17946</v>
      </c>
      <c r="AS1249" s="6" t="s">
        <v>18380</v>
      </c>
      <c r="AT1249" s="6" t="s">
        <v>18444</v>
      </c>
      <c r="AU1249" s="6" t="s">
        <v>19136</v>
      </c>
      <c r="AV1249" s="6" t="s">
        <v>81</v>
      </c>
      <c r="AW1249" s="6" t="s">
        <v>81</v>
      </c>
      <c r="AX1249" s="6" t="s">
        <v>21523</v>
      </c>
      <c r="AY1249" s="6" t="s">
        <v>81</v>
      </c>
      <c r="AZ1249" s="6" t="s">
        <v>81</v>
      </c>
      <c r="BA1249" s="6" t="s">
        <v>81</v>
      </c>
      <c r="BB1249" s="24" t="n">
        <v>343</v>
      </c>
      <c r="BC1249" s="26"/>
      <c r="BD1249" s="26"/>
      <c r="BE1249" s="26"/>
      <c r="BF1249" s="26"/>
      <c r="BG1249" s="26"/>
      <c r="BH1249" s="26"/>
      <c r="BI1249" s="26"/>
      <c r="BJ1249" s="26"/>
      <c r="BK1249" s="26"/>
      <c r="BL1249" s="26"/>
      <c r="BM1249" s="26"/>
      <c r="BN1249" s="26"/>
      <c r="BO1249" s="26"/>
      <c r="BP1249" s="16" t="n">
        <v>45684</v>
      </c>
      <c r="BQ1249" s="28" t="str">
        <f>HYPERLINK("https://organic.ams.usda.gov/Integrity/Certificate.aspx?cid=68&amp;nopid=8210001330")</f>
        <v>https://organic.ams.usda.gov/Integrity/Certificate.aspx?cid=68&amp;nopid=8210001330</v>
      </c>
    </row>
    <row r="1250">
      <c r="A1250" t="s">
        <v>3</v>
      </c>
      <c r="B1250" s="6" t="s">
        <v>10</v>
      </c>
      <c r="C1250" s="6" t="s">
        <v>57</v>
      </c>
      <c r="D1250" s="6" t="s">
        <v>103</v>
      </c>
      <c r="E1250" s="10" t="s">
        <v>1391</v>
      </c>
      <c r="F1250" s="6" t="s">
        <v>4117</v>
      </c>
      <c r="G1250" s="6" t="s">
        <v>81</v>
      </c>
      <c r="H1250" s="6" t="s">
        <v>7038</v>
      </c>
      <c r="I1250" s="6" t="s">
        <v>9063</v>
      </c>
      <c r="J1250" s="6" t="s">
        <v>10092</v>
      </c>
      <c r="K1250" s="6" t="s">
        <v>10886</v>
      </c>
      <c r="L1250" s="16" t="n">
        <v>41446</v>
      </c>
      <c r="M1250" s="16" t="n">
        <v>45748</v>
      </c>
      <c r="N1250" s="6" t="s">
        <v>10886</v>
      </c>
      <c r="O1250" s="16" t="n">
        <v>41446</v>
      </c>
      <c r="P1250" s="6" t="s">
        <v>11638</v>
      </c>
      <c r="Q1250" s="6" t="s">
        <v>81</v>
      </c>
      <c r="R1250" s="6" t="s">
        <v>12759</v>
      </c>
      <c r="S1250" s="6" t="s">
        <v>10886</v>
      </c>
      <c r="T1250" s="16" t="n">
        <v>41446</v>
      </c>
      <c r="U1250" s="6" t="s">
        <v>13580</v>
      </c>
      <c r="V1250" s="6" t="s">
        <v>81</v>
      </c>
      <c r="W1250" s="6" t="s">
        <v>81</v>
      </c>
      <c r="X1250" s="6" t="s">
        <v>81</v>
      </c>
      <c r="Y1250" s="21" t="s">
        <v>81</v>
      </c>
      <c r="Z1250" s="6" t="s">
        <v>81</v>
      </c>
      <c r="AA1250" s="6" t="s">
        <v>81</v>
      </c>
      <c r="AB1250" s="6" t="s">
        <v>81</v>
      </c>
      <c r="AC1250" s="6" t="s">
        <v>81</v>
      </c>
      <c r="AD1250" s="21" t="s">
        <v>81</v>
      </c>
      <c r="AE1250" s="6" t="s">
        <v>81</v>
      </c>
      <c r="AF1250" s="6" t="s">
        <v>81</v>
      </c>
      <c r="AG1250" s="6" t="s">
        <v>81</v>
      </c>
      <c r="AH1250" s="6" t="s">
        <v>15819</v>
      </c>
      <c r="AI1250" s="6" t="s">
        <v>81</v>
      </c>
      <c r="AJ1250" s="6" t="s">
        <v>17635</v>
      </c>
      <c r="AK1250" s="6" t="s">
        <v>18379</v>
      </c>
      <c r="AL1250" s="6" t="s">
        <v>18444</v>
      </c>
      <c r="AM1250" s="6" t="s">
        <v>18804</v>
      </c>
      <c r="AN1250" s="6" t="s">
        <v>19637</v>
      </c>
      <c r="AO1250" s="6" t="s">
        <v>19723</v>
      </c>
      <c r="AP1250" s="6" t="s">
        <v>15819</v>
      </c>
      <c r="AQ1250" s="6" t="s">
        <v>81</v>
      </c>
      <c r="AR1250" s="6" t="s">
        <v>17635</v>
      </c>
      <c r="AS1250" s="6" t="s">
        <v>18379</v>
      </c>
      <c r="AT1250" s="6" t="s">
        <v>18444</v>
      </c>
      <c r="AU1250" s="6" t="s">
        <v>18804</v>
      </c>
      <c r="AV1250" s="6" t="s">
        <v>81</v>
      </c>
      <c r="AW1250" s="6" t="s">
        <v>81</v>
      </c>
      <c r="AX1250" s="6" t="s">
        <v>21524</v>
      </c>
      <c r="AY1250" s="6" t="s">
        <v>81</v>
      </c>
      <c r="AZ1250" s="6" t="s">
        <v>81</v>
      </c>
      <c r="BA1250" s="6" t="s">
        <v>81</v>
      </c>
      <c r="BB1250" s="24" t="n">
        <v>121</v>
      </c>
      <c r="BC1250" s="26"/>
      <c r="BD1250" s="26"/>
      <c r="BE1250" s="26"/>
      <c r="BF1250" s="26"/>
      <c r="BG1250" s="26"/>
      <c r="BH1250" s="26"/>
      <c r="BI1250" s="26"/>
      <c r="BJ1250" s="26"/>
      <c r="BK1250" s="26"/>
      <c r="BL1250" s="26"/>
      <c r="BM1250" s="26"/>
      <c r="BN1250" s="26"/>
      <c r="BO1250" s="26"/>
      <c r="BP1250" s="16" t="n">
        <v>45730</v>
      </c>
      <c r="BQ1250" s="28" t="str">
        <f>HYPERLINK("https://organic.ams.usda.gov/Integrity/Certificate.aspx?cid=90&amp;nopid=7170020068")</f>
        <v>https://organic.ams.usda.gov/Integrity/Certificate.aspx?cid=90&amp;nopid=7170020068</v>
      </c>
    </row>
    <row r="1251">
      <c r="A1251" t="s">
        <v>3</v>
      </c>
      <c r="B1251" s="6" t="s">
        <v>18</v>
      </c>
      <c r="C1251" s="6" t="s">
        <v>65</v>
      </c>
      <c r="D1251" s="6" t="s">
        <v>111</v>
      </c>
      <c r="E1251" s="10" t="s">
        <v>1392</v>
      </c>
      <c r="F1251" s="6" t="s">
        <v>4118</v>
      </c>
      <c r="G1251" s="6" t="s">
        <v>81</v>
      </c>
      <c r="H1251" s="6" t="s">
        <v>1392</v>
      </c>
      <c r="I1251" s="6" t="s">
        <v>9033</v>
      </c>
      <c r="J1251" s="6" t="s">
        <v>10280</v>
      </c>
      <c r="K1251" s="6" t="s">
        <v>10886</v>
      </c>
      <c r="L1251" s="16" t="n">
        <v>45009</v>
      </c>
      <c r="M1251" s="16" t="n">
        <v>46054</v>
      </c>
      <c r="N1251" s="6" t="s">
        <v>10886</v>
      </c>
      <c r="O1251" s="16" t="n">
        <v>45009</v>
      </c>
      <c r="P1251" s="6" t="s">
        <v>11639</v>
      </c>
      <c r="Q1251" s="6" t="s">
        <v>81</v>
      </c>
      <c r="R1251" s="6" t="s">
        <v>4118</v>
      </c>
      <c r="S1251" s="6" t="s">
        <v>10886</v>
      </c>
      <c r="T1251" s="16" t="n">
        <v>45009</v>
      </c>
      <c r="U1251" s="6" t="s">
        <v>13581</v>
      </c>
      <c r="V1251" s="6" t="s">
        <v>81</v>
      </c>
      <c r="W1251" s="6" t="s">
        <v>4118</v>
      </c>
      <c r="X1251" s="6" t="s">
        <v>81</v>
      </c>
      <c r="Y1251" s="21" t="s">
        <v>81</v>
      </c>
      <c r="Z1251" s="6" t="s">
        <v>81</v>
      </c>
      <c r="AA1251" s="6" t="s">
        <v>81</v>
      </c>
      <c r="AB1251" s="6" t="s">
        <v>81</v>
      </c>
      <c r="AC1251" s="6" t="s">
        <v>81</v>
      </c>
      <c r="AD1251" s="21" t="s">
        <v>81</v>
      </c>
      <c r="AE1251" s="6" t="s">
        <v>81</v>
      </c>
      <c r="AF1251" s="6" t="s">
        <v>81</v>
      </c>
      <c r="AG1251" s="6" t="s">
        <v>81</v>
      </c>
      <c r="AH1251" s="6" t="s">
        <v>15820</v>
      </c>
      <c r="AI1251" s="6" t="s">
        <v>81</v>
      </c>
      <c r="AJ1251" s="6" t="s">
        <v>17947</v>
      </c>
      <c r="AK1251" s="6" t="s">
        <v>17712</v>
      </c>
      <c r="AL1251" s="6" t="s">
        <v>18444</v>
      </c>
      <c r="AM1251" s="6" t="s">
        <v>19137</v>
      </c>
      <c r="AN1251" s="6" t="s">
        <v>19651</v>
      </c>
      <c r="AO1251" s="6" t="s">
        <v>19741</v>
      </c>
      <c r="AP1251" s="6" t="s">
        <v>15820</v>
      </c>
      <c r="AQ1251" s="6" t="s">
        <v>81</v>
      </c>
      <c r="AR1251" s="6" t="s">
        <v>17947</v>
      </c>
      <c r="AS1251" s="6" t="s">
        <v>17712</v>
      </c>
      <c r="AT1251" s="6" t="s">
        <v>18444</v>
      </c>
      <c r="AU1251" s="6" t="s">
        <v>19137</v>
      </c>
      <c r="AV1251" s="6" t="s">
        <v>81</v>
      </c>
      <c r="AW1251" s="6" t="s">
        <v>81</v>
      </c>
      <c r="AX1251" s="6" t="s">
        <v>21525</v>
      </c>
      <c r="AY1251" s="6" t="s">
        <v>23022</v>
      </c>
      <c r="AZ1251" s="6" t="s">
        <v>81</v>
      </c>
      <c r="BA1251" s="6" t="s">
        <v>81</v>
      </c>
      <c r="BB1251" s="24" t="n">
        <v>2778</v>
      </c>
      <c r="BC1251" s="26"/>
      <c r="BD1251" s="26"/>
      <c r="BE1251" s="26"/>
      <c r="BF1251" s="26" t="s">
        <v>23900</v>
      </c>
      <c r="BG1251" s="26"/>
      <c r="BH1251" s="26"/>
      <c r="BI1251" s="26"/>
      <c r="BJ1251" s="26"/>
      <c r="BK1251" s="26"/>
      <c r="BL1251" s="26"/>
      <c r="BM1251" s="26"/>
      <c r="BN1251" s="26"/>
      <c r="BO1251" s="26"/>
      <c r="BP1251" s="16" t="n">
        <v>45672</v>
      </c>
      <c r="BQ1251" s="28" t="str">
        <f>HYPERLINK("https://organic.ams.usda.gov/Integrity/Certificate.aspx?cid=8&amp;nopid=2202300300")</f>
        <v>https://organic.ams.usda.gov/Integrity/Certificate.aspx?cid=8&amp;nopid=2202300300</v>
      </c>
    </row>
    <row r="1252">
      <c r="A1252" t="s">
        <v>3</v>
      </c>
      <c r="B1252" s="6" t="s">
        <v>10</v>
      </c>
      <c r="C1252" s="6" t="s">
        <v>57</v>
      </c>
      <c r="D1252" s="6" t="s">
        <v>103</v>
      </c>
      <c r="E1252" s="10" t="s">
        <v>1393</v>
      </c>
      <c r="F1252" s="6" t="s">
        <v>4119</v>
      </c>
      <c r="G1252" s="6" t="s">
        <v>81</v>
      </c>
      <c r="H1252" s="6" t="s">
        <v>7039</v>
      </c>
      <c r="I1252" s="6" t="s">
        <v>9064</v>
      </c>
      <c r="J1252" s="6" t="s">
        <v>9665</v>
      </c>
      <c r="K1252" s="6" t="s">
        <v>10886</v>
      </c>
      <c r="L1252" s="16" t="n">
        <v>44333</v>
      </c>
      <c r="M1252" s="16" t="n">
        <v>45748</v>
      </c>
      <c r="N1252" s="6" t="s">
        <v>10886</v>
      </c>
      <c r="O1252" s="16" t="n">
        <v>44333</v>
      </c>
      <c r="P1252" s="6" t="s">
        <v>11636</v>
      </c>
      <c r="Q1252" s="6" t="s">
        <v>81</v>
      </c>
      <c r="R1252" s="6" t="s">
        <v>12760</v>
      </c>
      <c r="S1252" s="6" t="s">
        <v>10886</v>
      </c>
      <c r="T1252" s="16" t="n">
        <v>44593</v>
      </c>
      <c r="U1252" s="6" t="s">
        <v>13163</v>
      </c>
      <c r="V1252" s="6" t="s">
        <v>81</v>
      </c>
      <c r="W1252" s="6" t="s">
        <v>81</v>
      </c>
      <c r="X1252" s="6" t="s">
        <v>81</v>
      </c>
      <c r="Y1252" s="21" t="s">
        <v>81</v>
      </c>
      <c r="Z1252" s="6" t="s">
        <v>81</v>
      </c>
      <c r="AA1252" s="6" t="s">
        <v>81</v>
      </c>
      <c r="AB1252" s="6" t="s">
        <v>81</v>
      </c>
      <c r="AC1252" s="6" t="s">
        <v>81</v>
      </c>
      <c r="AD1252" s="21" t="s">
        <v>81</v>
      </c>
      <c r="AE1252" s="6" t="s">
        <v>81</v>
      </c>
      <c r="AF1252" s="6" t="s">
        <v>81</v>
      </c>
      <c r="AG1252" s="6" t="s">
        <v>81</v>
      </c>
      <c r="AH1252" s="6" t="s">
        <v>15821</v>
      </c>
      <c r="AI1252" s="6" t="s">
        <v>81</v>
      </c>
      <c r="AJ1252" s="6" t="s">
        <v>17315</v>
      </c>
      <c r="AK1252" s="6" t="s">
        <v>18379</v>
      </c>
      <c r="AL1252" s="6" t="s">
        <v>18444</v>
      </c>
      <c r="AM1252" s="6" t="s">
        <v>18467</v>
      </c>
      <c r="AN1252" s="6" t="s">
        <v>19637</v>
      </c>
      <c r="AO1252" s="6" t="s">
        <v>19723</v>
      </c>
      <c r="AP1252" s="6" t="s">
        <v>15821</v>
      </c>
      <c r="AQ1252" s="6" t="s">
        <v>81</v>
      </c>
      <c r="AR1252" s="6" t="s">
        <v>17315</v>
      </c>
      <c r="AS1252" s="6" t="s">
        <v>18379</v>
      </c>
      <c r="AT1252" s="6" t="s">
        <v>18444</v>
      </c>
      <c r="AU1252" s="6" t="s">
        <v>18467</v>
      </c>
      <c r="AV1252" s="6" t="s">
        <v>81</v>
      </c>
      <c r="AW1252" s="6" t="s">
        <v>81</v>
      </c>
      <c r="AX1252" s="6" t="s">
        <v>21526</v>
      </c>
      <c r="AY1252" s="6" t="s">
        <v>81</v>
      </c>
      <c r="AZ1252" s="6" t="s">
        <v>81</v>
      </c>
      <c r="BA1252" s="6" t="s">
        <v>81</v>
      </c>
      <c r="BB1252" s="24" t="n">
        <v>108</v>
      </c>
      <c r="BC1252" s="26"/>
      <c r="BD1252" s="26"/>
      <c r="BE1252" s="26"/>
      <c r="BF1252" s="26"/>
      <c r="BG1252" s="26"/>
      <c r="BH1252" s="26"/>
      <c r="BI1252" s="26"/>
      <c r="BJ1252" s="26"/>
      <c r="BK1252" s="26"/>
      <c r="BL1252" s="26"/>
      <c r="BM1252" s="26"/>
      <c r="BN1252" s="26"/>
      <c r="BO1252" s="26"/>
      <c r="BP1252" s="16" t="n">
        <v>45730</v>
      </c>
      <c r="BQ1252" s="28" t="str">
        <f>HYPERLINK("https://organic.ams.usda.gov/Integrity/Certificate.aspx?cid=90&amp;nopid=7170210357")</f>
        <v>https://organic.ams.usda.gov/Integrity/Certificate.aspx?cid=90&amp;nopid=7170210357</v>
      </c>
    </row>
    <row r="1253">
      <c r="A1253" t="s">
        <v>3</v>
      </c>
      <c r="B1253" s="6" t="s">
        <v>10</v>
      </c>
      <c r="C1253" s="6" t="s">
        <v>57</v>
      </c>
      <c r="D1253" s="6" t="s">
        <v>103</v>
      </c>
      <c r="E1253" s="10" t="s">
        <v>1394</v>
      </c>
      <c r="F1253" s="6" t="s">
        <v>4120</v>
      </c>
      <c r="G1253" s="6" t="s">
        <v>81</v>
      </c>
      <c r="H1253" s="6" t="s">
        <v>7040</v>
      </c>
      <c r="I1253" s="6" t="s">
        <v>8937</v>
      </c>
      <c r="J1253" s="6" t="s">
        <v>9697</v>
      </c>
      <c r="K1253" s="6" t="s">
        <v>10886</v>
      </c>
      <c r="L1253" s="16" t="n">
        <v>45350</v>
      </c>
      <c r="M1253" s="16" t="n">
        <v>45748</v>
      </c>
      <c r="N1253" s="6" t="s">
        <v>10886</v>
      </c>
      <c r="O1253" s="16" t="n">
        <v>45350</v>
      </c>
      <c r="P1253" s="6" t="s">
        <v>11036</v>
      </c>
      <c r="Q1253" s="6" t="s">
        <v>81</v>
      </c>
      <c r="R1253" s="6" t="s">
        <v>12761</v>
      </c>
      <c r="S1253" s="6" t="s">
        <v>10886</v>
      </c>
      <c r="T1253" s="16" t="n">
        <v>45543</v>
      </c>
      <c r="U1253" s="6" t="s">
        <v>13163</v>
      </c>
      <c r="V1253" s="6" t="s">
        <v>81</v>
      </c>
      <c r="W1253" s="6" t="s">
        <v>81</v>
      </c>
      <c r="X1253" s="6" t="s">
        <v>81</v>
      </c>
      <c r="Y1253" s="21" t="s">
        <v>81</v>
      </c>
      <c r="Z1253" s="6" t="s">
        <v>81</v>
      </c>
      <c r="AA1253" s="6" t="s">
        <v>81</v>
      </c>
      <c r="AB1253" s="6" t="s">
        <v>81</v>
      </c>
      <c r="AC1253" s="6" t="s">
        <v>81</v>
      </c>
      <c r="AD1253" s="21" t="s">
        <v>81</v>
      </c>
      <c r="AE1253" s="6" t="s">
        <v>81</v>
      </c>
      <c r="AF1253" s="6" t="s">
        <v>81</v>
      </c>
      <c r="AG1253" s="6" t="s">
        <v>81</v>
      </c>
      <c r="AH1253" s="6" t="s">
        <v>15822</v>
      </c>
      <c r="AI1253" s="6" t="s">
        <v>81</v>
      </c>
      <c r="AJ1253" s="6" t="s">
        <v>17335</v>
      </c>
      <c r="AK1253" s="6" t="s">
        <v>18378</v>
      </c>
      <c r="AL1253" s="6" t="s">
        <v>18444</v>
      </c>
      <c r="AM1253" s="6" t="s">
        <v>18489</v>
      </c>
      <c r="AN1253" s="6" t="s">
        <v>81</v>
      </c>
      <c r="AO1253" s="6" t="s">
        <v>81</v>
      </c>
      <c r="AP1253" s="6" t="s">
        <v>15822</v>
      </c>
      <c r="AQ1253" s="6" t="s">
        <v>81</v>
      </c>
      <c r="AR1253" s="6" t="s">
        <v>17335</v>
      </c>
      <c r="AS1253" s="6" t="s">
        <v>18378</v>
      </c>
      <c r="AT1253" s="6" t="s">
        <v>18444</v>
      </c>
      <c r="AU1253" s="6" t="s">
        <v>18489</v>
      </c>
      <c r="AV1253" s="6" t="s">
        <v>81</v>
      </c>
      <c r="AW1253" s="6" t="s">
        <v>81</v>
      </c>
      <c r="AX1253" s="6" t="s">
        <v>21527</v>
      </c>
      <c r="AY1253" s="6" t="s">
        <v>81</v>
      </c>
      <c r="AZ1253" s="6" t="s">
        <v>81</v>
      </c>
      <c r="BA1253" s="6" t="s">
        <v>81</v>
      </c>
      <c r="BB1253" s="24" t="n">
        <v>86</v>
      </c>
      <c r="BC1253" s="26"/>
      <c r="BD1253" s="26"/>
      <c r="BE1253" s="26"/>
      <c r="BF1253" s="26"/>
      <c r="BG1253" s="26"/>
      <c r="BH1253" s="26"/>
      <c r="BI1253" s="26"/>
      <c r="BJ1253" s="26"/>
      <c r="BK1253" s="26"/>
      <c r="BL1253" s="26"/>
      <c r="BM1253" s="26"/>
      <c r="BN1253" s="26"/>
      <c r="BO1253" s="26"/>
      <c r="BP1253" s="16" t="n">
        <v>45730</v>
      </c>
      <c r="BQ1253" s="28" t="str">
        <f>HYPERLINK("https://organic.ams.usda.gov/Integrity/Certificate.aspx?cid=90&amp;nopid=7170240752")</f>
        <v>https://organic.ams.usda.gov/Integrity/Certificate.aspx?cid=90&amp;nopid=7170240752</v>
      </c>
    </row>
    <row r="1254">
      <c r="A1254" t="s">
        <v>3</v>
      </c>
      <c r="B1254" s="6" t="s">
        <v>9</v>
      </c>
      <c r="C1254" s="6" t="s">
        <v>56</v>
      </c>
      <c r="D1254" s="6" t="s">
        <v>102</v>
      </c>
      <c r="E1254" s="10" t="s">
        <v>1395</v>
      </c>
      <c r="F1254" s="6" t="s">
        <v>4121</v>
      </c>
      <c r="G1254" s="6" t="s">
        <v>81</v>
      </c>
      <c r="H1254" s="6" t="s">
        <v>7041</v>
      </c>
      <c r="I1254" s="6" t="s">
        <v>8937</v>
      </c>
      <c r="J1254" s="6" t="s">
        <v>9729</v>
      </c>
      <c r="K1254" s="6" t="s">
        <v>10886</v>
      </c>
      <c r="L1254" s="16" t="n">
        <v>43864</v>
      </c>
      <c r="M1254" s="16" t="n">
        <v>45748</v>
      </c>
      <c r="N1254" s="6" t="s">
        <v>10886</v>
      </c>
      <c r="O1254" s="16" t="n">
        <v>43864</v>
      </c>
      <c r="P1254" s="6" t="s">
        <v>11320</v>
      </c>
      <c r="Q1254" s="6" t="s">
        <v>81</v>
      </c>
      <c r="R1254" s="6" t="s">
        <v>12762</v>
      </c>
      <c r="S1254" s="6" t="s">
        <v>10886</v>
      </c>
      <c r="T1254" s="16" t="n">
        <v>43864</v>
      </c>
      <c r="U1254" s="6" t="s">
        <v>13162</v>
      </c>
      <c r="V1254" s="6" t="s">
        <v>81</v>
      </c>
      <c r="W1254" s="6" t="s">
        <v>12762</v>
      </c>
      <c r="X1254" s="6" t="s">
        <v>81</v>
      </c>
      <c r="Y1254" s="21" t="s">
        <v>81</v>
      </c>
      <c r="Z1254" s="6" t="s">
        <v>81</v>
      </c>
      <c r="AA1254" s="6" t="s">
        <v>81</v>
      </c>
      <c r="AB1254" s="6" t="s">
        <v>81</v>
      </c>
      <c r="AC1254" s="6" t="s">
        <v>81</v>
      </c>
      <c r="AD1254" s="21" t="s">
        <v>81</v>
      </c>
      <c r="AE1254" s="6" t="s">
        <v>81</v>
      </c>
      <c r="AF1254" s="6" t="s">
        <v>81</v>
      </c>
      <c r="AG1254" s="6" t="s">
        <v>81</v>
      </c>
      <c r="AH1254" s="6" t="s">
        <v>15823</v>
      </c>
      <c r="AI1254" s="6" t="s">
        <v>81</v>
      </c>
      <c r="AJ1254" s="6" t="s">
        <v>17799</v>
      </c>
      <c r="AK1254" s="6" t="s">
        <v>18377</v>
      </c>
      <c r="AL1254" s="6" t="s">
        <v>18444</v>
      </c>
      <c r="AM1254" s="6" t="s">
        <v>18976</v>
      </c>
      <c r="AN1254" s="6" t="s">
        <v>19653</v>
      </c>
      <c r="AO1254" s="6" t="s">
        <v>19838</v>
      </c>
      <c r="AP1254" s="6" t="s">
        <v>81</v>
      </c>
      <c r="AQ1254" s="6" t="s">
        <v>81</v>
      </c>
      <c r="AR1254" s="6" t="s">
        <v>81</v>
      </c>
      <c r="AS1254" s="6" t="s">
        <v>81</v>
      </c>
      <c r="AT1254" s="6" t="s">
        <v>81</v>
      </c>
      <c r="AU1254" s="6" t="s">
        <v>81</v>
      </c>
      <c r="AV1254" s="6" t="s">
        <v>81</v>
      </c>
      <c r="AW1254" s="6" t="s">
        <v>81</v>
      </c>
      <c r="AX1254" s="6" t="s">
        <v>81</v>
      </c>
      <c r="AY1254" s="6" t="s">
        <v>81</v>
      </c>
      <c r="AZ1254" s="6" t="s">
        <v>81</v>
      </c>
      <c r="BA1254" s="6" t="s">
        <v>81</v>
      </c>
      <c r="BB1254" s="24" t="n">
        <v>128</v>
      </c>
      <c r="BC1254" s="26"/>
      <c r="BD1254" s="26"/>
      <c r="BE1254" s="26"/>
      <c r="BF1254" s="26"/>
      <c r="BG1254" s="26"/>
      <c r="BH1254" s="26"/>
      <c r="BI1254" s="26"/>
      <c r="BJ1254" s="26"/>
      <c r="BK1254" s="26"/>
      <c r="BL1254" s="26"/>
      <c r="BM1254" s="26"/>
      <c r="BN1254" s="26"/>
      <c r="BO1254" s="26"/>
      <c r="BP1254" s="16" t="n">
        <v>45738</v>
      </c>
      <c r="BQ1254" s="28" t="str">
        <f>HYPERLINK("https://organic.ams.usda.gov/Integrity/Certificate.aspx?cid=52&amp;nopid=8432001773")</f>
        <v>https://organic.ams.usda.gov/Integrity/Certificate.aspx?cid=52&amp;nopid=8432001773</v>
      </c>
    </row>
    <row r="1255">
      <c r="A1255" t="s">
        <v>3</v>
      </c>
      <c r="B1255" s="6" t="s">
        <v>12</v>
      </c>
      <c r="C1255" s="6" t="s">
        <v>59</v>
      </c>
      <c r="D1255" s="6" t="s">
        <v>105</v>
      </c>
      <c r="E1255" s="10" t="s">
        <v>1396</v>
      </c>
      <c r="F1255" s="6" t="s">
        <v>4122</v>
      </c>
      <c r="G1255" s="6" t="s">
        <v>81</v>
      </c>
      <c r="H1255" s="6" t="s">
        <v>7042</v>
      </c>
      <c r="I1255" s="6" t="s">
        <v>9065</v>
      </c>
      <c r="J1255" s="6" t="s">
        <v>9679</v>
      </c>
      <c r="K1255" s="6" t="s">
        <v>10886</v>
      </c>
      <c r="L1255" s="16" t="n">
        <v>42977</v>
      </c>
      <c r="M1255" s="16" t="n">
        <v>45717</v>
      </c>
      <c r="N1255" s="6" t="s">
        <v>10886</v>
      </c>
      <c r="O1255" s="16" t="n">
        <v>42977</v>
      </c>
      <c r="P1255" s="6" t="s">
        <v>11640</v>
      </c>
      <c r="Q1255" s="6" t="s">
        <v>81</v>
      </c>
      <c r="R1255" s="6" t="s">
        <v>81</v>
      </c>
      <c r="S1255" s="6" t="s">
        <v>10886</v>
      </c>
      <c r="T1255" s="16" t="n">
        <v>42977</v>
      </c>
      <c r="U1255" s="6" t="s">
        <v>13170</v>
      </c>
      <c r="V1255" s="6" t="s">
        <v>81</v>
      </c>
      <c r="W1255" s="6" t="s">
        <v>81</v>
      </c>
      <c r="X1255" s="6" t="s">
        <v>81</v>
      </c>
      <c r="Y1255" s="21" t="s">
        <v>81</v>
      </c>
      <c r="Z1255" s="6" t="s">
        <v>81</v>
      </c>
      <c r="AA1255" s="6" t="s">
        <v>81</v>
      </c>
      <c r="AB1255" s="6" t="s">
        <v>81</v>
      </c>
      <c r="AC1255" s="6" t="s">
        <v>81</v>
      </c>
      <c r="AD1255" s="21" t="s">
        <v>81</v>
      </c>
      <c r="AE1255" s="6" t="s">
        <v>81</v>
      </c>
      <c r="AF1255" s="6" t="s">
        <v>81</v>
      </c>
      <c r="AG1255" s="6" t="s">
        <v>81</v>
      </c>
      <c r="AH1255" s="6" t="s">
        <v>15824</v>
      </c>
      <c r="AI1255" s="6" t="s">
        <v>81</v>
      </c>
      <c r="AJ1255" s="6" t="s">
        <v>17324</v>
      </c>
      <c r="AK1255" s="6" t="s">
        <v>18380</v>
      </c>
      <c r="AL1255" s="6" t="s">
        <v>18444</v>
      </c>
      <c r="AM1255" s="6" t="s">
        <v>19106</v>
      </c>
      <c r="AN1255" s="6" t="s">
        <v>7195</v>
      </c>
      <c r="AO1255" s="6" t="s">
        <v>19863</v>
      </c>
      <c r="AP1255" s="6" t="s">
        <v>15824</v>
      </c>
      <c r="AQ1255" s="6" t="s">
        <v>81</v>
      </c>
      <c r="AR1255" s="6" t="s">
        <v>17324</v>
      </c>
      <c r="AS1255" s="6" t="s">
        <v>18380</v>
      </c>
      <c r="AT1255" s="6" t="s">
        <v>18444</v>
      </c>
      <c r="AU1255" s="6" t="s">
        <v>19106</v>
      </c>
      <c r="AV1255" s="6" t="s">
        <v>81</v>
      </c>
      <c r="AW1255" s="6" t="s">
        <v>81</v>
      </c>
      <c r="AX1255" s="6" t="s">
        <v>21528</v>
      </c>
      <c r="AY1255" s="6" t="s">
        <v>81</v>
      </c>
      <c r="AZ1255" s="6" t="s">
        <v>81</v>
      </c>
      <c r="BA1255" s="6" t="s">
        <v>81</v>
      </c>
      <c r="BB1255" s="24" t="n">
        <v>122</v>
      </c>
      <c r="BC1255" s="26"/>
      <c r="BD1255" s="26"/>
      <c r="BE1255" s="26"/>
      <c r="BF1255" s="26"/>
      <c r="BG1255" s="26"/>
      <c r="BH1255" s="26"/>
      <c r="BI1255" s="26"/>
      <c r="BJ1255" s="26"/>
      <c r="BK1255" s="26"/>
      <c r="BL1255" s="26"/>
      <c r="BM1255" s="26"/>
      <c r="BN1255" s="26"/>
      <c r="BO1255" s="26"/>
      <c r="BP1255" s="16" t="n">
        <v>45698</v>
      </c>
      <c r="BQ1255" s="28" t="str">
        <f>HYPERLINK("https://organic.ams.usda.gov/Integrity/Certificate.aspx?cid=68&amp;nopid=8210002852")</f>
        <v>https://organic.ams.usda.gov/Integrity/Certificate.aspx?cid=68&amp;nopid=8210002852</v>
      </c>
    </row>
    <row r="1256">
      <c r="A1256" t="s">
        <v>3</v>
      </c>
      <c r="B1256" s="6" t="s">
        <v>8</v>
      </c>
      <c r="C1256" s="6" t="s">
        <v>55</v>
      </c>
      <c r="D1256" s="6" t="s">
        <v>101</v>
      </c>
      <c r="E1256" s="10" t="s">
        <v>1397</v>
      </c>
      <c r="F1256" s="6" t="s">
        <v>4123</v>
      </c>
      <c r="G1256" s="6" t="s">
        <v>81</v>
      </c>
      <c r="H1256" s="6" t="s">
        <v>7043</v>
      </c>
      <c r="I1256" s="6" t="s">
        <v>8964</v>
      </c>
      <c r="J1256" s="6" t="s">
        <v>9672</v>
      </c>
      <c r="K1256" s="6" t="s">
        <v>10886</v>
      </c>
      <c r="L1256" s="16" t="n">
        <v>41289</v>
      </c>
      <c r="M1256" s="16" t="n">
        <v>45689</v>
      </c>
      <c r="N1256" s="6" t="s">
        <v>10886</v>
      </c>
      <c r="O1256" s="16" t="n">
        <v>41289</v>
      </c>
      <c r="P1256" s="6" t="s">
        <v>11641</v>
      </c>
      <c r="Q1256" s="6" t="s">
        <v>81</v>
      </c>
      <c r="R1256" s="6" t="s">
        <v>7043</v>
      </c>
      <c r="S1256" s="6" t="s">
        <v>10886</v>
      </c>
      <c r="T1256" s="16" t="n">
        <v>41289</v>
      </c>
      <c r="U1256" s="6" t="s">
        <v>13173</v>
      </c>
      <c r="V1256" s="6" t="s">
        <v>81</v>
      </c>
      <c r="W1256" s="6" t="s">
        <v>7043</v>
      </c>
      <c r="X1256" s="6" t="s">
        <v>81</v>
      </c>
      <c r="Y1256" s="21" t="s">
        <v>81</v>
      </c>
      <c r="Z1256" s="6" t="s">
        <v>81</v>
      </c>
      <c r="AA1256" s="6" t="s">
        <v>81</v>
      </c>
      <c r="AB1256" s="6" t="s">
        <v>81</v>
      </c>
      <c r="AC1256" s="6" t="s">
        <v>81</v>
      </c>
      <c r="AD1256" s="21" t="s">
        <v>81</v>
      </c>
      <c r="AE1256" s="6" t="s">
        <v>81</v>
      </c>
      <c r="AF1256" s="6" t="s">
        <v>81</v>
      </c>
      <c r="AG1256" s="6" t="s">
        <v>81</v>
      </c>
      <c r="AH1256" s="6" t="s">
        <v>15825</v>
      </c>
      <c r="AI1256" s="6" t="s">
        <v>81</v>
      </c>
      <c r="AJ1256" s="6" t="s">
        <v>17418</v>
      </c>
      <c r="AK1256" s="6" t="s">
        <v>18379</v>
      </c>
      <c r="AL1256" s="6" t="s">
        <v>18444</v>
      </c>
      <c r="AM1256" s="6" t="s">
        <v>18575</v>
      </c>
      <c r="AN1256" s="6" t="s">
        <v>19671</v>
      </c>
      <c r="AO1256" s="6" t="s">
        <v>19784</v>
      </c>
      <c r="AP1256" s="6" t="s">
        <v>81</v>
      </c>
      <c r="AQ1256" s="6" t="s">
        <v>81</v>
      </c>
      <c r="AR1256" s="6" t="s">
        <v>81</v>
      </c>
      <c r="AS1256" s="6" t="s">
        <v>81</v>
      </c>
      <c r="AT1256" s="6" t="s">
        <v>81</v>
      </c>
      <c r="AU1256" s="6" t="s">
        <v>81</v>
      </c>
      <c r="AV1256" s="6" t="s">
        <v>81</v>
      </c>
      <c r="AW1256" s="6" t="s">
        <v>81</v>
      </c>
      <c r="AX1256" s="6" t="s">
        <v>81</v>
      </c>
      <c r="AY1256" s="6" t="s">
        <v>81</v>
      </c>
      <c r="AZ1256" s="6" t="s">
        <v>81</v>
      </c>
      <c r="BA1256" s="6" t="s">
        <v>23819</v>
      </c>
      <c r="BB1256" s="24" t="n">
        <v>110</v>
      </c>
      <c r="BC1256" s="26"/>
      <c r="BD1256" s="26"/>
      <c r="BE1256" s="26"/>
      <c r="BF1256" s="26" t="s">
        <v>23900</v>
      </c>
      <c r="BG1256" s="26"/>
      <c r="BH1256" s="26"/>
      <c r="BI1256" s="26"/>
      <c r="BJ1256" s="26"/>
      <c r="BK1256" s="26"/>
      <c r="BL1256" s="26"/>
      <c r="BM1256" s="26"/>
      <c r="BN1256" s="26"/>
      <c r="BO1256" s="26"/>
      <c r="BP1256" s="16" t="n">
        <v>45723</v>
      </c>
      <c r="BQ1256" s="28" t="str">
        <f>HYPERLINK("https://organic.ams.usda.gov/Integrity/Certificate.aspx?cid=45&amp;nopid=9950004962")</f>
        <v>https://organic.ams.usda.gov/Integrity/Certificate.aspx?cid=45&amp;nopid=9950004962</v>
      </c>
    </row>
    <row r="1257">
      <c r="A1257" t="s">
        <v>3</v>
      </c>
      <c r="B1257" s="6" t="s">
        <v>29</v>
      </c>
      <c r="C1257" s="6" t="s">
        <v>76</v>
      </c>
      <c r="D1257" s="6" t="s">
        <v>122</v>
      </c>
      <c r="E1257" s="10" t="s">
        <v>1398</v>
      </c>
      <c r="F1257" s="6" t="s">
        <v>4124</v>
      </c>
      <c r="G1257" s="6" t="s">
        <v>81</v>
      </c>
      <c r="H1257" s="6" t="s">
        <v>7044</v>
      </c>
      <c r="I1257" s="6" t="s">
        <v>9066</v>
      </c>
      <c r="J1257" s="6" t="s">
        <v>9803</v>
      </c>
      <c r="K1257" s="6" t="s">
        <v>10886</v>
      </c>
      <c r="L1257" s="16" t="n">
        <v>45554</v>
      </c>
      <c r="M1257" s="16" t="n">
        <v>45870</v>
      </c>
      <c r="N1257" s="6" t="s">
        <v>10886</v>
      </c>
      <c r="O1257" s="16" t="n">
        <v>45554</v>
      </c>
      <c r="P1257" s="6" t="s">
        <v>10910</v>
      </c>
      <c r="Q1257" s="6" t="s">
        <v>81</v>
      </c>
      <c r="R1257" s="6" t="s">
        <v>12763</v>
      </c>
      <c r="S1257" s="6" t="s">
        <v>10886</v>
      </c>
      <c r="T1257" s="16" t="n">
        <v>45576</v>
      </c>
      <c r="U1257" s="6" t="s">
        <v>13212</v>
      </c>
      <c r="V1257" s="6" t="s">
        <v>81</v>
      </c>
      <c r="W1257" s="6" t="s">
        <v>12763</v>
      </c>
      <c r="X1257" s="6" t="s">
        <v>81</v>
      </c>
      <c r="Y1257" s="21" t="s">
        <v>81</v>
      </c>
      <c r="Z1257" s="6" t="s">
        <v>81</v>
      </c>
      <c r="AA1257" s="6" t="s">
        <v>81</v>
      </c>
      <c r="AB1257" s="6" t="s">
        <v>81</v>
      </c>
      <c r="AC1257" s="6" t="s">
        <v>81</v>
      </c>
      <c r="AD1257" s="21" t="s">
        <v>81</v>
      </c>
      <c r="AE1257" s="6" t="s">
        <v>81</v>
      </c>
      <c r="AF1257" s="6" t="s">
        <v>81</v>
      </c>
      <c r="AG1257" s="6" t="s">
        <v>81</v>
      </c>
      <c r="AH1257" s="6" t="s">
        <v>15826</v>
      </c>
      <c r="AI1257" s="6" t="s">
        <v>81</v>
      </c>
      <c r="AJ1257" s="6" t="s">
        <v>17481</v>
      </c>
      <c r="AK1257" s="6" t="s">
        <v>18380</v>
      </c>
      <c r="AL1257" s="6" t="s">
        <v>18444</v>
      </c>
      <c r="AM1257" s="6" t="s">
        <v>18643</v>
      </c>
      <c r="AN1257" s="6" t="s">
        <v>81</v>
      </c>
      <c r="AO1257" s="6" t="s">
        <v>81</v>
      </c>
      <c r="AP1257" s="6" t="s">
        <v>81</v>
      </c>
      <c r="AQ1257" s="6" t="s">
        <v>81</v>
      </c>
      <c r="AR1257" s="6" t="s">
        <v>81</v>
      </c>
      <c r="AS1257" s="6" t="s">
        <v>81</v>
      </c>
      <c r="AT1257" s="6" t="s">
        <v>81</v>
      </c>
      <c r="AU1257" s="6" t="s">
        <v>81</v>
      </c>
      <c r="AV1257" s="6" t="s">
        <v>81</v>
      </c>
      <c r="AW1257" s="6" t="s">
        <v>81</v>
      </c>
      <c r="AX1257" s="6" t="s">
        <v>21529</v>
      </c>
      <c r="AY1257" s="6" t="s">
        <v>81</v>
      </c>
      <c r="AZ1257" s="6" t="s">
        <v>81</v>
      </c>
      <c r="BA1257" s="6" t="s">
        <v>81</v>
      </c>
      <c r="BB1257" s="24" t="n">
        <v>70</v>
      </c>
      <c r="BC1257" s="26"/>
      <c r="BD1257" s="26"/>
      <c r="BE1257" s="26"/>
      <c r="BF1257" s="26" t="s">
        <v>23900</v>
      </c>
      <c r="BG1257" s="26"/>
      <c r="BH1257" s="26"/>
      <c r="BI1257" s="26"/>
      <c r="BJ1257" s="26"/>
      <c r="BK1257" s="26"/>
      <c r="BL1257" s="26"/>
      <c r="BM1257" s="26"/>
      <c r="BN1257" s="26"/>
      <c r="BO1257" s="26"/>
      <c r="BP1257" s="16" t="n">
        <v>45737</v>
      </c>
      <c r="BQ1257" s="28" t="str">
        <f>HYPERLINK("https://organic.ams.usda.gov/Integrity/Certificate.aspx?cid=31&amp;nopid=3928972442")</f>
        <v>https://organic.ams.usda.gov/Integrity/Certificate.aspx?cid=31&amp;nopid=3928972442</v>
      </c>
    </row>
    <row r="1258">
      <c r="A1258" t="s">
        <v>3</v>
      </c>
      <c r="B1258" s="6" t="s">
        <v>9</v>
      </c>
      <c r="C1258" s="6" t="s">
        <v>56</v>
      </c>
      <c r="D1258" s="6" t="s">
        <v>102</v>
      </c>
      <c r="E1258" s="10" t="s">
        <v>1399</v>
      </c>
      <c r="F1258" s="6" t="s">
        <v>4125</v>
      </c>
      <c r="G1258" s="6" t="s">
        <v>81</v>
      </c>
      <c r="H1258" s="6" t="s">
        <v>7045</v>
      </c>
      <c r="I1258" s="6" t="s">
        <v>8964</v>
      </c>
      <c r="J1258" s="6" t="s">
        <v>9671</v>
      </c>
      <c r="K1258" s="6" t="s">
        <v>10886</v>
      </c>
      <c r="L1258" s="16" t="n">
        <v>41430</v>
      </c>
      <c r="M1258" s="16" t="n">
        <v>46113</v>
      </c>
      <c r="N1258" s="6" t="s">
        <v>10886</v>
      </c>
      <c r="O1258" s="16" t="n">
        <v>41430</v>
      </c>
      <c r="P1258" s="6" t="s">
        <v>11642</v>
      </c>
      <c r="Q1258" s="6" t="s">
        <v>81</v>
      </c>
      <c r="R1258" s="6" t="s">
        <v>12764</v>
      </c>
      <c r="S1258" s="6" t="s">
        <v>10886</v>
      </c>
      <c r="T1258" s="16" t="n">
        <v>41430</v>
      </c>
      <c r="U1258" s="6" t="s">
        <v>13168</v>
      </c>
      <c r="V1258" s="6" t="s">
        <v>81</v>
      </c>
      <c r="W1258" s="6" t="s">
        <v>12764</v>
      </c>
      <c r="X1258" s="6" t="s">
        <v>81</v>
      </c>
      <c r="Y1258" s="21" t="s">
        <v>81</v>
      </c>
      <c r="Z1258" s="6" t="s">
        <v>81</v>
      </c>
      <c r="AA1258" s="6" t="s">
        <v>81</v>
      </c>
      <c r="AB1258" s="6" t="s">
        <v>81</v>
      </c>
      <c r="AC1258" s="6" t="s">
        <v>81</v>
      </c>
      <c r="AD1258" s="21" t="s">
        <v>81</v>
      </c>
      <c r="AE1258" s="6" t="s">
        <v>81</v>
      </c>
      <c r="AF1258" s="6" t="s">
        <v>81</v>
      </c>
      <c r="AG1258" s="6" t="s">
        <v>81</v>
      </c>
      <c r="AH1258" s="6" t="s">
        <v>15827</v>
      </c>
      <c r="AI1258" s="6" t="s">
        <v>81</v>
      </c>
      <c r="AJ1258" s="6" t="s">
        <v>17376</v>
      </c>
      <c r="AK1258" s="6" t="s">
        <v>18377</v>
      </c>
      <c r="AL1258" s="6" t="s">
        <v>18444</v>
      </c>
      <c r="AM1258" s="6" t="s">
        <v>18528</v>
      </c>
      <c r="AN1258" s="6" t="s">
        <v>19661</v>
      </c>
      <c r="AO1258" s="6" t="s">
        <v>19761</v>
      </c>
      <c r="AP1258" s="6" t="s">
        <v>81</v>
      </c>
      <c r="AQ1258" s="6" t="s">
        <v>81</v>
      </c>
      <c r="AR1258" s="6" t="s">
        <v>81</v>
      </c>
      <c r="AS1258" s="6" t="s">
        <v>81</v>
      </c>
      <c r="AT1258" s="6" t="s">
        <v>81</v>
      </c>
      <c r="AU1258" s="6" t="s">
        <v>81</v>
      </c>
      <c r="AV1258" s="6" t="s">
        <v>81</v>
      </c>
      <c r="AW1258" s="6" t="s">
        <v>81</v>
      </c>
      <c r="AX1258" s="6" t="s">
        <v>81</v>
      </c>
      <c r="AY1258" s="6" t="s">
        <v>81</v>
      </c>
      <c r="AZ1258" s="6" t="s">
        <v>81</v>
      </c>
      <c r="BA1258" s="6" t="s">
        <v>23837</v>
      </c>
      <c r="BB1258" s="24" t="n">
        <v>320</v>
      </c>
      <c r="BC1258" s="26"/>
      <c r="BD1258" s="26"/>
      <c r="BE1258" s="26"/>
      <c r="BF1258" s="26"/>
      <c r="BG1258" s="26"/>
      <c r="BH1258" s="26"/>
      <c r="BI1258" s="26"/>
      <c r="BJ1258" s="26"/>
      <c r="BK1258" s="26"/>
      <c r="BL1258" s="26"/>
      <c r="BM1258" s="26"/>
      <c r="BN1258" s="26"/>
      <c r="BO1258" s="26"/>
      <c r="BP1258" s="16" t="n">
        <v>45738</v>
      </c>
      <c r="BQ1258" s="28" t="str">
        <f>HYPERLINK("https://organic.ams.usda.gov/Integrity/Certificate.aspx?cid=52&amp;nopid=8431300461")</f>
        <v>https://organic.ams.usda.gov/Integrity/Certificate.aspx?cid=52&amp;nopid=8431300461</v>
      </c>
    </row>
    <row r="1259">
      <c r="A1259" t="s">
        <v>3</v>
      </c>
      <c r="B1259" s="6" t="s">
        <v>9</v>
      </c>
      <c r="C1259" s="6" t="s">
        <v>56</v>
      </c>
      <c r="D1259" s="6" t="s">
        <v>102</v>
      </c>
      <c r="E1259" s="10" t="s">
        <v>1400</v>
      </c>
      <c r="F1259" s="6" t="s">
        <v>4126</v>
      </c>
      <c r="G1259" s="6" t="s">
        <v>81</v>
      </c>
      <c r="H1259" s="6" t="s">
        <v>7046</v>
      </c>
      <c r="I1259" s="6" t="s">
        <v>8916</v>
      </c>
      <c r="J1259" s="6" t="s">
        <v>10281</v>
      </c>
      <c r="K1259" s="6" t="s">
        <v>10886</v>
      </c>
      <c r="L1259" s="16" t="n">
        <v>41078</v>
      </c>
      <c r="M1259" s="16" t="n">
        <v>46113</v>
      </c>
      <c r="N1259" s="6" t="s">
        <v>10886</v>
      </c>
      <c r="O1259" s="16" t="n">
        <v>41078</v>
      </c>
      <c r="P1259" s="6" t="s">
        <v>11643</v>
      </c>
      <c r="Q1259" s="6" t="s">
        <v>81</v>
      </c>
      <c r="R1259" s="6" t="s">
        <v>12765</v>
      </c>
      <c r="S1259" s="6" t="s">
        <v>10886</v>
      </c>
      <c r="T1259" s="16" t="n">
        <v>41078</v>
      </c>
      <c r="U1259" s="6" t="s">
        <v>13162</v>
      </c>
      <c r="V1259" s="6" t="s">
        <v>81</v>
      </c>
      <c r="W1259" s="6" t="s">
        <v>12765</v>
      </c>
      <c r="X1259" s="6" t="s">
        <v>81</v>
      </c>
      <c r="Y1259" s="21" t="s">
        <v>81</v>
      </c>
      <c r="Z1259" s="6" t="s">
        <v>81</v>
      </c>
      <c r="AA1259" s="6" t="s">
        <v>81</v>
      </c>
      <c r="AB1259" s="6" t="s">
        <v>81</v>
      </c>
      <c r="AC1259" s="6" t="s">
        <v>81</v>
      </c>
      <c r="AD1259" s="21" t="s">
        <v>81</v>
      </c>
      <c r="AE1259" s="6" t="s">
        <v>81</v>
      </c>
      <c r="AF1259" s="6" t="s">
        <v>81</v>
      </c>
      <c r="AG1259" s="6" t="s">
        <v>81</v>
      </c>
      <c r="AH1259" s="6" t="s">
        <v>15828</v>
      </c>
      <c r="AI1259" s="6" t="s">
        <v>81</v>
      </c>
      <c r="AJ1259" s="6" t="s">
        <v>17842</v>
      </c>
      <c r="AK1259" s="6" t="s">
        <v>18377</v>
      </c>
      <c r="AL1259" s="6" t="s">
        <v>18444</v>
      </c>
      <c r="AM1259" s="6" t="s">
        <v>19024</v>
      </c>
      <c r="AN1259" s="6" t="s">
        <v>19683</v>
      </c>
      <c r="AO1259" s="6" t="s">
        <v>19837</v>
      </c>
      <c r="AP1259" s="6" t="s">
        <v>81</v>
      </c>
      <c r="AQ1259" s="6" t="s">
        <v>81</v>
      </c>
      <c r="AR1259" s="6" t="s">
        <v>81</v>
      </c>
      <c r="AS1259" s="6" t="s">
        <v>81</v>
      </c>
      <c r="AT1259" s="6" t="s">
        <v>81</v>
      </c>
      <c r="AU1259" s="6" t="s">
        <v>81</v>
      </c>
      <c r="AV1259" s="6" t="s">
        <v>81</v>
      </c>
      <c r="AW1259" s="6" t="s">
        <v>81</v>
      </c>
      <c r="AX1259" s="6" t="s">
        <v>21530</v>
      </c>
      <c r="AY1259" s="6" t="s">
        <v>81</v>
      </c>
      <c r="AZ1259" s="6" t="s">
        <v>81</v>
      </c>
      <c r="BA1259" s="6" t="s">
        <v>81</v>
      </c>
      <c r="BB1259" s="24" t="n">
        <v>91</v>
      </c>
      <c r="BC1259" s="26"/>
      <c r="BD1259" s="26"/>
      <c r="BE1259" s="26"/>
      <c r="BF1259" s="26"/>
      <c r="BG1259" s="26"/>
      <c r="BH1259" s="26"/>
      <c r="BI1259" s="26"/>
      <c r="BJ1259" s="26"/>
      <c r="BK1259" s="26"/>
      <c r="BL1259" s="26"/>
      <c r="BM1259" s="26"/>
      <c r="BN1259" s="26"/>
      <c r="BO1259" s="26"/>
      <c r="BP1259" s="16" t="n">
        <v>45738</v>
      </c>
      <c r="BQ1259" s="28" t="str">
        <f>HYPERLINK("https://organic.ams.usda.gov/Integrity/Certificate.aspx?cid=52&amp;nopid=8431200321")</f>
        <v>https://organic.ams.usda.gov/Integrity/Certificate.aspx?cid=52&amp;nopid=8431200321</v>
      </c>
    </row>
    <row r="1260">
      <c r="A1260" t="s">
        <v>3</v>
      </c>
      <c r="B1260" s="6" t="s">
        <v>8</v>
      </c>
      <c r="C1260" s="6" t="s">
        <v>55</v>
      </c>
      <c r="D1260" s="6" t="s">
        <v>101</v>
      </c>
      <c r="E1260" s="10" t="s">
        <v>1401</v>
      </c>
      <c r="F1260" s="6" t="s">
        <v>4127</v>
      </c>
      <c r="G1260" s="6" t="s">
        <v>81</v>
      </c>
      <c r="H1260" s="6" t="s">
        <v>7047</v>
      </c>
      <c r="I1260" s="6" t="s">
        <v>9060</v>
      </c>
      <c r="J1260" s="6" t="s">
        <v>10282</v>
      </c>
      <c r="K1260" s="6" t="s">
        <v>10886</v>
      </c>
      <c r="L1260" s="16" t="n">
        <v>40756</v>
      </c>
      <c r="M1260" s="16" t="n">
        <v>45383</v>
      </c>
      <c r="N1260" s="6" t="s">
        <v>10886</v>
      </c>
      <c r="O1260" s="16" t="n">
        <v>40756</v>
      </c>
      <c r="P1260" s="6" t="s">
        <v>11644</v>
      </c>
      <c r="Q1260" s="6" t="s">
        <v>81</v>
      </c>
      <c r="R1260" s="6" t="s">
        <v>7047</v>
      </c>
      <c r="S1260" s="6" t="s">
        <v>10886</v>
      </c>
      <c r="T1260" s="16" t="n">
        <v>40756</v>
      </c>
      <c r="U1260" s="6" t="s">
        <v>13173</v>
      </c>
      <c r="V1260" s="6" t="s">
        <v>81</v>
      </c>
      <c r="W1260" s="6" t="s">
        <v>7047</v>
      </c>
      <c r="X1260" s="6" t="s">
        <v>81</v>
      </c>
      <c r="Y1260" s="21" t="s">
        <v>81</v>
      </c>
      <c r="Z1260" s="6" t="s">
        <v>81</v>
      </c>
      <c r="AA1260" s="6" t="s">
        <v>81</v>
      </c>
      <c r="AB1260" s="6" t="s">
        <v>81</v>
      </c>
      <c r="AC1260" s="6" t="s">
        <v>81</v>
      </c>
      <c r="AD1260" s="21" t="s">
        <v>81</v>
      </c>
      <c r="AE1260" s="6" t="s">
        <v>81</v>
      </c>
      <c r="AF1260" s="6" t="s">
        <v>81</v>
      </c>
      <c r="AG1260" s="6" t="s">
        <v>81</v>
      </c>
      <c r="AH1260" s="6" t="s">
        <v>15829</v>
      </c>
      <c r="AI1260" s="6" t="s">
        <v>81</v>
      </c>
      <c r="AJ1260" s="6" t="s">
        <v>17948</v>
      </c>
      <c r="AK1260" s="6" t="s">
        <v>18377</v>
      </c>
      <c r="AL1260" s="6" t="s">
        <v>18444</v>
      </c>
      <c r="AM1260" s="6" t="s">
        <v>8060</v>
      </c>
      <c r="AN1260" s="6" t="s">
        <v>19685</v>
      </c>
      <c r="AO1260" s="6" t="s">
        <v>19816</v>
      </c>
      <c r="AP1260" s="6" t="s">
        <v>81</v>
      </c>
      <c r="AQ1260" s="6" t="s">
        <v>81</v>
      </c>
      <c r="AR1260" s="6" t="s">
        <v>81</v>
      </c>
      <c r="AS1260" s="6" t="s">
        <v>81</v>
      </c>
      <c r="AT1260" s="6" t="s">
        <v>81</v>
      </c>
      <c r="AU1260" s="6" t="s">
        <v>81</v>
      </c>
      <c r="AV1260" s="6" t="s">
        <v>81</v>
      </c>
      <c r="AW1260" s="6" t="s">
        <v>81</v>
      </c>
      <c r="AX1260" s="6" t="s">
        <v>81</v>
      </c>
      <c r="AY1260" s="6" t="s">
        <v>23023</v>
      </c>
      <c r="AZ1260" s="6" t="s">
        <v>81</v>
      </c>
      <c r="BA1260" s="6" t="s">
        <v>23819</v>
      </c>
      <c r="BB1260" s="24" t="n">
        <v>297</v>
      </c>
      <c r="BC1260" s="26"/>
      <c r="BD1260" s="26"/>
      <c r="BE1260" s="26"/>
      <c r="BF1260" s="26" t="s">
        <v>23900</v>
      </c>
      <c r="BG1260" s="26"/>
      <c r="BH1260" s="26"/>
      <c r="BI1260" s="26"/>
      <c r="BJ1260" s="26"/>
      <c r="BK1260" s="26"/>
      <c r="BL1260" s="26"/>
      <c r="BM1260" s="26"/>
      <c r="BN1260" s="26"/>
      <c r="BO1260" s="26"/>
      <c r="BP1260" s="16" t="n">
        <v>45376</v>
      </c>
      <c r="BQ1260" s="28" t="str">
        <f>HYPERLINK("https://organic.ams.usda.gov/Integrity/Certificate.aspx?cid=45&amp;nopid=9950004554")</f>
        <v>https://organic.ams.usda.gov/Integrity/Certificate.aspx?cid=45&amp;nopid=9950004554</v>
      </c>
    </row>
    <row r="1261">
      <c r="A1261" t="s">
        <v>3</v>
      </c>
      <c r="B1261" s="6" t="s">
        <v>10</v>
      </c>
      <c r="C1261" s="6" t="s">
        <v>57</v>
      </c>
      <c r="D1261" s="6" t="s">
        <v>103</v>
      </c>
      <c r="E1261" s="10" t="s">
        <v>1402</v>
      </c>
      <c r="F1261" s="6" t="s">
        <v>4128</v>
      </c>
      <c r="G1261" s="6" t="s">
        <v>81</v>
      </c>
      <c r="H1261" s="6" t="s">
        <v>7048</v>
      </c>
      <c r="I1261" s="6" t="s">
        <v>9067</v>
      </c>
      <c r="J1261" s="6" t="s">
        <v>10283</v>
      </c>
      <c r="K1261" s="6" t="s">
        <v>10886</v>
      </c>
      <c r="L1261" s="16" t="n">
        <v>41288</v>
      </c>
      <c r="M1261" s="16" t="n">
        <v>45748</v>
      </c>
      <c r="N1261" s="6" t="s">
        <v>10886</v>
      </c>
      <c r="O1261" s="16" t="n">
        <v>41288</v>
      </c>
      <c r="P1261" s="6" t="s">
        <v>11645</v>
      </c>
      <c r="Q1261" s="6" t="s">
        <v>81</v>
      </c>
      <c r="R1261" s="6" t="s">
        <v>12766</v>
      </c>
      <c r="S1261" s="6" t="s">
        <v>10886</v>
      </c>
      <c r="T1261" s="16" t="n">
        <v>41288</v>
      </c>
      <c r="U1261" s="6" t="s">
        <v>13163</v>
      </c>
      <c r="V1261" s="6" t="s">
        <v>81</v>
      </c>
      <c r="W1261" s="6" t="s">
        <v>81</v>
      </c>
      <c r="X1261" s="6" t="s">
        <v>81</v>
      </c>
      <c r="Y1261" s="21" t="s">
        <v>81</v>
      </c>
      <c r="Z1261" s="6" t="s">
        <v>81</v>
      </c>
      <c r="AA1261" s="6" t="s">
        <v>81</v>
      </c>
      <c r="AB1261" s="6" t="s">
        <v>81</v>
      </c>
      <c r="AC1261" s="6" t="s">
        <v>81</v>
      </c>
      <c r="AD1261" s="21" t="s">
        <v>81</v>
      </c>
      <c r="AE1261" s="6" t="s">
        <v>81</v>
      </c>
      <c r="AF1261" s="6" t="s">
        <v>81</v>
      </c>
      <c r="AG1261" s="6" t="s">
        <v>81</v>
      </c>
      <c r="AH1261" s="6" t="s">
        <v>15830</v>
      </c>
      <c r="AI1261" s="6" t="s">
        <v>81</v>
      </c>
      <c r="AJ1261" s="6" t="s">
        <v>17949</v>
      </c>
      <c r="AK1261" s="6" t="s">
        <v>18378</v>
      </c>
      <c r="AL1261" s="6" t="s">
        <v>18444</v>
      </c>
      <c r="AM1261" s="6" t="s">
        <v>19138</v>
      </c>
      <c r="AN1261" s="6" t="s">
        <v>19676</v>
      </c>
      <c r="AO1261" s="6" t="s">
        <v>19784</v>
      </c>
      <c r="AP1261" s="6" t="s">
        <v>15830</v>
      </c>
      <c r="AQ1261" s="6" t="s">
        <v>81</v>
      </c>
      <c r="AR1261" s="6" t="s">
        <v>17949</v>
      </c>
      <c r="AS1261" s="6" t="s">
        <v>18378</v>
      </c>
      <c r="AT1261" s="6" t="s">
        <v>18444</v>
      </c>
      <c r="AU1261" s="6" t="s">
        <v>19138</v>
      </c>
      <c r="AV1261" s="6" t="s">
        <v>81</v>
      </c>
      <c r="AW1261" s="6" t="s">
        <v>81</v>
      </c>
      <c r="AX1261" s="6" t="s">
        <v>21531</v>
      </c>
      <c r="AY1261" s="6" t="s">
        <v>23024</v>
      </c>
      <c r="AZ1261" s="6" t="s">
        <v>81</v>
      </c>
      <c r="BA1261" s="6" t="s">
        <v>81</v>
      </c>
      <c r="BB1261" s="24" t="n">
        <v>730</v>
      </c>
      <c r="BC1261" s="26"/>
      <c r="BD1261" s="26"/>
      <c r="BE1261" s="26"/>
      <c r="BF1261" s="26"/>
      <c r="BG1261" s="26"/>
      <c r="BH1261" s="26"/>
      <c r="BI1261" s="26"/>
      <c r="BJ1261" s="26"/>
      <c r="BK1261" s="26"/>
      <c r="BL1261" s="26"/>
      <c r="BM1261" s="26"/>
      <c r="BN1261" s="26"/>
      <c r="BO1261" s="26"/>
      <c r="BP1261" s="16" t="n">
        <v>45730</v>
      </c>
      <c r="BQ1261" s="28" t="str">
        <f>HYPERLINK("https://organic.ams.usda.gov/Integrity/Certificate.aspx?cid=90&amp;nopid=7170210294")</f>
        <v>https://organic.ams.usda.gov/Integrity/Certificate.aspx?cid=90&amp;nopid=7170210294</v>
      </c>
    </row>
    <row r="1262">
      <c r="A1262" t="s">
        <v>3</v>
      </c>
      <c r="B1262" s="6" t="s">
        <v>19</v>
      </c>
      <c r="C1262" s="6" t="s">
        <v>66</v>
      </c>
      <c r="D1262" s="6" t="s">
        <v>112</v>
      </c>
      <c r="E1262" s="10" t="s">
        <v>1403</v>
      </c>
      <c r="F1262" s="6" t="s">
        <v>4129</v>
      </c>
      <c r="G1262" s="6" t="s">
        <v>81</v>
      </c>
      <c r="H1262" s="6" t="s">
        <v>7049</v>
      </c>
      <c r="I1262" s="6" t="s">
        <v>81</v>
      </c>
      <c r="J1262" s="6" t="s">
        <v>10284</v>
      </c>
      <c r="K1262" s="6" t="s">
        <v>10886</v>
      </c>
      <c r="L1262" s="16" t="n">
        <v>44238</v>
      </c>
      <c r="M1262" s="16" t="n">
        <v>46054</v>
      </c>
      <c r="N1262" s="6" t="s">
        <v>10886</v>
      </c>
      <c r="O1262" s="16" t="n">
        <v>44238</v>
      </c>
      <c r="P1262" s="6" t="s">
        <v>11646</v>
      </c>
      <c r="Q1262" s="6" t="s">
        <v>81</v>
      </c>
      <c r="R1262" s="6" t="s">
        <v>81</v>
      </c>
      <c r="S1262" s="6" t="s">
        <v>10886</v>
      </c>
      <c r="T1262" s="16" t="n">
        <v>44238</v>
      </c>
      <c r="U1262" s="6" t="s">
        <v>13582</v>
      </c>
      <c r="V1262" s="6" t="s">
        <v>81</v>
      </c>
      <c r="W1262" s="6" t="s">
        <v>81</v>
      </c>
      <c r="X1262" s="6" t="s">
        <v>81</v>
      </c>
      <c r="Y1262" s="21" t="s">
        <v>81</v>
      </c>
      <c r="Z1262" s="6" t="s">
        <v>81</v>
      </c>
      <c r="AA1262" s="6" t="s">
        <v>81</v>
      </c>
      <c r="AB1262" s="6" t="s">
        <v>81</v>
      </c>
      <c r="AC1262" s="6" t="s">
        <v>10886</v>
      </c>
      <c r="AD1262" s="16" t="n">
        <v>44238</v>
      </c>
      <c r="AE1262" s="6" t="s">
        <v>14066</v>
      </c>
      <c r="AF1262" s="6" t="s">
        <v>81</v>
      </c>
      <c r="AG1262" s="6" t="s">
        <v>81</v>
      </c>
      <c r="AH1262" s="6" t="s">
        <v>15831</v>
      </c>
      <c r="AI1262" s="6" t="s">
        <v>81</v>
      </c>
      <c r="AJ1262" s="6" t="s">
        <v>17950</v>
      </c>
      <c r="AK1262" s="6" t="s">
        <v>18391</v>
      </c>
      <c r="AL1262" s="6" t="s">
        <v>18444</v>
      </c>
      <c r="AM1262" s="6" t="s">
        <v>19139</v>
      </c>
      <c r="AN1262" s="6" t="s">
        <v>19686</v>
      </c>
      <c r="AO1262" s="6" t="s">
        <v>19984</v>
      </c>
      <c r="AP1262" s="6" t="s">
        <v>81</v>
      </c>
      <c r="AQ1262" s="6" t="s">
        <v>81</v>
      </c>
      <c r="AR1262" s="6" t="s">
        <v>81</v>
      </c>
      <c r="AS1262" s="6" t="s">
        <v>81</v>
      </c>
      <c r="AT1262" s="6" t="s">
        <v>81</v>
      </c>
      <c r="AU1262" s="6" t="s">
        <v>81</v>
      </c>
      <c r="AV1262" s="6" t="s">
        <v>81</v>
      </c>
      <c r="AW1262" s="6" t="s">
        <v>81</v>
      </c>
      <c r="AX1262" s="6" t="s">
        <v>21532</v>
      </c>
      <c r="AY1262" s="6" t="s">
        <v>23025</v>
      </c>
      <c r="AZ1262" s="6" t="s">
        <v>81</v>
      </c>
      <c r="BA1262" s="6" t="s">
        <v>81</v>
      </c>
      <c r="BB1262" s="24" t="n">
        <v>205</v>
      </c>
      <c r="BC1262" s="26"/>
      <c r="BD1262" s="26"/>
      <c r="BE1262" s="26"/>
      <c r="BF1262" s="26" t="s">
        <v>23900</v>
      </c>
      <c r="BG1262" s="26"/>
      <c r="BH1262" s="26"/>
      <c r="BI1262" s="26"/>
      <c r="BJ1262" s="26"/>
      <c r="BK1262" s="26"/>
      <c r="BL1262" s="26"/>
      <c r="BM1262" s="26"/>
      <c r="BN1262" s="26"/>
      <c r="BO1262" s="26"/>
      <c r="BP1262" s="16" t="n">
        <v>45691</v>
      </c>
      <c r="BQ1262" s="28" t="str">
        <f>HYPERLINK("https://organic.ams.usda.gov/Integrity/Certificate.aspx?cid=24&amp;nopid=7889011000")</f>
        <v>https://organic.ams.usda.gov/Integrity/Certificate.aspx?cid=24&amp;nopid=7889011000</v>
      </c>
    </row>
    <row r="1263">
      <c r="A1263" t="s">
        <v>3</v>
      </c>
      <c r="B1263" s="6" t="s">
        <v>8</v>
      </c>
      <c r="C1263" s="6" t="s">
        <v>55</v>
      </c>
      <c r="D1263" s="6" t="s">
        <v>101</v>
      </c>
      <c r="E1263" s="10" t="s">
        <v>1404</v>
      </c>
      <c r="F1263" s="6" t="s">
        <v>4130</v>
      </c>
      <c r="G1263" s="6" t="s">
        <v>5707</v>
      </c>
      <c r="H1263" s="6" t="s">
        <v>7050</v>
      </c>
      <c r="I1263" s="6" t="s">
        <v>8391</v>
      </c>
      <c r="J1263" s="6" t="s">
        <v>10285</v>
      </c>
      <c r="K1263" s="6" t="s">
        <v>10886</v>
      </c>
      <c r="L1263" s="16" t="n">
        <v>42515</v>
      </c>
      <c r="M1263" s="16" t="n">
        <v>45383</v>
      </c>
      <c r="N1263" s="6" t="s">
        <v>10886</v>
      </c>
      <c r="O1263" s="16" t="n">
        <v>42515</v>
      </c>
      <c r="P1263" s="6" t="s">
        <v>11647</v>
      </c>
      <c r="Q1263" s="6" t="s">
        <v>81</v>
      </c>
      <c r="R1263" s="6" t="s">
        <v>7050</v>
      </c>
      <c r="S1263" s="6" t="s">
        <v>10886</v>
      </c>
      <c r="T1263" s="16" t="n">
        <v>42515</v>
      </c>
      <c r="U1263" s="6" t="s">
        <v>13173</v>
      </c>
      <c r="V1263" s="6" t="s">
        <v>81</v>
      </c>
      <c r="W1263" s="6" t="s">
        <v>7050</v>
      </c>
      <c r="X1263" s="6" t="s">
        <v>81</v>
      </c>
      <c r="Y1263" s="21" t="s">
        <v>81</v>
      </c>
      <c r="Z1263" s="6" t="s">
        <v>81</v>
      </c>
      <c r="AA1263" s="6" t="s">
        <v>81</v>
      </c>
      <c r="AB1263" s="6" t="s">
        <v>81</v>
      </c>
      <c r="AC1263" s="6" t="s">
        <v>81</v>
      </c>
      <c r="AD1263" s="21" t="s">
        <v>81</v>
      </c>
      <c r="AE1263" s="6" t="s">
        <v>81</v>
      </c>
      <c r="AF1263" s="6" t="s">
        <v>81</v>
      </c>
      <c r="AG1263" s="6" t="s">
        <v>81</v>
      </c>
      <c r="AH1263" s="6" t="s">
        <v>15832</v>
      </c>
      <c r="AI1263" s="6" t="s">
        <v>81</v>
      </c>
      <c r="AJ1263" s="6" t="s">
        <v>17626</v>
      </c>
      <c r="AK1263" s="6" t="s">
        <v>18377</v>
      </c>
      <c r="AL1263" s="6" t="s">
        <v>18444</v>
      </c>
      <c r="AM1263" s="6" t="s">
        <v>18793</v>
      </c>
      <c r="AN1263" s="6" t="s">
        <v>19653</v>
      </c>
      <c r="AO1263" s="6" t="s">
        <v>19838</v>
      </c>
      <c r="AP1263" s="6" t="s">
        <v>81</v>
      </c>
      <c r="AQ1263" s="6" t="s">
        <v>81</v>
      </c>
      <c r="AR1263" s="6" t="s">
        <v>81</v>
      </c>
      <c r="AS1263" s="6" t="s">
        <v>81</v>
      </c>
      <c r="AT1263" s="6" t="s">
        <v>81</v>
      </c>
      <c r="AU1263" s="6" t="s">
        <v>81</v>
      </c>
      <c r="AV1263" s="6" t="s">
        <v>81</v>
      </c>
      <c r="AW1263" s="6" t="s">
        <v>81</v>
      </c>
      <c r="AX1263" s="6" t="s">
        <v>21533</v>
      </c>
      <c r="AY1263" s="6" t="s">
        <v>23026</v>
      </c>
      <c r="AZ1263" s="6" t="s">
        <v>81</v>
      </c>
      <c r="BA1263" s="6" t="s">
        <v>23819</v>
      </c>
      <c r="BB1263" s="24" t="n">
        <v>188</v>
      </c>
      <c r="BC1263" s="26"/>
      <c r="BD1263" s="26"/>
      <c r="BE1263" s="26"/>
      <c r="BF1263" s="26"/>
      <c r="BG1263" s="26"/>
      <c r="BH1263" s="26"/>
      <c r="BI1263" s="26"/>
      <c r="BJ1263" s="26"/>
      <c r="BK1263" s="26"/>
      <c r="BL1263" s="26"/>
      <c r="BM1263" s="26"/>
      <c r="BN1263" s="26"/>
      <c r="BO1263" s="26"/>
      <c r="BP1263" s="16" t="n">
        <v>45341</v>
      </c>
      <c r="BQ1263" s="28" t="str">
        <f>HYPERLINK("https://organic.ams.usda.gov/Integrity/Certificate.aspx?cid=45&amp;nopid=9950008637")</f>
        <v>https://organic.ams.usda.gov/Integrity/Certificate.aspx?cid=45&amp;nopid=9950008637</v>
      </c>
    </row>
    <row r="1264">
      <c r="A1264" t="s">
        <v>3</v>
      </c>
      <c r="B1264" s="6" t="s">
        <v>25</v>
      </c>
      <c r="C1264" s="6" t="s">
        <v>72</v>
      </c>
      <c r="D1264" s="6" t="s">
        <v>118</v>
      </c>
      <c r="E1264" s="10" t="s">
        <v>1405</v>
      </c>
      <c r="F1264" s="6" t="s">
        <v>4131</v>
      </c>
      <c r="G1264" s="6" t="s">
        <v>81</v>
      </c>
      <c r="H1264" s="6" t="s">
        <v>7051</v>
      </c>
      <c r="I1264" s="6" t="s">
        <v>8391</v>
      </c>
      <c r="J1264" s="6" t="s">
        <v>10286</v>
      </c>
      <c r="K1264" s="6" t="s">
        <v>10886</v>
      </c>
      <c r="L1264" s="16" t="n">
        <v>41046</v>
      </c>
      <c r="M1264" s="16" t="n">
        <v>46023</v>
      </c>
      <c r="N1264" s="6" t="s">
        <v>10886</v>
      </c>
      <c r="O1264" s="16" t="n">
        <v>41046</v>
      </c>
      <c r="P1264" s="6" t="s">
        <v>11031</v>
      </c>
      <c r="Q1264" s="6" t="s">
        <v>81</v>
      </c>
      <c r="R1264" s="6" t="s">
        <v>81</v>
      </c>
      <c r="S1264" s="6" t="s">
        <v>10886</v>
      </c>
      <c r="T1264" s="16" t="n">
        <v>41147</v>
      </c>
      <c r="U1264" s="6" t="s">
        <v>13583</v>
      </c>
      <c r="V1264" s="6" t="s">
        <v>81</v>
      </c>
      <c r="W1264" s="6" t="s">
        <v>81</v>
      </c>
      <c r="X1264" s="6" t="s">
        <v>81</v>
      </c>
      <c r="Y1264" s="21" t="s">
        <v>81</v>
      </c>
      <c r="Z1264" s="6" t="s">
        <v>81</v>
      </c>
      <c r="AA1264" s="6" t="s">
        <v>81</v>
      </c>
      <c r="AB1264" s="6" t="s">
        <v>81</v>
      </c>
      <c r="AC1264" s="6" t="s">
        <v>10886</v>
      </c>
      <c r="AD1264" s="16" t="n">
        <v>44734</v>
      </c>
      <c r="AE1264" s="6" t="s">
        <v>14081</v>
      </c>
      <c r="AF1264" s="6" t="s">
        <v>81</v>
      </c>
      <c r="AG1264" s="6" t="s">
        <v>81</v>
      </c>
      <c r="AH1264" s="6" t="s">
        <v>15833</v>
      </c>
      <c r="AI1264" s="6" t="s">
        <v>81</v>
      </c>
      <c r="AJ1264" s="6" t="s">
        <v>17561</v>
      </c>
      <c r="AK1264" s="6" t="s">
        <v>18386</v>
      </c>
      <c r="AL1264" s="6" t="s">
        <v>18444</v>
      </c>
      <c r="AM1264" s="6" t="s">
        <v>18760</v>
      </c>
      <c r="AN1264" s="6" t="s">
        <v>19672</v>
      </c>
      <c r="AO1264" s="6" t="s">
        <v>19787</v>
      </c>
      <c r="AP1264" s="6" t="s">
        <v>15833</v>
      </c>
      <c r="AQ1264" s="6" t="s">
        <v>81</v>
      </c>
      <c r="AR1264" s="6" t="s">
        <v>17561</v>
      </c>
      <c r="AS1264" s="6" t="s">
        <v>18386</v>
      </c>
      <c r="AT1264" s="6" t="s">
        <v>18444</v>
      </c>
      <c r="AU1264" s="6" t="s">
        <v>18760</v>
      </c>
      <c r="AV1264" s="6" t="s">
        <v>81</v>
      </c>
      <c r="AW1264" s="6" t="s">
        <v>81</v>
      </c>
      <c r="AX1264" s="6" t="s">
        <v>21534</v>
      </c>
      <c r="AY1264" s="6" t="s">
        <v>23027</v>
      </c>
      <c r="AZ1264" s="6" t="s">
        <v>81</v>
      </c>
      <c r="BA1264" s="6" t="s">
        <v>81</v>
      </c>
      <c r="BB1264" s="24" t="n">
        <v>215</v>
      </c>
      <c r="BC1264" s="26"/>
      <c r="BD1264" s="26"/>
      <c r="BE1264" s="26"/>
      <c r="BF1264" s="26"/>
      <c r="BG1264" s="26"/>
      <c r="BH1264" s="26"/>
      <c r="BI1264" s="26"/>
      <c r="BJ1264" s="26"/>
      <c r="BK1264" s="26"/>
      <c r="BL1264" s="26"/>
      <c r="BM1264" s="26"/>
      <c r="BN1264" s="26"/>
      <c r="BO1264" s="26"/>
      <c r="BP1264" s="16" t="n">
        <v>45667</v>
      </c>
      <c r="BQ1264" s="28" t="str">
        <f>HYPERLINK("https://organic.ams.usda.gov/Integrity/Certificate.aspx?cid=15&amp;nopid=5561001394")</f>
        <v>https://organic.ams.usda.gov/Integrity/Certificate.aspx?cid=15&amp;nopid=5561001394</v>
      </c>
    </row>
    <row r="1265">
      <c r="A1265" t="s">
        <v>3</v>
      </c>
      <c r="B1265" s="6" t="s">
        <v>8</v>
      </c>
      <c r="C1265" s="6" t="s">
        <v>55</v>
      </c>
      <c r="D1265" s="6" t="s">
        <v>101</v>
      </c>
      <c r="E1265" s="10" t="s">
        <v>1406</v>
      </c>
      <c r="F1265" s="6" t="s">
        <v>4132</v>
      </c>
      <c r="G1265" s="6" t="s">
        <v>5708</v>
      </c>
      <c r="H1265" s="6" t="s">
        <v>7052</v>
      </c>
      <c r="I1265" s="6" t="s">
        <v>8391</v>
      </c>
      <c r="J1265" s="6" t="s">
        <v>10287</v>
      </c>
      <c r="K1265" s="6" t="s">
        <v>10886</v>
      </c>
      <c r="L1265" s="16" t="n">
        <v>39681</v>
      </c>
      <c r="M1265" s="16" t="n">
        <v>45748</v>
      </c>
      <c r="N1265" s="6" t="s">
        <v>10886</v>
      </c>
      <c r="O1265" s="16" t="n">
        <v>39681</v>
      </c>
      <c r="P1265" s="6" t="s">
        <v>11648</v>
      </c>
      <c r="Q1265" s="6" t="s">
        <v>81</v>
      </c>
      <c r="R1265" s="6" t="s">
        <v>7052</v>
      </c>
      <c r="S1265" s="6" t="s">
        <v>10886</v>
      </c>
      <c r="T1265" s="16" t="n">
        <v>39681</v>
      </c>
      <c r="U1265" s="6" t="s">
        <v>13179</v>
      </c>
      <c r="V1265" s="6" t="s">
        <v>81</v>
      </c>
      <c r="W1265" s="6" t="s">
        <v>7052</v>
      </c>
      <c r="X1265" s="6" t="s">
        <v>81</v>
      </c>
      <c r="Y1265" s="21" t="s">
        <v>81</v>
      </c>
      <c r="Z1265" s="6" t="s">
        <v>81</v>
      </c>
      <c r="AA1265" s="6" t="s">
        <v>81</v>
      </c>
      <c r="AB1265" s="6" t="s">
        <v>81</v>
      </c>
      <c r="AC1265" s="6" t="s">
        <v>81</v>
      </c>
      <c r="AD1265" s="21" t="s">
        <v>81</v>
      </c>
      <c r="AE1265" s="6" t="s">
        <v>81</v>
      </c>
      <c r="AF1265" s="6" t="s">
        <v>81</v>
      </c>
      <c r="AG1265" s="6" t="s">
        <v>81</v>
      </c>
      <c r="AH1265" s="6" t="s">
        <v>15834</v>
      </c>
      <c r="AI1265" s="6" t="s">
        <v>81</v>
      </c>
      <c r="AJ1265" s="6" t="s">
        <v>17951</v>
      </c>
      <c r="AK1265" s="6" t="s">
        <v>18377</v>
      </c>
      <c r="AL1265" s="6" t="s">
        <v>18444</v>
      </c>
      <c r="AM1265" s="6" t="s">
        <v>19140</v>
      </c>
      <c r="AN1265" s="6" t="s">
        <v>19661</v>
      </c>
      <c r="AO1265" s="6" t="s">
        <v>19761</v>
      </c>
      <c r="AP1265" s="6" t="s">
        <v>81</v>
      </c>
      <c r="AQ1265" s="6" t="s">
        <v>81</v>
      </c>
      <c r="AR1265" s="6" t="s">
        <v>81</v>
      </c>
      <c r="AS1265" s="6" t="s">
        <v>81</v>
      </c>
      <c r="AT1265" s="6" t="s">
        <v>81</v>
      </c>
      <c r="AU1265" s="6" t="s">
        <v>81</v>
      </c>
      <c r="AV1265" s="6" t="s">
        <v>81</v>
      </c>
      <c r="AW1265" s="6" t="s">
        <v>81</v>
      </c>
      <c r="AX1265" s="6" t="s">
        <v>21535</v>
      </c>
      <c r="AY1265" s="6" t="s">
        <v>23028</v>
      </c>
      <c r="AZ1265" s="6" t="s">
        <v>81</v>
      </c>
      <c r="BA1265" s="6" t="s">
        <v>23819</v>
      </c>
      <c r="BB1265" s="24" t="n">
        <v>239</v>
      </c>
      <c r="BC1265" s="26"/>
      <c r="BD1265" s="26"/>
      <c r="BE1265" s="26"/>
      <c r="BF1265" s="26" t="s">
        <v>23900</v>
      </c>
      <c r="BG1265" s="26"/>
      <c r="BH1265" s="26"/>
      <c r="BI1265" s="26"/>
      <c r="BJ1265" s="26"/>
      <c r="BK1265" s="26"/>
      <c r="BL1265" s="26"/>
      <c r="BM1265" s="26"/>
      <c r="BN1265" s="26"/>
      <c r="BO1265" s="26"/>
      <c r="BP1265" s="16" t="n">
        <v>45670</v>
      </c>
      <c r="BQ1265" s="28" t="str">
        <f>HYPERLINK("https://organic.ams.usda.gov/Integrity/Certificate.aspx?cid=45&amp;nopid=9950003001")</f>
        <v>https://organic.ams.usda.gov/Integrity/Certificate.aspx?cid=45&amp;nopid=9950003001</v>
      </c>
    </row>
    <row r="1266">
      <c r="A1266" t="s">
        <v>3</v>
      </c>
      <c r="B1266" s="6" t="s">
        <v>23</v>
      </c>
      <c r="C1266" s="6" t="s">
        <v>70</v>
      </c>
      <c r="D1266" s="6" t="s">
        <v>116</v>
      </c>
      <c r="E1266" s="10" t="s">
        <v>1407</v>
      </c>
      <c r="F1266" s="6" t="s">
        <v>4133</v>
      </c>
      <c r="G1266" s="6" t="s">
        <v>81</v>
      </c>
      <c r="H1266" s="6" t="s">
        <v>81</v>
      </c>
      <c r="I1266" s="6" t="s">
        <v>8961</v>
      </c>
      <c r="J1266" s="6" t="s">
        <v>10128</v>
      </c>
      <c r="K1266" s="6" t="s">
        <v>10886</v>
      </c>
      <c r="L1266" s="16" t="n">
        <v>43677</v>
      </c>
      <c r="M1266" s="16" t="n">
        <v>45869</v>
      </c>
      <c r="N1266" s="6" t="s">
        <v>81</v>
      </c>
      <c r="O1266" s="21" t="s">
        <v>81</v>
      </c>
      <c r="P1266" s="6" t="s">
        <v>81</v>
      </c>
      <c r="Q1266" s="6" t="s">
        <v>81</v>
      </c>
      <c r="R1266" s="6" t="s">
        <v>81</v>
      </c>
      <c r="S1266" s="6" t="s">
        <v>10886</v>
      </c>
      <c r="T1266" s="16" t="n">
        <v>43677</v>
      </c>
      <c r="U1266" s="6" t="s">
        <v>13232</v>
      </c>
      <c r="V1266" s="6" t="s">
        <v>81</v>
      </c>
      <c r="W1266" s="6" t="s">
        <v>13978</v>
      </c>
      <c r="X1266" s="6" t="s">
        <v>81</v>
      </c>
      <c r="Y1266" s="21" t="s">
        <v>81</v>
      </c>
      <c r="Z1266" s="6" t="s">
        <v>81</v>
      </c>
      <c r="AA1266" s="6" t="s">
        <v>81</v>
      </c>
      <c r="AB1266" s="6" t="s">
        <v>81</v>
      </c>
      <c r="AC1266" s="6" t="s">
        <v>81</v>
      </c>
      <c r="AD1266" s="21" t="s">
        <v>81</v>
      </c>
      <c r="AE1266" s="6" t="s">
        <v>81</v>
      </c>
      <c r="AF1266" s="6" t="s">
        <v>81</v>
      </c>
      <c r="AG1266" s="6" t="s">
        <v>81</v>
      </c>
      <c r="AH1266" s="6" t="s">
        <v>15835</v>
      </c>
      <c r="AI1266" s="6" t="s">
        <v>81</v>
      </c>
      <c r="AJ1266" s="6" t="s">
        <v>17561</v>
      </c>
      <c r="AK1266" s="6" t="s">
        <v>18386</v>
      </c>
      <c r="AL1266" s="6" t="s">
        <v>18444</v>
      </c>
      <c r="AM1266" s="6" t="s">
        <v>18760</v>
      </c>
      <c r="AN1266" s="6" t="s">
        <v>81</v>
      </c>
      <c r="AO1266" s="6" t="s">
        <v>81</v>
      </c>
      <c r="AP1266" s="6" t="s">
        <v>81</v>
      </c>
      <c r="AQ1266" s="6" t="s">
        <v>81</v>
      </c>
      <c r="AR1266" s="6" t="s">
        <v>81</v>
      </c>
      <c r="AS1266" s="6" t="s">
        <v>81</v>
      </c>
      <c r="AT1266" s="6" t="s">
        <v>81</v>
      </c>
      <c r="AU1266" s="6" t="s">
        <v>81</v>
      </c>
      <c r="AV1266" s="6" t="s">
        <v>81</v>
      </c>
      <c r="AW1266" s="6" t="s">
        <v>81</v>
      </c>
      <c r="AX1266" s="6" t="s">
        <v>21536</v>
      </c>
      <c r="AY1266" s="6" t="s">
        <v>23029</v>
      </c>
      <c r="AZ1266" s="6" t="s">
        <v>81</v>
      </c>
      <c r="BA1266" s="6" t="s">
        <v>81</v>
      </c>
      <c r="BB1266" s="6" t="s">
        <v>81</v>
      </c>
      <c r="BC1266" s="26"/>
      <c r="BD1266" s="26"/>
      <c r="BE1266" s="26"/>
      <c r="BF1266" s="26"/>
      <c r="BG1266" s="26"/>
      <c r="BH1266" s="26"/>
      <c r="BI1266" s="26"/>
      <c r="BJ1266" s="26"/>
      <c r="BK1266" s="26"/>
      <c r="BL1266" s="26"/>
      <c r="BM1266" s="26"/>
      <c r="BN1266" s="26"/>
      <c r="BO1266" s="26"/>
      <c r="BP1266" s="16" t="n">
        <v>45516</v>
      </c>
      <c r="BQ1266" s="28" t="str">
        <f>HYPERLINK("https://organic.ams.usda.gov/Integrity/Certificate.aspx?cid=63&amp;nopid=6220008168")</f>
        <v>https://organic.ams.usda.gov/Integrity/Certificate.aspx?cid=63&amp;nopid=6220008168</v>
      </c>
    </row>
    <row r="1267">
      <c r="A1267" t="s">
        <v>3</v>
      </c>
      <c r="B1267" s="6" t="s">
        <v>12</v>
      </c>
      <c r="C1267" s="6" t="s">
        <v>59</v>
      </c>
      <c r="D1267" s="6" t="s">
        <v>105</v>
      </c>
      <c r="E1267" s="10" t="s">
        <v>1408</v>
      </c>
      <c r="F1267" s="6" t="s">
        <v>4134</v>
      </c>
      <c r="G1267" s="6" t="s">
        <v>81</v>
      </c>
      <c r="H1267" s="6" t="s">
        <v>7053</v>
      </c>
      <c r="I1267" s="6" t="s">
        <v>9068</v>
      </c>
      <c r="J1267" s="6" t="s">
        <v>10288</v>
      </c>
      <c r="K1267" s="6" t="s">
        <v>10886</v>
      </c>
      <c r="L1267" s="16" t="n">
        <v>38596</v>
      </c>
      <c r="M1267" s="16" t="n">
        <v>45717</v>
      </c>
      <c r="N1267" s="6" t="s">
        <v>10886</v>
      </c>
      <c r="O1267" s="16" t="n">
        <v>38596</v>
      </c>
      <c r="P1267" s="6" t="s">
        <v>11108</v>
      </c>
      <c r="Q1267" s="6" t="s">
        <v>81</v>
      </c>
      <c r="R1267" s="6" t="s">
        <v>81</v>
      </c>
      <c r="S1267" s="6" t="s">
        <v>10886</v>
      </c>
      <c r="T1267" s="16" t="n">
        <v>38596</v>
      </c>
      <c r="U1267" s="6" t="s">
        <v>13241</v>
      </c>
      <c r="V1267" s="6" t="s">
        <v>81</v>
      </c>
      <c r="W1267" s="6" t="s">
        <v>81</v>
      </c>
      <c r="X1267" s="6" t="s">
        <v>81</v>
      </c>
      <c r="Y1267" s="21" t="s">
        <v>81</v>
      </c>
      <c r="Z1267" s="6" t="s">
        <v>81</v>
      </c>
      <c r="AA1267" s="6" t="s">
        <v>81</v>
      </c>
      <c r="AB1267" s="6" t="s">
        <v>81</v>
      </c>
      <c r="AC1267" s="6" t="s">
        <v>81</v>
      </c>
      <c r="AD1267" s="21" t="s">
        <v>81</v>
      </c>
      <c r="AE1267" s="6" t="s">
        <v>81</v>
      </c>
      <c r="AF1267" s="6" t="s">
        <v>81</v>
      </c>
      <c r="AG1267" s="6" t="s">
        <v>81</v>
      </c>
      <c r="AH1267" s="6" t="s">
        <v>15836</v>
      </c>
      <c r="AI1267" s="6" t="s">
        <v>81</v>
      </c>
      <c r="AJ1267" s="6" t="s">
        <v>17952</v>
      </c>
      <c r="AK1267" s="6" t="s">
        <v>18380</v>
      </c>
      <c r="AL1267" s="6" t="s">
        <v>18444</v>
      </c>
      <c r="AM1267" s="6" t="s">
        <v>19141</v>
      </c>
      <c r="AN1267" s="6" t="s">
        <v>19684</v>
      </c>
      <c r="AO1267" s="6" t="s">
        <v>19897</v>
      </c>
      <c r="AP1267" s="6" t="s">
        <v>15836</v>
      </c>
      <c r="AQ1267" s="6" t="s">
        <v>81</v>
      </c>
      <c r="AR1267" s="6" t="s">
        <v>17952</v>
      </c>
      <c r="AS1267" s="6" t="s">
        <v>18380</v>
      </c>
      <c r="AT1267" s="6" t="s">
        <v>18444</v>
      </c>
      <c r="AU1267" s="6" t="s">
        <v>19141</v>
      </c>
      <c r="AV1267" s="6" t="s">
        <v>81</v>
      </c>
      <c r="AW1267" s="6" t="s">
        <v>81</v>
      </c>
      <c r="AX1267" s="6" t="s">
        <v>81</v>
      </c>
      <c r="AY1267" s="6" t="s">
        <v>81</v>
      </c>
      <c r="AZ1267" s="6" t="s">
        <v>81</v>
      </c>
      <c r="BA1267" s="6" t="s">
        <v>81</v>
      </c>
      <c r="BB1267" s="24" t="n">
        <v>1307</v>
      </c>
      <c r="BC1267" s="26"/>
      <c r="BD1267" s="26"/>
      <c r="BE1267" s="26"/>
      <c r="BF1267" s="26"/>
      <c r="BG1267" s="26"/>
      <c r="BH1267" s="26"/>
      <c r="BI1267" s="26"/>
      <c r="BJ1267" s="26"/>
      <c r="BK1267" s="26"/>
      <c r="BL1267" s="26"/>
      <c r="BM1267" s="26"/>
      <c r="BN1267" s="26"/>
      <c r="BO1267" s="26"/>
      <c r="BP1267" s="16" t="n">
        <v>45684</v>
      </c>
      <c r="BQ1267" s="28" t="str">
        <f>HYPERLINK("https://organic.ams.usda.gov/Integrity/Certificate.aspx?cid=68&amp;nopid=8210001860")</f>
        <v>https://organic.ams.usda.gov/Integrity/Certificate.aspx?cid=68&amp;nopid=8210001860</v>
      </c>
    </row>
    <row r="1268">
      <c r="A1268" t="s">
        <v>3</v>
      </c>
      <c r="B1268" s="6" t="s">
        <v>7</v>
      </c>
      <c r="C1268" s="6" t="s">
        <v>54</v>
      </c>
      <c r="D1268" s="6" t="s">
        <v>100</v>
      </c>
      <c r="E1268" s="10" t="s">
        <v>1409</v>
      </c>
      <c r="F1268" s="6" t="s">
        <v>4135</v>
      </c>
      <c r="G1268" s="6" t="s">
        <v>81</v>
      </c>
      <c r="H1268" s="6" t="s">
        <v>7054</v>
      </c>
      <c r="I1268" s="6" t="s">
        <v>8511</v>
      </c>
      <c r="J1268" s="6" t="s">
        <v>9018</v>
      </c>
      <c r="K1268" s="6" t="s">
        <v>10886</v>
      </c>
      <c r="L1268" s="16" t="n">
        <v>43420</v>
      </c>
      <c r="M1268" s="16" t="n">
        <v>45716</v>
      </c>
      <c r="N1268" s="6" t="s">
        <v>10886</v>
      </c>
      <c r="O1268" s="16" t="n">
        <v>43420</v>
      </c>
      <c r="P1268" s="6" t="s">
        <v>11649</v>
      </c>
      <c r="Q1268" s="6" t="s">
        <v>81</v>
      </c>
      <c r="R1268" s="6" t="s">
        <v>81</v>
      </c>
      <c r="S1268" s="6" t="s">
        <v>10886</v>
      </c>
      <c r="T1268" s="16" t="n">
        <v>43600</v>
      </c>
      <c r="U1268" s="6" t="s">
        <v>13169</v>
      </c>
      <c r="V1268" s="6" t="s">
        <v>81</v>
      </c>
      <c r="W1268" s="6" t="s">
        <v>81</v>
      </c>
      <c r="X1268" s="6" t="s">
        <v>81</v>
      </c>
      <c r="Y1268" s="21" t="s">
        <v>81</v>
      </c>
      <c r="Z1268" s="6" t="s">
        <v>81</v>
      </c>
      <c r="AA1268" s="6" t="s">
        <v>81</v>
      </c>
      <c r="AB1268" s="6" t="s">
        <v>81</v>
      </c>
      <c r="AC1268" s="6" t="s">
        <v>81</v>
      </c>
      <c r="AD1268" s="21" t="s">
        <v>81</v>
      </c>
      <c r="AE1268" s="6" t="s">
        <v>81</v>
      </c>
      <c r="AF1268" s="6" t="s">
        <v>81</v>
      </c>
      <c r="AG1268" s="6" t="s">
        <v>81</v>
      </c>
      <c r="AH1268" s="6" t="s">
        <v>15837</v>
      </c>
      <c r="AI1268" s="6" t="s">
        <v>81</v>
      </c>
      <c r="AJ1268" s="6" t="s">
        <v>17953</v>
      </c>
      <c r="AK1268" s="6" t="s">
        <v>17712</v>
      </c>
      <c r="AL1268" s="6" t="s">
        <v>18444</v>
      </c>
      <c r="AM1268" s="6" t="s">
        <v>19142</v>
      </c>
      <c r="AN1268" s="6" t="s">
        <v>8233</v>
      </c>
      <c r="AO1268" s="6" t="s">
        <v>19877</v>
      </c>
      <c r="AP1268" s="6" t="s">
        <v>15837</v>
      </c>
      <c r="AQ1268" s="6" t="s">
        <v>81</v>
      </c>
      <c r="AR1268" s="6" t="s">
        <v>17953</v>
      </c>
      <c r="AS1268" s="6" t="s">
        <v>17712</v>
      </c>
      <c r="AT1268" s="6" t="s">
        <v>18444</v>
      </c>
      <c r="AU1268" s="6" t="s">
        <v>19142</v>
      </c>
      <c r="AV1268" s="6" t="s">
        <v>81</v>
      </c>
      <c r="AW1268" s="6" t="s">
        <v>81</v>
      </c>
      <c r="AX1268" s="6" t="s">
        <v>21537</v>
      </c>
      <c r="AY1268" s="6" t="s">
        <v>23030</v>
      </c>
      <c r="AZ1268" s="6" t="s">
        <v>81</v>
      </c>
      <c r="BA1268" s="6" t="s">
        <v>81</v>
      </c>
      <c r="BB1268" s="24" t="n">
        <v>334</v>
      </c>
      <c r="BC1268" s="26"/>
      <c r="BD1268" s="26"/>
      <c r="BE1268" s="26"/>
      <c r="BF1268" s="26" t="s">
        <v>23900</v>
      </c>
      <c r="BG1268" s="26"/>
      <c r="BH1268" s="26"/>
      <c r="BI1268" s="26"/>
      <c r="BJ1268" s="26"/>
      <c r="BK1268" s="26"/>
      <c r="BL1268" s="26"/>
      <c r="BM1268" s="26"/>
      <c r="BN1268" s="26"/>
      <c r="BO1268" s="26"/>
      <c r="BP1268" s="16" t="n">
        <v>45595</v>
      </c>
      <c r="BQ1268" s="28" t="str">
        <f>HYPERLINK("https://organic.ams.usda.gov/Integrity/Certificate.aspx?cid=57&amp;nopid=3252018071")</f>
        <v>https://organic.ams.usda.gov/Integrity/Certificate.aspx?cid=57&amp;nopid=3252018071</v>
      </c>
    </row>
    <row r="1269">
      <c r="A1269" t="s">
        <v>3</v>
      </c>
      <c r="B1269" s="6" t="s">
        <v>23</v>
      </c>
      <c r="C1269" s="6" t="s">
        <v>70</v>
      </c>
      <c r="D1269" s="6" t="s">
        <v>116</v>
      </c>
      <c r="E1269" s="10" t="s">
        <v>1410</v>
      </c>
      <c r="F1269" s="6" t="s">
        <v>4136</v>
      </c>
      <c r="G1269" s="6" t="s">
        <v>81</v>
      </c>
      <c r="H1269" s="6" t="s">
        <v>7055</v>
      </c>
      <c r="I1269" s="6" t="s">
        <v>9069</v>
      </c>
      <c r="J1269" s="6" t="s">
        <v>10017</v>
      </c>
      <c r="K1269" s="6" t="s">
        <v>10886</v>
      </c>
      <c r="L1269" s="16" t="n">
        <v>42447</v>
      </c>
      <c r="M1269" s="16" t="n">
        <v>46099</v>
      </c>
      <c r="N1269" s="6" t="s">
        <v>10886</v>
      </c>
      <c r="O1269" s="16" t="n">
        <v>42447</v>
      </c>
      <c r="P1269" s="6" t="s">
        <v>11650</v>
      </c>
      <c r="Q1269" s="6" t="s">
        <v>81</v>
      </c>
      <c r="R1269" s="6" t="s">
        <v>12767</v>
      </c>
      <c r="S1269" s="6" t="s">
        <v>10886</v>
      </c>
      <c r="T1269" s="16" t="n">
        <v>42447</v>
      </c>
      <c r="U1269" s="6" t="s">
        <v>13343</v>
      </c>
      <c r="V1269" s="6" t="s">
        <v>81</v>
      </c>
      <c r="W1269" s="6" t="s">
        <v>12767</v>
      </c>
      <c r="X1269" s="6" t="s">
        <v>81</v>
      </c>
      <c r="Y1269" s="21" t="s">
        <v>81</v>
      </c>
      <c r="Z1269" s="6" t="s">
        <v>81</v>
      </c>
      <c r="AA1269" s="6" t="s">
        <v>81</v>
      </c>
      <c r="AB1269" s="6" t="s">
        <v>81</v>
      </c>
      <c r="AC1269" s="6" t="s">
        <v>81</v>
      </c>
      <c r="AD1269" s="21" t="s">
        <v>81</v>
      </c>
      <c r="AE1269" s="6" t="s">
        <v>81</v>
      </c>
      <c r="AF1269" s="6" t="s">
        <v>81</v>
      </c>
      <c r="AG1269" s="6" t="s">
        <v>81</v>
      </c>
      <c r="AH1269" s="6" t="s">
        <v>15838</v>
      </c>
      <c r="AI1269" s="6" t="s">
        <v>81</v>
      </c>
      <c r="AJ1269" s="6" t="s">
        <v>17954</v>
      </c>
      <c r="AK1269" s="6" t="s">
        <v>18386</v>
      </c>
      <c r="AL1269" s="6" t="s">
        <v>18444</v>
      </c>
      <c r="AM1269" s="6" t="s">
        <v>18725</v>
      </c>
      <c r="AN1269" s="6" t="s">
        <v>81</v>
      </c>
      <c r="AO1269" s="6" t="s">
        <v>81</v>
      </c>
      <c r="AP1269" s="6" t="s">
        <v>15838</v>
      </c>
      <c r="AQ1269" s="6" t="s">
        <v>81</v>
      </c>
      <c r="AR1269" s="6" t="s">
        <v>17954</v>
      </c>
      <c r="AS1269" s="6" t="s">
        <v>18386</v>
      </c>
      <c r="AT1269" s="6" t="s">
        <v>18444</v>
      </c>
      <c r="AU1269" s="6" t="s">
        <v>18725</v>
      </c>
      <c r="AV1269" s="6" t="s">
        <v>19672</v>
      </c>
      <c r="AW1269" s="6" t="s">
        <v>19787</v>
      </c>
      <c r="AX1269" s="6" t="s">
        <v>21538</v>
      </c>
      <c r="AY1269" s="6" t="s">
        <v>23031</v>
      </c>
      <c r="AZ1269" s="6" t="s">
        <v>81</v>
      </c>
      <c r="BA1269" s="6" t="s">
        <v>81</v>
      </c>
      <c r="BB1269" s="24" t="n">
        <v>1002</v>
      </c>
      <c r="BC1269" s="26"/>
      <c r="BD1269" s="26"/>
      <c r="BE1269" s="26"/>
      <c r="BF1269" s="26"/>
      <c r="BG1269" s="26"/>
      <c r="BH1269" s="26"/>
      <c r="BI1269" s="26"/>
      <c r="BJ1269" s="26"/>
      <c r="BK1269" s="26"/>
      <c r="BL1269" s="26"/>
      <c r="BM1269" s="26"/>
      <c r="BN1269" s="26"/>
      <c r="BO1269" s="26"/>
      <c r="BP1269" s="16" t="n">
        <v>45665</v>
      </c>
      <c r="BQ1269" s="28" t="str">
        <f>HYPERLINK("https://organic.ams.usda.gov/Integrity/Certificate.aspx?cid=63&amp;nopid=6220006983")</f>
        <v>https://organic.ams.usda.gov/Integrity/Certificate.aspx?cid=63&amp;nopid=6220006983</v>
      </c>
    </row>
    <row r="1270">
      <c r="A1270" t="s">
        <v>3</v>
      </c>
      <c r="B1270" s="6" t="s">
        <v>16</v>
      </c>
      <c r="C1270" s="6" t="s">
        <v>63</v>
      </c>
      <c r="D1270" s="6" t="s">
        <v>109</v>
      </c>
      <c r="E1270" s="10" t="s">
        <v>1411</v>
      </c>
      <c r="F1270" s="6" t="s">
        <v>4137</v>
      </c>
      <c r="G1270" s="6" t="s">
        <v>81</v>
      </c>
      <c r="H1270" s="6" t="s">
        <v>7056</v>
      </c>
      <c r="I1270" s="6" t="s">
        <v>9070</v>
      </c>
      <c r="J1270" s="6" t="s">
        <v>10289</v>
      </c>
      <c r="K1270" s="6" t="s">
        <v>10886</v>
      </c>
      <c r="L1270" s="16" t="n">
        <v>42993</v>
      </c>
      <c r="M1270" s="16" t="n">
        <v>45731</v>
      </c>
      <c r="N1270" s="6" t="s">
        <v>10886</v>
      </c>
      <c r="O1270" s="16" t="n">
        <v>42993</v>
      </c>
      <c r="P1270" s="6" t="s">
        <v>11564</v>
      </c>
      <c r="Q1270" s="6" t="s">
        <v>81</v>
      </c>
      <c r="R1270" s="6" t="s">
        <v>81</v>
      </c>
      <c r="S1270" s="6" t="s">
        <v>10886</v>
      </c>
      <c r="T1270" s="16" t="n">
        <v>42993</v>
      </c>
      <c r="U1270" s="6" t="s">
        <v>13551</v>
      </c>
      <c r="V1270" s="6" t="s">
        <v>81</v>
      </c>
      <c r="W1270" s="6" t="s">
        <v>81</v>
      </c>
      <c r="X1270" s="6" t="s">
        <v>81</v>
      </c>
      <c r="Y1270" s="21" t="s">
        <v>81</v>
      </c>
      <c r="Z1270" s="6" t="s">
        <v>81</v>
      </c>
      <c r="AA1270" s="6" t="s">
        <v>81</v>
      </c>
      <c r="AB1270" s="6" t="s">
        <v>81</v>
      </c>
      <c r="AC1270" s="6" t="s">
        <v>10886</v>
      </c>
      <c r="AD1270" s="16" t="n">
        <v>42993</v>
      </c>
      <c r="AE1270" s="6" t="s">
        <v>81</v>
      </c>
      <c r="AF1270" s="6" t="s">
        <v>81</v>
      </c>
      <c r="AG1270" s="6" t="s">
        <v>81</v>
      </c>
      <c r="AH1270" s="6" t="s">
        <v>15839</v>
      </c>
      <c r="AI1270" s="6" t="s">
        <v>81</v>
      </c>
      <c r="AJ1270" s="6" t="s">
        <v>17955</v>
      </c>
      <c r="AK1270" s="6" t="s">
        <v>18383</v>
      </c>
      <c r="AL1270" s="6" t="s">
        <v>18444</v>
      </c>
      <c r="AM1270" s="6" t="s">
        <v>18660</v>
      </c>
      <c r="AN1270" s="6" t="s">
        <v>19683</v>
      </c>
      <c r="AO1270" s="6" t="s">
        <v>19751</v>
      </c>
      <c r="AP1270" s="6" t="s">
        <v>15839</v>
      </c>
      <c r="AQ1270" s="6" t="s">
        <v>81</v>
      </c>
      <c r="AR1270" s="6" t="s">
        <v>17499</v>
      </c>
      <c r="AS1270" s="6" t="s">
        <v>18383</v>
      </c>
      <c r="AT1270" s="6" t="s">
        <v>18444</v>
      </c>
      <c r="AU1270" s="6" t="s">
        <v>18660</v>
      </c>
      <c r="AV1270" s="6" t="s">
        <v>81</v>
      </c>
      <c r="AW1270" s="6" t="s">
        <v>81</v>
      </c>
      <c r="AX1270" s="6" t="s">
        <v>21539</v>
      </c>
      <c r="AY1270" s="6" t="s">
        <v>81</v>
      </c>
      <c r="AZ1270" s="6" t="s">
        <v>81</v>
      </c>
      <c r="BA1270" s="6" t="s">
        <v>81</v>
      </c>
      <c r="BB1270" s="24" t="n">
        <v>627</v>
      </c>
      <c r="BC1270" s="26"/>
      <c r="BD1270" s="26"/>
      <c r="BE1270" s="26"/>
      <c r="BF1270" s="26"/>
      <c r="BG1270" s="26"/>
      <c r="BH1270" s="26"/>
      <c r="BI1270" s="26"/>
      <c r="BJ1270" s="26"/>
      <c r="BK1270" s="26"/>
      <c r="BL1270" s="26"/>
      <c r="BM1270" s="26"/>
      <c r="BN1270" s="26"/>
      <c r="BO1270" s="26"/>
      <c r="BP1270" s="16" t="n">
        <v>45701</v>
      </c>
      <c r="BQ1270" s="28" t="str">
        <f>HYPERLINK("https://organic.ams.usda.gov/Integrity/Certificate.aspx?cid=81&amp;nopid=4213724377")</f>
        <v>https://organic.ams.usda.gov/Integrity/Certificate.aspx?cid=81&amp;nopid=4213724377</v>
      </c>
    </row>
    <row r="1271">
      <c r="A1271" t="s">
        <v>3</v>
      </c>
      <c r="B1271" s="6" t="s">
        <v>9</v>
      </c>
      <c r="C1271" s="6" t="s">
        <v>56</v>
      </c>
      <c r="D1271" s="6" t="s">
        <v>102</v>
      </c>
      <c r="E1271" s="10" t="s">
        <v>1412</v>
      </c>
      <c r="F1271" s="6" t="s">
        <v>4138</v>
      </c>
      <c r="G1271" s="6" t="s">
        <v>81</v>
      </c>
      <c r="H1271" s="6" t="s">
        <v>7057</v>
      </c>
      <c r="I1271" s="6" t="s">
        <v>9071</v>
      </c>
      <c r="J1271" s="6" t="s">
        <v>10290</v>
      </c>
      <c r="K1271" s="6" t="s">
        <v>10886</v>
      </c>
      <c r="L1271" s="16" t="n">
        <v>42373</v>
      </c>
      <c r="M1271" s="16" t="n">
        <v>45748</v>
      </c>
      <c r="N1271" s="6" t="s">
        <v>10886</v>
      </c>
      <c r="O1271" s="16" t="n">
        <v>42373</v>
      </c>
      <c r="P1271" s="6" t="s">
        <v>10918</v>
      </c>
      <c r="Q1271" s="6" t="s">
        <v>81</v>
      </c>
      <c r="R1271" s="6" t="s">
        <v>12768</v>
      </c>
      <c r="S1271" s="6" t="s">
        <v>10886</v>
      </c>
      <c r="T1271" s="16" t="n">
        <v>42373</v>
      </c>
      <c r="U1271" s="6" t="s">
        <v>13354</v>
      </c>
      <c r="V1271" s="6" t="s">
        <v>81</v>
      </c>
      <c r="W1271" s="6" t="s">
        <v>12768</v>
      </c>
      <c r="X1271" s="6" t="s">
        <v>81</v>
      </c>
      <c r="Y1271" s="21" t="s">
        <v>81</v>
      </c>
      <c r="Z1271" s="6" t="s">
        <v>81</v>
      </c>
      <c r="AA1271" s="6" t="s">
        <v>81</v>
      </c>
      <c r="AB1271" s="6" t="s">
        <v>81</v>
      </c>
      <c r="AC1271" s="6" t="s">
        <v>81</v>
      </c>
      <c r="AD1271" s="21" t="s">
        <v>81</v>
      </c>
      <c r="AE1271" s="6" t="s">
        <v>81</v>
      </c>
      <c r="AF1271" s="6" t="s">
        <v>81</v>
      </c>
      <c r="AG1271" s="6" t="s">
        <v>81</v>
      </c>
      <c r="AH1271" s="6" t="s">
        <v>15840</v>
      </c>
      <c r="AI1271" s="6" t="s">
        <v>81</v>
      </c>
      <c r="AJ1271" s="6" t="s">
        <v>17956</v>
      </c>
      <c r="AK1271" s="6" t="s">
        <v>18377</v>
      </c>
      <c r="AL1271" s="6" t="s">
        <v>18444</v>
      </c>
      <c r="AM1271" s="6" t="s">
        <v>19143</v>
      </c>
      <c r="AN1271" s="6" t="s">
        <v>19661</v>
      </c>
      <c r="AO1271" s="6" t="s">
        <v>19761</v>
      </c>
      <c r="AP1271" s="6" t="s">
        <v>81</v>
      </c>
      <c r="AQ1271" s="6" t="s">
        <v>81</v>
      </c>
      <c r="AR1271" s="6" t="s">
        <v>81</v>
      </c>
      <c r="AS1271" s="6" t="s">
        <v>81</v>
      </c>
      <c r="AT1271" s="6" t="s">
        <v>81</v>
      </c>
      <c r="AU1271" s="6" t="s">
        <v>81</v>
      </c>
      <c r="AV1271" s="6" t="s">
        <v>81</v>
      </c>
      <c r="AW1271" s="6" t="s">
        <v>81</v>
      </c>
      <c r="AX1271" s="6" t="s">
        <v>21540</v>
      </c>
      <c r="AY1271" s="6" t="s">
        <v>23032</v>
      </c>
      <c r="AZ1271" s="6" t="s">
        <v>81</v>
      </c>
      <c r="BA1271" s="6" t="s">
        <v>81</v>
      </c>
      <c r="BB1271" s="24" t="n">
        <v>600</v>
      </c>
      <c r="BC1271" s="26"/>
      <c r="BD1271" s="26"/>
      <c r="BE1271" s="26"/>
      <c r="BF1271" s="26"/>
      <c r="BG1271" s="26"/>
      <c r="BH1271" s="26"/>
      <c r="BI1271" s="26"/>
      <c r="BJ1271" s="26"/>
      <c r="BK1271" s="26"/>
      <c r="BL1271" s="26"/>
      <c r="BM1271" s="26"/>
      <c r="BN1271" s="26"/>
      <c r="BO1271" s="26"/>
      <c r="BP1271" s="16" t="n">
        <v>45738</v>
      </c>
      <c r="BQ1271" s="28" t="str">
        <f>HYPERLINK("https://organic.ams.usda.gov/Integrity/Certificate.aspx?cid=52&amp;nopid=8431601138")</f>
        <v>https://organic.ams.usda.gov/Integrity/Certificate.aspx?cid=52&amp;nopid=8431601138</v>
      </c>
    </row>
    <row r="1272">
      <c r="A1272" t="s">
        <v>3</v>
      </c>
      <c r="B1272" s="6" t="s">
        <v>23</v>
      </c>
      <c r="C1272" s="6" t="s">
        <v>70</v>
      </c>
      <c r="D1272" s="6" t="s">
        <v>116</v>
      </c>
      <c r="E1272" s="10" t="s">
        <v>1413</v>
      </c>
      <c r="F1272" s="6" t="s">
        <v>4139</v>
      </c>
      <c r="G1272" s="6" t="s">
        <v>81</v>
      </c>
      <c r="H1272" s="6" t="s">
        <v>7058</v>
      </c>
      <c r="I1272" s="6" t="s">
        <v>8851</v>
      </c>
      <c r="J1272" s="6" t="s">
        <v>10291</v>
      </c>
      <c r="K1272" s="6" t="s">
        <v>10886</v>
      </c>
      <c r="L1272" s="16" t="n">
        <v>45518</v>
      </c>
      <c r="M1272" s="16" t="n">
        <v>45883</v>
      </c>
      <c r="N1272" s="6" t="s">
        <v>10886</v>
      </c>
      <c r="O1272" s="16" t="n">
        <v>45518</v>
      </c>
      <c r="P1272" s="6" t="s">
        <v>11651</v>
      </c>
      <c r="Q1272" s="6" t="s">
        <v>81</v>
      </c>
      <c r="R1272" s="6" t="s">
        <v>12769</v>
      </c>
      <c r="S1272" s="6" t="s">
        <v>10886</v>
      </c>
      <c r="T1272" s="16" t="n">
        <v>45518</v>
      </c>
      <c r="U1272" s="6" t="s">
        <v>13232</v>
      </c>
      <c r="V1272" s="6" t="s">
        <v>81</v>
      </c>
      <c r="W1272" s="6" t="s">
        <v>12769</v>
      </c>
      <c r="X1272" s="6" t="s">
        <v>81</v>
      </c>
      <c r="Y1272" s="21" t="s">
        <v>81</v>
      </c>
      <c r="Z1272" s="6" t="s">
        <v>81</v>
      </c>
      <c r="AA1272" s="6" t="s">
        <v>81</v>
      </c>
      <c r="AB1272" s="6" t="s">
        <v>81</v>
      </c>
      <c r="AC1272" s="6" t="s">
        <v>81</v>
      </c>
      <c r="AD1272" s="21" t="s">
        <v>81</v>
      </c>
      <c r="AE1272" s="6" t="s">
        <v>81</v>
      </c>
      <c r="AF1272" s="6" t="s">
        <v>81</v>
      </c>
      <c r="AG1272" s="6" t="s">
        <v>81</v>
      </c>
      <c r="AH1272" s="6" t="s">
        <v>15841</v>
      </c>
      <c r="AI1272" s="6" t="s">
        <v>81</v>
      </c>
      <c r="AJ1272" s="6" t="s">
        <v>17957</v>
      </c>
      <c r="AK1272" s="6" t="s">
        <v>18393</v>
      </c>
      <c r="AL1272" s="6" t="s">
        <v>18444</v>
      </c>
      <c r="AM1272" s="6" t="s">
        <v>19144</v>
      </c>
      <c r="AN1272" s="6" t="s">
        <v>81</v>
      </c>
      <c r="AO1272" s="6" t="s">
        <v>81</v>
      </c>
      <c r="AP1272" s="6" t="s">
        <v>81</v>
      </c>
      <c r="AQ1272" s="6" t="s">
        <v>81</v>
      </c>
      <c r="AR1272" s="6" t="s">
        <v>81</v>
      </c>
      <c r="AS1272" s="6" t="s">
        <v>81</v>
      </c>
      <c r="AT1272" s="6" t="s">
        <v>81</v>
      </c>
      <c r="AU1272" s="6" t="s">
        <v>81</v>
      </c>
      <c r="AV1272" s="6" t="s">
        <v>81</v>
      </c>
      <c r="AW1272" s="6" t="s">
        <v>81</v>
      </c>
      <c r="AX1272" s="6" t="s">
        <v>21541</v>
      </c>
      <c r="AY1272" s="6" t="s">
        <v>23033</v>
      </c>
      <c r="AZ1272" s="6" t="s">
        <v>81</v>
      </c>
      <c r="BA1272" s="6" t="s">
        <v>81</v>
      </c>
      <c r="BB1272" s="24" t="n">
        <v>1418</v>
      </c>
      <c r="BC1272" s="26"/>
      <c r="BD1272" s="26"/>
      <c r="BE1272" s="26"/>
      <c r="BF1272" s="26"/>
      <c r="BG1272" s="26"/>
      <c r="BH1272" s="26"/>
      <c r="BI1272" s="26"/>
      <c r="BJ1272" s="26"/>
      <c r="BK1272" s="26"/>
      <c r="BL1272" s="26"/>
      <c r="BM1272" s="26"/>
      <c r="BN1272" s="26"/>
      <c r="BO1272" s="26"/>
      <c r="BP1272" s="16" t="n">
        <v>45519</v>
      </c>
      <c r="BQ1272" s="28" t="str">
        <f>HYPERLINK("https://organic.ams.usda.gov/Integrity/Certificate.aspx?cid=63&amp;nopid=6227233652")</f>
        <v>https://organic.ams.usda.gov/Integrity/Certificate.aspx?cid=63&amp;nopid=6227233652</v>
      </c>
    </row>
    <row r="1273">
      <c r="A1273" t="s">
        <v>3</v>
      </c>
      <c r="B1273" s="6" t="s">
        <v>10</v>
      </c>
      <c r="C1273" s="6" t="s">
        <v>57</v>
      </c>
      <c r="D1273" s="6" t="s">
        <v>103</v>
      </c>
      <c r="E1273" s="10" t="s">
        <v>1414</v>
      </c>
      <c r="F1273" s="6" t="s">
        <v>4140</v>
      </c>
      <c r="G1273" s="6" t="s">
        <v>81</v>
      </c>
      <c r="H1273" s="6" t="s">
        <v>7059</v>
      </c>
      <c r="I1273" s="6" t="s">
        <v>8513</v>
      </c>
      <c r="J1273" s="6" t="s">
        <v>9671</v>
      </c>
      <c r="K1273" s="6" t="s">
        <v>10886</v>
      </c>
      <c r="L1273" s="16" t="n">
        <v>40899</v>
      </c>
      <c r="M1273" s="16" t="n">
        <v>45748</v>
      </c>
      <c r="N1273" s="6" t="s">
        <v>10886</v>
      </c>
      <c r="O1273" s="16" t="n">
        <v>40899</v>
      </c>
      <c r="P1273" s="6" t="s">
        <v>11652</v>
      </c>
      <c r="Q1273" s="6" t="s">
        <v>81</v>
      </c>
      <c r="R1273" s="6" t="s">
        <v>12770</v>
      </c>
      <c r="S1273" s="6" t="s">
        <v>10886</v>
      </c>
      <c r="T1273" s="16" t="n">
        <v>40899</v>
      </c>
      <c r="U1273" s="6" t="s">
        <v>13163</v>
      </c>
      <c r="V1273" s="6" t="s">
        <v>81</v>
      </c>
      <c r="W1273" s="6" t="s">
        <v>81</v>
      </c>
      <c r="X1273" s="6" t="s">
        <v>81</v>
      </c>
      <c r="Y1273" s="21" t="s">
        <v>81</v>
      </c>
      <c r="Z1273" s="6" t="s">
        <v>81</v>
      </c>
      <c r="AA1273" s="6" t="s">
        <v>81</v>
      </c>
      <c r="AB1273" s="6" t="s">
        <v>81</v>
      </c>
      <c r="AC1273" s="6" t="s">
        <v>81</v>
      </c>
      <c r="AD1273" s="21" t="s">
        <v>81</v>
      </c>
      <c r="AE1273" s="6" t="s">
        <v>81</v>
      </c>
      <c r="AF1273" s="6" t="s">
        <v>81</v>
      </c>
      <c r="AG1273" s="6" t="s">
        <v>81</v>
      </c>
      <c r="AH1273" s="6" t="s">
        <v>15842</v>
      </c>
      <c r="AI1273" s="6" t="s">
        <v>81</v>
      </c>
      <c r="AJ1273" s="6" t="s">
        <v>17318</v>
      </c>
      <c r="AK1273" s="6" t="s">
        <v>18379</v>
      </c>
      <c r="AL1273" s="6" t="s">
        <v>18444</v>
      </c>
      <c r="AM1273" s="6" t="s">
        <v>18470</v>
      </c>
      <c r="AN1273" s="6" t="s">
        <v>6842</v>
      </c>
      <c r="AO1273" s="6" t="s">
        <v>19781</v>
      </c>
      <c r="AP1273" s="6" t="s">
        <v>15842</v>
      </c>
      <c r="AQ1273" s="6" t="s">
        <v>81</v>
      </c>
      <c r="AR1273" s="6" t="s">
        <v>17318</v>
      </c>
      <c r="AS1273" s="6" t="s">
        <v>18379</v>
      </c>
      <c r="AT1273" s="6" t="s">
        <v>18444</v>
      </c>
      <c r="AU1273" s="6" t="s">
        <v>18470</v>
      </c>
      <c r="AV1273" s="6" t="s">
        <v>81</v>
      </c>
      <c r="AW1273" s="6" t="s">
        <v>81</v>
      </c>
      <c r="AX1273" s="6" t="s">
        <v>21542</v>
      </c>
      <c r="AY1273" s="6" t="s">
        <v>81</v>
      </c>
      <c r="AZ1273" s="6" t="s">
        <v>81</v>
      </c>
      <c r="BA1273" s="6" t="s">
        <v>81</v>
      </c>
      <c r="BB1273" s="24" t="n">
        <v>116</v>
      </c>
      <c r="BC1273" s="26"/>
      <c r="BD1273" s="26"/>
      <c r="BE1273" s="26"/>
      <c r="BF1273" s="26"/>
      <c r="BG1273" s="26"/>
      <c r="BH1273" s="26"/>
      <c r="BI1273" s="26"/>
      <c r="BJ1273" s="26"/>
      <c r="BK1273" s="26"/>
      <c r="BL1273" s="26"/>
      <c r="BM1273" s="26"/>
      <c r="BN1273" s="26"/>
      <c r="BO1273" s="26"/>
      <c r="BP1273" s="16" t="n">
        <v>45730</v>
      </c>
      <c r="BQ1273" s="28" t="str">
        <f>HYPERLINK("https://organic.ams.usda.gov/Integrity/Certificate.aspx?cid=90&amp;nopid=7170230676")</f>
        <v>https://organic.ams.usda.gov/Integrity/Certificate.aspx?cid=90&amp;nopid=7170230676</v>
      </c>
    </row>
    <row r="1274">
      <c r="A1274" t="s">
        <v>3</v>
      </c>
      <c r="B1274" s="6" t="s">
        <v>29</v>
      </c>
      <c r="C1274" s="6" t="s">
        <v>76</v>
      </c>
      <c r="D1274" s="6" t="s">
        <v>122</v>
      </c>
      <c r="E1274" s="10" t="s">
        <v>1415</v>
      </c>
      <c r="F1274" s="6" t="s">
        <v>4141</v>
      </c>
      <c r="G1274" s="6" t="s">
        <v>5709</v>
      </c>
      <c r="H1274" s="6" t="s">
        <v>7060</v>
      </c>
      <c r="I1274" s="6" t="s">
        <v>8851</v>
      </c>
      <c r="J1274" s="6" t="s">
        <v>10292</v>
      </c>
      <c r="K1274" s="6" t="s">
        <v>10886</v>
      </c>
      <c r="L1274" s="16" t="n">
        <v>36739</v>
      </c>
      <c r="M1274" s="16" t="n">
        <v>45505</v>
      </c>
      <c r="N1274" s="6" t="s">
        <v>10886</v>
      </c>
      <c r="O1274" s="16" t="n">
        <v>36739</v>
      </c>
      <c r="P1274" s="6" t="s">
        <v>11653</v>
      </c>
      <c r="Q1274" s="6" t="s">
        <v>81</v>
      </c>
      <c r="R1274" s="6" t="s">
        <v>12771</v>
      </c>
      <c r="S1274" s="6" t="s">
        <v>10886</v>
      </c>
      <c r="T1274" s="16" t="n">
        <v>36739</v>
      </c>
      <c r="U1274" s="6" t="s">
        <v>13584</v>
      </c>
      <c r="V1274" s="6" t="s">
        <v>81</v>
      </c>
      <c r="W1274" s="6" t="s">
        <v>12771</v>
      </c>
      <c r="X1274" s="6" t="s">
        <v>81</v>
      </c>
      <c r="Y1274" s="21" t="s">
        <v>81</v>
      </c>
      <c r="Z1274" s="6" t="s">
        <v>81</v>
      </c>
      <c r="AA1274" s="6" t="s">
        <v>81</v>
      </c>
      <c r="AB1274" s="6" t="s">
        <v>81</v>
      </c>
      <c r="AC1274" s="6" t="s">
        <v>81</v>
      </c>
      <c r="AD1274" s="21" t="s">
        <v>81</v>
      </c>
      <c r="AE1274" s="6" t="s">
        <v>81</v>
      </c>
      <c r="AF1274" s="6" t="s">
        <v>81</v>
      </c>
      <c r="AG1274" s="6" t="s">
        <v>81</v>
      </c>
      <c r="AH1274" s="6" t="s">
        <v>15843</v>
      </c>
      <c r="AI1274" s="6" t="s">
        <v>81</v>
      </c>
      <c r="AJ1274" s="6" t="s">
        <v>17958</v>
      </c>
      <c r="AK1274" s="6" t="s">
        <v>18378</v>
      </c>
      <c r="AL1274" s="6" t="s">
        <v>18444</v>
      </c>
      <c r="AM1274" s="6" t="s">
        <v>19145</v>
      </c>
      <c r="AN1274" s="6" t="s">
        <v>19654</v>
      </c>
      <c r="AO1274" s="6" t="s">
        <v>19985</v>
      </c>
      <c r="AP1274" s="6" t="s">
        <v>81</v>
      </c>
      <c r="AQ1274" s="6" t="s">
        <v>81</v>
      </c>
      <c r="AR1274" s="6" t="s">
        <v>81</v>
      </c>
      <c r="AS1274" s="6" t="s">
        <v>81</v>
      </c>
      <c r="AT1274" s="6" t="s">
        <v>81</v>
      </c>
      <c r="AU1274" s="6" t="s">
        <v>81</v>
      </c>
      <c r="AV1274" s="6" t="s">
        <v>81</v>
      </c>
      <c r="AW1274" s="6" t="s">
        <v>81</v>
      </c>
      <c r="AX1274" s="6" t="s">
        <v>21543</v>
      </c>
      <c r="AY1274" s="6" t="s">
        <v>23034</v>
      </c>
      <c r="AZ1274" s="6" t="s">
        <v>81</v>
      </c>
      <c r="BA1274" s="6" t="s">
        <v>81</v>
      </c>
      <c r="BB1274" s="24" t="n">
        <v>364</v>
      </c>
      <c r="BC1274" s="26"/>
      <c r="BD1274" s="26"/>
      <c r="BE1274" s="26"/>
      <c r="BF1274" s="26" t="s">
        <v>23900</v>
      </c>
      <c r="BG1274" s="26"/>
      <c r="BH1274" s="26"/>
      <c r="BI1274" s="26"/>
      <c r="BJ1274" s="26"/>
      <c r="BK1274" s="26"/>
      <c r="BL1274" s="26"/>
      <c r="BM1274" s="26"/>
      <c r="BN1274" s="26"/>
      <c r="BO1274" s="26"/>
      <c r="BP1274" s="16" t="n">
        <v>45737</v>
      </c>
      <c r="BQ1274" s="28" t="str">
        <f>HYPERLINK("https://organic.ams.usda.gov/Integrity/Certificate.aspx?cid=31&amp;nopid=3920897049")</f>
        <v>https://organic.ams.usda.gov/Integrity/Certificate.aspx?cid=31&amp;nopid=3920897049</v>
      </c>
    </row>
    <row r="1275">
      <c r="A1275" t="s">
        <v>3</v>
      </c>
      <c r="B1275" s="6" t="s">
        <v>8</v>
      </c>
      <c r="C1275" s="6" t="s">
        <v>55</v>
      </c>
      <c r="D1275" s="6" t="s">
        <v>101</v>
      </c>
      <c r="E1275" s="10" t="s">
        <v>1416</v>
      </c>
      <c r="F1275" s="6" t="s">
        <v>4142</v>
      </c>
      <c r="G1275" s="6" t="s">
        <v>81</v>
      </c>
      <c r="H1275" s="6" t="s">
        <v>7061</v>
      </c>
      <c r="I1275" s="6" t="s">
        <v>8851</v>
      </c>
      <c r="J1275" s="6" t="s">
        <v>10246</v>
      </c>
      <c r="K1275" s="6" t="s">
        <v>10886</v>
      </c>
      <c r="L1275" s="16" t="n">
        <v>37466</v>
      </c>
      <c r="M1275" s="16" t="n">
        <v>45689</v>
      </c>
      <c r="N1275" s="6" t="s">
        <v>10886</v>
      </c>
      <c r="O1275" s="16" t="n">
        <v>37466</v>
      </c>
      <c r="P1275" s="6" t="s">
        <v>11654</v>
      </c>
      <c r="Q1275" s="6" t="s">
        <v>81</v>
      </c>
      <c r="R1275" s="6" t="s">
        <v>7061</v>
      </c>
      <c r="S1275" s="6" t="s">
        <v>10886</v>
      </c>
      <c r="T1275" s="16" t="n">
        <v>37466</v>
      </c>
      <c r="U1275" s="6" t="s">
        <v>13179</v>
      </c>
      <c r="V1275" s="6" t="s">
        <v>81</v>
      </c>
      <c r="W1275" s="6" t="s">
        <v>7061</v>
      </c>
      <c r="X1275" s="6" t="s">
        <v>81</v>
      </c>
      <c r="Y1275" s="21" t="s">
        <v>81</v>
      </c>
      <c r="Z1275" s="6" t="s">
        <v>81</v>
      </c>
      <c r="AA1275" s="6" t="s">
        <v>81</v>
      </c>
      <c r="AB1275" s="6" t="s">
        <v>81</v>
      </c>
      <c r="AC1275" s="6" t="s">
        <v>81</v>
      </c>
      <c r="AD1275" s="21" t="s">
        <v>81</v>
      </c>
      <c r="AE1275" s="6" t="s">
        <v>81</v>
      </c>
      <c r="AF1275" s="6" t="s">
        <v>81</v>
      </c>
      <c r="AG1275" s="6" t="s">
        <v>81</v>
      </c>
      <c r="AH1275" s="6" t="s">
        <v>15844</v>
      </c>
      <c r="AI1275" s="6" t="s">
        <v>81</v>
      </c>
      <c r="AJ1275" s="6" t="s">
        <v>17681</v>
      </c>
      <c r="AK1275" s="6" t="s">
        <v>18377</v>
      </c>
      <c r="AL1275" s="6" t="s">
        <v>18444</v>
      </c>
      <c r="AM1275" s="6" t="s">
        <v>18847</v>
      </c>
      <c r="AN1275" s="6" t="s">
        <v>19638</v>
      </c>
      <c r="AO1275" s="6" t="s">
        <v>19724</v>
      </c>
      <c r="AP1275" s="6" t="s">
        <v>81</v>
      </c>
      <c r="AQ1275" s="6" t="s">
        <v>81</v>
      </c>
      <c r="AR1275" s="6" t="s">
        <v>81</v>
      </c>
      <c r="AS1275" s="6" t="s">
        <v>81</v>
      </c>
      <c r="AT1275" s="6" t="s">
        <v>81</v>
      </c>
      <c r="AU1275" s="6" t="s">
        <v>81</v>
      </c>
      <c r="AV1275" s="6" t="s">
        <v>81</v>
      </c>
      <c r="AW1275" s="6" t="s">
        <v>81</v>
      </c>
      <c r="AX1275" s="6" t="s">
        <v>21544</v>
      </c>
      <c r="AY1275" s="6" t="s">
        <v>23035</v>
      </c>
      <c r="AZ1275" s="6" t="s">
        <v>81</v>
      </c>
      <c r="BA1275" s="6" t="s">
        <v>23819</v>
      </c>
      <c r="BB1275" s="24" t="n">
        <v>218</v>
      </c>
      <c r="BC1275" s="26"/>
      <c r="BD1275" s="26"/>
      <c r="BE1275" s="26"/>
      <c r="BF1275" s="26" t="s">
        <v>23900</v>
      </c>
      <c r="BG1275" s="26"/>
      <c r="BH1275" s="26"/>
      <c r="BI1275" s="26"/>
      <c r="BJ1275" s="26"/>
      <c r="BK1275" s="26"/>
      <c r="BL1275" s="26"/>
      <c r="BM1275" s="26"/>
      <c r="BN1275" s="26"/>
      <c r="BO1275" s="26"/>
      <c r="BP1275" s="16" t="n">
        <v>45708</v>
      </c>
      <c r="BQ1275" s="28" t="str">
        <f>HYPERLINK("https://organic.ams.usda.gov/Integrity/Certificate.aspx?cid=45&amp;nopid=9950000916")</f>
        <v>https://organic.ams.usda.gov/Integrity/Certificate.aspx?cid=45&amp;nopid=9950000916</v>
      </c>
    </row>
    <row r="1276">
      <c r="A1276" t="s">
        <v>3</v>
      </c>
      <c r="B1276" s="6" t="s">
        <v>9</v>
      </c>
      <c r="C1276" s="6" t="s">
        <v>56</v>
      </c>
      <c r="D1276" s="6" t="s">
        <v>102</v>
      </c>
      <c r="E1276" s="10" t="s">
        <v>1417</v>
      </c>
      <c r="F1276" s="6" t="s">
        <v>4143</v>
      </c>
      <c r="G1276" s="6" t="s">
        <v>81</v>
      </c>
      <c r="H1276" s="6" t="s">
        <v>7062</v>
      </c>
      <c r="I1276" s="6" t="s">
        <v>9072</v>
      </c>
      <c r="J1276" s="6" t="s">
        <v>9672</v>
      </c>
      <c r="K1276" s="6" t="s">
        <v>10886</v>
      </c>
      <c r="L1276" s="16" t="n">
        <v>43864</v>
      </c>
      <c r="M1276" s="16" t="n">
        <v>45748</v>
      </c>
      <c r="N1276" s="6" t="s">
        <v>10886</v>
      </c>
      <c r="O1276" s="16" t="n">
        <v>43864</v>
      </c>
      <c r="P1276" s="6" t="s">
        <v>11655</v>
      </c>
      <c r="Q1276" s="6" t="s">
        <v>81</v>
      </c>
      <c r="R1276" s="6" t="s">
        <v>12772</v>
      </c>
      <c r="S1276" s="6" t="s">
        <v>10886</v>
      </c>
      <c r="T1276" s="16" t="n">
        <v>43864</v>
      </c>
      <c r="U1276" s="6" t="s">
        <v>13168</v>
      </c>
      <c r="V1276" s="6" t="s">
        <v>81</v>
      </c>
      <c r="W1276" s="6" t="s">
        <v>12772</v>
      </c>
      <c r="X1276" s="6" t="s">
        <v>81</v>
      </c>
      <c r="Y1276" s="21" t="s">
        <v>81</v>
      </c>
      <c r="Z1276" s="6" t="s">
        <v>81</v>
      </c>
      <c r="AA1276" s="6" t="s">
        <v>81</v>
      </c>
      <c r="AB1276" s="6" t="s">
        <v>81</v>
      </c>
      <c r="AC1276" s="6" t="s">
        <v>81</v>
      </c>
      <c r="AD1276" s="21" t="s">
        <v>81</v>
      </c>
      <c r="AE1276" s="6" t="s">
        <v>81</v>
      </c>
      <c r="AF1276" s="6" t="s">
        <v>81</v>
      </c>
      <c r="AG1276" s="6" t="s">
        <v>81</v>
      </c>
      <c r="AH1276" s="6" t="s">
        <v>15845</v>
      </c>
      <c r="AI1276" s="6" t="s">
        <v>81</v>
      </c>
      <c r="AJ1276" s="6" t="s">
        <v>17959</v>
      </c>
      <c r="AK1276" s="6" t="s">
        <v>18380</v>
      </c>
      <c r="AL1276" s="6" t="s">
        <v>18444</v>
      </c>
      <c r="AM1276" s="6" t="s">
        <v>19146</v>
      </c>
      <c r="AN1276" s="6" t="s">
        <v>19702</v>
      </c>
      <c r="AO1276" s="6" t="s">
        <v>19832</v>
      </c>
      <c r="AP1276" s="6" t="s">
        <v>81</v>
      </c>
      <c r="AQ1276" s="6" t="s">
        <v>81</v>
      </c>
      <c r="AR1276" s="6" t="s">
        <v>81</v>
      </c>
      <c r="AS1276" s="6" t="s">
        <v>81</v>
      </c>
      <c r="AT1276" s="6" t="s">
        <v>81</v>
      </c>
      <c r="AU1276" s="6" t="s">
        <v>81</v>
      </c>
      <c r="AV1276" s="6" t="s">
        <v>81</v>
      </c>
      <c r="AW1276" s="6" t="s">
        <v>81</v>
      </c>
      <c r="AX1276" s="6" t="s">
        <v>21545</v>
      </c>
      <c r="AY1276" s="6" t="s">
        <v>81</v>
      </c>
      <c r="AZ1276" s="6" t="s">
        <v>81</v>
      </c>
      <c r="BA1276" s="6" t="s">
        <v>81</v>
      </c>
      <c r="BB1276" s="24" t="n">
        <v>72</v>
      </c>
      <c r="BC1276" s="26"/>
      <c r="BD1276" s="26"/>
      <c r="BE1276" s="26"/>
      <c r="BF1276" s="26"/>
      <c r="BG1276" s="26"/>
      <c r="BH1276" s="26"/>
      <c r="BI1276" s="26"/>
      <c r="BJ1276" s="26"/>
      <c r="BK1276" s="26"/>
      <c r="BL1276" s="26"/>
      <c r="BM1276" s="26"/>
      <c r="BN1276" s="26"/>
      <c r="BO1276" s="26"/>
      <c r="BP1276" s="16" t="n">
        <v>45738</v>
      </c>
      <c r="BQ1276" s="28" t="str">
        <f>HYPERLINK("https://organic.ams.usda.gov/Integrity/Certificate.aspx?cid=52&amp;nopid=8432001774")</f>
        <v>https://organic.ams.usda.gov/Integrity/Certificate.aspx?cid=52&amp;nopid=8432001774</v>
      </c>
    </row>
    <row r="1277">
      <c r="A1277" t="s">
        <v>3</v>
      </c>
      <c r="B1277" s="6" t="s">
        <v>7</v>
      </c>
      <c r="C1277" s="6" t="s">
        <v>54</v>
      </c>
      <c r="D1277" s="6" t="s">
        <v>100</v>
      </c>
      <c r="E1277" s="10" t="s">
        <v>1418</v>
      </c>
      <c r="F1277" s="6" t="s">
        <v>4144</v>
      </c>
      <c r="G1277" s="6" t="s">
        <v>81</v>
      </c>
      <c r="H1277" s="6" t="s">
        <v>7063</v>
      </c>
      <c r="I1277" s="6" t="s">
        <v>8851</v>
      </c>
      <c r="J1277" s="6" t="s">
        <v>10197</v>
      </c>
      <c r="K1277" s="6" t="s">
        <v>10886</v>
      </c>
      <c r="L1277" s="16" t="n">
        <v>45614</v>
      </c>
      <c r="M1277" s="16" t="n">
        <v>45716</v>
      </c>
      <c r="N1277" s="6" t="s">
        <v>10886</v>
      </c>
      <c r="O1277" s="16" t="n">
        <v>45614</v>
      </c>
      <c r="P1277" s="6" t="s">
        <v>11656</v>
      </c>
      <c r="Q1277" s="6" t="s">
        <v>81</v>
      </c>
      <c r="R1277" s="6" t="s">
        <v>81</v>
      </c>
      <c r="S1277" s="6" t="s">
        <v>10886</v>
      </c>
      <c r="T1277" s="16" t="n">
        <v>45614</v>
      </c>
      <c r="U1277" s="6" t="s">
        <v>13169</v>
      </c>
      <c r="V1277" s="6" t="s">
        <v>81</v>
      </c>
      <c r="W1277" s="6" t="s">
        <v>81</v>
      </c>
      <c r="X1277" s="6" t="s">
        <v>81</v>
      </c>
      <c r="Y1277" s="21" t="s">
        <v>81</v>
      </c>
      <c r="Z1277" s="6" t="s">
        <v>81</v>
      </c>
      <c r="AA1277" s="6" t="s">
        <v>81</v>
      </c>
      <c r="AB1277" s="6" t="s">
        <v>81</v>
      </c>
      <c r="AC1277" s="6" t="s">
        <v>81</v>
      </c>
      <c r="AD1277" s="21" t="s">
        <v>81</v>
      </c>
      <c r="AE1277" s="6" t="s">
        <v>81</v>
      </c>
      <c r="AF1277" s="6" t="s">
        <v>81</v>
      </c>
      <c r="AG1277" s="6" t="s">
        <v>81</v>
      </c>
      <c r="AH1277" s="6" t="s">
        <v>15846</v>
      </c>
      <c r="AI1277" s="6" t="s">
        <v>81</v>
      </c>
      <c r="AJ1277" s="6" t="s">
        <v>17650</v>
      </c>
      <c r="AK1277" s="6" t="s">
        <v>18380</v>
      </c>
      <c r="AL1277" s="6" t="s">
        <v>18444</v>
      </c>
      <c r="AM1277" s="6" t="s">
        <v>18820</v>
      </c>
      <c r="AN1277" s="6" t="s">
        <v>81</v>
      </c>
      <c r="AO1277" s="6" t="s">
        <v>81</v>
      </c>
      <c r="AP1277" s="6" t="s">
        <v>15846</v>
      </c>
      <c r="AQ1277" s="6" t="s">
        <v>81</v>
      </c>
      <c r="AR1277" s="6" t="s">
        <v>17650</v>
      </c>
      <c r="AS1277" s="6" t="s">
        <v>18380</v>
      </c>
      <c r="AT1277" s="6" t="s">
        <v>18444</v>
      </c>
      <c r="AU1277" s="6" t="s">
        <v>18820</v>
      </c>
      <c r="AV1277" s="6" t="s">
        <v>81</v>
      </c>
      <c r="AW1277" s="6" t="s">
        <v>81</v>
      </c>
      <c r="AX1277" s="6" t="s">
        <v>21546</v>
      </c>
      <c r="AY1277" s="6" t="s">
        <v>81</v>
      </c>
      <c r="AZ1277" s="6" t="s">
        <v>81</v>
      </c>
      <c r="BA1277" s="6" t="s">
        <v>81</v>
      </c>
      <c r="BB1277" s="24" t="n">
        <v>123</v>
      </c>
      <c r="BC1277" s="26"/>
      <c r="BD1277" s="26"/>
      <c r="BE1277" s="26"/>
      <c r="BF1277" s="26" t="s">
        <v>23900</v>
      </c>
      <c r="BG1277" s="26"/>
      <c r="BH1277" s="26"/>
      <c r="BI1277" s="26"/>
      <c r="BJ1277" s="26"/>
      <c r="BK1277" s="26"/>
      <c r="BL1277" s="26"/>
      <c r="BM1277" s="26"/>
      <c r="BN1277" s="26"/>
      <c r="BO1277" s="26"/>
      <c r="BP1277" s="16" t="n">
        <v>45616</v>
      </c>
      <c r="BQ1277" s="28" t="str">
        <f>HYPERLINK("https://organic.ams.usda.gov/Integrity/Certificate.aspx?cid=57&amp;nopid=3252024088")</f>
        <v>https://organic.ams.usda.gov/Integrity/Certificate.aspx?cid=57&amp;nopid=3252024088</v>
      </c>
    </row>
    <row r="1278">
      <c r="A1278" t="s">
        <v>3</v>
      </c>
      <c r="B1278" s="6" t="s">
        <v>10</v>
      </c>
      <c r="C1278" s="6" t="s">
        <v>57</v>
      </c>
      <c r="D1278" s="6" t="s">
        <v>103</v>
      </c>
      <c r="E1278" s="10" t="s">
        <v>1419</v>
      </c>
      <c r="F1278" s="6" t="s">
        <v>4145</v>
      </c>
      <c r="G1278" s="6" t="s">
        <v>81</v>
      </c>
      <c r="H1278" s="6" t="s">
        <v>7064</v>
      </c>
      <c r="I1278" s="6" t="s">
        <v>8851</v>
      </c>
      <c r="J1278" s="6" t="s">
        <v>10092</v>
      </c>
      <c r="K1278" s="6" t="s">
        <v>10886</v>
      </c>
      <c r="L1278" s="16" t="n">
        <v>45427</v>
      </c>
      <c r="M1278" s="16" t="n">
        <v>45748</v>
      </c>
      <c r="N1278" s="6" t="s">
        <v>10886</v>
      </c>
      <c r="O1278" s="16" t="n">
        <v>45427</v>
      </c>
      <c r="P1278" s="6" t="s">
        <v>11657</v>
      </c>
      <c r="Q1278" s="6" t="s">
        <v>81</v>
      </c>
      <c r="R1278" s="6" t="s">
        <v>12773</v>
      </c>
      <c r="S1278" s="6" t="s">
        <v>10886</v>
      </c>
      <c r="T1278" s="16" t="n">
        <v>45427</v>
      </c>
      <c r="U1278" s="6" t="s">
        <v>13163</v>
      </c>
      <c r="V1278" s="6" t="s">
        <v>81</v>
      </c>
      <c r="W1278" s="6" t="s">
        <v>81</v>
      </c>
      <c r="X1278" s="6" t="s">
        <v>81</v>
      </c>
      <c r="Y1278" s="21" t="s">
        <v>81</v>
      </c>
      <c r="Z1278" s="6" t="s">
        <v>81</v>
      </c>
      <c r="AA1278" s="6" t="s">
        <v>81</v>
      </c>
      <c r="AB1278" s="6" t="s">
        <v>81</v>
      </c>
      <c r="AC1278" s="6" t="s">
        <v>81</v>
      </c>
      <c r="AD1278" s="21" t="s">
        <v>81</v>
      </c>
      <c r="AE1278" s="6" t="s">
        <v>81</v>
      </c>
      <c r="AF1278" s="6" t="s">
        <v>81</v>
      </c>
      <c r="AG1278" s="6" t="s">
        <v>81</v>
      </c>
      <c r="AH1278" s="6" t="s">
        <v>15847</v>
      </c>
      <c r="AI1278" s="6" t="s">
        <v>81</v>
      </c>
      <c r="AJ1278" s="6" t="s">
        <v>17324</v>
      </c>
      <c r="AK1278" s="6" t="s">
        <v>18378</v>
      </c>
      <c r="AL1278" s="6" t="s">
        <v>18444</v>
      </c>
      <c r="AM1278" s="6" t="s">
        <v>18476</v>
      </c>
      <c r="AN1278" s="6" t="s">
        <v>81</v>
      </c>
      <c r="AO1278" s="6" t="s">
        <v>81</v>
      </c>
      <c r="AP1278" s="6" t="s">
        <v>15847</v>
      </c>
      <c r="AQ1278" s="6" t="s">
        <v>81</v>
      </c>
      <c r="AR1278" s="6" t="s">
        <v>17324</v>
      </c>
      <c r="AS1278" s="6" t="s">
        <v>18378</v>
      </c>
      <c r="AT1278" s="6" t="s">
        <v>18444</v>
      </c>
      <c r="AU1278" s="6" t="s">
        <v>18476</v>
      </c>
      <c r="AV1278" s="6" t="s">
        <v>81</v>
      </c>
      <c r="AW1278" s="6" t="s">
        <v>81</v>
      </c>
      <c r="AX1278" s="6" t="s">
        <v>21547</v>
      </c>
      <c r="AY1278" s="6" t="s">
        <v>81</v>
      </c>
      <c r="AZ1278" s="6" t="s">
        <v>81</v>
      </c>
      <c r="BA1278" s="6" t="s">
        <v>81</v>
      </c>
      <c r="BB1278" s="24" t="n">
        <v>108</v>
      </c>
      <c r="BC1278" s="26"/>
      <c r="BD1278" s="26"/>
      <c r="BE1278" s="26"/>
      <c r="BF1278" s="26"/>
      <c r="BG1278" s="26"/>
      <c r="BH1278" s="26"/>
      <c r="BI1278" s="26"/>
      <c r="BJ1278" s="26"/>
      <c r="BK1278" s="26"/>
      <c r="BL1278" s="26"/>
      <c r="BM1278" s="26"/>
      <c r="BN1278" s="26"/>
      <c r="BO1278" s="26"/>
      <c r="BP1278" s="16" t="n">
        <v>45730</v>
      </c>
      <c r="BQ1278" s="28" t="str">
        <f>HYPERLINK("https://organic.ams.usda.gov/Integrity/Certificate.aspx?cid=90&amp;nopid=7170240774")</f>
        <v>https://organic.ams.usda.gov/Integrity/Certificate.aspx?cid=90&amp;nopid=7170240774</v>
      </c>
    </row>
    <row r="1279">
      <c r="A1279" t="s">
        <v>3</v>
      </c>
      <c r="B1279" s="6" t="s">
        <v>11</v>
      </c>
      <c r="C1279" s="6" t="s">
        <v>58</v>
      </c>
      <c r="D1279" s="6" t="s">
        <v>104</v>
      </c>
      <c r="E1279" s="10" t="s">
        <v>1420</v>
      </c>
      <c r="F1279" s="6" t="s">
        <v>4146</v>
      </c>
      <c r="G1279" s="6" t="s">
        <v>81</v>
      </c>
      <c r="H1279" s="6" t="s">
        <v>81</v>
      </c>
      <c r="I1279" s="6" t="s">
        <v>9073</v>
      </c>
      <c r="J1279" s="6" t="s">
        <v>9665</v>
      </c>
      <c r="K1279" s="6" t="s">
        <v>10886</v>
      </c>
      <c r="L1279" s="16" t="n">
        <v>45373</v>
      </c>
      <c r="M1279" s="16" t="n">
        <v>45748</v>
      </c>
      <c r="N1279" s="6" t="s">
        <v>10886</v>
      </c>
      <c r="O1279" s="16" t="n">
        <v>45373</v>
      </c>
      <c r="P1279" s="6" t="s">
        <v>11658</v>
      </c>
      <c r="Q1279" s="6" t="s">
        <v>81</v>
      </c>
      <c r="R1279" s="6" t="s">
        <v>81</v>
      </c>
      <c r="S1279" s="6" t="s">
        <v>10886</v>
      </c>
      <c r="T1279" s="16" t="n">
        <v>45373</v>
      </c>
      <c r="U1279" s="6" t="s">
        <v>13585</v>
      </c>
      <c r="V1279" s="6" t="s">
        <v>81</v>
      </c>
      <c r="W1279" s="6" t="s">
        <v>81</v>
      </c>
      <c r="X1279" s="6" t="s">
        <v>81</v>
      </c>
      <c r="Y1279" s="21" t="s">
        <v>81</v>
      </c>
      <c r="Z1279" s="6" t="s">
        <v>81</v>
      </c>
      <c r="AA1279" s="6" t="s">
        <v>81</v>
      </c>
      <c r="AB1279" s="6" t="s">
        <v>81</v>
      </c>
      <c r="AC1279" s="6" t="s">
        <v>81</v>
      </c>
      <c r="AD1279" s="21" t="s">
        <v>81</v>
      </c>
      <c r="AE1279" s="6" t="s">
        <v>81</v>
      </c>
      <c r="AF1279" s="6" t="s">
        <v>81</v>
      </c>
      <c r="AG1279" s="6" t="s">
        <v>81</v>
      </c>
      <c r="AH1279" s="6" t="s">
        <v>15848</v>
      </c>
      <c r="AI1279" s="6" t="s">
        <v>81</v>
      </c>
      <c r="AJ1279" s="6" t="s">
        <v>17377</v>
      </c>
      <c r="AK1279" s="6" t="s">
        <v>18377</v>
      </c>
      <c r="AL1279" s="6" t="s">
        <v>18444</v>
      </c>
      <c r="AM1279" s="6" t="s">
        <v>18530</v>
      </c>
      <c r="AN1279" s="6" t="s">
        <v>81</v>
      </c>
      <c r="AO1279" s="6" t="s">
        <v>81</v>
      </c>
      <c r="AP1279" s="6" t="s">
        <v>15848</v>
      </c>
      <c r="AQ1279" s="6" t="s">
        <v>81</v>
      </c>
      <c r="AR1279" s="6" t="s">
        <v>17377</v>
      </c>
      <c r="AS1279" s="6" t="s">
        <v>18377</v>
      </c>
      <c r="AT1279" s="6" t="s">
        <v>18444</v>
      </c>
      <c r="AU1279" s="6" t="s">
        <v>18530</v>
      </c>
      <c r="AV1279" s="6" t="s">
        <v>81</v>
      </c>
      <c r="AW1279" s="6" t="s">
        <v>81</v>
      </c>
      <c r="AX1279" s="6" t="s">
        <v>81</v>
      </c>
      <c r="AY1279" s="6" t="s">
        <v>81</v>
      </c>
      <c r="AZ1279" s="6" t="s">
        <v>81</v>
      </c>
      <c r="BA1279" s="6" t="s">
        <v>23820</v>
      </c>
      <c r="BB1279" s="24" t="n">
        <v>89</v>
      </c>
      <c r="BC1279" s="26"/>
      <c r="BD1279" s="26"/>
      <c r="BE1279" s="26"/>
      <c r="BF1279" s="26"/>
      <c r="BG1279" s="26"/>
      <c r="BH1279" s="26"/>
      <c r="BI1279" s="26"/>
      <c r="BJ1279" s="26"/>
      <c r="BK1279" s="26"/>
      <c r="BL1279" s="26"/>
      <c r="BM1279" s="26"/>
      <c r="BN1279" s="26"/>
      <c r="BO1279" s="26"/>
      <c r="BP1279" s="16" t="n">
        <v>45386</v>
      </c>
      <c r="BQ1279" s="28" t="str">
        <f>HYPERLINK("https://organic.ams.usda.gov/Integrity/Certificate.aspx?cid=46&amp;nopid=3672400010")</f>
        <v>https://organic.ams.usda.gov/Integrity/Certificate.aspx?cid=46&amp;nopid=3672400010</v>
      </c>
    </row>
    <row r="1280">
      <c r="A1280" t="s">
        <v>3</v>
      </c>
      <c r="B1280" s="6" t="s">
        <v>8</v>
      </c>
      <c r="C1280" s="6" t="s">
        <v>55</v>
      </c>
      <c r="D1280" s="6" t="s">
        <v>101</v>
      </c>
      <c r="E1280" s="10" t="s">
        <v>1421</v>
      </c>
      <c r="F1280" s="6" t="s">
        <v>4147</v>
      </c>
      <c r="G1280" s="6" t="s">
        <v>81</v>
      </c>
      <c r="H1280" s="6" t="s">
        <v>7065</v>
      </c>
      <c r="I1280" s="6" t="s">
        <v>8851</v>
      </c>
      <c r="J1280" s="6" t="s">
        <v>9976</v>
      </c>
      <c r="K1280" s="6" t="s">
        <v>10886</v>
      </c>
      <c r="L1280" s="16" t="n">
        <v>41498</v>
      </c>
      <c r="M1280" s="16" t="n">
        <v>45748</v>
      </c>
      <c r="N1280" s="6" t="s">
        <v>10886</v>
      </c>
      <c r="O1280" s="16" t="n">
        <v>41498</v>
      </c>
      <c r="P1280" s="6" t="s">
        <v>11659</v>
      </c>
      <c r="Q1280" s="6" t="s">
        <v>81</v>
      </c>
      <c r="R1280" s="6" t="s">
        <v>7065</v>
      </c>
      <c r="S1280" s="6" t="s">
        <v>10886</v>
      </c>
      <c r="T1280" s="16" t="n">
        <v>41498</v>
      </c>
      <c r="U1280" s="6" t="s">
        <v>13271</v>
      </c>
      <c r="V1280" s="6" t="s">
        <v>81</v>
      </c>
      <c r="W1280" s="6" t="s">
        <v>7065</v>
      </c>
      <c r="X1280" s="6" t="s">
        <v>81</v>
      </c>
      <c r="Y1280" s="21" t="s">
        <v>81</v>
      </c>
      <c r="Z1280" s="6" t="s">
        <v>81</v>
      </c>
      <c r="AA1280" s="6" t="s">
        <v>81</v>
      </c>
      <c r="AB1280" s="6" t="s">
        <v>81</v>
      </c>
      <c r="AC1280" s="6" t="s">
        <v>81</v>
      </c>
      <c r="AD1280" s="21" t="s">
        <v>81</v>
      </c>
      <c r="AE1280" s="6" t="s">
        <v>81</v>
      </c>
      <c r="AF1280" s="6" t="s">
        <v>81</v>
      </c>
      <c r="AG1280" s="6" t="s">
        <v>81</v>
      </c>
      <c r="AH1280" s="6" t="s">
        <v>15849</v>
      </c>
      <c r="AI1280" s="6" t="s">
        <v>81</v>
      </c>
      <c r="AJ1280" s="6" t="s">
        <v>17377</v>
      </c>
      <c r="AK1280" s="6" t="s">
        <v>18377</v>
      </c>
      <c r="AL1280" s="6" t="s">
        <v>18444</v>
      </c>
      <c r="AM1280" s="6" t="s">
        <v>18530</v>
      </c>
      <c r="AN1280" s="6" t="s">
        <v>19634</v>
      </c>
      <c r="AO1280" s="6" t="s">
        <v>19764</v>
      </c>
      <c r="AP1280" s="6" t="s">
        <v>81</v>
      </c>
      <c r="AQ1280" s="6" t="s">
        <v>81</v>
      </c>
      <c r="AR1280" s="6" t="s">
        <v>81</v>
      </c>
      <c r="AS1280" s="6" t="s">
        <v>81</v>
      </c>
      <c r="AT1280" s="6" t="s">
        <v>81</v>
      </c>
      <c r="AU1280" s="6" t="s">
        <v>81</v>
      </c>
      <c r="AV1280" s="6" t="s">
        <v>81</v>
      </c>
      <c r="AW1280" s="6" t="s">
        <v>81</v>
      </c>
      <c r="AX1280" s="6" t="s">
        <v>81</v>
      </c>
      <c r="AY1280" s="6" t="s">
        <v>81</v>
      </c>
      <c r="AZ1280" s="6" t="s">
        <v>81</v>
      </c>
      <c r="BA1280" s="6" t="s">
        <v>23819</v>
      </c>
      <c r="BB1280" s="24" t="n">
        <v>78</v>
      </c>
      <c r="BC1280" s="26"/>
      <c r="BD1280" s="26"/>
      <c r="BE1280" s="26"/>
      <c r="BF1280" s="26" t="s">
        <v>23900</v>
      </c>
      <c r="BG1280" s="26"/>
      <c r="BH1280" s="26"/>
      <c r="BI1280" s="26"/>
      <c r="BJ1280" s="26"/>
      <c r="BK1280" s="26"/>
      <c r="BL1280" s="26"/>
      <c r="BM1280" s="26"/>
      <c r="BN1280" s="26"/>
      <c r="BO1280" s="26"/>
      <c r="BP1280" s="16" t="n">
        <v>45645</v>
      </c>
      <c r="BQ1280" s="28" t="str">
        <f>HYPERLINK("https://organic.ams.usda.gov/Integrity/Certificate.aspx?cid=45&amp;nopid=9950005025")</f>
        <v>https://organic.ams.usda.gov/Integrity/Certificate.aspx?cid=45&amp;nopid=9950005025</v>
      </c>
    </row>
    <row r="1281">
      <c r="A1281" t="s">
        <v>3</v>
      </c>
      <c r="B1281" s="6" t="s">
        <v>8</v>
      </c>
      <c r="C1281" s="6" t="s">
        <v>55</v>
      </c>
      <c r="D1281" s="6" t="s">
        <v>101</v>
      </c>
      <c r="E1281" s="10" t="s">
        <v>1422</v>
      </c>
      <c r="F1281" s="6" t="s">
        <v>4148</v>
      </c>
      <c r="G1281" s="6" t="s">
        <v>81</v>
      </c>
      <c r="H1281" s="6" t="s">
        <v>7066</v>
      </c>
      <c r="I1281" s="6" t="s">
        <v>8851</v>
      </c>
      <c r="J1281" s="6" t="s">
        <v>10293</v>
      </c>
      <c r="K1281" s="6" t="s">
        <v>10886</v>
      </c>
      <c r="L1281" s="16" t="n">
        <v>38916</v>
      </c>
      <c r="M1281" s="16" t="n">
        <v>45748</v>
      </c>
      <c r="N1281" s="6" t="s">
        <v>10886</v>
      </c>
      <c r="O1281" s="16" t="n">
        <v>38916</v>
      </c>
      <c r="P1281" s="6" t="s">
        <v>11660</v>
      </c>
      <c r="Q1281" s="6" t="s">
        <v>81</v>
      </c>
      <c r="R1281" s="6" t="s">
        <v>7066</v>
      </c>
      <c r="S1281" s="6" t="s">
        <v>10886</v>
      </c>
      <c r="T1281" s="16" t="n">
        <v>38916</v>
      </c>
      <c r="U1281" s="6" t="s">
        <v>13586</v>
      </c>
      <c r="V1281" s="6" t="s">
        <v>81</v>
      </c>
      <c r="W1281" s="6" t="s">
        <v>7066</v>
      </c>
      <c r="X1281" s="6" t="s">
        <v>81</v>
      </c>
      <c r="Y1281" s="21" t="s">
        <v>81</v>
      </c>
      <c r="Z1281" s="6" t="s">
        <v>81</v>
      </c>
      <c r="AA1281" s="6" t="s">
        <v>81</v>
      </c>
      <c r="AB1281" s="6" t="s">
        <v>81</v>
      </c>
      <c r="AC1281" s="6" t="s">
        <v>81</v>
      </c>
      <c r="AD1281" s="21" t="s">
        <v>81</v>
      </c>
      <c r="AE1281" s="6" t="s">
        <v>81</v>
      </c>
      <c r="AF1281" s="6" t="s">
        <v>81</v>
      </c>
      <c r="AG1281" s="6" t="s">
        <v>81</v>
      </c>
      <c r="AH1281" s="6" t="s">
        <v>15850</v>
      </c>
      <c r="AI1281" s="6" t="s">
        <v>81</v>
      </c>
      <c r="AJ1281" s="6" t="s">
        <v>17960</v>
      </c>
      <c r="AK1281" s="6" t="s">
        <v>18377</v>
      </c>
      <c r="AL1281" s="6" t="s">
        <v>18444</v>
      </c>
      <c r="AM1281" s="6" t="s">
        <v>19147</v>
      </c>
      <c r="AN1281" s="6" t="s">
        <v>19646</v>
      </c>
      <c r="AO1281" s="6" t="s">
        <v>19733</v>
      </c>
      <c r="AP1281" s="6" t="s">
        <v>81</v>
      </c>
      <c r="AQ1281" s="6" t="s">
        <v>81</v>
      </c>
      <c r="AR1281" s="6" t="s">
        <v>81</v>
      </c>
      <c r="AS1281" s="6" t="s">
        <v>81</v>
      </c>
      <c r="AT1281" s="6" t="s">
        <v>81</v>
      </c>
      <c r="AU1281" s="6" t="s">
        <v>81</v>
      </c>
      <c r="AV1281" s="6" t="s">
        <v>81</v>
      </c>
      <c r="AW1281" s="6" t="s">
        <v>81</v>
      </c>
      <c r="AX1281" s="6" t="s">
        <v>81</v>
      </c>
      <c r="AY1281" s="6" t="s">
        <v>81</v>
      </c>
      <c r="AZ1281" s="6" t="s">
        <v>81</v>
      </c>
      <c r="BA1281" s="6" t="s">
        <v>23819</v>
      </c>
      <c r="BB1281" s="24" t="n">
        <v>244</v>
      </c>
      <c r="BC1281" s="26"/>
      <c r="BD1281" s="26"/>
      <c r="BE1281" s="26"/>
      <c r="BF1281" s="26" t="s">
        <v>23900</v>
      </c>
      <c r="BG1281" s="26"/>
      <c r="BH1281" s="26"/>
      <c r="BI1281" s="26"/>
      <c r="BJ1281" s="26"/>
      <c r="BK1281" s="26"/>
      <c r="BL1281" s="26"/>
      <c r="BM1281" s="26"/>
      <c r="BN1281" s="26"/>
      <c r="BO1281" s="26"/>
      <c r="BP1281" s="16" t="n">
        <v>45666</v>
      </c>
      <c r="BQ1281" s="28" t="str">
        <f>HYPERLINK("https://organic.ams.usda.gov/Integrity/Certificate.aspx?cid=45&amp;nopid=9950002255")</f>
        <v>https://organic.ams.usda.gov/Integrity/Certificate.aspx?cid=45&amp;nopid=9950002255</v>
      </c>
    </row>
    <row r="1282">
      <c r="A1282" t="s">
        <v>3</v>
      </c>
      <c r="B1282" s="6" t="s">
        <v>11</v>
      </c>
      <c r="C1282" s="6" t="s">
        <v>58</v>
      </c>
      <c r="D1282" s="6" t="s">
        <v>104</v>
      </c>
      <c r="E1282" s="10" t="s">
        <v>1423</v>
      </c>
      <c r="F1282" s="6" t="s">
        <v>4149</v>
      </c>
      <c r="G1282" s="6" t="s">
        <v>81</v>
      </c>
      <c r="H1282" s="6" t="s">
        <v>81</v>
      </c>
      <c r="I1282" s="6" t="s">
        <v>9074</v>
      </c>
      <c r="J1282" s="6" t="s">
        <v>10294</v>
      </c>
      <c r="K1282" s="6" t="s">
        <v>10886</v>
      </c>
      <c r="L1282" s="16" t="n">
        <v>45364</v>
      </c>
      <c r="M1282" s="16" t="n">
        <v>45748</v>
      </c>
      <c r="N1282" s="6" t="s">
        <v>10886</v>
      </c>
      <c r="O1282" s="16" t="n">
        <v>45364</v>
      </c>
      <c r="P1282" s="6" t="s">
        <v>11661</v>
      </c>
      <c r="Q1282" s="6" t="s">
        <v>81</v>
      </c>
      <c r="R1282" s="6" t="s">
        <v>81</v>
      </c>
      <c r="S1282" s="6" t="s">
        <v>10886</v>
      </c>
      <c r="T1282" s="16" t="n">
        <v>45364</v>
      </c>
      <c r="U1282" s="6" t="s">
        <v>13587</v>
      </c>
      <c r="V1282" s="6" t="s">
        <v>81</v>
      </c>
      <c r="W1282" s="6" t="s">
        <v>81</v>
      </c>
      <c r="X1282" s="6" t="s">
        <v>81</v>
      </c>
      <c r="Y1282" s="21" t="s">
        <v>81</v>
      </c>
      <c r="Z1282" s="6" t="s">
        <v>81</v>
      </c>
      <c r="AA1282" s="6" t="s">
        <v>81</v>
      </c>
      <c r="AB1282" s="6" t="s">
        <v>81</v>
      </c>
      <c r="AC1282" s="6" t="s">
        <v>81</v>
      </c>
      <c r="AD1282" s="21" t="s">
        <v>81</v>
      </c>
      <c r="AE1282" s="6" t="s">
        <v>81</v>
      </c>
      <c r="AF1282" s="6" t="s">
        <v>81</v>
      </c>
      <c r="AG1282" s="6" t="s">
        <v>81</v>
      </c>
      <c r="AH1282" s="6" t="s">
        <v>15851</v>
      </c>
      <c r="AI1282" s="6" t="s">
        <v>81</v>
      </c>
      <c r="AJ1282" s="6" t="s">
        <v>17842</v>
      </c>
      <c r="AK1282" s="6" t="s">
        <v>18377</v>
      </c>
      <c r="AL1282" s="6" t="s">
        <v>18444</v>
      </c>
      <c r="AM1282" s="6" t="s">
        <v>19024</v>
      </c>
      <c r="AN1282" s="6" t="s">
        <v>81</v>
      </c>
      <c r="AO1282" s="6" t="s">
        <v>81</v>
      </c>
      <c r="AP1282" s="6" t="s">
        <v>15851</v>
      </c>
      <c r="AQ1282" s="6" t="s">
        <v>81</v>
      </c>
      <c r="AR1282" s="6" t="s">
        <v>17842</v>
      </c>
      <c r="AS1282" s="6" t="s">
        <v>18377</v>
      </c>
      <c r="AT1282" s="6" t="s">
        <v>18444</v>
      </c>
      <c r="AU1282" s="6" t="s">
        <v>19024</v>
      </c>
      <c r="AV1282" s="6" t="s">
        <v>81</v>
      </c>
      <c r="AW1282" s="6" t="s">
        <v>81</v>
      </c>
      <c r="AX1282" s="6" t="s">
        <v>21548</v>
      </c>
      <c r="AY1282" s="6" t="s">
        <v>81</v>
      </c>
      <c r="AZ1282" s="6" t="s">
        <v>81</v>
      </c>
      <c r="BA1282" s="6" t="s">
        <v>81</v>
      </c>
      <c r="BB1282" s="24" t="n">
        <v>171</v>
      </c>
      <c r="BC1282" s="26"/>
      <c r="BD1282" s="26"/>
      <c r="BE1282" s="26"/>
      <c r="BF1282" s="26"/>
      <c r="BG1282" s="26"/>
      <c r="BH1282" s="26"/>
      <c r="BI1282" s="26"/>
      <c r="BJ1282" s="26"/>
      <c r="BK1282" s="26"/>
      <c r="BL1282" s="26"/>
      <c r="BM1282" s="26"/>
      <c r="BN1282" s="26"/>
      <c r="BO1282" s="26"/>
      <c r="BP1282" s="16" t="n">
        <v>45443</v>
      </c>
      <c r="BQ1282" s="28" t="str">
        <f>HYPERLINK("https://organic.ams.usda.gov/Integrity/Certificate.aspx?cid=46&amp;nopid=3672400006")</f>
        <v>https://organic.ams.usda.gov/Integrity/Certificate.aspx?cid=46&amp;nopid=3672400006</v>
      </c>
    </row>
    <row r="1283">
      <c r="A1283" t="s">
        <v>3</v>
      </c>
      <c r="B1283" s="6" t="s">
        <v>20</v>
      </c>
      <c r="C1283" s="6" t="s">
        <v>67</v>
      </c>
      <c r="D1283" s="6" t="s">
        <v>113</v>
      </c>
      <c r="E1283" s="10" t="s">
        <v>1424</v>
      </c>
      <c r="F1283" s="6" t="s">
        <v>4150</v>
      </c>
      <c r="G1283" s="6" t="s">
        <v>81</v>
      </c>
      <c r="H1283" s="6" t="s">
        <v>7067</v>
      </c>
      <c r="I1283" s="6" t="s">
        <v>9075</v>
      </c>
      <c r="J1283" s="6" t="s">
        <v>10295</v>
      </c>
      <c r="K1283" s="6" t="s">
        <v>10886</v>
      </c>
      <c r="L1283" s="16" t="n">
        <v>41029</v>
      </c>
      <c r="M1283" s="16" t="n">
        <v>45999</v>
      </c>
      <c r="N1283" s="6" t="s">
        <v>81</v>
      </c>
      <c r="O1283" s="21" t="s">
        <v>81</v>
      </c>
      <c r="P1283" s="6" t="s">
        <v>81</v>
      </c>
      <c r="Q1283" s="6" t="s">
        <v>81</v>
      </c>
      <c r="R1283" s="6" t="s">
        <v>81</v>
      </c>
      <c r="S1283" s="6" t="s">
        <v>81</v>
      </c>
      <c r="T1283" s="21" t="s">
        <v>81</v>
      </c>
      <c r="U1283" s="6" t="s">
        <v>81</v>
      </c>
      <c r="V1283" s="6" t="s">
        <v>81</v>
      </c>
      <c r="W1283" s="6" t="s">
        <v>81</v>
      </c>
      <c r="X1283" s="6" t="s">
        <v>81</v>
      </c>
      <c r="Y1283" s="21" t="s">
        <v>81</v>
      </c>
      <c r="Z1283" s="6" t="s">
        <v>81</v>
      </c>
      <c r="AA1283" s="6" t="s">
        <v>81</v>
      </c>
      <c r="AB1283" s="6" t="s">
        <v>81</v>
      </c>
      <c r="AC1283" s="6" t="s">
        <v>10886</v>
      </c>
      <c r="AD1283" s="16" t="n">
        <v>41029</v>
      </c>
      <c r="AE1283" s="6" t="s">
        <v>14252</v>
      </c>
      <c r="AF1283" s="6" t="s">
        <v>81</v>
      </c>
      <c r="AG1283" s="6" t="s">
        <v>14561</v>
      </c>
      <c r="AH1283" s="6" t="s">
        <v>15852</v>
      </c>
      <c r="AI1283" s="6" t="s">
        <v>81</v>
      </c>
      <c r="AJ1283" s="6" t="s">
        <v>17961</v>
      </c>
      <c r="AK1283" s="6" t="s">
        <v>18391</v>
      </c>
      <c r="AL1283" s="6" t="s">
        <v>18444</v>
      </c>
      <c r="AM1283" s="6" t="s">
        <v>19148</v>
      </c>
      <c r="AN1283" s="6" t="s">
        <v>19708</v>
      </c>
      <c r="AO1283" s="6" t="s">
        <v>19784</v>
      </c>
      <c r="AP1283" s="6" t="s">
        <v>20276</v>
      </c>
      <c r="AQ1283" s="6" t="s">
        <v>81</v>
      </c>
      <c r="AR1283" s="6" t="s">
        <v>20539</v>
      </c>
      <c r="AS1283" s="6" t="s">
        <v>18391</v>
      </c>
      <c r="AT1283" s="6" t="s">
        <v>18444</v>
      </c>
      <c r="AU1283" s="6" t="s">
        <v>20664</v>
      </c>
      <c r="AV1283" s="6" t="s">
        <v>81</v>
      </c>
      <c r="AW1283" s="6" t="s">
        <v>81</v>
      </c>
      <c r="AX1283" s="6" t="s">
        <v>21549</v>
      </c>
      <c r="AY1283" s="6" t="s">
        <v>23036</v>
      </c>
      <c r="AZ1283" s="6" t="s">
        <v>81</v>
      </c>
      <c r="BA1283" s="6" t="s">
        <v>81</v>
      </c>
      <c r="BB1283" s="6" t="s">
        <v>81</v>
      </c>
      <c r="BC1283" s="26"/>
      <c r="BD1283" s="26"/>
      <c r="BE1283" s="26"/>
      <c r="BF1283" s="26"/>
      <c r="BG1283" s="26"/>
      <c r="BH1283" s="26"/>
      <c r="BI1283" s="26"/>
      <c r="BJ1283" s="26"/>
      <c r="BK1283" s="26"/>
      <c r="BL1283" s="26"/>
      <c r="BM1283" s="26"/>
      <c r="BN1283" s="26"/>
      <c r="BO1283" s="26"/>
      <c r="BP1283" s="16" t="n">
        <v>45737</v>
      </c>
      <c r="BQ1283" s="28" t="str">
        <f>HYPERLINK("https://organic.ams.usda.gov/Integrity/Certificate.aspx?cid=71&amp;nopid=5520091662")</f>
        <v>https://organic.ams.usda.gov/Integrity/Certificate.aspx?cid=71&amp;nopid=5520091662</v>
      </c>
    </row>
    <row r="1284">
      <c r="A1284" t="s">
        <v>3</v>
      </c>
      <c r="B1284" s="6" t="s">
        <v>20</v>
      </c>
      <c r="C1284" s="6" t="s">
        <v>67</v>
      </c>
      <c r="D1284" s="6" t="s">
        <v>113</v>
      </c>
      <c r="E1284" s="10" t="s">
        <v>1425</v>
      </c>
      <c r="F1284" s="6" t="s">
        <v>4151</v>
      </c>
      <c r="G1284" s="6" t="s">
        <v>81</v>
      </c>
      <c r="H1284" s="6" t="s">
        <v>7068</v>
      </c>
      <c r="I1284" s="6" t="s">
        <v>9075</v>
      </c>
      <c r="J1284" s="6" t="s">
        <v>10295</v>
      </c>
      <c r="K1284" s="6" t="s">
        <v>10886</v>
      </c>
      <c r="L1284" s="16" t="n">
        <v>41823</v>
      </c>
      <c r="M1284" s="16" t="n">
        <v>45714</v>
      </c>
      <c r="N1284" s="6" t="s">
        <v>81</v>
      </c>
      <c r="O1284" s="21" t="s">
        <v>81</v>
      </c>
      <c r="P1284" s="6" t="s">
        <v>81</v>
      </c>
      <c r="Q1284" s="6" t="s">
        <v>81</v>
      </c>
      <c r="R1284" s="6" t="s">
        <v>81</v>
      </c>
      <c r="S1284" s="6" t="s">
        <v>81</v>
      </c>
      <c r="T1284" s="21" t="s">
        <v>81</v>
      </c>
      <c r="U1284" s="6" t="s">
        <v>81</v>
      </c>
      <c r="V1284" s="6" t="s">
        <v>81</v>
      </c>
      <c r="W1284" s="6" t="s">
        <v>81</v>
      </c>
      <c r="X1284" s="6" t="s">
        <v>81</v>
      </c>
      <c r="Y1284" s="21" t="s">
        <v>81</v>
      </c>
      <c r="Z1284" s="6" t="s">
        <v>81</v>
      </c>
      <c r="AA1284" s="6" t="s">
        <v>81</v>
      </c>
      <c r="AB1284" s="6" t="s">
        <v>81</v>
      </c>
      <c r="AC1284" s="6" t="s">
        <v>10886</v>
      </c>
      <c r="AD1284" s="16" t="n">
        <v>41823</v>
      </c>
      <c r="AE1284" s="6" t="s">
        <v>14253</v>
      </c>
      <c r="AF1284" s="6" t="s">
        <v>81</v>
      </c>
      <c r="AG1284" s="6" t="s">
        <v>14562</v>
      </c>
      <c r="AH1284" s="6" t="s">
        <v>15853</v>
      </c>
      <c r="AI1284" s="6" t="s">
        <v>81</v>
      </c>
      <c r="AJ1284" s="6" t="s">
        <v>17542</v>
      </c>
      <c r="AK1284" s="6" t="s">
        <v>18386</v>
      </c>
      <c r="AL1284" s="6" t="s">
        <v>18444</v>
      </c>
      <c r="AM1284" s="6" t="s">
        <v>18705</v>
      </c>
      <c r="AN1284" s="6" t="s">
        <v>19639</v>
      </c>
      <c r="AO1284" s="6" t="s">
        <v>19793</v>
      </c>
      <c r="AP1284" s="6" t="s">
        <v>20276</v>
      </c>
      <c r="AQ1284" s="6" t="s">
        <v>81</v>
      </c>
      <c r="AR1284" s="6" t="s">
        <v>20539</v>
      </c>
      <c r="AS1284" s="6" t="s">
        <v>18391</v>
      </c>
      <c r="AT1284" s="6" t="s">
        <v>18444</v>
      </c>
      <c r="AU1284" s="6" t="s">
        <v>20664</v>
      </c>
      <c r="AV1284" s="6" t="s">
        <v>81</v>
      </c>
      <c r="AW1284" s="6" t="s">
        <v>81</v>
      </c>
      <c r="AX1284" s="6" t="s">
        <v>21550</v>
      </c>
      <c r="AY1284" s="6" t="s">
        <v>23036</v>
      </c>
      <c r="AZ1284" s="6" t="s">
        <v>81</v>
      </c>
      <c r="BA1284" s="6" t="s">
        <v>81</v>
      </c>
      <c r="BB1284" s="6" t="s">
        <v>81</v>
      </c>
      <c r="BC1284" s="26"/>
      <c r="BD1284" s="26"/>
      <c r="BE1284" s="26"/>
      <c r="BF1284" s="26"/>
      <c r="BG1284" s="26"/>
      <c r="BH1284" s="26"/>
      <c r="BI1284" s="26"/>
      <c r="BJ1284" s="26"/>
      <c r="BK1284" s="26"/>
      <c r="BL1284" s="26"/>
      <c r="BM1284" s="26"/>
      <c r="BN1284" s="26"/>
      <c r="BO1284" s="26"/>
      <c r="BP1284" s="16" t="n">
        <v>45737</v>
      </c>
      <c r="BQ1284" s="28" t="str">
        <f>HYPERLINK("https://organic.ams.usda.gov/Integrity/Certificate.aspx?cid=71&amp;nopid=5520205939")</f>
        <v>https://organic.ams.usda.gov/Integrity/Certificate.aspx?cid=71&amp;nopid=5520205939</v>
      </c>
    </row>
    <row r="1285">
      <c r="A1285" t="s">
        <v>3</v>
      </c>
      <c r="B1285" s="6" t="s">
        <v>9</v>
      </c>
      <c r="C1285" s="6" t="s">
        <v>56</v>
      </c>
      <c r="D1285" s="6" t="s">
        <v>102</v>
      </c>
      <c r="E1285" s="10" t="s">
        <v>1426</v>
      </c>
      <c r="F1285" s="6" t="s">
        <v>4152</v>
      </c>
      <c r="G1285" s="6" t="s">
        <v>81</v>
      </c>
      <c r="H1285" s="6" t="s">
        <v>7069</v>
      </c>
      <c r="I1285" s="6" t="s">
        <v>9076</v>
      </c>
      <c r="J1285" s="6" t="s">
        <v>10296</v>
      </c>
      <c r="K1285" s="6" t="s">
        <v>10886</v>
      </c>
      <c r="L1285" s="16" t="n">
        <v>42935</v>
      </c>
      <c r="M1285" s="16" t="n">
        <v>45748</v>
      </c>
      <c r="N1285" s="6" t="s">
        <v>10886</v>
      </c>
      <c r="O1285" s="16" t="n">
        <v>42935</v>
      </c>
      <c r="P1285" s="6" t="s">
        <v>10922</v>
      </c>
      <c r="Q1285" s="6" t="s">
        <v>81</v>
      </c>
      <c r="R1285" s="6" t="s">
        <v>12774</v>
      </c>
      <c r="S1285" s="6" t="s">
        <v>10886</v>
      </c>
      <c r="T1285" s="16" t="n">
        <v>42935</v>
      </c>
      <c r="U1285" s="6" t="s">
        <v>13176</v>
      </c>
      <c r="V1285" s="6" t="s">
        <v>81</v>
      </c>
      <c r="W1285" s="6" t="s">
        <v>12774</v>
      </c>
      <c r="X1285" s="6" t="s">
        <v>81</v>
      </c>
      <c r="Y1285" s="21" t="s">
        <v>81</v>
      </c>
      <c r="Z1285" s="6" t="s">
        <v>81</v>
      </c>
      <c r="AA1285" s="6" t="s">
        <v>81</v>
      </c>
      <c r="AB1285" s="6" t="s">
        <v>81</v>
      </c>
      <c r="AC1285" s="6" t="s">
        <v>81</v>
      </c>
      <c r="AD1285" s="21" t="s">
        <v>81</v>
      </c>
      <c r="AE1285" s="6" t="s">
        <v>81</v>
      </c>
      <c r="AF1285" s="6" t="s">
        <v>81</v>
      </c>
      <c r="AG1285" s="6" t="s">
        <v>81</v>
      </c>
      <c r="AH1285" s="6" t="s">
        <v>15854</v>
      </c>
      <c r="AI1285" s="6" t="s">
        <v>81</v>
      </c>
      <c r="AJ1285" s="6" t="s">
        <v>17962</v>
      </c>
      <c r="AK1285" s="6" t="s">
        <v>18377</v>
      </c>
      <c r="AL1285" s="6" t="s">
        <v>18444</v>
      </c>
      <c r="AM1285" s="6" t="s">
        <v>19149</v>
      </c>
      <c r="AN1285" s="6" t="s">
        <v>19686</v>
      </c>
      <c r="AO1285" s="6" t="s">
        <v>19959</v>
      </c>
      <c r="AP1285" s="6" t="s">
        <v>81</v>
      </c>
      <c r="AQ1285" s="6" t="s">
        <v>81</v>
      </c>
      <c r="AR1285" s="6" t="s">
        <v>81</v>
      </c>
      <c r="AS1285" s="6" t="s">
        <v>81</v>
      </c>
      <c r="AT1285" s="6" t="s">
        <v>81</v>
      </c>
      <c r="AU1285" s="6" t="s">
        <v>81</v>
      </c>
      <c r="AV1285" s="6" t="s">
        <v>81</v>
      </c>
      <c r="AW1285" s="6" t="s">
        <v>81</v>
      </c>
      <c r="AX1285" s="6" t="s">
        <v>21551</v>
      </c>
      <c r="AY1285" s="6" t="s">
        <v>23037</v>
      </c>
      <c r="AZ1285" s="6" t="s">
        <v>81</v>
      </c>
      <c r="BA1285" s="6" t="s">
        <v>81</v>
      </c>
      <c r="BB1285" s="24" t="n">
        <v>196</v>
      </c>
      <c r="BC1285" s="26"/>
      <c r="BD1285" s="26"/>
      <c r="BE1285" s="26"/>
      <c r="BF1285" s="26"/>
      <c r="BG1285" s="26"/>
      <c r="BH1285" s="26"/>
      <c r="BI1285" s="26"/>
      <c r="BJ1285" s="26"/>
      <c r="BK1285" s="26"/>
      <c r="BL1285" s="26"/>
      <c r="BM1285" s="26"/>
      <c r="BN1285" s="26"/>
      <c r="BO1285" s="26"/>
      <c r="BP1285" s="16" t="n">
        <v>45738</v>
      </c>
      <c r="BQ1285" s="28" t="str">
        <f>HYPERLINK("https://organic.ams.usda.gov/Integrity/Certificate.aspx?cid=52&amp;nopid=8431701235")</f>
        <v>https://organic.ams.usda.gov/Integrity/Certificate.aspx?cid=52&amp;nopid=8431701235</v>
      </c>
    </row>
    <row r="1286">
      <c r="A1286" t="s">
        <v>3</v>
      </c>
      <c r="B1286" s="6" t="s">
        <v>9</v>
      </c>
      <c r="C1286" s="6" t="s">
        <v>56</v>
      </c>
      <c r="D1286" s="6" t="s">
        <v>102</v>
      </c>
      <c r="E1286" s="10" t="s">
        <v>1427</v>
      </c>
      <c r="F1286" s="6" t="s">
        <v>4153</v>
      </c>
      <c r="G1286" s="6" t="s">
        <v>81</v>
      </c>
      <c r="H1286" s="6" t="s">
        <v>7070</v>
      </c>
      <c r="I1286" s="6" t="s">
        <v>9077</v>
      </c>
      <c r="J1286" s="6" t="s">
        <v>9794</v>
      </c>
      <c r="K1286" s="6" t="s">
        <v>10886</v>
      </c>
      <c r="L1286" s="16" t="n">
        <v>41228</v>
      </c>
      <c r="M1286" s="16" t="n">
        <v>45748</v>
      </c>
      <c r="N1286" s="6" t="s">
        <v>10886</v>
      </c>
      <c r="O1286" s="16" t="n">
        <v>41228</v>
      </c>
      <c r="P1286" s="6" t="s">
        <v>10900</v>
      </c>
      <c r="Q1286" s="6" t="s">
        <v>81</v>
      </c>
      <c r="R1286" s="6" t="s">
        <v>12775</v>
      </c>
      <c r="S1286" s="6" t="s">
        <v>10886</v>
      </c>
      <c r="T1286" s="16" t="n">
        <v>41228</v>
      </c>
      <c r="U1286" s="6" t="s">
        <v>13485</v>
      </c>
      <c r="V1286" s="6" t="s">
        <v>81</v>
      </c>
      <c r="W1286" s="6" t="s">
        <v>12775</v>
      </c>
      <c r="X1286" s="6" t="s">
        <v>81</v>
      </c>
      <c r="Y1286" s="21" t="s">
        <v>81</v>
      </c>
      <c r="Z1286" s="6" t="s">
        <v>81</v>
      </c>
      <c r="AA1286" s="6" t="s">
        <v>81</v>
      </c>
      <c r="AB1286" s="6" t="s">
        <v>81</v>
      </c>
      <c r="AC1286" s="6" t="s">
        <v>81</v>
      </c>
      <c r="AD1286" s="21" t="s">
        <v>81</v>
      </c>
      <c r="AE1286" s="6" t="s">
        <v>81</v>
      </c>
      <c r="AF1286" s="6" t="s">
        <v>81</v>
      </c>
      <c r="AG1286" s="6" t="s">
        <v>81</v>
      </c>
      <c r="AH1286" s="6" t="s">
        <v>15855</v>
      </c>
      <c r="AI1286" s="6" t="s">
        <v>81</v>
      </c>
      <c r="AJ1286" s="6" t="s">
        <v>17469</v>
      </c>
      <c r="AK1286" s="6" t="s">
        <v>18381</v>
      </c>
      <c r="AL1286" s="6" t="s">
        <v>18444</v>
      </c>
      <c r="AM1286" s="6" t="s">
        <v>18631</v>
      </c>
      <c r="AN1286" s="6" t="s">
        <v>19676</v>
      </c>
      <c r="AO1286" s="6" t="s">
        <v>19797</v>
      </c>
      <c r="AP1286" s="6" t="s">
        <v>81</v>
      </c>
      <c r="AQ1286" s="6" t="s">
        <v>81</v>
      </c>
      <c r="AR1286" s="6" t="s">
        <v>81</v>
      </c>
      <c r="AS1286" s="6" t="s">
        <v>81</v>
      </c>
      <c r="AT1286" s="6" t="s">
        <v>81</v>
      </c>
      <c r="AU1286" s="6" t="s">
        <v>81</v>
      </c>
      <c r="AV1286" s="6" t="s">
        <v>81</v>
      </c>
      <c r="AW1286" s="6" t="s">
        <v>81</v>
      </c>
      <c r="AX1286" s="6" t="s">
        <v>21552</v>
      </c>
      <c r="AY1286" s="6" t="s">
        <v>23038</v>
      </c>
      <c r="AZ1286" s="6" t="s">
        <v>81</v>
      </c>
      <c r="BA1286" s="6" t="s">
        <v>81</v>
      </c>
      <c r="BB1286" s="24" t="n">
        <v>374</v>
      </c>
      <c r="BC1286" s="26"/>
      <c r="BD1286" s="26"/>
      <c r="BE1286" s="26"/>
      <c r="BF1286" s="26"/>
      <c r="BG1286" s="26"/>
      <c r="BH1286" s="26"/>
      <c r="BI1286" s="26"/>
      <c r="BJ1286" s="26"/>
      <c r="BK1286" s="26"/>
      <c r="BL1286" s="26"/>
      <c r="BM1286" s="26"/>
      <c r="BN1286" s="26"/>
      <c r="BO1286" s="26"/>
      <c r="BP1286" s="16" t="n">
        <v>45738</v>
      </c>
      <c r="BQ1286" s="28" t="str">
        <f>HYPERLINK("https://organic.ams.usda.gov/Integrity/Certificate.aspx?cid=52&amp;nopid=8431200393")</f>
        <v>https://organic.ams.usda.gov/Integrity/Certificate.aspx?cid=52&amp;nopid=8431200393</v>
      </c>
    </row>
    <row r="1287">
      <c r="A1287" t="s">
        <v>3</v>
      </c>
      <c r="B1287" s="6" t="s">
        <v>13</v>
      </c>
      <c r="C1287" s="6" t="s">
        <v>60</v>
      </c>
      <c r="D1287" s="6" t="s">
        <v>106</v>
      </c>
      <c r="E1287" s="10" t="s">
        <v>1428</v>
      </c>
      <c r="F1287" s="6" t="s">
        <v>4154</v>
      </c>
      <c r="G1287" s="6" t="s">
        <v>81</v>
      </c>
      <c r="H1287" s="6" t="s">
        <v>7071</v>
      </c>
      <c r="I1287" s="6" t="s">
        <v>8552</v>
      </c>
      <c r="J1287" s="6" t="s">
        <v>9742</v>
      </c>
      <c r="K1287" s="6" t="s">
        <v>10886</v>
      </c>
      <c r="L1287" s="16" t="n">
        <v>41513</v>
      </c>
      <c r="M1287" s="16" t="n">
        <v>45748</v>
      </c>
      <c r="N1287" s="6" t="s">
        <v>10886</v>
      </c>
      <c r="O1287" s="16" t="n">
        <v>41513</v>
      </c>
      <c r="P1287" s="6" t="s">
        <v>11662</v>
      </c>
      <c r="Q1287" s="6" t="s">
        <v>81</v>
      </c>
      <c r="R1287" s="6" t="s">
        <v>12776</v>
      </c>
      <c r="S1287" s="6" t="s">
        <v>10886</v>
      </c>
      <c r="T1287" s="16" t="n">
        <v>41513</v>
      </c>
      <c r="U1287" s="6" t="s">
        <v>13588</v>
      </c>
      <c r="V1287" s="6" t="s">
        <v>81</v>
      </c>
      <c r="W1287" s="6" t="s">
        <v>12776</v>
      </c>
      <c r="X1287" s="6" t="s">
        <v>81</v>
      </c>
      <c r="Y1287" s="21" t="s">
        <v>81</v>
      </c>
      <c r="Z1287" s="6" t="s">
        <v>81</v>
      </c>
      <c r="AA1287" s="6" t="s">
        <v>81</v>
      </c>
      <c r="AB1287" s="6" t="s">
        <v>81</v>
      </c>
      <c r="AC1287" s="6" t="s">
        <v>81</v>
      </c>
      <c r="AD1287" s="21" t="s">
        <v>81</v>
      </c>
      <c r="AE1287" s="6" t="s">
        <v>81</v>
      </c>
      <c r="AF1287" s="6" t="s">
        <v>81</v>
      </c>
      <c r="AG1287" s="6" t="s">
        <v>81</v>
      </c>
      <c r="AH1287" s="6" t="s">
        <v>15856</v>
      </c>
      <c r="AI1287" s="6" t="s">
        <v>81</v>
      </c>
      <c r="AJ1287" s="6" t="s">
        <v>17635</v>
      </c>
      <c r="AK1287" s="6" t="s">
        <v>18379</v>
      </c>
      <c r="AL1287" s="6" t="s">
        <v>18444</v>
      </c>
      <c r="AM1287" s="6" t="s">
        <v>18804</v>
      </c>
      <c r="AN1287" s="6" t="s">
        <v>19637</v>
      </c>
      <c r="AO1287" s="6" t="s">
        <v>19723</v>
      </c>
      <c r="AP1287" s="6" t="s">
        <v>15856</v>
      </c>
      <c r="AQ1287" s="6" t="s">
        <v>81</v>
      </c>
      <c r="AR1287" s="6" t="s">
        <v>17635</v>
      </c>
      <c r="AS1287" s="6" t="s">
        <v>18379</v>
      </c>
      <c r="AT1287" s="6" t="s">
        <v>18444</v>
      </c>
      <c r="AU1287" s="6" t="s">
        <v>18804</v>
      </c>
      <c r="AV1287" s="6" t="s">
        <v>81</v>
      </c>
      <c r="AW1287" s="6" t="s">
        <v>81</v>
      </c>
      <c r="AX1287" s="6" t="s">
        <v>21553</v>
      </c>
      <c r="AY1287" s="6" t="s">
        <v>81</v>
      </c>
      <c r="AZ1287" s="6" t="s">
        <v>81</v>
      </c>
      <c r="BA1287" s="6" t="s">
        <v>81</v>
      </c>
      <c r="BB1287" s="24" t="n">
        <v>170</v>
      </c>
      <c r="BC1287" s="26"/>
      <c r="BD1287" s="26"/>
      <c r="BE1287" s="26"/>
      <c r="BF1287" s="26" t="s">
        <v>23900</v>
      </c>
      <c r="BG1287" s="26"/>
      <c r="BH1287" s="26"/>
      <c r="BI1287" s="26"/>
      <c r="BJ1287" s="26"/>
      <c r="BK1287" s="26"/>
      <c r="BL1287" s="26"/>
      <c r="BM1287" s="26"/>
      <c r="BN1287" s="26"/>
      <c r="BO1287" s="26"/>
      <c r="BP1287" s="16" t="n">
        <v>45733</v>
      </c>
      <c r="BQ1287" s="28" t="str">
        <f>HYPERLINK("https://organic.ams.usda.gov/Integrity/Certificate.aspx?cid=72&amp;nopid=5870001678")</f>
        <v>https://organic.ams.usda.gov/Integrity/Certificate.aspx?cid=72&amp;nopid=5870001678</v>
      </c>
    </row>
    <row r="1288">
      <c r="A1288" t="s">
        <v>3</v>
      </c>
      <c r="B1288" s="6" t="s">
        <v>10</v>
      </c>
      <c r="C1288" s="6" t="s">
        <v>57</v>
      </c>
      <c r="D1288" s="6" t="s">
        <v>103</v>
      </c>
      <c r="E1288" s="10" t="s">
        <v>1429</v>
      </c>
      <c r="F1288" s="6" t="s">
        <v>4155</v>
      </c>
      <c r="G1288" s="6" t="s">
        <v>81</v>
      </c>
      <c r="H1288" s="6" t="s">
        <v>7072</v>
      </c>
      <c r="I1288" s="6" t="s">
        <v>9078</v>
      </c>
      <c r="J1288" s="6" t="s">
        <v>9742</v>
      </c>
      <c r="K1288" s="6" t="s">
        <v>10886</v>
      </c>
      <c r="L1288" s="16" t="n">
        <v>42222</v>
      </c>
      <c r="M1288" s="16" t="n">
        <v>45748</v>
      </c>
      <c r="N1288" s="6" t="s">
        <v>10886</v>
      </c>
      <c r="O1288" s="16" t="n">
        <v>42222</v>
      </c>
      <c r="P1288" s="6" t="s">
        <v>11663</v>
      </c>
      <c r="Q1288" s="6" t="s">
        <v>81</v>
      </c>
      <c r="R1288" s="6" t="s">
        <v>12777</v>
      </c>
      <c r="S1288" s="6" t="s">
        <v>10886</v>
      </c>
      <c r="T1288" s="16" t="n">
        <v>42222</v>
      </c>
      <c r="U1288" s="6" t="s">
        <v>13163</v>
      </c>
      <c r="V1288" s="6" t="s">
        <v>81</v>
      </c>
      <c r="W1288" s="6" t="s">
        <v>81</v>
      </c>
      <c r="X1288" s="6" t="s">
        <v>81</v>
      </c>
      <c r="Y1288" s="21" t="s">
        <v>81</v>
      </c>
      <c r="Z1288" s="6" t="s">
        <v>81</v>
      </c>
      <c r="AA1288" s="6" t="s">
        <v>81</v>
      </c>
      <c r="AB1288" s="6" t="s">
        <v>81</v>
      </c>
      <c r="AC1288" s="6" t="s">
        <v>81</v>
      </c>
      <c r="AD1288" s="21" t="s">
        <v>81</v>
      </c>
      <c r="AE1288" s="6" t="s">
        <v>81</v>
      </c>
      <c r="AF1288" s="6" t="s">
        <v>81</v>
      </c>
      <c r="AG1288" s="6" t="s">
        <v>81</v>
      </c>
      <c r="AH1288" s="6" t="s">
        <v>15857</v>
      </c>
      <c r="AI1288" s="6" t="s">
        <v>81</v>
      </c>
      <c r="AJ1288" s="6" t="s">
        <v>17315</v>
      </c>
      <c r="AK1288" s="6" t="s">
        <v>18379</v>
      </c>
      <c r="AL1288" s="6" t="s">
        <v>18444</v>
      </c>
      <c r="AM1288" s="6" t="s">
        <v>18467</v>
      </c>
      <c r="AN1288" s="6" t="s">
        <v>19637</v>
      </c>
      <c r="AO1288" s="6" t="s">
        <v>19723</v>
      </c>
      <c r="AP1288" s="6" t="s">
        <v>15857</v>
      </c>
      <c r="AQ1288" s="6" t="s">
        <v>81</v>
      </c>
      <c r="AR1288" s="6" t="s">
        <v>17315</v>
      </c>
      <c r="AS1288" s="6" t="s">
        <v>18379</v>
      </c>
      <c r="AT1288" s="6" t="s">
        <v>18444</v>
      </c>
      <c r="AU1288" s="6" t="s">
        <v>18467</v>
      </c>
      <c r="AV1288" s="6" t="s">
        <v>81</v>
      </c>
      <c r="AW1288" s="6" t="s">
        <v>81</v>
      </c>
      <c r="AX1288" s="6" t="s">
        <v>21554</v>
      </c>
      <c r="AY1288" s="6" t="s">
        <v>81</v>
      </c>
      <c r="AZ1288" s="6" t="s">
        <v>81</v>
      </c>
      <c r="BA1288" s="6" t="s">
        <v>81</v>
      </c>
      <c r="BB1288" s="24" t="n">
        <v>80</v>
      </c>
      <c r="BC1288" s="26"/>
      <c r="BD1288" s="26"/>
      <c r="BE1288" s="26"/>
      <c r="BF1288" s="26"/>
      <c r="BG1288" s="26"/>
      <c r="BH1288" s="26"/>
      <c r="BI1288" s="26"/>
      <c r="BJ1288" s="26"/>
      <c r="BK1288" s="26"/>
      <c r="BL1288" s="26"/>
      <c r="BM1288" s="26"/>
      <c r="BN1288" s="26"/>
      <c r="BO1288" s="26"/>
      <c r="BP1288" s="16" t="n">
        <v>45730</v>
      </c>
      <c r="BQ1288" s="28" t="str">
        <f>HYPERLINK("https://organic.ams.usda.gov/Integrity/Certificate.aspx?cid=90&amp;nopid=7170210374")</f>
        <v>https://organic.ams.usda.gov/Integrity/Certificate.aspx?cid=90&amp;nopid=7170210374</v>
      </c>
    </row>
    <row r="1289">
      <c r="A1289" t="s">
        <v>3</v>
      </c>
      <c r="B1289" s="6" t="s">
        <v>12</v>
      </c>
      <c r="C1289" s="6" t="s">
        <v>59</v>
      </c>
      <c r="D1289" s="6" t="s">
        <v>105</v>
      </c>
      <c r="E1289" s="10" t="s">
        <v>1430</v>
      </c>
      <c r="F1289" s="6" t="s">
        <v>4156</v>
      </c>
      <c r="G1289" s="6" t="s">
        <v>81</v>
      </c>
      <c r="H1289" s="6" t="s">
        <v>7073</v>
      </c>
      <c r="I1289" s="6" t="s">
        <v>9079</v>
      </c>
      <c r="J1289" s="6" t="s">
        <v>10297</v>
      </c>
      <c r="K1289" s="6" t="s">
        <v>10886</v>
      </c>
      <c r="L1289" s="16" t="n">
        <v>43738</v>
      </c>
      <c r="M1289" s="16" t="n">
        <v>45717</v>
      </c>
      <c r="N1289" s="6" t="s">
        <v>10886</v>
      </c>
      <c r="O1289" s="16" t="n">
        <v>43738</v>
      </c>
      <c r="P1289" s="6" t="s">
        <v>11664</v>
      </c>
      <c r="Q1289" s="6" t="s">
        <v>81</v>
      </c>
      <c r="R1289" s="6" t="s">
        <v>81</v>
      </c>
      <c r="S1289" s="6" t="s">
        <v>10886</v>
      </c>
      <c r="T1289" s="16" t="n">
        <v>43738</v>
      </c>
      <c r="U1289" s="6" t="s">
        <v>13183</v>
      </c>
      <c r="V1289" s="6" t="s">
        <v>81</v>
      </c>
      <c r="W1289" s="6" t="s">
        <v>81</v>
      </c>
      <c r="X1289" s="6" t="s">
        <v>81</v>
      </c>
      <c r="Y1289" s="21" t="s">
        <v>81</v>
      </c>
      <c r="Z1289" s="6" t="s">
        <v>81</v>
      </c>
      <c r="AA1289" s="6" t="s">
        <v>81</v>
      </c>
      <c r="AB1289" s="6" t="s">
        <v>81</v>
      </c>
      <c r="AC1289" s="6" t="s">
        <v>81</v>
      </c>
      <c r="AD1289" s="21" t="s">
        <v>81</v>
      </c>
      <c r="AE1289" s="6" t="s">
        <v>81</v>
      </c>
      <c r="AF1289" s="6" t="s">
        <v>81</v>
      </c>
      <c r="AG1289" s="6" t="s">
        <v>81</v>
      </c>
      <c r="AH1289" s="6" t="s">
        <v>15858</v>
      </c>
      <c r="AI1289" s="6" t="s">
        <v>81</v>
      </c>
      <c r="AJ1289" s="6" t="s">
        <v>17404</v>
      </c>
      <c r="AK1289" s="6" t="s">
        <v>18380</v>
      </c>
      <c r="AL1289" s="6" t="s">
        <v>18444</v>
      </c>
      <c r="AM1289" s="6" t="s">
        <v>18560</v>
      </c>
      <c r="AN1289" s="6" t="s">
        <v>19639</v>
      </c>
      <c r="AO1289" s="6" t="s">
        <v>19725</v>
      </c>
      <c r="AP1289" s="6" t="s">
        <v>15858</v>
      </c>
      <c r="AQ1289" s="6" t="s">
        <v>81</v>
      </c>
      <c r="AR1289" s="6" t="s">
        <v>17404</v>
      </c>
      <c r="AS1289" s="6" t="s">
        <v>18380</v>
      </c>
      <c r="AT1289" s="6" t="s">
        <v>18444</v>
      </c>
      <c r="AU1289" s="6" t="s">
        <v>18560</v>
      </c>
      <c r="AV1289" s="6" t="s">
        <v>81</v>
      </c>
      <c r="AW1289" s="6" t="s">
        <v>81</v>
      </c>
      <c r="AX1289" s="6" t="s">
        <v>21555</v>
      </c>
      <c r="AY1289" s="6" t="s">
        <v>81</v>
      </c>
      <c r="AZ1289" s="6" t="s">
        <v>81</v>
      </c>
      <c r="BA1289" s="6" t="s">
        <v>81</v>
      </c>
      <c r="BB1289" s="24" t="n">
        <v>96</v>
      </c>
      <c r="BC1289" s="26"/>
      <c r="BD1289" s="26"/>
      <c r="BE1289" s="26"/>
      <c r="BF1289" s="26"/>
      <c r="BG1289" s="26"/>
      <c r="BH1289" s="26"/>
      <c r="BI1289" s="26"/>
      <c r="BJ1289" s="26"/>
      <c r="BK1289" s="26"/>
      <c r="BL1289" s="26"/>
      <c r="BM1289" s="26"/>
      <c r="BN1289" s="26"/>
      <c r="BO1289" s="26"/>
      <c r="BP1289" s="16" t="n">
        <v>45684</v>
      </c>
      <c r="BQ1289" s="28" t="str">
        <f>HYPERLINK("https://organic.ams.usda.gov/Integrity/Certificate.aspx?cid=68&amp;nopid=8210005186")</f>
        <v>https://organic.ams.usda.gov/Integrity/Certificate.aspx?cid=68&amp;nopid=8210005186</v>
      </c>
    </row>
    <row r="1290">
      <c r="A1290" t="s">
        <v>3</v>
      </c>
      <c r="B1290" s="6" t="s">
        <v>15</v>
      </c>
      <c r="C1290" s="6" t="s">
        <v>62</v>
      </c>
      <c r="D1290" s="6" t="s">
        <v>108</v>
      </c>
      <c r="E1290" s="10" t="s">
        <v>1431</v>
      </c>
      <c r="F1290" s="6" t="s">
        <v>4157</v>
      </c>
      <c r="G1290" s="6" t="s">
        <v>5710</v>
      </c>
      <c r="H1290" s="6" t="s">
        <v>7074</v>
      </c>
      <c r="I1290" s="6" t="s">
        <v>8552</v>
      </c>
      <c r="J1290" s="6" t="s">
        <v>9665</v>
      </c>
      <c r="K1290" s="6" t="s">
        <v>10886</v>
      </c>
      <c r="L1290" s="16" t="n">
        <v>40856</v>
      </c>
      <c r="M1290" s="16" t="n">
        <v>46157</v>
      </c>
      <c r="N1290" s="6" t="s">
        <v>10886</v>
      </c>
      <c r="O1290" s="16" t="n">
        <v>40856</v>
      </c>
      <c r="P1290" s="6" t="s">
        <v>11665</v>
      </c>
      <c r="Q1290" s="6" t="s">
        <v>81</v>
      </c>
      <c r="R1290" s="6" t="s">
        <v>81</v>
      </c>
      <c r="S1290" s="6" t="s">
        <v>10886</v>
      </c>
      <c r="T1290" s="16" t="n">
        <v>40856</v>
      </c>
      <c r="U1290" s="6" t="s">
        <v>13589</v>
      </c>
      <c r="V1290" s="6" t="s">
        <v>81</v>
      </c>
      <c r="W1290" s="6" t="s">
        <v>81</v>
      </c>
      <c r="X1290" s="6" t="s">
        <v>81</v>
      </c>
      <c r="Y1290" s="21" t="s">
        <v>81</v>
      </c>
      <c r="Z1290" s="6" t="s">
        <v>81</v>
      </c>
      <c r="AA1290" s="6" t="s">
        <v>81</v>
      </c>
      <c r="AB1290" s="6" t="s">
        <v>81</v>
      </c>
      <c r="AC1290" s="6" t="s">
        <v>81</v>
      </c>
      <c r="AD1290" s="21" t="s">
        <v>81</v>
      </c>
      <c r="AE1290" s="6" t="s">
        <v>81</v>
      </c>
      <c r="AF1290" s="6" t="s">
        <v>81</v>
      </c>
      <c r="AG1290" s="6" t="s">
        <v>81</v>
      </c>
      <c r="AH1290" s="6" t="s">
        <v>15859</v>
      </c>
      <c r="AI1290" s="6" t="s">
        <v>81</v>
      </c>
      <c r="AJ1290" s="6" t="s">
        <v>17963</v>
      </c>
      <c r="AK1290" s="6" t="s">
        <v>18378</v>
      </c>
      <c r="AL1290" s="6" t="s">
        <v>18444</v>
      </c>
      <c r="AM1290" s="6" t="s">
        <v>19150</v>
      </c>
      <c r="AN1290" s="6" t="s">
        <v>19646</v>
      </c>
      <c r="AO1290" s="6" t="s">
        <v>19986</v>
      </c>
      <c r="AP1290" s="6" t="s">
        <v>15859</v>
      </c>
      <c r="AQ1290" s="6" t="s">
        <v>81</v>
      </c>
      <c r="AR1290" s="6" t="s">
        <v>17963</v>
      </c>
      <c r="AS1290" s="6" t="s">
        <v>18378</v>
      </c>
      <c r="AT1290" s="6" t="s">
        <v>18444</v>
      </c>
      <c r="AU1290" s="6" t="s">
        <v>19150</v>
      </c>
      <c r="AV1290" s="6" t="s">
        <v>81</v>
      </c>
      <c r="AW1290" s="6" t="s">
        <v>81</v>
      </c>
      <c r="AX1290" s="6" t="s">
        <v>21556</v>
      </c>
      <c r="AY1290" s="6" t="s">
        <v>81</v>
      </c>
      <c r="AZ1290" s="6" t="s">
        <v>81</v>
      </c>
      <c r="BA1290" s="6" t="s">
        <v>81</v>
      </c>
      <c r="BB1290" s="24" t="n">
        <v>176</v>
      </c>
      <c r="BC1290" s="26"/>
      <c r="BD1290" s="26"/>
      <c r="BE1290" s="26"/>
      <c r="BF1290" s="26" t="s">
        <v>23900</v>
      </c>
      <c r="BG1290" s="26"/>
      <c r="BH1290" s="26"/>
      <c r="BI1290" s="26"/>
      <c r="BJ1290" s="26"/>
      <c r="BK1290" s="26"/>
      <c r="BL1290" s="26"/>
      <c r="BM1290" s="26"/>
      <c r="BN1290" s="26"/>
      <c r="BO1290" s="26"/>
      <c r="BP1290" s="16" t="n">
        <v>45737</v>
      </c>
      <c r="BQ1290" s="28" t="str">
        <f>HYPERLINK("https://organic.ams.usda.gov/Integrity/Certificate.aspx?cid=58&amp;nopid=1600001914")</f>
        <v>https://organic.ams.usda.gov/Integrity/Certificate.aspx?cid=58&amp;nopid=1600001914</v>
      </c>
    </row>
    <row r="1291">
      <c r="A1291" t="s">
        <v>3</v>
      </c>
      <c r="B1291" s="6" t="s">
        <v>29</v>
      </c>
      <c r="C1291" s="6" t="s">
        <v>76</v>
      </c>
      <c r="D1291" s="6" t="s">
        <v>122</v>
      </c>
      <c r="E1291" s="10" t="s">
        <v>1432</v>
      </c>
      <c r="F1291" s="6" t="s">
        <v>4158</v>
      </c>
      <c r="G1291" s="6" t="s">
        <v>5711</v>
      </c>
      <c r="H1291" s="6" t="s">
        <v>7075</v>
      </c>
      <c r="I1291" s="6" t="s">
        <v>9080</v>
      </c>
      <c r="J1291" s="6" t="s">
        <v>9667</v>
      </c>
      <c r="K1291" s="6" t="s">
        <v>10886</v>
      </c>
      <c r="L1291" s="16" t="n">
        <v>45434</v>
      </c>
      <c r="M1291" s="16" t="n">
        <v>45870</v>
      </c>
      <c r="N1291" s="6" t="s">
        <v>10886</v>
      </c>
      <c r="O1291" s="16" t="n">
        <v>45434</v>
      </c>
      <c r="P1291" s="6" t="s">
        <v>10910</v>
      </c>
      <c r="Q1291" s="6" t="s">
        <v>81</v>
      </c>
      <c r="R1291" s="6" t="s">
        <v>12778</v>
      </c>
      <c r="S1291" s="6" t="s">
        <v>10886</v>
      </c>
      <c r="T1291" s="16" t="n">
        <v>45434</v>
      </c>
      <c r="U1291" s="6" t="s">
        <v>13590</v>
      </c>
      <c r="V1291" s="6" t="s">
        <v>81</v>
      </c>
      <c r="W1291" s="6" t="s">
        <v>12778</v>
      </c>
      <c r="X1291" s="6" t="s">
        <v>81</v>
      </c>
      <c r="Y1291" s="21" t="s">
        <v>81</v>
      </c>
      <c r="Z1291" s="6" t="s">
        <v>81</v>
      </c>
      <c r="AA1291" s="6" t="s">
        <v>81</v>
      </c>
      <c r="AB1291" s="6" t="s">
        <v>81</v>
      </c>
      <c r="AC1291" s="6" t="s">
        <v>81</v>
      </c>
      <c r="AD1291" s="21" t="s">
        <v>81</v>
      </c>
      <c r="AE1291" s="6" t="s">
        <v>81</v>
      </c>
      <c r="AF1291" s="6" t="s">
        <v>81</v>
      </c>
      <c r="AG1291" s="6" t="s">
        <v>81</v>
      </c>
      <c r="AH1291" s="6" t="s">
        <v>15860</v>
      </c>
      <c r="AI1291" s="6" t="s">
        <v>81</v>
      </c>
      <c r="AJ1291" s="6" t="s">
        <v>17959</v>
      </c>
      <c r="AK1291" s="6" t="s">
        <v>18380</v>
      </c>
      <c r="AL1291" s="6" t="s">
        <v>18444</v>
      </c>
      <c r="AM1291" s="6" t="s">
        <v>19146</v>
      </c>
      <c r="AN1291" s="6" t="s">
        <v>81</v>
      </c>
      <c r="AO1291" s="6" t="s">
        <v>81</v>
      </c>
      <c r="AP1291" s="6" t="s">
        <v>81</v>
      </c>
      <c r="AQ1291" s="6" t="s">
        <v>81</v>
      </c>
      <c r="AR1291" s="6" t="s">
        <v>81</v>
      </c>
      <c r="AS1291" s="6" t="s">
        <v>81</v>
      </c>
      <c r="AT1291" s="6" t="s">
        <v>81</v>
      </c>
      <c r="AU1291" s="6" t="s">
        <v>81</v>
      </c>
      <c r="AV1291" s="6" t="s">
        <v>81</v>
      </c>
      <c r="AW1291" s="6" t="s">
        <v>81</v>
      </c>
      <c r="AX1291" s="6" t="s">
        <v>21557</v>
      </c>
      <c r="AY1291" s="6" t="s">
        <v>81</v>
      </c>
      <c r="AZ1291" s="6" t="s">
        <v>81</v>
      </c>
      <c r="BA1291" s="6" t="s">
        <v>81</v>
      </c>
      <c r="BB1291" s="24" t="n">
        <v>96</v>
      </c>
      <c r="BC1291" s="26"/>
      <c r="BD1291" s="26"/>
      <c r="BE1291" s="26"/>
      <c r="BF1291" s="26" t="s">
        <v>23900</v>
      </c>
      <c r="BG1291" s="26"/>
      <c r="BH1291" s="26"/>
      <c r="BI1291" s="26"/>
      <c r="BJ1291" s="26"/>
      <c r="BK1291" s="26"/>
      <c r="BL1291" s="26"/>
      <c r="BM1291" s="26"/>
      <c r="BN1291" s="26"/>
      <c r="BO1291" s="26"/>
      <c r="BP1291" s="16" t="n">
        <v>45737</v>
      </c>
      <c r="BQ1291" s="28" t="str">
        <f>HYPERLINK("https://organic.ams.usda.gov/Integrity/Certificate.aspx?cid=31&amp;nopid=3928972400")</f>
        <v>https://organic.ams.usda.gov/Integrity/Certificate.aspx?cid=31&amp;nopid=3928972400</v>
      </c>
    </row>
    <row r="1292">
      <c r="A1292" t="s">
        <v>3</v>
      </c>
      <c r="B1292" s="6" t="s">
        <v>7</v>
      </c>
      <c r="C1292" s="6" t="s">
        <v>54</v>
      </c>
      <c r="D1292" s="6" t="s">
        <v>100</v>
      </c>
      <c r="E1292" s="10" t="s">
        <v>1433</v>
      </c>
      <c r="F1292" s="6" t="s">
        <v>4159</v>
      </c>
      <c r="G1292" s="6" t="s">
        <v>81</v>
      </c>
      <c r="H1292" s="6" t="s">
        <v>7076</v>
      </c>
      <c r="I1292" s="6" t="s">
        <v>8552</v>
      </c>
      <c r="J1292" s="6" t="s">
        <v>9667</v>
      </c>
      <c r="K1292" s="6" t="s">
        <v>10886</v>
      </c>
      <c r="L1292" s="16" t="n">
        <v>42173</v>
      </c>
      <c r="M1292" s="16" t="n">
        <v>45716</v>
      </c>
      <c r="N1292" s="6" t="s">
        <v>10886</v>
      </c>
      <c r="O1292" s="16" t="n">
        <v>40798</v>
      </c>
      <c r="P1292" s="6" t="s">
        <v>11666</v>
      </c>
      <c r="Q1292" s="6" t="s">
        <v>81</v>
      </c>
      <c r="R1292" s="6" t="s">
        <v>81</v>
      </c>
      <c r="S1292" s="6" t="s">
        <v>10886</v>
      </c>
      <c r="T1292" s="16" t="n">
        <v>40798</v>
      </c>
      <c r="U1292" s="6" t="s">
        <v>13169</v>
      </c>
      <c r="V1292" s="6" t="s">
        <v>81</v>
      </c>
      <c r="W1292" s="6" t="s">
        <v>81</v>
      </c>
      <c r="X1292" s="6" t="s">
        <v>81</v>
      </c>
      <c r="Y1292" s="21" t="s">
        <v>81</v>
      </c>
      <c r="Z1292" s="6" t="s">
        <v>81</v>
      </c>
      <c r="AA1292" s="6" t="s">
        <v>81</v>
      </c>
      <c r="AB1292" s="6" t="s">
        <v>81</v>
      </c>
      <c r="AC1292" s="6" t="s">
        <v>81</v>
      </c>
      <c r="AD1292" s="21" t="s">
        <v>81</v>
      </c>
      <c r="AE1292" s="6" t="s">
        <v>81</v>
      </c>
      <c r="AF1292" s="6" t="s">
        <v>81</v>
      </c>
      <c r="AG1292" s="6" t="s">
        <v>81</v>
      </c>
      <c r="AH1292" s="6" t="s">
        <v>15861</v>
      </c>
      <c r="AI1292" s="6" t="s">
        <v>81</v>
      </c>
      <c r="AJ1292" s="6" t="s">
        <v>17625</v>
      </c>
      <c r="AK1292" s="6" t="s">
        <v>17712</v>
      </c>
      <c r="AL1292" s="6" t="s">
        <v>18444</v>
      </c>
      <c r="AM1292" s="6" t="s">
        <v>18792</v>
      </c>
      <c r="AN1292" s="6" t="s">
        <v>7195</v>
      </c>
      <c r="AO1292" s="6" t="s">
        <v>19735</v>
      </c>
      <c r="AP1292" s="6" t="s">
        <v>15861</v>
      </c>
      <c r="AQ1292" s="6" t="s">
        <v>81</v>
      </c>
      <c r="AR1292" s="6" t="s">
        <v>17625</v>
      </c>
      <c r="AS1292" s="6" t="s">
        <v>17712</v>
      </c>
      <c r="AT1292" s="6" t="s">
        <v>18444</v>
      </c>
      <c r="AU1292" s="6" t="s">
        <v>18792</v>
      </c>
      <c r="AV1292" s="6" t="s">
        <v>81</v>
      </c>
      <c r="AW1292" s="6" t="s">
        <v>81</v>
      </c>
      <c r="AX1292" s="6" t="s">
        <v>21558</v>
      </c>
      <c r="AY1292" s="6" t="s">
        <v>81</v>
      </c>
      <c r="AZ1292" s="6" t="s">
        <v>81</v>
      </c>
      <c r="BA1292" s="6" t="s">
        <v>81</v>
      </c>
      <c r="BB1292" s="24" t="n">
        <v>164</v>
      </c>
      <c r="BC1292" s="26"/>
      <c r="BD1292" s="26"/>
      <c r="BE1292" s="26"/>
      <c r="BF1292" s="26"/>
      <c r="BG1292" s="26"/>
      <c r="BH1292" s="26"/>
      <c r="BI1292" s="26"/>
      <c r="BJ1292" s="26"/>
      <c r="BK1292" s="26"/>
      <c r="BL1292" s="26"/>
      <c r="BM1292" s="26"/>
      <c r="BN1292" s="26"/>
      <c r="BO1292" s="26"/>
      <c r="BP1292" s="16" t="n">
        <v>45595</v>
      </c>
      <c r="BQ1292" s="28" t="str">
        <f>HYPERLINK("https://organic.ams.usda.gov/Integrity/Certificate.aspx?cid=57&amp;nopid=3252015034")</f>
        <v>https://organic.ams.usda.gov/Integrity/Certificate.aspx?cid=57&amp;nopid=3252015034</v>
      </c>
    </row>
    <row r="1293">
      <c r="A1293" t="s">
        <v>3</v>
      </c>
      <c r="B1293" s="6" t="s">
        <v>9</v>
      </c>
      <c r="C1293" s="6" t="s">
        <v>56</v>
      </c>
      <c r="D1293" s="6" t="s">
        <v>102</v>
      </c>
      <c r="E1293" s="10" t="s">
        <v>1434</v>
      </c>
      <c r="F1293" s="6" t="s">
        <v>4160</v>
      </c>
      <c r="G1293" s="6" t="s">
        <v>81</v>
      </c>
      <c r="H1293" s="6" t="s">
        <v>7077</v>
      </c>
      <c r="I1293" s="6" t="s">
        <v>8552</v>
      </c>
      <c r="J1293" s="6" t="s">
        <v>9742</v>
      </c>
      <c r="K1293" s="6" t="s">
        <v>10886</v>
      </c>
      <c r="L1293" s="16" t="n">
        <v>42009</v>
      </c>
      <c r="M1293" s="16" t="n">
        <v>46113</v>
      </c>
      <c r="N1293" s="6" t="s">
        <v>10886</v>
      </c>
      <c r="O1293" s="16" t="n">
        <v>42009</v>
      </c>
      <c r="P1293" s="6" t="s">
        <v>11001</v>
      </c>
      <c r="Q1293" s="6" t="s">
        <v>81</v>
      </c>
      <c r="R1293" s="6" t="s">
        <v>12779</v>
      </c>
      <c r="S1293" s="6" t="s">
        <v>10886</v>
      </c>
      <c r="T1293" s="16" t="n">
        <v>42009</v>
      </c>
      <c r="U1293" s="6" t="s">
        <v>13223</v>
      </c>
      <c r="V1293" s="6" t="s">
        <v>81</v>
      </c>
      <c r="W1293" s="6" t="s">
        <v>12779</v>
      </c>
      <c r="X1293" s="6" t="s">
        <v>81</v>
      </c>
      <c r="Y1293" s="21" t="s">
        <v>81</v>
      </c>
      <c r="Z1293" s="6" t="s">
        <v>81</v>
      </c>
      <c r="AA1293" s="6" t="s">
        <v>81</v>
      </c>
      <c r="AB1293" s="6" t="s">
        <v>81</v>
      </c>
      <c r="AC1293" s="6" t="s">
        <v>81</v>
      </c>
      <c r="AD1293" s="21" t="s">
        <v>81</v>
      </c>
      <c r="AE1293" s="6" t="s">
        <v>81</v>
      </c>
      <c r="AF1293" s="6" t="s">
        <v>81</v>
      </c>
      <c r="AG1293" s="6" t="s">
        <v>81</v>
      </c>
      <c r="AH1293" s="6" t="s">
        <v>15862</v>
      </c>
      <c r="AI1293" s="6" t="s">
        <v>81</v>
      </c>
      <c r="AJ1293" s="6" t="s">
        <v>17635</v>
      </c>
      <c r="AK1293" s="6" t="s">
        <v>18379</v>
      </c>
      <c r="AL1293" s="6" t="s">
        <v>18444</v>
      </c>
      <c r="AM1293" s="6" t="s">
        <v>18804</v>
      </c>
      <c r="AN1293" s="6" t="s">
        <v>19637</v>
      </c>
      <c r="AO1293" s="6" t="s">
        <v>19723</v>
      </c>
      <c r="AP1293" s="6" t="s">
        <v>81</v>
      </c>
      <c r="AQ1293" s="6" t="s">
        <v>81</v>
      </c>
      <c r="AR1293" s="6" t="s">
        <v>81</v>
      </c>
      <c r="AS1293" s="6" t="s">
        <v>81</v>
      </c>
      <c r="AT1293" s="6" t="s">
        <v>81</v>
      </c>
      <c r="AU1293" s="6" t="s">
        <v>81</v>
      </c>
      <c r="AV1293" s="6" t="s">
        <v>81</v>
      </c>
      <c r="AW1293" s="6" t="s">
        <v>81</v>
      </c>
      <c r="AX1293" s="6" t="s">
        <v>81</v>
      </c>
      <c r="AY1293" s="6" t="s">
        <v>81</v>
      </c>
      <c r="AZ1293" s="6" t="s">
        <v>81</v>
      </c>
      <c r="BA1293" s="6" t="s">
        <v>81</v>
      </c>
      <c r="BB1293" s="24" t="n">
        <v>130</v>
      </c>
      <c r="BC1293" s="26"/>
      <c r="BD1293" s="26"/>
      <c r="BE1293" s="26"/>
      <c r="BF1293" s="26"/>
      <c r="BG1293" s="26"/>
      <c r="BH1293" s="26"/>
      <c r="BI1293" s="26"/>
      <c r="BJ1293" s="26"/>
      <c r="BK1293" s="26"/>
      <c r="BL1293" s="26"/>
      <c r="BM1293" s="26"/>
      <c r="BN1293" s="26"/>
      <c r="BO1293" s="26"/>
      <c r="BP1293" s="16" t="n">
        <v>45738</v>
      </c>
      <c r="BQ1293" s="28" t="str">
        <f>HYPERLINK("https://organic.ams.usda.gov/Integrity/Certificate.aspx?cid=52&amp;nopid=8431400914")</f>
        <v>https://organic.ams.usda.gov/Integrity/Certificate.aspx?cid=52&amp;nopid=8431400914</v>
      </c>
    </row>
    <row r="1294">
      <c r="A1294" t="s">
        <v>3</v>
      </c>
      <c r="B1294" s="6" t="s">
        <v>7</v>
      </c>
      <c r="C1294" s="6" t="s">
        <v>54</v>
      </c>
      <c r="D1294" s="6" t="s">
        <v>100</v>
      </c>
      <c r="E1294" s="10" t="s">
        <v>1435</v>
      </c>
      <c r="F1294" s="6" t="s">
        <v>4161</v>
      </c>
      <c r="G1294" s="6" t="s">
        <v>81</v>
      </c>
      <c r="H1294" s="6" t="s">
        <v>7078</v>
      </c>
      <c r="I1294" s="6" t="s">
        <v>8552</v>
      </c>
      <c r="J1294" s="6" t="s">
        <v>10298</v>
      </c>
      <c r="K1294" s="6" t="s">
        <v>10886</v>
      </c>
      <c r="L1294" s="16" t="n">
        <v>42627</v>
      </c>
      <c r="M1294" s="16" t="n">
        <v>45716</v>
      </c>
      <c r="N1294" s="6" t="s">
        <v>10886</v>
      </c>
      <c r="O1294" s="16" t="n">
        <v>42627</v>
      </c>
      <c r="P1294" s="6" t="s">
        <v>10944</v>
      </c>
      <c r="Q1294" s="6" t="s">
        <v>81</v>
      </c>
      <c r="R1294" s="6" t="s">
        <v>81</v>
      </c>
      <c r="S1294" s="6" t="s">
        <v>10886</v>
      </c>
      <c r="T1294" s="16" t="n">
        <v>42880</v>
      </c>
      <c r="U1294" s="6" t="s">
        <v>13169</v>
      </c>
      <c r="V1294" s="6" t="s">
        <v>81</v>
      </c>
      <c r="W1294" s="6" t="s">
        <v>81</v>
      </c>
      <c r="X1294" s="6" t="s">
        <v>81</v>
      </c>
      <c r="Y1294" s="21" t="s">
        <v>81</v>
      </c>
      <c r="Z1294" s="6" t="s">
        <v>81</v>
      </c>
      <c r="AA1294" s="6" t="s">
        <v>81</v>
      </c>
      <c r="AB1294" s="6" t="s">
        <v>81</v>
      </c>
      <c r="AC1294" s="6" t="s">
        <v>81</v>
      </c>
      <c r="AD1294" s="21" t="s">
        <v>81</v>
      </c>
      <c r="AE1294" s="6" t="s">
        <v>81</v>
      </c>
      <c r="AF1294" s="6" t="s">
        <v>81</v>
      </c>
      <c r="AG1294" s="6" t="s">
        <v>81</v>
      </c>
      <c r="AH1294" s="6" t="s">
        <v>15863</v>
      </c>
      <c r="AI1294" s="6" t="s">
        <v>81</v>
      </c>
      <c r="AJ1294" s="6" t="s">
        <v>17435</v>
      </c>
      <c r="AK1294" s="6" t="s">
        <v>17712</v>
      </c>
      <c r="AL1294" s="6" t="s">
        <v>18444</v>
      </c>
      <c r="AM1294" s="6" t="s">
        <v>5928</v>
      </c>
      <c r="AN1294" s="6" t="s">
        <v>19651</v>
      </c>
      <c r="AO1294" s="6" t="s">
        <v>19741</v>
      </c>
      <c r="AP1294" s="6" t="s">
        <v>15863</v>
      </c>
      <c r="AQ1294" s="6" t="s">
        <v>81</v>
      </c>
      <c r="AR1294" s="6" t="s">
        <v>17435</v>
      </c>
      <c r="AS1294" s="6" t="s">
        <v>17712</v>
      </c>
      <c r="AT1294" s="6" t="s">
        <v>18444</v>
      </c>
      <c r="AU1294" s="6" t="s">
        <v>5928</v>
      </c>
      <c r="AV1294" s="6" t="s">
        <v>81</v>
      </c>
      <c r="AW1294" s="6" t="s">
        <v>81</v>
      </c>
      <c r="AX1294" s="6" t="s">
        <v>21559</v>
      </c>
      <c r="AY1294" s="6" t="s">
        <v>81</v>
      </c>
      <c r="AZ1294" s="6" t="s">
        <v>81</v>
      </c>
      <c r="BA1294" s="6" t="s">
        <v>81</v>
      </c>
      <c r="BB1294" s="24" t="n">
        <v>412</v>
      </c>
      <c r="BC1294" s="26"/>
      <c r="BD1294" s="26"/>
      <c r="BE1294" s="26"/>
      <c r="BF1294" s="26" t="s">
        <v>23900</v>
      </c>
      <c r="BG1294" s="26"/>
      <c r="BH1294" s="26"/>
      <c r="BI1294" s="26"/>
      <c r="BJ1294" s="26"/>
      <c r="BK1294" s="26"/>
      <c r="BL1294" s="26"/>
      <c r="BM1294" s="26"/>
      <c r="BN1294" s="26"/>
      <c r="BO1294" s="26"/>
      <c r="BP1294" s="16" t="n">
        <v>45595</v>
      </c>
      <c r="BQ1294" s="28" t="str">
        <f>HYPERLINK("https://organic.ams.usda.gov/Integrity/Certificate.aspx?cid=57&amp;nopid=3252016101")</f>
        <v>https://organic.ams.usda.gov/Integrity/Certificate.aspx?cid=57&amp;nopid=3252016101</v>
      </c>
    </row>
    <row r="1295">
      <c r="A1295" t="s">
        <v>3</v>
      </c>
      <c r="B1295" s="6" t="s">
        <v>13</v>
      </c>
      <c r="C1295" s="6" t="s">
        <v>60</v>
      </c>
      <c r="D1295" s="6" t="s">
        <v>106</v>
      </c>
      <c r="E1295" s="10" t="s">
        <v>1436</v>
      </c>
      <c r="F1295" s="6" t="s">
        <v>4162</v>
      </c>
      <c r="G1295" s="6" t="s">
        <v>81</v>
      </c>
      <c r="H1295" s="6" t="s">
        <v>6472</v>
      </c>
      <c r="I1295" s="6" t="s">
        <v>8552</v>
      </c>
      <c r="J1295" s="6" t="s">
        <v>9672</v>
      </c>
      <c r="K1295" s="6" t="s">
        <v>10886</v>
      </c>
      <c r="L1295" s="16" t="n">
        <v>41297</v>
      </c>
      <c r="M1295" s="16" t="n">
        <v>46024</v>
      </c>
      <c r="N1295" s="6" t="s">
        <v>10886</v>
      </c>
      <c r="O1295" s="16" t="n">
        <v>41297</v>
      </c>
      <c r="P1295" s="6" t="s">
        <v>11667</v>
      </c>
      <c r="Q1295" s="6" t="s">
        <v>81</v>
      </c>
      <c r="R1295" s="6" t="s">
        <v>12780</v>
      </c>
      <c r="S1295" s="6" t="s">
        <v>10886</v>
      </c>
      <c r="T1295" s="16" t="n">
        <v>41297</v>
      </c>
      <c r="U1295" s="6" t="s">
        <v>13325</v>
      </c>
      <c r="V1295" s="6" t="s">
        <v>81</v>
      </c>
      <c r="W1295" s="6" t="s">
        <v>12780</v>
      </c>
      <c r="X1295" s="6" t="s">
        <v>81</v>
      </c>
      <c r="Y1295" s="21" t="s">
        <v>81</v>
      </c>
      <c r="Z1295" s="6" t="s">
        <v>81</v>
      </c>
      <c r="AA1295" s="6" t="s">
        <v>81</v>
      </c>
      <c r="AB1295" s="6" t="s">
        <v>81</v>
      </c>
      <c r="AC1295" s="6" t="s">
        <v>81</v>
      </c>
      <c r="AD1295" s="21" t="s">
        <v>81</v>
      </c>
      <c r="AE1295" s="6" t="s">
        <v>81</v>
      </c>
      <c r="AF1295" s="6" t="s">
        <v>81</v>
      </c>
      <c r="AG1295" s="6" t="s">
        <v>81</v>
      </c>
      <c r="AH1295" s="6" t="s">
        <v>15864</v>
      </c>
      <c r="AI1295" s="6" t="s">
        <v>81</v>
      </c>
      <c r="AJ1295" s="6" t="s">
        <v>17318</v>
      </c>
      <c r="AK1295" s="6" t="s">
        <v>18379</v>
      </c>
      <c r="AL1295" s="6" t="s">
        <v>18444</v>
      </c>
      <c r="AM1295" s="6" t="s">
        <v>18470</v>
      </c>
      <c r="AN1295" s="6" t="s">
        <v>6842</v>
      </c>
      <c r="AO1295" s="6" t="s">
        <v>19781</v>
      </c>
      <c r="AP1295" s="6" t="s">
        <v>15864</v>
      </c>
      <c r="AQ1295" s="6" t="s">
        <v>81</v>
      </c>
      <c r="AR1295" s="6" t="s">
        <v>17318</v>
      </c>
      <c r="AS1295" s="6" t="s">
        <v>18379</v>
      </c>
      <c r="AT1295" s="6" t="s">
        <v>18444</v>
      </c>
      <c r="AU1295" s="6" t="s">
        <v>18470</v>
      </c>
      <c r="AV1295" s="6" t="s">
        <v>81</v>
      </c>
      <c r="AW1295" s="6" t="s">
        <v>81</v>
      </c>
      <c r="AX1295" s="6" t="s">
        <v>21542</v>
      </c>
      <c r="AY1295" s="6" t="s">
        <v>81</v>
      </c>
      <c r="AZ1295" s="6" t="s">
        <v>81</v>
      </c>
      <c r="BA1295" s="6" t="s">
        <v>81</v>
      </c>
      <c r="BB1295" s="24" t="n">
        <v>211</v>
      </c>
      <c r="BC1295" s="26"/>
      <c r="BD1295" s="26"/>
      <c r="BE1295" s="26"/>
      <c r="BF1295" s="26" t="s">
        <v>23900</v>
      </c>
      <c r="BG1295" s="26"/>
      <c r="BH1295" s="26"/>
      <c r="BI1295" s="26"/>
      <c r="BJ1295" s="26"/>
      <c r="BK1295" s="26"/>
      <c r="BL1295" s="26"/>
      <c r="BM1295" s="26"/>
      <c r="BN1295" s="26"/>
      <c r="BO1295" s="26"/>
      <c r="BP1295" s="16" t="n">
        <v>45663</v>
      </c>
      <c r="BQ1295" s="28" t="str">
        <f>HYPERLINK("https://organic.ams.usda.gov/Integrity/Certificate.aspx?cid=72&amp;nopid=5870001515")</f>
        <v>https://organic.ams.usda.gov/Integrity/Certificate.aspx?cid=72&amp;nopid=5870001515</v>
      </c>
    </row>
    <row r="1296">
      <c r="A1296" t="s">
        <v>3</v>
      </c>
      <c r="B1296" s="6" t="s">
        <v>30</v>
      </c>
      <c r="C1296" s="6" t="s">
        <v>77</v>
      </c>
      <c r="D1296" s="6" t="s">
        <v>123</v>
      </c>
      <c r="E1296" s="10" t="s">
        <v>1437</v>
      </c>
      <c r="F1296" s="6" t="s">
        <v>4163</v>
      </c>
      <c r="G1296" s="6" t="s">
        <v>81</v>
      </c>
      <c r="H1296" s="6" t="s">
        <v>7079</v>
      </c>
      <c r="I1296" s="6" t="s">
        <v>81</v>
      </c>
      <c r="J1296" s="6" t="s">
        <v>81</v>
      </c>
      <c r="K1296" s="6" t="s">
        <v>10886</v>
      </c>
      <c r="L1296" s="16" t="n">
        <v>43658</v>
      </c>
      <c r="M1296" s="16" t="n">
        <v>45747</v>
      </c>
      <c r="N1296" s="6" t="s">
        <v>10886</v>
      </c>
      <c r="O1296" s="16" t="n">
        <v>43658</v>
      </c>
      <c r="P1296" s="6" t="s">
        <v>10900</v>
      </c>
      <c r="Q1296" s="6" t="s">
        <v>81</v>
      </c>
      <c r="R1296" s="6" t="s">
        <v>81</v>
      </c>
      <c r="S1296" s="6" t="s">
        <v>10886</v>
      </c>
      <c r="T1296" s="16" t="n">
        <v>43658</v>
      </c>
      <c r="U1296" s="6" t="s">
        <v>13216</v>
      </c>
      <c r="V1296" s="6" t="s">
        <v>81</v>
      </c>
      <c r="W1296" s="6" t="s">
        <v>81</v>
      </c>
      <c r="X1296" s="6" t="s">
        <v>81</v>
      </c>
      <c r="Y1296" s="21" t="s">
        <v>81</v>
      </c>
      <c r="Z1296" s="6" t="s">
        <v>81</v>
      </c>
      <c r="AA1296" s="6" t="s">
        <v>81</v>
      </c>
      <c r="AB1296" s="6" t="s">
        <v>81</v>
      </c>
      <c r="AC1296" s="6" t="s">
        <v>81</v>
      </c>
      <c r="AD1296" s="21" t="s">
        <v>81</v>
      </c>
      <c r="AE1296" s="6" t="s">
        <v>81</v>
      </c>
      <c r="AF1296" s="6" t="s">
        <v>81</v>
      </c>
      <c r="AG1296" s="6" t="s">
        <v>81</v>
      </c>
      <c r="AH1296" s="6" t="s">
        <v>15865</v>
      </c>
      <c r="AI1296" s="6" t="s">
        <v>81</v>
      </c>
      <c r="AJ1296" s="6" t="s">
        <v>17581</v>
      </c>
      <c r="AK1296" s="6" t="s">
        <v>17712</v>
      </c>
      <c r="AL1296" s="6" t="s">
        <v>18444</v>
      </c>
      <c r="AM1296" s="6" t="s">
        <v>7469</v>
      </c>
      <c r="AN1296" s="6" t="s">
        <v>19670</v>
      </c>
      <c r="AO1296" s="6" t="s">
        <v>19782</v>
      </c>
      <c r="AP1296" s="6" t="s">
        <v>15865</v>
      </c>
      <c r="AQ1296" s="6" t="s">
        <v>81</v>
      </c>
      <c r="AR1296" s="6" t="s">
        <v>17581</v>
      </c>
      <c r="AS1296" s="6" t="s">
        <v>17712</v>
      </c>
      <c r="AT1296" s="6" t="s">
        <v>18444</v>
      </c>
      <c r="AU1296" s="6" t="s">
        <v>7469</v>
      </c>
      <c r="AV1296" s="6" t="s">
        <v>81</v>
      </c>
      <c r="AW1296" s="6" t="s">
        <v>81</v>
      </c>
      <c r="AX1296" s="6" t="s">
        <v>81</v>
      </c>
      <c r="AY1296" s="6" t="s">
        <v>81</v>
      </c>
      <c r="AZ1296" s="6" t="s">
        <v>81</v>
      </c>
      <c r="BA1296" s="6" t="s">
        <v>81</v>
      </c>
      <c r="BB1296" s="24" t="n">
        <v>176</v>
      </c>
      <c r="BC1296" s="26"/>
      <c r="BD1296" s="26"/>
      <c r="BE1296" s="26"/>
      <c r="BF1296" s="26"/>
      <c r="BG1296" s="26"/>
      <c r="BH1296" s="26"/>
      <c r="BI1296" s="26"/>
      <c r="BJ1296" s="26"/>
      <c r="BK1296" s="26"/>
      <c r="BL1296" s="26"/>
      <c r="BM1296" s="26"/>
      <c r="BN1296" s="26"/>
      <c r="BO1296" s="26"/>
      <c r="BP1296" s="16" t="n">
        <v>45530</v>
      </c>
      <c r="BQ1296" s="28" t="str">
        <f>HYPERLINK("https://organic.ams.usda.gov/Integrity/Certificate.aspx?cid=70&amp;nopid=6431914730")</f>
        <v>https://organic.ams.usda.gov/Integrity/Certificate.aspx?cid=70&amp;nopid=6431914730</v>
      </c>
    </row>
    <row r="1297">
      <c r="A1297" t="s">
        <v>3</v>
      </c>
      <c r="B1297" s="6" t="s">
        <v>7</v>
      </c>
      <c r="C1297" s="6" t="s">
        <v>54</v>
      </c>
      <c r="D1297" s="6" t="s">
        <v>100</v>
      </c>
      <c r="E1297" s="10" t="s">
        <v>1438</v>
      </c>
      <c r="F1297" s="6" t="s">
        <v>4164</v>
      </c>
      <c r="G1297" s="6" t="s">
        <v>81</v>
      </c>
      <c r="H1297" s="6" t="s">
        <v>7080</v>
      </c>
      <c r="I1297" s="6" t="s">
        <v>8552</v>
      </c>
      <c r="J1297" s="6" t="s">
        <v>9665</v>
      </c>
      <c r="K1297" s="6" t="s">
        <v>10886</v>
      </c>
      <c r="L1297" s="16" t="n">
        <v>45065</v>
      </c>
      <c r="M1297" s="16" t="n">
        <v>45716</v>
      </c>
      <c r="N1297" s="6" t="s">
        <v>10886</v>
      </c>
      <c r="O1297" s="16" t="n">
        <v>45065</v>
      </c>
      <c r="P1297" s="6" t="s">
        <v>10934</v>
      </c>
      <c r="Q1297" s="6" t="s">
        <v>81</v>
      </c>
      <c r="R1297" s="6" t="s">
        <v>81</v>
      </c>
      <c r="S1297" s="6" t="s">
        <v>10886</v>
      </c>
      <c r="T1297" s="16" t="n">
        <v>45089</v>
      </c>
      <c r="U1297" s="6" t="s">
        <v>13169</v>
      </c>
      <c r="V1297" s="6" t="s">
        <v>81</v>
      </c>
      <c r="W1297" s="6" t="s">
        <v>81</v>
      </c>
      <c r="X1297" s="6" t="s">
        <v>81</v>
      </c>
      <c r="Y1297" s="21" t="s">
        <v>81</v>
      </c>
      <c r="Z1297" s="6" t="s">
        <v>81</v>
      </c>
      <c r="AA1297" s="6" t="s">
        <v>81</v>
      </c>
      <c r="AB1297" s="6" t="s">
        <v>81</v>
      </c>
      <c r="AC1297" s="6" t="s">
        <v>81</v>
      </c>
      <c r="AD1297" s="21" t="s">
        <v>81</v>
      </c>
      <c r="AE1297" s="6" t="s">
        <v>81</v>
      </c>
      <c r="AF1297" s="6" t="s">
        <v>81</v>
      </c>
      <c r="AG1297" s="6" t="s">
        <v>81</v>
      </c>
      <c r="AH1297" s="6" t="s">
        <v>15866</v>
      </c>
      <c r="AI1297" s="6" t="s">
        <v>81</v>
      </c>
      <c r="AJ1297" s="6" t="s">
        <v>17964</v>
      </c>
      <c r="AK1297" s="6" t="s">
        <v>17712</v>
      </c>
      <c r="AL1297" s="6" t="s">
        <v>18444</v>
      </c>
      <c r="AM1297" s="6" t="s">
        <v>19151</v>
      </c>
      <c r="AN1297" s="6" t="s">
        <v>81</v>
      </c>
      <c r="AO1297" s="6" t="s">
        <v>81</v>
      </c>
      <c r="AP1297" s="6" t="s">
        <v>15866</v>
      </c>
      <c r="AQ1297" s="6" t="s">
        <v>81</v>
      </c>
      <c r="AR1297" s="6" t="s">
        <v>17964</v>
      </c>
      <c r="AS1297" s="6" t="s">
        <v>17712</v>
      </c>
      <c r="AT1297" s="6" t="s">
        <v>18444</v>
      </c>
      <c r="AU1297" s="6" t="s">
        <v>19151</v>
      </c>
      <c r="AV1297" s="6" t="s">
        <v>81</v>
      </c>
      <c r="AW1297" s="6" t="s">
        <v>81</v>
      </c>
      <c r="AX1297" s="6" t="s">
        <v>81</v>
      </c>
      <c r="AY1297" s="6" t="s">
        <v>81</v>
      </c>
      <c r="AZ1297" s="6" t="s">
        <v>81</v>
      </c>
      <c r="BA1297" s="6" t="s">
        <v>81</v>
      </c>
      <c r="BB1297" s="24" t="n">
        <v>196</v>
      </c>
      <c r="BC1297" s="26"/>
      <c r="BD1297" s="26"/>
      <c r="BE1297" s="26"/>
      <c r="BF1297" s="26" t="s">
        <v>23900</v>
      </c>
      <c r="BG1297" s="26"/>
      <c r="BH1297" s="26"/>
      <c r="BI1297" s="26"/>
      <c r="BJ1297" s="26"/>
      <c r="BK1297" s="26"/>
      <c r="BL1297" s="26"/>
      <c r="BM1297" s="26"/>
      <c r="BN1297" s="26"/>
      <c r="BO1297" s="26"/>
      <c r="BP1297" s="16" t="n">
        <v>45595</v>
      </c>
      <c r="BQ1297" s="28" t="str">
        <f>HYPERLINK("https://organic.ams.usda.gov/Integrity/Certificate.aspx?cid=57&amp;nopid=3252023027")</f>
        <v>https://organic.ams.usda.gov/Integrity/Certificate.aspx?cid=57&amp;nopid=3252023027</v>
      </c>
    </row>
    <row r="1298">
      <c r="A1298" t="s">
        <v>3</v>
      </c>
      <c r="B1298" s="6" t="s">
        <v>7</v>
      </c>
      <c r="C1298" s="6" t="s">
        <v>54</v>
      </c>
      <c r="D1298" s="6" t="s">
        <v>100</v>
      </c>
      <c r="E1298" s="10" t="s">
        <v>1439</v>
      </c>
      <c r="F1298" s="6" t="s">
        <v>4165</v>
      </c>
      <c r="G1298" s="6" t="s">
        <v>81</v>
      </c>
      <c r="H1298" s="6" t="s">
        <v>7081</v>
      </c>
      <c r="I1298" s="6" t="s">
        <v>8552</v>
      </c>
      <c r="J1298" s="6" t="s">
        <v>10299</v>
      </c>
      <c r="K1298" s="6" t="s">
        <v>10886</v>
      </c>
      <c r="L1298" s="16" t="n">
        <v>43761</v>
      </c>
      <c r="M1298" s="16" t="n">
        <v>45716</v>
      </c>
      <c r="N1298" s="6" t="s">
        <v>10886</v>
      </c>
      <c r="O1298" s="16" t="n">
        <v>43761</v>
      </c>
      <c r="P1298" s="6" t="s">
        <v>11668</v>
      </c>
      <c r="Q1298" s="6" t="s">
        <v>81</v>
      </c>
      <c r="R1298" s="6" t="s">
        <v>81</v>
      </c>
      <c r="S1298" s="6" t="s">
        <v>10886</v>
      </c>
      <c r="T1298" s="16" t="n">
        <v>43946</v>
      </c>
      <c r="U1298" s="6" t="s">
        <v>13160</v>
      </c>
      <c r="V1298" s="6" t="s">
        <v>81</v>
      </c>
      <c r="W1298" s="6" t="s">
        <v>81</v>
      </c>
      <c r="X1298" s="6" t="s">
        <v>81</v>
      </c>
      <c r="Y1298" s="21" t="s">
        <v>81</v>
      </c>
      <c r="Z1298" s="6" t="s">
        <v>81</v>
      </c>
      <c r="AA1298" s="6" t="s">
        <v>81</v>
      </c>
      <c r="AB1298" s="6" t="s">
        <v>81</v>
      </c>
      <c r="AC1298" s="6" t="s">
        <v>81</v>
      </c>
      <c r="AD1298" s="21" t="s">
        <v>81</v>
      </c>
      <c r="AE1298" s="6" t="s">
        <v>81</v>
      </c>
      <c r="AF1298" s="6" t="s">
        <v>81</v>
      </c>
      <c r="AG1298" s="6" t="s">
        <v>81</v>
      </c>
      <c r="AH1298" s="6" t="s">
        <v>15867</v>
      </c>
      <c r="AI1298" s="6" t="s">
        <v>81</v>
      </c>
      <c r="AJ1298" s="6" t="s">
        <v>17341</v>
      </c>
      <c r="AK1298" s="6" t="s">
        <v>17712</v>
      </c>
      <c r="AL1298" s="6" t="s">
        <v>18444</v>
      </c>
      <c r="AM1298" s="6" t="s">
        <v>18495</v>
      </c>
      <c r="AN1298" s="6" t="s">
        <v>7195</v>
      </c>
      <c r="AO1298" s="6" t="s">
        <v>19735</v>
      </c>
      <c r="AP1298" s="6" t="s">
        <v>15867</v>
      </c>
      <c r="AQ1298" s="6" t="s">
        <v>81</v>
      </c>
      <c r="AR1298" s="6" t="s">
        <v>17341</v>
      </c>
      <c r="AS1298" s="6" t="s">
        <v>17712</v>
      </c>
      <c r="AT1298" s="6" t="s">
        <v>18444</v>
      </c>
      <c r="AU1298" s="6" t="s">
        <v>18495</v>
      </c>
      <c r="AV1298" s="6" t="s">
        <v>81</v>
      </c>
      <c r="AW1298" s="6" t="s">
        <v>81</v>
      </c>
      <c r="AX1298" s="6" t="s">
        <v>21560</v>
      </c>
      <c r="AY1298" s="6" t="s">
        <v>81</v>
      </c>
      <c r="AZ1298" s="6" t="s">
        <v>81</v>
      </c>
      <c r="BA1298" s="6" t="s">
        <v>81</v>
      </c>
      <c r="BB1298" s="24" t="n">
        <v>278</v>
      </c>
      <c r="BC1298" s="26"/>
      <c r="BD1298" s="26"/>
      <c r="BE1298" s="26"/>
      <c r="BF1298" s="26" t="s">
        <v>23900</v>
      </c>
      <c r="BG1298" s="26"/>
      <c r="BH1298" s="26"/>
      <c r="BI1298" s="26"/>
      <c r="BJ1298" s="26"/>
      <c r="BK1298" s="26"/>
      <c r="BL1298" s="26"/>
      <c r="BM1298" s="26"/>
      <c r="BN1298" s="26"/>
      <c r="BO1298" s="26"/>
      <c r="BP1298" s="16" t="n">
        <v>45595</v>
      </c>
      <c r="BQ1298" s="28" t="str">
        <f>HYPERLINK("https://organic.ams.usda.gov/Integrity/Certificate.aspx?cid=57&amp;nopid=3252019061")</f>
        <v>https://organic.ams.usda.gov/Integrity/Certificate.aspx?cid=57&amp;nopid=3252019061</v>
      </c>
    </row>
    <row r="1299">
      <c r="A1299" t="s">
        <v>3</v>
      </c>
      <c r="B1299" s="6" t="s">
        <v>12</v>
      </c>
      <c r="C1299" s="6" t="s">
        <v>59</v>
      </c>
      <c r="D1299" s="6" t="s">
        <v>105</v>
      </c>
      <c r="E1299" s="10" t="s">
        <v>1440</v>
      </c>
      <c r="F1299" s="6" t="s">
        <v>4166</v>
      </c>
      <c r="G1299" s="6" t="s">
        <v>81</v>
      </c>
      <c r="H1299" s="6" t="s">
        <v>7082</v>
      </c>
      <c r="I1299" s="6" t="s">
        <v>9081</v>
      </c>
      <c r="J1299" s="6" t="s">
        <v>9671</v>
      </c>
      <c r="K1299" s="6" t="s">
        <v>10886</v>
      </c>
      <c r="L1299" s="16" t="n">
        <v>39364</v>
      </c>
      <c r="M1299" s="16" t="n">
        <v>45717</v>
      </c>
      <c r="N1299" s="6" t="s">
        <v>10886</v>
      </c>
      <c r="O1299" s="16" t="n">
        <v>39364</v>
      </c>
      <c r="P1299" s="6" t="s">
        <v>11669</v>
      </c>
      <c r="Q1299" s="6" t="s">
        <v>81</v>
      </c>
      <c r="R1299" s="6" t="s">
        <v>81</v>
      </c>
      <c r="S1299" s="6" t="s">
        <v>10886</v>
      </c>
      <c r="T1299" s="16" t="n">
        <v>39364</v>
      </c>
      <c r="U1299" s="6" t="s">
        <v>13166</v>
      </c>
      <c r="V1299" s="6" t="s">
        <v>81</v>
      </c>
      <c r="W1299" s="6" t="s">
        <v>81</v>
      </c>
      <c r="X1299" s="6" t="s">
        <v>81</v>
      </c>
      <c r="Y1299" s="21" t="s">
        <v>81</v>
      </c>
      <c r="Z1299" s="6" t="s">
        <v>81</v>
      </c>
      <c r="AA1299" s="6" t="s">
        <v>81</v>
      </c>
      <c r="AB1299" s="6" t="s">
        <v>81</v>
      </c>
      <c r="AC1299" s="6" t="s">
        <v>81</v>
      </c>
      <c r="AD1299" s="21" t="s">
        <v>81</v>
      </c>
      <c r="AE1299" s="6" t="s">
        <v>81</v>
      </c>
      <c r="AF1299" s="6" t="s">
        <v>81</v>
      </c>
      <c r="AG1299" s="6" t="s">
        <v>81</v>
      </c>
      <c r="AH1299" s="6" t="s">
        <v>15868</v>
      </c>
      <c r="AI1299" s="6" t="s">
        <v>81</v>
      </c>
      <c r="AJ1299" s="6" t="s">
        <v>17814</v>
      </c>
      <c r="AK1299" s="6" t="s">
        <v>18380</v>
      </c>
      <c r="AL1299" s="6" t="s">
        <v>18444</v>
      </c>
      <c r="AM1299" s="6" t="s">
        <v>18992</v>
      </c>
      <c r="AN1299" s="6" t="s">
        <v>6139</v>
      </c>
      <c r="AO1299" s="6" t="s">
        <v>19729</v>
      </c>
      <c r="AP1299" s="6" t="s">
        <v>15868</v>
      </c>
      <c r="AQ1299" s="6" t="s">
        <v>81</v>
      </c>
      <c r="AR1299" s="6" t="s">
        <v>17814</v>
      </c>
      <c r="AS1299" s="6" t="s">
        <v>18380</v>
      </c>
      <c r="AT1299" s="6" t="s">
        <v>18444</v>
      </c>
      <c r="AU1299" s="6" t="s">
        <v>18992</v>
      </c>
      <c r="AV1299" s="6" t="s">
        <v>81</v>
      </c>
      <c r="AW1299" s="6" t="s">
        <v>81</v>
      </c>
      <c r="AX1299" s="6" t="s">
        <v>21561</v>
      </c>
      <c r="AY1299" s="6" t="s">
        <v>81</v>
      </c>
      <c r="AZ1299" s="6" t="s">
        <v>81</v>
      </c>
      <c r="BA1299" s="6" t="s">
        <v>81</v>
      </c>
      <c r="BB1299" s="24" t="n">
        <v>151</v>
      </c>
      <c r="BC1299" s="26"/>
      <c r="BD1299" s="26"/>
      <c r="BE1299" s="26"/>
      <c r="BF1299" s="26"/>
      <c r="BG1299" s="26"/>
      <c r="BH1299" s="26"/>
      <c r="BI1299" s="26"/>
      <c r="BJ1299" s="26"/>
      <c r="BK1299" s="26"/>
      <c r="BL1299" s="26"/>
      <c r="BM1299" s="26"/>
      <c r="BN1299" s="26"/>
      <c r="BO1299" s="26"/>
      <c r="BP1299" s="16" t="n">
        <v>45684</v>
      </c>
      <c r="BQ1299" s="28" t="str">
        <f>HYPERLINK("https://organic.ams.usda.gov/Integrity/Certificate.aspx?cid=68&amp;nopid=8210002910")</f>
        <v>https://organic.ams.usda.gov/Integrity/Certificate.aspx?cid=68&amp;nopid=8210002910</v>
      </c>
    </row>
    <row r="1300">
      <c r="A1300" t="s">
        <v>3</v>
      </c>
      <c r="B1300" s="6" t="s">
        <v>15</v>
      </c>
      <c r="C1300" s="6" t="s">
        <v>62</v>
      </c>
      <c r="D1300" s="6" t="s">
        <v>108</v>
      </c>
      <c r="E1300" s="10" t="s">
        <v>1441</v>
      </c>
      <c r="F1300" s="6" t="s">
        <v>4167</v>
      </c>
      <c r="G1300" s="6" t="s">
        <v>5712</v>
      </c>
      <c r="H1300" s="6" t="s">
        <v>7083</v>
      </c>
      <c r="I1300" s="6" t="s">
        <v>9081</v>
      </c>
      <c r="J1300" s="6" t="s">
        <v>10299</v>
      </c>
      <c r="K1300" s="6" t="s">
        <v>10886</v>
      </c>
      <c r="L1300" s="16" t="n">
        <v>40730</v>
      </c>
      <c r="M1300" s="16" t="n">
        <v>46157</v>
      </c>
      <c r="N1300" s="6" t="s">
        <v>10886</v>
      </c>
      <c r="O1300" s="16" t="n">
        <v>40730</v>
      </c>
      <c r="P1300" s="6" t="s">
        <v>10935</v>
      </c>
      <c r="Q1300" s="6" t="s">
        <v>81</v>
      </c>
      <c r="R1300" s="6" t="s">
        <v>81</v>
      </c>
      <c r="S1300" s="6" t="s">
        <v>10886</v>
      </c>
      <c r="T1300" s="16" t="n">
        <v>40730</v>
      </c>
      <c r="U1300" s="6" t="s">
        <v>13591</v>
      </c>
      <c r="V1300" s="6" t="s">
        <v>81</v>
      </c>
      <c r="W1300" s="6" t="s">
        <v>81</v>
      </c>
      <c r="X1300" s="6" t="s">
        <v>81</v>
      </c>
      <c r="Y1300" s="21" t="s">
        <v>81</v>
      </c>
      <c r="Z1300" s="6" t="s">
        <v>81</v>
      </c>
      <c r="AA1300" s="6" t="s">
        <v>81</v>
      </c>
      <c r="AB1300" s="6" t="s">
        <v>81</v>
      </c>
      <c r="AC1300" s="6" t="s">
        <v>81</v>
      </c>
      <c r="AD1300" s="21" t="s">
        <v>81</v>
      </c>
      <c r="AE1300" s="6" t="s">
        <v>81</v>
      </c>
      <c r="AF1300" s="6" t="s">
        <v>81</v>
      </c>
      <c r="AG1300" s="6" t="s">
        <v>81</v>
      </c>
      <c r="AH1300" s="6" t="s">
        <v>15869</v>
      </c>
      <c r="AI1300" s="6" t="s">
        <v>81</v>
      </c>
      <c r="AJ1300" s="6" t="s">
        <v>17387</v>
      </c>
      <c r="AK1300" s="6" t="s">
        <v>18380</v>
      </c>
      <c r="AL1300" s="6" t="s">
        <v>18444</v>
      </c>
      <c r="AM1300" s="6" t="s">
        <v>18541</v>
      </c>
      <c r="AN1300" s="6" t="s">
        <v>19639</v>
      </c>
      <c r="AO1300" s="6" t="s">
        <v>19725</v>
      </c>
      <c r="AP1300" s="6" t="s">
        <v>15869</v>
      </c>
      <c r="AQ1300" s="6" t="s">
        <v>81</v>
      </c>
      <c r="AR1300" s="6" t="s">
        <v>17387</v>
      </c>
      <c r="AS1300" s="6" t="s">
        <v>18380</v>
      </c>
      <c r="AT1300" s="6" t="s">
        <v>18444</v>
      </c>
      <c r="AU1300" s="6" t="s">
        <v>18541</v>
      </c>
      <c r="AV1300" s="6" t="s">
        <v>81</v>
      </c>
      <c r="AW1300" s="6" t="s">
        <v>81</v>
      </c>
      <c r="AX1300" s="6" t="s">
        <v>21562</v>
      </c>
      <c r="AY1300" s="6" t="s">
        <v>81</v>
      </c>
      <c r="AZ1300" s="6" t="s">
        <v>81</v>
      </c>
      <c r="BA1300" s="6" t="s">
        <v>81</v>
      </c>
      <c r="BB1300" s="24" t="n">
        <v>48</v>
      </c>
      <c r="BC1300" s="26"/>
      <c r="BD1300" s="26"/>
      <c r="BE1300" s="26"/>
      <c r="BF1300" s="26" t="s">
        <v>23900</v>
      </c>
      <c r="BG1300" s="26"/>
      <c r="BH1300" s="26"/>
      <c r="BI1300" s="26"/>
      <c r="BJ1300" s="26"/>
      <c r="BK1300" s="26"/>
      <c r="BL1300" s="26"/>
      <c r="BM1300" s="26"/>
      <c r="BN1300" s="26"/>
      <c r="BO1300" s="26"/>
      <c r="BP1300" s="16" t="n">
        <v>45737</v>
      </c>
      <c r="BQ1300" s="28" t="str">
        <f>HYPERLINK("https://organic.ams.usda.gov/Integrity/Certificate.aspx?cid=58&amp;nopid=1600001830")</f>
        <v>https://organic.ams.usda.gov/Integrity/Certificate.aspx?cid=58&amp;nopid=1600001830</v>
      </c>
    </row>
    <row r="1301">
      <c r="A1301" t="s">
        <v>3</v>
      </c>
      <c r="B1301" s="6" t="s">
        <v>7</v>
      </c>
      <c r="C1301" s="6" t="s">
        <v>54</v>
      </c>
      <c r="D1301" s="6" t="s">
        <v>100</v>
      </c>
      <c r="E1301" s="10" t="s">
        <v>1442</v>
      </c>
      <c r="F1301" s="6" t="s">
        <v>4168</v>
      </c>
      <c r="G1301" s="6" t="s">
        <v>81</v>
      </c>
      <c r="H1301" s="6" t="s">
        <v>7084</v>
      </c>
      <c r="I1301" s="6" t="s">
        <v>8552</v>
      </c>
      <c r="J1301" s="6" t="s">
        <v>10300</v>
      </c>
      <c r="K1301" s="6" t="s">
        <v>10886</v>
      </c>
      <c r="L1301" s="16" t="n">
        <v>38197</v>
      </c>
      <c r="M1301" s="16" t="n">
        <v>45716</v>
      </c>
      <c r="N1301" s="6" t="s">
        <v>10886</v>
      </c>
      <c r="O1301" s="16" t="n">
        <v>38197</v>
      </c>
      <c r="P1301" s="6" t="s">
        <v>11670</v>
      </c>
      <c r="Q1301" s="6" t="s">
        <v>81</v>
      </c>
      <c r="R1301" s="6" t="s">
        <v>81</v>
      </c>
      <c r="S1301" s="6" t="s">
        <v>10886</v>
      </c>
      <c r="T1301" s="16" t="n">
        <v>38197</v>
      </c>
      <c r="U1301" s="6" t="s">
        <v>13169</v>
      </c>
      <c r="V1301" s="6" t="s">
        <v>81</v>
      </c>
      <c r="W1301" s="6" t="s">
        <v>81</v>
      </c>
      <c r="X1301" s="6" t="s">
        <v>81</v>
      </c>
      <c r="Y1301" s="21" t="s">
        <v>81</v>
      </c>
      <c r="Z1301" s="6" t="s">
        <v>81</v>
      </c>
      <c r="AA1301" s="6" t="s">
        <v>81</v>
      </c>
      <c r="AB1301" s="6" t="s">
        <v>81</v>
      </c>
      <c r="AC1301" s="6" t="s">
        <v>81</v>
      </c>
      <c r="AD1301" s="21" t="s">
        <v>81</v>
      </c>
      <c r="AE1301" s="6" t="s">
        <v>81</v>
      </c>
      <c r="AF1301" s="6" t="s">
        <v>81</v>
      </c>
      <c r="AG1301" s="6" t="s">
        <v>81</v>
      </c>
      <c r="AH1301" s="6" t="s">
        <v>15870</v>
      </c>
      <c r="AI1301" s="6" t="s">
        <v>81</v>
      </c>
      <c r="AJ1301" s="6" t="s">
        <v>17341</v>
      </c>
      <c r="AK1301" s="6" t="s">
        <v>17712</v>
      </c>
      <c r="AL1301" s="6" t="s">
        <v>18444</v>
      </c>
      <c r="AM1301" s="6" t="s">
        <v>18495</v>
      </c>
      <c r="AN1301" s="6" t="s">
        <v>19649</v>
      </c>
      <c r="AO1301" s="6" t="s">
        <v>19738</v>
      </c>
      <c r="AP1301" s="6" t="s">
        <v>15870</v>
      </c>
      <c r="AQ1301" s="6" t="s">
        <v>81</v>
      </c>
      <c r="AR1301" s="6" t="s">
        <v>17341</v>
      </c>
      <c r="AS1301" s="6" t="s">
        <v>17712</v>
      </c>
      <c r="AT1301" s="6" t="s">
        <v>18444</v>
      </c>
      <c r="AU1301" s="6" t="s">
        <v>18495</v>
      </c>
      <c r="AV1301" s="6" t="s">
        <v>81</v>
      </c>
      <c r="AW1301" s="6" t="s">
        <v>81</v>
      </c>
      <c r="AX1301" s="6" t="s">
        <v>21563</v>
      </c>
      <c r="AY1301" s="6" t="s">
        <v>23039</v>
      </c>
      <c r="AZ1301" s="6" t="s">
        <v>81</v>
      </c>
      <c r="BA1301" s="6" t="s">
        <v>81</v>
      </c>
      <c r="BB1301" s="24" t="n">
        <v>0</v>
      </c>
      <c r="BC1301" s="26"/>
      <c r="BD1301" s="26"/>
      <c r="BE1301" s="26"/>
      <c r="BF1301" s="26" t="s">
        <v>23900</v>
      </c>
      <c r="BG1301" s="26"/>
      <c r="BH1301" s="26"/>
      <c r="BI1301" s="26"/>
      <c r="BJ1301" s="26"/>
      <c r="BK1301" s="26"/>
      <c r="BL1301" s="26"/>
      <c r="BM1301" s="26"/>
      <c r="BN1301" s="26"/>
      <c r="BO1301" s="26"/>
      <c r="BP1301" s="16" t="n">
        <v>45721</v>
      </c>
      <c r="BQ1301" s="28" t="str">
        <f>HYPERLINK("https://organic.ams.usda.gov/Integrity/Certificate.aspx?cid=57&amp;nopid=3250200409")</f>
        <v>https://organic.ams.usda.gov/Integrity/Certificate.aspx?cid=57&amp;nopid=3250200409</v>
      </c>
    </row>
    <row r="1302">
      <c r="A1302" t="s">
        <v>3</v>
      </c>
      <c r="B1302" s="6" t="s">
        <v>7</v>
      </c>
      <c r="C1302" s="6" t="s">
        <v>54</v>
      </c>
      <c r="D1302" s="6" t="s">
        <v>100</v>
      </c>
      <c r="E1302" s="10" t="s">
        <v>1443</v>
      </c>
      <c r="F1302" s="6" t="s">
        <v>4169</v>
      </c>
      <c r="G1302" s="6" t="s">
        <v>81</v>
      </c>
      <c r="H1302" s="6" t="s">
        <v>7085</v>
      </c>
      <c r="I1302" s="6" t="s">
        <v>8552</v>
      </c>
      <c r="J1302" s="6" t="s">
        <v>9727</v>
      </c>
      <c r="K1302" s="6" t="s">
        <v>10886</v>
      </c>
      <c r="L1302" s="16" t="n">
        <v>45505</v>
      </c>
      <c r="M1302" s="16" t="n">
        <v>45716</v>
      </c>
      <c r="N1302" s="6" t="s">
        <v>10886</v>
      </c>
      <c r="O1302" s="16" t="n">
        <v>45505</v>
      </c>
      <c r="P1302" s="6" t="s">
        <v>10925</v>
      </c>
      <c r="Q1302" s="6" t="s">
        <v>81</v>
      </c>
      <c r="R1302" s="6" t="s">
        <v>81</v>
      </c>
      <c r="S1302" s="6" t="s">
        <v>10886</v>
      </c>
      <c r="T1302" s="16" t="n">
        <v>45521</v>
      </c>
      <c r="U1302" s="6" t="s">
        <v>13385</v>
      </c>
      <c r="V1302" s="6" t="s">
        <v>81</v>
      </c>
      <c r="W1302" s="6" t="s">
        <v>81</v>
      </c>
      <c r="X1302" s="6" t="s">
        <v>81</v>
      </c>
      <c r="Y1302" s="21" t="s">
        <v>81</v>
      </c>
      <c r="Z1302" s="6" t="s">
        <v>81</v>
      </c>
      <c r="AA1302" s="6" t="s">
        <v>81</v>
      </c>
      <c r="AB1302" s="6" t="s">
        <v>81</v>
      </c>
      <c r="AC1302" s="6" t="s">
        <v>81</v>
      </c>
      <c r="AD1302" s="21" t="s">
        <v>81</v>
      </c>
      <c r="AE1302" s="6" t="s">
        <v>81</v>
      </c>
      <c r="AF1302" s="6" t="s">
        <v>81</v>
      </c>
      <c r="AG1302" s="6" t="s">
        <v>81</v>
      </c>
      <c r="AH1302" s="6" t="s">
        <v>15871</v>
      </c>
      <c r="AI1302" s="6" t="s">
        <v>81</v>
      </c>
      <c r="AJ1302" s="6" t="s">
        <v>17406</v>
      </c>
      <c r="AK1302" s="6" t="s">
        <v>17712</v>
      </c>
      <c r="AL1302" s="6" t="s">
        <v>18444</v>
      </c>
      <c r="AM1302" s="6" t="s">
        <v>18562</v>
      </c>
      <c r="AN1302" s="6" t="s">
        <v>81</v>
      </c>
      <c r="AO1302" s="6" t="s">
        <v>81</v>
      </c>
      <c r="AP1302" s="6" t="s">
        <v>15871</v>
      </c>
      <c r="AQ1302" s="6" t="s">
        <v>81</v>
      </c>
      <c r="AR1302" s="6" t="s">
        <v>17406</v>
      </c>
      <c r="AS1302" s="6" t="s">
        <v>17712</v>
      </c>
      <c r="AT1302" s="6" t="s">
        <v>18444</v>
      </c>
      <c r="AU1302" s="6" t="s">
        <v>18562</v>
      </c>
      <c r="AV1302" s="6" t="s">
        <v>81</v>
      </c>
      <c r="AW1302" s="6" t="s">
        <v>81</v>
      </c>
      <c r="AX1302" s="6" t="s">
        <v>81</v>
      </c>
      <c r="AY1302" s="6" t="s">
        <v>81</v>
      </c>
      <c r="AZ1302" s="6" t="s">
        <v>81</v>
      </c>
      <c r="BA1302" s="6" t="s">
        <v>81</v>
      </c>
      <c r="BB1302" s="24" t="n">
        <v>117</v>
      </c>
      <c r="BC1302" s="26"/>
      <c r="BD1302" s="26"/>
      <c r="BE1302" s="26"/>
      <c r="BF1302" s="26" t="s">
        <v>23900</v>
      </c>
      <c r="BG1302" s="26"/>
      <c r="BH1302" s="26"/>
      <c r="BI1302" s="26"/>
      <c r="BJ1302" s="26"/>
      <c r="BK1302" s="26"/>
      <c r="BL1302" s="26"/>
      <c r="BM1302" s="26"/>
      <c r="BN1302" s="26"/>
      <c r="BO1302" s="26"/>
      <c r="BP1302" s="16" t="n">
        <v>45595</v>
      </c>
      <c r="BQ1302" s="28" t="str">
        <f>HYPERLINK("https://organic.ams.usda.gov/Integrity/Certificate.aspx?cid=57&amp;nopid=3252024034")</f>
        <v>https://organic.ams.usda.gov/Integrity/Certificate.aspx?cid=57&amp;nopid=3252024034</v>
      </c>
    </row>
    <row r="1303">
      <c r="A1303" t="s">
        <v>3</v>
      </c>
      <c r="B1303" s="6" t="s">
        <v>30</v>
      </c>
      <c r="C1303" s="6" t="s">
        <v>77</v>
      </c>
      <c r="D1303" s="6" t="s">
        <v>123</v>
      </c>
      <c r="E1303" s="10" t="s">
        <v>1444</v>
      </c>
      <c r="F1303" s="6" t="s">
        <v>4170</v>
      </c>
      <c r="G1303" s="6" t="s">
        <v>81</v>
      </c>
      <c r="H1303" s="6" t="s">
        <v>7086</v>
      </c>
      <c r="I1303" s="6" t="s">
        <v>8552</v>
      </c>
      <c r="J1303" s="6" t="s">
        <v>9679</v>
      </c>
      <c r="K1303" s="6" t="s">
        <v>10886</v>
      </c>
      <c r="L1303" s="16" t="n">
        <v>45524</v>
      </c>
      <c r="M1303" s="16" t="n">
        <v>45747</v>
      </c>
      <c r="N1303" s="6" t="s">
        <v>10886</v>
      </c>
      <c r="O1303" s="16" t="n">
        <v>45524</v>
      </c>
      <c r="P1303" s="6" t="s">
        <v>11671</v>
      </c>
      <c r="Q1303" s="6" t="s">
        <v>81</v>
      </c>
      <c r="R1303" s="6" t="s">
        <v>81</v>
      </c>
      <c r="S1303" s="6" t="s">
        <v>10886</v>
      </c>
      <c r="T1303" s="16" t="n">
        <v>45524</v>
      </c>
      <c r="U1303" s="6" t="s">
        <v>13216</v>
      </c>
      <c r="V1303" s="6" t="s">
        <v>81</v>
      </c>
      <c r="W1303" s="6" t="s">
        <v>81</v>
      </c>
      <c r="X1303" s="6" t="s">
        <v>81</v>
      </c>
      <c r="Y1303" s="21" t="s">
        <v>81</v>
      </c>
      <c r="Z1303" s="6" t="s">
        <v>81</v>
      </c>
      <c r="AA1303" s="6" t="s">
        <v>81</v>
      </c>
      <c r="AB1303" s="6" t="s">
        <v>81</v>
      </c>
      <c r="AC1303" s="6" t="s">
        <v>81</v>
      </c>
      <c r="AD1303" s="21" t="s">
        <v>81</v>
      </c>
      <c r="AE1303" s="6" t="s">
        <v>81</v>
      </c>
      <c r="AF1303" s="6" t="s">
        <v>81</v>
      </c>
      <c r="AG1303" s="6" t="s">
        <v>81</v>
      </c>
      <c r="AH1303" s="6" t="s">
        <v>15872</v>
      </c>
      <c r="AI1303" s="6" t="s">
        <v>81</v>
      </c>
      <c r="AJ1303" s="6" t="s">
        <v>17317</v>
      </c>
      <c r="AK1303" s="6" t="s">
        <v>18380</v>
      </c>
      <c r="AL1303" s="6" t="s">
        <v>18444</v>
      </c>
      <c r="AM1303" s="6" t="s">
        <v>18469</v>
      </c>
      <c r="AN1303" s="6" t="s">
        <v>81</v>
      </c>
      <c r="AO1303" s="6" t="s">
        <v>81</v>
      </c>
      <c r="AP1303" s="6" t="s">
        <v>15872</v>
      </c>
      <c r="AQ1303" s="6" t="s">
        <v>81</v>
      </c>
      <c r="AR1303" s="6" t="s">
        <v>17317</v>
      </c>
      <c r="AS1303" s="6" t="s">
        <v>18380</v>
      </c>
      <c r="AT1303" s="6" t="s">
        <v>18444</v>
      </c>
      <c r="AU1303" s="6" t="s">
        <v>18469</v>
      </c>
      <c r="AV1303" s="6" t="s">
        <v>81</v>
      </c>
      <c r="AW1303" s="6" t="s">
        <v>81</v>
      </c>
      <c r="AX1303" s="6" t="s">
        <v>21564</v>
      </c>
      <c r="AY1303" s="6" t="s">
        <v>81</v>
      </c>
      <c r="AZ1303" s="6" t="s">
        <v>81</v>
      </c>
      <c r="BA1303" s="6" t="s">
        <v>81</v>
      </c>
      <c r="BB1303" s="24" t="n">
        <v>62</v>
      </c>
      <c r="BC1303" s="26"/>
      <c r="BD1303" s="26"/>
      <c r="BE1303" s="26"/>
      <c r="BF1303" s="26"/>
      <c r="BG1303" s="26"/>
      <c r="BH1303" s="26"/>
      <c r="BI1303" s="26"/>
      <c r="BJ1303" s="26"/>
      <c r="BK1303" s="26"/>
      <c r="BL1303" s="26"/>
      <c r="BM1303" s="26"/>
      <c r="BN1303" s="26"/>
      <c r="BO1303" s="26"/>
      <c r="BP1303" s="16" t="n">
        <v>45524</v>
      </c>
      <c r="BQ1303" s="28" t="str">
        <f>HYPERLINK("https://organic.ams.usda.gov/Integrity/Certificate.aspx?cid=70&amp;nopid=6431242087")</f>
        <v>https://organic.ams.usda.gov/Integrity/Certificate.aspx?cid=70&amp;nopid=6431242087</v>
      </c>
    </row>
    <row r="1304">
      <c r="A1304" t="s">
        <v>3</v>
      </c>
      <c r="B1304" s="6" t="s">
        <v>8</v>
      </c>
      <c r="C1304" s="6" t="s">
        <v>55</v>
      </c>
      <c r="D1304" s="6" t="s">
        <v>101</v>
      </c>
      <c r="E1304" s="10" t="s">
        <v>1445</v>
      </c>
      <c r="F1304" s="6" t="s">
        <v>4171</v>
      </c>
      <c r="G1304" s="6" t="s">
        <v>81</v>
      </c>
      <c r="H1304" s="6" t="s">
        <v>7087</v>
      </c>
      <c r="I1304" s="6" t="s">
        <v>9082</v>
      </c>
      <c r="J1304" s="6" t="s">
        <v>9665</v>
      </c>
      <c r="K1304" s="6" t="s">
        <v>10886</v>
      </c>
      <c r="L1304" s="16" t="n">
        <v>42074</v>
      </c>
      <c r="M1304" s="16" t="n">
        <v>45748</v>
      </c>
      <c r="N1304" s="6" t="s">
        <v>10886</v>
      </c>
      <c r="O1304" s="16" t="n">
        <v>42074</v>
      </c>
      <c r="P1304" s="6" t="s">
        <v>10900</v>
      </c>
      <c r="Q1304" s="6" t="s">
        <v>81</v>
      </c>
      <c r="R1304" s="6" t="s">
        <v>7087</v>
      </c>
      <c r="S1304" s="6" t="s">
        <v>10886</v>
      </c>
      <c r="T1304" s="16" t="n">
        <v>42074</v>
      </c>
      <c r="U1304" s="6" t="s">
        <v>13173</v>
      </c>
      <c r="V1304" s="6" t="s">
        <v>81</v>
      </c>
      <c r="W1304" s="6" t="s">
        <v>7087</v>
      </c>
      <c r="X1304" s="6" t="s">
        <v>81</v>
      </c>
      <c r="Y1304" s="21" t="s">
        <v>81</v>
      </c>
      <c r="Z1304" s="6" t="s">
        <v>81</v>
      </c>
      <c r="AA1304" s="6" t="s">
        <v>81</v>
      </c>
      <c r="AB1304" s="6" t="s">
        <v>81</v>
      </c>
      <c r="AC1304" s="6" t="s">
        <v>81</v>
      </c>
      <c r="AD1304" s="21" t="s">
        <v>81</v>
      </c>
      <c r="AE1304" s="6" t="s">
        <v>81</v>
      </c>
      <c r="AF1304" s="6" t="s">
        <v>81</v>
      </c>
      <c r="AG1304" s="6" t="s">
        <v>81</v>
      </c>
      <c r="AH1304" s="6" t="s">
        <v>15873</v>
      </c>
      <c r="AI1304" s="6" t="s">
        <v>81</v>
      </c>
      <c r="AJ1304" s="6" t="s">
        <v>17965</v>
      </c>
      <c r="AK1304" s="6" t="s">
        <v>18391</v>
      </c>
      <c r="AL1304" s="6" t="s">
        <v>18444</v>
      </c>
      <c r="AM1304" s="6" t="s">
        <v>19152</v>
      </c>
      <c r="AN1304" s="6" t="s">
        <v>19685</v>
      </c>
      <c r="AO1304" s="6" t="s">
        <v>19987</v>
      </c>
      <c r="AP1304" s="6" t="s">
        <v>81</v>
      </c>
      <c r="AQ1304" s="6" t="s">
        <v>81</v>
      </c>
      <c r="AR1304" s="6" t="s">
        <v>81</v>
      </c>
      <c r="AS1304" s="6" t="s">
        <v>81</v>
      </c>
      <c r="AT1304" s="6" t="s">
        <v>81</v>
      </c>
      <c r="AU1304" s="6" t="s">
        <v>81</v>
      </c>
      <c r="AV1304" s="6" t="s">
        <v>81</v>
      </c>
      <c r="AW1304" s="6" t="s">
        <v>81</v>
      </c>
      <c r="AX1304" s="6" t="s">
        <v>81</v>
      </c>
      <c r="AY1304" s="6" t="s">
        <v>81</v>
      </c>
      <c r="AZ1304" s="6" t="s">
        <v>81</v>
      </c>
      <c r="BA1304" s="6" t="s">
        <v>23819</v>
      </c>
      <c r="BB1304" s="24" t="n">
        <v>64</v>
      </c>
      <c r="BC1304" s="26"/>
      <c r="BD1304" s="26"/>
      <c r="BE1304" s="26"/>
      <c r="BF1304" s="26" t="s">
        <v>23900</v>
      </c>
      <c r="BG1304" s="26"/>
      <c r="BH1304" s="26"/>
      <c r="BI1304" s="26"/>
      <c r="BJ1304" s="26"/>
      <c r="BK1304" s="26"/>
      <c r="BL1304" s="26"/>
      <c r="BM1304" s="26"/>
      <c r="BN1304" s="26"/>
      <c r="BO1304" s="26"/>
      <c r="BP1304" s="16" t="n">
        <v>45562</v>
      </c>
      <c r="BQ1304" s="28" t="str">
        <f>HYPERLINK("https://organic.ams.usda.gov/Integrity/Certificate.aspx?cid=45&amp;nopid=9950006565")</f>
        <v>https://organic.ams.usda.gov/Integrity/Certificate.aspx?cid=45&amp;nopid=9950006565</v>
      </c>
    </row>
    <row r="1305">
      <c r="A1305" t="s">
        <v>3</v>
      </c>
      <c r="B1305" s="6" t="s">
        <v>7</v>
      </c>
      <c r="C1305" s="6" t="s">
        <v>54</v>
      </c>
      <c r="D1305" s="6" t="s">
        <v>100</v>
      </c>
      <c r="E1305" s="10" t="s">
        <v>1446</v>
      </c>
      <c r="F1305" s="6" t="s">
        <v>4172</v>
      </c>
      <c r="G1305" s="6" t="s">
        <v>81</v>
      </c>
      <c r="H1305" s="6" t="s">
        <v>7088</v>
      </c>
      <c r="I1305" s="6" t="s">
        <v>8552</v>
      </c>
      <c r="J1305" s="6" t="s">
        <v>9799</v>
      </c>
      <c r="K1305" s="6" t="s">
        <v>10886</v>
      </c>
      <c r="L1305" s="16" t="n">
        <v>44021</v>
      </c>
      <c r="M1305" s="16" t="n">
        <v>45716</v>
      </c>
      <c r="N1305" s="6" t="s">
        <v>10886</v>
      </c>
      <c r="O1305" s="16" t="n">
        <v>44021</v>
      </c>
      <c r="P1305" s="6" t="s">
        <v>10910</v>
      </c>
      <c r="Q1305" s="6" t="s">
        <v>81</v>
      </c>
      <c r="R1305" s="6" t="s">
        <v>81</v>
      </c>
      <c r="S1305" s="6" t="s">
        <v>10886</v>
      </c>
      <c r="T1305" s="16" t="n">
        <v>44044</v>
      </c>
      <c r="U1305" s="6" t="s">
        <v>13169</v>
      </c>
      <c r="V1305" s="6" t="s">
        <v>81</v>
      </c>
      <c r="W1305" s="6" t="s">
        <v>81</v>
      </c>
      <c r="X1305" s="6" t="s">
        <v>81</v>
      </c>
      <c r="Y1305" s="21" t="s">
        <v>81</v>
      </c>
      <c r="Z1305" s="6" t="s">
        <v>81</v>
      </c>
      <c r="AA1305" s="6" t="s">
        <v>81</v>
      </c>
      <c r="AB1305" s="6" t="s">
        <v>81</v>
      </c>
      <c r="AC1305" s="6" t="s">
        <v>81</v>
      </c>
      <c r="AD1305" s="21" t="s">
        <v>81</v>
      </c>
      <c r="AE1305" s="6" t="s">
        <v>81</v>
      </c>
      <c r="AF1305" s="6" t="s">
        <v>81</v>
      </c>
      <c r="AG1305" s="6" t="s">
        <v>81</v>
      </c>
      <c r="AH1305" s="6" t="s">
        <v>15874</v>
      </c>
      <c r="AI1305" s="6" t="s">
        <v>81</v>
      </c>
      <c r="AJ1305" s="6" t="s">
        <v>17393</v>
      </c>
      <c r="AK1305" s="6" t="s">
        <v>17712</v>
      </c>
      <c r="AL1305" s="6" t="s">
        <v>18444</v>
      </c>
      <c r="AM1305" s="6" t="s">
        <v>18549</v>
      </c>
      <c r="AN1305" s="6" t="s">
        <v>19643</v>
      </c>
      <c r="AO1305" s="6" t="s">
        <v>19766</v>
      </c>
      <c r="AP1305" s="6" t="s">
        <v>15874</v>
      </c>
      <c r="AQ1305" s="6" t="s">
        <v>81</v>
      </c>
      <c r="AR1305" s="6" t="s">
        <v>17393</v>
      </c>
      <c r="AS1305" s="6" t="s">
        <v>17712</v>
      </c>
      <c r="AT1305" s="6" t="s">
        <v>18444</v>
      </c>
      <c r="AU1305" s="6" t="s">
        <v>18549</v>
      </c>
      <c r="AV1305" s="6" t="s">
        <v>81</v>
      </c>
      <c r="AW1305" s="6" t="s">
        <v>81</v>
      </c>
      <c r="AX1305" s="6" t="s">
        <v>81</v>
      </c>
      <c r="AY1305" s="6" t="s">
        <v>81</v>
      </c>
      <c r="AZ1305" s="6" t="s">
        <v>81</v>
      </c>
      <c r="BA1305" s="6" t="s">
        <v>81</v>
      </c>
      <c r="BB1305" s="24" t="n">
        <v>47</v>
      </c>
      <c r="BC1305" s="26"/>
      <c r="BD1305" s="26"/>
      <c r="BE1305" s="26"/>
      <c r="BF1305" s="26" t="s">
        <v>23900</v>
      </c>
      <c r="BG1305" s="26"/>
      <c r="BH1305" s="26"/>
      <c r="BI1305" s="26"/>
      <c r="BJ1305" s="26"/>
      <c r="BK1305" s="26"/>
      <c r="BL1305" s="26"/>
      <c r="BM1305" s="26"/>
      <c r="BN1305" s="26"/>
      <c r="BO1305" s="26"/>
      <c r="BP1305" s="16" t="n">
        <v>45595</v>
      </c>
      <c r="BQ1305" s="28" t="str">
        <f>HYPERLINK("https://organic.ams.usda.gov/Integrity/Certificate.aspx?cid=57&amp;nopid=3252020055")</f>
        <v>https://organic.ams.usda.gov/Integrity/Certificate.aspx?cid=57&amp;nopid=3252020055</v>
      </c>
    </row>
    <row r="1306">
      <c r="A1306" t="s">
        <v>3</v>
      </c>
      <c r="B1306" s="6" t="s">
        <v>12</v>
      </c>
      <c r="C1306" s="6" t="s">
        <v>59</v>
      </c>
      <c r="D1306" s="6" t="s">
        <v>105</v>
      </c>
      <c r="E1306" s="10" t="s">
        <v>1447</v>
      </c>
      <c r="F1306" s="6" t="s">
        <v>4173</v>
      </c>
      <c r="G1306" s="6" t="s">
        <v>81</v>
      </c>
      <c r="H1306" s="6" t="s">
        <v>7089</v>
      </c>
      <c r="I1306" s="6" t="s">
        <v>9083</v>
      </c>
      <c r="J1306" s="6" t="s">
        <v>9763</v>
      </c>
      <c r="K1306" s="6" t="s">
        <v>10886</v>
      </c>
      <c r="L1306" s="16" t="n">
        <v>43831</v>
      </c>
      <c r="M1306" s="16" t="n">
        <v>45717</v>
      </c>
      <c r="N1306" s="6" t="s">
        <v>10886</v>
      </c>
      <c r="O1306" s="16" t="n">
        <v>43831</v>
      </c>
      <c r="P1306" s="6" t="s">
        <v>11672</v>
      </c>
      <c r="Q1306" s="6" t="s">
        <v>81</v>
      </c>
      <c r="R1306" s="6" t="s">
        <v>81</v>
      </c>
      <c r="S1306" s="6" t="s">
        <v>10886</v>
      </c>
      <c r="T1306" s="16" t="n">
        <v>43831</v>
      </c>
      <c r="U1306" s="6" t="s">
        <v>13262</v>
      </c>
      <c r="V1306" s="6" t="s">
        <v>81</v>
      </c>
      <c r="W1306" s="6" t="s">
        <v>81</v>
      </c>
      <c r="X1306" s="6" t="s">
        <v>81</v>
      </c>
      <c r="Y1306" s="21" t="s">
        <v>81</v>
      </c>
      <c r="Z1306" s="6" t="s">
        <v>81</v>
      </c>
      <c r="AA1306" s="6" t="s">
        <v>81</v>
      </c>
      <c r="AB1306" s="6" t="s">
        <v>81</v>
      </c>
      <c r="AC1306" s="6" t="s">
        <v>81</v>
      </c>
      <c r="AD1306" s="21" t="s">
        <v>81</v>
      </c>
      <c r="AE1306" s="6" t="s">
        <v>81</v>
      </c>
      <c r="AF1306" s="6" t="s">
        <v>81</v>
      </c>
      <c r="AG1306" s="6" t="s">
        <v>81</v>
      </c>
      <c r="AH1306" s="6" t="s">
        <v>15875</v>
      </c>
      <c r="AI1306" s="6" t="s">
        <v>81</v>
      </c>
      <c r="AJ1306" s="6" t="s">
        <v>17966</v>
      </c>
      <c r="AK1306" s="6" t="s">
        <v>17712</v>
      </c>
      <c r="AL1306" s="6" t="s">
        <v>18444</v>
      </c>
      <c r="AM1306" s="6" t="s">
        <v>19153</v>
      </c>
      <c r="AN1306" s="6" t="s">
        <v>19642</v>
      </c>
      <c r="AO1306" s="6" t="s">
        <v>19728</v>
      </c>
      <c r="AP1306" s="6" t="s">
        <v>15875</v>
      </c>
      <c r="AQ1306" s="6" t="s">
        <v>81</v>
      </c>
      <c r="AR1306" s="6" t="s">
        <v>17966</v>
      </c>
      <c r="AS1306" s="6" t="s">
        <v>17712</v>
      </c>
      <c r="AT1306" s="6" t="s">
        <v>18444</v>
      </c>
      <c r="AU1306" s="6" t="s">
        <v>19153</v>
      </c>
      <c r="AV1306" s="6" t="s">
        <v>81</v>
      </c>
      <c r="AW1306" s="6" t="s">
        <v>81</v>
      </c>
      <c r="AX1306" s="6" t="s">
        <v>21565</v>
      </c>
      <c r="AY1306" s="6" t="s">
        <v>81</v>
      </c>
      <c r="AZ1306" s="6" t="s">
        <v>81</v>
      </c>
      <c r="BA1306" s="6" t="s">
        <v>81</v>
      </c>
      <c r="BB1306" s="24" t="n">
        <v>403</v>
      </c>
      <c r="BC1306" s="26"/>
      <c r="BD1306" s="26"/>
      <c r="BE1306" s="26"/>
      <c r="BF1306" s="26"/>
      <c r="BG1306" s="26"/>
      <c r="BH1306" s="26"/>
      <c r="BI1306" s="26"/>
      <c r="BJ1306" s="26"/>
      <c r="BK1306" s="26"/>
      <c r="BL1306" s="26"/>
      <c r="BM1306" s="26"/>
      <c r="BN1306" s="26"/>
      <c r="BO1306" s="26"/>
      <c r="BP1306" s="16" t="n">
        <v>45687</v>
      </c>
      <c r="BQ1306" s="28" t="str">
        <f>HYPERLINK("https://organic.ams.usda.gov/Integrity/Certificate.aspx?cid=68&amp;nopid=8210006572")</f>
        <v>https://organic.ams.usda.gov/Integrity/Certificate.aspx?cid=68&amp;nopid=8210006572</v>
      </c>
    </row>
    <row r="1307">
      <c r="A1307" t="s">
        <v>3</v>
      </c>
      <c r="B1307" s="6" t="s">
        <v>12</v>
      </c>
      <c r="C1307" s="6" t="s">
        <v>59</v>
      </c>
      <c r="D1307" s="6" t="s">
        <v>105</v>
      </c>
      <c r="E1307" s="10" t="s">
        <v>1448</v>
      </c>
      <c r="F1307" s="6" t="s">
        <v>4174</v>
      </c>
      <c r="G1307" s="6" t="s">
        <v>81</v>
      </c>
      <c r="H1307" s="6" t="s">
        <v>7090</v>
      </c>
      <c r="I1307" s="6" t="s">
        <v>9084</v>
      </c>
      <c r="J1307" s="6" t="s">
        <v>9763</v>
      </c>
      <c r="K1307" s="6" t="s">
        <v>10886</v>
      </c>
      <c r="L1307" s="16" t="n">
        <v>43935</v>
      </c>
      <c r="M1307" s="16" t="n">
        <v>45717</v>
      </c>
      <c r="N1307" s="6" t="s">
        <v>10886</v>
      </c>
      <c r="O1307" s="16" t="n">
        <v>43935</v>
      </c>
      <c r="P1307" s="6" t="s">
        <v>11673</v>
      </c>
      <c r="Q1307" s="6" t="s">
        <v>81</v>
      </c>
      <c r="R1307" s="6" t="s">
        <v>81</v>
      </c>
      <c r="S1307" s="6" t="s">
        <v>10886</v>
      </c>
      <c r="T1307" s="16" t="n">
        <v>43935</v>
      </c>
      <c r="U1307" s="6" t="s">
        <v>13183</v>
      </c>
      <c r="V1307" s="6" t="s">
        <v>81</v>
      </c>
      <c r="W1307" s="6" t="s">
        <v>81</v>
      </c>
      <c r="X1307" s="6" t="s">
        <v>81</v>
      </c>
      <c r="Y1307" s="21" t="s">
        <v>81</v>
      </c>
      <c r="Z1307" s="6" t="s">
        <v>81</v>
      </c>
      <c r="AA1307" s="6" t="s">
        <v>81</v>
      </c>
      <c r="AB1307" s="6" t="s">
        <v>81</v>
      </c>
      <c r="AC1307" s="6" t="s">
        <v>81</v>
      </c>
      <c r="AD1307" s="21" t="s">
        <v>81</v>
      </c>
      <c r="AE1307" s="6" t="s">
        <v>81</v>
      </c>
      <c r="AF1307" s="6" t="s">
        <v>81</v>
      </c>
      <c r="AG1307" s="6" t="s">
        <v>81</v>
      </c>
      <c r="AH1307" s="6" t="s">
        <v>15876</v>
      </c>
      <c r="AI1307" s="6" t="s">
        <v>81</v>
      </c>
      <c r="AJ1307" s="6" t="s">
        <v>17411</v>
      </c>
      <c r="AK1307" s="6" t="s">
        <v>18380</v>
      </c>
      <c r="AL1307" s="6" t="s">
        <v>18444</v>
      </c>
      <c r="AM1307" s="6" t="s">
        <v>18567</v>
      </c>
      <c r="AN1307" s="6" t="s">
        <v>19639</v>
      </c>
      <c r="AO1307" s="6" t="s">
        <v>19725</v>
      </c>
      <c r="AP1307" s="6" t="s">
        <v>15876</v>
      </c>
      <c r="AQ1307" s="6" t="s">
        <v>81</v>
      </c>
      <c r="AR1307" s="6" t="s">
        <v>17411</v>
      </c>
      <c r="AS1307" s="6" t="s">
        <v>18380</v>
      </c>
      <c r="AT1307" s="6" t="s">
        <v>18444</v>
      </c>
      <c r="AU1307" s="6" t="s">
        <v>18567</v>
      </c>
      <c r="AV1307" s="6" t="s">
        <v>81</v>
      </c>
      <c r="AW1307" s="6" t="s">
        <v>81</v>
      </c>
      <c r="AX1307" s="6" t="s">
        <v>21566</v>
      </c>
      <c r="AY1307" s="6" t="s">
        <v>81</v>
      </c>
      <c r="AZ1307" s="6" t="s">
        <v>81</v>
      </c>
      <c r="BA1307" s="6" t="s">
        <v>81</v>
      </c>
      <c r="BB1307" s="24" t="n">
        <v>154</v>
      </c>
      <c r="BC1307" s="26"/>
      <c r="BD1307" s="26"/>
      <c r="BE1307" s="26"/>
      <c r="BF1307" s="26"/>
      <c r="BG1307" s="26"/>
      <c r="BH1307" s="26"/>
      <c r="BI1307" s="26"/>
      <c r="BJ1307" s="26"/>
      <c r="BK1307" s="26"/>
      <c r="BL1307" s="26"/>
      <c r="BM1307" s="26"/>
      <c r="BN1307" s="26"/>
      <c r="BO1307" s="26"/>
      <c r="BP1307" s="16" t="n">
        <v>45684</v>
      </c>
      <c r="BQ1307" s="28" t="str">
        <f>HYPERLINK("https://organic.ams.usda.gov/Integrity/Certificate.aspx?cid=68&amp;nopid=8210007270")</f>
        <v>https://organic.ams.usda.gov/Integrity/Certificate.aspx?cid=68&amp;nopid=8210007270</v>
      </c>
    </row>
    <row r="1308">
      <c r="A1308" t="s">
        <v>3</v>
      </c>
      <c r="B1308" s="6" t="s">
        <v>12</v>
      </c>
      <c r="C1308" s="6" t="s">
        <v>59</v>
      </c>
      <c r="D1308" s="6" t="s">
        <v>105</v>
      </c>
      <c r="E1308" s="10" t="s">
        <v>1449</v>
      </c>
      <c r="F1308" s="6" t="s">
        <v>4175</v>
      </c>
      <c r="G1308" s="6" t="s">
        <v>81</v>
      </c>
      <c r="H1308" s="6" t="s">
        <v>7091</v>
      </c>
      <c r="I1308" s="6" t="s">
        <v>9085</v>
      </c>
      <c r="J1308" s="6" t="s">
        <v>9669</v>
      </c>
      <c r="K1308" s="6" t="s">
        <v>10886</v>
      </c>
      <c r="L1308" s="16" t="n">
        <v>43227</v>
      </c>
      <c r="M1308" s="16" t="n">
        <v>45717</v>
      </c>
      <c r="N1308" s="6" t="s">
        <v>10886</v>
      </c>
      <c r="O1308" s="16" t="n">
        <v>43227</v>
      </c>
      <c r="P1308" s="6" t="s">
        <v>10934</v>
      </c>
      <c r="Q1308" s="6" t="s">
        <v>81</v>
      </c>
      <c r="R1308" s="6" t="s">
        <v>81</v>
      </c>
      <c r="S1308" s="6" t="s">
        <v>10886</v>
      </c>
      <c r="T1308" s="16" t="n">
        <v>43227</v>
      </c>
      <c r="U1308" s="6" t="s">
        <v>13241</v>
      </c>
      <c r="V1308" s="6" t="s">
        <v>81</v>
      </c>
      <c r="W1308" s="6" t="s">
        <v>81</v>
      </c>
      <c r="X1308" s="6" t="s">
        <v>81</v>
      </c>
      <c r="Y1308" s="21" t="s">
        <v>81</v>
      </c>
      <c r="Z1308" s="6" t="s">
        <v>81</v>
      </c>
      <c r="AA1308" s="6" t="s">
        <v>81</v>
      </c>
      <c r="AB1308" s="6" t="s">
        <v>81</v>
      </c>
      <c r="AC1308" s="6" t="s">
        <v>81</v>
      </c>
      <c r="AD1308" s="21" t="s">
        <v>81</v>
      </c>
      <c r="AE1308" s="6" t="s">
        <v>81</v>
      </c>
      <c r="AF1308" s="6" t="s">
        <v>81</v>
      </c>
      <c r="AG1308" s="6" t="s">
        <v>81</v>
      </c>
      <c r="AH1308" s="6" t="s">
        <v>15877</v>
      </c>
      <c r="AI1308" s="6" t="s">
        <v>81</v>
      </c>
      <c r="AJ1308" s="6" t="s">
        <v>17657</v>
      </c>
      <c r="AK1308" s="6" t="s">
        <v>17712</v>
      </c>
      <c r="AL1308" s="6" t="s">
        <v>18444</v>
      </c>
      <c r="AM1308" s="6" t="s">
        <v>18825</v>
      </c>
      <c r="AN1308" s="6" t="s">
        <v>19649</v>
      </c>
      <c r="AO1308" s="6" t="s">
        <v>19738</v>
      </c>
      <c r="AP1308" s="6" t="s">
        <v>15877</v>
      </c>
      <c r="AQ1308" s="6" t="s">
        <v>81</v>
      </c>
      <c r="AR1308" s="6" t="s">
        <v>17657</v>
      </c>
      <c r="AS1308" s="6" t="s">
        <v>17712</v>
      </c>
      <c r="AT1308" s="6" t="s">
        <v>18444</v>
      </c>
      <c r="AU1308" s="6" t="s">
        <v>18825</v>
      </c>
      <c r="AV1308" s="6" t="s">
        <v>81</v>
      </c>
      <c r="AW1308" s="6" t="s">
        <v>81</v>
      </c>
      <c r="AX1308" s="6" t="s">
        <v>81</v>
      </c>
      <c r="AY1308" s="6" t="s">
        <v>81</v>
      </c>
      <c r="AZ1308" s="6" t="s">
        <v>81</v>
      </c>
      <c r="BA1308" s="6" t="s">
        <v>81</v>
      </c>
      <c r="BB1308" s="24" t="n">
        <v>133</v>
      </c>
      <c r="BC1308" s="26"/>
      <c r="BD1308" s="26"/>
      <c r="BE1308" s="26"/>
      <c r="BF1308" s="26"/>
      <c r="BG1308" s="26"/>
      <c r="BH1308" s="26"/>
      <c r="BI1308" s="26"/>
      <c r="BJ1308" s="26"/>
      <c r="BK1308" s="26"/>
      <c r="BL1308" s="26"/>
      <c r="BM1308" s="26"/>
      <c r="BN1308" s="26"/>
      <c r="BO1308" s="26"/>
      <c r="BP1308" s="16" t="n">
        <v>45684</v>
      </c>
      <c r="BQ1308" s="28" t="str">
        <f>HYPERLINK("https://organic.ams.usda.gov/Integrity/Certificate.aspx?cid=68&amp;nopid=8210006252")</f>
        <v>https://organic.ams.usda.gov/Integrity/Certificate.aspx?cid=68&amp;nopid=8210006252</v>
      </c>
    </row>
    <row r="1309">
      <c r="A1309" t="s">
        <v>3</v>
      </c>
      <c r="B1309" s="6" t="s">
        <v>13</v>
      </c>
      <c r="C1309" s="6" t="s">
        <v>60</v>
      </c>
      <c r="D1309" s="6" t="s">
        <v>106</v>
      </c>
      <c r="E1309" s="10" t="s">
        <v>1450</v>
      </c>
      <c r="F1309" s="6" t="s">
        <v>4176</v>
      </c>
      <c r="G1309" s="6" t="s">
        <v>81</v>
      </c>
      <c r="H1309" s="6" t="s">
        <v>7092</v>
      </c>
      <c r="I1309" s="6" t="s">
        <v>8552</v>
      </c>
      <c r="J1309" s="6" t="s">
        <v>9683</v>
      </c>
      <c r="K1309" s="6" t="s">
        <v>10886</v>
      </c>
      <c r="L1309" s="16" t="n">
        <v>44657</v>
      </c>
      <c r="M1309" s="16" t="n">
        <v>45748</v>
      </c>
      <c r="N1309" s="6" t="s">
        <v>10886</v>
      </c>
      <c r="O1309" s="16" t="n">
        <v>44657</v>
      </c>
      <c r="P1309" s="6" t="s">
        <v>11674</v>
      </c>
      <c r="Q1309" s="6" t="s">
        <v>81</v>
      </c>
      <c r="R1309" s="6" t="s">
        <v>12781</v>
      </c>
      <c r="S1309" s="6" t="s">
        <v>10886</v>
      </c>
      <c r="T1309" s="16" t="n">
        <v>44657</v>
      </c>
      <c r="U1309" s="6" t="s">
        <v>13592</v>
      </c>
      <c r="V1309" s="6" t="s">
        <v>81</v>
      </c>
      <c r="W1309" s="6" t="s">
        <v>12781</v>
      </c>
      <c r="X1309" s="6" t="s">
        <v>81</v>
      </c>
      <c r="Y1309" s="21" t="s">
        <v>81</v>
      </c>
      <c r="Z1309" s="6" t="s">
        <v>81</v>
      </c>
      <c r="AA1309" s="6" t="s">
        <v>81</v>
      </c>
      <c r="AB1309" s="6" t="s">
        <v>81</v>
      </c>
      <c r="AC1309" s="6" t="s">
        <v>81</v>
      </c>
      <c r="AD1309" s="21" t="s">
        <v>81</v>
      </c>
      <c r="AE1309" s="6" t="s">
        <v>81</v>
      </c>
      <c r="AF1309" s="6" t="s">
        <v>81</v>
      </c>
      <c r="AG1309" s="6" t="s">
        <v>81</v>
      </c>
      <c r="AH1309" s="6" t="s">
        <v>15878</v>
      </c>
      <c r="AI1309" s="6" t="s">
        <v>81</v>
      </c>
      <c r="AJ1309" s="6" t="s">
        <v>17583</v>
      </c>
      <c r="AK1309" s="6" t="s">
        <v>18379</v>
      </c>
      <c r="AL1309" s="6" t="s">
        <v>18444</v>
      </c>
      <c r="AM1309" s="6" t="s">
        <v>18746</v>
      </c>
      <c r="AN1309" s="6" t="s">
        <v>6842</v>
      </c>
      <c r="AO1309" s="6" t="s">
        <v>19781</v>
      </c>
      <c r="AP1309" s="6" t="s">
        <v>15878</v>
      </c>
      <c r="AQ1309" s="6" t="s">
        <v>81</v>
      </c>
      <c r="AR1309" s="6" t="s">
        <v>17583</v>
      </c>
      <c r="AS1309" s="6" t="s">
        <v>18379</v>
      </c>
      <c r="AT1309" s="6" t="s">
        <v>18444</v>
      </c>
      <c r="AU1309" s="6" t="s">
        <v>18746</v>
      </c>
      <c r="AV1309" s="6" t="s">
        <v>81</v>
      </c>
      <c r="AW1309" s="6" t="s">
        <v>81</v>
      </c>
      <c r="AX1309" s="6" t="s">
        <v>21567</v>
      </c>
      <c r="AY1309" s="6" t="s">
        <v>81</v>
      </c>
      <c r="AZ1309" s="6" t="s">
        <v>81</v>
      </c>
      <c r="BA1309" s="6" t="s">
        <v>81</v>
      </c>
      <c r="BB1309" s="24" t="n">
        <v>65</v>
      </c>
      <c r="BC1309" s="26"/>
      <c r="BD1309" s="26"/>
      <c r="BE1309" s="26"/>
      <c r="BF1309" s="26" t="s">
        <v>23900</v>
      </c>
      <c r="BG1309" s="26"/>
      <c r="BH1309" s="26"/>
      <c r="BI1309" s="26"/>
      <c r="BJ1309" s="26"/>
      <c r="BK1309" s="26"/>
      <c r="BL1309" s="26"/>
      <c r="BM1309" s="26"/>
      <c r="BN1309" s="26"/>
      <c r="BO1309" s="26"/>
      <c r="BP1309" s="16" t="n">
        <v>45712</v>
      </c>
      <c r="BQ1309" s="28" t="str">
        <f>HYPERLINK("https://organic.ams.usda.gov/Integrity/Certificate.aspx?cid=72&amp;nopid=5870106321")</f>
        <v>https://organic.ams.usda.gov/Integrity/Certificate.aspx?cid=72&amp;nopid=5870106321</v>
      </c>
    </row>
    <row r="1310">
      <c r="A1310" t="s">
        <v>3</v>
      </c>
      <c r="B1310" s="6" t="s">
        <v>29</v>
      </c>
      <c r="C1310" s="6" t="s">
        <v>76</v>
      </c>
      <c r="D1310" s="6" t="s">
        <v>122</v>
      </c>
      <c r="E1310" s="10" t="s">
        <v>1451</v>
      </c>
      <c r="F1310" s="6" t="s">
        <v>4177</v>
      </c>
      <c r="G1310" s="6" t="s">
        <v>81</v>
      </c>
      <c r="H1310" s="6" t="s">
        <v>7093</v>
      </c>
      <c r="I1310" s="6" t="s">
        <v>9086</v>
      </c>
      <c r="J1310" s="6" t="s">
        <v>9665</v>
      </c>
      <c r="K1310" s="6" t="s">
        <v>10886</v>
      </c>
      <c r="L1310" s="16" t="n">
        <v>43640</v>
      </c>
      <c r="M1310" s="16" t="n">
        <v>45870</v>
      </c>
      <c r="N1310" s="6" t="s">
        <v>10886</v>
      </c>
      <c r="O1310" s="16" t="n">
        <v>43640</v>
      </c>
      <c r="P1310" s="6" t="s">
        <v>11675</v>
      </c>
      <c r="Q1310" s="6" t="s">
        <v>81</v>
      </c>
      <c r="R1310" s="6" t="s">
        <v>12782</v>
      </c>
      <c r="S1310" s="6" t="s">
        <v>10886</v>
      </c>
      <c r="T1310" s="16" t="n">
        <v>43640</v>
      </c>
      <c r="U1310" s="6" t="s">
        <v>13593</v>
      </c>
      <c r="V1310" s="6" t="s">
        <v>81</v>
      </c>
      <c r="W1310" s="6" t="s">
        <v>12782</v>
      </c>
      <c r="X1310" s="6" t="s">
        <v>81</v>
      </c>
      <c r="Y1310" s="21" t="s">
        <v>81</v>
      </c>
      <c r="Z1310" s="6" t="s">
        <v>81</v>
      </c>
      <c r="AA1310" s="6" t="s">
        <v>81</v>
      </c>
      <c r="AB1310" s="6" t="s">
        <v>81</v>
      </c>
      <c r="AC1310" s="6" t="s">
        <v>81</v>
      </c>
      <c r="AD1310" s="21" t="s">
        <v>81</v>
      </c>
      <c r="AE1310" s="6" t="s">
        <v>81</v>
      </c>
      <c r="AF1310" s="6" t="s">
        <v>81</v>
      </c>
      <c r="AG1310" s="6" t="s">
        <v>81</v>
      </c>
      <c r="AH1310" s="6" t="s">
        <v>15879</v>
      </c>
      <c r="AI1310" s="6" t="s">
        <v>81</v>
      </c>
      <c r="AJ1310" s="6" t="s">
        <v>17584</v>
      </c>
      <c r="AK1310" s="6" t="s">
        <v>17712</v>
      </c>
      <c r="AL1310" s="6" t="s">
        <v>18444</v>
      </c>
      <c r="AM1310" s="6" t="s">
        <v>18747</v>
      </c>
      <c r="AN1310" s="6" t="s">
        <v>19669</v>
      </c>
      <c r="AO1310" s="6" t="s">
        <v>19790</v>
      </c>
      <c r="AP1310" s="6" t="s">
        <v>81</v>
      </c>
      <c r="AQ1310" s="6" t="s">
        <v>81</v>
      </c>
      <c r="AR1310" s="6" t="s">
        <v>81</v>
      </c>
      <c r="AS1310" s="6" t="s">
        <v>81</v>
      </c>
      <c r="AT1310" s="6" t="s">
        <v>81</v>
      </c>
      <c r="AU1310" s="6" t="s">
        <v>81</v>
      </c>
      <c r="AV1310" s="6" t="s">
        <v>81</v>
      </c>
      <c r="AW1310" s="6" t="s">
        <v>81</v>
      </c>
      <c r="AX1310" s="6" t="s">
        <v>81</v>
      </c>
      <c r="AY1310" s="6" t="s">
        <v>81</v>
      </c>
      <c r="AZ1310" s="6" t="s">
        <v>81</v>
      </c>
      <c r="BA1310" s="6" t="s">
        <v>81</v>
      </c>
      <c r="BB1310" s="24" t="n">
        <v>171</v>
      </c>
      <c r="BC1310" s="26"/>
      <c r="BD1310" s="26"/>
      <c r="BE1310" s="26"/>
      <c r="BF1310" s="26" t="s">
        <v>23900</v>
      </c>
      <c r="BG1310" s="26"/>
      <c r="BH1310" s="26"/>
      <c r="BI1310" s="26"/>
      <c r="BJ1310" s="26"/>
      <c r="BK1310" s="26"/>
      <c r="BL1310" s="26"/>
      <c r="BM1310" s="26"/>
      <c r="BN1310" s="26"/>
      <c r="BO1310" s="26"/>
      <c r="BP1310" s="16" t="n">
        <v>45737</v>
      </c>
      <c r="BQ1310" s="28" t="str">
        <f>HYPERLINK("https://organic.ams.usda.gov/Integrity/Certificate.aspx?cid=31&amp;nopid=3928972018")</f>
        <v>https://organic.ams.usda.gov/Integrity/Certificate.aspx?cid=31&amp;nopid=3928972018</v>
      </c>
    </row>
    <row r="1311">
      <c r="A1311" t="s">
        <v>3</v>
      </c>
      <c r="B1311" s="6" t="s">
        <v>12</v>
      </c>
      <c r="C1311" s="6" t="s">
        <v>59</v>
      </c>
      <c r="D1311" s="6" t="s">
        <v>105</v>
      </c>
      <c r="E1311" s="10" t="s">
        <v>1452</v>
      </c>
      <c r="F1311" s="6" t="s">
        <v>4178</v>
      </c>
      <c r="G1311" s="6" t="s">
        <v>81</v>
      </c>
      <c r="H1311" s="6" t="s">
        <v>7094</v>
      </c>
      <c r="I1311" s="6" t="s">
        <v>9087</v>
      </c>
      <c r="J1311" s="6" t="s">
        <v>9741</v>
      </c>
      <c r="K1311" s="6" t="s">
        <v>10886</v>
      </c>
      <c r="L1311" s="16" t="n">
        <v>38936</v>
      </c>
      <c r="M1311" s="16" t="n">
        <v>45717</v>
      </c>
      <c r="N1311" s="6" t="s">
        <v>10886</v>
      </c>
      <c r="O1311" s="16" t="n">
        <v>38936</v>
      </c>
      <c r="P1311" s="6" t="s">
        <v>11676</v>
      </c>
      <c r="Q1311" s="6" t="s">
        <v>81</v>
      </c>
      <c r="R1311" s="6" t="s">
        <v>81</v>
      </c>
      <c r="S1311" s="6" t="s">
        <v>10886</v>
      </c>
      <c r="T1311" s="16" t="n">
        <v>38936</v>
      </c>
      <c r="U1311" s="6" t="s">
        <v>13183</v>
      </c>
      <c r="V1311" s="6" t="s">
        <v>81</v>
      </c>
      <c r="W1311" s="6" t="s">
        <v>81</v>
      </c>
      <c r="X1311" s="6" t="s">
        <v>81</v>
      </c>
      <c r="Y1311" s="21" t="s">
        <v>81</v>
      </c>
      <c r="Z1311" s="6" t="s">
        <v>81</v>
      </c>
      <c r="AA1311" s="6" t="s">
        <v>81</v>
      </c>
      <c r="AB1311" s="6" t="s">
        <v>81</v>
      </c>
      <c r="AC1311" s="6" t="s">
        <v>81</v>
      </c>
      <c r="AD1311" s="21" t="s">
        <v>81</v>
      </c>
      <c r="AE1311" s="6" t="s">
        <v>81</v>
      </c>
      <c r="AF1311" s="6" t="s">
        <v>81</v>
      </c>
      <c r="AG1311" s="6" t="s">
        <v>81</v>
      </c>
      <c r="AH1311" s="6" t="s">
        <v>15880</v>
      </c>
      <c r="AI1311" s="6" t="s">
        <v>81</v>
      </c>
      <c r="AJ1311" s="6" t="s">
        <v>17317</v>
      </c>
      <c r="AK1311" s="6" t="s">
        <v>18380</v>
      </c>
      <c r="AL1311" s="6" t="s">
        <v>18444</v>
      </c>
      <c r="AM1311" s="6" t="s">
        <v>18469</v>
      </c>
      <c r="AN1311" s="6" t="s">
        <v>19639</v>
      </c>
      <c r="AO1311" s="6" t="s">
        <v>19725</v>
      </c>
      <c r="AP1311" s="6" t="s">
        <v>15880</v>
      </c>
      <c r="AQ1311" s="6" t="s">
        <v>81</v>
      </c>
      <c r="AR1311" s="6" t="s">
        <v>17317</v>
      </c>
      <c r="AS1311" s="6" t="s">
        <v>18380</v>
      </c>
      <c r="AT1311" s="6" t="s">
        <v>18444</v>
      </c>
      <c r="AU1311" s="6" t="s">
        <v>18469</v>
      </c>
      <c r="AV1311" s="6" t="s">
        <v>81</v>
      </c>
      <c r="AW1311" s="6" t="s">
        <v>81</v>
      </c>
      <c r="AX1311" s="6" t="s">
        <v>21568</v>
      </c>
      <c r="AY1311" s="6" t="s">
        <v>81</v>
      </c>
      <c r="AZ1311" s="6" t="s">
        <v>81</v>
      </c>
      <c r="BA1311" s="6" t="s">
        <v>81</v>
      </c>
      <c r="BB1311" s="24" t="n">
        <v>52</v>
      </c>
      <c r="BC1311" s="26"/>
      <c r="BD1311" s="26"/>
      <c r="BE1311" s="26"/>
      <c r="BF1311" s="26"/>
      <c r="BG1311" s="26"/>
      <c r="BH1311" s="26"/>
      <c r="BI1311" s="26"/>
      <c r="BJ1311" s="26"/>
      <c r="BK1311" s="26"/>
      <c r="BL1311" s="26"/>
      <c r="BM1311" s="26"/>
      <c r="BN1311" s="26"/>
      <c r="BO1311" s="26"/>
      <c r="BP1311" s="16" t="n">
        <v>45684</v>
      </c>
      <c r="BQ1311" s="28" t="str">
        <f>HYPERLINK("https://organic.ams.usda.gov/Integrity/Certificate.aspx?cid=68&amp;nopid=8210002873")</f>
        <v>https://organic.ams.usda.gov/Integrity/Certificate.aspx?cid=68&amp;nopid=8210002873</v>
      </c>
    </row>
    <row r="1312">
      <c r="A1312" t="s">
        <v>3</v>
      </c>
      <c r="B1312" s="6" t="s">
        <v>30</v>
      </c>
      <c r="C1312" s="6" t="s">
        <v>77</v>
      </c>
      <c r="D1312" s="6" t="s">
        <v>123</v>
      </c>
      <c r="E1312" s="10" t="s">
        <v>1453</v>
      </c>
      <c r="F1312" s="6" t="s">
        <v>4179</v>
      </c>
      <c r="G1312" s="6" t="s">
        <v>81</v>
      </c>
      <c r="H1312" s="6" t="s">
        <v>7095</v>
      </c>
      <c r="I1312" s="6" t="s">
        <v>9087</v>
      </c>
      <c r="J1312" s="6" t="s">
        <v>9675</v>
      </c>
      <c r="K1312" s="6" t="s">
        <v>10886</v>
      </c>
      <c r="L1312" s="16" t="n">
        <v>41292</v>
      </c>
      <c r="M1312" s="16" t="n">
        <v>45747</v>
      </c>
      <c r="N1312" s="6" t="s">
        <v>10886</v>
      </c>
      <c r="O1312" s="16" t="n">
        <v>41292</v>
      </c>
      <c r="P1312" s="6" t="s">
        <v>11677</v>
      </c>
      <c r="Q1312" s="6" t="s">
        <v>81</v>
      </c>
      <c r="R1312" s="6" t="s">
        <v>12783</v>
      </c>
      <c r="S1312" s="6" t="s">
        <v>10886</v>
      </c>
      <c r="T1312" s="16" t="n">
        <v>41292</v>
      </c>
      <c r="U1312" s="6" t="s">
        <v>13216</v>
      </c>
      <c r="V1312" s="6" t="s">
        <v>81</v>
      </c>
      <c r="W1312" s="6" t="s">
        <v>7095</v>
      </c>
      <c r="X1312" s="6" t="s">
        <v>81</v>
      </c>
      <c r="Y1312" s="21" t="s">
        <v>81</v>
      </c>
      <c r="Z1312" s="6" t="s">
        <v>81</v>
      </c>
      <c r="AA1312" s="6" t="s">
        <v>81</v>
      </c>
      <c r="AB1312" s="6" t="s">
        <v>81</v>
      </c>
      <c r="AC1312" s="6" t="s">
        <v>81</v>
      </c>
      <c r="AD1312" s="21" t="s">
        <v>81</v>
      </c>
      <c r="AE1312" s="6" t="s">
        <v>81</v>
      </c>
      <c r="AF1312" s="6" t="s">
        <v>81</v>
      </c>
      <c r="AG1312" s="6" t="s">
        <v>81</v>
      </c>
      <c r="AH1312" s="6" t="s">
        <v>15881</v>
      </c>
      <c r="AI1312" s="6" t="s">
        <v>81</v>
      </c>
      <c r="AJ1312" s="6" t="s">
        <v>17352</v>
      </c>
      <c r="AK1312" s="6" t="s">
        <v>17712</v>
      </c>
      <c r="AL1312" s="6" t="s">
        <v>18444</v>
      </c>
      <c r="AM1312" s="6" t="s">
        <v>18506</v>
      </c>
      <c r="AN1312" s="6" t="s">
        <v>19652</v>
      </c>
      <c r="AO1312" s="6" t="s">
        <v>19742</v>
      </c>
      <c r="AP1312" s="6" t="s">
        <v>15881</v>
      </c>
      <c r="AQ1312" s="6" t="s">
        <v>81</v>
      </c>
      <c r="AR1312" s="6" t="s">
        <v>17352</v>
      </c>
      <c r="AS1312" s="6" t="s">
        <v>17712</v>
      </c>
      <c r="AT1312" s="6" t="s">
        <v>18444</v>
      </c>
      <c r="AU1312" s="6" t="s">
        <v>18506</v>
      </c>
      <c r="AV1312" s="6" t="s">
        <v>81</v>
      </c>
      <c r="AW1312" s="6" t="s">
        <v>81</v>
      </c>
      <c r="AX1312" s="6" t="s">
        <v>21569</v>
      </c>
      <c r="AY1312" s="6" t="s">
        <v>81</v>
      </c>
      <c r="AZ1312" s="6" t="s">
        <v>81</v>
      </c>
      <c r="BA1312" s="6" t="s">
        <v>81</v>
      </c>
      <c r="BB1312" s="24" t="n">
        <v>423</v>
      </c>
      <c r="BC1312" s="26"/>
      <c r="BD1312" s="26"/>
      <c r="BE1312" s="26"/>
      <c r="BF1312" s="26"/>
      <c r="BG1312" s="26"/>
      <c r="BH1312" s="26"/>
      <c r="BI1312" s="26"/>
      <c r="BJ1312" s="26"/>
      <c r="BK1312" s="26"/>
      <c r="BL1312" s="26"/>
      <c r="BM1312" s="26"/>
      <c r="BN1312" s="26"/>
      <c r="BO1312" s="26"/>
      <c r="BP1312" s="16" t="n">
        <v>45663</v>
      </c>
      <c r="BQ1312" s="28" t="str">
        <f>HYPERLINK("https://organic.ams.usda.gov/Integrity/Certificate.aspx?cid=70&amp;nopid=6431251900")</f>
        <v>https://organic.ams.usda.gov/Integrity/Certificate.aspx?cid=70&amp;nopid=6431251900</v>
      </c>
    </row>
    <row r="1313">
      <c r="A1313" t="s">
        <v>3</v>
      </c>
      <c r="B1313" s="6" t="s">
        <v>7</v>
      </c>
      <c r="C1313" s="6" t="s">
        <v>54</v>
      </c>
      <c r="D1313" s="6" t="s">
        <v>100</v>
      </c>
      <c r="E1313" s="10" t="s">
        <v>1454</v>
      </c>
      <c r="F1313" s="6" t="s">
        <v>4180</v>
      </c>
      <c r="G1313" s="6" t="s">
        <v>81</v>
      </c>
      <c r="H1313" s="6" t="s">
        <v>7096</v>
      </c>
      <c r="I1313" s="6" t="s">
        <v>8552</v>
      </c>
      <c r="J1313" s="6" t="s">
        <v>9960</v>
      </c>
      <c r="K1313" s="6" t="s">
        <v>10886</v>
      </c>
      <c r="L1313" s="16" t="n">
        <v>45545</v>
      </c>
      <c r="M1313" s="16" t="n">
        <v>45716</v>
      </c>
      <c r="N1313" s="6" t="s">
        <v>10886</v>
      </c>
      <c r="O1313" s="16" t="n">
        <v>45545</v>
      </c>
      <c r="P1313" s="6" t="s">
        <v>11678</v>
      </c>
      <c r="Q1313" s="6" t="s">
        <v>81</v>
      </c>
      <c r="R1313" s="6" t="s">
        <v>81</v>
      </c>
      <c r="S1313" s="6" t="s">
        <v>10886</v>
      </c>
      <c r="T1313" s="16" t="n">
        <v>45545</v>
      </c>
      <c r="U1313" s="6" t="s">
        <v>13160</v>
      </c>
      <c r="V1313" s="6" t="s">
        <v>81</v>
      </c>
      <c r="W1313" s="6" t="s">
        <v>81</v>
      </c>
      <c r="X1313" s="6" t="s">
        <v>81</v>
      </c>
      <c r="Y1313" s="21" t="s">
        <v>81</v>
      </c>
      <c r="Z1313" s="6" t="s">
        <v>81</v>
      </c>
      <c r="AA1313" s="6" t="s">
        <v>81</v>
      </c>
      <c r="AB1313" s="6" t="s">
        <v>81</v>
      </c>
      <c r="AC1313" s="6" t="s">
        <v>81</v>
      </c>
      <c r="AD1313" s="21" t="s">
        <v>81</v>
      </c>
      <c r="AE1313" s="6" t="s">
        <v>81</v>
      </c>
      <c r="AF1313" s="6" t="s">
        <v>81</v>
      </c>
      <c r="AG1313" s="6" t="s">
        <v>81</v>
      </c>
      <c r="AH1313" s="6" t="s">
        <v>15882</v>
      </c>
      <c r="AI1313" s="6" t="s">
        <v>81</v>
      </c>
      <c r="AJ1313" s="6" t="s">
        <v>17406</v>
      </c>
      <c r="AK1313" s="6" t="s">
        <v>17712</v>
      </c>
      <c r="AL1313" s="6" t="s">
        <v>18444</v>
      </c>
      <c r="AM1313" s="6" t="s">
        <v>18562</v>
      </c>
      <c r="AN1313" s="6" t="s">
        <v>81</v>
      </c>
      <c r="AO1313" s="6" t="s">
        <v>81</v>
      </c>
      <c r="AP1313" s="6" t="s">
        <v>15882</v>
      </c>
      <c r="AQ1313" s="6" t="s">
        <v>81</v>
      </c>
      <c r="AR1313" s="6" t="s">
        <v>17406</v>
      </c>
      <c r="AS1313" s="6" t="s">
        <v>17712</v>
      </c>
      <c r="AT1313" s="6" t="s">
        <v>18444</v>
      </c>
      <c r="AU1313" s="6" t="s">
        <v>18562</v>
      </c>
      <c r="AV1313" s="6" t="s">
        <v>81</v>
      </c>
      <c r="AW1313" s="6" t="s">
        <v>81</v>
      </c>
      <c r="AX1313" s="6" t="s">
        <v>81</v>
      </c>
      <c r="AY1313" s="6" t="s">
        <v>81</v>
      </c>
      <c r="AZ1313" s="6" t="s">
        <v>81</v>
      </c>
      <c r="BA1313" s="6" t="s">
        <v>81</v>
      </c>
      <c r="BB1313" s="24" t="n">
        <v>198</v>
      </c>
      <c r="BC1313" s="26"/>
      <c r="BD1313" s="26"/>
      <c r="BE1313" s="26"/>
      <c r="BF1313" s="26" t="s">
        <v>23900</v>
      </c>
      <c r="BG1313" s="26"/>
      <c r="BH1313" s="26"/>
      <c r="BI1313" s="26"/>
      <c r="BJ1313" s="26"/>
      <c r="BK1313" s="26"/>
      <c r="BL1313" s="26"/>
      <c r="BM1313" s="26"/>
      <c r="BN1313" s="26"/>
      <c r="BO1313" s="26"/>
      <c r="BP1313" s="16" t="n">
        <v>45595</v>
      </c>
      <c r="BQ1313" s="28" t="str">
        <f>HYPERLINK("https://organic.ams.usda.gov/Integrity/Certificate.aspx?cid=57&amp;nopid=3252024020")</f>
        <v>https://organic.ams.usda.gov/Integrity/Certificate.aspx?cid=57&amp;nopid=3252024020</v>
      </c>
    </row>
    <row r="1314">
      <c r="A1314" t="s">
        <v>3</v>
      </c>
      <c r="B1314" s="6" t="s">
        <v>9</v>
      </c>
      <c r="C1314" s="6" t="s">
        <v>56</v>
      </c>
      <c r="D1314" s="6" t="s">
        <v>102</v>
      </c>
      <c r="E1314" s="10" t="s">
        <v>1455</v>
      </c>
      <c r="F1314" s="6" t="s">
        <v>4181</v>
      </c>
      <c r="G1314" s="6" t="s">
        <v>81</v>
      </c>
      <c r="H1314" s="6" t="s">
        <v>7097</v>
      </c>
      <c r="I1314" s="6" t="s">
        <v>8552</v>
      </c>
      <c r="J1314" s="6" t="s">
        <v>9665</v>
      </c>
      <c r="K1314" s="6" t="s">
        <v>10886</v>
      </c>
      <c r="L1314" s="16" t="n">
        <v>44420</v>
      </c>
      <c r="M1314" s="16" t="n">
        <v>46113</v>
      </c>
      <c r="N1314" s="6" t="s">
        <v>10886</v>
      </c>
      <c r="O1314" s="16" t="n">
        <v>44420</v>
      </c>
      <c r="P1314" s="6" t="s">
        <v>11679</v>
      </c>
      <c r="Q1314" s="6" t="s">
        <v>81</v>
      </c>
      <c r="R1314" s="6" t="s">
        <v>12784</v>
      </c>
      <c r="S1314" s="6" t="s">
        <v>10886</v>
      </c>
      <c r="T1314" s="16" t="n">
        <v>44420</v>
      </c>
      <c r="U1314" s="6" t="s">
        <v>13389</v>
      </c>
      <c r="V1314" s="6" t="s">
        <v>81</v>
      </c>
      <c r="W1314" s="6" t="s">
        <v>12784</v>
      </c>
      <c r="X1314" s="6" t="s">
        <v>81</v>
      </c>
      <c r="Y1314" s="21" t="s">
        <v>81</v>
      </c>
      <c r="Z1314" s="6" t="s">
        <v>81</v>
      </c>
      <c r="AA1314" s="6" t="s">
        <v>81</v>
      </c>
      <c r="AB1314" s="6" t="s">
        <v>81</v>
      </c>
      <c r="AC1314" s="6" t="s">
        <v>81</v>
      </c>
      <c r="AD1314" s="21" t="s">
        <v>81</v>
      </c>
      <c r="AE1314" s="6" t="s">
        <v>81</v>
      </c>
      <c r="AF1314" s="6" t="s">
        <v>81</v>
      </c>
      <c r="AG1314" s="6" t="s">
        <v>81</v>
      </c>
      <c r="AH1314" s="6" t="s">
        <v>15883</v>
      </c>
      <c r="AI1314" s="6" t="s">
        <v>81</v>
      </c>
      <c r="AJ1314" s="6" t="s">
        <v>17385</v>
      </c>
      <c r="AK1314" s="6" t="s">
        <v>18377</v>
      </c>
      <c r="AL1314" s="6" t="s">
        <v>18444</v>
      </c>
      <c r="AM1314" s="6" t="s">
        <v>18539</v>
      </c>
      <c r="AN1314" s="6" t="s">
        <v>19634</v>
      </c>
      <c r="AO1314" s="6" t="s">
        <v>19764</v>
      </c>
      <c r="AP1314" s="6" t="s">
        <v>81</v>
      </c>
      <c r="AQ1314" s="6" t="s">
        <v>81</v>
      </c>
      <c r="AR1314" s="6" t="s">
        <v>81</v>
      </c>
      <c r="AS1314" s="6" t="s">
        <v>81</v>
      </c>
      <c r="AT1314" s="6" t="s">
        <v>81</v>
      </c>
      <c r="AU1314" s="6" t="s">
        <v>81</v>
      </c>
      <c r="AV1314" s="6" t="s">
        <v>81</v>
      </c>
      <c r="AW1314" s="6" t="s">
        <v>81</v>
      </c>
      <c r="AX1314" s="6" t="s">
        <v>81</v>
      </c>
      <c r="AY1314" s="6" t="s">
        <v>81</v>
      </c>
      <c r="AZ1314" s="6" t="s">
        <v>81</v>
      </c>
      <c r="BA1314" s="6" t="s">
        <v>81</v>
      </c>
      <c r="BB1314" s="24" t="n">
        <v>140</v>
      </c>
      <c r="BC1314" s="26"/>
      <c r="BD1314" s="26"/>
      <c r="BE1314" s="26"/>
      <c r="BF1314" s="26"/>
      <c r="BG1314" s="26"/>
      <c r="BH1314" s="26"/>
      <c r="BI1314" s="26"/>
      <c r="BJ1314" s="26"/>
      <c r="BK1314" s="26"/>
      <c r="BL1314" s="26"/>
      <c r="BM1314" s="26"/>
      <c r="BN1314" s="26"/>
      <c r="BO1314" s="26"/>
      <c r="BP1314" s="16" t="n">
        <v>45738</v>
      </c>
      <c r="BQ1314" s="28" t="str">
        <f>HYPERLINK("https://organic.ams.usda.gov/Integrity/Certificate.aspx?cid=52&amp;nopid=8432101977")</f>
        <v>https://organic.ams.usda.gov/Integrity/Certificate.aspx?cid=52&amp;nopid=8432101977</v>
      </c>
    </row>
    <row r="1315">
      <c r="A1315" t="s">
        <v>3</v>
      </c>
      <c r="B1315" s="6" t="s">
        <v>7</v>
      </c>
      <c r="C1315" s="6" t="s">
        <v>54</v>
      </c>
      <c r="D1315" s="6" t="s">
        <v>100</v>
      </c>
      <c r="E1315" s="10" t="s">
        <v>1456</v>
      </c>
      <c r="F1315" s="6" t="s">
        <v>4182</v>
      </c>
      <c r="G1315" s="6" t="s">
        <v>81</v>
      </c>
      <c r="H1315" s="6" t="s">
        <v>7098</v>
      </c>
      <c r="I1315" s="6" t="s">
        <v>8552</v>
      </c>
      <c r="J1315" s="6" t="s">
        <v>9804</v>
      </c>
      <c r="K1315" s="6" t="s">
        <v>10886</v>
      </c>
      <c r="L1315" s="16" t="n">
        <v>45083</v>
      </c>
      <c r="M1315" s="16" t="n">
        <v>45716</v>
      </c>
      <c r="N1315" s="6" t="s">
        <v>10886</v>
      </c>
      <c r="O1315" s="16" t="n">
        <v>45083</v>
      </c>
      <c r="P1315" s="6" t="s">
        <v>11031</v>
      </c>
      <c r="Q1315" s="6" t="s">
        <v>81</v>
      </c>
      <c r="R1315" s="6" t="s">
        <v>81</v>
      </c>
      <c r="S1315" s="6" t="s">
        <v>10886</v>
      </c>
      <c r="T1315" s="16" t="n">
        <v>45083</v>
      </c>
      <c r="U1315" s="6" t="s">
        <v>13169</v>
      </c>
      <c r="V1315" s="6" t="s">
        <v>81</v>
      </c>
      <c r="W1315" s="6" t="s">
        <v>81</v>
      </c>
      <c r="X1315" s="6" t="s">
        <v>81</v>
      </c>
      <c r="Y1315" s="21" t="s">
        <v>81</v>
      </c>
      <c r="Z1315" s="6" t="s">
        <v>81</v>
      </c>
      <c r="AA1315" s="6" t="s">
        <v>81</v>
      </c>
      <c r="AB1315" s="6" t="s">
        <v>81</v>
      </c>
      <c r="AC1315" s="6" t="s">
        <v>81</v>
      </c>
      <c r="AD1315" s="21" t="s">
        <v>81</v>
      </c>
      <c r="AE1315" s="6" t="s">
        <v>81</v>
      </c>
      <c r="AF1315" s="6" t="s">
        <v>81</v>
      </c>
      <c r="AG1315" s="6" t="s">
        <v>81</v>
      </c>
      <c r="AH1315" s="6" t="s">
        <v>15884</v>
      </c>
      <c r="AI1315" s="6" t="s">
        <v>81</v>
      </c>
      <c r="AJ1315" s="6" t="s">
        <v>17406</v>
      </c>
      <c r="AK1315" s="6" t="s">
        <v>17712</v>
      </c>
      <c r="AL1315" s="6" t="s">
        <v>18444</v>
      </c>
      <c r="AM1315" s="6" t="s">
        <v>18562</v>
      </c>
      <c r="AN1315" s="6" t="s">
        <v>81</v>
      </c>
      <c r="AO1315" s="6" t="s">
        <v>81</v>
      </c>
      <c r="AP1315" s="6" t="s">
        <v>15884</v>
      </c>
      <c r="AQ1315" s="6" t="s">
        <v>81</v>
      </c>
      <c r="AR1315" s="6" t="s">
        <v>17406</v>
      </c>
      <c r="AS1315" s="6" t="s">
        <v>17712</v>
      </c>
      <c r="AT1315" s="6" t="s">
        <v>18444</v>
      </c>
      <c r="AU1315" s="6" t="s">
        <v>18562</v>
      </c>
      <c r="AV1315" s="6" t="s">
        <v>81</v>
      </c>
      <c r="AW1315" s="6" t="s">
        <v>81</v>
      </c>
      <c r="AX1315" s="6" t="s">
        <v>81</v>
      </c>
      <c r="AY1315" s="6" t="s">
        <v>81</v>
      </c>
      <c r="AZ1315" s="6" t="s">
        <v>81</v>
      </c>
      <c r="BA1315" s="6" t="s">
        <v>81</v>
      </c>
      <c r="BB1315" s="24" t="n">
        <v>40</v>
      </c>
      <c r="BC1315" s="26"/>
      <c r="BD1315" s="26"/>
      <c r="BE1315" s="26"/>
      <c r="BF1315" s="26" t="s">
        <v>23900</v>
      </c>
      <c r="BG1315" s="26"/>
      <c r="BH1315" s="26"/>
      <c r="BI1315" s="26"/>
      <c r="BJ1315" s="26"/>
      <c r="BK1315" s="26"/>
      <c r="BL1315" s="26"/>
      <c r="BM1315" s="26"/>
      <c r="BN1315" s="26"/>
      <c r="BO1315" s="26"/>
      <c r="BP1315" s="16" t="n">
        <v>45595</v>
      </c>
      <c r="BQ1315" s="28" t="str">
        <f>HYPERLINK("https://organic.ams.usda.gov/Integrity/Certificate.aspx?cid=57&amp;nopid=3252023024")</f>
        <v>https://organic.ams.usda.gov/Integrity/Certificate.aspx?cid=57&amp;nopid=3252023024</v>
      </c>
    </row>
    <row r="1316">
      <c r="A1316" t="s">
        <v>3</v>
      </c>
      <c r="B1316" s="6" t="s">
        <v>29</v>
      </c>
      <c r="C1316" s="6" t="s">
        <v>76</v>
      </c>
      <c r="D1316" s="6" t="s">
        <v>122</v>
      </c>
      <c r="E1316" s="10" t="s">
        <v>1457</v>
      </c>
      <c r="F1316" s="6" t="s">
        <v>4183</v>
      </c>
      <c r="G1316" s="6" t="s">
        <v>81</v>
      </c>
      <c r="H1316" s="6" t="s">
        <v>7099</v>
      </c>
      <c r="I1316" s="6" t="s">
        <v>9088</v>
      </c>
      <c r="J1316" s="6" t="s">
        <v>9742</v>
      </c>
      <c r="K1316" s="6" t="s">
        <v>10886</v>
      </c>
      <c r="L1316" s="16" t="n">
        <v>41513</v>
      </c>
      <c r="M1316" s="16" t="n">
        <v>45505</v>
      </c>
      <c r="N1316" s="6" t="s">
        <v>10886</v>
      </c>
      <c r="O1316" s="16" t="n">
        <v>41513</v>
      </c>
      <c r="P1316" s="6" t="s">
        <v>11680</v>
      </c>
      <c r="Q1316" s="6" t="s">
        <v>81</v>
      </c>
      <c r="R1316" s="6" t="s">
        <v>12785</v>
      </c>
      <c r="S1316" s="6" t="s">
        <v>10886</v>
      </c>
      <c r="T1316" s="16" t="n">
        <v>41513</v>
      </c>
      <c r="U1316" s="6" t="s">
        <v>13222</v>
      </c>
      <c r="V1316" s="6" t="s">
        <v>81</v>
      </c>
      <c r="W1316" s="6" t="s">
        <v>12785</v>
      </c>
      <c r="X1316" s="6" t="s">
        <v>81</v>
      </c>
      <c r="Y1316" s="21" t="s">
        <v>81</v>
      </c>
      <c r="Z1316" s="6" t="s">
        <v>81</v>
      </c>
      <c r="AA1316" s="6" t="s">
        <v>81</v>
      </c>
      <c r="AB1316" s="6" t="s">
        <v>81</v>
      </c>
      <c r="AC1316" s="6" t="s">
        <v>81</v>
      </c>
      <c r="AD1316" s="21" t="s">
        <v>81</v>
      </c>
      <c r="AE1316" s="6" t="s">
        <v>81</v>
      </c>
      <c r="AF1316" s="6" t="s">
        <v>81</v>
      </c>
      <c r="AG1316" s="6" t="s">
        <v>81</v>
      </c>
      <c r="AH1316" s="6" t="s">
        <v>15885</v>
      </c>
      <c r="AI1316" s="6" t="s">
        <v>81</v>
      </c>
      <c r="AJ1316" s="6" t="s">
        <v>17967</v>
      </c>
      <c r="AK1316" s="6" t="s">
        <v>18384</v>
      </c>
      <c r="AL1316" s="6" t="s">
        <v>18444</v>
      </c>
      <c r="AM1316" s="6" t="s">
        <v>19154</v>
      </c>
      <c r="AN1316" s="6" t="s">
        <v>7450</v>
      </c>
      <c r="AO1316" s="6" t="s">
        <v>19988</v>
      </c>
      <c r="AP1316" s="6" t="s">
        <v>81</v>
      </c>
      <c r="AQ1316" s="6" t="s">
        <v>81</v>
      </c>
      <c r="AR1316" s="6" t="s">
        <v>81</v>
      </c>
      <c r="AS1316" s="6" t="s">
        <v>81</v>
      </c>
      <c r="AT1316" s="6" t="s">
        <v>81</v>
      </c>
      <c r="AU1316" s="6" t="s">
        <v>81</v>
      </c>
      <c r="AV1316" s="6" t="s">
        <v>81</v>
      </c>
      <c r="AW1316" s="6" t="s">
        <v>81</v>
      </c>
      <c r="AX1316" s="6" t="s">
        <v>21570</v>
      </c>
      <c r="AY1316" s="6" t="s">
        <v>81</v>
      </c>
      <c r="AZ1316" s="6" t="s">
        <v>81</v>
      </c>
      <c r="BA1316" s="6" t="s">
        <v>81</v>
      </c>
      <c r="BB1316" s="24" t="n">
        <v>165</v>
      </c>
      <c r="BC1316" s="26"/>
      <c r="BD1316" s="26"/>
      <c r="BE1316" s="26"/>
      <c r="BF1316" s="26" t="s">
        <v>23900</v>
      </c>
      <c r="BG1316" s="26"/>
      <c r="BH1316" s="26"/>
      <c r="BI1316" s="26"/>
      <c r="BJ1316" s="26"/>
      <c r="BK1316" s="26"/>
      <c r="BL1316" s="26"/>
      <c r="BM1316" s="26"/>
      <c r="BN1316" s="26"/>
      <c r="BO1316" s="26"/>
      <c r="BP1316" s="16" t="n">
        <v>45737</v>
      </c>
      <c r="BQ1316" s="28" t="str">
        <f>HYPERLINK("https://organic.ams.usda.gov/Integrity/Certificate.aspx?cid=31&amp;nopid=3928971317")</f>
        <v>https://organic.ams.usda.gov/Integrity/Certificate.aspx?cid=31&amp;nopid=3928971317</v>
      </c>
    </row>
    <row r="1317">
      <c r="A1317" t="s">
        <v>3</v>
      </c>
      <c r="B1317" s="6" t="s">
        <v>7</v>
      </c>
      <c r="C1317" s="6" t="s">
        <v>54</v>
      </c>
      <c r="D1317" s="6" t="s">
        <v>100</v>
      </c>
      <c r="E1317" s="10" t="s">
        <v>1458</v>
      </c>
      <c r="F1317" s="6" t="s">
        <v>4184</v>
      </c>
      <c r="G1317" s="6" t="s">
        <v>81</v>
      </c>
      <c r="H1317" s="6" t="s">
        <v>7100</v>
      </c>
      <c r="I1317" s="6" t="s">
        <v>8552</v>
      </c>
      <c r="J1317" s="6" t="s">
        <v>9727</v>
      </c>
      <c r="K1317" s="6" t="s">
        <v>10886</v>
      </c>
      <c r="L1317" s="16" t="n">
        <v>40442</v>
      </c>
      <c r="M1317" s="16" t="n">
        <v>45716</v>
      </c>
      <c r="N1317" s="6" t="s">
        <v>10886</v>
      </c>
      <c r="O1317" s="16" t="n">
        <v>45152</v>
      </c>
      <c r="P1317" s="6" t="s">
        <v>10977</v>
      </c>
      <c r="Q1317" s="6" t="s">
        <v>81</v>
      </c>
      <c r="R1317" s="6" t="s">
        <v>81</v>
      </c>
      <c r="S1317" s="6" t="s">
        <v>10886</v>
      </c>
      <c r="T1317" s="16" t="n">
        <v>45152</v>
      </c>
      <c r="U1317" s="6" t="s">
        <v>13169</v>
      </c>
      <c r="V1317" s="6" t="s">
        <v>81</v>
      </c>
      <c r="W1317" s="6" t="s">
        <v>81</v>
      </c>
      <c r="X1317" s="6" t="s">
        <v>81</v>
      </c>
      <c r="Y1317" s="21" t="s">
        <v>81</v>
      </c>
      <c r="Z1317" s="6" t="s">
        <v>81</v>
      </c>
      <c r="AA1317" s="6" t="s">
        <v>81</v>
      </c>
      <c r="AB1317" s="6" t="s">
        <v>81</v>
      </c>
      <c r="AC1317" s="6" t="s">
        <v>81</v>
      </c>
      <c r="AD1317" s="21" t="s">
        <v>81</v>
      </c>
      <c r="AE1317" s="6" t="s">
        <v>81</v>
      </c>
      <c r="AF1317" s="6" t="s">
        <v>81</v>
      </c>
      <c r="AG1317" s="6" t="s">
        <v>81</v>
      </c>
      <c r="AH1317" s="6" t="s">
        <v>15886</v>
      </c>
      <c r="AI1317" s="6" t="s">
        <v>81</v>
      </c>
      <c r="AJ1317" s="6" t="s">
        <v>17406</v>
      </c>
      <c r="AK1317" s="6" t="s">
        <v>17712</v>
      </c>
      <c r="AL1317" s="6" t="s">
        <v>18444</v>
      </c>
      <c r="AM1317" s="6" t="s">
        <v>18562</v>
      </c>
      <c r="AN1317" s="6" t="s">
        <v>81</v>
      </c>
      <c r="AO1317" s="6" t="s">
        <v>81</v>
      </c>
      <c r="AP1317" s="6" t="s">
        <v>15886</v>
      </c>
      <c r="AQ1317" s="6" t="s">
        <v>81</v>
      </c>
      <c r="AR1317" s="6" t="s">
        <v>17406</v>
      </c>
      <c r="AS1317" s="6" t="s">
        <v>17712</v>
      </c>
      <c r="AT1317" s="6" t="s">
        <v>18444</v>
      </c>
      <c r="AU1317" s="6" t="s">
        <v>18562</v>
      </c>
      <c r="AV1317" s="6" t="s">
        <v>81</v>
      </c>
      <c r="AW1317" s="6" t="s">
        <v>81</v>
      </c>
      <c r="AX1317" s="6" t="s">
        <v>81</v>
      </c>
      <c r="AY1317" s="6" t="s">
        <v>81</v>
      </c>
      <c r="AZ1317" s="6" t="s">
        <v>81</v>
      </c>
      <c r="BA1317" s="6" t="s">
        <v>81</v>
      </c>
      <c r="BB1317" s="24" t="n">
        <v>136</v>
      </c>
      <c r="BC1317" s="26"/>
      <c r="BD1317" s="26"/>
      <c r="BE1317" s="26"/>
      <c r="BF1317" s="26" t="s">
        <v>23900</v>
      </c>
      <c r="BG1317" s="26"/>
      <c r="BH1317" s="26"/>
      <c r="BI1317" s="26"/>
      <c r="BJ1317" s="26"/>
      <c r="BK1317" s="26"/>
      <c r="BL1317" s="26"/>
      <c r="BM1317" s="26"/>
      <c r="BN1317" s="26"/>
      <c r="BO1317" s="26"/>
      <c r="BP1317" s="16" t="n">
        <v>45595</v>
      </c>
      <c r="BQ1317" s="28" t="str">
        <f>HYPERLINK("https://organic.ams.usda.gov/Integrity/Certificate.aspx?cid=57&amp;nopid=3252023060")</f>
        <v>https://organic.ams.usda.gov/Integrity/Certificate.aspx?cid=57&amp;nopid=3252023060</v>
      </c>
    </row>
    <row r="1318">
      <c r="A1318" t="s">
        <v>3</v>
      </c>
      <c r="B1318" s="6" t="s">
        <v>12</v>
      </c>
      <c r="C1318" s="6" t="s">
        <v>59</v>
      </c>
      <c r="D1318" s="6" t="s">
        <v>105</v>
      </c>
      <c r="E1318" s="10" t="s">
        <v>1459</v>
      </c>
      <c r="F1318" s="6" t="s">
        <v>4185</v>
      </c>
      <c r="G1318" s="6" t="s">
        <v>81</v>
      </c>
      <c r="H1318" s="6" t="s">
        <v>7101</v>
      </c>
      <c r="I1318" s="6" t="s">
        <v>9089</v>
      </c>
      <c r="J1318" s="6" t="s">
        <v>9741</v>
      </c>
      <c r="K1318" s="6" t="s">
        <v>10886</v>
      </c>
      <c r="L1318" s="16" t="n">
        <v>42643</v>
      </c>
      <c r="M1318" s="16" t="n">
        <v>45717</v>
      </c>
      <c r="N1318" s="6" t="s">
        <v>10886</v>
      </c>
      <c r="O1318" s="16" t="n">
        <v>42643</v>
      </c>
      <c r="P1318" s="6" t="s">
        <v>11681</v>
      </c>
      <c r="Q1318" s="6" t="s">
        <v>81</v>
      </c>
      <c r="R1318" s="6" t="s">
        <v>81</v>
      </c>
      <c r="S1318" s="6" t="s">
        <v>10886</v>
      </c>
      <c r="T1318" s="16" t="n">
        <v>42643</v>
      </c>
      <c r="U1318" s="6" t="s">
        <v>13183</v>
      </c>
      <c r="V1318" s="6" t="s">
        <v>81</v>
      </c>
      <c r="W1318" s="6" t="s">
        <v>81</v>
      </c>
      <c r="X1318" s="6" t="s">
        <v>81</v>
      </c>
      <c r="Y1318" s="21" t="s">
        <v>81</v>
      </c>
      <c r="Z1318" s="6" t="s">
        <v>81</v>
      </c>
      <c r="AA1318" s="6" t="s">
        <v>81</v>
      </c>
      <c r="AB1318" s="6" t="s">
        <v>81</v>
      </c>
      <c r="AC1318" s="6" t="s">
        <v>81</v>
      </c>
      <c r="AD1318" s="21" t="s">
        <v>81</v>
      </c>
      <c r="AE1318" s="6" t="s">
        <v>81</v>
      </c>
      <c r="AF1318" s="6" t="s">
        <v>81</v>
      </c>
      <c r="AG1318" s="6" t="s">
        <v>81</v>
      </c>
      <c r="AH1318" s="6" t="s">
        <v>15887</v>
      </c>
      <c r="AI1318" s="6" t="s">
        <v>81</v>
      </c>
      <c r="AJ1318" s="6" t="s">
        <v>17762</v>
      </c>
      <c r="AK1318" s="6" t="s">
        <v>18380</v>
      </c>
      <c r="AL1318" s="6" t="s">
        <v>18444</v>
      </c>
      <c r="AM1318" s="6" t="s">
        <v>18935</v>
      </c>
      <c r="AN1318" s="6" t="s">
        <v>19639</v>
      </c>
      <c r="AO1318" s="6" t="s">
        <v>19725</v>
      </c>
      <c r="AP1318" s="6" t="s">
        <v>15887</v>
      </c>
      <c r="AQ1318" s="6" t="s">
        <v>81</v>
      </c>
      <c r="AR1318" s="6" t="s">
        <v>17762</v>
      </c>
      <c r="AS1318" s="6" t="s">
        <v>18380</v>
      </c>
      <c r="AT1318" s="6" t="s">
        <v>18444</v>
      </c>
      <c r="AU1318" s="6" t="s">
        <v>18935</v>
      </c>
      <c r="AV1318" s="6" t="s">
        <v>81</v>
      </c>
      <c r="AW1318" s="6" t="s">
        <v>81</v>
      </c>
      <c r="AX1318" s="6" t="s">
        <v>21571</v>
      </c>
      <c r="AY1318" s="6" t="s">
        <v>81</v>
      </c>
      <c r="AZ1318" s="6" t="s">
        <v>81</v>
      </c>
      <c r="BA1318" s="6" t="s">
        <v>81</v>
      </c>
      <c r="BB1318" s="24" t="n">
        <v>71</v>
      </c>
      <c r="BC1318" s="26"/>
      <c r="BD1318" s="26"/>
      <c r="BE1318" s="26"/>
      <c r="BF1318" s="26"/>
      <c r="BG1318" s="26"/>
      <c r="BH1318" s="26"/>
      <c r="BI1318" s="26"/>
      <c r="BJ1318" s="26"/>
      <c r="BK1318" s="26"/>
      <c r="BL1318" s="26"/>
      <c r="BM1318" s="26"/>
      <c r="BN1318" s="26"/>
      <c r="BO1318" s="26"/>
      <c r="BP1318" s="16" t="n">
        <v>45684</v>
      </c>
      <c r="BQ1318" s="28" t="str">
        <f>HYPERLINK("https://organic.ams.usda.gov/Integrity/Certificate.aspx?cid=68&amp;nopid=8210004599")</f>
        <v>https://organic.ams.usda.gov/Integrity/Certificate.aspx?cid=68&amp;nopid=8210004599</v>
      </c>
    </row>
    <row r="1319">
      <c r="A1319" t="s">
        <v>3</v>
      </c>
      <c r="B1319" s="6" t="s">
        <v>30</v>
      </c>
      <c r="C1319" s="6" t="s">
        <v>77</v>
      </c>
      <c r="D1319" s="6" t="s">
        <v>123</v>
      </c>
      <c r="E1319" s="10" t="s">
        <v>1460</v>
      </c>
      <c r="F1319" s="6" t="s">
        <v>4186</v>
      </c>
      <c r="G1319" s="6" t="s">
        <v>81</v>
      </c>
      <c r="H1319" s="6" t="s">
        <v>7102</v>
      </c>
      <c r="I1319" s="6" t="s">
        <v>9089</v>
      </c>
      <c r="J1319" s="6" t="s">
        <v>9750</v>
      </c>
      <c r="K1319" s="6" t="s">
        <v>10886</v>
      </c>
      <c r="L1319" s="16" t="n">
        <v>37840</v>
      </c>
      <c r="M1319" s="16" t="n">
        <v>45747</v>
      </c>
      <c r="N1319" s="6" t="s">
        <v>10886</v>
      </c>
      <c r="O1319" s="16" t="n">
        <v>37840</v>
      </c>
      <c r="P1319" s="6" t="s">
        <v>11682</v>
      </c>
      <c r="Q1319" s="6" t="s">
        <v>81</v>
      </c>
      <c r="R1319" s="6" t="s">
        <v>12786</v>
      </c>
      <c r="S1319" s="6" t="s">
        <v>10886</v>
      </c>
      <c r="T1319" s="16" t="n">
        <v>37840</v>
      </c>
      <c r="U1319" s="6" t="s">
        <v>13400</v>
      </c>
      <c r="V1319" s="6" t="s">
        <v>81</v>
      </c>
      <c r="W1319" s="6" t="s">
        <v>7102</v>
      </c>
      <c r="X1319" s="6" t="s">
        <v>81</v>
      </c>
      <c r="Y1319" s="21" t="s">
        <v>81</v>
      </c>
      <c r="Z1319" s="6" t="s">
        <v>81</v>
      </c>
      <c r="AA1319" s="6" t="s">
        <v>81</v>
      </c>
      <c r="AB1319" s="6" t="s">
        <v>81</v>
      </c>
      <c r="AC1319" s="6" t="s">
        <v>81</v>
      </c>
      <c r="AD1319" s="21" t="s">
        <v>81</v>
      </c>
      <c r="AE1319" s="6" t="s">
        <v>81</v>
      </c>
      <c r="AF1319" s="6" t="s">
        <v>81</v>
      </c>
      <c r="AG1319" s="6" t="s">
        <v>81</v>
      </c>
      <c r="AH1319" s="6" t="s">
        <v>15888</v>
      </c>
      <c r="AI1319" s="6" t="s">
        <v>81</v>
      </c>
      <c r="AJ1319" s="6" t="s">
        <v>17311</v>
      </c>
      <c r="AK1319" s="6" t="s">
        <v>17712</v>
      </c>
      <c r="AL1319" s="6" t="s">
        <v>18444</v>
      </c>
      <c r="AM1319" s="6" t="s">
        <v>18463</v>
      </c>
      <c r="AN1319" s="6" t="s">
        <v>19634</v>
      </c>
      <c r="AO1319" s="6" t="s">
        <v>19719</v>
      </c>
      <c r="AP1319" s="6" t="s">
        <v>15888</v>
      </c>
      <c r="AQ1319" s="6" t="s">
        <v>81</v>
      </c>
      <c r="AR1319" s="6" t="s">
        <v>17311</v>
      </c>
      <c r="AS1319" s="6" t="s">
        <v>17712</v>
      </c>
      <c r="AT1319" s="6" t="s">
        <v>18444</v>
      </c>
      <c r="AU1319" s="6" t="s">
        <v>18463</v>
      </c>
      <c r="AV1319" s="6" t="s">
        <v>81</v>
      </c>
      <c r="AW1319" s="6" t="s">
        <v>81</v>
      </c>
      <c r="AX1319" s="6" t="s">
        <v>21572</v>
      </c>
      <c r="AY1319" s="6" t="s">
        <v>81</v>
      </c>
      <c r="AZ1319" s="6" t="s">
        <v>81</v>
      </c>
      <c r="BA1319" s="6" t="s">
        <v>81</v>
      </c>
      <c r="BB1319" s="24" t="n">
        <v>177</v>
      </c>
      <c r="BC1319" s="26"/>
      <c r="BD1319" s="26"/>
      <c r="BE1319" s="26"/>
      <c r="BF1319" s="26"/>
      <c r="BG1319" s="26"/>
      <c r="BH1319" s="26"/>
      <c r="BI1319" s="26"/>
      <c r="BJ1319" s="26"/>
      <c r="BK1319" s="26"/>
      <c r="BL1319" s="26"/>
      <c r="BM1319" s="26"/>
      <c r="BN1319" s="26"/>
      <c r="BO1319" s="26"/>
      <c r="BP1319" s="16" t="n">
        <v>45663</v>
      </c>
      <c r="BQ1319" s="28" t="str">
        <f>HYPERLINK("https://organic.ams.usda.gov/Integrity/Certificate.aspx?cid=70&amp;nopid=6430311390")</f>
        <v>https://organic.ams.usda.gov/Integrity/Certificate.aspx?cid=70&amp;nopid=6430311390</v>
      </c>
    </row>
    <row r="1320">
      <c r="A1320" t="s">
        <v>3</v>
      </c>
      <c r="B1320" s="6" t="s">
        <v>7</v>
      </c>
      <c r="C1320" s="6" t="s">
        <v>54</v>
      </c>
      <c r="D1320" s="6" t="s">
        <v>100</v>
      </c>
      <c r="E1320" s="10" t="s">
        <v>1461</v>
      </c>
      <c r="F1320" s="6" t="s">
        <v>4187</v>
      </c>
      <c r="G1320" s="6" t="s">
        <v>81</v>
      </c>
      <c r="H1320" s="6" t="s">
        <v>7103</v>
      </c>
      <c r="I1320" s="6" t="s">
        <v>8552</v>
      </c>
      <c r="J1320" s="6" t="s">
        <v>9727</v>
      </c>
      <c r="K1320" s="6" t="s">
        <v>10886</v>
      </c>
      <c r="L1320" s="16" t="n">
        <v>45546</v>
      </c>
      <c r="M1320" s="16" t="n">
        <v>45716</v>
      </c>
      <c r="N1320" s="6" t="s">
        <v>10886</v>
      </c>
      <c r="O1320" s="16" t="n">
        <v>45546</v>
      </c>
      <c r="P1320" s="6" t="s">
        <v>11515</v>
      </c>
      <c r="Q1320" s="6" t="s">
        <v>81</v>
      </c>
      <c r="R1320" s="6" t="s">
        <v>81</v>
      </c>
      <c r="S1320" s="6" t="s">
        <v>10886</v>
      </c>
      <c r="T1320" s="16" t="n">
        <v>45546</v>
      </c>
      <c r="U1320" s="6" t="s">
        <v>13160</v>
      </c>
      <c r="V1320" s="6" t="s">
        <v>81</v>
      </c>
      <c r="W1320" s="6" t="s">
        <v>81</v>
      </c>
      <c r="X1320" s="6" t="s">
        <v>81</v>
      </c>
      <c r="Y1320" s="21" t="s">
        <v>81</v>
      </c>
      <c r="Z1320" s="6" t="s">
        <v>81</v>
      </c>
      <c r="AA1320" s="6" t="s">
        <v>81</v>
      </c>
      <c r="AB1320" s="6" t="s">
        <v>81</v>
      </c>
      <c r="AC1320" s="6" t="s">
        <v>81</v>
      </c>
      <c r="AD1320" s="21" t="s">
        <v>81</v>
      </c>
      <c r="AE1320" s="6" t="s">
        <v>81</v>
      </c>
      <c r="AF1320" s="6" t="s">
        <v>81</v>
      </c>
      <c r="AG1320" s="6" t="s">
        <v>81</v>
      </c>
      <c r="AH1320" s="6" t="s">
        <v>15889</v>
      </c>
      <c r="AI1320" s="6" t="s">
        <v>81</v>
      </c>
      <c r="AJ1320" s="6" t="s">
        <v>17968</v>
      </c>
      <c r="AK1320" s="6" t="s">
        <v>17712</v>
      </c>
      <c r="AL1320" s="6" t="s">
        <v>18444</v>
      </c>
      <c r="AM1320" s="6" t="s">
        <v>19155</v>
      </c>
      <c r="AN1320" s="6" t="s">
        <v>81</v>
      </c>
      <c r="AO1320" s="6" t="s">
        <v>81</v>
      </c>
      <c r="AP1320" s="6" t="s">
        <v>15889</v>
      </c>
      <c r="AQ1320" s="6" t="s">
        <v>81</v>
      </c>
      <c r="AR1320" s="6" t="s">
        <v>17968</v>
      </c>
      <c r="AS1320" s="6" t="s">
        <v>17712</v>
      </c>
      <c r="AT1320" s="6" t="s">
        <v>18444</v>
      </c>
      <c r="AU1320" s="6" t="s">
        <v>19155</v>
      </c>
      <c r="AV1320" s="6" t="s">
        <v>81</v>
      </c>
      <c r="AW1320" s="6" t="s">
        <v>81</v>
      </c>
      <c r="AX1320" s="6" t="s">
        <v>81</v>
      </c>
      <c r="AY1320" s="6" t="s">
        <v>81</v>
      </c>
      <c r="AZ1320" s="6" t="s">
        <v>81</v>
      </c>
      <c r="BA1320" s="6" t="s">
        <v>81</v>
      </c>
      <c r="BB1320" s="24" t="n">
        <v>147</v>
      </c>
      <c r="BC1320" s="26"/>
      <c r="BD1320" s="26"/>
      <c r="BE1320" s="26"/>
      <c r="BF1320" s="26" t="s">
        <v>23900</v>
      </c>
      <c r="BG1320" s="26"/>
      <c r="BH1320" s="26"/>
      <c r="BI1320" s="26"/>
      <c r="BJ1320" s="26"/>
      <c r="BK1320" s="26"/>
      <c r="BL1320" s="26"/>
      <c r="BM1320" s="26"/>
      <c r="BN1320" s="26"/>
      <c r="BO1320" s="26"/>
      <c r="BP1320" s="16" t="n">
        <v>45595</v>
      </c>
      <c r="BQ1320" s="28" t="str">
        <f>HYPERLINK("https://organic.ams.usda.gov/Integrity/Certificate.aspx?cid=57&amp;nopid=3252024018")</f>
        <v>https://organic.ams.usda.gov/Integrity/Certificate.aspx?cid=57&amp;nopid=3252024018</v>
      </c>
    </row>
    <row r="1321">
      <c r="A1321" t="s">
        <v>3</v>
      </c>
      <c r="B1321" s="6" t="s">
        <v>30</v>
      </c>
      <c r="C1321" s="6" t="s">
        <v>77</v>
      </c>
      <c r="D1321" s="6" t="s">
        <v>123</v>
      </c>
      <c r="E1321" s="10" t="s">
        <v>1462</v>
      </c>
      <c r="F1321" s="6" t="s">
        <v>4188</v>
      </c>
      <c r="G1321" s="6" t="s">
        <v>81</v>
      </c>
      <c r="H1321" s="6" t="s">
        <v>7104</v>
      </c>
      <c r="I1321" s="6" t="s">
        <v>9090</v>
      </c>
      <c r="J1321" s="6" t="s">
        <v>9671</v>
      </c>
      <c r="K1321" s="6" t="s">
        <v>10886</v>
      </c>
      <c r="L1321" s="16" t="n">
        <v>40977</v>
      </c>
      <c r="M1321" s="16" t="n">
        <v>45747</v>
      </c>
      <c r="N1321" s="6" t="s">
        <v>10886</v>
      </c>
      <c r="O1321" s="16" t="n">
        <v>40977</v>
      </c>
      <c r="P1321" s="6" t="s">
        <v>10922</v>
      </c>
      <c r="Q1321" s="6" t="s">
        <v>81</v>
      </c>
      <c r="R1321" s="6" t="s">
        <v>7104</v>
      </c>
      <c r="S1321" s="6" t="s">
        <v>10886</v>
      </c>
      <c r="T1321" s="16" t="n">
        <v>40977</v>
      </c>
      <c r="U1321" s="6" t="s">
        <v>13255</v>
      </c>
      <c r="V1321" s="6" t="s">
        <v>81</v>
      </c>
      <c r="W1321" s="6" t="s">
        <v>7104</v>
      </c>
      <c r="X1321" s="6" t="s">
        <v>81</v>
      </c>
      <c r="Y1321" s="21" t="s">
        <v>81</v>
      </c>
      <c r="Z1321" s="6" t="s">
        <v>81</v>
      </c>
      <c r="AA1321" s="6" t="s">
        <v>81</v>
      </c>
      <c r="AB1321" s="6" t="s">
        <v>81</v>
      </c>
      <c r="AC1321" s="6" t="s">
        <v>81</v>
      </c>
      <c r="AD1321" s="21" t="s">
        <v>81</v>
      </c>
      <c r="AE1321" s="6" t="s">
        <v>81</v>
      </c>
      <c r="AF1321" s="6" t="s">
        <v>81</v>
      </c>
      <c r="AG1321" s="6" t="s">
        <v>81</v>
      </c>
      <c r="AH1321" s="6" t="s">
        <v>15890</v>
      </c>
      <c r="AI1321" s="6" t="s">
        <v>81</v>
      </c>
      <c r="AJ1321" s="6" t="s">
        <v>17966</v>
      </c>
      <c r="AK1321" s="6" t="s">
        <v>17712</v>
      </c>
      <c r="AL1321" s="6" t="s">
        <v>18444</v>
      </c>
      <c r="AM1321" s="6" t="s">
        <v>19153</v>
      </c>
      <c r="AN1321" s="6" t="s">
        <v>19642</v>
      </c>
      <c r="AO1321" s="6" t="s">
        <v>19728</v>
      </c>
      <c r="AP1321" s="6" t="s">
        <v>15890</v>
      </c>
      <c r="AQ1321" s="6" t="s">
        <v>81</v>
      </c>
      <c r="AR1321" s="6" t="s">
        <v>17966</v>
      </c>
      <c r="AS1321" s="6" t="s">
        <v>17712</v>
      </c>
      <c r="AT1321" s="6" t="s">
        <v>18444</v>
      </c>
      <c r="AU1321" s="6" t="s">
        <v>19153</v>
      </c>
      <c r="AV1321" s="6" t="s">
        <v>81</v>
      </c>
      <c r="AW1321" s="6" t="s">
        <v>81</v>
      </c>
      <c r="AX1321" s="6" t="s">
        <v>21573</v>
      </c>
      <c r="AY1321" s="6" t="s">
        <v>81</v>
      </c>
      <c r="AZ1321" s="6" t="s">
        <v>81</v>
      </c>
      <c r="BA1321" s="6" t="s">
        <v>81</v>
      </c>
      <c r="BB1321" s="24" t="n">
        <v>118</v>
      </c>
      <c r="BC1321" s="26"/>
      <c r="BD1321" s="26"/>
      <c r="BE1321" s="26"/>
      <c r="BF1321" s="26"/>
      <c r="BG1321" s="26"/>
      <c r="BH1321" s="26"/>
      <c r="BI1321" s="26"/>
      <c r="BJ1321" s="26"/>
      <c r="BK1321" s="26"/>
      <c r="BL1321" s="26"/>
      <c r="BM1321" s="26"/>
      <c r="BN1321" s="26"/>
      <c r="BO1321" s="26"/>
      <c r="BP1321" s="16" t="n">
        <v>45699</v>
      </c>
      <c r="BQ1321" s="28" t="str">
        <f>HYPERLINK("https://organic.ams.usda.gov/Integrity/Certificate.aspx?cid=70&amp;nopid=6431249100")</f>
        <v>https://organic.ams.usda.gov/Integrity/Certificate.aspx?cid=70&amp;nopid=6431249100</v>
      </c>
    </row>
    <row r="1322">
      <c r="A1322" t="s">
        <v>3</v>
      </c>
      <c r="B1322" s="6" t="s">
        <v>12</v>
      </c>
      <c r="C1322" s="6" t="s">
        <v>59</v>
      </c>
      <c r="D1322" s="6" t="s">
        <v>105</v>
      </c>
      <c r="E1322" s="10" t="s">
        <v>1463</v>
      </c>
      <c r="F1322" s="6" t="s">
        <v>4189</v>
      </c>
      <c r="G1322" s="6" t="s">
        <v>81</v>
      </c>
      <c r="H1322" s="6" t="s">
        <v>7105</v>
      </c>
      <c r="I1322" s="6" t="s">
        <v>8552</v>
      </c>
      <c r="J1322" s="6" t="s">
        <v>9730</v>
      </c>
      <c r="K1322" s="6" t="s">
        <v>10886</v>
      </c>
      <c r="L1322" s="16" t="n">
        <v>39948</v>
      </c>
      <c r="M1322" s="16" t="n">
        <v>45717</v>
      </c>
      <c r="N1322" s="6" t="s">
        <v>10886</v>
      </c>
      <c r="O1322" s="16" t="n">
        <v>39948</v>
      </c>
      <c r="P1322" s="6" t="s">
        <v>11683</v>
      </c>
      <c r="Q1322" s="6" t="s">
        <v>81</v>
      </c>
      <c r="R1322" s="6" t="s">
        <v>81</v>
      </c>
      <c r="S1322" s="6" t="s">
        <v>10886</v>
      </c>
      <c r="T1322" s="16" t="n">
        <v>39948</v>
      </c>
      <c r="U1322" s="6" t="s">
        <v>13183</v>
      </c>
      <c r="V1322" s="6" t="s">
        <v>81</v>
      </c>
      <c r="W1322" s="6" t="s">
        <v>81</v>
      </c>
      <c r="X1322" s="6" t="s">
        <v>81</v>
      </c>
      <c r="Y1322" s="21" t="s">
        <v>81</v>
      </c>
      <c r="Z1322" s="6" t="s">
        <v>81</v>
      </c>
      <c r="AA1322" s="6" t="s">
        <v>81</v>
      </c>
      <c r="AB1322" s="6" t="s">
        <v>81</v>
      </c>
      <c r="AC1322" s="6" t="s">
        <v>81</v>
      </c>
      <c r="AD1322" s="21" t="s">
        <v>81</v>
      </c>
      <c r="AE1322" s="6" t="s">
        <v>81</v>
      </c>
      <c r="AF1322" s="6" t="s">
        <v>81</v>
      </c>
      <c r="AG1322" s="6" t="s">
        <v>81</v>
      </c>
      <c r="AH1322" s="6" t="s">
        <v>15891</v>
      </c>
      <c r="AI1322" s="6" t="s">
        <v>81</v>
      </c>
      <c r="AJ1322" s="6" t="s">
        <v>17342</v>
      </c>
      <c r="AK1322" s="6" t="s">
        <v>18380</v>
      </c>
      <c r="AL1322" s="6" t="s">
        <v>18444</v>
      </c>
      <c r="AM1322" s="6" t="s">
        <v>18496</v>
      </c>
      <c r="AN1322" s="6" t="s">
        <v>8233</v>
      </c>
      <c r="AO1322" s="6" t="s">
        <v>19806</v>
      </c>
      <c r="AP1322" s="6" t="s">
        <v>15891</v>
      </c>
      <c r="AQ1322" s="6" t="s">
        <v>81</v>
      </c>
      <c r="AR1322" s="6" t="s">
        <v>17342</v>
      </c>
      <c r="AS1322" s="6" t="s">
        <v>18380</v>
      </c>
      <c r="AT1322" s="6" t="s">
        <v>18444</v>
      </c>
      <c r="AU1322" s="6" t="s">
        <v>18496</v>
      </c>
      <c r="AV1322" s="6" t="s">
        <v>81</v>
      </c>
      <c r="AW1322" s="6" t="s">
        <v>81</v>
      </c>
      <c r="AX1322" s="6" t="s">
        <v>81</v>
      </c>
      <c r="AY1322" s="6" t="s">
        <v>81</v>
      </c>
      <c r="AZ1322" s="6" t="s">
        <v>81</v>
      </c>
      <c r="BA1322" s="6" t="s">
        <v>81</v>
      </c>
      <c r="BB1322" s="24" t="n">
        <v>128</v>
      </c>
      <c r="BC1322" s="26"/>
      <c r="BD1322" s="26"/>
      <c r="BE1322" s="26"/>
      <c r="BF1322" s="26"/>
      <c r="BG1322" s="26"/>
      <c r="BH1322" s="26"/>
      <c r="BI1322" s="26"/>
      <c r="BJ1322" s="26"/>
      <c r="BK1322" s="26"/>
      <c r="BL1322" s="26"/>
      <c r="BM1322" s="26"/>
      <c r="BN1322" s="26"/>
      <c r="BO1322" s="26"/>
      <c r="BP1322" s="16" t="n">
        <v>45684</v>
      </c>
      <c r="BQ1322" s="28" t="str">
        <f>HYPERLINK("https://organic.ams.usda.gov/Integrity/Certificate.aspx?cid=68&amp;nopid=8210002919")</f>
        <v>https://organic.ams.usda.gov/Integrity/Certificate.aspx?cid=68&amp;nopid=8210002919</v>
      </c>
    </row>
    <row r="1323">
      <c r="A1323" t="s">
        <v>3</v>
      </c>
      <c r="B1323" s="6" t="s">
        <v>10</v>
      </c>
      <c r="C1323" s="6" t="s">
        <v>57</v>
      </c>
      <c r="D1323" s="6" t="s">
        <v>103</v>
      </c>
      <c r="E1323" s="10" t="s">
        <v>1464</v>
      </c>
      <c r="F1323" s="6" t="s">
        <v>4190</v>
      </c>
      <c r="G1323" s="6" t="s">
        <v>81</v>
      </c>
      <c r="H1323" s="6" t="s">
        <v>7106</v>
      </c>
      <c r="I1323" s="6" t="s">
        <v>8552</v>
      </c>
      <c r="J1323" s="6" t="s">
        <v>9976</v>
      </c>
      <c r="K1323" s="6" t="s">
        <v>10886</v>
      </c>
      <c r="L1323" s="16" t="n">
        <v>41278</v>
      </c>
      <c r="M1323" s="16" t="n">
        <v>45748</v>
      </c>
      <c r="N1323" s="6" t="s">
        <v>10886</v>
      </c>
      <c r="O1323" s="16" t="n">
        <v>41278</v>
      </c>
      <c r="P1323" s="6" t="s">
        <v>11684</v>
      </c>
      <c r="Q1323" s="6" t="s">
        <v>81</v>
      </c>
      <c r="R1323" s="6" t="s">
        <v>12787</v>
      </c>
      <c r="S1323" s="6" t="s">
        <v>10886</v>
      </c>
      <c r="T1323" s="16" t="n">
        <v>41278</v>
      </c>
      <c r="U1323" s="6" t="s">
        <v>13163</v>
      </c>
      <c r="V1323" s="6" t="s">
        <v>81</v>
      </c>
      <c r="W1323" s="6" t="s">
        <v>81</v>
      </c>
      <c r="X1323" s="6" t="s">
        <v>81</v>
      </c>
      <c r="Y1323" s="21" t="s">
        <v>81</v>
      </c>
      <c r="Z1323" s="6" t="s">
        <v>81</v>
      </c>
      <c r="AA1323" s="6" t="s">
        <v>81</v>
      </c>
      <c r="AB1323" s="6" t="s">
        <v>81</v>
      </c>
      <c r="AC1323" s="6" t="s">
        <v>81</v>
      </c>
      <c r="AD1323" s="21" t="s">
        <v>81</v>
      </c>
      <c r="AE1323" s="6" t="s">
        <v>81</v>
      </c>
      <c r="AF1323" s="6" t="s">
        <v>81</v>
      </c>
      <c r="AG1323" s="6" t="s">
        <v>81</v>
      </c>
      <c r="AH1323" s="6" t="s">
        <v>15892</v>
      </c>
      <c r="AI1323" s="6" t="s">
        <v>81</v>
      </c>
      <c r="AJ1323" s="6" t="s">
        <v>17392</v>
      </c>
      <c r="AK1323" s="6" t="s">
        <v>18379</v>
      </c>
      <c r="AL1323" s="6" t="s">
        <v>18444</v>
      </c>
      <c r="AM1323" s="6" t="s">
        <v>18548</v>
      </c>
      <c r="AN1323" s="6" t="s">
        <v>81</v>
      </c>
      <c r="AO1323" s="6" t="s">
        <v>81</v>
      </c>
      <c r="AP1323" s="6" t="s">
        <v>15892</v>
      </c>
      <c r="AQ1323" s="6" t="s">
        <v>81</v>
      </c>
      <c r="AR1323" s="6" t="s">
        <v>17392</v>
      </c>
      <c r="AS1323" s="6" t="s">
        <v>18379</v>
      </c>
      <c r="AT1323" s="6" t="s">
        <v>18444</v>
      </c>
      <c r="AU1323" s="6" t="s">
        <v>18548</v>
      </c>
      <c r="AV1323" s="6" t="s">
        <v>81</v>
      </c>
      <c r="AW1323" s="6" t="s">
        <v>81</v>
      </c>
      <c r="AX1323" s="6" t="s">
        <v>21574</v>
      </c>
      <c r="AY1323" s="6" t="s">
        <v>81</v>
      </c>
      <c r="AZ1323" s="6" t="s">
        <v>81</v>
      </c>
      <c r="BA1323" s="6" t="s">
        <v>81</v>
      </c>
      <c r="BB1323" s="24" t="n">
        <v>84</v>
      </c>
      <c r="BC1323" s="26"/>
      <c r="BD1323" s="26"/>
      <c r="BE1323" s="26"/>
      <c r="BF1323" s="26"/>
      <c r="BG1323" s="26"/>
      <c r="BH1323" s="26"/>
      <c r="BI1323" s="26"/>
      <c r="BJ1323" s="26"/>
      <c r="BK1323" s="26"/>
      <c r="BL1323" s="26"/>
      <c r="BM1323" s="26"/>
      <c r="BN1323" s="26"/>
      <c r="BO1323" s="26"/>
      <c r="BP1323" s="16" t="n">
        <v>45730</v>
      </c>
      <c r="BQ1323" s="28" t="str">
        <f>HYPERLINK("https://organic.ams.usda.gov/Integrity/Certificate.aspx?cid=90&amp;nopid=7170240754")</f>
        <v>https://organic.ams.usda.gov/Integrity/Certificate.aspx?cid=90&amp;nopid=7170240754</v>
      </c>
    </row>
    <row r="1324">
      <c r="A1324" t="s">
        <v>3</v>
      </c>
      <c r="B1324" s="6" t="s">
        <v>7</v>
      </c>
      <c r="C1324" s="6" t="s">
        <v>54</v>
      </c>
      <c r="D1324" s="6" t="s">
        <v>100</v>
      </c>
      <c r="E1324" s="10" t="s">
        <v>1465</v>
      </c>
      <c r="F1324" s="6" t="s">
        <v>4191</v>
      </c>
      <c r="G1324" s="6" t="s">
        <v>81</v>
      </c>
      <c r="H1324" s="6" t="s">
        <v>7107</v>
      </c>
      <c r="I1324" s="6" t="s">
        <v>8552</v>
      </c>
      <c r="J1324" s="6" t="s">
        <v>10301</v>
      </c>
      <c r="K1324" s="6" t="s">
        <v>10886</v>
      </c>
      <c r="L1324" s="16" t="n">
        <v>43602</v>
      </c>
      <c r="M1324" s="16" t="n">
        <v>45716</v>
      </c>
      <c r="N1324" s="6" t="s">
        <v>10886</v>
      </c>
      <c r="O1324" s="16" t="n">
        <v>43602</v>
      </c>
      <c r="P1324" s="6" t="s">
        <v>11685</v>
      </c>
      <c r="Q1324" s="6" t="s">
        <v>81</v>
      </c>
      <c r="R1324" s="6" t="s">
        <v>81</v>
      </c>
      <c r="S1324" s="6" t="s">
        <v>10886</v>
      </c>
      <c r="T1324" s="16" t="n">
        <v>43633</v>
      </c>
      <c r="U1324" s="6" t="s">
        <v>13169</v>
      </c>
      <c r="V1324" s="6" t="s">
        <v>81</v>
      </c>
      <c r="W1324" s="6" t="s">
        <v>81</v>
      </c>
      <c r="X1324" s="6" t="s">
        <v>81</v>
      </c>
      <c r="Y1324" s="21" t="s">
        <v>81</v>
      </c>
      <c r="Z1324" s="6" t="s">
        <v>81</v>
      </c>
      <c r="AA1324" s="6" t="s">
        <v>81</v>
      </c>
      <c r="AB1324" s="6" t="s">
        <v>81</v>
      </c>
      <c r="AC1324" s="6" t="s">
        <v>81</v>
      </c>
      <c r="AD1324" s="21" t="s">
        <v>81</v>
      </c>
      <c r="AE1324" s="6" t="s">
        <v>81</v>
      </c>
      <c r="AF1324" s="6" t="s">
        <v>81</v>
      </c>
      <c r="AG1324" s="6" t="s">
        <v>81</v>
      </c>
      <c r="AH1324" s="6" t="s">
        <v>15893</v>
      </c>
      <c r="AI1324" s="6" t="s">
        <v>81</v>
      </c>
      <c r="AJ1324" s="6" t="s">
        <v>17490</v>
      </c>
      <c r="AK1324" s="6" t="s">
        <v>17712</v>
      </c>
      <c r="AL1324" s="6" t="s">
        <v>18444</v>
      </c>
      <c r="AM1324" s="6" t="s">
        <v>18650</v>
      </c>
      <c r="AN1324" s="6" t="s">
        <v>19635</v>
      </c>
      <c r="AO1324" s="6" t="s">
        <v>19795</v>
      </c>
      <c r="AP1324" s="6" t="s">
        <v>20277</v>
      </c>
      <c r="AQ1324" s="6" t="s">
        <v>81</v>
      </c>
      <c r="AR1324" s="6" t="s">
        <v>17490</v>
      </c>
      <c r="AS1324" s="6" t="s">
        <v>17712</v>
      </c>
      <c r="AT1324" s="6" t="s">
        <v>18444</v>
      </c>
      <c r="AU1324" s="6" t="s">
        <v>18650</v>
      </c>
      <c r="AV1324" s="6" t="s">
        <v>81</v>
      </c>
      <c r="AW1324" s="6" t="s">
        <v>81</v>
      </c>
      <c r="AX1324" s="6" t="s">
        <v>21575</v>
      </c>
      <c r="AY1324" s="6" t="s">
        <v>23040</v>
      </c>
      <c r="AZ1324" s="6" t="s">
        <v>81</v>
      </c>
      <c r="BA1324" s="6" t="s">
        <v>81</v>
      </c>
      <c r="BB1324" s="24" t="n">
        <v>155</v>
      </c>
      <c r="BC1324" s="26"/>
      <c r="BD1324" s="26"/>
      <c r="BE1324" s="26"/>
      <c r="BF1324" s="26" t="s">
        <v>23900</v>
      </c>
      <c r="BG1324" s="26"/>
      <c r="BH1324" s="26"/>
      <c r="BI1324" s="26"/>
      <c r="BJ1324" s="26"/>
      <c r="BK1324" s="26"/>
      <c r="BL1324" s="26"/>
      <c r="BM1324" s="26"/>
      <c r="BN1324" s="26"/>
      <c r="BO1324" s="26"/>
      <c r="BP1324" s="16" t="n">
        <v>45693</v>
      </c>
      <c r="BQ1324" s="28" t="str">
        <f>HYPERLINK("https://organic.ams.usda.gov/Integrity/Certificate.aspx?cid=57&amp;nopid=3252019047")</f>
        <v>https://organic.ams.usda.gov/Integrity/Certificate.aspx?cid=57&amp;nopid=3252019047</v>
      </c>
    </row>
    <row r="1325">
      <c r="A1325" t="s">
        <v>3</v>
      </c>
      <c r="B1325" s="6" t="s">
        <v>9</v>
      </c>
      <c r="C1325" s="6" t="s">
        <v>56</v>
      </c>
      <c r="D1325" s="6" t="s">
        <v>102</v>
      </c>
      <c r="E1325" s="10" t="s">
        <v>1466</v>
      </c>
      <c r="F1325" s="6" t="s">
        <v>4192</v>
      </c>
      <c r="G1325" s="6" t="s">
        <v>81</v>
      </c>
      <c r="H1325" s="6" t="s">
        <v>7108</v>
      </c>
      <c r="I1325" s="6" t="s">
        <v>8552</v>
      </c>
      <c r="J1325" s="6" t="s">
        <v>9726</v>
      </c>
      <c r="K1325" s="6" t="s">
        <v>10886</v>
      </c>
      <c r="L1325" s="16" t="n">
        <v>43319</v>
      </c>
      <c r="M1325" s="16" t="n">
        <v>46113</v>
      </c>
      <c r="N1325" s="6" t="s">
        <v>10886</v>
      </c>
      <c r="O1325" s="16" t="n">
        <v>43319</v>
      </c>
      <c r="P1325" s="6" t="s">
        <v>11686</v>
      </c>
      <c r="Q1325" s="6" t="s">
        <v>81</v>
      </c>
      <c r="R1325" s="6" t="s">
        <v>12788</v>
      </c>
      <c r="S1325" s="6" t="s">
        <v>10886</v>
      </c>
      <c r="T1325" s="16" t="n">
        <v>43319</v>
      </c>
      <c r="U1325" s="6" t="s">
        <v>13168</v>
      </c>
      <c r="V1325" s="6" t="s">
        <v>81</v>
      </c>
      <c r="W1325" s="6" t="s">
        <v>12788</v>
      </c>
      <c r="X1325" s="6" t="s">
        <v>81</v>
      </c>
      <c r="Y1325" s="21" t="s">
        <v>81</v>
      </c>
      <c r="Z1325" s="6" t="s">
        <v>81</v>
      </c>
      <c r="AA1325" s="6" t="s">
        <v>81</v>
      </c>
      <c r="AB1325" s="6" t="s">
        <v>81</v>
      </c>
      <c r="AC1325" s="6" t="s">
        <v>81</v>
      </c>
      <c r="AD1325" s="21" t="s">
        <v>81</v>
      </c>
      <c r="AE1325" s="6" t="s">
        <v>81</v>
      </c>
      <c r="AF1325" s="6" t="s">
        <v>81</v>
      </c>
      <c r="AG1325" s="6" t="s">
        <v>81</v>
      </c>
      <c r="AH1325" s="6" t="s">
        <v>15894</v>
      </c>
      <c r="AI1325" s="6" t="s">
        <v>81</v>
      </c>
      <c r="AJ1325" s="6" t="s">
        <v>17681</v>
      </c>
      <c r="AK1325" s="6" t="s">
        <v>18377</v>
      </c>
      <c r="AL1325" s="6" t="s">
        <v>18444</v>
      </c>
      <c r="AM1325" s="6" t="s">
        <v>18847</v>
      </c>
      <c r="AN1325" s="6" t="s">
        <v>19638</v>
      </c>
      <c r="AO1325" s="6" t="s">
        <v>19724</v>
      </c>
      <c r="AP1325" s="6" t="s">
        <v>81</v>
      </c>
      <c r="AQ1325" s="6" t="s">
        <v>81</v>
      </c>
      <c r="AR1325" s="6" t="s">
        <v>81</v>
      </c>
      <c r="AS1325" s="6" t="s">
        <v>81</v>
      </c>
      <c r="AT1325" s="6" t="s">
        <v>81</v>
      </c>
      <c r="AU1325" s="6" t="s">
        <v>81</v>
      </c>
      <c r="AV1325" s="6" t="s">
        <v>81</v>
      </c>
      <c r="AW1325" s="6" t="s">
        <v>81</v>
      </c>
      <c r="AX1325" s="6" t="s">
        <v>81</v>
      </c>
      <c r="AY1325" s="6" t="s">
        <v>81</v>
      </c>
      <c r="AZ1325" s="6" t="s">
        <v>81</v>
      </c>
      <c r="BA1325" s="6" t="s">
        <v>81</v>
      </c>
      <c r="BB1325" s="24" t="n">
        <v>161</v>
      </c>
      <c r="BC1325" s="26"/>
      <c r="BD1325" s="26"/>
      <c r="BE1325" s="26"/>
      <c r="BF1325" s="26"/>
      <c r="BG1325" s="26"/>
      <c r="BH1325" s="26"/>
      <c r="BI1325" s="26"/>
      <c r="BJ1325" s="26"/>
      <c r="BK1325" s="26"/>
      <c r="BL1325" s="26"/>
      <c r="BM1325" s="26"/>
      <c r="BN1325" s="26"/>
      <c r="BO1325" s="26"/>
      <c r="BP1325" s="16" t="n">
        <v>45738</v>
      </c>
      <c r="BQ1325" s="28" t="str">
        <f>HYPERLINK("https://organic.ams.usda.gov/Integrity/Certificate.aspx?cid=52&amp;nopid=8431801468")</f>
        <v>https://organic.ams.usda.gov/Integrity/Certificate.aspx?cid=52&amp;nopid=8431801468</v>
      </c>
    </row>
    <row r="1326">
      <c r="A1326" t="s">
        <v>3</v>
      </c>
      <c r="B1326" s="6" t="s">
        <v>12</v>
      </c>
      <c r="C1326" s="6" t="s">
        <v>59</v>
      </c>
      <c r="D1326" s="6" t="s">
        <v>105</v>
      </c>
      <c r="E1326" s="10" t="s">
        <v>1467</v>
      </c>
      <c r="F1326" s="6" t="s">
        <v>4193</v>
      </c>
      <c r="G1326" s="6" t="s">
        <v>81</v>
      </c>
      <c r="H1326" s="6" t="s">
        <v>7109</v>
      </c>
      <c r="I1326" s="6" t="s">
        <v>8514</v>
      </c>
      <c r="J1326" s="6" t="s">
        <v>9726</v>
      </c>
      <c r="K1326" s="6" t="s">
        <v>10886</v>
      </c>
      <c r="L1326" s="16" t="n">
        <v>42493</v>
      </c>
      <c r="M1326" s="16" t="n">
        <v>45717</v>
      </c>
      <c r="N1326" s="6" t="s">
        <v>10886</v>
      </c>
      <c r="O1326" s="16" t="n">
        <v>42493</v>
      </c>
      <c r="P1326" s="6" t="s">
        <v>11687</v>
      </c>
      <c r="Q1326" s="6" t="s">
        <v>81</v>
      </c>
      <c r="R1326" s="6" t="s">
        <v>81</v>
      </c>
      <c r="S1326" s="6" t="s">
        <v>10886</v>
      </c>
      <c r="T1326" s="16" t="n">
        <v>42493</v>
      </c>
      <c r="U1326" s="6" t="s">
        <v>13262</v>
      </c>
      <c r="V1326" s="6" t="s">
        <v>81</v>
      </c>
      <c r="W1326" s="6" t="s">
        <v>81</v>
      </c>
      <c r="X1326" s="6" t="s">
        <v>81</v>
      </c>
      <c r="Y1326" s="21" t="s">
        <v>81</v>
      </c>
      <c r="Z1326" s="6" t="s">
        <v>81</v>
      </c>
      <c r="AA1326" s="6" t="s">
        <v>81</v>
      </c>
      <c r="AB1326" s="6" t="s">
        <v>81</v>
      </c>
      <c r="AC1326" s="6" t="s">
        <v>81</v>
      </c>
      <c r="AD1326" s="21" t="s">
        <v>81</v>
      </c>
      <c r="AE1326" s="6" t="s">
        <v>81</v>
      </c>
      <c r="AF1326" s="6" t="s">
        <v>81</v>
      </c>
      <c r="AG1326" s="6" t="s">
        <v>81</v>
      </c>
      <c r="AH1326" s="6" t="s">
        <v>15895</v>
      </c>
      <c r="AI1326" s="6" t="s">
        <v>81</v>
      </c>
      <c r="AJ1326" s="6" t="s">
        <v>17352</v>
      </c>
      <c r="AK1326" s="6" t="s">
        <v>17712</v>
      </c>
      <c r="AL1326" s="6" t="s">
        <v>18444</v>
      </c>
      <c r="AM1326" s="6" t="s">
        <v>18506</v>
      </c>
      <c r="AN1326" s="6" t="s">
        <v>19652</v>
      </c>
      <c r="AO1326" s="6" t="s">
        <v>19742</v>
      </c>
      <c r="AP1326" s="6" t="s">
        <v>20278</v>
      </c>
      <c r="AQ1326" s="6" t="s">
        <v>81</v>
      </c>
      <c r="AR1326" s="6" t="s">
        <v>17352</v>
      </c>
      <c r="AS1326" s="6" t="s">
        <v>17712</v>
      </c>
      <c r="AT1326" s="6" t="s">
        <v>18444</v>
      </c>
      <c r="AU1326" s="6" t="s">
        <v>18506</v>
      </c>
      <c r="AV1326" s="6" t="s">
        <v>81</v>
      </c>
      <c r="AW1326" s="6" t="s">
        <v>81</v>
      </c>
      <c r="AX1326" s="6" t="s">
        <v>21576</v>
      </c>
      <c r="AY1326" s="6" t="s">
        <v>81</v>
      </c>
      <c r="AZ1326" s="6" t="s">
        <v>81</v>
      </c>
      <c r="BA1326" s="6" t="s">
        <v>81</v>
      </c>
      <c r="BB1326" s="24" t="n">
        <v>486</v>
      </c>
      <c r="BC1326" s="26"/>
      <c r="BD1326" s="26"/>
      <c r="BE1326" s="26"/>
      <c r="BF1326" s="26"/>
      <c r="BG1326" s="26"/>
      <c r="BH1326" s="26"/>
      <c r="BI1326" s="26"/>
      <c r="BJ1326" s="26"/>
      <c r="BK1326" s="26"/>
      <c r="BL1326" s="26"/>
      <c r="BM1326" s="26"/>
      <c r="BN1326" s="26"/>
      <c r="BO1326" s="26"/>
      <c r="BP1326" s="16" t="n">
        <v>45720</v>
      </c>
      <c r="BQ1326" s="28" t="str">
        <f>HYPERLINK("https://organic.ams.usda.gov/Integrity/Certificate.aspx?cid=68&amp;nopid=8210003887")</f>
        <v>https://organic.ams.usda.gov/Integrity/Certificate.aspx?cid=68&amp;nopid=8210003887</v>
      </c>
    </row>
    <row r="1327">
      <c r="A1327" t="s">
        <v>3</v>
      </c>
      <c r="B1327" s="6" t="s">
        <v>17</v>
      </c>
      <c r="C1327" s="6" t="s">
        <v>64</v>
      </c>
      <c r="D1327" s="6" t="s">
        <v>110</v>
      </c>
      <c r="E1327" s="10" t="s">
        <v>1468</v>
      </c>
      <c r="F1327" s="6" t="s">
        <v>4194</v>
      </c>
      <c r="G1327" s="6" t="s">
        <v>81</v>
      </c>
      <c r="H1327" s="6" t="s">
        <v>7110</v>
      </c>
      <c r="I1327" s="6" t="s">
        <v>9091</v>
      </c>
      <c r="J1327" s="6" t="s">
        <v>9742</v>
      </c>
      <c r="K1327" s="6" t="s">
        <v>10886</v>
      </c>
      <c r="L1327" s="16" t="n">
        <v>38610</v>
      </c>
      <c r="M1327" s="16" t="n">
        <v>45762</v>
      </c>
      <c r="N1327" s="6" t="s">
        <v>10886</v>
      </c>
      <c r="O1327" s="16" t="n">
        <v>38610</v>
      </c>
      <c r="P1327" s="6" t="s">
        <v>11688</v>
      </c>
      <c r="Q1327" s="6" t="s">
        <v>81</v>
      </c>
      <c r="R1327" s="6" t="s">
        <v>7110</v>
      </c>
      <c r="S1327" s="6" t="s">
        <v>10886</v>
      </c>
      <c r="T1327" s="16" t="n">
        <v>38610</v>
      </c>
      <c r="U1327" s="6" t="s">
        <v>13594</v>
      </c>
      <c r="V1327" s="6" t="s">
        <v>81</v>
      </c>
      <c r="W1327" s="6" t="s">
        <v>7110</v>
      </c>
      <c r="X1327" s="6" t="s">
        <v>81</v>
      </c>
      <c r="Y1327" s="21" t="s">
        <v>81</v>
      </c>
      <c r="Z1327" s="6" t="s">
        <v>81</v>
      </c>
      <c r="AA1327" s="6" t="s">
        <v>81</v>
      </c>
      <c r="AB1327" s="6" t="s">
        <v>81</v>
      </c>
      <c r="AC1327" s="6" t="s">
        <v>81</v>
      </c>
      <c r="AD1327" s="21" t="s">
        <v>81</v>
      </c>
      <c r="AE1327" s="6" t="s">
        <v>81</v>
      </c>
      <c r="AF1327" s="6" t="s">
        <v>81</v>
      </c>
      <c r="AG1327" s="6" t="s">
        <v>81</v>
      </c>
      <c r="AH1327" s="6" t="s">
        <v>15896</v>
      </c>
      <c r="AI1327" s="6" t="s">
        <v>81</v>
      </c>
      <c r="AJ1327" s="6" t="s">
        <v>17426</v>
      </c>
      <c r="AK1327" s="6" t="s">
        <v>18384</v>
      </c>
      <c r="AL1327" s="6" t="s">
        <v>18444</v>
      </c>
      <c r="AM1327" s="6" t="s">
        <v>18583</v>
      </c>
      <c r="AN1327" s="6" t="s">
        <v>19690</v>
      </c>
      <c r="AO1327" s="6" t="s">
        <v>19852</v>
      </c>
      <c r="AP1327" s="6" t="s">
        <v>15896</v>
      </c>
      <c r="AQ1327" s="6" t="s">
        <v>81</v>
      </c>
      <c r="AR1327" s="6" t="s">
        <v>17426</v>
      </c>
      <c r="AS1327" s="6" t="s">
        <v>18384</v>
      </c>
      <c r="AT1327" s="6" t="s">
        <v>18444</v>
      </c>
      <c r="AU1327" s="6" t="s">
        <v>18583</v>
      </c>
      <c r="AV1327" s="6" t="s">
        <v>81</v>
      </c>
      <c r="AW1327" s="6" t="s">
        <v>81</v>
      </c>
      <c r="AX1327" s="6" t="s">
        <v>81</v>
      </c>
      <c r="AY1327" s="6" t="s">
        <v>81</v>
      </c>
      <c r="AZ1327" s="6" t="s">
        <v>81</v>
      </c>
      <c r="BA1327" s="6" t="s">
        <v>23864</v>
      </c>
      <c r="BB1327" s="24" t="n">
        <v>102</v>
      </c>
      <c r="BC1327" s="26"/>
      <c r="BD1327" s="26"/>
      <c r="BE1327" s="26"/>
      <c r="BF1327" s="26" t="s">
        <v>23900</v>
      </c>
      <c r="BG1327" s="26"/>
      <c r="BH1327" s="26"/>
      <c r="BI1327" s="26"/>
      <c r="BJ1327" s="26"/>
      <c r="BK1327" s="26"/>
      <c r="BL1327" s="26"/>
      <c r="BM1327" s="26"/>
      <c r="BN1327" s="26"/>
      <c r="BO1327" s="26"/>
      <c r="BP1327" s="16" t="n">
        <v>45707</v>
      </c>
      <c r="BQ1327" s="28" t="str">
        <f>HYPERLINK("https://organic.ams.usda.gov/Integrity/Certificate.aspx?cid=36&amp;nopid=5400000302")</f>
        <v>https://organic.ams.usda.gov/Integrity/Certificate.aspx?cid=36&amp;nopid=5400000302</v>
      </c>
    </row>
    <row r="1328">
      <c r="A1328" t="s">
        <v>3</v>
      </c>
      <c r="B1328" s="6" t="s">
        <v>12</v>
      </c>
      <c r="C1328" s="6" t="s">
        <v>59</v>
      </c>
      <c r="D1328" s="6" t="s">
        <v>105</v>
      </c>
      <c r="E1328" s="10" t="s">
        <v>1469</v>
      </c>
      <c r="F1328" s="6" t="s">
        <v>4195</v>
      </c>
      <c r="G1328" s="6" t="s">
        <v>81</v>
      </c>
      <c r="H1328" s="6" t="s">
        <v>7111</v>
      </c>
      <c r="I1328" s="6" t="s">
        <v>9092</v>
      </c>
      <c r="J1328" s="6" t="s">
        <v>10302</v>
      </c>
      <c r="K1328" s="6" t="s">
        <v>10886</v>
      </c>
      <c r="L1328" s="16" t="n">
        <v>37550</v>
      </c>
      <c r="M1328" s="16" t="n">
        <v>45717</v>
      </c>
      <c r="N1328" s="6" t="s">
        <v>10886</v>
      </c>
      <c r="O1328" s="16" t="n">
        <v>37550</v>
      </c>
      <c r="P1328" s="6" t="s">
        <v>11689</v>
      </c>
      <c r="Q1328" s="6" t="s">
        <v>81</v>
      </c>
      <c r="R1328" s="6" t="s">
        <v>81</v>
      </c>
      <c r="S1328" s="6" t="s">
        <v>10886</v>
      </c>
      <c r="T1328" s="16" t="n">
        <v>37550</v>
      </c>
      <c r="U1328" s="6" t="s">
        <v>13595</v>
      </c>
      <c r="V1328" s="6" t="s">
        <v>81</v>
      </c>
      <c r="W1328" s="6" t="s">
        <v>81</v>
      </c>
      <c r="X1328" s="6" t="s">
        <v>81</v>
      </c>
      <c r="Y1328" s="21" t="s">
        <v>81</v>
      </c>
      <c r="Z1328" s="6" t="s">
        <v>81</v>
      </c>
      <c r="AA1328" s="6" t="s">
        <v>81</v>
      </c>
      <c r="AB1328" s="6" t="s">
        <v>81</v>
      </c>
      <c r="AC1328" s="6" t="s">
        <v>81</v>
      </c>
      <c r="AD1328" s="21" t="s">
        <v>81</v>
      </c>
      <c r="AE1328" s="6" t="s">
        <v>81</v>
      </c>
      <c r="AF1328" s="6" t="s">
        <v>81</v>
      </c>
      <c r="AG1328" s="6" t="s">
        <v>81</v>
      </c>
      <c r="AH1328" s="6" t="s">
        <v>15897</v>
      </c>
      <c r="AI1328" s="6" t="s">
        <v>81</v>
      </c>
      <c r="AJ1328" s="6" t="s">
        <v>17589</v>
      </c>
      <c r="AK1328" s="6" t="s">
        <v>18380</v>
      </c>
      <c r="AL1328" s="6" t="s">
        <v>18444</v>
      </c>
      <c r="AM1328" s="6" t="s">
        <v>18753</v>
      </c>
      <c r="AN1328" s="6" t="s">
        <v>19683</v>
      </c>
      <c r="AO1328" s="6" t="s">
        <v>19867</v>
      </c>
      <c r="AP1328" s="6" t="s">
        <v>15897</v>
      </c>
      <c r="AQ1328" s="6" t="s">
        <v>81</v>
      </c>
      <c r="AR1328" s="6" t="s">
        <v>17589</v>
      </c>
      <c r="AS1328" s="6" t="s">
        <v>18380</v>
      </c>
      <c r="AT1328" s="6" t="s">
        <v>18444</v>
      </c>
      <c r="AU1328" s="6" t="s">
        <v>18753</v>
      </c>
      <c r="AV1328" s="6" t="s">
        <v>81</v>
      </c>
      <c r="AW1328" s="6" t="s">
        <v>81</v>
      </c>
      <c r="AX1328" s="6" t="s">
        <v>21577</v>
      </c>
      <c r="AY1328" s="6" t="s">
        <v>81</v>
      </c>
      <c r="AZ1328" s="6" t="s">
        <v>81</v>
      </c>
      <c r="BA1328" s="6" t="s">
        <v>81</v>
      </c>
      <c r="BB1328" s="24" t="n">
        <v>76</v>
      </c>
      <c r="BC1328" s="26"/>
      <c r="BD1328" s="26"/>
      <c r="BE1328" s="26"/>
      <c r="BF1328" s="26"/>
      <c r="BG1328" s="26"/>
      <c r="BH1328" s="26"/>
      <c r="BI1328" s="26"/>
      <c r="BJ1328" s="26"/>
      <c r="BK1328" s="26"/>
      <c r="BL1328" s="26"/>
      <c r="BM1328" s="26"/>
      <c r="BN1328" s="26"/>
      <c r="BO1328" s="26"/>
      <c r="BP1328" s="16" t="n">
        <v>45684</v>
      </c>
      <c r="BQ1328" s="28" t="str">
        <f>HYPERLINK("https://organic.ams.usda.gov/Integrity/Certificate.aspx?cid=68&amp;nopid=8210001471")</f>
        <v>https://organic.ams.usda.gov/Integrity/Certificate.aspx?cid=68&amp;nopid=8210001471</v>
      </c>
    </row>
    <row r="1329">
      <c r="A1329" t="s">
        <v>3</v>
      </c>
      <c r="B1329" s="6" t="s">
        <v>8</v>
      </c>
      <c r="C1329" s="6" t="s">
        <v>55</v>
      </c>
      <c r="D1329" s="6" t="s">
        <v>101</v>
      </c>
      <c r="E1329" s="10" t="s">
        <v>1470</v>
      </c>
      <c r="F1329" s="6" t="s">
        <v>4196</v>
      </c>
      <c r="G1329" s="6" t="s">
        <v>81</v>
      </c>
      <c r="H1329" s="6" t="s">
        <v>7112</v>
      </c>
      <c r="I1329" s="6" t="s">
        <v>8552</v>
      </c>
      <c r="J1329" s="6" t="s">
        <v>9666</v>
      </c>
      <c r="K1329" s="6" t="s">
        <v>10886</v>
      </c>
      <c r="L1329" s="16" t="n">
        <v>42667</v>
      </c>
      <c r="M1329" s="18" t="s">
        <v>81</v>
      </c>
      <c r="N1329" s="6" t="s">
        <v>10886</v>
      </c>
      <c r="O1329" s="16" t="n">
        <v>42667</v>
      </c>
      <c r="P1329" s="6" t="s">
        <v>11690</v>
      </c>
      <c r="Q1329" s="6" t="s">
        <v>81</v>
      </c>
      <c r="R1329" s="6" t="s">
        <v>81</v>
      </c>
      <c r="S1329" s="6" t="s">
        <v>10886</v>
      </c>
      <c r="T1329" s="16" t="n">
        <v>42667</v>
      </c>
      <c r="U1329" s="6" t="s">
        <v>13596</v>
      </c>
      <c r="V1329" s="6" t="s">
        <v>81</v>
      </c>
      <c r="W1329" s="6" t="s">
        <v>81</v>
      </c>
      <c r="X1329" s="6" t="s">
        <v>81</v>
      </c>
      <c r="Y1329" s="21" t="s">
        <v>81</v>
      </c>
      <c r="Z1329" s="6" t="s">
        <v>81</v>
      </c>
      <c r="AA1329" s="6" t="s">
        <v>81</v>
      </c>
      <c r="AB1329" s="6" t="s">
        <v>81</v>
      </c>
      <c r="AC1329" s="6" t="s">
        <v>81</v>
      </c>
      <c r="AD1329" s="21" t="s">
        <v>81</v>
      </c>
      <c r="AE1329" s="6" t="s">
        <v>81</v>
      </c>
      <c r="AF1329" s="6" t="s">
        <v>81</v>
      </c>
      <c r="AG1329" s="6" t="s">
        <v>81</v>
      </c>
      <c r="AH1329" s="6" t="s">
        <v>15898</v>
      </c>
      <c r="AI1329" s="6" t="s">
        <v>81</v>
      </c>
      <c r="AJ1329" s="6" t="s">
        <v>17579</v>
      </c>
      <c r="AK1329" s="6" t="s">
        <v>18391</v>
      </c>
      <c r="AL1329" s="6" t="s">
        <v>18444</v>
      </c>
      <c r="AM1329" s="6" t="s">
        <v>18743</v>
      </c>
      <c r="AN1329" s="6" t="s">
        <v>6139</v>
      </c>
      <c r="AO1329" s="6" t="s">
        <v>19970</v>
      </c>
      <c r="AP1329" s="6" t="s">
        <v>81</v>
      </c>
      <c r="AQ1329" s="6" t="s">
        <v>81</v>
      </c>
      <c r="AR1329" s="6" t="s">
        <v>81</v>
      </c>
      <c r="AS1329" s="6" t="s">
        <v>81</v>
      </c>
      <c r="AT1329" s="6" t="s">
        <v>81</v>
      </c>
      <c r="AU1329" s="6" t="s">
        <v>81</v>
      </c>
      <c r="AV1329" s="6" t="s">
        <v>81</v>
      </c>
      <c r="AW1329" s="6" t="s">
        <v>81</v>
      </c>
      <c r="AX1329" s="6" t="s">
        <v>81</v>
      </c>
      <c r="AY1329" s="6" t="s">
        <v>81</v>
      </c>
      <c r="AZ1329" s="6" t="s">
        <v>81</v>
      </c>
      <c r="BA1329" s="6" t="s">
        <v>81</v>
      </c>
      <c r="BB1329" s="24" t="n">
        <v>232</v>
      </c>
      <c r="BC1329" s="26"/>
      <c r="BD1329" s="26"/>
      <c r="BE1329" s="26"/>
      <c r="BF1329" s="26"/>
      <c r="BG1329" s="26"/>
      <c r="BH1329" s="26"/>
      <c r="BI1329" s="26"/>
      <c r="BJ1329" s="26"/>
      <c r="BK1329" s="26"/>
      <c r="BL1329" s="26"/>
      <c r="BM1329" s="26"/>
      <c r="BN1329" s="26"/>
      <c r="BO1329" s="26"/>
      <c r="BP1329" s="16" t="n">
        <v>45292</v>
      </c>
      <c r="BQ1329" s="28" t="str">
        <f>HYPERLINK("https://organic.ams.usda.gov/Integrity/Certificate.aspx?cid=45&amp;nopid=9950009317")</f>
        <v>https://organic.ams.usda.gov/Integrity/Certificate.aspx?cid=45&amp;nopid=9950009317</v>
      </c>
    </row>
    <row r="1330">
      <c r="A1330" t="s">
        <v>3</v>
      </c>
      <c r="B1330" s="6" t="s">
        <v>8</v>
      </c>
      <c r="C1330" s="6" t="s">
        <v>55</v>
      </c>
      <c r="D1330" s="6" t="s">
        <v>101</v>
      </c>
      <c r="E1330" s="10" t="s">
        <v>1471</v>
      </c>
      <c r="F1330" s="6" t="s">
        <v>4196</v>
      </c>
      <c r="G1330" s="6" t="s">
        <v>81</v>
      </c>
      <c r="H1330" s="6" t="s">
        <v>7113</v>
      </c>
      <c r="I1330" s="6" t="s">
        <v>8552</v>
      </c>
      <c r="J1330" s="6" t="s">
        <v>9666</v>
      </c>
      <c r="K1330" s="6" t="s">
        <v>10886</v>
      </c>
      <c r="L1330" s="16" t="n">
        <v>44167</v>
      </c>
      <c r="M1330" s="16" t="n">
        <v>45689</v>
      </c>
      <c r="N1330" s="6" t="s">
        <v>10886</v>
      </c>
      <c r="O1330" s="16" t="n">
        <v>44167</v>
      </c>
      <c r="P1330" s="6" t="s">
        <v>11691</v>
      </c>
      <c r="Q1330" s="6" t="s">
        <v>81</v>
      </c>
      <c r="R1330" s="6" t="s">
        <v>7113</v>
      </c>
      <c r="S1330" s="6" t="s">
        <v>10886</v>
      </c>
      <c r="T1330" s="16" t="n">
        <v>44167</v>
      </c>
      <c r="U1330" s="6" t="s">
        <v>13597</v>
      </c>
      <c r="V1330" s="6" t="s">
        <v>81</v>
      </c>
      <c r="W1330" s="6" t="s">
        <v>7113</v>
      </c>
      <c r="X1330" s="6" t="s">
        <v>81</v>
      </c>
      <c r="Y1330" s="21" t="s">
        <v>81</v>
      </c>
      <c r="Z1330" s="6" t="s">
        <v>81</v>
      </c>
      <c r="AA1330" s="6" t="s">
        <v>81</v>
      </c>
      <c r="AB1330" s="6" t="s">
        <v>81</v>
      </c>
      <c r="AC1330" s="6" t="s">
        <v>81</v>
      </c>
      <c r="AD1330" s="21" t="s">
        <v>81</v>
      </c>
      <c r="AE1330" s="6" t="s">
        <v>81</v>
      </c>
      <c r="AF1330" s="6" t="s">
        <v>81</v>
      </c>
      <c r="AG1330" s="6" t="s">
        <v>81</v>
      </c>
      <c r="AH1330" s="6" t="s">
        <v>15899</v>
      </c>
      <c r="AI1330" s="6" t="s">
        <v>81</v>
      </c>
      <c r="AJ1330" s="6" t="s">
        <v>17376</v>
      </c>
      <c r="AK1330" s="6" t="s">
        <v>18377</v>
      </c>
      <c r="AL1330" s="6" t="s">
        <v>18444</v>
      </c>
      <c r="AM1330" s="6" t="s">
        <v>18528</v>
      </c>
      <c r="AN1330" s="6" t="s">
        <v>19661</v>
      </c>
      <c r="AO1330" s="6" t="s">
        <v>19761</v>
      </c>
      <c r="AP1330" s="6" t="s">
        <v>81</v>
      </c>
      <c r="AQ1330" s="6" t="s">
        <v>81</v>
      </c>
      <c r="AR1330" s="6" t="s">
        <v>81</v>
      </c>
      <c r="AS1330" s="6" t="s">
        <v>81</v>
      </c>
      <c r="AT1330" s="6" t="s">
        <v>81</v>
      </c>
      <c r="AU1330" s="6" t="s">
        <v>81</v>
      </c>
      <c r="AV1330" s="6" t="s">
        <v>81</v>
      </c>
      <c r="AW1330" s="6" t="s">
        <v>81</v>
      </c>
      <c r="AX1330" s="6" t="s">
        <v>21578</v>
      </c>
      <c r="AY1330" s="6" t="s">
        <v>81</v>
      </c>
      <c r="AZ1330" s="6" t="s">
        <v>81</v>
      </c>
      <c r="BA1330" s="6" t="s">
        <v>23819</v>
      </c>
      <c r="BB1330" s="24" t="n">
        <v>122</v>
      </c>
      <c r="BC1330" s="26"/>
      <c r="BD1330" s="26"/>
      <c r="BE1330" s="26"/>
      <c r="BF1330" s="26" t="s">
        <v>23900</v>
      </c>
      <c r="BG1330" s="26"/>
      <c r="BH1330" s="26"/>
      <c r="BI1330" s="26"/>
      <c r="BJ1330" s="26"/>
      <c r="BK1330" s="26"/>
      <c r="BL1330" s="26"/>
      <c r="BM1330" s="26"/>
      <c r="BN1330" s="26"/>
      <c r="BO1330" s="26"/>
      <c r="BP1330" s="16" t="n">
        <v>45708</v>
      </c>
      <c r="BQ1330" s="28" t="str">
        <f>HYPERLINK("https://organic.ams.usda.gov/Integrity/Certificate.aspx?cid=45&amp;nopid=9950011353")</f>
        <v>https://organic.ams.usda.gov/Integrity/Certificate.aspx?cid=45&amp;nopid=9950011353</v>
      </c>
    </row>
    <row r="1331">
      <c r="A1331" t="s">
        <v>3</v>
      </c>
      <c r="B1331" s="6" t="s">
        <v>11</v>
      </c>
      <c r="C1331" s="6" t="s">
        <v>58</v>
      </c>
      <c r="D1331" s="6" t="s">
        <v>104</v>
      </c>
      <c r="E1331" s="10" t="s">
        <v>1472</v>
      </c>
      <c r="F1331" s="6" t="s">
        <v>4197</v>
      </c>
      <c r="G1331" s="6" t="s">
        <v>5713</v>
      </c>
      <c r="H1331" s="6" t="s">
        <v>81</v>
      </c>
      <c r="I1331" s="6" t="s">
        <v>9093</v>
      </c>
      <c r="J1331" s="6" t="s">
        <v>10303</v>
      </c>
      <c r="K1331" s="6" t="s">
        <v>10886</v>
      </c>
      <c r="L1331" s="16" t="n">
        <v>41158</v>
      </c>
      <c r="M1331" s="16" t="n">
        <v>45383</v>
      </c>
      <c r="N1331" s="6" t="s">
        <v>10886</v>
      </c>
      <c r="O1331" s="16" t="n">
        <v>41158</v>
      </c>
      <c r="P1331" s="6" t="s">
        <v>11692</v>
      </c>
      <c r="Q1331" s="6" t="s">
        <v>81</v>
      </c>
      <c r="R1331" s="6" t="s">
        <v>81</v>
      </c>
      <c r="S1331" s="6" t="s">
        <v>10886</v>
      </c>
      <c r="T1331" s="16" t="n">
        <v>41158</v>
      </c>
      <c r="U1331" s="6" t="s">
        <v>13358</v>
      </c>
      <c r="V1331" s="6" t="s">
        <v>81</v>
      </c>
      <c r="W1331" s="6" t="s">
        <v>81</v>
      </c>
      <c r="X1331" s="6" t="s">
        <v>81</v>
      </c>
      <c r="Y1331" s="21" t="s">
        <v>81</v>
      </c>
      <c r="Z1331" s="6" t="s">
        <v>81</v>
      </c>
      <c r="AA1331" s="6" t="s">
        <v>81</v>
      </c>
      <c r="AB1331" s="6" t="s">
        <v>81</v>
      </c>
      <c r="AC1331" s="6" t="s">
        <v>81</v>
      </c>
      <c r="AD1331" s="21" t="s">
        <v>81</v>
      </c>
      <c r="AE1331" s="6" t="s">
        <v>81</v>
      </c>
      <c r="AF1331" s="6" t="s">
        <v>81</v>
      </c>
      <c r="AG1331" s="6" t="s">
        <v>81</v>
      </c>
      <c r="AH1331" s="6" t="s">
        <v>15900</v>
      </c>
      <c r="AI1331" s="6" t="s">
        <v>81</v>
      </c>
      <c r="AJ1331" s="6" t="s">
        <v>17969</v>
      </c>
      <c r="AK1331" s="6" t="s">
        <v>18381</v>
      </c>
      <c r="AL1331" s="6" t="s">
        <v>18444</v>
      </c>
      <c r="AM1331" s="6" t="s">
        <v>19156</v>
      </c>
      <c r="AN1331" s="6" t="s">
        <v>19658</v>
      </c>
      <c r="AO1331" s="6" t="s">
        <v>19752</v>
      </c>
      <c r="AP1331" s="6" t="s">
        <v>15900</v>
      </c>
      <c r="AQ1331" s="6" t="s">
        <v>81</v>
      </c>
      <c r="AR1331" s="6" t="s">
        <v>17969</v>
      </c>
      <c r="AS1331" s="6" t="s">
        <v>18381</v>
      </c>
      <c r="AT1331" s="6" t="s">
        <v>18444</v>
      </c>
      <c r="AU1331" s="6" t="s">
        <v>19156</v>
      </c>
      <c r="AV1331" s="6" t="s">
        <v>81</v>
      </c>
      <c r="AW1331" s="6" t="s">
        <v>81</v>
      </c>
      <c r="AX1331" s="6" t="s">
        <v>81</v>
      </c>
      <c r="AY1331" s="6" t="s">
        <v>81</v>
      </c>
      <c r="AZ1331" s="6" t="s">
        <v>81</v>
      </c>
      <c r="BA1331" s="6" t="s">
        <v>81</v>
      </c>
      <c r="BB1331" s="24" t="n">
        <v>240</v>
      </c>
      <c r="BC1331" s="26"/>
      <c r="BD1331" s="26"/>
      <c r="BE1331" s="26"/>
      <c r="BF1331" s="26"/>
      <c r="BG1331" s="26"/>
      <c r="BH1331" s="26"/>
      <c r="BI1331" s="26"/>
      <c r="BJ1331" s="26"/>
      <c r="BK1331" s="26"/>
      <c r="BL1331" s="26"/>
      <c r="BM1331" s="26"/>
      <c r="BN1331" s="26"/>
      <c r="BO1331" s="26"/>
      <c r="BP1331" s="16" t="n">
        <v>45443</v>
      </c>
      <c r="BQ1331" s="28" t="str">
        <f>HYPERLINK("https://organic.ams.usda.gov/Integrity/Certificate.aspx?cid=46&amp;nopid=3671200010")</f>
        <v>https://organic.ams.usda.gov/Integrity/Certificate.aspx?cid=46&amp;nopid=3671200010</v>
      </c>
    </row>
    <row r="1332">
      <c r="A1332" t="s">
        <v>3</v>
      </c>
      <c r="B1332" s="6" t="s">
        <v>25</v>
      </c>
      <c r="C1332" s="6" t="s">
        <v>72</v>
      </c>
      <c r="D1332" s="6" t="s">
        <v>118</v>
      </c>
      <c r="E1332" s="10" t="s">
        <v>1473</v>
      </c>
      <c r="F1332" s="6" t="s">
        <v>4198</v>
      </c>
      <c r="G1332" s="6" t="s">
        <v>5714</v>
      </c>
      <c r="H1332" s="6" t="s">
        <v>7114</v>
      </c>
      <c r="I1332" s="6" t="s">
        <v>9094</v>
      </c>
      <c r="J1332" s="6" t="s">
        <v>10304</v>
      </c>
      <c r="K1332" s="6" t="s">
        <v>10886</v>
      </c>
      <c r="L1332" s="16" t="n">
        <v>38835</v>
      </c>
      <c r="M1332" s="16" t="n">
        <v>46023</v>
      </c>
      <c r="N1332" s="6" t="s">
        <v>10886</v>
      </c>
      <c r="O1332" s="16" t="n">
        <v>38835</v>
      </c>
      <c r="P1332" s="6" t="s">
        <v>11693</v>
      </c>
      <c r="Q1332" s="6" t="s">
        <v>81</v>
      </c>
      <c r="R1332" s="6" t="s">
        <v>81</v>
      </c>
      <c r="S1332" s="6" t="s">
        <v>10886</v>
      </c>
      <c r="T1332" s="16" t="n">
        <v>38835</v>
      </c>
      <c r="U1332" s="6" t="s">
        <v>13598</v>
      </c>
      <c r="V1332" s="6" t="s">
        <v>81</v>
      </c>
      <c r="W1332" s="6" t="s">
        <v>81</v>
      </c>
      <c r="X1332" s="6" t="s">
        <v>81</v>
      </c>
      <c r="Y1332" s="21" t="s">
        <v>81</v>
      </c>
      <c r="Z1332" s="6" t="s">
        <v>81</v>
      </c>
      <c r="AA1332" s="6" t="s">
        <v>81</v>
      </c>
      <c r="AB1332" s="6" t="s">
        <v>81</v>
      </c>
      <c r="AC1332" s="6" t="s">
        <v>10886</v>
      </c>
      <c r="AD1332" s="16" t="n">
        <v>44733</v>
      </c>
      <c r="AE1332" s="6" t="s">
        <v>14081</v>
      </c>
      <c r="AF1332" s="6" t="s">
        <v>81</v>
      </c>
      <c r="AG1332" s="6" t="s">
        <v>81</v>
      </c>
      <c r="AH1332" s="6" t="s">
        <v>15901</v>
      </c>
      <c r="AI1332" s="6" t="s">
        <v>81</v>
      </c>
      <c r="AJ1332" s="6" t="s">
        <v>17506</v>
      </c>
      <c r="AK1332" s="6" t="s">
        <v>18386</v>
      </c>
      <c r="AL1332" s="6" t="s">
        <v>18444</v>
      </c>
      <c r="AM1332" s="6" t="s">
        <v>18667</v>
      </c>
      <c r="AN1332" s="6" t="s">
        <v>19651</v>
      </c>
      <c r="AO1332" s="6" t="s">
        <v>19864</v>
      </c>
      <c r="AP1332" s="6" t="s">
        <v>15901</v>
      </c>
      <c r="AQ1332" s="6" t="s">
        <v>81</v>
      </c>
      <c r="AR1332" s="6" t="s">
        <v>17506</v>
      </c>
      <c r="AS1332" s="6" t="s">
        <v>18386</v>
      </c>
      <c r="AT1332" s="6" t="s">
        <v>18444</v>
      </c>
      <c r="AU1332" s="6" t="s">
        <v>18667</v>
      </c>
      <c r="AV1332" s="6" t="s">
        <v>81</v>
      </c>
      <c r="AW1332" s="6" t="s">
        <v>81</v>
      </c>
      <c r="AX1332" s="6" t="s">
        <v>21579</v>
      </c>
      <c r="AY1332" s="6" t="s">
        <v>23041</v>
      </c>
      <c r="AZ1332" s="6" t="s">
        <v>81</v>
      </c>
      <c r="BA1332" s="6" t="s">
        <v>23827</v>
      </c>
      <c r="BB1332" s="24" t="n">
        <v>718</v>
      </c>
      <c r="BC1332" s="26"/>
      <c r="BD1332" s="26"/>
      <c r="BE1332" s="26"/>
      <c r="BF1332" s="26" t="s">
        <v>23900</v>
      </c>
      <c r="BG1332" s="26"/>
      <c r="BH1332" s="26"/>
      <c r="BI1332" s="26"/>
      <c r="BJ1332" s="26"/>
      <c r="BK1332" s="26"/>
      <c r="BL1332" s="26"/>
      <c r="BM1332" s="26"/>
      <c r="BN1332" s="26"/>
      <c r="BO1332" s="26"/>
      <c r="BP1332" s="16" t="n">
        <v>45691</v>
      </c>
      <c r="BQ1332" s="28" t="str">
        <f>HYPERLINK("https://organic.ams.usda.gov/Integrity/Certificate.aspx?cid=15&amp;nopid=5561000987")</f>
        <v>https://organic.ams.usda.gov/Integrity/Certificate.aspx?cid=15&amp;nopid=5561000987</v>
      </c>
    </row>
    <row r="1333">
      <c r="A1333" t="s">
        <v>3</v>
      </c>
      <c r="B1333" s="6" t="s">
        <v>30</v>
      </c>
      <c r="C1333" s="6" t="s">
        <v>77</v>
      </c>
      <c r="D1333" s="6" t="s">
        <v>123</v>
      </c>
      <c r="E1333" s="10" t="s">
        <v>1474</v>
      </c>
      <c r="F1333" s="6" t="s">
        <v>4199</v>
      </c>
      <c r="G1333" s="6" t="s">
        <v>81</v>
      </c>
      <c r="H1333" s="6" t="s">
        <v>7115</v>
      </c>
      <c r="I1333" s="6" t="s">
        <v>81</v>
      </c>
      <c r="J1333" s="6" t="s">
        <v>81</v>
      </c>
      <c r="K1333" s="6" t="s">
        <v>10886</v>
      </c>
      <c r="L1333" s="16" t="n">
        <v>43627</v>
      </c>
      <c r="M1333" s="16" t="n">
        <v>45747</v>
      </c>
      <c r="N1333" s="6" t="s">
        <v>10886</v>
      </c>
      <c r="O1333" s="16" t="n">
        <v>43627</v>
      </c>
      <c r="P1333" s="6" t="s">
        <v>11694</v>
      </c>
      <c r="Q1333" s="6" t="s">
        <v>81</v>
      </c>
      <c r="R1333" s="6" t="s">
        <v>81</v>
      </c>
      <c r="S1333" s="6" t="s">
        <v>10886</v>
      </c>
      <c r="T1333" s="16" t="n">
        <v>43627</v>
      </c>
      <c r="U1333" s="6" t="s">
        <v>13564</v>
      </c>
      <c r="V1333" s="6" t="s">
        <v>81</v>
      </c>
      <c r="W1333" s="6" t="s">
        <v>81</v>
      </c>
      <c r="X1333" s="6" t="s">
        <v>81</v>
      </c>
      <c r="Y1333" s="21" t="s">
        <v>81</v>
      </c>
      <c r="Z1333" s="6" t="s">
        <v>81</v>
      </c>
      <c r="AA1333" s="6" t="s">
        <v>81</v>
      </c>
      <c r="AB1333" s="6" t="s">
        <v>81</v>
      </c>
      <c r="AC1333" s="6" t="s">
        <v>81</v>
      </c>
      <c r="AD1333" s="21" t="s">
        <v>81</v>
      </c>
      <c r="AE1333" s="6" t="s">
        <v>81</v>
      </c>
      <c r="AF1333" s="6" t="s">
        <v>81</v>
      </c>
      <c r="AG1333" s="6" t="s">
        <v>81</v>
      </c>
      <c r="AH1333" s="6" t="s">
        <v>15902</v>
      </c>
      <c r="AI1333" s="6" t="s">
        <v>81</v>
      </c>
      <c r="AJ1333" s="6" t="s">
        <v>17410</v>
      </c>
      <c r="AK1333" s="6" t="s">
        <v>17712</v>
      </c>
      <c r="AL1333" s="6" t="s">
        <v>18444</v>
      </c>
      <c r="AM1333" s="6" t="s">
        <v>18566</v>
      </c>
      <c r="AN1333" s="6" t="s">
        <v>19670</v>
      </c>
      <c r="AO1333" s="6" t="s">
        <v>19782</v>
      </c>
      <c r="AP1333" s="6" t="s">
        <v>15902</v>
      </c>
      <c r="AQ1333" s="6" t="s">
        <v>81</v>
      </c>
      <c r="AR1333" s="6" t="s">
        <v>17410</v>
      </c>
      <c r="AS1333" s="6" t="s">
        <v>17712</v>
      </c>
      <c r="AT1333" s="6" t="s">
        <v>18444</v>
      </c>
      <c r="AU1333" s="6" t="s">
        <v>18566</v>
      </c>
      <c r="AV1333" s="6" t="s">
        <v>81</v>
      </c>
      <c r="AW1333" s="6" t="s">
        <v>81</v>
      </c>
      <c r="AX1333" s="6" t="s">
        <v>81</v>
      </c>
      <c r="AY1333" s="6" t="s">
        <v>81</v>
      </c>
      <c r="AZ1333" s="6" t="s">
        <v>81</v>
      </c>
      <c r="BA1333" s="6" t="s">
        <v>81</v>
      </c>
      <c r="BB1333" s="24" t="n">
        <v>60</v>
      </c>
      <c r="BC1333" s="26"/>
      <c r="BD1333" s="26"/>
      <c r="BE1333" s="26"/>
      <c r="BF1333" s="26"/>
      <c r="BG1333" s="26"/>
      <c r="BH1333" s="26"/>
      <c r="BI1333" s="26"/>
      <c r="BJ1333" s="26"/>
      <c r="BK1333" s="26"/>
      <c r="BL1333" s="26"/>
      <c r="BM1333" s="26"/>
      <c r="BN1333" s="26"/>
      <c r="BO1333" s="26"/>
      <c r="BP1333" s="16" t="n">
        <v>45569</v>
      </c>
      <c r="BQ1333" s="28" t="str">
        <f>HYPERLINK("https://organic.ams.usda.gov/Integrity/Certificate.aspx?cid=70&amp;nopid=6431914630")</f>
        <v>https://organic.ams.usda.gov/Integrity/Certificate.aspx?cid=70&amp;nopid=6431914630</v>
      </c>
    </row>
    <row r="1334">
      <c r="A1334" t="s">
        <v>3</v>
      </c>
      <c r="B1334" s="6" t="s">
        <v>10</v>
      </c>
      <c r="C1334" s="6" t="s">
        <v>57</v>
      </c>
      <c r="D1334" s="6" t="s">
        <v>103</v>
      </c>
      <c r="E1334" s="10" t="s">
        <v>1475</v>
      </c>
      <c r="F1334" s="6" t="s">
        <v>4200</v>
      </c>
      <c r="G1334" s="6" t="s">
        <v>81</v>
      </c>
      <c r="H1334" s="6" t="s">
        <v>7116</v>
      </c>
      <c r="I1334" s="6" t="s">
        <v>9095</v>
      </c>
      <c r="J1334" s="6" t="s">
        <v>9744</v>
      </c>
      <c r="K1334" s="6" t="s">
        <v>10886</v>
      </c>
      <c r="L1334" s="16" t="n">
        <v>43963</v>
      </c>
      <c r="M1334" s="16" t="n">
        <v>45748</v>
      </c>
      <c r="N1334" s="6" t="s">
        <v>10886</v>
      </c>
      <c r="O1334" s="16" t="n">
        <v>43963</v>
      </c>
      <c r="P1334" s="6" t="s">
        <v>10910</v>
      </c>
      <c r="Q1334" s="6" t="s">
        <v>81</v>
      </c>
      <c r="R1334" s="6" t="s">
        <v>12789</v>
      </c>
      <c r="S1334" s="6" t="s">
        <v>10886</v>
      </c>
      <c r="T1334" s="16" t="n">
        <v>43963</v>
      </c>
      <c r="U1334" s="6" t="s">
        <v>13163</v>
      </c>
      <c r="V1334" s="6" t="s">
        <v>81</v>
      </c>
      <c r="W1334" s="6" t="s">
        <v>81</v>
      </c>
      <c r="X1334" s="6" t="s">
        <v>81</v>
      </c>
      <c r="Y1334" s="21" t="s">
        <v>81</v>
      </c>
      <c r="Z1334" s="6" t="s">
        <v>81</v>
      </c>
      <c r="AA1334" s="6" t="s">
        <v>81</v>
      </c>
      <c r="AB1334" s="6" t="s">
        <v>81</v>
      </c>
      <c r="AC1334" s="6" t="s">
        <v>81</v>
      </c>
      <c r="AD1334" s="21" t="s">
        <v>81</v>
      </c>
      <c r="AE1334" s="6" t="s">
        <v>81</v>
      </c>
      <c r="AF1334" s="6" t="s">
        <v>81</v>
      </c>
      <c r="AG1334" s="6" t="s">
        <v>81</v>
      </c>
      <c r="AH1334" s="6" t="s">
        <v>15903</v>
      </c>
      <c r="AI1334" s="6" t="s">
        <v>81</v>
      </c>
      <c r="AJ1334" s="6" t="s">
        <v>10457</v>
      </c>
      <c r="AK1334" s="6" t="s">
        <v>18378</v>
      </c>
      <c r="AL1334" s="6" t="s">
        <v>18444</v>
      </c>
      <c r="AM1334" s="6" t="s">
        <v>18573</v>
      </c>
      <c r="AN1334" s="6" t="s">
        <v>19673</v>
      </c>
      <c r="AO1334" s="6" t="s">
        <v>19786</v>
      </c>
      <c r="AP1334" s="6" t="s">
        <v>15903</v>
      </c>
      <c r="AQ1334" s="6" t="s">
        <v>81</v>
      </c>
      <c r="AR1334" s="6" t="s">
        <v>10457</v>
      </c>
      <c r="AS1334" s="6" t="s">
        <v>18378</v>
      </c>
      <c r="AT1334" s="6" t="s">
        <v>18444</v>
      </c>
      <c r="AU1334" s="6" t="s">
        <v>18573</v>
      </c>
      <c r="AV1334" s="6" t="s">
        <v>81</v>
      </c>
      <c r="AW1334" s="6" t="s">
        <v>81</v>
      </c>
      <c r="AX1334" s="6" t="s">
        <v>21580</v>
      </c>
      <c r="AY1334" s="6" t="s">
        <v>81</v>
      </c>
      <c r="AZ1334" s="6" t="s">
        <v>81</v>
      </c>
      <c r="BA1334" s="6" t="s">
        <v>81</v>
      </c>
      <c r="BB1334" s="24" t="n">
        <v>166</v>
      </c>
      <c r="BC1334" s="26"/>
      <c r="BD1334" s="26"/>
      <c r="BE1334" s="26"/>
      <c r="BF1334" s="26"/>
      <c r="BG1334" s="26"/>
      <c r="BH1334" s="26"/>
      <c r="BI1334" s="26"/>
      <c r="BJ1334" s="26"/>
      <c r="BK1334" s="26"/>
      <c r="BL1334" s="26"/>
      <c r="BM1334" s="26"/>
      <c r="BN1334" s="26"/>
      <c r="BO1334" s="26"/>
      <c r="BP1334" s="16" t="n">
        <v>45730</v>
      </c>
      <c r="BQ1334" s="28" t="str">
        <f>HYPERLINK("https://organic.ams.usda.gov/Integrity/Certificate.aspx?cid=90&amp;nopid=7170230668")</f>
        <v>https://organic.ams.usda.gov/Integrity/Certificate.aspx?cid=90&amp;nopid=7170230668</v>
      </c>
    </row>
    <row r="1335">
      <c r="A1335" t="s">
        <v>3</v>
      </c>
      <c r="B1335" s="6" t="s">
        <v>7</v>
      </c>
      <c r="C1335" s="6" t="s">
        <v>54</v>
      </c>
      <c r="D1335" s="6" t="s">
        <v>100</v>
      </c>
      <c r="E1335" s="10" t="s">
        <v>1476</v>
      </c>
      <c r="F1335" s="6" t="s">
        <v>4201</v>
      </c>
      <c r="G1335" s="6" t="s">
        <v>81</v>
      </c>
      <c r="H1335" s="6" t="s">
        <v>7117</v>
      </c>
      <c r="I1335" s="6" t="s">
        <v>8552</v>
      </c>
      <c r="J1335" s="6" t="s">
        <v>9803</v>
      </c>
      <c r="K1335" s="6" t="s">
        <v>10886</v>
      </c>
      <c r="L1335" s="16" t="n">
        <v>44085</v>
      </c>
      <c r="M1335" s="16" t="n">
        <v>45716</v>
      </c>
      <c r="N1335" s="6" t="s">
        <v>10886</v>
      </c>
      <c r="O1335" s="16" t="n">
        <v>44085</v>
      </c>
      <c r="P1335" s="6" t="s">
        <v>10944</v>
      </c>
      <c r="Q1335" s="6" t="s">
        <v>81</v>
      </c>
      <c r="R1335" s="6" t="s">
        <v>81</v>
      </c>
      <c r="S1335" s="6" t="s">
        <v>10886</v>
      </c>
      <c r="T1335" s="16" t="n">
        <v>44112</v>
      </c>
      <c r="U1335" s="6" t="s">
        <v>13169</v>
      </c>
      <c r="V1335" s="6" t="s">
        <v>81</v>
      </c>
      <c r="W1335" s="6" t="s">
        <v>81</v>
      </c>
      <c r="X1335" s="6" t="s">
        <v>81</v>
      </c>
      <c r="Y1335" s="21" t="s">
        <v>81</v>
      </c>
      <c r="Z1335" s="6" t="s">
        <v>81</v>
      </c>
      <c r="AA1335" s="6" t="s">
        <v>81</v>
      </c>
      <c r="AB1335" s="6" t="s">
        <v>81</v>
      </c>
      <c r="AC1335" s="6" t="s">
        <v>81</v>
      </c>
      <c r="AD1335" s="21" t="s">
        <v>81</v>
      </c>
      <c r="AE1335" s="6" t="s">
        <v>81</v>
      </c>
      <c r="AF1335" s="6" t="s">
        <v>81</v>
      </c>
      <c r="AG1335" s="6" t="s">
        <v>81</v>
      </c>
      <c r="AH1335" s="6" t="s">
        <v>15904</v>
      </c>
      <c r="AI1335" s="6" t="s">
        <v>81</v>
      </c>
      <c r="AJ1335" s="6" t="s">
        <v>17581</v>
      </c>
      <c r="AK1335" s="6" t="s">
        <v>17712</v>
      </c>
      <c r="AL1335" s="6" t="s">
        <v>18444</v>
      </c>
      <c r="AM1335" s="6" t="s">
        <v>7469</v>
      </c>
      <c r="AN1335" s="6" t="s">
        <v>19670</v>
      </c>
      <c r="AO1335" s="6" t="s">
        <v>19782</v>
      </c>
      <c r="AP1335" s="6" t="s">
        <v>15904</v>
      </c>
      <c r="AQ1335" s="6" t="s">
        <v>81</v>
      </c>
      <c r="AR1335" s="6" t="s">
        <v>17581</v>
      </c>
      <c r="AS1335" s="6" t="s">
        <v>17712</v>
      </c>
      <c r="AT1335" s="6" t="s">
        <v>18444</v>
      </c>
      <c r="AU1335" s="6" t="s">
        <v>7469</v>
      </c>
      <c r="AV1335" s="6" t="s">
        <v>81</v>
      </c>
      <c r="AW1335" s="6" t="s">
        <v>81</v>
      </c>
      <c r="AX1335" s="6" t="s">
        <v>81</v>
      </c>
      <c r="AY1335" s="6" t="s">
        <v>81</v>
      </c>
      <c r="AZ1335" s="6" t="s">
        <v>81</v>
      </c>
      <c r="BA1335" s="6" t="s">
        <v>81</v>
      </c>
      <c r="BB1335" s="24" t="n">
        <v>105</v>
      </c>
      <c r="BC1335" s="26"/>
      <c r="BD1335" s="26"/>
      <c r="BE1335" s="26"/>
      <c r="BF1335" s="26" t="s">
        <v>23900</v>
      </c>
      <c r="BG1335" s="26"/>
      <c r="BH1335" s="26"/>
      <c r="BI1335" s="26"/>
      <c r="BJ1335" s="26"/>
      <c r="BK1335" s="26"/>
      <c r="BL1335" s="26"/>
      <c r="BM1335" s="26"/>
      <c r="BN1335" s="26"/>
      <c r="BO1335" s="26"/>
      <c r="BP1335" s="16" t="n">
        <v>45595</v>
      </c>
      <c r="BQ1335" s="28" t="str">
        <f>HYPERLINK("https://organic.ams.usda.gov/Integrity/Certificate.aspx?cid=57&amp;nopid=3252020093")</f>
        <v>https://organic.ams.usda.gov/Integrity/Certificate.aspx?cid=57&amp;nopid=3252020093</v>
      </c>
    </row>
    <row r="1336">
      <c r="A1336" t="s">
        <v>3</v>
      </c>
      <c r="B1336" s="6" t="s">
        <v>30</v>
      </c>
      <c r="C1336" s="6" t="s">
        <v>77</v>
      </c>
      <c r="D1336" s="6" t="s">
        <v>123</v>
      </c>
      <c r="E1336" s="10" t="s">
        <v>1477</v>
      </c>
      <c r="F1336" s="6" t="s">
        <v>4202</v>
      </c>
      <c r="G1336" s="6" t="s">
        <v>81</v>
      </c>
      <c r="H1336" s="6" t="s">
        <v>7118</v>
      </c>
      <c r="I1336" s="6" t="s">
        <v>9096</v>
      </c>
      <c r="J1336" s="6" t="s">
        <v>9665</v>
      </c>
      <c r="K1336" s="6" t="s">
        <v>10886</v>
      </c>
      <c r="L1336" s="16" t="n">
        <v>41445</v>
      </c>
      <c r="M1336" s="16" t="n">
        <v>45747</v>
      </c>
      <c r="N1336" s="6" t="s">
        <v>10886</v>
      </c>
      <c r="O1336" s="16" t="n">
        <v>41445</v>
      </c>
      <c r="P1336" s="6" t="s">
        <v>10922</v>
      </c>
      <c r="Q1336" s="6" t="s">
        <v>81</v>
      </c>
      <c r="R1336" s="6" t="s">
        <v>7118</v>
      </c>
      <c r="S1336" s="6" t="s">
        <v>10886</v>
      </c>
      <c r="T1336" s="16" t="n">
        <v>41445</v>
      </c>
      <c r="U1336" s="6" t="s">
        <v>13231</v>
      </c>
      <c r="V1336" s="6" t="s">
        <v>81</v>
      </c>
      <c r="W1336" s="6" t="s">
        <v>7118</v>
      </c>
      <c r="X1336" s="6" t="s">
        <v>81</v>
      </c>
      <c r="Y1336" s="21" t="s">
        <v>81</v>
      </c>
      <c r="Z1336" s="6" t="s">
        <v>81</v>
      </c>
      <c r="AA1336" s="6" t="s">
        <v>81</v>
      </c>
      <c r="AB1336" s="6" t="s">
        <v>81</v>
      </c>
      <c r="AC1336" s="6" t="s">
        <v>81</v>
      </c>
      <c r="AD1336" s="21" t="s">
        <v>81</v>
      </c>
      <c r="AE1336" s="6" t="s">
        <v>81</v>
      </c>
      <c r="AF1336" s="6" t="s">
        <v>81</v>
      </c>
      <c r="AG1336" s="6" t="s">
        <v>81</v>
      </c>
      <c r="AH1336" s="6" t="s">
        <v>15905</v>
      </c>
      <c r="AI1336" s="6" t="s">
        <v>81</v>
      </c>
      <c r="AJ1336" s="6" t="s">
        <v>17531</v>
      </c>
      <c r="AK1336" s="6" t="s">
        <v>17712</v>
      </c>
      <c r="AL1336" s="6" t="s">
        <v>18444</v>
      </c>
      <c r="AM1336" s="6" t="s">
        <v>18694</v>
      </c>
      <c r="AN1336" s="6" t="s">
        <v>19657</v>
      </c>
      <c r="AO1336" s="6" t="s">
        <v>19751</v>
      </c>
      <c r="AP1336" s="6" t="s">
        <v>15905</v>
      </c>
      <c r="AQ1336" s="6" t="s">
        <v>81</v>
      </c>
      <c r="AR1336" s="6" t="s">
        <v>17531</v>
      </c>
      <c r="AS1336" s="6" t="s">
        <v>17712</v>
      </c>
      <c r="AT1336" s="6" t="s">
        <v>18444</v>
      </c>
      <c r="AU1336" s="6" t="s">
        <v>18694</v>
      </c>
      <c r="AV1336" s="6" t="s">
        <v>81</v>
      </c>
      <c r="AW1336" s="6" t="s">
        <v>81</v>
      </c>
      <c r="AX1336" s="6" t="s">
        <v>21581</v>
      </c>
      <c r="AY1336" s="6" t="s">
        <v>81</v>
      </c>
      <c r="AZ1336" s="6" t="s">
        <v>81</v>
      </c>
      <c r="BA1336" s="6" t="s">
        <v>81</v>
      </c>
      <c r="BB1336" s="24" t="n">
        <v>117</v>
      </c>
      <c r="BC1336" s="26"/>
      <c r="BD1336" s="26"/>
      <c r="BE1336" s="26"/>
      <c r="BF1336" s="26"/>
      <c r="BG1336" s="26"/>
      <c r="BH1336" s="26"/>
      <c r="BI1336" s="26"/>
      <c r="BJ1336" s="26"/>
      <c r="BK1336" s="26"/>
      <c r="BL1336" s="26"/>
      <c r="BM1336" s="26"/>
      <c r="BN1336" s="26"/>
      <c r="BO1336" s="26"/>
      <c r="BP1336" s="16" t="n">
        <v>45631</v>
      </c>
      <c r="BQ1336" s="28" t="str">
        <f>HYPERLINK("https://organic.ams.usda.gov/Integrity/Certificate.aspx?cid=70&amp;nopid=6431364800")</f>
        <v>https://organic.ams.usda.gov/Integrity/Certificate.aspx?cid=70&amp;nopid=6431364800</v>
      </c>
    </row>
    <row r="1337">
      <c r="A1337" t="s">
        <v>3</v>
      </c>
      <c r="B1337" s="6" t="s">
        <v>30</v>
      </c>
      <c r="C1337" s="6" t="s">
        <v>77</v>
      </c>
      <c r="D1337" s="6" t="s">
        <v>123</v>
      </c>
      <c r="E1337" s="10" t="s">
        <v>1478</v>
      </c>
      <c r="F1337" s="6" t="s">
        <v>4203</v>
      </c>
      <c r="G1337" s="6" t="s">
        <v>81</v>
      </c>
      <c r="H1337" s="6" t="s">
        <v>7119</v>
      </c>
      <c r="I1337" s="6" t="s">
        <v>9097</v>
      </c>
      <c r="J1337" s="6" t="s">
        <v>9960</v>
      </c>
      <c r="K1337" s="6" t="s">
        <v>10886</v>
      </c>
      <c r="L1337" s="16" t="n">
        <v>43593</v>
      </c>
      <c r="M1337" s="16" t="n">
        <v>45747</v>
      </c>
      <c r="N1337" s="6" t="s">
        <v>10886</v>
      </c>
      <c r="O1337" s="16" t="n">
        <v>43593</v>
      </c>
      <c r="P1337" s="6" t="s">
        <v>11060</v>
      </c>
      <c r="Q1337" s="6" t="s">
        <v>81</v>
      </c>
      <c r="R1337" s="6" t="s">
        <v>81</v>
      </c>
      <c r="S1337" s="6" t="s">
        <v>10886</v>
      </c>
      <c r="T1337" s="16" t="n">
        <v>43593</v>
      </c>
      <c r="U1337" s="6" t="s">
        <v>13400</v>
      </c>
      <c r="V1337" s="6" t="s">
        <v>81</v>
      </c>
      <c r="W1337" s="6" t="s">
        <v>81</v>
      </c>
      <c r="X1337" s="6" t="s">
        <v>81</v>
      </c>
      <c r="Y1337" s="21" t="s">
        <v>81</v>
      </c>
      <c r="Z1337" s="6" t="s">
        <v>81</v>
      </c>
      <c r="AA1337" s="6" t="s">
        <v>81</v>
      </c>
      <c r="AB1337" s="6" t="s">
        <v>81</v>
      </c>
      <c r="AC1337" s="6" t="s">
        <v>81</v>
      </c>
      <c r="AD1337" s="21" t="s">
        <v>81</v>
      </c>
      <c r="AE1337" s="6" t="s">
        <v>81</v>
      </c>
      <c r="AF1337" s="6" t="s">
        <v>81</v>
      </c>
      <c r="AG1337" s="6" t="s">
        <v>81</v>
      </c>
      <c r="AH1337" s="6" t="s">
        <v>15906</v>
      </c>
      <c r="AI1337" s="6" t="s">
        <v>81</v>
      </c>
      <c r="AJ1337" s="6" t="s">
        <v>17406</v>
      </c>
      <c r="AK1337" s="6" t="s">
        <v>17712</v>
      </c>
      <c r="AL1337" s="6" t="s">
        <v>18444</v>
      </c>
      <c r="AM1337" s="6" t="s">
        <v>18562</v>
      </c>
      <c r="AN1337" s="6" t="s">
        <v>19657</v>
      </c>
      <c r="AO1337" s="6" t="s">
        <v>19751</v>
      </c>
      <c r="AP1337" s="6" t="s">
        <v>15906</v>
      </c>
      <c r="AQ1337" s="6" t="s">
        <v>81</v>
      </c>
      <c r="AR1337" s="6" t="s">
        <v>17406</v>
      </c>
      <c r="AS1337" s="6" t="s">
        <v>17712</v>
      </c>
      <c r="AT1337" s="6" t="s">
        <v>18444</v>
      </c>
      <c r="AU1337" s="6" t="s">
        <v>18562</v>
      </c>
      <c r="AV1337" s="6" t="s">
        <v>81</v>
      </c>
      <c r="AW1337" s="6" t="s">
        <v>81</v>
      </c>
      <c r="AX1337" s="6" t="s">
        <v>81</v>
      </c>
      <c r="AY1337" s="6" t="s">
        <v>81</v>
      </c>
      <c r="AZ1337" s="6" t="s">
        <v>81</v>
      </c>
      <c r="BA1337" s="6" t="s">
        <v>81</v>
      </c>
      <c r="BB1337" s="24" t="n">
        <v>48</v>
      </c>
      <c r="BC1337" s="26"/>
      <c r="BD1337" s="26"/>
      <c r="BE1337" s="26"/>
      <c r="BF1337" s="26"/>
      <c r="BG1337" s="26"/>
      <c r="BH1337" s="26"/>
      <c r="BI1337" s="26"/>
      <c r="BJ1337" s="26"/>
      <c r="BK1337" s="26"/>
      <c r="BL1337" s="26"/>
      <c r="BM1337" s="26"/>
      <c r="BN1337" s="26"/>
      <c r="BO1337" s="26"/>
      <c r="BP1337" s="16" t="n">
        <v>45588</v>
      </c>
      <c r="BQ1337" s="28" t="str">
        <f>HYPERLINK("https://organic.ams.usda.gov/Integrity/Certificate.aspx?cid=70&amp;nopid=6431914620")</f>
        <v>https://organic.ams.usda.gov/Integrity/Certificate.aspx?cid=70&amp;nopid=6431914620</v>
      </c>
    </row>
    <row r="1338">
      <c r="A1338" t="s">
        <v>3</v>
      </c>
      <c r="B1338" s="6" t="s">
        <v>12</v>
      </c>
      <c r="C1338" s="6" t="s">
        <v>59</v>
      </c>
      <c r="D1338" s="6" t="s">
        <v>105</v>
      </c>
      <c r="E1338" s="10" t="s">
        <v>1479</v>
      </c>
      <c r="F1338" s="6" t="s">
        <v>4204</v>
      </c>
      <c r="G1338" s="6" t="s">
        <v>81</v>
      </c>
      <c r="H1338" s="6" t="s">
        <v>7120</v>
      </c>
      <c r="I1338" s="6" t="s">
        <v>81</v>
      </c>
      <c r="J1338" s="6" t="s">
        <v>81</v>
      </c>
      <c r="K1338" s="6" t="s">
        <v>10886</v>
      </c>
      <c r="L1338" s="16" t="n">
        <v>42541</v>
      </c>
      <c r="M1338" s="16" t="n">
        <v>45717</v>
      </c>
      <c r="N1338" s="6" t="s">
        <v>10886</v>
      </c>
      <c r="O1338" s="16" t="n">
        <v>42541</v>
      </c>
      <c r="P1338" s="6" t="s">
        <v>11252</v>
      </c>
      <c r="Q1338" s="6" t="s">
        <v>81</v>
      </c>
      <c r="R1338" s="6" t="s">
        <v>81</v>
      </c>
      <c r="S1338" s="6" t="s">
        <v>10886</v>
      </c>
      <c r="T1338" s="16" t="n">
        <v>42541</v>
      </c>
      <c r="U1338" s="6" t="s">
        <v>13166</v>
      </c>
      <c r="V1338" s="6" t="s">
        <v>81</v>
      </c>
      <c r="W1338" s="6" t="s">
        <v>81</v>
      </c>
      <c r="X1338" s="6" t="s">
        <v>81</v>
      </c>
      <c r="Y1338" s="21" t="s">
        <v>81</v>
      </c>
      <c r="Z1338" s="6" t="s">
        <v>81</v>
      </c>
      <c r="AA1338" s="6" t="s">
        <v>81</v>
      </c>
      <c r="AB1338" s="6" t="s">
        <v>81</v>
      </c>
      <c r="AC1338" s="6" t="s">
        <v>81</v>
      </c>
      <c r="AD1338" s="21" t="s">
        <v>81</v>
      </c>
      <c r="AE1338" s="6" t="s">
        <v>81</v>
      </c>
      <c r="AF1338" s="6" t="s">
        <v>81</v>
      </c>
      <c r="AG1338" s="6" t="s">
        <v>81</v>
      </c>
      <c r="AH1338" s="6" t="s">
        <v>15907</v>
      </c>
      <c r="AI1338" s="6" t="s">
        <v>81</v>
      </c>
      <c r="AJ1338" s="6" t="s">
        <v>17531</v>
      </c>
      <c r="AK1338" s="6" t="s">
        <v>17712</v>
      </c>
      <c r="AL1338" s="6" t="s">
        <v>18444</v>
      </c>
      <c r="AM1338" s="6" t="s">
        <v>18694</v>
      </c>
      <c r="AN1338" s="6" t="s">
        <v>19657</v>
      </c>
      <c r="AO1338" s="6" t="s">
        <v>19751</v>
      </c>
      <c r="AP1338" s="6" t="s">
        <v>15907</v>
      </c>
      <c r="AQ1338" s="6" t="s">
        <v>81</v>
      </c>
      <c r="AR1338" s="6" t="s">
        <v>17531</v>
      </c>
      <c r="AS1338" s="6" t="s">
        <v>17712</v>
      </c>
      <c r="AT1338" s="6" t="s">
        <v>18444</v>
      </c>
      <c r="AU1338" s="6" t="s">
        <v>18694</v>
      </c>
      <c r="AV1338" s="6" t="s">
        <v>81</v>
      </c>
      <c r="AW1338" s="6" t="s">
        <v>81</v>
      </c>
      <c r="AX1338" s="6" t="s">
        <v>21582</v>
      </c>
      <c r="AY1338" s="6" t="s">
        <v>81</v>
      </c>
      <c r="AZ1338" s="6" t="s">
        <v>81</v>
      </c>
      <c r="BA1338" s="6" t="s">
        <v>81</v>
      </c>
      <c r="BB1338" s="24" t="n">
        <v>160</v>
      </c>
      <c r="BC1338" s="26"/>
      <c r="BD1338" s="26"/>
      <c r="BE1338" s="26"/>
      <c r="BF1338" s="26"/>
      <c r="BG1338" s="26"/>
      <c r="BH1338" s="26"/>
      <c r="BI1338" s="26"/>
      <c r="BJ1338" s="26"/>
      <c r="BK1338" s="26"/>
      <c r="BL1338" s="26"/>
      <c r="BM1338" s="26"/>
      <c r="BN1338" s="26"/>
      <c r="BO1338" s="26"/>
      <c r="BP1338" s="16" t="n">
        <v>45684</v>
      </c>
      <c r="BQ1338" s="28" t="str">
        <f>HYPERLINK("https://organic.ams.usda.gov/Integrity/Certificate.aspx?cid=68&amp;nopid=8210004450")</f>
        <v>https://organic.ams.usda.gov/Integrity/Certificate.aspx?cid=68&amp;nopid=8210004450</v>
      </c>
    </row>
    <row r="1339">
      <c r="A1339" t="s">
        <v>3</v>
      </c>
      <c r="B1339" s="6" t="s">
        <v>7</v>
      </c>
      <c r="C1339" s="6" t="s">
        <v>54</v>
      </c>
      <c r="D1339" s="6" t="s">
        <v>100</v>
      </c>
      <c r="E1339" s="10" t="s">
        <v>1480</v>
      </c>
      <c r="F1339" s="6" t="s">
        <v>4205</v>
      </c>
      <c r="G1339" s="6" t="s">
        <v>81</v>
      </c>
      <c r="H1339" s="6" t="s">
        <v>7121</v>
      </c>
      <c r="I1339" s="6" t="s">
        <v>9098</v>
      </c>
      <c r="J1339" s="6" t="s">
        <v>9727</v>
      </c>
      <c r="K1339" s="6" t="s">
        <v>10886</v>
      </c>
      <c r="L1339" s="16" t="n">
        <v>45119</v>
      </c>
      <c r="M1339" s="16" t="n">
        <v>45716</v>
      </c>
      <c r="N1339" s="6" t="s">
        <v>10886</v>
      </c>
      <c r="O1339" s="16" t="n">
        <v>45119</v>
      </c>
      <c r="P1339" s="6" t="s">
        <v>11695</v>
      </c>
      <c r="Q1339" s="6" t="s">
        <v>81</v>
      </c>
      <c r="R1339" s="6" t="s">
        <v>81</v>
      </c>
      <c r="S1339" s="6" t="s">
        <v>10886</v>
      </c>
      <c r="T1339" s="16" t="n">
        <v>45224</v>
      </c>
      <c r="U1339" s="6" t="s">
        <v>13169</v>
      </c>
      <c r="V1339" s="6" t="s">
        <v>81</v>
      </c>
      <c r="W1339" s="6" t="s">
        <v>81</v>
      </c>
      <c r="X1339" s="6" t="s">
        <v>81</v>
      </c>
      <c r="Y1339" s="21" t="s">
        <v>81</v>
      </c>
      <c r="Z1339" s="6" t="s">
        <v>81</v>
      </c>
      <c r="AA1339" s="6" t="s">
        <v>81</v>
      </c>
      <c r="AB1339" s="6" t="s">
        <v>81</v>
      </c>
      <c r="AC1339" s="6" t="s">
        <v>81</v>
      </c>
      <c r="AD1339" s="21" t="s">
        <v>81</v>
      </c>
      <c r="AE1339" s="6" t="s">
        <v>81</v>
      </c>
      <c r="AF1339" s="6" t="s">
        <v>81</v>
      </c>
      <c r="AG1339" s="6" t="s">
        <v>81</v>
      </c>
      <c r="AH1339" s="6" t="s">
        <v>15908</v>
      </c>
      <c r="AI1339" s="6" t="s">
        <v>81</v>
      </c>
      <c r="AJ1339" s="6" t="s">
        <v>17578</v>
      </c>
      <c r="AK1339" s="6" t="s">
        <v>17712</v>
      </c>
      <c r="AL1339" s="6" t="s">
        <v>18444</v>
      </c>
      <c r="AM1339" s="6" t="s">
        <v>18742</v>
      </c>
      <c r="AN1339" s="6" t="s">
        <v>81</v>
      </c>
      <c r="AO1339" s="6" t="s">
        <v>81</v>
      </c>
      <c r="AP1339" s="6" t="s">
        <v>15908</v>
      </c>
      <c r="AQ1339" s="6" t="s">
        <v>81</v>
      </c>
      <c r="AR1339" s="6" t="s">
        <v>17578</v>
      </c>
      <c r="AS1339" s="6" t="s">
        <v>17712</v>
      </c>
      <c r="AT1339" s="6" t="s">
        <v>18444</v>
      </c>
      <c r="AU1339" s="6" t="s">
        <v>18742</v>
      </c>
      <c r="AV1339" s="6" t="s">
        <v>81</v>
      </c>
      <c r="AW1339" s="6" t="s">
        <v>81</v>
      </c>
      <c r="AX1339" s="6" t="s">
        <v>81</v>
      </c>
      <c r="AY1339" s="6" t="s">
        <v>81</v>
      </c>
      <c r="AZ1339" s="6" t="s">
        <v>81</v>
      </c>
      <c r="BA1339" s="6" t="s">
        <v>81</v>
      </c>
      <c r="BB1339" s="24" t="n">
        <v>77</v>
      </c>
      <c r="BC1339" s="26"/>
      <c r="BD1339" s="26"/>
      <c r="BE1339" s="26"/>
      <c r="BF1339" s="26" t="s">
        <v>23900</v>
      </c>
      <c r="BG1339" s="26"/>
      <c r="BH1339" s="26"/>
      <c r="BI1339" s="26"/>
      <c r="BJ1339" s="26"/>
      <c r="BK1339" s="26"/>
      <c r="BL1339" s="26"/>
      <c r="BM1339" s="26"/>
      <c r="BN1339" s="26"/>
      <c r="BO1339" s="26"/>
      <c r="BP1339" s="16" t="n">
        <v>45702</v>
      </c>
      <c r="BQ1339" s="28" t="str">
        <f>HYPERLINK("https://organic.ams.usda.gov/Integrity/Certificate.aspx?cid=57&amp;nopid=3252023062")</f>
        <v>https://organic.ams.usda.gov/Integrity/Certificate.aspx?cid=57&amp;nopid=3252023062</v>
      </c>
    </row>
    <row r="1340">
      <c r="A1340" t="s">
        <v>3</v>
      </c>
      <c r="B1340" s="6" t="s">
        <v>25</v>
      </c>
      <c r="C1340" s="6" t="s">
        <v>72</v>
      </c>
      <c r="D1340" s="6" t="s">
        <v>118</v>
      </c>
      <c r="E1340" s="10" t="s">
        <v>1481</v>
      </c>
      <c r="F1340" s="6" t="s">
        <v>4206</v>
      </c>
      <c r="G1340" s="6" t="s">
        <v>5715</v>
      </c>
      <c r="H1340" s="6" t="s">
        <v>7122</v>
      </c>
      <c r="I1340" s="6" t="s">
        <v>9099</v>
      </c>
      <c r="J1340" s="6" t="s">
        <v>9839</v>
      </c>
      <c r="K1340" s="6" t="s">
        <v>10886</v>
      </c>
      <c r="L1340" s="16" t="n">
        <v>45385</v>
      </c>
      <c r="M1340" s="16" t="n">
        <v>46023</v>
      </c>
      <c r="N1340" s="6" t="s">
        <v>10886</v>
      </c>
      <c r="O1340" s="16" t="n">
        <v>45385</v>
      </c>
      <c r="P1340" s="6" t="s">
        <v>11696</v>
      </c>
      <c r="Q1340" s="6" t="s">
        <v>81</v>
      </c>
      <c r="R1340" s="6" t="s">
        <v>81</v>
      </c>
      <c r="S1340" s="6" t="s">
        <v>10886</v>
      </c>
      <c r="T1340" s="16" t="n">
        <v>45385</v>
      </c>
      <c r="U1340" s="6" t="s">
        <v>13599</v>
      </c>
      <c r="V1340" s="6" t="s">
        <v>81</v>
      </c>
      <c r="W1340" s="6" t="s">
        <v>81</v>
      </c>
      <c r="X1340" s="6" t="s">
        <v>81</v>
      </c>
      <c r="Y1340" s="21" t="s">
        <v>81</v>
      </c>
      <c r="Z1340" s="6" t="s">
        <v>81</v>
      </c>
      <c r="AA1340" s="6" t="s">
        <v>81</v>
      </c>
      <c r="AB1340" s="6" t="s">
        <v>81</v>
      </c>
      <c r="AC1340" s="6" t="s">
        <v>81</v>
      </c>
      <c r="AD1340" s="21" t="s">
        <v>81</v>
      </c>
      <c r="AE1340" s="6" t="s">
        <v>81</v>
      </c>
      <c r="AF1340" s="6" t="s">
        <v>81</v>
      </c>
      <c r="AG1340" s="6" t="s">
        <v>81</v>
      </c>
      <c r="AH1340" s="6" t="s">
        <v>15909</v>
      </c>
      <c r="AI1340" s="6" t="s">
        <v>81</v>
      </c>
      <c r="AJ1340" s="6" t="s">
        <v>17506</v>
      </c>
      <c r="AK1340" s="6" t="s">
        <v>18386</v>
      </c>
      <c r="AL1340" s="6" t="s">
        <v>18444</v>
      </c>
      <c r="AM1340" s="6" t="s">
        <v>18667</v>
      </c>
      <c r="AN1340" s="6" t="s">
        <v>81</v>
      </c>
      <c r="AO1340" s="6" t="s">
        <v>81</v>
      </c>
      <c r="AP1340" s="6" t="s">
        <v>15909</v>
      </c>
      <c r="AQ1340" s="6" t="s">
        <v>81</v>
      </c>
      <c r="AR1340" s="6" t="s">
        <v>17506</v>
      </c>
      <c r="AS1340" s="6" t="s">
        <v>18386</v>
      </c>
      <c r="AT1340" s="6" t="s">
        <v>18444</v>
      </c>
      <c r="AU1340" s="6" t="s">
        <v>18667</v>
      </c>
      <c r="AV1340" s="6" t="s">
        <v>81</v>
      </c>
      <c r="AW1340" s="6" t="s">
        <v>81</v>
      </c>
      <c r="AX1340" s="6" t="s">
        <v>21583</v>
      </c>
      <c r="AY1340" s="6" t="s">
        <v>23042</v>
      </c>
      <c r="AZ1340" s="6" t="s">
        <v>81</v>
      </c>
      <c r="BA1340" s="6" t="s">
        <v>81</v>
      </c>
      <c r="BB1340" s="24" t="n">
        <v>136</v>
      </c>
      <c r="BC1340" s="26"/>
      <c r="BD1340" s="26"/>
      <c r="BE1340" s="26"/>
      <c r="BF1340" s="26"/>
      <c r="BG1340" s="26"/>
      <c r="BH1340" s="26"/>
      <c r="BI1340" s="26"/>
      <c r="BJ1340" s="26"/>
      <c r="BK1340" s="26"/>
      <c r="BL1340" s="26"/>
      <c r="BM1340" s="26"/>
      <c r="BN1340" s="26"/>
      <c r="BO1340" s="26"/>
      <c r="BP1340" s="16" t="n">
        <v>45667</v>
      </c>
      <c r="BQ1340" s="28" t="str">
        <f>HYPERLINK("https://organic.ams.usda.gov/Integrity/Certificate.aspx?cid=15&amp;nopid=5561008352")</f>
        <v>https://organic.ams.usda.gov/Integrity/Certificate.aspx?cid=15&amp;nopid=5561008352</v>
      </c>
    </row>
    <row r="1341">
      <c r="A1341" t="s">
        <v>3</v>
      </c>
      <c r="B1341" s="6" t="s">
        <v>8</v>
      </c>
      <c r="C1341" s="6" t="s">
        <v>55</v>
      </c>
      <c r="D1341" s="6" t="s">
        <v>101</v>
      </c>
      <c r="E1341" s="10" t="s">
        <v>1482</v>
      </c>
      <c r="F1341" s="6" t="s">
        <v>4207</v>
      </c>
      <c r="G1341" s="6" t="s">
        <v>81</v>
      </c>
      <c r="H1341" s="6" t="s">
        <v>7123</v>
      </c>
      <c r="I1341" s="6" t="s">
        <v>9100</v>
      </c>
      <c r="J1341" s="6" t="s">
        <v>9839</v>
      </c>
      <c r="K1341" s="6" t="s">
        <v>10886</v>
      </c>
      <c r="L1341" s="16" t="n">
        <v>37515</v>
      </c>
      <c r="M1341" s="16" t="n">
        <v>45689</v>
      </c>
      <c r="N1341" s="6" t="s">
        <v>10886</v>
      </c>
      <c r="O1341" s="16" t="n">
        <v>37515</v>
      </c>
      <c r="P1341" s="6" t="s">
        <v>11697</v>
      </c>
      <c r="Q1341" s="6" t="s">
        <v>81</v>
      </c>
      <c r="R1341" s="6" t="s">
        <v>7123</v>
      </c>
      <c r="S1341" s="6" t="s">
        <v>10886</v>
      </c>
      <c r="T1341" s="16" t="n">
        <v>37515</v>
      </c>
      <c r="U1341" s="6" t="s">
        <v>13600</v>
      </c>
      <c r="V1341" s="6" t="s">
        <v>81</v>
      </c>
      <c r="W1341" s="6" t="s">
        <v>7123</v>
      </c>
      <c r="X1341" s="6" t="s">
        <v>81</v>
      </c>
      <c r="Y1341" s="21" t="s">
        <v>81</v>
      </c>
      <c r="Z1341" s="6" t="s">
        <v>81</v>
      </c>
      <c r="AA1341" s="6" t="s">
        <v>81</v>
      </c>
      <c r="AB1341" s="6" t="s">
        <v>81</v>
      </c>
      <c r="AC1341" s="6" t="s">
        <v>81</v>
      </c>
      <c r="AD1341" s="21" t="s">
        <v>81</v>
      </c>
      <c r="AE1341" s="6" t="s">
        <v>81</v>
      </c>
      <c r="AF1341" s="6" t="s">
        <v>81</v>
      </c>
      <c r="AG1341" s="6" t="s">
        <v>81</v>
      </c>
      <c r="AH1341" s="6" t="s">
        <v>15910</v>
      </c>
      <c r="AI1341" s="6" t="s">
        <v>81</v>
      </c>
      <c r="AJ1341" s="6" t="s">
        <v>17970</v>
      </c>
      <c r="AK1341" s="6" t="s">
        <v>18377</v>
      </c>
      <c r="AL1341" s="6" t="s">
        <v>18444</v>
      </c>
      <c r="AM1341" s="6" t="s">
        <v>19157</v>
      </c>
      <c r="AN1341" s="6" t="s">
        <v>19636</v>
      </c>
      <c r="AO1341" s="6" t="s">
        <v>19783</v>
      </c>
      <c r="AP1341" s="6" t="s">
        <v>81</v>
      </c>
      <c r="AQ1341" s="6" t="s">
        <v>81</v>
      </c>
      <c r="AR1341" s="6" t="s">
        <v>81</v>
      </c>
      <c r="AS1341" s="6" t="s">
        <v>81</v>
      </c>
      <c r="AT1341" s="6" t="s">
        <v>81</v>
      </c>
      <c r="AU1341" s="6" t="s">
        <v>81</v>
      </c>
      <c r="AV1341" s="6" t="s">
        <v>81</v>
      </c>
      <c r="AW1341" s="6" t="s">
        <v>81</v>
      </c>
      <c r="AX1341" s="6" t="s">
        <v>21584</v>
      </c>
      <c r="AY1341" s="6" t="s">
        <v>23043</v>
      </c>
      <c r="AZ1341" s="6" t="s">
        <v>81</v>
      </c>
      <c r="BA1341" s="6" t="s">
        <v>23819</v>
      </c>
      <c r="BB1341" s="24" t="n">
        <v>332</v>
      </c>
      <c r="BC1341" s="26"/>
      <c r="BD1341" s="26"/>
      <c r="BE1341" s="26"/>
      <c r="BF1341" s="26" t="s">
        <v>23900</v>
      </c>
      <c r="BG1341" s="26"/>
      <c r="BH1341" s="26"/>
      <c r="BI1341" s="26"/>
      <c r="BJ1341" s="26"/>
      <c r="BK1341" s="26"/>
      <c r="BL1341" s="26"/>
      <c r="BM1341" s="26"/>
      <c r="BN1341" s="26"/>
      <c r="BO1341" s="26"/>
      <c r="BP1341" s="16" t="n">
        <v>45698</v>
      </c>
      <c r="BQ1341" s="28" t="str">
        <f>HYPERLINK("https://organic.ams.usda.gov/Integrity/Certificate.aspx?cid=45&amp;nopid=9950001019")</f>
        <v>https://organic.ams.usda.gov/Integrity/Certificate.aspx?cid=45&amp;nopid=9950001019</v>
      </c>
    </row>
    <row r="1342">
      <c r="A1342" t="s">
        <v>3</v>
      </c>
      <c r="B1342" s="6" t="s">
        <v>12</v>
      </c>
      <c r="C1342" s="6" t="s">
        <v>59</v>
      </c>
      <c r="D1342" s="6" t="s">
        <v>105</v>
      </c>
      <c r="E1342" s="10" t="s">
        <v>1483</v>
      </c>
      <c r="F1342" s="6" t="s">
        <v>4208</v>
      </c>
      <c r="G1342" s="6" t="s">
        <v>81</v>
      </c>
      <c r="H1342" s="6" t="s">
        <v>7124</v>
      </c>
      <c r="I1342" s="6" t="s">
        <v>9101</v>
      </c>
      <c r="J1342" s="6" t="s">
        <v>10305</v>
      </c>
      <c r="K1342" s="6" t="s">
        <v>10886</v>
      </c>
      <c r="L1342" s="16" t="n">
        <v>45069</v>
      </c>
      <c r="M1342" s="16" t="n">
        <v>45717</v>
      </c>
      <c r="N1342" s="6" t="s">
        <v>10886</v>
      </c>
      <c r="O1342" s="16" t="n">
        <v>45069</v>
      </c>
      <c r="P1342" s="6" t="s">
        <v>10910</v>
      </c>
      <c r="Q1342" s="6" t="s">
        <v>81</v>
      </c>
      <c r="R1342" s="6" t="s">
        <v>81</v>
      </c>
      <c r="S1342" s="6" t="s">
        <v>10886</v>
      </c>
      <c r="T1342" s="16" t="n">
        <v>45166</v>
      </c>
      <c r="U1342" s="6" t="s">
        <v>13209</v>
      </c>
      <c r="V1342" s="6" t="s">
        <v>81</v>
      </c>
      <c r="W1342" s="6" t="s">
        <v>81</v>
      </c>
      <c r="X1342" s="6" t="s">
        <v>81</v>
      </c>
      <c r="Y1342" s="21" t="s">
        <v>81</v>
      </c>
      <c r="Z1342" s="6" t="s">
        <v>81</v>
      </c>
      <c r="AA1342" s="6" t="s">
        <v>81</v>
      </c>
      <c r="AB1342" s="6" t="s">
        <v>81</v>
      </c>
      <c r="AC1342" s="6" t="s">
        <v>81</v>
      </c>
      <c r="AD1342" s="21" t="s">
        <v>81</v>
      </c>
      <c r="AE1342" s="6" t="s">
        <v>81</v>
      </c>
      <c r="AF1342" s="6" t="s">
        <v>81</v>
      </c>
      <c r="AG1342" s="6" t="s">
        <v>81</v>
      </c>
      <c r="AH1342" s="6" t="s">
        <v>15911</v>
      </c>
      <c r="AI1342" s="6" t="s">
        <v>81</v>
      </c>
      <c r="AJ1342" s="6" t="s">
        <v>17971</v>
      </c>
      <c r="AK1342" s="6" t="s">
        <v>17712</v>
      </c>
      <c r="AL1342" s="6" t="s">
        <v>18444</v>
      </c>
      <c r="AM1342" s="6" t="s">
        <v>19158</v>
      </c>
      <c r="AN1342" s="6" t="s">
        <v>81</v>
      </c>
      <c r="AO1342" s="6" t="s">
        <v>81</v>
      </c>
      <c r="AP1342" s="6" t="s">
        <v>15911</v>
      </c>
      <c r="AQ1342" s="6" t="s">
        <v>81</v>
      </c>
      <c r="AR1342" s="6" t="s">
        <v>17971</v>
      </c>
      <c r="AS1342" s="6" t="s">
        <v>17712</v>
      </c>
      <c r="AT1342" s="6" t="s">
        <v>18444</v>
      </c>
      <c r="AU1342" s="6" t="s">
        <v>19158</v>
      </c>
      <c r="AV1342" s="6" t="s">
        <v>81</v>
      </c>
      <c r="AW1342" s="6" t="s">
        <v>81</v>
      </c>
      <c r="AX1342" s="6" t="s">
        <v>81</v>
      </c>
      <c r="AY1342" s="6" t="s">
        <v>81</v>
      </c>
      <c r="AZ1342" s="6" t="s">
        <v>81</v>
      </c>
      <c r="BA1342" s="6" t="s">
        <v>81</v>
      </c>
      <c r="BB1342" s="24" t="n">
        <v>131</v>
      </c>
      <c r="BC1342" s="26"/>
      <c r="BD1342" s="26"/>
      <c r="BE1342" s="26"/>
      <c r="BF1342" s="26"/>
      <c r="BG1342" s="26"/>
      <c r="BH1342" s="26"/>
      <c r="BI1342" s="26"/>
      <c r="BJ1342" s="26"/>
      <c r="BK1342" s="26"/>
      <c r="BL1342" s="26"/>
      <c r="BM1342" s="26"/>
      <c r="BN1342" s="26"/>
      <c r="BO1342" s="26"/>
      <c r="BP1342" s="16" t="n">
        <v>45684</v>
      </c>
      <c r="BQ1342" s="28" t="str">
        <f>HYPERLINK("https://organic.ams.usda.gov/Integrity/Certificate.aspx?cid=68&amp;nopid=8210008782")</f>
        <v>https://organic.ams.usda.gov/Integrity/Certificate.aspx?cid=68&amp;nopid=8210008782</v>
      </c>
    </row>
    <row r="1343">
      <c r="A1343" t="s">
        <v>3</v>
      </c>
      <c r="B1343" s="6" t="s">
        <v>29</v>
      </c>
      <c r="C1343" s="6" t="s">
        <v>76</v>
      </c>
      <c r="D1343" s="6" t="s">
        <v>122</v>
      </c>
      <c r="E1343" s="10" t="s">
        <v>1484</v>
      </c>
      <c r="F1343" s="6" t="s">
        <v>4209</v>
      </c>
      <c r="G1343" s="6" t="s">
        <v>81</v>
      </c>
      <c r="H1343" s="6" t="s">
        <v>7125</v>
      </c>
      <c r="I1343" s="6" t="s">
        <v>9102</v>
      </c>
      <c r="J1343" s="6" t="s">
        <v>9760</v>
      </c>
      <c r="K1343" s="6" t="s">
        <v>10886</v>
      </c>
      <c r="L1343" s="16" t="n">
        <v>41872</v>
      </c>
      <c r="M1343" s="16" t="n">
        <v>45870</v>
      </c>
      <c r="N1343" s="6" t="s">
        <v>10886</v>
      </c>
      <c r="O1343" s="16" t="n">
        <v>41872</v>
      </c>
      <c r="P1343" s="6" t="s">
        <v>11252</v>
      </c>
      <c r="Q1343" s="6" t="s">
        <v>81</v>
      </c>
      <c r="R1343" s="6" t="s">
        <v>12790</v>
      </c>
      <c r="S1343" s="6" t="s">
        <v>10886</v>
      </c>
      <c r="T1343" s="16" t="n">
        <v>41872</v>
      </c>
      <c r="U1343" s="6" t="s">
        <v>13601</v>
      </c>
      <c r="V1343" s="6" t="s">
        <v>81</v>
      </c>
      <c r="W1343" s="6" t="s">
        <v>12790</v>
      </c>
      <c r="X1343" s="6" t="s">
        <v>81</v>
      </c>
      <c r="Y1343" s="21" t="s">
        <v>81</v>
      </c>
      <c r="Z1343" s="6" t="s">
        <v>81</v>
      </c>
      <c r="AA1343" s="6" t="s">
        <v>81</v>
      </c>
      <c r="AB1343" s="6" t="s">
        <v>81</v>
      </c>
      <c r="AC1343" s="6" t="s">
        <v>81</v>
      </c>
      <c r="AD1343" s="21" t="s">
        <v>81</v>
      </c>
      <c r="AE1343" s="6" t="s">
        <v>81</v>
      </c>
      <c r="AF1343" s="6" t="s">
        <v>81</v>
      </c>
      <c r="AG1343" s="6" t="s">
        <v>81</v>
      </c>
      <c r="AH1343" s="6" t="s">
        <v>15912</v>
      </c>
      <c r="AI1343" s="6" t="s">
        <v>81</v>
      </c>
      <c r="AJ1343" s="6" t="s">
        <v>17560</v>
      </c>
      <c r="AK1343" s="6" t="s">
        <v>18378</v>
      </c>
      <c r="AL1343" s="6" t="s">
        <v>18444</v>
      </c>
      <c r="AM1343" s="6" t="s">
        <v>18724</v>
      </c>
      <c r="AN1343" s="6" t="s">
        <v>19647</v>
      </c>
      <c r="AO1343" s="6" t="s">
        <v>19734</v>
      </c>
      <c r="AP1343" s="6" t="s">
        <v>81</v>
      </c>
      <c r="AQ1343" s="6" t="s">
        <v>81</v>
      </c>
      <c r="AR1343" s="6" t="s">
        <v>81</v>
      </c>
      <c r="AS1343" s="6" t="s">
        <v>81</v>
      </c>
      <c r="AT1343" s="6" t="s">
        <v>81</v>
      </c>
      <c r="AU1343" s="6" t="s">
        <v>81</v>
      </c>
      <c r="AV1343" s="6" t="s">
        <v>81</v>
      </c>
      <c r="AW1343" s="6" t="s">
        <v>81</v>
      </c>
      <c r="AX1343" s="6" t="s">
        <v>21585</v>
      </c>
      <c r="AY1343" s="6" t="s">
        <v>81</v>
      </c>
      <c r="AZ1343" s="6" t="s">
        <v>81</v>
      </c>
      <c r="BA1343" s="6" t="s">
        <v>81</v>
      </c>
      <c r="BB1343" s="24" t="n">
        <v>153</v>
      </c>
      <c r="BC1343" s="26"/>
      <c r="BD1343" s="26"/>
      <c r="BE1343" s="26"/>
      <c r="BF1343" s="26" t="s">
        <v>23900</v>
      </c>
      <c r="BG1343" s="26"/>
      <c r="BH1343" s="26"/>
      <c r="BI1343" s="26"/>
      <c r="BJ1343" s="26"/>
      <c r="BK1343" s="26"/>
      <c r="BL1343" s="26"/>
      <c r="BM1343" s="26"/>
      <c r="BN1343" s="26"/>
      <c r="BO1343" s="26"/>
      <c r="BP1343" s="16" t="n">
        <v>45737</v>
      </c>
      <c r="BQ1343" s="28" t="str">
        <f>HYPERLINK("https://organic.ams.usda.gov/Integrity/Certificate.aspx?cid=31&amp;nopid=3928971413")</f>
        <v>https://organic.ams.usda.gov/Integrity/Certificate.aspx?cid=31&amp;nopid=3928971413</v>
      </c>
    </row>
    <row r="1344">
      <c r="A1344" t="s">
        <v>3</v>
      </c>
      <c r="B1344" s="6" t="s">
        <v>15</v>
      </c>
      <c r="C1344" s="6" t="s">
        <v>62</v>
      </c>
      <c r="D1344" s="6" t="s">
        <v>108</v>
      </c>
      <c r="E1344" s="10" t="s">
        <v>1485</v>
      </c>
      <c r="F1344" s="6" t="s">
        <v>4210</v>
      </c>
      <c r="G1344" s="6" t="s">
        <v>5716</v>
      </c>
      <c r="H1344" s="6" t="s">
        <v>7126</v>
      </c>
      <c r="I1344" s="6" t="s">
        <v>8675</v>
      </c>
      <c r="J1344" s="6" t="s">
        <v>9697</v>
      </c>
      <c r="K1344" s="6" t="s">
        <v>10886</v>
      </c>
      <c r="L1344" s="16" t="n">
        <v>40800</v>
      </c>
      <c r="M1344" s="16" t="n">
        <v>46157</v>
      </c>
      <c r="N1344" s="6" t="s">
        <v>10886</v>
      </c>
      <c r="O1344" s="16" t="n">
        <v>40800</v>
      </c>
      <c r="P1344" s="6" t="s">
        <v>11698</v>
      </c>
      <c r="Q1344" s="6" t="s">
        <v>81</v>
      </c>
      <c r="R1344" s="6" t="s">
        <v>81</v>
      </c>
      <c r="S1344" s="6" t="s">
        <v>10886</v>
      </c>
      <c r="T1344" s="16" t="n">
        <v>40800</v>
      </c>
      <c r="U1344" s="6" t="s">
        <v>13444</v>
      </c>
      <c r="V1344" s="6" t="s">
        <v>81</v>
      </c>
      <c r="W1344" s="6" t="s">
        <v>81</v>
      </c>
      <c r="X1344" s="6" t="s">
        <v>81</v>
      </c>
      <c r="Y1344" s="21" t="s">
        <v>81</v>
      </c>
      <c r="Z1344" s="6" t="s">
        <v>81</v>
      </c>
      <c r="AA1344" s="6" t="s">
        <v>81</v>
      </c>
      <c r="AB1344" s="6" t="s">
        <v>81</v>
      </c>
      <c r="AC1344" s="6" t="s">
        <v>81</v>
      </c>
      <c r="AD1344" s="21" t="s">
        <v>81</v>
      </c>
      <c r="AE1344" s="6" t="s">
        <v>81</v>
      </c>
      <c r="AF1344" s="6" t="s">
        <v>81</v>
      </c>
      <c r="AG1344" s="6" t="s">
        <v>81</v>
      </c>
      <c r="AH1344" s="6" t="s">
        <v>15913</v>
      </c>
      <c r="AI1344" s="6" t="s">
        <v>81</v>
      </c>
      <c r="AJ1344" s="6" t="s">
        <v>17385</v>
      </c>
      <c r="AK1344" s="6" t="s">
        <v>18378</v>
      </c>
      <c r="AL1344" s="6" t="s">
        <v>18444</v>
      </c>
      <c r="AM1344" s="6" t="s">
        <v>18592</v>
      </c>
      <c r="AN1344" s="6" t="s">
        <v>19639</v>
      </c>
      <c r="AO1344" s="6" t="s">
        <v>19768</v>
      </c>
      <c r="AP1344" s="6" t="s">
        <v>15913</v>
      </c>
      <c r="AQ1344" s="6" t="s">
        <v>81</v>
      </c>
      <c r="AR1344" s="6" t="s">
        <v>17385</v>
      </c>
      <c r="AS1344" s="6" t="s">
        <v>18378</v>
      </c>
      <c r="AT1344" s="6" t="s">
        <v>18444</v>
      </c>
      <c r="AU1344" s="6" t="s">
        <v>18592</v>
      </c>
      <c r="AV1344" s="6" t="s">
        <v>81</v>
      </c>
      <c r="AW1344" s="6" t="s">
        <v>81</v>
      </c>
      <c r="AX1344" s="6" t="s">
        <v>21586</v>
      </c>
      <c r="AY1344" s="6" t="s">
        <v>81</v>
      </c>
      <c r="AZ1344" s="6" t="s">
        <v>81</v>
      </c>
      <c r="BA1344" s="6" t="s">
        <v>81</v>
      </c>
      <c r="BB1344" s="24" t="n">
        <v>92</v>
      </c>
      <c r="BC1344" s="26"/>
      <c r="BD1344" s="26"/>
      <c r="BE1344" s="26"/>
      <c r="BF1344" s="26" t="s">
        <v>23900</v>
      </c>
      <c r="BG1344" s="26"/>
      <c r="BH1344" s="26"/>
      <c r="BI1344" s="26"/>
      <c r="BJ1344" s="26"/>
      <c r="BK1344" s="26"/>
      <c r="BL1344" s="26"/>
      <c r="BM1344" s="26"/>
      <c r="BN1344" s="26"/>
      <c r="BO1344" s="26"/>
      <c r="BP1344" s="16" t="n">
        <v>45737</v>
      </c>
      <c r="BQ1344" s="28" t="str">
        <f>HYPERLINK("https://organic.ams.usda.gov/Integrity/Certificate.aspx?cid=58&amp;nopid=1600001861")</f>
        <v>https://organic.ams.usda.gov/Integrity/Certificate.aspx?cid=58&amp;nopid=1600001861</v>
      </c>
    </row>
    <row r="1345">
      <c r="A1345" t="s">
        <v>3</v>
      </c>
      <c r="B1345" s="6" t="s">
        <v>29</v>
      </c>
      <c r="C1345" s="6" t="s">
        <v>76</v>
      </c>
      <c r="D1345" s="6" t="s">
        <v>122</v>
      </c>
      <c r="E1345" s="10" t="s">
        <v>1486</v>
      </c>
      <c r="F1345" s="6" t="s">
        <v>4211</v>
      </c>
      <c r="G1345" s="6" t="s">
        <v>5717</v>
      </c>
      <c r="H1345" s="6" t="s">
        <v>7127</v>
      </c>
      <c r="I1345" s="6" t="s">
        <v>9103</v>
      </c>
      <c r="J1345" s="6" t="s">
        <v>9755</v>
      </c>
      <c r="K1345" s="6" t="s">
        <v>10886</v>
      </c>
      <c r="L1345" s="16" t="n">
        <v>45510</v>
      </c>
      <c r="M1345" s="16" t="n">
        <v>45870</v>
      </c>
      <c r="N1345" s="6" t="s">
        <v>10886</v>
      </c>
      <c r="O1345" s="16" t="n">
        <v>45510</v>
      </c>
      <c r="P1345" s="6" t="s">
        <v>11699</v>
      </c>
      <c r="Q1345" s="6" t="s">
        <v>81</v>
      </c>
      <c r="R1345" s="6" t="s">
        <v>12791</v>
      </c>
      <c r="S1345" s="6" t="s">
        <v>10886</v>
      </c>
      <c r="T1345" s="16" t="n">
        <v>45510</v>
      </c>
      <c r="U1345" s="6" t="s">
        <v>13602</v>
      </c>
      <c r="V1345" s="6" t="s">
        <v>81</v>
      </c>
      <c r="W1345" s="6" t="s">
        <v>12791</v>
      </c>
      <c r="X1345" s="6" t="s">
        <v>81</v>
      </c>
      <c r="Y1345" s="21" t="s">
        <v>81</v>
      </c>
      <c r="Z1345" s="6" t="s">
        <v>81</v>
      </c>
      <c r="AA1345" s="6" t="s">
        <v>81</v>
      </c>
      <c r="AB1345" s="6" t="s">
        <v>81</v>
      </c>
      <c r="AC1345" s="6" t="s">
        <v>81</v>
      </c>
      <c r="AD1345" s="21" t="s">
        <v>81</v>
      </c>
      <c r="AE1345" s="6" t="s">
        <v>81</v>
      </c>
      <c r="AF1345" s="6" t="s">
        <v>81</v>
      </c>
      <c r="AG1345" s="6" t="s">
        <v>81</v>
      </c>
      <c r="AH1345" s="6" t="s">
        <v>15914</v>
      </c>
      <c r="AI1345" s="6" t="s">
        <v>81</v>
      </c>
      <c r="AJ1345" s="6" t="s">
        <v>17373</v>
      </c>
      <c r="AK1345" s="6" t="s">
        <v>18377</v>
      </c>
      <c r="AL1345" s="6" t="s">
        <v>18444</v>
      </c>
      <c r="AM1345" s="6" t="s">
        <v>18546</v>
      </c>
      <c r="AN1345" s="6" t="s">
        <v>81</v>
      </c>
      <c r="AO1345" s="6" t="s">
        <v>81</v>
      </c>
      <c r="AP1345" s="6" t="s">
        <v>81</v>
      </c>
      <c r="AQ1345" s="6" t="s">
        <v>81</v>
      </c>
      <c r="AR1345" s="6" t="s">
        <v>81</v>
      </c>
      <c r="AS1345" s="6" t="s">
        <v>81</v>
      </c>
      <c r="AT1345" s="6" t="s">
        <v>81</v>
      </c>
      <c r="AU1345" s="6" t="s">
        <v>81</v>
      </c>
      <c r="AV1345" s="6" t="s">
        <v>81</v>
      </c>
      <c r="AW1345" s="6" t="s">
        <v>81</v>
      </c>
      <c r="AX1345" s="6" t="s">
        <v>81</v>
      </c>
      <c r="AY1345" s="6" t="s">
        <v>81</v>
      </c>
      <c r="AZ1345" s="6" t="s">
        <v>81</v>
      </c>
      <c r="BA1345" s="6" t="s">
        <v>81</v>
      </c>
      <c r="BB1345" s="24" t="n">
        <v>71</v>
      </c>
      <c r="BC1345" s="26"/>
      <c r="BD1345" s="26"/>
      <c r="BE1345" s="26"/>
      <c r="BF1345" s="26" t="s">
        <v>23900</v>
      </c>
      <c r="BG1345" s="26"/>
      <c r="BH1345" s="26"/>
      <c r="BI1345" s="26"/>
      <c r="BJ1345" s="26"/>
      <c r="BK1345" s="26"/>
      <c r="BL1345" s="26"/>
      <c r="BM1345" s="26"/>
      <c r="BN1345" s="26"/>
      <c r="BO1345" s="26"/>
      <c r="BP1345" s="16" t="n">
        <v>45737</v>
      </c>
      <c r="BQ1345" s="28" t="str">
        <f>HYPERLINK("https://organic.ams.usda.gov/Integrity/Certificate.aspx?cid=31&amp;nopid=3928972429")</f>
        <v>https://organic.ams.usda.gov/Integrity/Certificate.aspx?cid=31&amp;nopid=3928972429</v>
      </c>
    </row>
    <row r="1346">
      <c r="A1346" t="s">
        <v>3</v>
      </c>
      <c r="B1346" s="6" t="s">
        <v>7</v>
      </c>
      <c r="C1346" s="6" t="s">
        <v>54</v>
      </c>
      <c r="D1346" s="6" t="s">
        <v>100</v>
      </c>
      <c r="E1346" s="10" t="s">
        <v>1487</v>
      </c>
      <c r="F1346" s="6" t="s">
        <v>4212</v>
      </c>
      <c r="G1346" s="6" t="s">
        <v>81</v>
      </c>
      <c r="H1346" s="6" t="s">
        <v>7128</v>
      </c>
      <c r="I1346" s="6" t="s">
        <v>8675</v>
      </c>
      <c r="J1346" s="6" t="s">
        <v>9671</v>
      </c>
      <c r="K1346" s="6" t="s">
        <v>10886</v>
      </c>
      <c r="L1346" s="16" t="n">
        <v>38961</v>
      </c>
      <c r="M1346" s="16" t="n">
        <v>45716</v>
      </c>
      <c r="N1346" s="6" t="s">
        <v>10886</v>
      </c>
      <c r="O1346" s="16" t="n">
        <v>38961</v>
      </c>
      <c r="P1346" s="6" t="s">
        <v>11252</v>
      </c>
      <c r="Q1346" s="6" t="s">
        <v>81</v>
      </c>
      <c r="R1346" s="6" t="s">
        <v>81</v>
      </c>
      <c r="S1346" s="6" t="s">
        <v>10886</v>
      </c>
      <c r="T1346" s="16" t="n">
        <v>38961</v>
      </c>
      <c r="U1346" s="6" t="s">
        <v>13169</v>
      </c>
      <c r="V1346" s="6" t="s">
        <v>81</v>
      </c>
      <c r="W1346" s="6" t="s">
        <v>81</v>
      </c>
      <c r="X1346" s="6" t="s">
        <v>81</v>
      </c>
      <c r="Y1346" s="21" t="s">
        <v>81</v>
      </c>
      <c r="Z1346" s="6" t="s">
        <v>81</v>
      </c>
      <c r="AA1346" s="6" t="s">
        <v>81</v>
      </c>
      <c r="AB1346" s="6" t="s">
        <v>81</v>
      </c>
      <c r="AC1346" s="6" t="s">
        <v>81</v>
      </c>
      <c r="AD1346" s="21" t="s">
        <v>81</v>
      </c>
      <c r="AE1346" s="6" t="s">
        <v>81</v>
      </c>
      <c r="AF1346" s="6" t="s">
        <v>81</v>
      </c>
      <c r="AG1346" s="6" t="s">
        <v>81</v>
      </c>
      <c r="AH1346" s="6" t="s">
        <v>15915</v>
      </c>
      <c r="AI1346" s="6" t="s">
        <v>81</v>
      </c>
      <c r="AJ1346" s="6" t="s">
        <v>17966</v>
      </c>
      <c r="AK1346" s="6" t="s">
        <v>17712</v>
      </c>
      <c r="AL1346" s="6" t="s">
        <v>18444</v>
      </c>
      <c r="AM1346" s="6" t="s">
        <v>19153</v>
      </c>
      <c r="AN1346" s="6" t="s">
        <v>19642</v>
      </c>
      <c r="AO1346" s="6" t="s">
        <v>19728</v>
      </c>
      <c r="AP1346" s="6" t="s">
        <v>15915</v>
      </c>
      <c r="AQ1346" s="6" t="s">
        <v>81</v>
      </c>
      <c r="AR1346" s="6" t="s">
        <v>17966</v>
      </c>
      <c r="AS1346" s="6" t="s">
        <v>17712</v>
      </c>
      <c r="AT1346" s="6" t="s">
        <v>18444</v>
      </c>
      <c r="AU1346" s="6" t="s">
        <v>19153</v>
      </c>
      <c r="AV1346" s="6" t="s">
        <v>81</v>
      </c>
      <c r="AW1346" s="6" t="s">
        <v>81</v>
      </c>
      <c r="AX1346" s="6" t="s">
        <v>21587</v>
      </c>
      <c r="AY1346" s="6" t="s">
        <v>81</v>
      </c>
      <c r="AZ1346" s="6" t="s">
        <v>81</v>
      </c>
      <c r="BA1346" s="6" t="s">
        <v>81</v>
      </c>
      <c r="BB1346" s="24" t="n">
        <v>435</v>
      </c>
      <c r="BC1346" s="26"/>
      <c r="BD1346" s="26"/>
      <c r="BE1346" s="26"/>
      <c r="BF1346" s="26" t="s">
        <v>23900</v>
      </c>
      <c r="BG1346" s="26"/>
      <c r="BH1346" s="26"/>
      <c r="BI1346" s="26"/>
      <c r="BJ1346" s="26"/>
      <c r="BK1346" s="26"/>
      <c r="BL1346" s="26"/>
      <c r="BM1346" s="26"/>
      <c r="BN1346" s="26"/>
      <c r="BO1346" s="26"/>
      <c r="BP1346" s="16" t="n">
        <v>45595</v>
      </c>
      <c r="BQ1346" s="28" t="str">
        <f>HYPERLINK("https://organic.ams.usda.gov/Integrity/Certificate.aspx?cid=57&amp;nopid=3250200626")</f>
        <v>https://organic.ams.usda.gov/Integrity/Certificate.aspx?cid=57&amp;nopid=3250200626</v>
      </c>
    </row>
    <row r="1347">
      <c r="A1347" t="s">
        <v>3</v>
      </c>
      <c r="B1347" s="6" t="s">
        <v>7</v>
      </c>
      <c r="C1347" s="6" t="s">
        <v>54</v>
      </c>
      <c r="D1347" s="6" t="s">
        <v>100</v>
      </c>
      <c r="E1347" s="10" t="s">
        <v>1488</v>
      </c>
      <c r="F1347" s="6" t="s">
        <v>4213</v>
      </c>
      <c r="G1347" s="6" t="s">
        <v>81</v>
      </c>
      <c r="H1347" s="6" t="s">
        <v>7129</v>
      </c>
      <c r="I1347" s="6" t="s">
        <v>8675</v>
      </c>
      <c r="J1347" s="6" t="s">
        <v>9671</v>
      </c>
      <c r="K1347" s="6" t="s">
        <v>10886</v>
      </c>
      <c r="L1347" s="16" t="n">
        <v>45615</v>
      </c>
      <c r="M1347" s="16" t="n">
        <v>45716</v>
      </c>
      <c r="N1347" s="6" t="s">
        <v>10886</v>
      </c>
      <c r="O1347" s="16" t="n">
        <v>45615</v>
      </c>
      <c r="P1347" s="6" t="s">
        <v>10944</v>
      </c>
      <c r="Q1347" s="6" t="s">
        <v>81</v>
      </c>
      <c r="R1347" s="6" t="s">
        <v>81</v>
      </c>
      <c r="S1347" s="6" t="s">
        <v>10886</v>
      </c>
      <c r="T1347" s="16" t="n">
        <v>45615</v>
      </c>
      <c r="U1347" s="6" t="s">
        <v>13169</v>
      </c>
      <c r="V1347" s="6" t="s">
        <v>81</v>
      </c>
      <c r="W1347" s="6" t="s">
        <v>81</v>
      </c>
      <c r="X1347" s="6" t="s">
        <v>81</v>
      </c>
      <c r="Y1347" s="21" t="s">
        <v>81</v>
      </c>
      <c r="Z1347" s="6" t="s">
        <v>81</v>
      </c>
      <c r="AA1347" s="6" t="s">
        <v>81</v>
      </c>
      <c r="AB1347" s="6" t="s">
        <v>81</v>
      </c>
      <c r="AC1347" s="6" t="s">
        <v>81</v>
      </c>
      <c r="AD1347" s="21" t="s">
        <v>81</v>
      </c>
      <c r="AE1347" s="6" t="s">
        <v>81</v>
      </c>
      <c r="AF1347" s="6" t="s">
        <v>81</v>
      </c>
      <c r="AG1347" s="6" t="s">
        <v>81</v>
      </c>
      <c r="AH1347" s="6" t="s">
        <v>15916</v>
      </c>
      <c r="AI1347" s="6" t="s">
        <v>81</v>
      </c>
      <c r="AJ1347" s="6" t="s">
        <v>17490</v>
      </c>
      <c r="AK1347" s="6" t="s">
        <v>17712</v>
      </c>
      <c r="AL1347" s="6" t="s">
        <v>18444</v>
      </c>
      <c r="AM1347" s="6" t="s">
        <v>18650</v>
      </c>
      <c r="AN1347" s="6" t="s">
        <v>81</v>
      </c>
      <c r="AO1347" s="6" t="s">
        <v>81</v>
      </c>
      <c r="AP1347" s="6" t="s">
        <v>15916</v>
      </c>
      <c r="AQ1347" s="6" t="s">
        <v>81</v>
      </c>
      <c r="AR1347" s="6" t="s">
        <v>17490</v>
      </c>
      <c r="AS1347" s="6" t="s">
        <v>17712</v>
      </c>
      <c r="AT1347" s="6" t="s">
        <v>18444</v>
      </c>
      <c r="AU1347" s="6" t="s">
        <v>18650</v>
      </c>
      <c r="AV1347" s="6" t="s">
        <v>81</v>
      </c>
      <c r="AW1347" s="6" t="s">
        <v>81</v>
      </c>
      <c r="AX1347" s="6" t="s">
        <v>81</v>
      </c>
      <c r="AY1347" s="6" t="s">
        <v>81</v>
      </c>
      <c r="AZ1347" s="6" t="s">
        <v>81</v>
      </c>
      <c r="BA1347" s="6" t="s">
        <v>81</v>
      </c>
      <c r="BB1347" s="24" t="n">
        <v>121</v>
      </c>
      <c r="BC1347" s="26"/>
      <c r="BD1347" s="26"/>
      <c r="BE1347" s="26"/>
      <c r="BF1347" s="26" t="s">
        <v>23900</v>
      </c>
      <c r="BG1347" s="26"/>
      <c r="BH1347" s="26"/>
      <c r="BI1347" s="26"/>
      <c r="BJ1347" s="26"/>
      <c r="BK1347" s="26"/>
      <c r="BL1347" s="26"/>
      <c r="BM1347" s="26"/>
      <c r="BN1347" s="26"/>
      <c r="BO1347" s="26"/>
      <c r="BP1347" s="16" t="n">
        <v>45618</v>
      </c>
      <c r="BQ1347" s="28" t="str">
        <f>HYPERLINK("https://organic.ams.usda.gov/Integrity/Certificate.aspx?cid=57&amp;nopid=3252024098")</f>
        <v>https://organic.ams.usda.gov/Integrity/Certificate.aspx?cid=57&amp;nopid=3252024098</v>
      </c>
    </row>
    <row r="1348">
      <c r="A1348" t="s">
        <v>3</v>
      </c>
      <c r="B1348" s="6" t="s">
        <v>12</v>
      </c>
      <c r="C1348" s="6" t="s">
        <v>59</v>
      </c>
      <c r="D1348" s="6" t="s">
        <v>105</v>
      </c>
      <c r="E1348" s="10" t="s">
        <v>1489</v>
      </c>
      <c r="F1348" s="6" t="s">
        <v>4213</v>
      </c>
      <c r="G1348" s="6" t="s">
        <v>81</v>
      </c>
      <c r="H1348" s="6" t="s">
        <v>7130</v>
      </c>
      <c r="I1348" s="6" t="s">
        <v>9104</v>
      </c>
      <c r="J1348" s="6" t="s">
        <v>9671</v>
      </c>
      <c r="K1348" s="6" t="s">
        <v>10886</v>
      </c>
      <c r="L1348" s="16" t="n">
        <v>44392</v>
      </c>
      <c r="M1348" s="16" t="n">
        <v>46082</v>
      </c>
      <c r="N1348" s="6" t="s">
        <v>10886</v>
      </c>
      <c r="O1348" s="16" t="n">
        <v>44392</v>
      </c>
      <c r="P1348" s="6" t="s">
        <v>11700</v>
      </c>
      <c r="Q1348" s="6" t="s">
        <v>81</v>
      </c>
      <c r="R1348" s="6" t="s">
        <v>81</v>
      </c>
      <c r="S1348" s="6" t="s">
        <v>10886</v>
      </c>
      <c r="T1348" s="16" t="n">
        <v>45216</v>
      </c>
      <c r="U1348" s="6" t="s">
        <v>13262</v>
      </c>
      <c r="V1348" s="6" t="s">
        <v>81</v>
      </c>
      <c r="W1348" s="6" t="s">
        <v>81</v>
      </c>
      <c r="X1348" s="6" t="s">
        <v>81</v>
      </c>
      <c r="Y1348" s="21" t="s">
        <v>81</v>
      </c>
      <c r="Z1348" s="6" t="s">
        <v>81</v>
      </c>
      <c r="AA1348" s="6" t="s">
        <v>81</v>
      </c>
      <c r="AB1348" s="6" t="s">
        <v>81</v>
      </c>
      <c r="AC1348" s="6" t="s">
        <v>81</v>
      </c>
      <c r="AD1348" s="21" t="s">
        <v>81</v>
      </c>
      <c r="AE1348" s="6" t="s">
        <v>81</v>
      </c>
      <c r="AF1348" s="6" t="s">
        <v>81</v>
      </c>
      <c r="AG1348" s="6" t="s">
        <v>81</v>
      </c>
      <c r="AH1348" s="6" t="s">
        <v>15917</v>
      </c>
      <c r="AI1348" s="6" t="s">
        <v>81</v>
      </c>
      <c r="AJ1348" s="6" t="s">
        <v>17338</v>
      </c>
      <c r="AK1348" s="6" t="s">
        <v>18380</v>
      </c>
      <c r="AL1348" s="6" t="s">
        <v>18444</v>
      </c>
      <c r="AM1348" s="6" t="s">
        <v>18492</v>
      </c>
      <c r="AN1348" s="6" t="s">
        <v>19648</v>
      </c>
      <c r="AO1348" s="6" t="s">
        <v>19736</v>
      </c>
      <c r="AP1348" s="6" t="s">
        <v>15917</v>
      </c>
      <c r="AQ1348" s="6" t="s">
        <v>81</v>
      </c>
      <c r="AR1348" s="6" t="s">
        <v>17338</v>
      </c>
      <c r="AS1348" s="6" t="s">
        <v>18380</v>
      </c>
      <c r="AT1348" s="6" t="s">
        <v>18444</v>
      </c>
      <c r="AU1348" s="6" t="s">
        <v>18492</v>
      </c>
      <c r="AV1348" s="6" t="s">
        <v>81</v>
      </c>
      <c r="AW1348" s="6" t="s">
        <v>81</v>
      </c>
      <c r="AX1348" s="6" t="s">
        <v>21588</v>
      </c>
      <c r="AY1348" s="6" t="s">
        <v>81</v>
      </c>
      <c r="AZ1348" s="6" t="s">
        <v>81</v>
      </c>
      <c r="BA1348" s="6" t="s">
        <v>81</v>
      </c>
      <c r="BB1348" s="24" t="n">
        <v>80</v>
      </c>
      <c r="BC1348" s="26"/>
      <c r="BD1348" s="26"/>
      <c r="BE1348" s="26"/>
      <c r="BF1348" s="26" t="s">
        <v>23900</v>
      </c>
      <c r="BG1348" s="26"/>
      <c r="BH1348" s="26"/>
      <c r="BI1348" s="26"/>
      <c r="BJ1348" s="26"/>
      <c r="BK1348" s="26"/>
      <c r="BL1348" s="26"/>
      <c r="BM1348" s="26"/>
      <c r="BN1348" s="26"/>
      <c r="BO1348" s="26"/>
      <c r="BP1348" s="16" t="n">
        <v>45728</v>
      </c>
      <c r="BQ1348" s="28" t="str">
        <f>HYPERLINK("https://organic.ams.usda.gov/Integrity/Certificate.aspx?cid=68&amp;nopid=8210007902")</f>
        <v>https://organic.ams.usda.gov/Integrity/Certificate.aspx?cid=68&amp;nopid=8210007902</v>
      </c>
    </row>
    <row r="1349">
      <c r="A1349" t="s">
        <v>3</v>
      </c>
      <c r="B1349" s="6" t="s">
        <v>12</v>
      </c>
      <c r="C1349" s="6" t="s">
        <v>59</v>
      </c>
      <c r="D1349" s="6" t="s">
        <v>105</v>
      </c>
      <c r="E1349" s="10" t="s">
        <v>1490</v>
      </c>
      <c r="F1349" s="6" t="s">
        <v>4214</v>
      </c>
      <c r="G1349" s="6" t="s">
        <v>5718</v>
      </c>
      <c r="H1349" s="6" t="s">
        <v>7131</v>
      </c>
      <c r="I1349" s="6" t="s">
        <v>9101</v>
      </c>
      <c r="J1349" s="6" t="s">
        <v>9672</v>
      </c>
      <c r="K1349" s="6" t="s">
        <v>10886</v>
      </c>
      <c r="L1349" s="16" t="n">
        <v>44188</v>
      </c>
      <c r="M1349" s="16" t="n">
        <v>45717</v>
      </c>
      <c r="N1349" s="6" t="s">
        <v>10886</v>
      </c>
      <c r="O1349" s="16" t="n">
        <v>44188</v>
      </c>
      <c r="P1349" s="6" t="s">
        <v>11701</v>
      </c>
      <c r="Q1349" s="6" t="s">
        <v>81</v>
      </c>
      <c r="R1349" s="6" t="s">
        <v>81</v>
      </c>
      <c r="S1349" s="6" t="s">
        <v>10886</v>
      </c>
      <c r="T1349" s="16" t="n">
        <v>44188</v>
      </c>
      <c r="U1349" s="6" t="s">
        <v>13262</v>
      </c>
      <c r="V1349" s="6" t="s">
        <v>81</v>
      </c>
      <c r="W1349" s="6" t="s">
        <v>81</v>
      </c>
      <c r="X1349" s="6" t="s">
        <v>81</v>
      </c>
      <c r="Y1349" s="21" t="s">
        <v>81</v>
      </c>
      <c r="Z1349" s="6" t="s">
        <v>81</v>
      </c>
      <c r="AA1349" s="6" t="s">
        <v>81</v>
      </c>
      <c r="AB1349" s="6" t="s">
        <v>81</v>
      </c>
      <c r="AC1349" s="6" t="s">
        <v>81</v>
      </c>
      <c r="AD1349" s="21" t="s">
        <v>81</v>
      </c>
      <c r="AE1349" s="6" t="s">
        <v>81</v>
      </c>
      <c r="AF1349" s="6" t="s">
        <v>81</v>
      </c>
      <c r="AG1349" s="6" t="s">
        <v>81</v>
      </c>
      <c r="AH1349" s="6" t="s">
        <v>15918</v>
      </c>
      <c r="AI1349" s="6" t="s">
        <v>81</v>
      </c>
      <c r="AJ1349" s="6" t="s">
        <v>17387</v>
      </c>
      <c r="AK1349" s="6" t="s">
        <v>18380</v>
      </c>
      <c r="AL1349" s="6" t="s">
        <v>18444</v>
      </c>
      <c r="AM1349" s="6" t="s">
        <v>18541</v>
      </c>
      <c r="AN1349" s="6" t="s">
        <v>19639</v>
      </c>
      <c r="AO1349" s="6" t="s">
        <v>19725</v>
      </c>
      <c r="AP1349" s="6" t="s">
        <v>15918</v>
      </c>
      <c r="AQ1349" s="6" t="s">
        <v>81</v>
      </c>
      <c r="AR1349" s="6" t="s">
        <v>17387</v>
      </c>
      <c r="AS1349" s="6" t="s">
        <v>18380</v>
      </c>
      <c r="AT1349" s="6" t="s">
        <v>18444</v>
      </c>
      <c r="AU1349" s="6" t="s">
        <v>18541</v>
      </c>
      <c r="AV1349" s="6" t="s">
        <v>81</v>
      </c>
      <c r="AW1349" s="6" t="s">
        <v>81</v>
      </c>
      <c r="AX1349" s="6" t="s">
        <v>21589</v>
      </c>
      <c r="AY1349" s="6" t="s">
        <v>81</v>
      </c>
      <c r="AZ1349" s="6" t="s">
        <v>81</v>
      </c>
      <c r="BA1349" s="6" t="s">
        <v>81</v>
      </c>
      <c r="BB1349" s="24" t="n">
        <v>86</v>
      </c>
      <c r="BC1349" s="26"/>
      <c r="BD1349" s="26"/>
      <c r="BE1349" s="26"/>
      <c r="BF1349" s="26"/>
      <c r="BG1349" s="26"/>
      <c r="BH1349" s="26"/>
      <c r="BI1349" s="26"/>
      <c r="BJ1349" s="26"/>
      <c r="BK1349" s="26"/>
      <c r="BL1349" s="26"/>
      <c r="BM1349" s="26"/>
      <c r="BN1349" s="26"/>
      <c r="BO1349" s="26"/>
      <c r="BP1349" s="16" t="n">
        <v>45721</v>
      </c>
      <c r="BQ1349" s="28" t="str">
        <f>HYPERLINK("https://organic.ams.usda.gov/Integrity/Certificate.aspx?cid=68&amp;nopid=8210007529")</f>
        <v>https://organic.ams.usda.gov/Integrity/Certificate.aspx?cid=68&amp;nopid=8210007529</v>
      </c>
    </row>
    <row r="1350">
      <c r="A1350" t="s">
        <v>3</v>
      </c>
      <c r="B1350" s="6" t="s">
        <v>8</v>
      </c>
      <c r="C1350" s="6" t="s">
        <v>55</v>
      </c>
      <c r="D1350" s="6" t="s">
        <v>101</v>
      </c>
      <c r="E1350" s="10" t="s">
        <v>1491</v>
      </c>
      <c r="F1350" s="6" t="s">
        <v>4215</v>
      </c>
      <c r="G1350" s="6" t="s">
        <v>81</v>
      </c>
      <c r="H1350" s="6" t="s">
        <v>7132</v>
      </c>
      <c r="I1350" s="6" t="s">
        <v>8675</v>
      </c>
      <c r="J1350" s="6" t="s">
        <v>9667</v>
      </c>
      <c r="K1350" s="6" t="s">
        <v>10886</v>
      </c>
      <c r="L1350" s="16" t="n">
        <v>43437</v>
      </c>
      <c r="M1350" s="16" t="n">
        <v>45748</v>
      </c>
      <c r="N1350" s="6" t="s">
        <v>10886</v>
      </c>
      <c r="O1350" s="16" t="n">
        <v>43437</v>
      </c>
      <c r="P1350" s="6" t="s">
        <v>11702</v>
      </c>
      <c r="Q1350" s="6" t="s">
        <v>81</v>
      </c>
      <c r="R1350" s="6" t="s">
        <v>7132</v>
      </c>
      <c r="S1350" s="6" t="s">
        <v>10886</v>
      </c>
      <c r="T1350" s="16" t="n">
        <v>43437</v>
      </c>
      <c r="U1350" s="6" t="s">
        <v>13173</v>
      </c>
      <c r="V1350" s="6" t="s">
        <v>81</v>
      </c>
      <c r="W1350" s="6" t="s">
        <v>7132</v>
      </c>
      <c r="X1350" s="6" t="s">
        <v>81</v>
      </c>
      <c r="Y1350" s="21" t="s">
        <v>81</v>
      </c>
      <c r="Z1350" s="6" t="s">
        <v>81</v>
      </c>
      <c r="AA1350" s="6" t="s">
        <v>81</v>
      </c>
      <c r="AB1350" s="6" t="s">
        <v>81</v>
      </c>
      <c r="AC1350" s="6" t="s">
        <v>81</v>
      </c>
      <c r="AD1350" s="21" t="s">
        <v>81</v>
      </c>
      <c r="AE1350" s="6" t="s">
        <v>81</v>
      </c>
      <c r="AF1350" s="6" t="s">
        <v>81</v>
      </c>
      <c r="AG1350" s="6" t="s">
        <v>81</v>
      </c>
      <c r="AH1350" s="6" t="s">
        <v>15919</v>
      </c>
      <c r="AI1350" s="6" t="s">
        <v>81</v>
      </c>
      <c r="AJ1350" s="6" t="s">
        <v>17337</v>
      </c>
      <c r="AK1350" s="6" t="s">
        <v>18377</v>
      </c>
      <c r="AL1350" s="6" t="s">
        <v>18444</v>
      </c>
      <c r="AM1350" s="6" t="s">
        <v>18491</v>
      </c>
      <c r="AN1350" s="6" t="s">
        <v>19643</v>
      </c>
      <c r="AO1350" s="6" t="s">
        <v>19730</v>
      </c>
      <c r="AP1350" s="6" t="s">
        <v>81</v>
      </c>
      <c r="AQ1350" s="6" t="s">
        <v>81</v>
      </c>
      <c r="AR1350" s="6" t="s">
        <v>81</v>
      </c>
      <c r="AS1350" s="6" t="s">
        <v>81</v>
      </c>
      <c r="AT1350" s="6" t="s">
        <v>81</v>
      </c>
      <c r="AU1350" s="6" t="s">
        <v>81</v>
      </c>
      <c r="AV1350" s="6" t="s">
        <v>81</v>
      </c>
      <c r="AW1350" s="6" t="s">
        <v>81</v>
      </c>
      <c r="AX1350" s="6" t="s">
        <v>81</v>
      </c>
      <c r="AY1350" s="6" t="s">
        <v>81</v>
      </c>
      <c r="AZ1350" s="6" t="s">
        <v>81</v>
      </c>
      <c r="BA1350" s="6" t="s">
        <v>23819</v>
      </c>
      <c r="BB1350" s="24" t="n">
        <v>76</v>
      </c>
      <c r="BC1350" s="26"/>
      <c r="BD1350" s="26"/>
      <c r="BE1350" s="26"/>
      <c r="BF1350" s="26" t="s">
        <v>23900</v>
      </c>
      <c r="BG1350" s="26"/>
      <c r="BH1350" s="26"/>
      <c r="BI1350" s="26"/>
      <c r="BJ1350" s="26"/>
      <c r="BK1350" s="26"/>
      <c r="BL1350" s="26"/>
      <c r="BM1350" s="26"/>
      <c r="BN1350" s="26"/>
      <c r="BO1350" s="26"/>
      <c r="BP1350" s="16" t="n">
        <v>45582</v>
      </c>
      <c r="BQ1350" s="28" t="str">
        <f>HYPERLINK("https://organic.ams.usda.gov/Integrity/Certificate.aspx?cid=45&amp;nopid=9950010678")</f>
        <v>https://organic.ams.usda.gov/Integrity/Certificate.aspx?cid=45&amp;nopid=9950010678</v>
      </c>
    </row>
    <row r="1351">
      <c r="A1351" t="s">
        <v>3</v>
      </c>
      <c r="B1351" s="6" t="s">
        <v>9</v>
      </c>
      <c r="C1351" s="6" t="s">
        <v>56</v>
      </c>
      <c r="D1351" s="6" t="s">
        <v>102</v>
      </c>
      <c r="E1351" s="10" t="s">
        <v>1492</v>
      </c>
      <c r="F1351" s="6" t="s">
        <v>4216</v>
      </c>
      <c r="G1351" s="6" t="s">
        <v>81</v>
      </c>
      <c r="H1351" s="6" t="s">
        <v>7133</v>
      </c>
      <c r="I1351" s="6" t="s">
        <v>9105</v>
      </c>
      <c r="J1351" s="6" t="s">
        <v>9665</v>
      </c>
      <c r="K1351" s="6" t="s">
        <v>10886</v>
      </c>
      <c r="L1351" s="16" t="n">
        <v>41361</v>
      </c>
      <c r="M1351" s="16" t="n">
        <v>45748</v>
      </c>
      <c r="N1351" s="6" t="s">
        <v>10886</v>
      </c>
      <c r="O1351" s="16" t="n">
        <v>41361</v>
      </c>
      <c r="P1351" s="6" t="s">
        <v>11703</v>
      </c>
      <c r="Q1351" s="6" t="s">
        <v>81</v>
      </c>
      <c r="R1351" s="6" t="s">
        <v>12792</v>
      </c>
      <c r="S1351" s="6" t="s">
        <v>10886</v>
      </c>
      <c r="T1351" s="16" t="n">
        <v>41361</v>
      </c>
      <c r="U1351" s="6" t="s">
        <v>13162</v>
      </c>
      <c r="V1351" s="6" t="s">
        <v>81</v>
      </c>
      <c r="W1351" s="6" t="s">
        <v>12792</v>
      </c>
      <c r="X1351" s="6" t="s">
        <v>81</v>
      </c>
      <c r="Y1351" s="21" t="s">
        <v>81</v>
      </c>
      <c r="Z1351" s="6" t="s">
        <v>81</v>
      </c>
      <c r="AA1351" s="6" t="s">
        <v>81</v>
      </c>
      <c r="AB1351" s="6" t="s">
        <v>81</v>
      </c>
      <c r="AC1351" s="6" t="s">
        <v>81</v>
      </c>
      <c r="AD1351" s="21" t="s">
        <v>81</v>
      </c>
      <c r="AE1351" s="6" t="s">
        <v>81</v>
      </c>
      <c r="AF1351" s="6" t="s">
        <v>81</v>
      </c>
      <c r="AG1351" s="6" t="s">
        <v>81</v>
      </c>
      <c r="AH1351" s="6" t="s">
        <v>15920</v>
      </c>
      <c r="AI1351" s="6" t="s">
        <v>81</v>
      </c>
      <c r="AJ1351" s="6" t="s">
        <v>17384</v>
      </c>
      <c r="AK1351" s="6" t="s">
        <v>18377</v>
      </c>
      <c r="AL1351" s="6" t="s">
        <v>18444</v>
      </c>
      <c r="AM1351" s="6" t="s">
        <v>18538</v>
      </c>
      <c r="AN1351" s="6" t="s">
        <v>19664</v>
      </c>
      <c r="AO1351" s="6" t="s">
        <v>19767</v>
      </c>
      <c r="AP1351" s="6" t="s">
        <v>81</v>
      </c>
      <c r="AQ1351" s="6" t="s">
        <v>81</v>
      </c>
      <c r="AR1351" s="6" t="s">
        <v>81</v>
      </c>
      <c r="AS1351" s="6" t="s">
        <v>81</v>
      </c>
      <c r="AT1351" s="6" t="s">
        <v>81</v>
      </c>
      <c r="AU1351" s="6" t="s">
        <v>81</v>
      </c>
      <c r="AV1351" s="6" t="s">
        <v>81</v>
      </c>
      <c r="AW1351" s="6" t="s">
        <v>81</v>
      </c>
      <c r="AX1351" s="6" t="s">
        <v>21590</v>
      </c>
      <c r="AY1351" s="6" t="s">
        <v>81</v>
      </c>
      <c r="AZ1351" s="6" t="s">
        <v>81</v>
      </c>
      <c r="BA1351" s="6" t="s">
        <v>81</v>
      </c>
      <c r="BB1351" s="24" t="n">
        <v>224</v>
      </c>
      <c r="BC1351" s="26"/>
      <c r="BD1351" s="26"/>
      <c r="BE1351" s="26"/>
      <c r="BF1351" s="26"/>
      <c r="BG1351" s="26"/>
      <c r="BH1351" s="26"/>
      <c r="BI1351" s="26"/>
      <c r="BJ1351" s="26"/>
      <c r="BK1351" s="26"/>
      <c r="BL1351" s="26"/>
      <c r="BM1351" s="26"/>
      <c r="BN1351" s="26"/>
      <c r="BO1351" s="26"/>
      <c r="BP1351" s="16" t="n">
        <v>45738</v>
      </c>
      <c r="BQ1351" s="28" t="str">
        <f>HYPERLINK("https://organic.ams.usda.gov/Integrity/Certificate.aspx?cid=52&amp;nopid=8431300414")</f>
        <v>https://organic.ams.usda.gov/Integrity/Certificate.aspx?cid=52&amp;nopid=8431300414</v>
      </c>
    </row>
    <row r="1352">
      <c r="A1352" t="s">
        <v>3</v>
      </c>
      <c r="B1352" s="6" t="s">
        <v>8</v>
      </c>
      <c r="C1352" s="6" t="s">
        <v>55</v>
      </c>
      <c r="D1352" s="6" t="s">
        <v>101</v>
      </c>
      <c r="E1352" s="10" t="s">
        <v>1493</v>
      </c>
      <c r="F1352" s="6" t="s">
        <v>4217</v>
      </c>
      <c r="G1352" s="6" t="s">
        <v>81</v>
      </c>
      <c r="H1352" s="6" t="s">
        <v>7134</v>
      </c>
      <c r="I1352" s="6" t="s">
        <v>8675</v>
      </c>
      <c r="J1352" s="6" t="s">
        <v>9976</v>
      </c>
      <c r="K1352" s="6" t="s">
        <v>10886</v>
      </c>
      <c r="L1352" s="16" t="n">
        <v>39906</v>
      </c>
      <c r="M1352" s="16" t="n">
        <v>45383</v>
      </c>
      <c r="N1352" s="6" t="s">
        <v>10886</v>
      </c>
      <c r="O1352" s="16" t="n">
        <v>39906</v>
      </c>
      <c r="P1352" s="6" t="s">
        <v>11704</v>
      </c>
      <c r="Q1352" s="6" t="s">
        <v>81</v>
      </c>
      <c r="R1352" s="6" t="s">
        <v>7134</v>
      </c>
      <c r="S1352" s="6" t="s">
        <v>10886</v>
      </c>
      <c r="T1352" s="16" t="n">
        <v>39906</v>
      </c>
      <c r="U1352" s="6" t="s">
        <v>13603</v>
      </c>
      <c r="V1352" s="6" t="s">
        <v>81</v>
      </c>
      <c r="W1352" s="6" t="s">
        <v>7134</v>
      </c>
      <c r="X1352" s="6" t="s">
        <v>81</v>
      </c>
      <c r="Y1352" s="21" t="s">
        <v>81</v>
      </c>
      <c r="Z1352" s="6" t="s">
        <v>81</v>
      </c>
      <c r="AA1352" s="6" t="s">
        <v>81</v>
      </c>
      <c r="AB1352" s="6" t="s">
        <v>81</v>
      </c>
      <c r="AC1352" s="6" t="s">
        <v>81</v>
      </c>
      <c r="AD1352" s="21" t="s">
        <v>81</v>
      </c>
      <c r="AE1352" s="6" t="s">
        <v>81</v>
      </c>
      <c r="AF1352" s="6" t="s">
        <v>81</v>
      </c>
      <c r="AG1352" s="6" t="s">
        <v>81</v>
      </c>
      <c r="AH1352" s="6" t="s">
        <v>15921</v>
      </c>
      <c r="AI1352" s="6" t="s">
        <v>81</v>
      </c>
      <c r="AJ1352" s="6" t="s">
        <v>17377</v>
      </c>
      <c r="AK1352" s="6" t="s">
        <v>18377</v>
      </c>
      <c r="AL1352" s="6" t="s">
        <v>18444</v>
      </c>
      <c r="AM1352" s="6" t="s">
        <v>18530</v>
      </c>
      <c r="AN1352" s="6" t="s">
        <v>19634</v>
      </c>
      <c r="AO1352" s="6" t="s">
        <v>19764</v>
      </c>
      <c r="AP1352" s="6" t="s">
        <v>81</v>
      </c>
      <c r="AQ1352" s="6" t="s">
        <v>81</v>
      </c>
      <c r="AR1352" s="6" t="s">
        <v>81</v>
      </c>
      <c r="AS1352" s="6" t="s">
        <v>81</v>
      </c>
      <c r="AT1352" s="6" t="s">
        <v>81</v>
      </c>
      <c r="AU1352" s="6" t="s">
        <v>81</v>
      </c>
      <c r="AV1352" s="6" t="s">
        <v>81</v>
      </c>
      <c r="AW1352" s="6" t="s">
        <v>81</v>
      </c>
      <c r="AX1352" s="6" t="s">
        <v>81</v>
      </c>
      <c r="AY1352" s="6" t="s">
        <v>81</v>
      </c>
      <c r="AZ1352" s="6" t="s">
        <v>81</v>
      </c>
      <c r="BA1352" s="6" t="s">
        <v>7134</v>
      </c>
      <c r="BB1352" s="24" t="n">
        <v>71</v>
      </c>
      <c r="BC1352" s="26"/>
      <c r="BD1352" s="26"/>
      <c r="BE1352" s="26"/>
      <c r="BF1352" s="26"/>
      <c r="BG1352" s="26"/>
      <c r="BH1352" s="26"/>
      <c r="BI1352" s="26"/>
      <c r="BJ1352" s="26"/>
      <c r="BK1352" s="26"/>
      <c r="BL1352" s="26"/>
      <c r="BM1352" s="26"/>
      <c r="BN1352" s="26"/>
      <c r="BO1352" s="26"/>
      <c r="BP1352" s="16" t="n">
        <v>45425</v>
      </c>
      <c r="BQ1352" s="28" t="str">
        <f>HYPERLINK("https://organic.ams.usda.gov/Integrity/Certificate.aspx?cid=45&amp;nopid=9950003386")</f>
        <v>https://organic.ams.usda.gov/Integrity/Certificate.aspx?cid=45&amp;nopid=9950003386</v>
      </c>
    </row>
    <row r="1353">
      <c r="A1353" t="s">
        <v>3</v>
      </c>
      <c r="B1353" s="6" t="s">
        <v>15</v>
      </c>
      <c r="C1353" s="6" t="s">
        <v>62</v>
      </c>
      <c r="D1353" s="6" t="s">
        <v>108</v>
      </c>
      <c r="E1353" s="10" t="s">
        <v>1494</v>
      </c>
      <c r="F1353" s="6" t="s">
        <v>4218</v>
      </c>
      <c r="G1353" s="6" t="s">
        <v>81</v>
      </c>
      <c r="H1353" s="6" t="s">
        <v>7135</v>
      </c>
      <c r="I1353" s="6" t="s">
        <v>9106</v>
      </c>
      <c r="J1353" s="6" t="s">
        <v>9665</v>
      </c>
      <c r="K1353" s="6" t="s">
        <v>10886</v>
      </c>
      <c r="L1353" s="16" t="n">
        <v>43187</v>
      </c>
      <c r="M1353" s="16" t="n">
        <v>46157</v>
      </c>
      <c r="N1353" s="6" t="s">
        <v>10886</v>
      </c>
      <c r="O1353" s="16" t="n">
        <v>43187</v>
      </c>
      <c r="P1353" s="6" t="s">
        <v>11705</v>
      </c>
      <c r="Q1353" s="6" t="s">
        <v>81</v>
      </c>
      <c r="R1353" s="6" t="s">
        <v>81</v>
      </c>
      <c r="S1353" s="6" t="s">
        <v>10886</v>
      </c>
      <c r="T1353" s="16" t="n">
        <v>43187</v>
      </c>
      <c r="U1353" s="6" t="s">
        <v>13196</v>
      </c>
      <c r="V1353" s="6" t="s">
        <v>81</v>
      </c>
      <c r="W1353" s="6" t="s">
        <v>81</v>
      </c>
      <c r="X1353" s="6" t="s">
        <v>81</v>
      </c>
      <c r="Y1353" s="21" t="s">
        <v>81</v>
      </c>
      <c r="Z1353" s="6" t="s">
        <v>81</v>
      </c>
      <c r="AA1353" s="6" t="s">
        <v>81</v>
      </c>
      <c r="AB1353" s="6" t="s">
        <v>81</v>
      </c>
      <c r="AC1353" s="6" t="s">
        <v>81</v>
      </c>
      <c r="AD1353" s="21" t="s">
        <v>81</v>
      </c>
      <c r="AE1353" s="6" t="s">
        <v>81</v>
      </c>
      <c r="AF1353" s="6" t="s">
        <v>81</v>
      </c>
      <c r="AG1353" s="6" t="s">
        <v>81</v>
      </c>
      <c r="AH1353" s="6" t="s">
        <v>15922</v>
      </c>
      <c r="AI1353" s="6" t="s">
        <v>81</v>
      </c>
      <c r="AJ1353" s="6" t="s">
        <v>17972</v>
      </c>
      <c r="AK1353" s="6" t="s">
        <v>18380</v>
      </c>
      <c r="AL1353" s="6" t="s">
        <v>18444</v>
      </c>
      <c r="AM1353" s="6" t="s">
        <v>19159</v>
      </c>
      <c r="AN1353" s="6" t="s">
        <v>81</v>
      </c>
      <c r="AO1353" s="6" t="s">
        <v>81</v>
      </c>
      <c r="AP1353" s="6" t="s">
        <v>15922</v>
      </c>
      <c r="AQ1353" s="6" t="s">
        <v>81</v>
      </c>
      <c r="AR1353" s="6" t="s">
        <v>17972</v>
      </c>
      <c r="AS1353" s="6" t="s">
        <v>18380</v>
      </c>
      <c r="AT1353" s="6" t="s">
        <v>18444</v>
      </c>
      <c r="AU1353" s="6" t="s">
        <v>19159</v>
      </c>
      <c r="AV1353" s="6" t="s">
        <v>81</v>
      </c>
      <c r="AW1353" s="6" t="s">
        <v>81</v>
      </c>
      <c r="AX1353" s="6" t="s">
        <v>21591</v>
      </c>
      <c r="AY1353" s="6" t="s">
        <v>81</v>
      </c>
      <c r="AZ1353" s="6" t="s">
        <v>81</v>
      </c>
      <c r="BA1353" s="6" t="s">
        <v>81</v>
      </c>
      <c r="BB1353" s="24" t="n">
        <v>147</v>
      </c>
      <c r="BC1353" s="26"/>
      <c r="BD1353" s="26"/>
      <c r="BE1353" s="26"/>
      <c r="BF1353" s="26" t="s">
        <v>23900</v>
      </c>
      <c r="BG1353" s="26"/>
      <c r="BH1353" s="26"/>
      <c r="BI1353" s="26"/>
      <c r="BJ1353" s="26"/>
      <c r="BK1353" s="26"/>
      <c r="BL1353" s="26"/>
      <c r="BM1353" s="26"/>
      <c r="BN1353" s="26"/>
      <c r="BO1353" s="26"/>
      <c r="BP1353" s="16" t="n">
        <v>45737</v>
      </c>
      <c r="BQ1353" s="28" t="str">
        <f>HYPERLINK("https://organic.ams.usda.gov/Integrity/Certificate.aspx?cid=58&amp;nopid=1600003719")</f>
        <v>https://organic.ams.usda.gov/Integrity/Certificate.aspx?cid=58&amp;nopid=1600003719</v>
      </c>
    </row>
    <row r="1354">
      <c r="A1354" t="s">
        <v>3</v>
      </c>
      <c r="B1354" s="6" t="s">
        <v>7</v>
      </c>
      <c r="C1354" s="6" t="s">
        <v>54</v>
      </c>
      <c r="D1354" s="6" t="s">
        <v>100</v>
      </c>
      <c r="E1354" s="10" t="s">
        <v>1495</v>
      </c>
      <c r="F1354" s="6" t="s">
        <v>4219</v>
      </c>
      <c r="G1354" s="6" t="s">
        <v>81</v>
      </c>
      <c r="H1354" s="6" t="s">
        <v>7136</v>
      </c>
      <c r="I1354" s="6" t="s">
        <v>8675</v>
      </c>
      <c r="J1354" s="6" t="s">
        <v>9759</v>
      </c>
      <c r="K1354" s="6" t="s">
        <v>10886</v>
      </c>
      <c r="L1354" s="16" t="n">
        <v>43279</v>
      </c>
      <c r="M1354" s="16" t="n">
        <v>45716</v>
      </c>
      <c r="N1354" s="6" t="s">
        <v>10886</v>
      </c>
      <c r="O1354" s="16" t="n">
        <v>43279</v>
      </c>
      <c r="P1354" s="6" t="s">
        <v>11706</v>
      </c>
      <c r="Q1354" s="6" t="s">
        <v>81</v>
      </c>
      <c r="R1354" s="6" t="s">
        <v>81</v>
      </c>
      <c r="S1354" s="6" t="s">
        <v>10886</v>
      </c>
      <c r="T1354" s="16" t="n">
        <v>43374</v>
      </c>
      <c r="U1354" s="6" t="s">
        <v>13169</v>
      </c>
      <c r="V1354" s="6" t="s">
        <v>81</v>
      </c>
      <c r="W1354" s="6" t="s">
        <v>81</v>
      </c>
      <c r="X1354" s="6" t="s">
        <v>81</v>
      </c>
      <c r="Y1354" s="21" t="s">
        <v>81</v>
      </c>
      <c r="Z1354" s="6" t="s">
        <v>81</v>
      </c>
      <c r="AA1354" s="6" t="s">
        <v>81</v>
      </c>
      <c r="AB1354" s="6" t="s">
        <v>81</v>
      </c>
      <c r="AC1354" s="6" t="s">
        <v>81</v>
      </c>
      <c r="AD1354" s="21" t="s">
        <v>81</v>
      </c>
      <c r="AE1354" s="6" t="s">
        <v>81</v>
      </c>
      <c r="AF1354" s="6" t="s">
        <v>81</v>
      </c>
      <c r="AG1354" s="6" t="s">
        <v>81</v>
      </c>
      <c r="AH1354" s="6" t="s">
        <v>15923</v>
      </c>
      <c r="AI1354" s="6" t="s">
        <v>81</v>
      </c>
      <c r="AJ1354" s="6" t="s">
        <v>17973</v>
      </c>
      <c r="AK1354" s="6" t="s">
        <v>17712</v>
      </c>
      <c r="AL1354" s="6" t="s">
        <v>18444</v>
      </c>
      <c r="AM1354" s="6" t="s">
        <v>19160</v>
      </c>
      <c r="AN1354" s="6" t="s">
        <v>19634</v>
      </c>
      <c r="AO1354" s="6" t="s">
        <v>19719</v>
      </c>
      <c r="AP1354" s="6" t="s">
        <v>15923</v>
      </c>
      <c r="AQ1354" s="6" t="s">
        <v>81</v>
      </c>
      <c r="AR1354" s="6" t="s">
        <v>17973</v>
      </c>
      <c r="AS1354" s="6" t="s">
        <v>17712</v>
      </c>
      <c r="AT1354" s="6" t="s">
        <v>18444</v>
      </c>
      <c r="AU1354" s="6" t="s">
        <v>19160</v>
      </c>
      <c r="AV1354" s="6" t="s">
        <v>81</v>
      </c>
      <c r="AW1354" s="6" t="s">
        <v>81</v>
      </c>
      <c r="AX1354" s="6" t="s">
        <v>21592</v>
      </c>
      <c r="AY1354" s="6" t="s">
        <v>81</v>
      </c>
      <c r="AZ1354" s="6" t="s">
        <v>81</v>
      </c>
      <c r="BA1354" s="6" t="s">
        <v>81</v>
      </c>
      <c r="BB1354" s="24" t="n">
        <v>175</v>
      </c>
      <c r="BC1354" s="26"/>
      <c r="BD1354" s="26"/>
      <c r="BE1354" s="26"/>
      <c r="BF1354" s="26"/>
      <c r="BG1354" s="26"/>
      <c r="BH1354" s="26"/>
      <c r="BI1354" s="26"/>
      <c r="BJ1354" s="26"/>
      <c r="BK1354" s="26"/>
      <c r="BL1354" s="26"/>
      <c r="BM1354" s="26"/>
      <c r="BN1354" s="26"/>
      <c r="BO1354" s="26"/>
      <c r="BP1354" s="16" t="n">
        <v>45595</v>
      </c>
      <c r="BQ1354" s="28" t="str">
        <f>HYPERLINK("https://organic.ams.usda.gov/Integrity/Certificate.aspx?cid=57&amp;nopid=3252018034")</f>
        <v>https://organic.ams.usda.gov/Integrity/Certificate.aspx?cid=57&amp;nopid=3252018034</v>
      </c>
    </row>
    <row r="1355">
      <c r="A1355" t="s">
        <v>3</v>
      </c>
      <c r="B1355" s="6" t="s">
        <v>18</v>
      </c>
      <c r="C1355" s="6" t="s">
        <v>65</v>
      </c>
      <c r="D1355" s="6" t="s">
        <v>111</v>
      </c>
      <c r="E1355" s="10" t="s">
        <v>1496</v>
      </c>
      <c r="F1355" s="6" t="s">
        <v>4220</v>
      </c>
      <c r="G1355" s="6" t="s">
        <v>81</v>
      </c>
      <c r="H1355" s="6" t="s">
        <v>1496</v>
      </c>
      <c r="I1355" s="6" t="s">
        <v>9107</v>
      </c>
      <c r="J1355" s="6" t="s">
        <v>10306</v>
      </c>
      <c r="K1355" s="6" t="s">
        <v>10886</v>
      </c>
      <c r="L1355" s="16" t="n">
        <v>45714</v>
      </c>
      <c r="M1355" s="16" t="n">
        <v>46068</v>
      </c>
      <c r="N1355" s="6" t="s">
        <v>10886</v>
      </c>
      <c r="O1355" s="16" t="n">
        <v>45714</v>
      </c>
      <c r="P1355" s="6" t="s">
        <v>11707</v>
      </c>
      <c r="Q1355" s="6" t="s">
        <v>81</v>
      </c>
      <c r="R1355" s="6" t="s">
        <v>4220</v>
      </c>
      <c r="S1355" s="6" t="s">
        <v>10886</v>
      </c>
      <c r="T1355" s="16" t="n">
        <v>45714</v>
      </c>
      <c r="U1355" s="6" t="s">
        <v>13604</v>
      </c>
      <c r="V1355" s="6" t="s">
        <v>81</v>
      </c>
      <c r="W1355" s="6" t="s">
        <v>4220</v>
      </c>
      <c r="X1355" s="6" t="s">
        <v>81</v>
      </c>
      <c r="Y1355" s="21" t="s">
        <v>81</v>
      </c>
      <c r="Z1355" s="6" t="s">
        <v>81</v>
      </c>
      <c r="AA1355" s="6" t="s">
        <v>81</v>
      </c>
      <c r="AB1355" s="6" t="s">
        <v>81</v>
      </c>
      <c r="AC1355" s="6" t="s">
        <v>81</v>
      </c>
      <c r="AD1355" s="21" t="s">
        <v>81</v>
      </c>
      <c r="AE1355" s="6" t="s">
        <v>81</v>
      </c>
      <c r="AF1355" s="6" t="s">
        <v>81</v>
      </c>
      <c r="AG1355" s="6" t="s">
        <v>81</v>
      </c>
      <c r="AH1355" s="6" t="s">
        <v>15924</v>
      </c>
      <c r="AI1355" s="6" t="s">
        <v>81</v>
      </c>
      <c r="AJ1355" s="6" t="s">
        <v>17974</v>
      </c>
      <c r="AK1355" s="6" t="s">
        <v>18380</v>
      </c>
      <c r="AL1355" s="6" t="s">
        <v>18444</v>
      </c>
      <c r="AM1355" s="6" t="s">
        <v>19161</v>
      </c>
      <c r="AN1355" s="6" t="s">
        <v>81</v>
      </c>
      <c r="AO1355" s="6" t="s">
        <v>81</v>
      </c>
      <c r="AP1355" s="6" t="s">
        <v>15924</v>
      </c>
      <c r="AQ1355" s="6" t="s">
        <v>81</v>
      </c>
      <c r="AR1355" s="6" t="s">
        <v>17974</v>
      </c>
      <c r="AS1355" s="6" t="s">
        <v>18380</v>
      </c>
      <c r="AT1355" s="6" t="s">
        <v>18444</v>
      </c>
      <c r="AU1355" s="6" t="s">
        <v>19161</v>
      </c>
      <c r="AV1355" s="6" t="s">
        <v>81</v>
      </c>
      <c r="AW1355" s="6" t="s">
        <v>81</v>
      </c>
      <c r="AX1355" s="6" t="s">
        <v>21593</v>
      </c>
      <c r="AY1355" s="6" t="s">
        <v>81</v>
      </c>
      <c r="AZ1355" s="6" t="s">
        <v>81</v>
      </c>
      <c r="BA1355" s="6" t="s">
        <v>81</v>
      </c>
      <c r="BB1355" s="24" t="n">
        <v>206</v>
      </c>
      <c r="BC1355" s="26"/>
      <c r="BD1355" s="26"/>
      <c r="BE1355" s="26"/>
      <c r="BF1355" s="26" t="s">
        <v>23900</v>
      </c>
      <c r="BG1355" s="26"/>
      <c r="BH1355" s="26"/>
      <c r="BI1355" s="26"/>
      <c r="BJ1355" s="26"/>
      <c r="BK1355" s="26"/>
      <c r="BL1355" s="26"/>
      <c r="BM1355" s="26"/>
      <c r="BN1355" s="26"/>
      <c r="BO1355" s="26"/>
      <c r="BP1355" s="16" t="n">
        <v>45714</v>
      </c>
      <c r="BQ1355" s="28" t="str">
        <f>HYPERLINK("https://organic.ams.usda.gov/Integrity/Certificate.aspx?cid=8&amp;nopid=2202501600")</f>
        <v>https://organic.ams.usda.gov/Integrity/Certificate.aspx?cid=8&amp;nopid=2202501600</v>
      </c>
    </row>
    <row r="1356">
      <c r="A1356" t="s">
        <v>3</v>
      </c>
      <c r="B1356" s="6" t="s">
        <v>7</v>
      </c>
      <c r="C1356" s="6" t="s">
        <v>54</v>
      </c>
      <c r="D1356" s="6" t="s">
        <v>100</v>
      </c>
      <c r="E1356" s="10" t="s">
        <v>1497</v>
      </c>
      <c r="F1356" s="6" t="s">
        <v>4221</v>
      </c>
      <c r="G1356" s="6" t="s">
        <v>81</v>
      </c>
      <c r="H1356" s="6" t="s">
        <v>7137</v>
      </c>
      <c r="I1356" s="6" t="s">
        <v>8675</v>
      </c>
      <c r="J1356" s="6" t="s">
        <v>9672</v>
      </c>
      <c r="K1356" s="6" t="s">
        <v>10886</v>
      </c>
      <c r="L1356" s="16" t="n">
        <v>45629</v>
      </c>
      <c r="M1356" s="16" t="n">
        <v>45716</v>
      </c>
      <c r="N1356" s="6" t="s">
        <v>10886</v>
      </c>
      <c r="O1356" s="16" t="n">
        <v>45629</v>
      </c>
      <c r="P1356" s="6" t="s">
        <v>11708</v>
      </c>
      <c r="Q1356" s="6" t="s">
        <v>81</v>
      </c>
      <c r="R1356" s="6" t="s">
        <v>81</v>
      </c>
      <c r="S1356" s="6" t="s">
        <v>10886</v>
      </c>
      <c r="T1356" s="16" t="n">
        <v>45629</v>
      </c>
      <c r="U1356" s="6" t="s">
        <v>13169</v>
      </c>
      <c r="V1356" s="6" t="s">
        <v>81</v>
      </c>
      <c r="W1356" s="6" t="s">
        <v>81</v>
      </c>
      <c r="X1356" s="6" t="s">
        <v>81</v>
      </c>
      <c r="Y1356" s="21" t="s">
        <v>81</v>
      </c>
      <c r="Z1356" s="6" t="s">
        <v>81</v>
      </c>
      <c r="AA1356" s="6" t="s">
        <v>81</v>
      </c>
      <c r="AB1356" s="6" t="s">
        <v>81</v>
      </c>
      <c r="AC1356" s="6" t="s">
        <v>81</v>
      </c>
      <c r="AD1356" s="21" t="s">
        <v>81</v>
      </c>
      <c r="AE1356" s="6" t="s">
        <v>81</v>
      </c>
      <c r="AF1356" s="6" t="s">
        <v>81</v>
      </c>
      <c r="AG1356" s="6" t="s">
        <v>81</v>
      </c>
      <c r="AH1356" s="6" t="s">
        <v>15925</v>
      </c>
      <c r="AI1356" s="6" t="s">
        <v>81</v>
      </c>
      <c r="AJ1356" s="6" t="s">
        <v>17649</v>
      </c>
      <c r="AK1356" s="6" t="s">
        <v>18380</v>
      </c>
      <c r="AL1356" s="6" t="s">
        <v>18444</v>
      </c>
      <c r="AM1356" s="6" t="s">
        <v>18818</v>
      </c>
      <c r="AN1356" s="6" t="s">
        <v>81</v>
      </c>
      <c r="AO1356" s="6" t="s">
        <v>81</v>
      </c>
      <c r="AP1356" s="6" t="s">
        <v>15925</v>
      </c>
      <c r="AQ1356" s="6" t="s">
        <v>81</v>
      </c>
      <c r="AR1356" s="6" t="s">
        <v>17649</v>
      </c>
      <c r="AS1356" s="6" t="s">
        <v>18380</v>
      </c>
      <c r="AT1356" s="6" t="s">
        <v>18444</v>
      </c>
      <c r="AU1356" s="6" t="s">
        <v>18818</v>
      </c>
      <c r="AV1356" s="6" t="s">
        <v>81</v>
      </c>
      <c r="AW1356" s="6" t="s">
        <v>81</v>
      </c>
      <c r="AX1356" s="6" t="s">
        <v>81</v>
      </c>
      <c r="AY1356" s="6" t="s">
        <v>81</v>
      </c>
      <c r="AZ1356" s="6" t="s">
        <v>81</v>
      </c>
      <c r="BA1356" s="6" t="s">
        <v>81</v>
      </c>
      <c r="BB1356" s="24" t="n">
        <v>60</v>
      </c>
      <c r="BC1356" s="26"/>
      <c r="BD1356" s="26"/>
      <c r="BE1356" s="26"/>
      <c r="BF1356" s="26" t="s">
        <v>23900</v>
      </c>
      <c r="BG1356" s="26"/>
      <c r="BH1356" s="26"/>
      <c r="BI1356" s="26"/>
      <c r="BJ1356" s="26"/>
      <c r="BK1356" s="26"/>
      <c r="BL1356" s="26"/>
      <c r="BM1356" s="26"/>
      <c r="BN1356" s="26"/>
      <c r="BO1356" s="26"/>
      <c r="BP1356" s="16" t="n">
        <v>45630</v>
      </c>
      <c r="BQ1356" s="28" t="str">
        <f>HYPERLINK("https://organic.ams.usda.gov/Integrity/Certificate.aspx?cid=57&amp;nopid=3252024056")</f>
        <v>https://organic.ams.usda.gov/Integrity/Certificate.aspx?cid=57&amp;nopid=3252024056</v>
      </c>
    </row>
    <row r="1357">
      <c r="A1357" t="s">
        <v>3</v>
      </c>
      <c r="B1357" s="6" t="s">
        <v>13</v>
      </c>
      <c r="C1357" s="6" t="s">
        <v>60</v>
      </c>
      <c r="D1357" s="6" t="s">
        <v>106</v>
      </c>
      <c r="E1357" s="10" t="s">
        <v>1498</v>
      </c>
      <c r="F1357" s="6" t="s">
        <v>4222</v>
      </c>
      <c r="G1357" s="6" t="s">
        <v>81</v>
      </c>
      <c r="H1357" s="6" t="s">
        <v>7138</v>
      </c>
      <c r="I1357" s="6" t="s">
        <v>8675</v>
      </c>
      <c r="J1357" s="6" t="s">
        <v>9726</v>
      </c>
      <c r="K1357" s="6" t="s">
        <v>10886</v>
      </c>
      <c r="L1357" s="16" t="n">
        <v>43859</v>
      </c>
      <c r="M1357" s="16" t="n">
        <v>45748</v>
      </c>
      <c r="N1357" s="6" t="s">
        <v>10886</v>
      </c>
      <c r="O1357" s="16" t="n">
        <v>43859</v>
      </c>
      <c r="P1357" s="6" t="s">
        <v>11709</v>
      </c>
      <c r="Q1357" s="6" t="s">
        <v>81</v>
      </c>
      <c r="R1357" s="6" t="s">
        <v>12793</v>
      </c>
      <c r="S1357" s="6" t="s">
        <v>10886</v>
      </c>
      <c r="T1357" s="16" t="n">
        <v>43859</v>
      </c>
      <c r="U1357" s="6" t="s">
        <v>13402</v>
      </c>
      <c r="V1357" s="6" t="s">
        <v>81</v>
      </c>
      <c r="W1357" s="6" t="s">
        <v>12793</v>
      </c>
      <c r="X1357" s="6" t="s">
        <v>81</v>
      </c>
      <c r="Y1357" s="21" t="s">
        <v>81</v>
      </c>
      <c r="Z1357" s="6" t="s">
        <v>81</v>
      </c>
      <c r="AA1357" s="6" t="s">
        <v>81</v>
      </c>
      <c r="AB1357" s="6" t="s">
        <v>81</v>
      </c>
      <c r="AC1357" s="6" t="s">
        <v>81</v>
      </c>
      <c r="AD1357" s="21" t="s">
        <v>81</v>
      </c>
      <c r="AE1357" s="6" t="s">
        <v>81</v>
      </c>
      <c r="AF1357" s="6" t="s">
        <v>81</v>
      </c>
      <c r="AG1357" s="6" t="s">
        <v>81</v>
      </c>
      <c r="AH1357" s="6" t="s">
        <v>15926</v>
      </c>
      <c r="AI1357" s="6" t="s">
        <v>81</v>
      </c>
      <c r="AJ1357" s="6" t="s">
        <v>17324</v>
      </c>
      <c r="AK1357" s="6" t="s">
        <v>18378</v>
      </c>
      <c r="AL1357" s="6" t="s">
        <v>18444</v>
      </c>
      <c r="AM1357" s="6" t="s">
        <v>18476</v>
      </c>
      <c r="AN1357" s="6" t="s">
        <v>19640</v>
      </c>
      <c r="AO1357" s="6" t="s">
        <v>19726</v>
      </c>
      <c r="AP1357" s="6" t="s">
        <v>15926</v>
      </c>
      <c r="AQ1357" s="6" t="s">
        <v>81</v>
      </c>
      <c r="AR1357" s="6" t="s">
        <v>17324</v>
      </c>
      <c r="AS1357" s="6" t="s">
        <v>18378</v>
      </c>
      <c r="AT1357" s="6" t="s">
        <v>18444</v>
      </c>
      <c r="AU1357" s="6" t="s">
        <v>18476</v>
      </c>
      <c r="AV1357" s="6" t="s">
        <v>81</v>
      </c>
      <c r="AW1357" s="6" t="s">
        <v>81</v>
      </c>
      <c r="AX1357" s="6" t="s">
        <v>21594</v>
      </c>
      <c r="AY1357" s="6" t="s">
        <v>81</v>
      </c>
      <c r="AZ1357" s="6" t="s">
        <v>81</v>
      </c>
      <c r="BA1357" s="6" t="s">
        <v>81</v>
      </c>
      <c r="BB1357" s="24" t="n">
        <v>130</v>
      </c>
      <c r="BC1357" s="26"/>
      <c r="BD1357" s="26"/>
      <c r="BE1357" s="26"/>
      <c r="BF1357" s="26" t="s">
        <v>23900</v>
      </c>
      <c r="BG1357" s="26"/>
      <c r="BH1357" s="26"/>
      <c r="BI1357" s="26"/>
      <c r="BJ1357" s="26"/>
      <c r="BK1357" s="26"/>
      <c r="BL1357" s="26"/>
      <c r="BM1357" s="26"/>
      <c r="BN1357" s="26"/>
      <c r="BO1357" s="26"/>
      <c r="BP1357" s="16" t="n">
        <v>45663</v>
      </c>
      <c r="BQ1357" s="28" t="str">
        <f>HYPERLINK("https://organic.ams.usda.gov/Integrity/Certificate.aspx?cid=72&amp;nopid=5872741167")</f>
        <v>https://organic.ams.usda.gov/Integrity/Certificate.aspx?cid=72&amp;nopid=5872741167</v>
      </c>
    </row>
    <row r="1358">
      <c r="A1358" t="s">
        <v>3</v>
      </c>
      <c r="B1358" s="6" t="s">
        <v>9</v>
      </c>
      <c r="C1358" s="6" t="s">
        <v>56</v>
      </c>
      <c r="D1358" s="6" t="s">
        <v>102</v>
      </c>
      <c r="E1358" s="10" t="s">
        <v>1499</v>
      </c>
      <c r="F1358" s="6" t="s">
        <v>4223</v>
      </c>
      <c r="G1358" s="6" t="s">
        <v>81</v>
      </c>
      <c r="H1358" s="6" t="s">
        <v>7139</v>
      </c>
      <c r="I1358" s="6" t="s">
        <v>8675</v>
      </c>
      <c r="J1358" s="6" t="s">
        <v>9666</v>
      </c>
      <c r="K1358" s="6" t="s">
        <v>10886</v>
      </c>
      <c r="L1358" s="16" t="n">
        <v>41555</v>
      </c>
      <c r="M1358" s="16" t="n">
        <v>45748</v>
      </c>
      <c r="N1358" s="6" t="s">
        <v>10886</v>
      </c>
      <c r="O1358" s="16" t="n">
        <v>41555</v>
      </c>
      <c r="P1358" s="6" t="s">
        <v>11394</v>
      </c>
      <c r="Q1358" s="6" t="s">
        <v>81</v>
      </c>
      <c r="R1358" s="6" t="s">
        <v>12794</v>
      </c>
      <c r="S1358" s="6" t="s">
        <v>10886</v>
      </c>
      <c r="T1358" s="16" t="n">
        <v>41555</v>
      </c>
      <c r="U1358" s="6" t="s">
        <v>13162</v>
      </c>
      <c r="V1358" s="6" t="s">
        <v>81</v>
      </c>
      <c r="W1358" s="6" t="s">
        <v>12794</v>
      </c>
      <c r="X1358" s="6" t="s">
        <v>81</v>
      </c>
      <c r="Y1358" s="21" t="s">
        <v>81</v>
      </c>
      <c r="Z1358" s="6" t="s">
        <v>81</v>
      </c>
      <c r="AA1358" s="6" t="s">
        <v>81</v>
      </c>
      <c r="AB1358" s="6" t="s">
        <v>81</v>
      </c>
      <c r="AC1358" s="6" t="s">
        <v>81</v>
      </c>
      <c r="AD1358" s="21" t="s">
        <v>81</v>
      </c>
      <c r="AE1358" s="6" t="s">
        <v>81</v>
      </c>
      <c r="AF1358" s="6" t="s">
        <v>81</v>
      </c>
      <c r="AG1358" s="6" t="s">
        <v>81</v>
      </c>
      <c r="AH1358" s="6" t="s">
        <v>15927</v>
      </c>
      <c r="AI1358" s="6" t="s">
        <v>81</v>
      </c>
      <c r="AJ1358" s="6" t="s">
        <v>17786</v>
      </c>
      <c r="AK1358" s="6" t="s">
        <v>18378</v>
      </c>
      <c r="AL1358" s="6" t="s">
        <v>18444</v>
      </c>
      <c r="AM1358" s="6" t="s">
        <v>18961</v>
      </c>
      <c r="AN1358" s="6" t="s">
        <v>19673</v>
      </c>
      <c r="AO1358" s="6" t="s">
        <v>19786</v>
      </c>
      <c r="AP1358" s="6" t="s">
        <v>81</v>
      </c>
      <c r="AQ1358" s="6" t="s">
        <v>81</v>
      </c>
      <c r="AR1358" s="6" t="s">
        <v>81</v>
      </c>
      <c r="AS1358" s="6" t="s">
        <v>81</v>
      </c>
      <c r="AT1358" s="6" t="s">
        <v>81</v>
      </c>
      <c r="AU1358" s="6" t="s">
        <v>81</v>
      </c>
      <c r="AV1358" s="6" t="s">
        <v>81</v>
      </c>
      <c r="AW1358" s="6" t="s">
        <v>81</v>
      </c>
      <c r="AX1358" s="6" t="s">
        <v>21595</v>
      </c>
      <c r="AY1358" s="6" t="s">
        <v>81</v>
      </c>
      <c r="AZ1358" s="6" t="s">
        <v>81</v>
      </c>
      <c r="BA1358" s="6" t="s">
        <v>81</v>
      </c>
      <c r="BB1358" s="24" t="n">
        <v>90</v>
      </c>
      <c r="BC1358" s="26"/>
      <c r="BD1358" s="26"/>
      <c r="BE1358" s="26"/>
      <c r="BF1358" s="26"/>
      <c r="BG1358" s="26"/>
      <c r="BH1358" s="26"/>
      <c r="BI1358" s="26"/>
      <c r="BJ1358" s="26"/>
      <c r="BK1358" s="26"/>
      <c r="BL1358" s="26"/>
      <c r="BM1358" s="26"/>
      <c r="BN1358" s="26"/>
      <c r="BO1358" s="26"/>
      <c r="BP1358" s="16" t="n">
        <v>45738</v>
      </c>
      <c r="BQ1358" s="28" t="str">
        <f>HYPERLINK("https://organic.ams.usda.gov/Integrity/Certificate.aspx?cid=52&amp;nopid=8431300556")</f>
        <v>https://organic.ams.usda.gov/Integrity/Certificate.aspx?cid=52&amp;nopid=8431300556</v>
      </c>
    </row>
    <row r="1359">
      <c r="A1359" t="s">
        <v>3</v>
      </c>
      <c r="B1359" s="6" t="s">
        <v>12</v>
      </c>
      <c r="C1359" s="6" t="s">
        <v>59</v>
      </c>
      <c r="D1359" s="6" t="s">
        <v>105</v>
      </c>
      <c r="E1359" s="10" t="s">
        <v>1500</v>
      </c>
      <c r="F1359" s="6" t="s">
        <v>4224</v>
      </c>
      <c r="G1359" s="6" t="s">
        <v>81</v>
      </c>
      <c r="H1359" s="6" t="s">
        <v>7140</v>
      </c>
      <c r="I1359" s="6" t="s">
        <v>9108</v>
      </c>
      <c r="J1359" s="6" t="s">
        <v>10307</v>
      </c>
      <c r="K1359" s="6" t="s">
        <v>10886</v>
      </c>
      <c r="L1359" s="16" t="n">
        <v>42677</v>
      </c>
      <c r="M1359" s="16" t="n">
        <v>45717</v>
      </c>
      <c r="N1359" s="6" t="s">
        <v>10886</v>
      </c>
      <c r="O1359" s="16" t="n">
        <v>42677</v>
      </c>
      <c r="P1359" s="6" t="s">
        <v>11710</v>
      </c>
      <c r="Q1359" s="6" t="s">
        <v>81</v>
      </c>
      <c r="R1359" s="6" t="s">
        <v>81</v>
      </c>
      <c r="S1359" s="6" t="s">
        <v>10886</v>
      </c>
      <c r="T1359" s="16" t="n">
        <v>42677</v>
      </c>
      <c r="U1359" s="6" t="s">
        <v>13187</v>
      </c>
      <c r="V1359" s="6" t="s">
        <v>81</v>
      </c>
      <c r="W1359" s="6" t="s">
        <v>81</v>
      </c>
      <c r="X1359" s="6" t="s">
        <v>81</v>
      </c>
      <c r="Y1359" s="21" t="s">
        <v>81</v>
      </c>
      <c r="Z1359" s="6" t="s">
        <v>81</v>
      </c>
      <c r="AA1359" s="6" t="s">
        <v>81</v>
      </c>
      <c r="AB1359" s="6" t="s">
        <v>81</v>
      </c>
      <c r="AC1359" s="6" t="s">
        <v>81</v>
      </c>
      <c r="AD1359" s="21" t="s">
        <v>81</v>
      </c>
      <c r="AE1359" s="6" t="s">
        <v>81</v>
      </c>
      <c r="AF1359" s="6" t="s">
        <v>81</v>
      </c>
      <c r="AG1359" s="6" t="s">
        <v>81</v>
      </c>
      <c r="AH1359" s="6" t="s">
        <v>15928</v>
      </c>
      <c r="AI1359" s="6" t="s">
        <v>81</v>
      </c>
      <c r="AJ1359" s="6" t="s">
        <v>17891</v>
      </c>
      <c r="AK1359" s="6" t="s">
        <v>17712</v>
      </c>
      <c r="AL1359" s="6" t="s">
        <v>18444</v>
      </c>
      <c r="AM1359" s="6" t="s">
        <v>19077</v>
      </c>
      <c r="AN1359" s="6" t="s">
        <v>19651</v>
      </c>
      <c r="AO1359" s="6" t="s">
        <v>19741</v>
      </c>
      <c r="AP1359" s="6" t="s">
        <v>15928</v>
      </c>
      <c r="AQ1359" s="6" t="s">
        <v>81</v>
      </c>
      <c r="AR1359" s="6" t="s">
        <v>17891</v>
      </c>
      <c r="AS1359" s="6" t="s">
        <v>17712</v>
      </c>
      <c r="AT1359" s="6" t="s">
        <v>18444</v>
      </c>
      <c r="AU1359" s="6" t="s">
        <v>19077</v>
      </c>
      <c r="AV1359" s="6" t="s">
        <v>81</v>
      </c>
      <c r="AW1359" s="6" t="s">
        <v>81</v>
      </c>
      <c r="AX1359" s="6" t="s">
        <v>21596</v>
      </c>
      <c r="AY1359" s="6" t="s">
        <v>23044</v>
      </c>
      <c r="AZ1359" s="6" t="s">
        <v>81</v>
      </c>
      <c r="BA1359" s="6" t="s">
        <v>81</v>
      </c>
      <c r="BB1359" s="24" t="n">
        <v>1303</v>
      </c>
      <c r="BC1359" s="26"/>
      <c r="BD1359" s="26"/>
      <c r="BE1359" s="26"/>
      <c r="BF1359" s="26"/>
      <c r="BG1359" s="26"/>
      <c r="BH1359" s="26"/>
      <c r="BI1359" s="26"/>
      <c r="BJ1359" s="26"/>
      <c r="BK1359" s="26"/>
      <c r="BL1359" s="26"/>
      <c r="BM1359" s="26"/>
      <c r="BN1359" s="26"/>
      <c r="BO1359" s="26"/>
      <c r="BP1359" s="16" t="n">
        <v>45700</v>
      </c>
      <c r="BQ1359" s="28" t="str">
        <f>HYPERLINK("https://organic.ams.usda.gov/Integrity/Certificate.aspx?cid=68&amp;nopid=8210004959")</f>
        <v>https://organic.ams.usda.gov/Integrity/Certificate.aspx?cid=68&amp;nopid=8210004959</v>
      </c>
    </row>
    <row r="1360">
      <c r="A1360" t="s">
        <v>3</v>
      </c>
      <c r="B1360" s="6" t="s">
        <v>7</v>
      </c>
      <c r="C1360" s="6" t="s">
        <v>54</v>
      </c>
      <c r="D1360" s="6" t="s">
        <v>100</v>
      </c>
      <c r="E1360" s="10" t="s">
        <v>1501</v>
      </c>
      <c r="F1360" s="6" t="s">
        <v>4225</v>
      </c>
      <c r="G1360" s="6" t="s">
        <v>81</v>
      </c>
      <c r="H1360" s="6" t="s">
        <v>7141</v>
      </c>
      <c r="I1360" s="6" t="s">
        <v>8807</v>
      </c>
      <c r="J1360" s="6" t="s">
        <v>9750</v>
      </c>
      <c r="K1360" s="6" t="s">
        <v>10886</v>
      </c>
      <c r="L1360" s="16" t="n">
        <v>45519</v>
      </c>
      <c r="M1360" s="16" t="n">
        <v>45716</v>
      </c>
      <c r="N1360" s="6" t="s">
        <v>10886</v>
      </c>
      <c r="O1360" s="16" t="n">
        <v>45519</v>
      </c>
      <c r="P1360" s="6" t="s">
        <v>11711</v>
      </c>
      <c r="Q1360" s="6" t="s">
        <v>81</v>
      </c>
      <c r="R1360" s="6" t="s">
        <v>81</v>
      </c>
      <c r="S1360" s="6" t="s">
        <v>10886</v>
      </c>
      <c r="T1360" s="16" t="n">
        <v>45519</v>
      </c>
      <c r="U1360" s="6" t="s">
        <v>13169</v>
      </c>
      <c r="V1360" s="6" t="s">
        <v>81</v>
      </c>
      <c r="W1360" s="6" t="s">
        <v>81</v>
      </c>
      <c r="X1360" s="6" t="s">
        <v>81</v>
      </c>
      <c r="Y1360" s="21" t="s">
        <v>81</v>
      </c>
      <c r="Z1360" s="6" t="s">
        <v>81</v>
      </c>
      <c r="AA1360" s="6" t="s">
        <v>81</v>
      </c>
      <c r="AB1360" s="6" t="s">
        <v>81</v>
      </c>
      <c r="AC1360" s="6" t="s">
        <v>81</v>
      </c>
      <c r="AD1360" s="21" t="s">
        <v>81</v>
      </c>
      <c r="AE1360" s="6" t="s">
        <v>81</v>
      </c>
      <c r="AF1360" s="6" t="s">
        <v>81</v>
      </c>
      <c r="AG1360" s="6" t="s">
        <v>81</v>
      </c>
      <c r="AH1360" s="6" t="s">
        <v>15929</v>
      </c>
      <c r="AI1360" s="6" t="s">
        <v>81</v>
      </c>
      <c r="AJ1360" s="6" t="s">
        <v>17595</v>
      </c>
      <c r="AK1360" s="6" t="s">
        <v>17712</v>
      </c>
      <c r="AL1360" s="6" t="s">
        <v>18444</v>
      </c>
      <c r="AM1360" s="6" t="s">
        <v>18761</v>
      </c>
      <c r="AN1360" s="6" t="s">
        <v>81</v>
      </c>
      <c r="AO1360" s="6" t="s">
        <v>81</v>
      </c>
      <c r="AP1360" s="6" t="s">
        <v>15929</v>
      </c>
      <c r="AQ1360" s="6" t="s">
        <v>81</v>
      </c>
      <c r="AR1360" s="6" t="s">
        <v>17595</v>
      </c>
      <c r="AS1360" s="6" t="s">
        <v>17712</v>
      </c>
      <c r="AT1360" s="6" t="s">
        <v>18444</v>
      </c>
      <c r="AU1360" s="6" t="s">
        <v>18761</v>
      </c>
      <c r="AV1360" s="6" t="s">
        <v>81</v>
      </c>
      <c r="AW1360" s="6" t="s">
        <v>81</v>
      </c>
      <c r="AX1360" s="6" t="s">
        <v>21597</v>
      </c>
      <c r="AY1360" s="6" t="s">
        <v>81</v>
      </c>
      <c r="AZ1360" s="6" t="s">
        <v>81</v>
      </c>
      <c r="BA1360" s="6" t="s">
        <v>81</v>
      </c>
      <c r="BB1360" s="24" t="n">
        <v>166</v>
      </c>
      <c r="BC1360" s="26"/>
      <c r="BD1360" s="26"/>
      <c r="BE1360" s="26"/>
      <c r="BF1360" s="26" t="s">
        <v>23900</v>
      </c>
      <c r="BG1360" s="26"/>
      <c r="BH1360" s="26"/>
      <c r="BI1360" s="26"/>
      <c r="BJ1360" s="26"/>
      <c r="BK1360" s="26"/>
      <c r="BL1360" s="26"/>
      <c r="BM1360" s="26"/>
      <c r="BN1360" s="26"/>
      <c r="BO1360" s="26"/>
      <c r="BP1360" s="16" t="n">
        <v>45595</v>
      </c>
      <c r="BQ1360" s="28" t="str">
        <f>HYPERLINK("https://organic.ams.usda.gov/Integrity/Certificate.aspx?cid=57&amp;nopid=3252024033")</f>
        <v>https://organic.ams.usda.gov/Integrity/Certificate.aspx?cid=57&amp;nopid=3252024033</v>
      </c>
    </row>
    <row r="1361">
      <c r="A1361" t="s">
        <v>3</v>
      </c>
      <c r="B1361" s="6" t="s">
        <v>7</v>
      </c>
      <c r="C1361" s="6" t="s">
        <v>54</v>
      </c>
      <c r="D1361" s="6" t="s">
        <v>100</v>
      </c>
      <c r="E1361" s="10" t="s">
        <v>1502</v>
      </c>
      <c r="F1361" s="6" t="s">
        <v>4226</v>
      </c>
      <c r="G1361" s="6" t="s">
        <v>81</v>
      </c>
      <c r="H1361" s="6" t="s">
        <v>7142</v>
      </c>
      <c r="I1361" s="6" t="s">
        <v>8807</v>
      </c>
      <c r="J1361" s="6" t="s">
        <v>9759</v>
      </c>
      <c r="K1361" s="6" t="s">
        <v>10886</v>
      </c>
      <c r="L1361" s="16" t="n">
        <v>39212</v>
      </c>
      <c r="M1361" s="16" t="n">
        <v>45716</v>
      </c>
      <c r="N1361" s="6" t="s">
        <v>10886</v>
      </c>
      <c r="O1361" s="16" t="n">
        <v>39212</v>
      </c>
      <c r="P1361" s="6" t="s">
        <v>10910</v>
      </c>
      <c r="Q1361" s="6" t="s">
        <v>81</v>
      </c>
      <c r="R1361" s="6" t="s">
        <v>81</v>
      </c>
      <c r="S1361" s="6" t="s">
        <v>10886</v>
      </c>
      <c r="T1361" s="16" t="n">
        <v>39241</v>
      </c>
      <c r="U1361" s="6" t="s">
        <v>13169</v>
      </c>
      <c r="V1361" s="6" t="s">
        <v>81</v>
      </c>
      <c r="W1361" s="6" t="s">
        <v>81</v>
      </c>
      <c r="X1361" s="6" t="s">
        <v>81</v>
      </c>
      <c r="Y1361" s="21" t="s">
        <v>81</v>
      </c>
      <c r="Z1361" s="6" t="s">
        <v>81</v>
      </c>
      <c r="AA1361" s="6" t="s">
        <v>81</v>
      </c>
      <c r="AB1361" s="6" t="s">
        <v>81</v>
      </c>
      <c r="AC1361" s="6" t="s">
        <v>81</v>
      </c>
      <c r="AD1361" s="21" t="s">
        <v>81</v>
      </c>
      <c r="AE1361" s="6" t="s">
        <v>81</v>
      </c>
      <c r="AF1361" s="6" t="s">
        <v>81</v>
      </c>
      <c r="AG1361" s="6" t="s">
        <v>81</v>
      </c>
      <c r="AH1361" s="6" t="s">
        <v>15930</v>
      </c>
      <c r="AI1361" s="6" t="s">
        <v>81</v>
      </c>
      <c r="AJ1361" s="6" t="s">
        <v>17975</v>
      </c>
      <c r="AK1361" s="6" t="s">
        <v>18380</v>
      </c>
      <c r="AL1361" s="6" t="s">
        <v>18444</v>
      </c>
      <c r="AM1361" s="6" t="s">
        <v>19162</v>
      </c>
      <c r="AN1361" s="6" t="s">
        <v>19706</v>
      </c>
      <c r="AO1361" s="6" t="s">
        <v>19784</v>
      </c>
      <c r="AP1361" s="6" t="s">
        <v>15930</v>
      </c>
      <c r="AQ1361" s="6" t="s">
        <v>81</v>
      </c>
      <c r="AR1361" s="6" t="s">
        <v>17975</v>
      </c>
      <c r="AS1361" s="6" t="s">
        <v>18380</v>
      </c>
      <c r="AT1361" s="6" t="s">
        <v>18444</v>
      </c>
      <c r="AU1361" s="6" t="s">
        <v>19162</v>
      </c>
      <c r="AV1361" s="6" t="s">
        <v>81</v>
      </c>
      <c r="AW1361" s="6" t="s">
        <v>81</v>
      </c>
      <c r="AX1361" s="6" t="s">
        <v>21598</v>
      </c>
      <c r="AY1361" s="6" t="s">
        <v>81</v>
      </c>
      <c r="AZ1361" s="6" t="s">
        <v>81</v>
      </c>
      <c r="BA1361" s="6" t="s">
        <v>81</v>
      </c>
      <c r="BB1361" s="24" t="n">
        <v>381</v>
      </c>
      <c r="BC1361" s="26"/>
      <c r="BD1361" s="26"/>
      <c r="BE1361" s="26"/>
      <c r="BF1361" s="26" t="s">
        <v>23900</v>
      </c>
      <c r="BG1361" s="26"/>
      <c r="BH1361" s="26"/>
      <c r="BI1361" s="26"/>
      <c r="BJ1361" s="26"/>
      <c r="BK1361" s="26"/>
      <c r="BL1361" s="26"/>
      <c r="BM1361" s="26"/>
      <c r="BN1361" s="26"/>
      <c r="BO1361" s="26"/>
      <c r="BP1361" s="16" t="n">
        <v>45595</v>
      </c>
      <c r="BQ1361" s="28" t="str">
        <f>HYPERLINK("https://organic.ams.usda.gov/Integrity/Certificate.aspx?cid=57&amp;nopid=3252006133")</f>
        <v>https://organic.ams.usda.gov/Integrity/Certificate.aspx?cid=57&amp;nopid=3252006133</v>
      </c>
    </row>
    <row r="1362">
      <c r="A1362" t="s">
        <v>3</v>
      </c>
      <c r="B1362" s="6" t="s">
        <v>10</v>
      </c>
      <c r="C1362" s="6" t="s">
        <v>57</v>
      </c>
      <c r="D1362" s="6" t="s">
        <v>103</v>
      </c>
      <c r="E1362" s="10" t="s">
        <v>1503</v>
      </c>
      <c r="F1362" s="6" t="s">
        <v>4227</v>
      </c>
      <c r="G1362" s="6" t="s">
        <v>81</v>
      </c>
      <c r="H1362" s="6" t="s">
        <v>7143</v>
      </c>
      <c r="I1362" s="6" t="s">
        <v>9109</v>
      </c>
      <c r="J1362" s="6" t="s">
        <v>9233</v>
      </c>
      <c r="K1362" s="6" t="s">
        <v>10886</v>
      </c>
      <c r="L1362" s="16" t="n">
        <v>42195</v>
      </c>
      <c r="M1362" s="16" t="n">
        <v>45748</v>
      </c>
      <c r="N1362" s="6" t="s">
        <v>10886</v>
      </c>
      <c r="O1362" s="16" t="n">
        <v>42195</v>
      </c>
      <c r="P1362" s="6" t="s">
        <v>10925</v>
      </c>
      <c r="Q1362" s="6" t="s">
        <v>81</v>
      </c>
      <c r="R1362" s="6" t="s">
        <v>12795</v>
      </c>
      <c r="S1362" s="6" t="s">
        <v>10886</v>
      </c>
      <c r="T1362" s="16" t="n">
        <v>42195</v>
      </c>
      <c r="U1362" s="6" t="s">
        <v>13163</v>
      </c>
      <c r="V1362" s="6" t="s">
        <v>81</v>
      </c>
      <c r="W1362" s="6" t="s">
        <v>81</v>
      </c>
      <c r="X1362" s="6" t="s">
        <v>81</v>
      </c>
      <c r="Y1362" s="21" t="s">
        <v>81</v>
      </c>
      <c r="Z1362" s="6" t="s">
        <v>81</v>
      </c>
      <c r="AA1362" s="6" t="s">
        <v>81</v>
      </c>
      <c r="AB1362" s="6" t="s">
        <v>81</v>
      </c>
      <c r="AC1362" s="6" t="s">
        <v>81</v>
      </c>
      <c r="AD1362" s="21" t="s">
        <v>81</v>
      </c>
      <c r="AE1362" s="6" t="s">
        <v>81</v>
      </c>
      <c r="AF1362" s="6" t="s">
        <v>81</v>
      </c>
      <c r="AG1362" s="6" t="s">
        <v>81</v>
      </c>
      <c r="AH1362" s="6" t="s">
        <v>15931</v>
      </c>
      <c r="AI1362" s="6" t="s">
        <v>81</v>
      </c>
      <c r="AJ1362" s="6" t="s">
        <v>17976</v>
      </c>
      <c r="AK1362" s="6" t="s">
        <v>18379</v>
      </c>
      <c r="AL1362" s="6" t="s">
        <v>18444</v>
      </c>
      <c r="AM1362" s="6" t="s">
        <v>19163</v>
      </c>
      <c r="AN1362" s="6" t="s">
        <v>19635</v>
      </c>
      <c r="AO1362" s="6" t="s">
        <v>19808</v>
      </c>
      <c r="AP1362" s="6" t="s">
        <v>15931</v>
      </c>
      <c r="AQ1362" s="6" t="s">
        <v>81</v>
      </c>
      <c r="AR1362" s="6" t="s">
        <v>17976</v>
      </c>
      <c r="AS1362" s="6" t="s">
        <v>18379</v>
      </c>
      <c r="AT1362" s="6" t="s">
        <v>18444</v>
      </c>
      <c r="AU1362" s="6" t="s">
        <v>19163</v>
      </c>
      <c r="AV1362" s="6" t="s">
        <v>81</v>
      </c>
      <c r="AW1362" s="6" t="s">
        <v>81</v>
      </c>
      <c r="AX1362" s="6" t="s">
        <v>21599</v>
      </c>
      <c r="AY1362" s="6" t="s">
        <v>81</v>
      </c>
      <c r="AZ1362" s="6" t="s">
        <v>81</v>
      </c>
      <c r="BA1362" s="6" t="s">
        <v>81</v>
      </c>
      <c r="BB1362" s="24" t="n">
        <v>240</v>
      </c>
      <c r="BC1362" s="26"/>
      <c r="BD1362" s="26"/>
      <c r="BE1362" s="26"/>
      <c r="BF1362" s="26"/>
      <c r="BG1362" s="26"/>
      <c r="BH1362" s="26"/>
      <c r="BI1362" s="26"/>
      <c r="BJ1362" s="26"/>
      <c r="BK1362" s="26"/>
      <c r="BL1362" s="26"/>
      <c r="BM1362" s="26"/>
      <c r="BN1362" s="26"/>
      <c r="BO1362" s="26"/>
      <c r="BP1362" s="16" t="n">
        <v>45730</v>
      </c>
      <c r="BQ1362" s="28" t="str">
        <f>HYPERLINK("https://organic.ams.usda.gov/Integrity/Certificate.aspx?cid=90&amp;nopid=7170020164")</f>
        <v>https://organic.ams.usda.gov/Integrity/Certificate.aspx?cid=90&amp;nopid=7170020164</v>
      </c>
    </row>
    <row r="1363">
      <c r="A1363" t="s">
        <v>3</v>
      </c>
      <c r="B1363" s="6" t="s">
        <v>8</v>
      </c>
      <c r="C1363" s="6" t="s">
        <v>55</v>
      </c>
      <c r="D1363" s="6" t="s">
        <v>101</v>
      </c>
      <c r="E1363" s="10" t="s">
        <v>1504</v>
      </c>
      <c r="F1363" s="6" t="s">
        <v>4228</v>
      </c>
      <c r="G1363" s="6" t="s">
        <v>81</v>
      </c>
      <c r="H1363" s="6" t="s">
        <v>7144</v>
      </c>
      <c r="I1363" s="6" t="s">
        <v>8807</v>
      </c>
      <c r="J1363" s="6" t="s">
        <v>9665</v>
      </c>
      <c r="K1363" s="6" t="s">
        <v>10886</v>
      </c>
      <c r="L1363" s="16" t="n">
        <v>42496</v>
      </c>
      <c r="M1363" s="16" t="n">
        <v>45689</v>
      </c>
      <c r="N1363" s="6" t="s">
        <v>10886</v>
      </c>
      <c r="O1363" s="16" t="n">
        <v>42496</v>
      </c>
      <c r="P1363" s="6" t="s">
        <v>11712</v>
      </c>
      <c r="Q1363" s="6" t="s">
        <v>81</v>
      </c>
      <c r="R1363" s="6" t="s">
        <v>7144</v>
      </c>
      <c r="S1363" s="6" t="s">
        <v>10886</v>
      </c>
      <c r="T1363" s="16" t="n">
        <v>42496</v>
      </c>
      <c r="U1363" s="6" t="s">
        <v>13202</v>
      </c>
      <c r="V1363" s="6" t="s">
        <v>81</v>
      </c>
      <c r="W1363" s="6" t="s">
        <v>7144</v>
      </c>
      <c r="X1363" s="6" t="s">
        <v>81</v>
      </c>
      <c r="Y1363" s="21" t="s">
        <v>81</v>
      </c>
      <c r="Z1363" s="6" t="s">
        <v>81</v>
      </c>
      <c r="AA1363" s="6" t="s">
        <v>81</v>
      </c>
      <c r="AB1363" s="6" t="s">
        <v>81</v>
      </c>
      <c r="AC1363" s="6" t="s">
        <v>81</v>
      </c>
      <c r="AD1363" s="21" t="s">
        <v>81</v>
      </c>
      <c r="AE1363" s="6" t="s">
        <v>81</v>
      </c>
      <c r="AF1363" s="6" t="s">
        <v>81</v>
      </c>
      <c r="AG1363" s="6" t="s">
        <v>81</v>
      </c>
      <c r="AH1363" s="6" t="s">
        <v>15932</v>
      </c>
      <c r="AI1363" s="6" t="s">
        <v>81</v>
      </c>
      <c r="AJ1363" s="6" t="s">
        <v>17749</v>
      </c>
      <c r="AK1363" s="6" t="s">
        <v>18377</v>
      </c>
      <c r="AL1363" s="6" t="s">
        <v>18444</v>
      </c>
      <c r="AM1363" s="6" t="s">
        <v>18917</v>
      </c>
      <c r="AN1363" s="6" t="s">
        <v>19690</v>
      </c>
      <c r="AO1363" s="6" t="s">
        <v>19849</v>
      </c>
      <c r="AP1363" s="6" t="s">
        <v>81</v>
      </c>
      <c r="AQ1363" s="6" t="s">
        <v>81</v>
      </c>
      <c r="AR1363" s="6" t="s">
        <v>81</v>
      </c>
      <c r="AS1363" s="6" t="s">
        <v>81</v>
      </c>
      <c r="AT1363" s="6" t="s">
        <v>81</v>
      </c>
      <c r="AU1363" s="6" t="s">
        <v>81</v>
      </c>
      <c r="AV1363" s="6" t="s">
        <v>81</v>
      </c>
      <c r="AW1363" s="6" t="s">
        <v>81</v>
      </c>
      <c r="AX1363" s="6" t="s">
        <v>81</v>
      </c>
      <c r="AY1363" s="6" t="s">
        <v>81</v>
      </c>
      <c r="AZ1363" s="6" t="s">
        <v>81</v>
      </c>
      <c r="BA1363" s="6" t="s">
        <v>23819</v>
      </c>
      <c r="BB1363" s="24" t="n">
        <v>46</v>
      </c>
      <c r="BC1363" s="26"/>
      <c r="BD1363" s="26"/>
      <c r="BE1363" s="26"/>
      <c r="BF1363" s="26" t="s">
        <v>23900</v>
      </c>
      <c r="BG1363" s="26"/>
      <c r="BH1363" s="26"/>
      <c r="BI1363" s="26"/>
      <c r="BJ1363" s="26"/>
      <c r="BK1363" s="26"/>
      <c r="BL1363" s="26"/>
      <c r="BM1363" s="26"/>
      <c r="BN1363" s="26"/>
      <c r="BO1363" s="26"/>
      <c r="BP1363" s="16" t="n">
        <v>45723</v>
      </c>
      <c r="BQ1363" s="28" t="str">
        <f>HYPERLINK("https://organic.ams.usda.gov/Integrity/Certificate.aspx?cid=45&amp;nopid=9950008826")</f>
        <v>https://organic.ams.usda.gov/Integrity/Certificate.aspx?cid=45&amp;nopid=9950008826</v>
      </c>
    </row>
    <row r="1364">
      <c r="A1364" t="s">
        <v>3</v>
      </c>
      <c r="B1364" s="6" t="s">
        <v>10</v>
      </c>
      <c r="C1364" s="6" t="s">
        <v>57</v>
      </c>
      <c r="D1364" s="6" t="s">
        <v>103</v>
      </c>
      <c r="E1364" s="10" t="s">
        <v>1505</v>
      </c>
      <c r="F1364" s="6" t="s">
        <v>4229</v>
      </c>
      <c r="G1364" s="6" t="s">
        <v>81</v>
      </c>
      <c r="H1364" s="6" t="s">
        <v>7145</v>
      </c>
      <c r="I1364" s="6" t="s">
        <v>9110</v>
      </c>
      <c r="J1364" s="6" t="s">
        <v>9665</v>
      </c>
      <c r="K1364" s="6" t="s">
        <v>10886</v>
      </c>
      <c r="L1364" s="16" t="n">
        <v>41277</v>
      </c>
      <c r="M1364" s="16" t="n">
        <v>45748</v>
      </c>
      <c r="N1364" s="6" t="s">
        <v>10886</v>
      </c>
      <c r="O1364" s="16" t="n">
        <v>41277</v>
      </c>
      <c r="P1364" s="6" t="s">
        <v>11209</v>
      </c>
      <c r="Q1364" s="6" t="s">
        <v>81</v>
      </c>
      <c r="R1364" s="6" t="s">
        <v>12796</v>
      </c>
      <c r="S1364" s="6" t="s">
        <v>10886</v>
      </c>
      <c r="T1364" s="16" t="n">
        <v>41277</v>
      </c>
      <c r="U1364" s="6" t="s">
        <v>13163</v>
      </c>
      <c r="V1364" s="6" t="s">
        <v>81</v>
      </c>
      <c r="W1364" s="6" t="s">
        <v>81</v>
      </c>
      <c r="X1364" s="6" t="s">
        <v>81</v>
      </c>
      <c r="Y1364" s="21" t="s">
        <v>81</v>
      </c>
      <c r="Z1364" s="6" t="s">
        <v>81</v>
      </c>
      <c r="AA1364" s="6" t="s">
        <v>81</v>
      </c>
      <c r="AB1364" s="6" t="s">
        <v>81</v>
      </c>
      <c r="AC1364" s="6" t="s">
        <v>81</v>
      </c>
      <c r="AD1364" s="21" t="s">
        <v>81</v>
      </c>
      <c r="AE1364" s="6" t="s">
        <v>81</v>
      </c>
      <c r="AF1364" s="6" t="s">
        <v>81</v>
      </c>
      <c r="AG1364" s="6" t="s">
        <v>81</v>
      </c>
      <c r="AH1364" s="6" t="s">
        <v>15933</v>
      </c>
      <c r="AI1364" s="6" t="s">
        <v>81</v>
      </c>
      <c r="AJ1364" s="6" t="s">
        <v>17392</v>
      </c>
      <c r="AK1364" s="6" t="s">
        <v>18379</v>
      </c>
      <c r="AL1364" s="6" t="s">
        <v>18444</v>
      </c>
      <c r="AM1364" s="6" t="s">
        <v>18548</v>
      </c>
      <c r="AN1364" s="6" t="s">
        <v>19637</v>
      </c>
      <c r="AO1364" s="6" t="s">
        <v>19723</v>
      </c>
      <c r="AP1364" s="6" t="s">
        <v>15933</v>
      </c>
      <c r="AQ1364" s="6" t="s">
        <v>81</v>
      </c>
      <c r="AR1364" s="6" t="s">
        <v>17392</v>
      </c>
      <c r="AS1364" s="6" t="s">
        <v>18379</v>
      </c>
      <c r="AT1364" s="6" t="s">
        <v>18444</v>
      </c>
      <c r="AU1364" s="6" t="s">
        <v>18548</v>
      </c>
      <c r="AV1364" s="6" t="s">
        <v>81</v>
      </c>
      <c r="AW1364" s="6" t="s">
        <v>81</v>
      </c>
      <c r="AX1364" s="6" t="s">
        <v>21600</v>
      </c>
      <c r="AY1364" s="6" t="s">
        <v>81</v>
      </c>
      <c r="AZ1364" s="6" t="s">
        <v>81</v>
      </c>
      <c r="BA1364" s="6" t="s">
        <v>81</v>
      </c>
      <c r="BB1364" s="24" t="n">
        <v>136</v>
      </c>
      <c r="BC1364" s="26"/>
      <c r="BD1364" s="26"/>
      <c r="BE1364" s="26"/>
      <c r="BF1364" s="26"/>
      <c r="BG1364" s="26"/>
      <c r="BH1364" s="26"/>
      <c r="BI1364" s="26"/>
      <c r="BJ1364" s="26"/>
      <c r="BK1364" s="26"/>
      <c r="BL1364" s="26"/>
      <c r="BM1364" s="26"/>
      <c r="BN1364" s="26"/>
      <c r="BO1364" s="26"/>
      <c r="BP1364" s="16" t="n">
        <v>45730</v>
      </c>
      <c r="BQ1364" s="28" t="str">
        <f>HYPERLINK("https://organic.ams.usda.gov/Integrity/Certificate.aspx?cid=90&amp;nopid=7170020158")</f>
        <v>https://organic.ams.usda.gov/Integrity/Certificate.aspx?cid=90&amp;nopid=7170020158</v>
      </c>
    </row>
    <row r="1365">
      <c r="A1365" t="s">
        <v>3</v>
      </c>
      <c r="B1365" s="6" t="s">
        <v>35</v>
      </c>
      <c r="C1365" s="6" t="s">
        <v>82</v>
      </c>
      <c r="D1365" s="6" t="s">
        <v>127</v>
      </c>
      <c r="E1365" s="10" t="s">
        <v>1506</v>
      </c>
      <c r="F1365" s="6" t="s">
        <v>4230</v>
      </c>
      <c r="G1365" s="6" t="s">
        <v>81</v>
      </c>
      <c r="H1365" s="6" t="s">
        <v>7146</v>
      </c>
      <c r="I1365" s="6" t="s">
        <v>8807</v>
      </c>
      <c r="J1365" s="6" t="s">
        <v>10308</v>
      </c>
      <c r="K1365" s="6" t="s">
        <v>10886</v>
      </c>
      <c r="L1365" s="16" t="n">
        <v>42658</v>
      </c>
      <c r="M1365" s="16" t="n">
        <v>45762</v>
      </c>
      <c r="N1365" s="6" t="s">
        <v>10886</v>
      </c>
      <c r="O1365" s="16" t="n">
        <v>42658</v>
      </c>
      <c r="P1365" s="6" t="s">
        <v>11713</v>
      </c>
      <c r="Q1365" s="6" t="s">
        <v>81</v>
      </c>
      <c r="R1365" s="6" t="s">
        <v>12797</v>
      </c>
      <c r="S1365" s="6" t="s">
        <v>10886</v>
      </c>
      <c r="T1365" s="16" t="n">
        <v>42658</v>
      </c>
      <c r="U1365" s="6" t="s">
        <v>13320</v>
      </c>
      <c r="V1365" s="6" t="s">
        <v>81</v>
      </c>
      <c r="W1365" s="6" t="s">
        <v>12797</v>
      </c>
      <c r="X1365" s="6" t="s">
        <v>81</v>
      </c>
      <c r="Y1365" s="21" t="s">
        <v>81</v>
      </c>
      <c r="Z1365" s="6" t="s">
        <v>81</v>
      </c>
      <c r="AA1365" s="6" t="s">
        <v>81</v>
      </c>
      <c r="AB1365" s="6" t="s">
        <v>81</v>
      </c>
      <c r="AC1365" s="6" t="s">
        <v>81</v>
      </c>
      <c r="AD1365" s="21" t="s">
        <v>81</v>
      </c>
      <c r="AE1365" s="6" t="s">
        <v>81</v>
      </c>
      <c r="AF1365" s="6" t="s">
        <v>81</v>
      </c>
      <c r="AG1365" s="6" t="s">
        <v>81</v>
      </c>
      <c r="AH1365" s="6" t="s">
        <v>15934</v>
      </c>
      <c r="AI1365" s="6" t="s">
        <v>81</v>
      </c>
      <c r="AJ1365" s="6" t="s">
        <v>17977</v>
      </c>
      <c r="AK1365" s="6" t="s">
        <v>18405</v>
      </c>
      <c r="AL1365" s="6" t="s">
        <v>18444</v>
      </c>
      <c r="AM1365" s="6" t="s">
        <v>19164</v>
      </c>
      <c r="AN1365" s="6" t="s">
        <v>19662</v>
      </c>
      <c r="AO1365" s="6" t="s">
        <v>19856</v>
      </c>
      <c r="AP1365" s="6" t="s">
        <v>15934</v>
      </c>
      <c r="AQ1365" s="6" t="s">
        <v>81</v>
      </c>
      <c r="AR1365" s="6" t="s">
        <v>17977</v>
      </c>
      <c r="AS1365" s="6" t="s">
        <v>18405</v>
      </c>
      <c r="AT1365" s="6" t="s">
        <v>18444</v>
      </c>
      <c r="AU1365" s="6" t="s">
        <v>19164</v>
      </c>
      <c r="AV1365" s="6" t="s">
        <v>81</v>
      </c>
      <c r="AW1365" s="6" t="s">
        <v>81</v>
      </c>
      <c r="AX1365" s="6" t="s">
        <v>21601</v>
      </c>
      <c r="AY1365" s="6" t="s">
        <v>81</v>
      </c>
      <c r="AZ1365" s="6" t="s">
        <v>81</v>
      </c>
      <c r="BA1365" s="6" t="s">
        <v>81</v>
      </c>
      <c r="BB1365" s="24" t="n">
        <v>163</v>
      </c>
      <c r="BC1365" s="26"/>
      <c r="BD1365" s="26"/>
      <c r="BE1365" s="26"/>
      <c r="BF1365" s="26"/>
      <c r="BG1365" s="26"/>
      <c r="BH1365" s="26"/>
      <c r="BI1365" s="26"/>
      <c r="BJ1365" s="26"/>
      <c r="BK1365" s="26"/>
      <c r="BL1365" s="26"/>
      <c r="BM1365" s="26"/>
      <c r="BN1365" s="26"/>
      <c r="BO1365" s="26"/>
      <c r="BP1365" s="16" t="n">
        <v>45694</v>
      </c>
      <c r="BQ1365" s="28" t="str">
        <f>HYPERLINK("https://organic.ams.usda.gov/Integrity/Certificate.aspx?cid=47&amp;nopid=7142074719")</f>
        <v>https://organic.ams.usda.gov/Integrity/Certificate.aspx?cid=47&amp;nopid=7142074719</v>
      </c>
    </row>
    <row r="1366">
      <c r="A1366" t="s">
        <v>3</v>
      </c>
      <c r="B1366" s="6" t="s">
        <v>7</v>
      </c>
      <c r="C1366" s="6" t="s">
        <v>54</v>
      </c>
      <c r="D1366" s="6" t="s">
        <v>100</v>
      </c>
      <c r="E1366" s="10" t="s">
        <v>1507</v>
      </c>
      <c r="F1366" s="6" t="s">
        <v>4231</v>
      </c>
      <c r="G1366" s="6" t="s">
        <v>81</v>
      </c>
      <c r="H1366" s="6" t="s">
        <v>7147</v>
      </c>
      <c r="I1366" s="6" t="s">
        <v>8807</v>
      </c>
      <c r="J1366" s="6" t="s">
        <v>9233</v>
      </c>
      <c r="K1366" s="6" t="s">
        <v>10886</v>
      </c>
      <c r="L1366" s="16" t="n">
        <v>45614</v>
      </c>
      <c r="M1366" s="16" t="n">
        <v>45716</v>
      </c>
      <c r="N1366" s="6" t="s">
        <v>10886</v>
      </c>
      <c r="O1366" s="16" t="n">
        <v>45614</v>
      </c>
      <c r="P1366" s="6" t="s">
        <v>11714</v>
      </c>
      <c r="Q1366" s="6" t="s">
        <v>81</v>
      </c>
      <c r="R1366" s="6" t="s">
        <v>81</v>
      </c>
      <c r="S1366" s="6" t="s">
        <v>10886</v>
      </c>
      <c r="T1366" s="16" t="n">
        <v>45614</v>
      </c>
      <c r="U1366" s="6" t="s">
        <v>13169</v>
      </c>
      <c r="V1366" s="6" t="s">
        <v>81</v>
      </c>
      <c r="W1366" s="6" t="s">
        <v>81</v>
      </c>
      <c r="X1366" s="6" t="s">
        <v>81</v>
      </c>
      <c r="Y1366" s="21" t="s">
        <v>81</v>
      </c>
      <c r="Z1366" s="6" t="s">
        <v>81</v>
      </c>
      <c r="AA1366" s="6" t="s">
        <v>81</v>
      </c>
      <c r="AB1366" s="6" t="s">
        <v>81</v>
      </c>
      <c r="AC1366" s="6" t="s">
        <v>81</v>
      </c>
      <c r="AD1366" s="21" t="s">
        <v>81</v>
      </c>
      <c r="AE1366" s="6" t="s">
        <v>81</v>
      </c>
      <c r="AF1366" s="6" t="s">
        <v>81</v>
      </c>
      <c r="AG1366" s="6" t="s">
        <v>81</v>
      </c>
      <c r="AH1366" s="6" t="s">
        <v>15935</v>
      </c>
      <c r="AI1366" s="6" t="s">
        <v>81</v>
      </c>
      <c r="AJ1366" s="6" t="s">
        <v>17625</v>
      </c>
      <c r="AK1366" s="6" t="s">
        <v>17712</v>
      </c>
      <c r="AL1366" s="6" t="s">
        <v>18444</v>
      </c>
      <c r="AM1366" s="6" t="s">
        <v>18792</v>
      </c>
      <c r="AN1366" s="6" t="s">
        <v>81</v>
      </c>
      <c r="AO1366" s="6" t="s">
        <v>81</v>
      </c>
      <c r="AP1366" s="6" t="s">
        <v>15935</v>
      </c>
      <c r="AQ1366" s="6" t="s">
        <v>81</v>
      </c>
      <c r="AR1366" s="6" t="s">
        <v>17625</v>
      </c>
      <c r="AS1366" s="6" t="s">
        <v>17712</v>
      </c>
      <c r="AT1366" s="6" t="s">
        <v>18444</v>
      </c>
      <c r="AU1366" s="6" t="s">
        <v>18792</v>
      </c>
      <c r="AV1366" s="6" t="s">
        <v>81</v>
      </c>
      <c r="AW1366" s="6" t="s">
        <v>81</v>
      </c>
      <c r="AX1366" s="6" t="s">
        <v>21602</v>
      </c>
      <c r="AY1366" s="6" t="s">
        <v>81</v>
      </c>
      <c r="AZ1366" s="6" t="s">
        <v>81</v>
      </c>
      <c r="BA1366" s="6" t="s">
        <v>81</v>
      </c>
      <c r="BB1366" s="24" t="n">
        <v>199</v>
      </c>
      <c r="BC1366" s="26"/>
      <c r="BD1366" s="26"/>
      <c r="BE1366" s="26"/>
      <c r="BF1366" s="26" t="s">
        <v>23900</v>
      </c>
      <c r="BG1366" s="26"/>
      <c r="BH1366" s="26"/>
      <c r="BI1366" s="26"/>
      <c r="BJ1366" s="26"/>
      <c r="BK1366" s="26"/>
      <c r="BL1366" s="26"/>
      <c r="BM1366" s="26"/>
      <c r="BN1366" s="26"/>
      <c r="BO1366" s="26"/>
      <c r="BP1366" s="16" t="n">
        <v>45618</v>
      </c>
      <c r="BQ1366" s="28" t="str">
        <f>HYPERLINK("https://organic.ams.usda.gov/Integrity/Certificate.aspx?cid=57&amp;nopid=3252024085")</f>
        <v>https://organic.ams.usda.gov/Integrity/Certificate.aspx?cid=57&amp;nopid=3252024085</v>
      </c>
    </row>
    <row r="1367">
      <c r="A1367" t="s">
        <v>3</v>
      </c>
      <c r="B1367" s="6" t="s">
        <v>8</v>
      </c>
      <c r="C1367" s="6" t="s">
        <v>55</v>
      </c>
      <c r="D1367" s="6" t="s">
        <v>101</v>
      </c>
      <c r="E1367" s="10" t="s">
        <v>1508</v>
      </c>
      <c r="F1367" s="6" t="s">
        <v>4232</v>
      </c>
      <c r="G1367" s="6" t="s">
        <v>81</v>
      </c>
      <c r="H1367" s="6" t="s">
        <v>7148</v>
      </c>
      <c r="I1367" s="6" t="s">
        <v>8807</v>
      </c>
      <c r="J1367" s="6" t="s">
        <v>9699</v>
      </c>
      <c r="K1367" s="6" t="s">
        <v>10886</v>
      </c>
      <c r="L1367" s="16" t="n">
        <v>39302</v>
      </c>
      <c r="M1367" s="16" t="n">
        <v>45383</v>
      </c>
      <c r="N1367" s="6" t="s">
        <v>10886</v>
      </c>
      <c r="O1367" s="16" t="n">
        <v>39302</v>
      </c>
      <c r="P1367" s="6" t="s">
        <v>11715</v>
      </c>
      <c r="Q1367" s="6" t="s">
        <v>81</v>
      </c>
      <c r="R1367" s="6" t="s">
        <v>7148</v>
      </c>
      <c r="S1367" s="6" t="s">
        <v>10886</v>
      </c>
      <c r="T1367" s="16" t="n">
        <v>39302</v>
      </c>
      <c r="U1367" s="6" t="s">
        <v>13265</v>
      </c>
      <c r="V1367" s="6" t="s">
        <v>81</v>
      </c>
      <c r="W1367" s="6" t="s">
        <v>7148</v>
      </c>
      <c r="X1367" s="6" t="s">
        <v>81</v>
      </c>
      <c r="Y1367" s="21" t="s">
        <v>81</v>
      </c>
      <c r="Z1367" s="6" t="s">
        <v>81</v>
      </c>
      <c r="AA1367" s="6" t="s">
        <v>81</v>
      </c>
      <c r="AB1367" s="6" t="s">
        <v>81</v>
      </c>
      <c r="AC1367" s="6" t="s">
        <v>81</v>
      </c>
      <c r="AD1367" s="21" t="s">
        <v>81</v>
      </c>
      <c r="AE1367" s="6" t="s">
        <v>81</v>
      </c>
      <c r="AF1367" s="6" t="s">
        <v>81</v>
      </c>
      <c r="AG1367" s="6" t="s">
        <v>81</v>
      </c>
      <c r="AH1367" s="6" t="s">
        <v>15936</v>
      </c>
      <c r="AI1367" s="6" t="s">
        <v>81</v>
      </c>
      <c r="AJ1367" s="6" t="s">
        <v>17761</v>
      </c>
      <c r="AK1367" s="6" t="s">
        <v>18379</v>
      </c>
      <c r="AL1367" s="6" t="s">
        <v>18444</v>
      </c>
      <c r="AM1367" s="6" t="s">
        <v>18934</v>
      </c>
      <c r="AN1367" s="6" t="s">
        <v>19642</v>
      </c>
      <c r="AO1367" s="6" t="s">
        <v>19799</v>
      </c>
      <c r="AP1367" s="6" t="s">
        <v>81</v>
      </c>
      <c r="AQ1367" s="6" t="s">
        <v>81</v>
      </c>
      <c r="AR1367" s="6" t="s">
        <v>81</v>
      </c>
      <c r="AS1367" s="6" t="s">
        <v>81</v>
      </c>
      <c r="AT1367" s="6" t="s">
        <v>81</v>
      </c>
      <c r="AU1367" s="6" t="s">
        <v>81</v>
      </c>
      <c r="AV1367" s="6" t="s">
        <v>81</v>
      </c>
      <c r="AW1367" s="6" t="s">
        <v>81</v>
      </c>
      <c r="AX1367" s="6" t="s">
        <v>81</v>
      </c>
      <c r="AY1367" s="6" t="s">
        <v>81</v>
      </c>
      <c r="AZ1367" s="6" t="s">
        <v>81</v>
      </c>
      <c r="BA1367" s="6" t="s">
        <v>23865</v>
      </c>
      <c r="BB1367" s="24" t="n">
        <v>164</v>
      </c>
      <c r="BC1367" s="26"/>
      <c r="BD1367" s="26"/>
      <c r="BE1367" s="26"/>
      <c r="BF1367" s="26" t="s">
        <v>23900</v>
      </c>
      <c r="BG1367" s="26"/>
      <c r="BH1367" s="26"/>
      <c r="BI1367" s="26"/>
      <c r="BJ1367" s="26"/>
      <c r="BK1367" s="26"/>
      <c r="BL1367" s="26"/>
      <c r="BM1367" s="26"/>
      <c r="BN1367" s="26"/>
      <c r="BO1367" s="26"/>
      <c r="BP1367" s="16" t="n">
        <v>45476</v>
      </c>
      <c r="BQ1367" s="28" t="str">
        <f>HYPERLINK("https://organic.ams.usda.gov/Integrity/Certificate.aspx?cid=45&amp;nopid=9950002697")</f>
        <v>https://organic.ams.usda.gov/Integrity/Certificate.aspx?cid=45&amp;nopid=9950002697</v>
      </c>
    </row>
    <row r="1368">
      <c r="A1368" t="s">
        <v>3</v>
      </c>
      <c r="B1368" s="6" t="s">
        <v>10</v>
      </c>
      <c r="C1368" s="6" t="s">
        <v>57</v>
      </c>
      <c r="D1368" s="6" t="s">
        <v>103</v>
      </c>
      <c r="E1368" s="10" t="s">
        <v>1509</v>
      </c>
      <c r="F1368" s="6" t="s">
        <v>4233</v>
      </c>
      <c r="G1368" s="6" t="s">
        <v>81</v>
      </c>
      <c r="H1368" s="6" t="s">
        <v>7149</v>
      </c>
      <c r="I1368" s="6" t="s">
        <v>9111</v>
      </c>
      <c r="J1368" s="6" t="s">
        <v>9666</v>
      </c>
      <c r="K1368" s="6" t="s">
        <v>10886</v>
      </c>
      <c r="L1368" s="16" t="n">
        <v>43199</v>
      </c>
      <c r="M1368" s="16" t="n">
        <v>45748</v>
      </c>
      <c r="N1368" s="6" t="s">
        <v>10886</v>
      </c>
      <c r="O1368" s="16" t="n">
        <v>43199</v>
      </c>
      <c r="P1368" s="6" t="s">
        <v>11716</v>
      </c>
      <c r="Q1368" s="6" t="s">
        <v>81</v>
      </c>
      <c r="R1368" s="6" t="s">
        <v>12798</v>
      </c>
      <c r="S1368" s="6" t="s">
        <v>10886</v>
      </c>
      <c r="T1368" s="16" t="n">
        <v>43199</v>
      </c>
      <c r="U1368" s="6" t="s">
        <v>13163</v>
      </c>
      <c r="V1368" s="6" t="s">
        <v>81</v>
      </c>
      <c r="W1368" s="6" t="s">
        <v>81</v>
      </c>
      <c r="X1368" s="6" t="s">
        <v>81</v>
      </c>
      <c r="Y1368" s="21" t="s">
        <v>81</v>
      </c>
      <c r="Z1368" s="6" t="s">
        <v>81</v>
      </c>
      <c r="AA1368" s="6" t="s">
        <v>81</v>
      </c>
      <c r="AB1368" s="6" t="s">
        <v>81</v>
      </c>
      <c r="AC1368" s="6" t="s">
        <v>81</v>
      </c>
      <c r="AD1368" s="21" t="s">
        <v>81</v>
      </c>
      <c r="AE1368" s="6" t="s">
        <v>81</v>
      </c>
      <c r="AF1368" s="6" t="s">
        <v>81</v>
      </c>
      <c r="AG1368" s="6" t="s">
        <v>81</v>
      </c>
      <c r="AH1368" s="6" t="s">
        <v>15937</v>
      </c>
      <c r="AI1368" s="6" t="s">
        <v>81</v>
      </c>
      <c r="AJ1368" s="6" t="s">
        <v>17392</v>
      </c>
      <c r="AK1368" s="6" t="s">
        <v>18379</v>
      </c>
      <c r="AL1368" s="6" t="s">
        <v>18444</v>
      </c>
      <c r="AM1368" s="6" t="s">
        <v>18548</v>
      </c>
      <c r="AN1368" s="6" t="s">
        <v>19637</v>
      </c>
      <c r="AO1368" s="6" t="s">
        <v>19723</v>
      </c>
      <c r="AP1368" s="6" t="s">
        <v>15937</v>
      </c>
      <c r="AQ1368" s="6" t="s">
        <v>81</v>
      </c>
      <c r="AR1368" s="6" t="s">
        <v>17392</v>
      </c>
      <c r="AS1368" s="6" t="s">
        <v>18379</v>
      </c>
      <c r="AT1368" s="6" t="s">
        <v>18444</v>
      </c>
      <c r="AU1368" s="6" t="s">
        <v>18548</v>
      </c>
      <c r="AV1368" s="6" t="s">
        <v>81</v>
      </c>
      <c r="AW1368" s="6" t="s">
        <v>81</v>
      </c>
      <c r="AX1368" s="6" t="s">
        <v>21603</v>
      </c>
      <c r="AY1368" s="6" t="s">
        <v>81</v>
      </c>
      <c r="AZ1368" s="6" t="s">
        <v>81</v>
      </c>
      <c r="BA1368" s="6" t="s">
        <v>81</v>
      </c>
      <c r="BB1368" s="24" t="n">
        <v>90</v>
      </c>
      <c r="BC1368" s="26"/>
      <c r="BD1368" s="26"/>
      <c r="BE1368" s="26"/>
      <c r="BF1368" s="26"/>
      <c r="BG1368" s="26"/>
      <c r="BH1368" s="26"/>
      <c r="BI1368" s="26"/>
      <c r="BJ1368" s="26"/>
      <c r="BK1368" s="26"/>
      <c r="BL1368" s="26"/>
      <c r="BM1368" s="26"/>
      <c r="BN1368" s="26"/>
      <c r="BO1368" s="26"/>
      <c r="BP1368" s="16" t="n">
        <v>45730</v>
      </c>
      <c r="BQ1368" s="28" t="str">
        <f>HYPERLINK("https://organic.ams.usda.gov/Integrity/Certificate.aspx?cid=90&amp;nopid=7170020272")</f>
        <v>https://organic.ams.usda.gov/Integrity/Certificate.aspx?cid=90&amp;nopid=7170020272</v>
      </c>
    </row>
    <row r="1369">
      <c r="A1369" t="s">
        <v>3</v>
      </c>
      <c r="B1369" s="6" t="s">
        <v>11</v>
      </c>
      <c r="C1369" s="6" t="s">
        <v>58</v>
      </c>
      <c r="D1369" s="6" t="s">
        <v>104</v>
      </c>
      <c r="E1369" s="10" t="s">
        <v>1510</v>
      </c>
      <c r="F1369" s="6" t="s">
        <v>4234</v>
      </c>
      <c r="G1369" s="6" t="s">
        <v>5719</v>
      </c>
      <c r="H1369" s="6" t="s">
        <v>7150</v>
      </c>
      <c r="I1369" s="6" t="s">
        <v>8690</v>
      </c>
      <c r="J1369" s="6" t="s">
        <v>9812</v>
      </c>
      <c r="K1369" s="6" t="s">
        <v>10886</v>
      </c>
      <c r="L1369" s="16" t="n">
        <v>44327</v>
      </c>
      <c r="M1369" s="16" t="n">
        <v>45748</v>
      </c>
      <c r="N1369" s="6" t="s">
        <v>10886</v>
      </c>
      <c r="O1369" s="16" t="n">
        <v>44327</v>
      </c>
      <c r="P1369" s="6" t="s">
        <v>11717</v>
      </c>
      <c r="Q1369" s="6" t="s">
        <v>81</v>
      </c>
      <c r="R1369" s="6" t="s">
        <v>81</v>
      </c>
      <c r="S1369" s="6" t="s">
        <v>10886</v>
      </c>
      <c r="T1369" s="16" t="n">
        <v>44327</v>
      </c>
      <c r="U1369" s="6" t="s">
        <v>13198</v>
      </c>
      <c r="V1369" s="6" t="s">
        <v>81</v>
      </c>
      <c r="W1369" s="6" t="s">
        <v>81</v>
      </c>
      <c r="X1369" s="6" t="s">
        <v>81</v>
      </c>
      <c r="Y1369" s="21" t="s">
        <v>81</v>
      </c>
      <c r="Z1369" s="6" t="s">
        <v>81</v>
      </c>
      <c r="AA1369" s="6" t="s">
        <v>81</v>
      </c>
      <c r="AB1369" s="6" t="s">
        <v>81</v>
      </c>
      <c r="AC1369" s="6" t="s">
        <v>81</v>
      </c>
      <c r="AD1369" s="21" t="s">
        <v>81</v>
      </c>
      <c r="AE1369" s="6" t="s">
        <v>81</v>
      </c>
      <c r="AF1369" s="6" t="s">
        <v>81</v>
      </c>
      <c r="AG1369" s="6" t="s">
        <v>81</v>
      </c>
      <c r="AH1369" s="6" t="s">
        <v>15938</v>
      </c>
      <c r="AI1369" s="6" t="s">
        <v>81</v>
      </c>
      <c r="AJ1369" s="6" t="s">
        <v>17978</v>
      </c>
      <c r="AK1369" s="6" t="s">
        <v>18377</v>
      </c>
      <c r="AL1369" s="6" t="s">
        <v>18444</v>
      </c>
      <c r="AM1369" s="6" t="s">
        <v>19165</v>
      </c>
      <c r="AN1369" s="6" t="s">
        <v>7595</v>
      </c>
      <c r="AO1369" s="6" t="s">
        <v>19826</v>
      </c>
      <c r="AP1369" s="6" t="s">
        <v>15938</v>
      </c>
      <c r="AQ1369" s="6" t="s">
        <v>81</v>
      </c>
      <c r="AR1369" s="6" t="s">
        <v>17978</v>
      </c>
      <c r="AS1369" s="6" t="s">
        <v>18377</v>
      </c>
      <c r="AT1369" s="6" t="s">
        <v>18444</v>
      </c>
      <c r="AU1369" s="6" t="s">
        <v>19165</v>
      </c>
      <c r="AV1369" s="6" t="s">
        <v>81</v>
      </c>
      <c r="AW1369" s="6" t="s">
        <v>81</v>
      </c>
      <c r="AX1369" s="6" t="s">
        <v>21604</v>
      </c>
      <c r="AY1369" s="6" t="s">
        <v>23045</v>
      </c>
      <c r="AZ1369" s="6" t="s">
        <v>81</v>
      </c>
      <c r="BA1369" s="6" t="s">
        <v>81</v>
      </c>
      <c r="BB1369" s="24" t="n">
        <v>160</v>
      </c>
      <c r="BC1369" s="26"/>
      <c r="BD1369" s="26"/>
      <c r="BE1369" s="26"/>
      <c r="BF1369" s="26"/>
      <c r="BG1369" s="26"/>
      <c r="BH1369" s="26"/>
      <c r="BI1369" s="26"/>
      <c r="BJ1369" s="26"/>
      <c r="BK1369" s="26"/>
      <c r="BL1369" s="26"/>
      <c r="BM1369" s="26"/>
      <c r="BN1369" s="26"/>
      <c r="BO1369" s="26"/>
      <c r="BP1369" s="16" t="n">
        <v>45701</v>
      </c>
      <c r="BQ1369" s="28" t="str">
        <f>HYPERLINK("https://organic.ams.usda.gov/Integrity/Certificate.aspx?cid=46&amp;nopid=3671009642")</f>
        <v>https://organic.ams.usda.gov/Integrity/Certificate.aspx?cid=46&amp;nopid=3671009642</v>
      </c>
    </row>
    <row r="1370">
      <c r="A1370" t="s">
        <v>3</v>
      </c>
      <c r="B1370" s="6" t="s">
        <v>25</v>
      </c>
      <c r="C1370" s="6" t="s">
        <v>72</v>
      </c>
      <c r="D1370" s="6" t="s">
        <v>118</v>
      </c>
      <c r="E1370" s="10" t="s">
        <v>1511</v>
      </c>
      <c r="F1370" s="6" t="s">
        <v>4235</v>
      </c>
      <c r="G1370" s="6" t="s">
        <v>81</v>
      </c>
      <c r="H1370" s="6" t="s">
        <v>7151</v>
      </c>
      <c r="I1370" s="6" t="s">
        <v>81</v>
      </c>
      <c r="J1370" s="6" t="s">
        <v>81</v>
      </c>
      <c r="K1370" s="6" t="s">
        <v>10886</v>
      </c>
      <c r="L1370" s="16" t="n">
        <v>41044</v>
      </c>
      <c r="M1370" s="16" t="n">
        <v>46023</v>
      </c>
      <c r="N1370" s="6" t="s">
        <v>10886</v>
      </c>
      <c r="O1370" s="16" t="n">
        <v>41044</v>
      </c>
      <c r="P1370" s="6" t="s">
        <v>11031</v>
      </c>
      <c r="Q1370" s="6" t="s">
        <v>81</v>
      </c>
      <c r="R1370" s="6" t="s">
        <v>81</v>
      </c>
      <c r="S1370" s="6" t="s">
        <v>10886</v>
      </c>
      <c r="T1370" s="16" t="n">
        <v>41324</v>
      </c>
      <c r="U1370" s="6" t="s">
        <v>13605</v>
      </c>
      <c r="V1370" s="6" t="s">
        <v>81</v>
      </c>
      <c r="W1370" s="6" t="s">
        <v>81</v>
      </c>
      <c r="X1370" s="6" t="s">
        <v>81</v>
      </c>
      <c r="Y1370" s="21" t="s">
        <v>81</v>
      </c>
      <c r="Z1370" s="6" t="s">
        <v>81</v>
      </c>
      <c r="AA1370" s="6" t="s">
        <v>81</v>
      </c>
      <c r="AB1370" s="6" t="s">
        <v>81</v>
      </c>
      <c r="AC1370" s="6" t="s">
        <v>10886</v>
      </c>
      <c r="AD1370" s="16" t="n">
        <v>44734</v>
      </c>
      <c r="AE1370" s="6" t="s">
        <v>14081</v>
      </c>
      <c r="AF1370" s="6" t="s">
        <v>81</v>
      </c>
      <c r="AG1370" s="6" t="s">
        <v>81</v>
      </c>
      <c r="AH1370" s="6" t="s">
        <v>15939</v>
      </c>
      <c r="AI1370" s="6" t="s">
        <v>81</v>
      </c>
      <c r="AJ1370" s="6" t="s">
        <v>17421</v>
      </c>
      <c r="AK1370" s="6" t="s">
        <v>18386</v>
      </c>
      <c r="AL1370" s="6" t="s">
        <v>18444</v>
      </c>
      <c r="AM1370" s="6" t="s">
        <v>19166</v>
      </c>
      <c r="AN1370" s="6" t="s">
        <v>19672</v>
      </c>
      <c r="AO1370" s="6" t="s">
        <v>19787</v>
      </c>
      <c r="AP1370" s="6" t="s">
        <v>15939</v>
      </c>
      <c r="AQ1370" s="6" t="s">
        <v>81</v>
      </c>
      <c r="AR1370" s="6" t="s">
        <v>17421</v>
      </c>
      <c r="AS1370" s="6" t="s">
        <v>18386</v>
      </c>
      <c r="AT1370" s="6" t="s">
        <v>18444</v>
      </c>
      <c r="AU1370" s="6" t="s">
        <v>19166</v>
      </c>
      <c r="AV1370" s="6" t="s">
        <v>81</v>
      </c>
      <c r="AW1370" s="6" t="s">
        <v>81</v>
      </c>
      <c r="AX1370" s="6" t="s">
        <v>81</v>
      </c>
      <c r="AY1370" s="6" t="s">
        <v>81</v>
      </c>
      <c r="AZ1370" s="6" t="s">
        <v>81</v>
      </c>
      <c r="BA1370" s="6" t="s">
        <v>81</v>
      </c>
      <c r="BB1370" s="24" t="n">
        <v>405</v>
      </c>
      <c r="BC1370" s="26"/>
      <c r="BD1370" s="26"/>
      <c r="BE1370" s="26"/>
      <c r="BF1370" s="26"/>
      <c r="BG1370" s="26"/>
      <c r="BH1370" s="26"/>
      <c r="BI1370" s="26"/>
      <c r="BJ1370" s="26"/>
      <c r="BK1370" s="26"/>
      <c r="BL1370" s="26"/>
      <c r="BM1370" s="26"/>
      <c r="BN1370" s="26"/>
      <c r="BO1370" s="26"/>
      <c r="BP1370" s="16" t="n">
        <v>45667</v>
      </c>
      <c r="BQ1370" s="28" t="str">
        <f>HYPERLINK("https://organic.ams.usda.gov/Integrity/Certificate.aspx?cid=15&amp;nopid=5561001389")</f>
        <v>https://organic.ams.usda.gov/Integrity/Certificate.aspx?cid=15&amp;nopid=5561001389</v>
      </c>
    </row>
    <row r="1371">
      <c r="A1371" t="s">
        <v>3</v>
      </c>
      <c r="B1371" s="6" t="s">
        <v>7</v>
      </c>
      <c r="C1371" s="6" t="s">
        <v>54</v>
      </c>
      <c r="D1371" s="6" t="s">
        <v>100</v>
      </c>
      <c r="E1371" s="10" t="s">
        <v>1512</v>
      </c>
      <c r="F1371" s="6" t="s">
        <v>4236</v>
      </c>
      <c r="G1371" s="6" t="s">
        <v>81</v>
      </c>
      <c r="H1371" s="6" t="s">
        <v>7152</v>
      </c>
      <c r="I1371" s="6" t="s">
        <v>9112</v>
      </c>
      <c r="J1371" s="6" t="s">
        <v>9730</v>
      </c>
      <c r="K1371" s="6" t="s">
        <v>10886</v>
      </c>
      <c r="L1371" s="16" t="n">
        <v>45498</v>
      </c>
      <c r="M1371" s="16" t="n">
        <v>45716</v>
      </c>
      <c r="N1371" s="6" t="s">
        <v>10886</v>
      </c>
      <c r="O1371" s="16" t="n">
        <v>45498</v>
      </c>
      <c r="P1371" s="6" t="s">
        <v>10925</v>
      </c>
      <c r="Q1371" s="6" t="s">
        <v>81</v>
      </c>
      <c r="R1371" s="6" t="s">
        <v>81</v>
      </c>
      <c r="S1371" s="6" t="s">
        <v>10886</v>
      </c>
      <c r="T1371" s="16" t="n">
        <v>45603</v>
      </c>
      <c r="U1371" s="6" t="s">
        <v>13188</v>
      </c>
      <c r="V1371" s="6" t="s">
        <v>81</v>
      </c>
      <c r="W1371" s="6" t="s">
        <v>81</v>
      </c>
      <c r="X1371" s="6" t="s">
        <v>81</v>
      </c>
      <c r="Y1371" s="21" t="s">
        <v>81</v>
      </c>
      <c r="Z1371" s="6" t="s">
        <v>81</v>
      </c>
      <c r="AA1371" s="6" t="s">
        <v>81</v>
      </c>
      <c r="AB1371" s="6" t="s">
        <v>81</v>
      </c>
      <c r="AC1371" s="6" t="s">
        <v>81</v>
      </c>
      <c r="AD1371" s="21" t="s">
        <v>81</v>
      </c>
      <c r="AE1371" s="6" t="s">
        <v>81</v>
      </c>
      <c r="AF1371" s="6" t="s">
        <v>81</v>
      </c>
      <c r="AG1371" s="6" t="s">
        <v>81</v>
      </c>
      <c r="AH1371" s="6" t="s">
        <v>15940</v>
      </c>
      <c r="AI1371" s="6" t="s">
        <v>81</v>
      </c>
      <c r="AJ1371" s="6" t="s">
        <v>10590</v>
      </c>
      <c r="AK1371" s="6" t="s">
        <v>17712</v>
      </c>
      <c r="AL1371" s="6" t="s">
        <v>18444</v>
      </c>
      <c r="AM1371" s="6" t="s">
        <v>18628</v>
      </c>
      <c r="AN1371" s="6" t="s">
        <v>81</v>
      </c>
      <c r="AO1371" s="6" t="s">
        <v>81</v>
      </c>
      <c r="AP1371" s="6" t="s">
        <v>15940</v>
      </c>
      <c r="AQ1371" s="6" t="s">
        <v>81</v>
      </c>
      <c r="AR1371" s="6" t="s">
        <v>10590</v>
      </c>
      <c r="AS1371" s="6" t="s">
        <v>17712</v>
      </c>
      <c r="AT1371" s="6" t="s">
        <v>18444</v>
      </c>
      <c r="AU1371" s="6" t="s">
        <v>18628</v>
      </c>
      <c r="AV1371" s="6" t="s">
        <v>81</v>
      </c>
      <c r="AW1371" s="6" t="s">
        <v>81</v>
      </c>
      <c r="AX1371" s="6" t="s">
        <v>81</v>
      </c>
      <c r="AY1371" s="6" t="s">
        <v>81</v>
      </c>
      <c r="AZ1371" s="6" t="s">
        <v>81</v>
      </c>
      <c r="BA1371" s="6" t="s">
        <v>81</v>
      </c>
      <c r="BB1371" s="24" t="n">
        <v>62</v>
      </c>
      <c r="BC1371" s="26"/>
      <c r="BD1371" s="26"/>
      <c r="BE1371" s="26"/>
      <c r="BF1371" s="26" t="s">
        <v>23900</v>
      </c>
      <c r="BG1371" s="26"/>
      <c r="BH1371" s="26"/>
      <c r="BI1371" s="26"/>
      <c r="BJ1371" s="26"/>
      <c r="BK1371" s="26"/>
      <c r="BL1371" s="26"/>
      <c r="BM1371" s="26"/>
      <c r="BN1371" s="26"/>
      <c r="BO1371" s="26"/>
      <c r="BP1371" s="16" t="n">
        <v>45604</v>
      </c>
      <c r="BQ1371" s="28" t="str">
        <f>HYPERLINK("https://organic.ams.usda.gov/Integrity/Certificate.aspx?cid=57&amp;nopid=3252024086")</f>
        <v>https://organic.ams.usda.gov/Integrity/Certificate.aspx?cid=57&amp;nopid=3252024086</v>
      </c>
    </row>
    <row r="1372">
      <c r="A1372" t="s">
        <v>3</v>
      </c>
      <c r="B1372" s="6" t="s">
        <v>19</v>
      </c>
      <c r="C1372" s="6" t="s">
        <v>66</v>
      </c>
      <c r="D1372" s="6" t="s">
        <v>112</v>
      </c>
      <c r="E1372" s="10" t="s">
        <v>1513</v>
      </c>
      <c r="F1372" s="6" t="s">
        <v>4237</v>
      </c>
      <c r="G1372" s="6" t="s">
        <v>81</v>
      </c>
      <c r="H1372" s="6" t="s">
        <v>7153</v>
      </c>
      <c r="I1372" s="6" t="s">
        <v>81</v>
      </c>
      <c r="J1372" s="6" t="s">
        <v>10309</v>
      </c>
      <c r="K1372" s="6" t="s">
        <v>10886</v>
      </c>
      <c r="L1372" s="16" t="n">
        <v>45043</v>
      </c>
      <c r="M1372" s="16" t="n">
        <v>46054</v>
      </c>
      <c r="N1372" s="6" t="s">
        <v>10886</v>
      </c>
      <c r="O1372" s="16" t="n">
        <v>45043</v>
      </c>
      <c r="P1372" s="6" t="s">
        <v>11718</v>
      </c>
      <c r="Q1372" s="6" t="s">
        <v>81</v>
      </c>
      <c r="R1372" s="6" t="s">
        <v>81</v>
      </c>
      <c r="S1372" s="6" t="s">
        <v>10886</v>
      </c>
      <c r="T1372" s="16" t="n">
        <v>45043</v>
      </c>
      <c r="U1372" s="6" t="s">
        <v>13606</v>
      </c>
      <c r="V1372" s="6" t="s">
        <v>81</v>
      </c>
      <c r="W1372" s="6" t="s">
        <v>81</v>
      </c>
      <c r="X1372" s="6" t="s">
        <v>81</v>
      </c>
      <c r="Y1372" s="21" t="s">
        <v>81</v>
      </c>
      <c r="Z1372" s="6" t="s">
        <v>81</v>
      </c>
      <c r="AA1372" s="6" t="s">
        <v>81</v>
      </c>
      <c r="AB1372" s="6" t="s">
        <v>81</v>
      </c>
      <c r="AC1372" s="6" t="s">
        <v>10886</v>
      </c>
      <c r="AD1372" s="16" t="n">
        <v>45043</v>
      </c>
      <c r="AE1372" s="6" t="s">
        <v>14066</v>
      </c>
      <c r="AF1372" s="6" t="s">
        <v>81</v>
      </c>
      <c r="AG1372" s="6" t="s">
        <v>81</v>
      </c>
      <c r="AH1372" s="6" t="s">
        <v>15941</v>
      </c>
      <c r="AI1372" s="6" t="s">
        <v>81</v>
      </c>
      <c r="AJ1372" s="6" t="s">
        <v>17625</v>
      </c>
      <c r="AK1372" s="6" t="s">
        <v>17712</v>
      </c>
      <c r="AL1372" s="6" t="s">
        <v>18444</v>
      </c>
      <c r="AM1372" s="6" t="s">
        <v>18792</v>
      </c>
      <c r="AN1372" s="6" t="s">
        <v>7195</v>
      </c>
      <c r="AO1372" s="6" t="s">
        <v>19735</v>
      </c>
      <c r="AP1372" s="6" t="s">
        <v>81</v>
      </c>
      <c r="AQ1372" s="6" t="s">
        <v>81</v>
      </c>
      <c r="AR1372" s="6" t="s">
        <v>81</v>
      </c>
      <c r="AS1372" s="6" t="s">
        <v>81</v>
      </c>
      <c r="AT1372" s="6" t="s">
        <v>81</v>
      </c>
      <c r="AU1372" s="6" t="s">
        <v>81</v>
      </c>
      <c r="AV1372" s="6" t="s">
        <v>81</v>
      </c>
      <c r="AW1372" s="6" t="s">
        <v>81</v>
      </c>
      <c r="AX1372" s="6" t="s">
        <v>21605</v>
      </c>
      <c r="AY1372" s="6" t="s">
        <v>81</v>
      </c>
      <c r="AZ1372" s="6" t="s">
        <v>81</v>
      </c>
      <c r="BA1372" s="6" t="s">
        <v>81</v>
      </c>
      <c r="BB1372" s="24" t="n">
        <v>316</v>
      </c>
      <c r="BC1372" s="26"/>
      <c r="BD1372" s="26"/>
      <c r="BE1372" s="26"/>
      <c r="BF1372" s="26" t="s">
        <v>23900</v>
      </c>
      <c r="BG1372" s="26"/>
      <c r="BH1372" s="26"/>
      <c r="BI1372" s="26"/>
      <c r="BJ1372" s="26"/>
      <c r="BK1372" s="26"/>
      <c r="BL1372" s="26"/>
      <c r="BM1372" s="26"/>
      <c r="BN1372" s="26"/>
      <c r="BO1372" s="26"/>
      <c r="BP1372" s="16" t="n">
        <v>45692</v>
      </c>
      <c r="BQ1372" s="28" t="str">
        <f>HYPERLINK("https://organic.ams.usda.gov/Integrity/Certificate.aspx?cid=24&amp;nopid=7880270467")</f>
        <v>https://organic.ams.usda.gov/Integrity/Certificate.aspx?cid=24&amp;nopid=7880270467</v>
      </c>
    </row>
    <row r="1373">
      <c r="A1373" t="s">
        <v>3</v>
      </c>
      <c r="B1373" s="6" t="s">
        <v>8</v>
      </c>
      <c r="C1373" s="6" t="s">
        <v>55</v>
      </c>
      <c r="D1373" s="6" t="s">
        <v>101</v>
      </c>
      <c r="E1373" s="10" t="s">
        <v>1514</v>
      </c>
      <c r="F1373" s="6" t="s">
        <v>4238</v>
      </c>
      <c r="G1373" s="6" t="s">
        <v>81</v>
      </c>
      <c r="H1373" s="6" t="s">
        <v>7154</v>
      </c>
      <c r="I1373" s="6" t="s">
        <v>8521</v>
      </c>
      <c r="J1373" s="6" t="s">
        <v>9380</v>
      </c>
      <c r="K1373" s="6" t="s">
        <v>10886</v>
      </c>
      <c r="L1373" s="16" t="n">
        <v>39850</v>
      </c>
      <c r="M1373" s="16" t="n">
        <v>45383</v>
      </c>
      <c r="N1373" s="6" t="s">
        <v>10886</v>
      </c>
      <c r="O1373" s="16" t="n">
        <v>39850</v>
      </c>
      <c r="P1373" s="6" t="s">
        <v>11719</v>
      </c>
      <c r="Q1373" s="6" t="s">
        <v>81</v>
      </c>
      <c r="R1373" s="6" t="s">
        <v>7154</v>
      </c>
      <c r="S1373" s="6" t="s">
        <v>10886</v>
      </c>
      <c r="T1373" s="16" t="n">
        <v>39850</v>
      </c>
      <c r="U1373" s="6" t="s">
        <v>13607</v>
      </c>
      <c r="V1373" s="6" t="s">
        <v>81</v>
      </c>
      <c r="W1373" s="6" t="s">
        <v>7154</v>
      </c>
      <c r="X1373" s="6" t="s">
        <v>81</v>
      </c>
      <c r="Y1373" s="21" t="s">
        <v>81</v>
      </c>
      <c r="Z1373" s="6" t="s">
        <v>81</v>
      </c>
      <c r="AA1373" s="6" t="s">
        <v>81</v>
      </c>
      <c r="AB1373" s="6" t="s">
        <v>81</v>
      </c>
      <c r="AC1373" s="6" t="s">
        <v>81</v>
      </c>
      <c r="AD1373" s="21" t="s">
        <v>81</v>
      </c>
      <c r="AE1373" s="6" t="s">
        <v>81</v>
      </c>
      <c r="AF1373" s="6" t="s">
        <v>81</v>
      </c>
      <c r="AG1373" s="6" t="s">
        <v>81</v>
      </c>
      <c r="AH1373" s="6" t="s">
        <v>15942</v>
      </c>
      <c r="AI1373" s="6" t="s">
        <v>81</v>
      </c>
      <c r="AJ1373" s="6" t="s">
        <v>17979</v>
      </c>
      <c r="AK1373" s="6" t="s">
        <v>18385</v>
      </c>
      <c r="AL1373" s="6" t="s">
        <v>18444</v>
      </c>
      <c r="AM1373" s="6" t="s">
        <v>19167</v>
      </c>
      <c r="AN1373" s="6" t="s">
        <v>19671</v>
      </c>
      <c r="AO1373" s="6" t="s">
        <v>19875</v>
      </c>
      <c r="AP1373" s="6" t="s">
        <v>81</v>
      </c>
      <c r="AQ1373" s="6" t="s">
        <v>81</v>
      </c>
      <c r="AR1373" s="6" t="s">
        <v>81</v>
      </c>
      <c r="AS1373" s="6" t="s">
        <v>81</v>
      </c>
      <c r="AT1373" s="6" t="s">
        <v>81</v>
      </c>
      <c r="AU1373" s="6" t="s">
        <v>81</v>
      </c>
      <c r="AV1373" s="6" t="s">
        <v>81</v>
      </c>
      <c r="AW1373" s="6" t="s">
        <v>81</v>
      </c>
      <c r="AX1373" s="6" t="s">
        <v>81</v>
      </c>
      <c r="AY1373" s="6" t="s">
        <v>23046</v>
      </c>
      <c r="AZ1373" s="6" t="s">
        <v>81</v>
      </c>
      <c r="BA1373" s="6" t="s">
        <v>23824</v>
      </c>
      <c r="BB1373" s="24" t="n">
        <v>133</v>
      </c>
      <c r="BC1373" s="26"/>
      <c r="BD1373" s="26"/>
      <c r="BE1373" s="26"/>
      <c r="BF1373" s="26" t="s">
        <v>23900</v>
      </c>
      <c r="BG1373" s="26"/>
      <c r="BH1373" s="26"/>
      <c r="BI1373" s="26"/>
      <c r="BJ1373" s="26"/>
      <c r="BK1373" s="26"/>
      <c r="BL1373" s="26"/>
      <c r="BM1373" s="26"/>
      <c r="BN1373" s="26"/>
      <c r="BO1373" s="26"/>
      <c r="BP1373" s="16" t="n">
        <v>45519</v>
      </c>
      <c r="BQ1373" s="28" t="str">
        <f>HYPERLINK("https://organic.ams.usda.gov/Integrity/Certificate.aspx?cid=45&amp;nopid=9950003222")</f>
        <v>https://organic.ams.usda.gov/Integrity/Certificate.aspx?cid=45&amp;nopid=9950003222</v>
      </c>
    </row>
    <row r="1374">
      <c r="A1374" t="s">
        <v>3</v>
      </c>
      <c r="B1374" s="6" t="s">
        <v>10</v>
      </c>
      <c r="C1374" s="6" t="s">
        <v>57</v>
      </c>
      <c r="D1374" s="6" t="s">
        <v>103</v>
      </c>
      <c r="E1374" s="10" t="s">
        <v>1515</v>
      </c>
      <c r="F1374" s="6" t="s">
        <v>4239</v>
      </c>
      <c r="G1374" s="6" t="s">
        <v>81</v>
      </c>
      <c r="H1374" s="6" t="s">
        <v>7155</v>
      </c>
      <c r="I1374" s="6" t="s">
        <v>8409</v>
      </c>
      <c r="J1374" s="6" t="s">
        <v>9665</v>
      </c>
      <c r="K1374" s="6" t="s">
        <v>10886</v>
      </c>
      <c r="L1374" s="16" t="n">
        <v>42018</v>
      </c>
      <c r="M1374" s="16" t="n">
        <v>45748</v>
      </c>
      <c r="N1374" s="6" t="s">
        <v>10886</v>
      </c>
      <c r="O1374" s="16" t="n">
        <v>42018</v>
      </c>
      <c r="P1374" s="6" t="s">
        <v>10910</v>
      </c>
      <c r="Q1374" s="6" t="s">
        <v>81</v>
      </c>
      <c r="R1374" s="6" t="s">
        <v>12799</v>
      </c>
      <c r="S1374" s="6" t="s">
        <v>10886</v>
      </c>
      <c r="T1374" s="16" t="n">
        <v>42018</v>
      </c>
      <c r="U1374" s="6" t="s">
        <v>13163</v>
      </c>
      <c r="V1374" s="6" t="s">
        <v>81</v>
      </c>
      <c r="W1374" s="6" t="s">
        <v>81</v>
      </c>
      <c r="X1374" s="6" t="s">
        <v>81</v>
      </c>
      <c r="Y1374" s="21" t="s">
        <v>81</v>
      </c>
      <c r="Z1374" s="6" t="s">
        <v>81</v>
      </c>
      <c r="AA1374" s="6" t="s">
        <v>81</v>
      </c>
      <c r="AB1374" s="6" t="s">
        <v>81</v>
      </c>
      <c r="AC1374" s="6" t="s">
        <v>81</v>
      </c>
      <c r="AD1374" s="21" t="s">
        <v>81</v>
      </c>
      <c r="AE1374" s="6" t="s">
        <v>81</v>
      </c>
      <c r="AF1374" s="6" t="s">
        <v>81</v>
      </c>
      <c r="AG1374" s="6" t="s">
        <v>81</v>
      </c>
      <c r="AH1374" s="6" t="s">
        <v>15943</v>
      </c>
      <c r="AI1374" s="6" t="s">
        <v>81</v>
      </c>
      <c r="AJ1374" s="6" t="s">
        <v>17980</v>
      </c>
      <c r="AK1374" s="6" t="s">
        <v>18380</v>
      </c>
      <c r="AL1374" s="6" t="s">
        <v>18444</v>
      </c>
      <c r="AM1374" s="6" t="s">
        <v>19168</v>
      </c>
      <c r="AN1374" s="6" t="s">
        <v>19698</v>
      </c>
      <c r="AO1374" s="6" t="s">
        <v>19920</v>
      </c>
      <c r="AP1374" s="6" t="s">
        <v>15943</v>
      </c>
      <c r="AQ1374" s="6" t="s">
        <v>81</v>
      </c>
      <c r="AR1374" s="6" t="s">
        <v>17980</v>
      </c>
      <c r="AS1374" s="6" t="s">
        <v>18380</v>
      </c>
      <c r="AT1374" s="6" t="s">
        <v>18444</v>
      </c>
      <c r="AU1374" s="6" t="s">
        <v>19168</v>
      </c>
      <c r="AV1374" s="6" t="s">
        <v>81</v>
      </c>
      <c r="AW1374" s="6" t="s">
        <v>81</v>
      </c>
      <c r="AX1374" s="6" t="s">
        <v>21606</v>
      </c>
      <c r="AY1374" s="6" t="s">
        <v>81</v>
      </c>
      <c r="AZ1374" s="6" t="s">
        <v>81</v>
      </c>
      <c r="BA1374" s="6" t="s">
        <v>81</v>
      </c>
      <c r="BB1374" s="24" t="n">
        <v>224</v>
      </c>
      <c r="BC1374" s="26"/>
      <c r="BD1374" s="26"/>
      <c r="BE1374" s="26"/>
      <c r="BF1374" s="26"/>
      <c r="BG1374" s="26"/>
      <c r="BH1374" s="26"/>
      <c r="BI1374" s="26"/>
      <c r="BJ1374" s="26"/>
      <c r="BK1374" s="26"/>
      <c r="BL1374" s="26"/>
      <c r="BM1374" s="26"/>
      <c r="BN1374" s="26"/>
      <c r="BO1374" s="26"/>
      <c r="BP1374" s="16" t="n">
        <v>45730</v>
      </c>
      <c r="BQ1374" s="28" t="str">
        <f>HYPERLINK("https://organic.ams.usda.gov/Integrity/Certificate.aspx?cid=90&amp;nopid=7170210314")</f>
        <v>https://organic.ams.usda.gov/Integrity/Certificate.aspx?cid=90&amp;nopid=7170210314</v>
      </c>
    </row>
    <row r="1375">
      <c r="A1375" t="s">
        <v>3</v>
      </c>
      <c r="B1375" s="6" t="s">
        <v>29</v>
      </c>
      <c r="C1375" s="6" t="s">
        <v>76</v>
      </c>
      <c r="D1375" s="6" t="s">
        <v>122</v>
      </c>
      <c r="E1375" s="10" t="s">
        <v>1516</v>
      </c>
      <c r="F1375" s="6" t="s">
        <v>4240</v>
      </c>
      <c r="G1375" s="6" t="s">
        <v>81</v>
      </c>
      <c r="H1375" s="6" t="s">
        <v>7156</v>
      </c>
      <c r="I1375" s="6" t="s">
        <v>9113</v>
      </c>
      <c r="J1375" s="6" t="s">
        <v>9923</v>
      </c>
      <c r="K1375" s="6" t="s">
        <v>10886</v>
      </c>
      <c r="L1375" s="16" t="n">
        <v>40416</v>
      </c>
      <c r="M1375" s="16" t="n">
        <v>45505</v>
      </c>
      <c r="N1375" s="6" t="s">
        <v>10886</v>
      </c>
      <c r="O1375" s="16" t="n">
        <v>40416</v>
      </c>
      <c r="P1375" s="6" t="s">
        <v>11720</v>
      </c>
      <c r="Q1375" s="6" t="s">
        <v>81</v>
      </c>
      <c r="R1375" s="6" t="s">
        <v>12800</v>
      </c>
      <c r="S1375" s="6" t="s">
        <v>10886</v>
      </c>
      <c r="T1375" s="16" t="n">
        <v>40416</v>
      </c>
      <c r="U1375" s="6" t="s">
        <v>13212</v>
      </c>
      <c r="V1375" s="6" t="s">
        <v>81</v>
      </c>
      <c r="W1375" s="6" t="s">
        <v>12800</v>
      </c>
      <c r="X1375" s="6" t="s">
        <v>81</v>
      </c>
      <c r="Y1375" s="21" t="s">
        <v>81</v>
      </c>
      <c r="Z1375" s="6" t="s">
        <v>81</v>
      </c>
      <c r="AA1375" s="6" t="s">
        <v>81</v>
      </c>
      <c r="AB1375" s="6" t="s">
        <v>81</v>
      </c>
      <c r="AC1375" s="6" t="s">
        <v>81</v>
      </c>
      <c r="AD1375" s="21" t="s">
        <v>81</v>
      </c>
      <c r="AE1375" s="6" t="s">
        <v>81</v>
      </c>
      <c r="AF1375" s="6" t="s">
        <v>81</v>
      </c>
      <c r="AG1375" s="6" t="s">
        <v>81</v>
      </c>
      <c r="AH1375" s="6" t="s">
        <v>15944</v>
      </c>
      <c r="AI1375" s="6" t="s">
        <v>81</v>
      </c>
      <c r="AJ1375" s="6" t="s">
        <v>17926</v>
      </c>
      <c r="AK1375" s="6" t="s">
        <v>18380</v>
      </c>
      <c r="AL1375" s="6" t="s">
        <v>18444</v>
      </c>
      <c r="AM1375" s="6" t="s">
        <v>19169</v>
      </c>
      <c r="AN1375" s="6" t="s">
        <v>19639</v>
      </c>
      <c r="AO1375" s="6" t="s">
        <v>19725</v>
      </c>
      <c r="AP1375" s="6" t="s">
        <v>81</v>
      </c>
      <c r="AQ1375" s="6" t="s">
        <v>81</v>
      </c>
      <c r="AR1375" s="6" t="s">
        <v>81</v>
      </c>
      <c r="AS1375" s="6" t="s">
        <v>81</v>
      </c>
      <c r="AT1375" s="6" t="s">
        <v>81</v>
      </c>
      <c r="AU1375" s="6" t="s">
        <v>81</v>
      </c>
      <c r="AV1375" s="6" t="s">
        <v>81</v>
      </c>
      <c r="AW1375" s="6" t="s">
        <v>81</v>
      </c>
      <c r="AX1375" s="6" t="s">
        <v>21607</v>
      </c>
      <c r="AY1375" s="6" t="s">
        <v>81</v>
      </c>
      <c r="AZ1375" s="6" t="s">
        <v>81</v>
      </c>
      <c r="BA1375" s="6" t="s">
        <v>81</v>
      </c>
      <c r="BB1375" s="24" t="n">
        <v>107</v>
      </c>
      <c r="BC1375" s="26"/>
      <c r="BD1375" s="26"/>
      <c r="BE1375" s="26"/>
      <c r="BF1375" s="26" t="s">
        <v>23900</v>
      </c>
      <c r="BG1375" s="26"/>
      <c r="BH1375" s="26"/>
      <c r="BI1375" s="26"/>
      <c r="BJ1375" s="26"/>
      <c r="BK1375" s="26"/>
      <c r="BL1375" s="26"/>
      <c r="BM1375" s="26"/>
      <c r="BN1375" s="26"/>
      <c r="BO1375" s="26"/>
      <c r="BP1375" s="16" t="n">
        <v>45737</v>
      </c>
      <c r="BQ1375" s="28" t="str">
        <f>HYPERLINK("https://organic.ams.usda.gov/Integrity/Certificate.aspx?cid=31&amp;nopid=3920897978")</f>
        <v>https://organic.ams.usda.gov/Integrity/Certificate.aspx?cid=31&amp;nopid=3920897978</v>
      </c>
    </row>
    <row r="1376">
      <c r="A1376" t="s">
        <v>3</v>
      </c>
      <c r="B1376" s="6" t="s">
        <v>12</v>
      </c>
      <c r="C1376" s="6" t="s">
        <v>59</v>
      </c>
      <c r="D1376" s="6" t="s">
        <v>105</v>
      </c>
      <c r="E1376" s="10" t="s">
        <v>1517</v>
      </c>
      <c r="F1376" s="6" t="s">
        <v>4241</v>
      </c>
      <c r="G1376" s="6" t="s">
        <v>81</v>
      </c>
      <c r="H1376" s="6" t="s">
        <v>7157</v>
      </c>
      <c r="I1376" s="6" t="s">
        <v>8409</v>
      </c>
      <c r="J1376" s="6" t="s">
        <v>9668</v>
      </c>
      <c r="K1376" s="6" t="s">
        <v>10886</v>
      </c>
      <c r="L1376" s="16" t="n">
        <v>43070</v>
      </c>
      <c r="M1376" s="16" t="n">
        <v>45717</v>
      </c>
      <c r="N1376" s="6" t="s">
        <v>10886</v>
      </c>
      <c r="O1376" s="16" t="n">
        <v>43070</v>
      </c>
      <c r="P1376" s="6" t="s">
        <v>11721</v>
      </c>
      <c r="Q1376" s="6" t="s">
        <v>81</v>
      </c>
      <c r="R1376" s="6" t="s">
        <v>81</v>
      </c>
      <c r="S1376" s="6" t="s">
        <v>10886</v>
      </c>
      <c r="T1376" s="16" t="n">
        <v>43070</v>
      </c>
      <c r="U1376" s="6" t="s">
        <v>13183</v>
      </c>
      <c r="V1376" s="6" t="s">
        <v>81</v>
      </c>
      <c r="W1376" s="6" t="s">
        <v>81</v>
      </c>
      <c r="X1376" s="6" t="s">
        <v>81</v>
      </c>
      <c r="Y1376" s="21" t="s">
        <v>81</v>
      </c>
      <c r="Z1376" s="6" t="s">
        <v>81</v>
      </c>
      <c r="AA1376" s="6" t="s">
        <v>81</v>
      </c>
      <c r="AB1376" s="6" t="s">
        <v>81</v>
      </c>
      <c r="AC1376" s="6" t="s">
        <v>81</v>
      </c>
      <c r="AD1376" s="21" t="s">
        <v>81</v>
      </c>
      <c r="AE1376" s="6" t="s">
        <v>81</v>
      </c>
      <c r="AF1376" s="6" t="s">
        <v>81</v>
      </c>
      <c r="AG1376" s="6" t="s">
        <v>81</v>
      </c>
      <c r="AH1376" s="6" t="s">
        <v>15945</v>
      </c>
      <c r="AI1376" s="6" t="s">
        <v>81</v>
      </c>
      <c r="AJ1376" s="6" t="s">
        <v>17926</v>
      </c>
      <c r="AK1376" s="6" t="s">
        <v>18380</v>
      </c>
      <c r="AL1376" s="6" t="s">
        <v>18444</v>
      </c>
      <c r="AM1376" s="6" t="s">
        <v>19170</v>
      </c>
      <c r="AN1376" s="6" t="s">
        <v>19639</v>
      </c>
      <c r="AO1376" s="6" t="s">
        <v>19725</v>
      </c>
      <c r="AP1376" s="6" t="s">
        <v>15945</v>
      </c>
      <c r="AQ1376" s="6" t="s">
        <v>81</v>
      </c>
      <c r="AR1376" s="6" t="s">
        <v>17926</v>
      </c>
      <c r="AS1376" s="6" t="s">
        <v>18380</v>
      </c>
      <c r="AT1376" s="6" t="s">
        <v>18444</v>
      </c>
      <c r="AU1376" s="6" t="s">
        <v>19170</v>
      </c>
      <c r="AV1376" s="6" t="s">
        <v>81</v>
      </c>
      <c r="AW1376" s="6" t="s">
        <v>81</v>
      </c>
      <c r="AX1376" s="6" t="s">
        <v>21608</v>
      </c>
      <c r="AY1376" s="6" t="s">
        <v>81</v>
      </c>
      <c r="AZ1376" s="6" t="s">
        <v>81</v>
      </c>
      <c r="BA1376" s="6" t="s">
        <v>81</v>
      </c>
      <c r="BB1376" s="24" t="n">
        <v>60</v>
      </c>
      <c r="BC1376" s="26"/>
      <c r="BD1376" s="26"/>
      <c r="BE1376" s="26"/>
      <c r="BF1376" s="26"/>
      <c r="BG1376" s="26"/>
      <c r="BH1376" s="26"/>
      <c r="BI1376" s="26"/>
      <c r="BJ1376" s="26"/>
      <c r="BK1376" s="26"/>
      <c r="BL1376" s="26"/>
      <c r="BM1376" s="26"/>
      <c r="BN1376" s="26"/>
      <c r="BO1376" s="26"/>
      <c r="BP1376" s="16" t="n">
        <v>45684</v>
      </c>
      <c r="BQ1376" s="28" t="str">
        <f>HYPERLINK("https://organic.ams.usda.gov/Integrity/Certificate.aspx?cid=68&amp;nopid=8210004244")</f>
        <v>https://organic.ams.usda.gov/Integrity/Certificate.aspx?cid=68&amp;nopid=8210004244</v>
      </c>
    </row>
    <row r="1377">
      <c r="A1377" t="s">
        <v>3</v>
      </c>
      <c r="B1377" s="6" t="s">
        <v>9</v>
      </c>
      <c r="C1377" s="6" t="s">
        <v>56</v>
      </c>
      <c r="D1377" s="6" t="s">
        <v>102</v>
      </c>
      <c r="E1377" s="10" t="s">
        <v>1518</v>
      </c>
      <c r="F1377" s="6" t="s">
        <v>4242</v>
      </c>
      <c r="G1377" s="6" t="s">
        <v>81</v>
      </c>
      <c r="H1377" s="6" t="s">
        <v>6593</v>
      </c>
      <c r="I1377" s="6" t="s">
        <v>8409</v>
      </c>
      <c r="J1377" s="6" t="s">
        <v>9755</v>
      </c>
      <c r="K1377" s="6" t="s">
        <v>10886</v>
      </c>
      <c r="L1377" s="16" t="n">
        <v>41033</v>
      </c>
      <c r="M1377" s="16" t="n">
        <v>45748</v>
      </c>
      <c r="N1377" s="6" t="s">
        <v>10886</v>
      </c>
      <c r="O1377" s="16" t="n">
        <v>41033</v>
      </c>
      <c r="P1377" s="6" t="s">
        <v>11052</v>
      </c>
      <c r="Q1377" s="6" t="s">
        <v>81</v>
      </c>
      <c r="R1377" s="6" t="s">
        <v>12801</v>
      </c>
      <c r="S1377" s="6" t="s">
        <v>10886</v>
      </c>
      <c r="T1377" s="16" t="n">
        <v>41033</v>
      </c>
      <c r="U1377" s="6" t="s">
        <v>13383</v>
      </c>
      <c r="V1377" s="6" t="s">
        <v>81</v>
      </c>
      <c r="W1377" s="6" t="s">
        <v>12801</v>
      </c>
      <c r="X1377" s="6" t="s">
        <v>81</v>
      </c>
      <c r="Y1377" s="21" t="s">
        <v>81</v>
      </c>
      <c r="Z1377" s="6" t="s">
        <v>81</v>
      </c>
      <c r="AA1377" s="6" t="s">
        <v>81</v>
      </c>
      <c r="AB1377" s="6" t="s">
        <v>81</v>
      </c>
      <c r="AC1377" s="6" t="s">
        <v>81</v>
      </c>
      <c r="AD1377" s="21" t="s">
        <v>81</v>
      </c>
      <c r="AE1377" s="6" t="s">
        <v>81</v>
      </c>
      <c r="AF1377" s="6" t="s">
        <v>81</v>
      </c>
      <c r="AG1377" s="6" t="s">
        <v>81</v>
      </c>
      <c r="AH1377" s="6" t="s">
        <v>15946</v>
      </c>
      <c r="AI1377" s="6" t="s">
        <v>81</v>
      </c>
      <c r="AJ1377" s="6" t="s">
        <v>17755</v>
      </c>
      <c r="AK1377" s="6" t="s">
        <v>18377</v>
      </c>
      <c r="AL1377" s="6" t="s">
        <v>18444</v>
      </c>
      <c r="AM1377" s="6" t="s">
        <v>18927</v>
      </c>
      <c r="AN1377" s="6" t="s">
        <v>7895</v>
      </c>
      <c r="AO1377" s="6" t="s">
        <v>19773</v>
      </c>
      <c r="AP1377" s="6" t="s">
        <v>81</v>
      </c>
      <c r="AQ1377" s="6" t="s">
        <v>81</v>
      </c>
      <c r="AR1377" s="6" t="s">
        <v>81</v>
      </c>
      <c r="AS1377" s="6" t="s">
        <v>81</v>
      </c>
      <c r="AT1377" s="6" t="s">
        <v>81</v>
      </c>
      <c r="AU1377" s="6" t="s">
        <v>81</v>
      </c>
      <c r="AV1377" s="6" t="s">
        <v>81</v>
      </c>
      <c r="AW1377" s="6" t="s">
        <v>81</v>
      </c>
      <c r="AX1377" s="6" t="s">
        <v>21609</v>
      </c>
      <c r="AY1377" s="6" t="s">
        <v>81</v>
      </c>
      <c r="AZ1377" s="6" t="s">
        <v>81</v>
      </c>
      <c r="BA1377" s="6" t="s">
        <v>81</v>
      </c>
      <c r="BB1377" s="24" t="n">
        <v>224</v>
      </c>
      <c r="BC1377" s="26"/>
      <c r="BD1377" s="26"/>
      <c r="BE1377" s="26"/>
      <c r="BF1377" s="26"/>
      <c r="BG1377" s="26"/>
      <c r="BH1377" s="26"/>
      <c r="BI1377" s="26"/>
      <c r="BJ1377" s="26"/>
      <c r="BK1377" s="26"/>
      <c r="BL1377" s="26"/>
      <c r="BM1377" s="26"/>
      <c r="BN1377" s="26"/>
      <c r="BO1377" s="26"/>
      <c r="BP1377" s="16" t="n">
        <v>45738</v>
      </c>
      <c r="BQ1377" s="28" t="str">
        <f>HYPERLINK("https://organic.ams.usda.gov/Integrity/Certificate.aspx?cid=52&amp;nopid=8431200307")</f>
        <v>https://organic.ams.usda.gov/Integrity/Certificate.aspx?cid=52&amp;nopid=8431200307</v>
      </c>
    </row>
    <row r="1378">
      <c r="A1378" t="s">
        <v>3</v>
      </c>
      <c r="B1378" s="6" t="s">
        <v>25</v>
      </c>
      <c r="C1378" s="6" t="s">
        <v>72</v>
      </c>
      <c r="D1378" s="6" t="s">
        <v>118</v>
      </c>
      <c r="E1378" s="10" t="s">
        <v>1519</v>
      </c>
      <c r="F1378" s="6" t="s">
        <v>4243</v>
      </c>
      <c r="G1378" s="6" t="s">
        <v>81</v>
      </c>
      <c r="H1378" s="6" t="s">
        <v>7158</v>
      </c>
      <c r="I1378" s="6" t="s">
        <v>8409</v>
      </c>
      <c r="J1378" s="6" t="s">
        <v>10310</v>
      </c>
      <c r="K1378" s="6" t="s">
        <v>10886</v>
      </c>
      <c r="L1378" s="16" t="n">
        <v>40674</v>
      </c>
      <c r="M1378" s="16" t="n">
        <v>46023</v>
      </c>
      <c r="N1378" s="6" t="s">
        <v>10886</v>
      </c>
      <c r="O1378" s="16" t="n">
        <v>40674</v>
      </c>
      <c r="P1378" s="6" t="s">
        <v>11722</v>
      </c>
      <c r="Q1378" s="6" t="s">
        <v>81</v>
      </c>
      <c r="R1378" s="6" t="s">
        <v>81</v>
      </c>
      <c r="S1378" s="6" t="s">
        <v>10886</v>
      </c>
      <c r="T1378" s="16" t="n">
        <v>40753</v>
      </c>
      <c r="U1378" s="6" t="s">
        <v>13608</v>
      </c>
      <c r="V1378" s="6" t="s">
        <v>81</v>
      </c>
      <c r="W1378" s="6" t="s">
        <v>81</v>
      </c>
      <c r="X1378" s="6" t="s">
        <v>81</v>
      </c>
      <c r="Y1378" s="21" t="s">
        <v>81</v>
      </c>
      <c r="Z1378" s="6" t="s">
        <v>81</v>
      </c>
      <c r="AA1378" s="6" t="s">
        <v>81</v>
      </c>
      <c r="AB1378" s="6" t="s">
        <v>81</v>
      </c>
      <c r="AC1378" s="6" t="s">
        <v>10886</v>
      </c>
      <c r="AD1378" s="16" t="n">
        <v>44734</v>
      </c>
      <c r="AE1378" s="6" t="s">
        <v>14081</v>
      </c>
      <c r="AF1378" s="6" t="s">
        <v>81</v>
      </c>
      <c r="AG1378" s="6" t="s">
        <v>81</v>
      </c>
      <c r="AH1378" s="6" t="s">
        <v>15947</v>
      </c>
      <c r="AI1378" s="6" t="s">
        <v>81</v>
      </c>
      <c r="AJ1378" s="6" t="s">
        <v>17561</v>
      </c>
      <c r="AK1378" s="6" t="s">
        <v>18386</v>
      </c>
      <c r="AL1378" s="6" t="s">
        <v>18444</v>
      </c>
      <c r="AM1378" s="6" t="s">
        <v>18760</v>
      </c>
      <c r="AN1378" s="6" t="s">
        <v>19672</v>
      </c>
      <c r="AO1378" s="6" t="s">
        <v>19787</v>
      </c>
      <c r="AP1378" s="6" t="s">
        <v>15947</v>
      </c>
      <c r="AQ1378" s="6" t="s">
        <v>81</v>
      </c>
      <c r="AR1378" s="6" t="s">
        <v>17561</v>
      </c>
      <c r="AS1378" s="6" t="s">
        <v>18386</v>
      </c>
      <c r="AT1378" s="6" t="s">
        <v>18444</v>
      </c>
      <c r="AU1378" s="6" t="s">
        <v>18760</v>
      </c>
      <c r="AV1378" s="6" t="s">
        <v>81</v>
      </c>
      <c r="AW1378" s="6" t="s">
        <v>81</v>
      </c>
      <c r="AX1378" s="6" t="s">
        <v>21610</v>
      </c>
      <c r="AY1378" s="6" t="s">
        <v>23047</v>
      </c>
      <c r="AZ1378" s="6" t="s">
        <v>81</v>
      </c>
      <c r="BA1378" s="6" t="s">
        <v>23827</v>
      </c>
      <c r="BB1378" s="24" t="n">
        <v>1445</v>
      </c>
      <c r="BC1378" s="26"/>
      <c r="BD1378" s="26"/>
      <c r="BE1378" s="26"/>
      <c r="BF1378" s="26" t="s">
        <v>23900</v>
      </c>
      <c r="BG1378" s="26"/>
      <c r="BH1378" s="26"/>
      <c r="BI1378" s="26"/>
      <c r="BJ1378" s="26"/>
      <c r="BK1378" s="26"/>
      <c r="BL1378" s="26"/>
      <c r="BM1378" s="26"/>
      <c r="BN1378" s="26"/>
      <c r="BO1378" s="26"/>
      <c r="BP1378" s="16" t="n">
        <v>45723</v>
      </c>
      <c r="BQ1378" s="28" t="str">
        <f>HYPERLINK("https://organic.ams.usda.gov/Integrity/Certificate.aspx?cid=15&amp;nopid=5561001378")</f>
        <v>https://organic.ams.usda.gov/Integrity/Certificate.aspx?cid=15&amp;nopid=5561001378</v>
      </c>
    </row>
    <row r="1379">
      <c r="A1379" t="s">
        <v>3</v>
      </c>
      <c r="B1379" s="6" t="s">
        <v>9</v>
      </c>
      <c r="C1379" s="6" t="s">
        <v>56</v>
      </c>
      <c r="D1379" s="6" t="s">
        <v>102</v>
      </c>
      <c r="E1379" s="10" t="s">
        <v>1520</v>
      </c>
      <c r="F1379" s="6" t="s">
        <v>4244</v>
      </c>
      <c r="G1379" s="6" t="s">
        <v>81</v>
      </c>
      <c r="H1379" s="6" t="s">
        <v>7159</v>
      </c>
      <c r="I1379" s="6" t="s">
        <v>81</v>
      </c>
      <c r="J1379" s="6" t="s">
        <v>81</v>
      </c>
      <c r="K1379" s="6" t="s">
        <v>10886</v>
      </c>
      <c r="L1379" s="16" t="n">
        <v>42217</v>
      </c>
      <c r="M1379" s="16" t="n">
        <v>46113</v>
      </c>
      <c r="N1379" s="6" t="s">
        <v>10886</v>
      </c>
      <c r="O1379" s="16" t="n">
        <v>42217</v>
      </c>
      <c r="P1379" s="6" t="s">
        <v>11550</v>
      </c>
      <c r="Q1379" s="6" t="s">
        <v>81</v>
      </c>
      <c r="R1379" s="6" t="s">
        <v>12802</v>
      </c>
      <c r="S1379" s="6" t="s">
        <v>10886</v>
      </c>
      <c r="T1379" s="16" t="n">
        <v>42217</v>
      </c>
      <c r="U1379" s="6" t="s">
        <v>13609</v>
      </c>
      <c r="V1379" s="6" t="s">
        <v>81</v>
      </c>
      <c r="W1379" s="6" t="s">
        <v>12802</v>
      </c>
      <c r="X1379" s="6" t="s">
        <v>81</v>
      </c>
      <c r="Y1379" s="21" t="s">
        <v>81</v>
      </c>
      <c r="Z1379" s="6" t="s">
        <v>81</v>
      </c>
      <c r="AA1379" s="6" t="s">
        <v>81</v>
      </c>
      <c r="AB1379" s="6" t="s">
        <v>81</v>
      </c>
      <c r="AC1379" s="6" t="s">
        <v>81</v>
      </c>
      <c r="AD1379" s="21" t="s">
        <v>81</v>
      </c>
      <c r="AE1379" s="6" t="s">
        <v>81</v>
      </c>
      <c r="AF1379" s="6" t="s">
        <v>81</v>
      </c>
      <c r="AG1379" s="6" t="s">
        <v>81</v>
      </c>
      <c r="AH1379" s="6" t="s">
        <v>15948</v>
      </c>
      <c r="AI1379" s="6" t="s">
        <v>81</v>
      </c>
      <c r="AJ1379" s="6" t="s">
        <v>17394</v>
      </c>
      <c r="AK1379" s="6" t="s">
        <v>18377</v>
      </c>
      <c r="AL1379" s="6" t="s">
        <v>18444</v>
      </c>
      <c r="AM1379" s="6" t="s">
        <v>18550</v>
      </c>
      <c r="AN1379" s="6" t="s">
        <v>7895</v>
      </c>
      <c r="AO1379" s="6" t="s">
        <v>19773</v>
      </c>
      <c r="AP1379" s="6" t="s">
        <v>81</v>
      </c>
      <c r="AQ1379" s="6" t="s">
        <v>81</v>
      </c>
      <c r="AR1379" s="6" t="s">
        <v>81</v>
      </c>
      <c r="AS1379" s="6" t="s">
        <v>81</v>
      </c>
      <c r="AT1379" s="6" t="s">
        <v>81</v>
      </c>
      <c r="AU1379" s="6" t="s">
        <v>81</v>
      </c>
      <c r="AV1379" s="6" t="s">
        <v>81</v>
      </c>
      <c r="AW1379" s="6" t="s">
        <v>81</v>
      </c>
      <c r="AX1379" s="6" t="s">
        <v>21611</v>
      </c>
      <c r="AY1379" s="6" t="s">
        <v>81</v>
      </c>
      <c r="AZ1379" s="6" t="s">
        <v>81</v>
      </c>
      <c r="BA1379" s="6" t="s">
        <v>81</v>
      </c>
      <c r="BB1379" s="24" t="n">
        <v>133</v>
      </c>
      <c r="BC1379" s="26"/>
      <c r="BD1379" s="26"/>
      <c r="BE1379" s="26"/>
      <c r="BF1379" s="26"/>
      <c r="BG1379" s="26"/>
      <c r="BH1379" s="26"/>
      <c r="BI1379" s="26"/>
      <c r="BJ1379" s="26"/>
      <c r="BK1379" s="26"/>
      <c r="BL1379" s="26"/>
      <c r="BM1379" s="26"/>
      <c r="BN1379" s="26"/>
      <c r="BO1379" s="26"/>
      <c r="BP1379" s="16" t="n">
        <v>45738</v>
      </c>
      <c r="BQ1379" s="28" t="str">
        <f>HYPERLINK("https://organic.ams.usda.gov/Integrity/Certificate.aspx?cid=52&amp;nopid=8431501034")</f>
        <v>https://organic.ams.usda.gov/Integrity/Certificate.aspx?cid=52&amp;nopid=8431501034</v>
      </c>
    </row>
    <row r="1380">
      <c r="A1380" t="s">
        <v>3</v>
      </c>
      <c r="B1380" s="6" t="s">
        <v>9</v>
      </c>
      <c r="C1380" s="6" t="s">
        <v>56</v>
      </c>
      <c r="D1380" s="6" t="s">
        <v>102</v>
      </c>
      <c r="E1380" s="10" t="s">
        <v>1521</v>
      </c>
      <c r="F1380" s="6" t="s">
        <v>4245</v>
      </c>
      <c r="G1380" s="6" t="s">
        <v>81</v>
      </c>
      <c r="H1380" s="6" t="s">
        <v>7160</v>
      </c>
      <c r="I1380" s="6" t="s">
        <v>81</v>
      </c>
      <c r="J1380" s="6" t="s">
        <v>81</v>
      </c>
      <c r="K1380" s="6" t="s">
        <v>10886</v>
      </c>
      <c r="L1380" s="16" t="n">
        <v>43403</v>
      </c>
      <c r="M1380" s="16" t="n">
        <v>46113</v>
      </c>
      <c r="N1380" s="6" t="s">
        <v>10886</v>
      </c>
      <c r="O1380" s="16" t="n">
        <v>43403</v>
      </c>
      <c r="P1380" s="6" t="s">
        <v>11253</v>
      </c>
      <c r="Q1380" s="6" t="s">
        <v>81</v>
      </c>
      <c r="R1380" s="6" t="s">
        <v>12803</v>
      </c>
      <c r="S1380" s="6" t="s">
        <v>10886</v>
      </c>
      <c r="T1380" s="16" t="n">
        <v>43403</v>
      </c>
      <c r="U1380" s="6" t="s">
        <v>13168</v>
      </c>
      <c r="V1380" s="6" t="s">
        <v>81</v>
      </c>
      <c r="W1380" s="6" t="s">
        <v>12803</v>
      </c>
      <c r="X1380" s="6" t="s">
        <v>81</v>
      </c>
      <c r="Y1380" s="21" t="s">
        <v>81</v>
      </c>
      <c r="Z1380" s="6" t="s">
        <v>81</v>
      </c>
      <c r="AA1380" s="6" t="s">
        <v>81</v>
      </c>
      <c r="AB1380" s="6" t="s">
        <v>81</v>
      </c>
      <c r="AC1380" s="6" t="s">
        <v>81</v>
      </c>
      <c r="AD1380" s="21" t="s">
        <v>81</v>
      </c>
      <c r="AE1380" s="6" t="s">
        <v>81</v>
      </c>
      <c r="AF1380" s="6" t="s">
        <v>81</v>
      </c>
      <c r="AG1380" s="6" t="s">
        <v>81</v>
      </c>
      <c r="AH1380" s="6" t="s">
        <v>15949</v>
      </c>
      <c r="AI1380" s="6" t="s">
        <v>81</v>
      </c>
      <c r="AJ1380" s="6" t="s">
        <v>17325</v>
      </c>
      <c r="AK1380" s="6" t="s">
        <v>18378</v>
      </c>
      <c r="AL1380" s="6" t="s">
        <v>18444</v>
      </c>
      <c r="AM1380" s="6" t="s">
        <v>18477</v>
      </c>
      <c r="AN1380" s="6" t="s">
        <v>6132</v>
      </c>
      <c r="AO1380" s="6" t="s">
        <v>19943</v>
      </c>
      <c r="AP1380" s="6" t="s">
        <v>81</v>
      </c>
      <c r="AQ1380" s="6" t="s">
        <v>81</v>
      </c>
      <c r="AR1380" s="6" t="s">
        <v>81</v>
      </c>
      <c r="AS1380" s="6" t="s">
        <v>81</v>
      </c>
      <c r="AT1380" s="6" t="s">
        <v>81</v>
      </c>
      <c r="AU1380" s="6" t="s">
        <v>81</v>
      </c>
      <c r="AV1380" s="6" t="s">
        <v>81</v>
      </c>
      <c r="AW1380" s="6" t="s">
        <v>81</v>
      </c>
      <c r="AX1380" s="6" t="s">
        <v>81</v>
      </c>
      <c r="AY1380" s="6" t="s">
        <v>81</v>
      </c>
      <c r="AZ1380" s="6" t="s">
        <v>81</v>
      </c>
      <c r="BA1380" s="6" t="s">
        <v>81</v>
      </c>
      <c r="BB1380" s="24" t="n">
        <v>84</v>
      </c>
      <c r="BC1380" s="26"/>
      <c r="BD1380" s="26"/>
      <c r="BE1380" s="26"/>
      <c r="BF1380" s="26"/>
      <c r="BG1380" s="26"/>
      <c r="BH1380" s="26"/>
      <c r="BI1380" s="26"/>
      <c r="BJ1380" s="26"/>
      <c r="BK1380" s="26"/>
      <c r="BL1380" s="26"/>
      <c r="BM1380" s="26"/>
      <c r="BN1380" s="26"/>
      <c r="BO1380" s="26"/>
      <c r="BP1380" s="16" t="n">
        <v>45738</v>
      </c>
      <c r="BQ1380" s="28" t="str">
        <f>HYPERLINK("https://organic.ams.usda.gov/Integrity/Certificate.aspx?cid=52&amp;nopid=8431801543")</f>
        <v>https://organic.ams.usda.gov/Integrity/Certificate.aspx?cid=52&amp;nopid=8431801543</v>
      </c>
    </row>
    <row r="1381">
      <c r="A1381" t="s">
        <v>3</v>
      </c>
      <c r="B1381" s="6" t="s">
        <v>7</v>
      </c>
      <c r="C1381" s="6" t="s">
        <v>54</v>
      </c>
      <c r="D1381" s="6" t="s">
        <v>100</v>
      </c>
      <c r="E1381" s="10" t="s">
        <v>1522</v>
      </c>
      <c r="F1381" s="6" t="s">
        <v>4246</v>
      </c>
      <c r="G1381" s="6" t="s">
        <v>5720</v>
      </c>
      <c r="H1381" s="6" t="s">
        <v>7161</v>
      </c>
      <c r="I1381" s="6" t="s">
        <v>8409</v>
      </c>
      <c r="J1381" s="6" t="s">
        <v>10032</v>
      </c>
      <c r="K1381" s="6" t="s">
        <v>10886</v>
      </c>
      <c r="L1381" s="16" t="n">
        <v>45511</v>
      </c>
      <c r="M1381" s="16" t="n">
        <v>45716</v>
      </c>
      <c r="N1381" s="6" t="s">
        <v>10886</v>
      </c>
      <c r="O1381" s="16" t="n">
        <v>45511</v>
      </c>
      <c r="P1381" s="6" t="s">
        <v>11723</v>
      </c>
      <c r="Q1381" s="6" t="s">
        <v>81</v>
      </c>
      <c r="R1381" s="6" t="s">
        <v>81</v>
      </c>
      <c r="S1381" s="6" t="s">
        <v>10886</v>
      </c>
      <c r="T1381" s="16" t="n">
        <v>45511</v>
      </c>
      <c r="U1381" s="6" t="s">
        <v>13169</v>
      </c>
      <c r="V1381" s="6" t="s">
        <v>81</v>
      </c>
      <c r="W1381" s="6" t="s">
        <v>81</v>
      </c>
      <c r="X1381" s="6" t="s">
        <v>81</v>
      </c>
      <c r="Y1381" s="21" t="s">
        <v>81</v>
      </c>
      <c r="Z1381" s="6" t="s">
        <v>81</v>
      </c>
      <c r="AA1381" s="6" t="s">
        <v>81</v>
      </c>
      <c r="AB1381" s="6" t="s">
        <v>81</v>
      </c>
      <c r="AC1381" s="6" t="s">
        <v>81</v>
      </c>
      <c r="AD1381" s="21" t="s">
        <v>81</v>
      </c>
      <c r="AE1381" s="6" t="s">
        <v>81</v>
      </c>
      <c r="AF1381" s="6" t="s">
        <v>81</v>
      </c>
      <c r="AG1381" s="6" t="s">
        <v>81</v>
      </c>
      <c r="AH1381" s="6" t="s">
        <v>15950</v>
      </c>
      <c r="AI1381" s="6" t="s">
        <v>81</v>
      </c>
      <c r="AJ1381" s="6" t="s">
        <v>17311</v>
      </c>
      <c r="AK1381" s="6" t="s">
        <v>17712</v>
      </c>
      <c r="AL1381" s="6" t="s">
        <v>18444</v>
      </c>
      <c r="AM1381" s="6" t="s">
        <v>18463</v>
      </c>
      <c r="AN1381" s="6" t="s">
        <v>81</v>
      </c>
      <c r="AO1381" s="6" t="s">
        <v>81</v>
      </c>
      <c r="AP1381" s="6" t="s">
        <v>15950</v>
      </c>
      <c r="AQ1381" s="6" t="s">
        <v>81</v>
      </c>
      <c r="AR1381" s="6" t="s">
        <v>17311</v>
      </c>
      <c r="AS1381" s="6" t="s">
        <v>17712</v>
      </c>
      <c r="AT1381" s="6" t="s">
        <v>18444</v>
      </c>
      <c r="AU1381" s="6" t="s">
        <v>18463</v>
      </c>
      <c r="AV1381" s="6" t="s">
        <v>81</v>
      </c>
      <c r="AW1381" s="6" t="s">
        <v>81</v>
      </c>
      <c r="AX1381" s="6" t="s">
        <v>21612</v>
      </c>
      <c r="AY1381" s="6" t="s">
        <v>81</v>
      </c>
      <c r="AZ1381" s="6" t="s">
        <v>81</v>
      </c>
      <c r="BA1381" s="6" t="s">
        <v>81</v>
      </c>
      <c r="BB1381" s="24" t="n">
        <v>121</v>
      </c>
      <c r="BC1381" s="26"/>
      <c r="BD1381" s="26"/>
      <c r="BE1381" s="26"/>
      <c r="BF1381" s="26" t="s">
        <v>23900</v>
      </c>
      <c r="BG1381" s="26"/>
      <c r="BH1381" s="26"/>
      <c r="BI1381" s="26"/>
      <c r="BJ1381" s="26"/>
      <c r="BK1381" s="26"/>
      <c r="BL1381" s="26"/>
      <c r="BM1381" s="26"/>
      <c r="BN1381" s="26"/>
      <c r="BO1381" s="26"/>
      <c r="BP1381" s="16" t="n">
        <v>45595</v>
      </c>
      <c r="BQ1381" s="28" t="str">
        <f>HYPERLINK("https://organic.ams.usda.gov/Integrity/Certificate.aspx?cid=57&amp;nopid=3252024027")</f>
        <v>https://organic.ams.usda.gov/Integrity/Certificate.aspx?cid=57&amp;nopid=3252024027</v>
      </c>
    </row>
    <row r="1382">
      <c r="A1382" t="s">
        <v>3</v>
      </c>
      <c r="B1382" s="6" t="s">
        <v>29</v>
      </c>
      <c r="C1382" s="6" t="s">
        <v>76</v>
      </c>
      <c r="D1382" s="6" t="s">
        <v>122</v>
      </c>
      <c r="E1382" s="10" t="s">
        <v>1523</v>
      </c>
      <c r="F1382" s="6" t="s">
        <v>4247</v>
      </c>
      <c r="G1382" s="6" t="s">
        <v>81</v>
      </c>
      <c r="H1382" s="6" t="s">
        <v>7162</v>
      </c>
      <c r="I1382" s="6" t="s">
        <v>9114</v>
      </c>
      <c r="J1382" s="6" t="s">
        <v>9672</v>
      </c>
      <c r="K1382" s="6" t="s">
        <v>10886</v>
      </c>
      <c r="L1382" s="16" t="n">
        <v>38496</v>
      </c>
      <c r="M1382" s="16" t="n">
        <v>45870</v>
      </c>
      <c r="N1382" s="6" t="s">
        <v>10886</v>
      </c>
      <c r="O1382" s="16" t="n">
        <v>38496</v>
      </c>
      <c r="P1382" s="6" t="s">
        <v>11224</v>
      </c>
      <c r="Q1382" s="6" t="s">
        <v>81</v>
      </c>
      <c r="R1382" s="6" t="s">
        <v>12804</v>
      </c>
      <c r="S1382" s="6" t="s">
        <v>10886</v>
      </c>
      <c r="T1382" s="16" t="n">
        <v>38496</v>
      </c>
      <c r="U1382" s="6" t="s">
        <v>13610</v>
      </c>
      <c r="V1382" s="6" t="s">
        <v>81</v>
      </c>
      <c r="W1382" s="6" t="s">
        <v>12804</v>
      </c>
      <c r="X1382" s="6" t="s">
        <v>81</v>
      </c>
      <c r="Y1382" s="21" t="s">
        <v>81</v>
      </c>
      <c r="Z1382" s="6" t="s">
        <v>81</v>
      </c>
      <c r="AA1382" s="6" t="s">
        <v>81</v>
      </c>
      <c r="AB1382" s="6" t="s">
        <v>81</v>
      </c>
      <c r="AC1382" s="6" t="s">
        <v>81</v>
      </c>
      <c r="AD1382" s="21" t="s">
        <v>81</v>
      </c>
      <c r="AE1382" s="6" t="s">
        <v>81</v>
      </c>
      <c r="AF1382" s="6" t="s">
        <v>81</v>
      </c>
      <c r="AG1382" s="6" t="s">
        <v>81</v>
      </c>
      <c r="AH1382" s="6" t="s">
        <v>15951</v>
      </c>
      <c r="AI1382" s="6" t="s">
        <v>81</v>
      </c>
      <c r="AJ1382" s="6" t="s">
        <v>17329</v>
      </c>
      <c r="AK1382" s="6" t="s">
        <v>18380</v>
      </c>
      <c r="AL1382" s="6" t="s">
        <v>18444</v>
      </c>
      <c r="AM1382" s="6" t="s">
        <v>18481</v>
      </c>
      <c r="AN1382" s="6" t="s">
        <v>19639</v>
      </c>
      <c r="AO1382" s="6" t="s">
        <v>19725</v>
      </c>
      <c r="AP1382" s="6" t="s">
        <v>81</v>
      </c>
      <c r="AQ1382" s="6" t="s">
        <v>81</v>
      </c>
      <c r="AR1382" s="6" t="s">
        <v>81</v>
      </c>
      <c r="AS1382" s="6" t="s">
        <v>81</v>
      </c>
      <c r="AT1382" s="6" t="s">
        <v>81</v>
      </c>
      <c r="AU1382" s="6" t="s">
        <v>81</v>
      </c>
      <c r="AV1382" s="6" t="s">
        <v>81</v>
      </c>
      <c r="AW1382" s="6" t="s">
        <v>81</v>
      </c>
      <c r="AX1382" s="6" t="s">
        <v>21613</v>
      </c>
      <c r="AY1382" s="6" t="s">
        <v>81</v>
      </c>
      <c r="AZ1382" s="6" t="s">
        <v>81</v>
      </c>
      <c r="BA1382" s="6" t="s">
        <v>81</v>
      </c>
      <c r="BB1382" s="24" t="n">
        <v>78</v>
      </c>
      <c r="BC1382" s="26"/>
      <c r="BD1382" s="26"/>
      <c r="BE1382" s="26"/>
      <c r="BF1382" s="26" t="s">
        <v>23900</v>
      </c>
      <c r="BG1382" s="26"/>
      <c r="BH1382" s="26"/>
      <c r="BI1382" s="26"/>
      <c r="BJ1382" s="26"/>
      <c r="BK1382" s="26"/>
      <c r="BL1382" s="26"/>
      <c r="BM1382" s="26"/>
      <c r="BN1382" s="26"/>
      <c r="BO1382" s="26"/>
      <c r="BP1382" s="16" t="n">
        <v>45737</v>
      </c>
      <c r="BQ1382" s="28" t="str">
        <f>HYPERLINK("https://organic.ams.usda.gov/Integrity/Certificate.aspx?cid=31&amp;nopid=3920897436")</f>
        <v>https://organic.ams.usda.gov/Integrity/Certificate.aspx?cid=31&amp;nopid=3920897436</v>
      </c>
    </row>
    <row r="1383">
      <c r="A1383" t="s">
        <v>3</v>
      </c>
      <c r="B1383" s="6" t="s">
        <v>15</v>
      </c>
      <c r="C1383" s="6" t="s">
        <v>62</v>
      </c>
      <c r="D1383" s="6" t="s">
        <v>108</v>
      </c>
      <c r="E1383" s="10" t="s">
        <v>1524</v>
      </c>
      <c r="F1383" s="6" t="s">
        <v>4248</v>
      </c>
      <c r="G1383" s="6" t="s">
        <v>81</v>
      </c>
      <c r="H1383" s="6" t="s">
        <v>7163</v>
      </c>
      <c r="I1383" s="6" t="s">
        <v>9115</v>
      </c>
      <c r="J1383" s="6" t="s">
        <v>9667</v>
      </c>
      <c r="K1383" s="6" t="s">
        <v>10886</v>
      </c>
      <c r="L1383" s="16" t="n">
        <v>44760</v>
      </c>
      <c r="M1383" s="16" t="n">
        <v>45792</v>
      </c>
      <c r="N1383" s="6" t="s">
        <v>10886</v>
      </c>
      <c r="O1383" s="16" t="n">
        <v>44760</v>
      </c>
      <c r="P1383" s="6" t="s">
        <v>11724</v>
      </c>
      <c r="Q1383" s="6" t="s">
        <v>81</v>
      </c>
      <c r="R1383" s="6" t="s">
        <v>81</v>
      </c>
      <c r="S1383" s="6" t="s">
        <v>10886</v>
      </c>
      <c r="T1383" s="16" t="n">
        <v>44760</v>
      </c>
      <c r="U1383" s="6" t="s">
        <v>13460</v>
      </c>
      <c r="V1383" s="6" t="s">
        <v>81</v>
      </c>
      <c r="W1383" s="6" t="s">
        <v>81</v>
      </c>
      <c r="X1383" s="6" t="s">
        <v>81</v>
      </c>
      <c r="Y1383" s="21" t="s">
        <v>81</v>
      </c>
      <c r="Z1383" s="6" t="s">
        <v>81</v>
      </c>
      <c r="AA1383" s="6" t="s">
        <v>81</v>
      </c>
      <c r="AB1383" s="6" t="s">
        <v>81</v>
      </c>
      <c r="AC1383" s="6" t="s">
        <v>81</v>
      </c>
      <c r="AD1383" s="21" t="s">
        <v>81</v>
      </c>
      <c r="AE1383" s="6" t="s">
        <v>81</v>
      </c>
      <c r="AF1383" s="6" t="s">
        <v>81</v>
      </c>
      <c r="AG1383" s="6" t="s">
        <v>81</v>
      </c>
      <c r="AH1383" s="6" t="s">
        <v>15952</v>
      </c>
      <c r="AI1383" s="6" t="s">
        <v>81</v>
      </c>
      <c r="AJ1383" s="6" t="s">
        <v>17387</v>
      </c>
      <c r="AK1383" s="6" t="s">
        <v>18380</v>
      </c>
      <c r="AL1383" s="6" t="s">
        <v>18444</v>
      </c>
      <c r="AM1383" s="6" t="s">
        <v>18541</v>
      </c>
      <c r="AN1383" s="6" t="s">
        <v>19639</v>
      </c>
      <c r="AO1383" s="6" t="s">
        <v>19725</v>
      </c>
      <c r="AP1383" s="6" t="s">
        <v>20279</v>
      </c>
      <c r="AQ1383" s="6" t="s">
        <v>81</v>
      </c>
      <c r="AR1383" s="6" t="s">
        <v>17387</v>
      </c>
      <c r="AS1383" s="6" t="s">
        <v>18380</v>
      </c>
      <c r="AT1383" s="6" t="s">
        <v>18444</v>
      </c>
      <c r="AU1383" s="6" t="s">
        <v>18541</v>
      </c>
      <c r="AV1383" s="6" t="s">
        <v>81</v>
      </c>
      <c r="AW1383" s="6" t="s">
        <v>81</v>
      </c>
      <c r="AX1383" s="6" t="s">
        <v>21614</v>
      </c>
      <c r="AY1383" s="6" t="s">
        <v>81</v>
      </c>
      <c r="AZ1383" s="6" t="s">
        <v>81</v>
      </c>
      <c r="BA1383" s="6" t="s">
        <v>81</v>
      </c>
      <c r="BB1383" s="24" t="n">
        <v>72</v>
      </c>
      <c r="BC1383" s="26"/>
      <c r="BD1383" s="26"/>
      <c r="BE1383" s="26"/>
      <c r="BF1383" s="26" t="s">
        <v>23900</v>
      </c>
      <c r="BG1383" s="26"/>
      <c r="BH1383" s="26"/>
      <c r="BI1383" s="26"/>
      <c r="BJ1383" s="26"/>
      <c r="BK1383" s="26"/>
      <c r="BL1383" s="26"/>
      <c r="BM1383" s="26"/>
      <c r="BN1383" s="26"/>
      <c r="BO1383" s="26"/>
      <c r="BP1383" s="16" t="n">
        <v>45737</v>
      </c>
      <c r="BQ1383" s="28" t="str">
        <f>HYPERLINK("https://organic.ams.usda.gov/Integrity/Certificate.aspx?cid=58&amp;nopid=1600003606")</f>
        <v>https://organic.ams.usda.gov/Integrity/Certificate.aspx?cid=58&amp;nopid=1600003606</v>
      </c>
    </row>
    <row r="1384">
      <c r="A1384" t="s">
        <v>3</v>
      </c>
      <c r="B1384" s="6" t="s">
        <v>11</v>
      </c>
      <c r="C1384" s="6" t="s">
        <v>58</v>
      </c>
      <c r="D1384" s="6" t="s">
        <v>104</v>
      </c>
      <c r="E1384" s="10" t="s">
        <v>1525</v>
      </c>
      <c r="F1384" s="6" t="s">
        <v>4249</v>
      </c>
      <c r="G1384" s="6" t="s">
        <v>81</v>
      </c>
      <c r="H1384" s="6" t="s">
        <v>81</v>
      </c>
      <c r="I1384" s="6" t="s">
        <v>9116</v>
      </c>
      <c r="J1384" s="6" t="s">
        <v>9665</v>
      </c>
      <c r="K1384" s="6" t="s">
        <v>10886</v>
      </c>
      <c r="L1384" s="16" t="n">
        <v>45035</v>
      </c>
      <c r="M1384" s="16" t="n">
        <v>45383</v>
      </c>
      <c r="N1384" s="6" t="s">
        <v>10886</v>
      </c>
      <c r="O1384" s="16" t="n">
        <v>45035</v>
      </c>
      <c r="P1384" s="6" t="s">
        <v>11725</v>
      </c>
      <c r="Q1384" s="6" t="s">
        <v>81</v>
      </c>
      <c r="R1384" s="6" t="s">
        <v>81</v>
      </c>
      <c r="S1384" s="6" t="s">
        <v>10886</v>
      </c>
      <c r="T1384" s="16" t="n">
        <v>45035</v>
      </c>
      <c r="U1384" s="6" t="s">
        <v>13611</v>
      </c>
      <c r="V1384" s="6" t="s">
        <v>81</v>
      </c>
      <c r="W1384" s="6" t="s">
        <v>81</v>
      </c>
      <c r="X1384" s="6" t="s">
        <v>81</v>
      </c>
      <c r="Y1384" s="21" t="s">
        <v>81</v>
      </c>
      <c r="Z1384" s="6" t="s">
        <v>81</v>
      </c>
      <c r="AA1384" s="6" t="s">
        <v>81</v>
      </c>
      <c r="AB1384" s="6" t="s">
        <v>81</v>
      </c>
      <c r="AC1384" s="6" t="s">
        <v>81</v>
      </c>
      <c r="AD1384" s="21" t="s">
        <v>81</v>
      </c>
      <c r="AE1384" s="6" t="s">
        <v>81</v>
      </c>
      <c r="AF1384" s="6" t="s">
        <v>81</v>
      </c>
      <c r="AG1384" s="6" t="s">
        <v>81</v>
      </c>
      <c r="AH1384" s="6" t="s">
        <v>15953</v>
      </c>
      <c r="AI1384" s="6" t="s">
        <v>81</v>
      </c>
      <c r="AJ1384" s="6" t="s">
        <v>17409</v>
      </c>
      <c r="AK1384" s="6" t="s">
        <v>18377</v>
      </c>
      <c r="AL1384" s="6" t="s">
        <v>18444</v>
      </c>
      <c r="AM1384" s="6" t="s">
        <v>18565</v>
      </c>
      <c r="AN1384" s="6" t="s">
        <v>19636</v>
      </c>
      <c r="AO1384" s="6" t="s">
        <v>19783</v>
      </c>
      <c r="AP1384" s="6" t="s">
        <v>15953</v>
      </c>
      <c r="AQ1384" s="6" t="s">
        <v>81</v>
      </c>
      <c r="AR1384" s="6" t="s">
        <v>17409</v>
      </c>
      <c r="AS1384" s="6" t="s">
        <v>18377</v>
      </c>
      <c r="AT1384" s="6" t="s">
        <v>18444</v>
      </c>
      <c r="AU1384" s="6" t="s">
        <v>18565</v>
      </c>
      <c r="AV1384" s="6" t="s">
        <v>81</v>
      </c>
      <c r="AW1384" s="6" t="s">
        <v>81</v>
      </c>
      <c r="AX1384" s="6" t="s">
        <v>81</v>
      </c>
      <c r="AY1384" s="6" t="s">
        <v>81</v>
      </c>
      <c r="AZ1384" s="6" t="s">
        <v>81</v>
      </c>
      <c r="BA1384" s="6" t="s">
        <v>23866</v>
      </c>
      <c r="BB1384" s="24" t="n">
        <v>62</v>
      </c>
      <c r="BC1384" s="26"/>
      <c r="BD1384" s="26"/>
      <c r="BE1384" s="26"/>
      <c r="BF1384" s="26"/>
      <c r="BG1384" s="26"/>
      <c r="BH1384" s="26"/>
      <c r="BI1384" s="26"/>
      <c r="BJ1384" s="26"/>
      <c r="BK1384" s="26"/>
      <c r="BL1384" s="26"/>
      <c r="BM1384" s="26"/>
      <c r="BN1384" s="26"/>
      <c r="BO1384" s="26"/>
      <c r="BP1384" s="16" t="n">
        <v>45422</v>
      </c>
      <c r="BQ1384" s="28" t="str">
        <f>HYPERLINK("https://organic.ams.usda.gov/Integrity/Certificate.aspx?cid=46&amp;nopid=3672300017")</f>
        <v>https://organic.ams.usda.gov/Integrity/Certificate.aspx?cid=46&amp;nopid=3672300017</v>
      </c>
    </row>
    <row r="1385">
      <c r="A1385" t="s">
        <v>3</v>
      </c>
      <c r="B1385" s="6" t="s">
        <v>18</v>
      </c>
      <c r="C1385" s="6" t="s">
        <v>65</v>
      </c>
      <c r="D1385" s="6" t="s">
        <v>111</v>
      </c>
      <c r="E1385" s="10" t="s">
        <v>1526</v>
      </c>
      <c r="F1385" s="6" t="s">
        <v>4250</v>
      </c>
      <c r="G1385" s="6" t="s">
        <v>81</v>
      </c>
      <c r="H1385" s="6" t="s">
        <v>1526</v>
      </c>
      <c r="I1385" s="6" t="s">
        <v>9117</v>
      </c>
      <c r="J1385" s="6" t="s">
        <v>10305</v>
      </c>
      <c r="K1385" s="6" t="s">
        <v>10886</v>
      </c>
      <c r="L1385" s="16" t="n">
        <v>45710</v>
      </c>
      <c r="M1385" s="16" t="n">
        <v>46068</v>
      </c>
      <c r="N1385" s="6" t="s">
        <v>10886</v>
      </c>
      <c r="O1385" s="16" t="n">
        <v>45710</v>
      </c>
      <c r="P1385" s="6" t="s">
        <v>11556</v>
      </c>
      <c r="Q1385" s="6" t="s">
        <v>81</v>
      </c>
      <c r="R1385" s="6" t="s">
        <v>4250</v>
      </c>
      <c r="S1385" s="6" t="s">
        <v>10886</v>
      </c>
      <c r="T1385" s="16" t="n">
        <v>45710</v>
      </c>
      <c r="U1385" s="6" t="s">
        <v>13543</v>
      </c>
      <c r="V1385" s="6" t="s">
        <v>81</v>
      </c>
      <c r="W1385" s="6" t="s">
        <v>4250</v>
      </c>
      <c r="X1385" s="6" t="s">
        <v>81</v>
      </c>
      <c r="Y1385" s="21" t="s">
        <v>81</v>
      </c>
      <c r="Z1385" s="6" t="s">
        <v>81</v>
      </c>
      <c r="AA1385" s="6" t="s">
        <v>81</v>
      </c>
      <c r="AB1385" s="6" t="s">
        <v>81</v>
      </c>
      <c r="AC1385" s="6" t="s">
        <v>81</v>
      </c>
      <c r="AD1385" s="21" t="s">
        <v>81</v>
      </c>
      <c r="AE1385" s="6" t="s">
        <v>81</v>
      </c>
      <c r="AF1385" s="6" t="s">
        <v>81</v>
      </c>
      <c r="AG1385" s="6" t="s">
        <v>81</v>
      </c>
      <c r="AH1385" s="6" t="s">
        <v>15954</v>
      </c>
      <c r="AI1385" s="6" t="s">
        <v>81</v>
      </c>
      <c r="AJ1385" s="6" t="s">
        <v>17981</v>
      </c>
      <c r="AK1385" s="6" t="s">
        <v>17712</v>
      </c>
      <c r="AL1385" s="6" t="s">
        <v>18444</v>
      </c>
      <c r="AM1385" s="6" t="s">
        <v>19171</v>
      </c>
      <c r="AN1385" s="6" t="s">
        <v>81</v>
      </c>
      <c r="AO1385" s="6" t="s">
        <v>81</v>
      </c>
      <c r="AP1385" s="6" t="s">
        <v>15954</v>
      </c>
      <c r="AQ1385" s="6" t="s">
        <v>81</v>
      </c>
      <c r="AR1385" s="6" t="s">
        <v>17981</v>
      </c>
      <c r="AS1385" s="6" t="s">
        <v>17712</v>
      </c>
      <c r="AT1385" s="6" t="s">
        <v>18444</v>
      </c>
      <c r="AU1385" s="6" t="s">
        <v>19171</v>
      </c>
      <c r="AV1385" s="6" t="s">
        <v>81</v>
      </c>
      <c r="AW1385" s="6" t="s">
        <v>81</v>
      </c>
      <c r="AX1385" s="6" t="s">
        <v>81</v>
      </c>
      <c r="AY1385" s="6" t="s">
        <v>81</v>
      </c>
      <c r="AZ1385" s="6" t="s">
        <v>81</v>
      </c>
      <c r="BA1385" s="6" t="s">
        <v>81</v>
      </c>
      <c r="BB1385" s="24" t="n">
        <v>190</v>
      </c>
      <c r="BC1385" s="26"/>
      <c r="BD1385" s="26"/>
      <c r="BE1385" s="26"/>
      <c r="BF1385" s="26" t="s">
        <v>23900</v>
      </c>
      <c r="BG1385" s="26"/>
      <c r="BH1385" s="26"/>
      <c r="BI1385" s="26"/>
      <c r="BJ1385" s="26"/>
      <c r="BK1385" s="26"/>
      <c r="BL1385" s="26"/>
      <c r="BM1385" s="26"/>
      <c r="BN1385" s="26"/>
      <c r="BO1385" s="26"/>
      <c r="BP1385" s="16" t="n">
        <v>45712</v>
      </c>
      <c r="BQ1385" s="28" t="str">
        <f>HYPERLINK("https://organic.ams.usda.gov/Integrity/Certificate.aspx?cid=8&amp;nopid=2202501000")</f>
        <v>https://organic.ams.usda.gov/Integrity/Certificate.aspx?cid=8&amp;nopid=2202501000</v>
      </c>
    </row>
    <row r="1386">
      <c r="A1386" t="s">
        <v>3</v>
      </c>
      <c r="B1386" s="6" t="s">
        <v>10</v>
      </c>
      <c r="C1386" s="6" t="s">
        <v>57</v>
      </c>
      <c r="D1386" s="6" t="s">
        <v>103</v>
      </c>
      <c r="E1386" s="10" t="s">
        <v>1527</v>
      </c>
      <c r="F1386" s="6" t="s">
        <v>4251</v>
      </c>
      <c r="G1386" s="6" t="s">
        <v>81</v>
      </c>
      <c r="H1386" s="6" t="s">
        <v>7164</v>
      </c>
      <c r="I1386" s="6" t="s">
        <v>8409</v>
      </c>
      <c r="J1386" s="6" t="s">
        <v>9728</v>
      </c>
      <c r="K1386" s="6" t="s">
        <v>10886</v>
      </c>
      <c r="L1386" s="16" t="n">
        <v>41060</v>
      </c>
      <c r="M1386" s="16" t="n">
        <v>45748</v>
      </c>
      <c r="N1386" s="6" t="s">
        <v>10886</v>
      </c>
      <c r="O1386" s="16" t="n">
        <v>41060</v>
      </c>
      <c r="P1386" s="6" t="s">
        <v>11294</v>
      </c>
      <c r="Q1386" s="6" t="s">
        <v>81</v>
      </c>
      <c r="R1386" s="6" t="s">
        <v>12805</v>
      </c>
      <c r="S1386" s="6" t="s">
        <v>10886</v>
      </c>
      <c r="T1386" s="16" t="n">
        <v>41060</v>
      </c>
      <c r="U1386" s="6" t="s">
        <v>13377</v>
      </c>
      <c r="V1386" s="6" t="s">
        <v>81</v>
      </c>
      <c r="W1386" s="6" t="s">
        <v>81</v>
      </c>
      <c r="X1386" s="6" t="s">
        <v>81</v>
      </c>
      <c r="Y1386" s="21" t="s">
        <v>81</v>
      </c>
      <c r="Z1386" s="6" t="s">
        <v>81</v>
      </c>
      <c r="AA1386" s="6" t="s">
        <v>81</v>
      </c>
      <c r="AB1386" s="6" t="s">
        <v>81</v>
      </c>
      <c r="AC1386" s="6" t="s">
        <v>81</v>
      </c>
      <c r="AD1386" s="21" t="s">
        <v>81</v>
      </c>
      <c r="AE1386" s="6" t="s">
        <v>81</v>
      </c>
      <c r="AF1386" s="6" t="s">
        <v>81</v>
      </c>
      <c r="AG1386" s="6" t="s">
        <v>81</v>
      </c>
      <c r="AH1386" s="6" t="s">
        <v>15955</v>
      </c>
      <c r="AI1386" s="6" t="s">
        <v>81</v>
      </c>
      <c r="AJ1386" s="6" t="s">
        <v>17315</v>
      </c>
      <c r="AK1386" s="6" t="s">
        <v>18379</v>
      </c>
      <c r="AL1386" s="6" t="s">
        <v>18444</v>
      </c>
      <c r="AM1386" s="6" t="s">
        <v>18467</v>
      </c>
      <c r="AN1386" s="6" t="s">
        <v>19637</v>
      </c>
      <c r="AO1386" s="6" t="s">
        <v>19723</v>
      </c>
      <c r="AP1386" s="6" t="s">
        <v>15955</v>
      </c>
      <c r="AQ1386" s="6" t="s">
        <v>81</v>
      </c>
      <c r="AR1386" s="6" t="s">
        <v>17315</v>
      </c>
      <c r="AS1386" s="6" t="s">
        <v>18379</v>
      </c>
      <c r="AT1386" s="6" t="s">
        <v>18444</v>
      </c>
      <c r="AU1386" s="6" t="s">
        <v>18467</v>
      </c>
      <c r="AV1386" s="6" t="s">
        <v>81</v>
      </c>
      <c r="AW1386" s="6" t="s">
        <v>81</v>
      </c>
      <c r="AX1386" s="6" t="s">
        <v>21520</v>
      </c>
      <c r="AY1386" s="6" t="s">
        <v>81</v>
      </c>
      <c r="AZ1386" s="6" t="s">
        <v>81</v>
      </c>
      <c r="BA1386" s="6" t="s">
        <v>81</v>
      </c>
      <c r="BB1386" s="24" t="n">
        <v>89</v>
      </c>
      <c r="BC1386" s="26"/>
      <c r="BD1386" s="26"/>
      <c r="BE1386" s="26"/>
      <c r="BF1386" s="26"/>
      <c r="BG1386" s="26"/>
      <c r="BH1386" s="26"/>
      <c r="BI1386" s="26"/>
      <c r="BJ1386" s="26"/>
      <c r="BK1386" s="26"/>
      <c r="BL1386" s="26"/>
      <c r="BM1386" s="26"/>
      <c r="BN1386" s="26"/>
      <c r="BO1386" s="26"/>
      <c r="BP1386" s="16" t="n">
        <v>45730</v>
      </c>
      <c r="BQ1386" s="28" t="str">
        <f>HYPERLINK("https://organic.ams.usda.gov/Integrity/Certificate.aspx?cid=90&amp;nopid=7170020178")</f>
        <v>https://organic.ams.usda.gov/Integrity/Certificate.aspx?cid=90&amp;nopid=7170020178</v>
      </c>
    </row>
    <row r="1387">
      <c r="A1387" t="s">
        <v>3</v>
      </c>
      <c r="B1387" s="6" t="s">
        <v>13</v>
      </c>
      <c r="C1387" s="6" t="s">
        <v>60</v>
      </c>
      <c r="D1387" s="6" t="s">
        <v>106</v>
      </c>
      <c r="E1387" s="10" t="s">
        <v>1528</v>
      </c>
      <c r="F1387" s="6" t="s">
        <v>4252</v>
      </c>
      <c r="G1387" s="6" t="s">
        <v>81</v>
      </c>
      <c r="H1387" s="6" t="s">
        <v>7165</v>
      </c>
      <c r="I1387" s="6" t="s">
        <v>8409</v>
      </c>
      <c r="J1387" s="6" t="s">
        <v>9744</v>
      </c>
      <c r="K1387" s="6" t="s">
        <v>10886</v>
      </c>
      <c r="L1387" s="16" t="n">
        <v>42542</v>
      </c>
      <c r="M1387" s="16" t="n">
        <v>46024</v>
      </c>
      <c r="N1387" s="6" t="s">
        <v>10886</v>
      </c>
      <c r="O1387" s="16" t="n">
        <v>42542</v>
      </c>
      <c r="P1387" s="6" t="s">
        <v>10925</v>
      </c>
      <c r="Q1387" s="6" t="s">
        <v>81</v>
      </c>
      <c r="R1387" s="6" t="s">
        <v>12806</v>
      </c>
      <c r="S1387" s="6" t="s">
        <v>10886</v>
      </c>
      <c r="T1387" s="16" t="n">
        <v>42542</v>
      </c>
      <c r="U1387" s="6" t="s">
        <v>13381</v>
      </c>
      <c r="V1387" s="6" t="s">
        <v>81</v>
      </c>
      <c r="W1387" s="6" t="s">
        <v>12806</v>
      </c>
      <c r="X1387" s="6" t="s">
        <v>81</v>
      </c>
      <c r="Y1387" s="21" t="s">
        <v>81</v>
      </c>
      <c r="Z1387" s="6" t="s">
        <v>81</v>
      </c>
      <c r="AA1387" s="6" t="s">
        <v>81</v>
      </c>
      <c r="AB1387" s="6" t="s">
        <v>81</v>
      </c>
      <c r="AC1387" s="6" t="s">
        <v>81</v>
      </c>
      <c r="AD1387" s="21" t="s">
        <v>81</v>
      </c>
      <c r="AE1387" s="6" t="s">
        <v>81</v>
      </c>
      <c r="AF1387" s="6" t="s">
        <v>81</v>
      </c>
      <c r="AG1387" s="6" t="s">
        <v>81</v>
      </c>
      <c r="AH1387" s="6" t="s">
        <v>15956</v>
      </c>
      <c r="AI1387" s="6" t="s">
        <v>81</v>
      </c>
      <c r="AJ1387" s="6" t="s">
        <v>17982</v>
      </c>
      <c r="AK1387" s="6" t="s">
        <v>18378</v>
      </c>
      <c r="AL1387" s="6" t="s">
        <v>18444</v>
      </c>
      <c r="AM1387" s="6" t="s">
        <v>19172</v>
      </c>
      <c r="AN1387" s="6" t="s">
        <v>19676</v>
      </c>
      <c r="AO1387" s="6" t="s">
        <v>19784</v>
      </c>
      <c r="AP1387" s="6" t="s">
        <v>15956</v>
      </c>
      <c r="AQ1387" s="6" t="s">
        <v>81</v>
      </c>
      <c r="AR1387" s="6" t="s">
        <v>17982</v>
      </c>
      <c r="AS1387" s="6" t="s">
        <v>18378</v>
      </c>
      <c r="AT1387" s="6" t="s">
        <v>18444</v>
      </c>
      <c r="AU1387" s="6" t="s">
        <v>19172</v>
      </c>
      <c r="AV1387" s="6" t="s">
        <v>81</v>
      </c>
      <c r="AW1387" s="6" t="s">
        <v>81</v>
      </c>
      <c r="AX1387" s="6" t="s">
        <v>21615</v>
      </c>
      <c r="AY1387" s="6" t="s">
        <v>81</v>
      </c>
      <c r="AZ1387" s="6" t="s">
        <v>81</v>
      </c>
      <c r="BA1387" s="6" t="s">
        <v>81</v>
      </c>
      <c r="BB1387" s="24" t="n">
        <v>96</v>
      </c>
      <c r="BC1387" s="26"/>
      <c r="BD1387" s="26"/>
      <c r="BE1387" s="26"/>
      <c r="BF1387" s="26" t="s">
        <v>23900</v>
      </c>
      <c r="BG1387" s="26"/>
      <c r="BH1387" s="26"/>
      <c r="BI1387" s="26"/>
      <c r="BJ1387" s="26"/>
      <c r="BK1387" s="26"/>
      <c r="BL1387" s="26"/>
      <c r="BM1387" s="26"/>
      <c r="BN1387" s="26"/>
      <c r="BO1387" s="26"/>
      <c r="BP1387" s="16" t="n">
        <v>45670</v>
      </c>
      <c r="BQ1387" s="28" t="str">
        <f>HYPERLINK("https://organic.ams.usda.gov/Integrity/Certificate.aspx?cid=72&amp;nopid=5870002361")</f>
        <v>https://organic.ams.usda.gov/Integrity/Certificate.aspx?cid=72&amp;nopid=5870002361</v>
      </c>
    </row>
    <row r="1388">
      <c r="A1388" t="s">
        <v>3</v>
      </c>
      <c r="B1388" s="6" t="s">
        <v>9</v>
      </c>
      <c r="C1388" s="6" t="s">
        <v>56</v>
      </c>
      <c r="D1388" s="6" t="s">
        <v>102</v>
      </c>
      <c r="E1388" s="10" t="s">
        <v>1529</v>
      </c>
      <c r="F1388" s="6" t="s">
        <v>4253</v>
      </c>
      <c r="G1388" s="6" t="s">
        <v>81</v>
      </c>
      <c r="H1388" s="6" t="s">
        <v>7166</v>
      </c>
      <c r="I1388" s="6" t="s">
        <v>8409</v>
      </c>
      <c r="J1388" s="6" t="s">
        <v>9665</v>
      </c>
      <c r="K1388" s="6" t="s">
        <v>10886</v>
      </c>
      <c r="L1388" s="16" t="n">
        <v>42172</v>
      </c>
      <c r="M1388" s="16" t="n">
        <v>46113</v>
      </c>
      <c r="N1388" s="6" t="s">
        <v>10886</v>
      </c>
      <c r="O1388" s="16" t="n">
        <v>42172</v>
      </c>
      <c r="P1388" s="6" t="s">
        <v>11726</v>
      </c>
      <c r="Q1388" s="6" t="s">
        <v>81</v>
      </c>
      <c r="R1388" s="6" t="s">
        <v>12807</v>
      </c>
      <c r="S1388" s="6" t="s">
        <v>10886</v>
      </c>
      <c r="T1388" s="16" t="n">
        <v>42172</v>
      </c>
      <c r="U1388" s="6" t="s">
        <v>13168</v>
      </c>
      <c r="V1388" s="6" t="s">
        <v>81</v>
      </c>
      <c r="W1388" s="6" t="s">
        <v>12807</v>
      </c>
      <c r="X1388" s="6" t="s">
        <v>81</v>
      </c>
      <c r="Y1388" s="21" t="s">
        <v>81</v>
      </c>
      <c r="Z1388" s="6" t="s">
        <v>81</v>
      </c>
      <c r="AA1388" s="6" t="s">
        <v>81</v>
      </c>
      <c r="AB1388" s="6" t="s">
        <v>81</v>
      </c>
      <c r="AC1388" s="6" t="s">
        <v>81</v>
      </c>
      <c r="AD1388" s="21" t="s">
        <v>81</v>
      </c>
      <c r="AE1388" s="6" t="s">
        <v>81</v>
      </c>
      <c r="AF1388" s="6" t="s">
        <v>81</v>
      </c>
      <c r="AG1388" s="6" t="s">
        <v>81</v>
      </c>
      <c r="AH1388" s="6" t="s">
        <v>15957</v>
      </c>
      <c r="AI1388" s="6" t="s">
        <v>81</v>
      </c>
      <c r="AJ1388" s="6" t="s">
        <v>17315</v>
      </c>
      <c r="AK1388" s="6" t="s">
        <v>18379</v>
      </c>
      <c r="AL1388" s="6" t="s">
        <v>18444</v>
      </c>
      <c r="AM1388" s="6" t="s">
        <v>18467</v>
      </c>
      <c r="AN1388" s="6" t="s">
        <v>19637</v>
      </c>
      <c r="AO1388" s="6" t="s">
        <v>19723</v>
      </c>
      <c r="AP1388" s="6" t="s">
        <v>81</v>
      </c>
      <c r="AQ1388" s="6" t="s">
        <v>81</v>
      </c>
      <c r="AR1388" s="6" t="s">
        <v>81</v>
      </c>
      <c r="AS1388" s="6" t="s">
        <v>81</v>
      </c>
      <c r="AT1388" s="6" t="s">
        <v>81</v>
      </c>
      <c r="AU1388" s="6" t="s">
        <v>81</v>
      </c>
      <c r="AV1388" s="6" t="s">
        <v>81</v>
      </c>
      <c r="AW1388" s="6" t="s">
        <v>81</v>
      </c>
      <c r="AX1388" s="6" t="s">
        <v>81</v>
      </c>
      <c r="AY1388" s="6" t="s">
        <v>81</v>
      </c>
      <c r="AZ1388" s="6" t="s">
        <v>81</v>
      </c>
      <c r="BA1388" s="6" t="s">
        <v>81</v>
      </c>
      <c r="BB1388" s="24" t="n">
        <v>80</v>
      </c>
      <c r="BC1388" s="26"/>
      <c r="BD1388" s="26"/>
      <c r="BE1388" s="26"/>
      <c r="BF1388" s="26"/>
      <c r="BG1388" s="26"/>
      <c r="BH1388" s="26"/>
      <c r="BI1388" s="26"/>
      <c r="BJ1388" s="26"/>
      <c r="BK1388" s="26"/>
      <c r="BL1388" s="26"/>
      <c r="BM1388" s="26"/>
      <c r="BN1388" s="26"/>
      <c r="BO1388" s="26"/>
      <c r="BP1388" s="16" t="n">
        <v>45738</v>
      </c>
      <c r="BQ1388" s="28" t="str">
        <f>HYPERLINK("https://organic.ams.usda.gov/Integrity/Certificate.aspx?cid=52&amp;nopid=8431500981")</f>
        <v>https://organic.ams.usda.gov/Integrity/Certificate.aspx?cid=52&amp;nopid=8431500981</v>
      </c>
    </row>
    <row r="1389">
      <c r="A1389" t="s">
        <v>3</v>
      </c>
      <c r="B1389" s="6" t="s">
        <v>12</v>
      </c>
      <c r="C1389" s="6" t="s">
        <v>59</v>
      </c>
      <c r="D1389" s="6" t="s">
        <v>105</v>
      </c>
      <c r="E1389" s="10" t="s">
        <v>1530</v>
      </c>
      <c r="F1389" s="6" t="s">
        <v>4254</v>
      </c>
      <c r="G1389" s="6" t="s">
        <v>81</v>
      </c>
      <c r="H1389" s="6" t="s">
        <v>7167</v>
      </c>
      <c r="I1389" s="6" t="s">
        <v>9118</v>
      </c>
      <c r="J1389" s="6" t="s">
        <v>10306</v>
      </c>
      <c r="K1389" s="6" t="s">
        <v>10886</v>
      </c>
      <c r="L1389" s="16" t="n">
        <v>43410</v>
      </c>
      <c r="M1389" s="16" t="n">
        <v>45717</v>
      </c>
      <c r="N1389" s="6" t="s">
        <v>10886</v>
      </c>
      <c r="O1389" s="16" t="n">
        <v>43410</v>
      </c>
      <c r="P1389" s="6" t="s">
        <v>11727</v>
      </c>
      <c r="Q1389" s="6" t="s">
        <v>81</v>
      </c>
      <c r="R1389" s="6" t="s">
        <v>81</v>
      </c>
      <c r="S1389" s="6" t="s">
        <v>10886</v>
      </c>
      <c r="T1389" s="16" t="n">
        <v>45456</v>
      </c>
      <c r="U1389" s="6" t="s">
        <v>13183</v>
      </c>
      <c r="V1389" s="6" t="s">
        <v>81</v>
      </c>
      <c r="W1389" s="6" t="s">
        <v>81</v>
      </c>
      <c r="X1389" s="6" t="s">
        <v>81</v>
      </c>
      <c r="Y1389" s="21" t="s">
        <v>81</v>
      </c>
      <c r="Z1389" s="6" t="s">
        <v>81</v>
      </c>
      <c r="AA1389" s="6" t="s">
        <v>81</v>
      </c>
      <c r="AB1389" s="6" t="s">
        <v>81</v>
      </c>
      <c r="AC1389" s="6" t="s">
        <v>81</v>
      </c>
      <c r="AD1389" s="21" t="s">
        <v>81</v>
      </c>
      <c r="AE1389" s="6" t="s">
        <v>81</v>
      </c>
      <c r="AF1389" s="6" t="s">
        <v>81</v>
      </c>
      <c r="AG1389" s="6" t="s">
        <v>81</v>
      </c>
      <c r="AH1389" s="6" t="s">
        <v>15958</v>
      </c>
      <c r="AI1389" s="6" t="s">
        <v>81</v>
      </c>
      <c r="AJ1389" s="6" t="s">
        <v>17973</v>
      </c>
      <c r="AK1389" s="6" t="s">
        <v>17712</v>
      </c>
      <c r="AL1389" s="6" t="s">
        <v>18444</v>
      </c>
      <c r="AM1389" s="6" t="s">
        <v>19160</v>
      </c>
      <c r="AN1389" s="6" t="s">
        <v>19667</v>
      </c>
      <c r="AO1389" s="6" t="s">
        <v>19774</v>
      </c>
      <c r="AP1389" s="6" t="s">
        <v>15958</v>
      </c>
      <c r="AQ1389" s="6" t="s">
        <v>81</v>
      </c>
      <c r="AR1389" s="6" t="s">
        <v>17973</v>
      </c>
      <c r="AS1389" s="6" t="s">
        <v>17712</v>
      </c>
      <c r="AT1389" s="6" t="s">
        <v>18444</v>
      </c>
      <c r="AU1389" s="6" t="s">
        <v>19160</v>
      </c>
      <c r="AV1389" s="6" t="s">
        <v>81</v>
      </c>
      <c r="AW1389" s="6" t="s">
        <v>81</v>
      </c>
      <c r="AX1389" s="6" t="s">
        <v>21616</v>
      </c>
      <c r="AY1389" s="6" t="s">
        <v>81</v>
      </c>
      <c r="AZ1389" s="6" t="s">
        <v>81</v>
      </c>
      <c r="BA1389" s="6" t="s">
        <v>81</v>
      </c>
      <c r="BB1389" s="24" t="n">
        <v>328</v>
      </c>
      <c r="BC1389" s="26"/>
      <c r="BD1389" s="26"/>
      <c r="BE1389" s="26"/>
      <c r="BF1389" s="26"/>
      <c r="BG1389" s="26"/>
      <c r="BH1389" s="26"/>
      <c r="BI1389" s="26"/>
      <c r="BJ1389" s="26"/>
      <c r="BK1389" s="26"/>
      <c r="BL1389" s="26"/>
      <c r="BM1389" s="26"/>
      <c r="BN1389" s="26"/>
      <c r="BO1389" s="26"/>
      <c r="BP1389" s="16" t="n">
        <v>45684</v>
      </c>
      <c r="BQ1389" s="28" t="str">
        <f>HYPERLINK("https://organic.ams.usda.gov/Integrity/Certificate.aspx?cid=68&amp;nopid=8210006368")</f>
        <v>https://organic.ams.usda.gov/Integrity/Certificate.aspx?cid=68&amp;nopid=8210006368</v>
      </c>
    </row>
    <row r="1390">
      <c r="A1390" t="s">
        <v>3</v>
      </c>
      <c r="B1390" s="6" t="s">
        <v>8</v>
      </c>
      <c r="C1390" s="6" t="s">
        <v>55</v>
      </c>
      <c r="D1390" s="6" t="s">
        <v>101</v>
      </c>
      <c r="E1390" s="10" t="s">
        <v>1531</v>
      </c>
      <c r="F1390" s="6" t="s">
        <v>4255</v>
      </c>
      <c r="G1390" s="6" t="s">
        <v>81</v>
      </c>
      <c r="H1390" s="6" t="s">
        <v>7168</v>
      </c>
      <c r="I1390" s="6" t="s">
        <v>8409</v>
      </c>
      <c r="J1390" s="6" t="s">
        <v>9664</v>
      </c>
      <c r="K1390" s="6" t="s">
        <v>10886</v>
      </c>
      <c r="L1390" s="16" t="n">
        <v>41180</v>
      </c>
      <c r="M1390" s="16" t="n">
        <v>45748</v>
      </c>
      <c r="N1390" s="6" t="s">
        <v>10886</v>
      </c>
      <c r="O1390" s="16" t="n">
        <v>41180</v>
      </c>
      <c r="P1390" s="6" t="s">
        <v>11728</v>
      </c>
      <c r="Q1390" s="6" t="s">
        <v>81</v>
      </c>
      <c r="R1390" s="6" t="s">
        <v>7168</v>
      </c>
      <c r="S1390" s="6" t="s">
        <v>10886</v>
      </c>
      <c r="T1390" s="16" t="n">
        <v>41180</v>
      </c>
      <c r="U1390" s="6" t="s">
        <v>13173</v>
      </c>
      <c r="V1390" s="6" t="s">
        <v>81</v>
      </c>
      <c r="W1390" s="6" t="s">
        <v>7168</v>
      </c>
      <c r="X1390" s="6" t="s">
        <v>81</v>
      </c>
      <c r="Y1390" s="21" t="s">
        <v>81</v>
      </c>
      <c r="Z1390" s="6" t="s">
        <v>81</v>
      </c>
      <c r="AA1390" s="6" t="s">
        <v>81</v>
      </c>
      <c r="AB1390" s="6" t="s">
        <v>81</v>
      </c>
      <c r="AC1390" s="6" t="s">
        <v>81</v>
      </c>
      <c r="AD1390" s="21" t="s">
        <v>81</v>
      </c>
      <c r="AE1390" s="6" t="s">
        <v>81</v>
      </c>
      <c r="AF1390" s="6" t="s">
        <v>81</v>
      </c>
      <c r="AG1390" s="6" t="s">
        <v>81</v>
      </c>
      <c r="AH1390" s="6" t="s">
        <v>15959</v>
      </c>
      <c r="AI1390" s="6" t="s">
        <v>81</v>
      </c>
      <c r="AJ1390" s="6" t="s">
        <v>17530</v>
      </c>
      <c r="AK1390" s="6" t="s">
        <v>18377</v>
      </c>
      <c r="AL1390" s="6" t="s">
        <v>18444</v>
      </c>
      <c r="AM1390" s="6" t="s">
        <v>6414</v>
      </c>
      <c r="AN1390" s="6" t="s">
        <v>19646</v>
      </c>
      <c r="AO1390" s="6" t="s">
        <v>19733</v>
      </c>
      <c r="AP1390" s="6" t="s">
        <v>81</v>
      </c>
      <c r="AQ1390" s="6" t="s">
        <v>81</v>
      </c>
      <c r="AR1390" s="6" t="s">
        <v>81</v>
      </c>
      <c r="AS1390" s="6" t="s">
        <v>81</v>
      </c>
      <c r="AT1390" s="6" t="s">
        <v>81</v>
      </c>
      <c r="AU1390" s="6" t="s">
        <v>81</v>
      </c>
      <c r="AV1390" s="6" t="s">
        <v>81</v>
      </c>
      <c r="AW1390" s="6" t="s">
        <v>81</v>
      </c>
      <c r="AX1390" s="6" t="s">
        <v>81</v>
      </c>
      <c r="AY1390" s="6" t="s">
        <v>81</v>
      </c>
      <c r="AZ1390" s="6" t="s">
        <v>81</v>
      </c>
      <c r="BA1390" s="6" t="s">
        <v>23819</v>
      </c>
      <c r="BB1390" s="24" t="n">
        <v>426</v>
      </c>
      <c r="BC1390" s="26"/>
      <c r="BD1390" s="26"/>
      <c r="BE1390" s="26"/>
      <c r="BF1390" s="26" t="s">
        <v>23900</v>
      </c>
      <c r="BG1390" s="26"/>
      <c r="BH1390" s="26"/>
      <c r="BI1390" s="26"/>
      <c r="BJ1390" s="26"/>
      <c r="BK1390" s="26"/>
      <c r="BL1390" s="26"/>
      <c r="BM1390" s="26"/>
      <c r="BN1390" s="26"/>
      <c r="BO1390" s="26"/>
      <c r="BP1390" s="16" t="n">
        <v>45609</v>
      </c>
      <c r="BQ1390" s="28" t="str">
        <f>HYPERLINK("https://organic.ams.usda.gov/Integrity/Certificate.aspx?cid=45&amp;nopid=9950004856")</f>
        <v>https://organic.ams.usda.gov/Integrity/Certificate.aspx?cid=45&amp;nopid=9950004856</v>
      </c>
    </row>
    <row r="1391">
      <c r="A1391" t="s">
        <v>3</v>
      </c>
      <c r="B1391" s="6" t="s">
        <v>13</v>
      </c>
      <c r="C1391" s="6" t="s">
        <v>60</v>
      </c>
      <c r="D1391" s="6" t="s">
        <v>106</v>
      </c>
      <c r="E1391" s="10" t="s">
        <v>1532</v>
      </c>
      <c r="F1391" s="6" t="s">
        <v>4256</v>
      </c>
      <c r="G1391" s="6" t="s">
        <v>81</v>
      </c>
      <c r="H1391" s="6" t="s">
        <v>7169</v>
      </c>
      <c r="I1391" s="6" t="s">
        <v>8409</v>
      </c>
      <c r="J1391" s="6" t="s">
        <v>9665</v>
      </c>
      <c r="K1391" s="6" t="s">
        <v>10886</v>
      </c>
      <c r="L1391" s="16" t="n">
        <v>40178</v>
      </c>
      <c r="M1391" s="16" t="n">
        <v>46024</v>
      </c>
      <c r="N1391" s="6" t="s">
        <v>10886</v>
      </c>
      <c r="O1391" s="16" t="n">
        <v>40178</v>
      </c>
      <c r="P1391" s="6" t="s">
        <v>11729</v>
      </c>
      <c r="Q1391" s="6" t="s">
        <v>81</v>
      </c>
      <c r="R1391" s="6" t="s">
        <v>12808</v>
      </c>
      <c r="S1391" s="6" t="s">
        <v>10886</v>
      </c>
      <c r="T1391" s="16" t="n">
        <v>40178</v>
      </c>
      <c r="U1391" s="6" t="s">
        <v>13402</v>
      </c>
      <c r="V1391" s="6" t="s">
        <v>81</v>
      </c>
      <c r="W1391" s="6" t="s">
        <v>12808</v>
      </c>
      <c r="X1391" s="6" t="s">
        <v>81</v>
      </c>
      <c r="Y1391" s="21" t="s">
        <v>81</v>
      </c>
      <c r="Z1391" s="6" t="s">
        <v>81</v>
      </c>
      <c r="AA1391" s="6" t="s">
        <v>81</v>
      </c>
      <c r="AB1391" s="6" t="s">
        <v>81</v>
      </c>
      <c r="AC1391" s="6" t="s">
        <v>81</v>
      </c>
      <c r="AD1391" s="21" t="s">
        <v>81</v>
      </c>
      <c r="AE1391" s="6" t="s">
        <v>81</v>
      </c>
      <c r="AF1391" s="6" t="s">
        <v>81</v>
      </c>
      <c r="AG1391" s="6" t="s">
        <v>81</v>
      </c>
      <c r="AH1391" s="6" t="s">
        <v>15960</v>
      </c>
      <c r="AI1391" s="6" t="s">
        <v>81</v>
      </c>
      <c r="AJ1391" s="6" t="s">
        <v>17646</v>
      </c>
      <c r="AK1391" s="6" t="s">
        <v>18378</v>
      </c>
      <c r="AL1391" s="6" t="s">
        <v>18444</v>
      </c>
      <c r="AM1391" s="6" t="s">
        <v>18815</v>
      </c>
      <c r="AN1391" s="6" t="s">
        <v>19640</v>
      </c>
      <c r="AO1391" s="6" t="s">
        <v>19726</v>
      </c>
      <c r="AP1391" s="6" t="s">
        <v>15960</v>
      </c>
      <c r="AQ1391" s="6" t="s">
        <v>81</v>
      </c>
      <c r="AR1391" s="6" t="s">
        <v>17646</v>
      </c>
      <c r="AS1391" s="6" t="s">
        <v>18378</v>
      </c>
      <c r="AT1391" s="6" t="s">
        <v>18444</v>
      </c>
      <c r="AU1391" s="6" t="s">
        <v>18815</v>
      </c>
      <c r="AV1391" s="6" t="s">
        <v>81</v>
      </c>
      <c r="AW1391" s="6" t="s">
        <v>81</v>
      </c>
      <c r="AX1391" s="6" t="s">
        <v>21617</v>
      </c>
      <c r="AY1391" s="6" t="s">
        <v>81</v>
      </c>
      <c r="AZ1391" s="6" t="s">
        <v>81</v>
      </c>
      <c r="BA1391" s="6" t="s">
        <v>81</v>
      </c>
      <c r="BB1391" s="24" t="n">
        <v>114</v>
      </c>
      <c r="BC1391" s="26"/>
      <c r="BD1391" s="26"/>
      <c r="BE1391" s="26"/>
      <c r="BF1391" s="26" t="s">
        <v>23900</v>
      </c>
      <c r="BG1391" s="26"/>
      <c r="BH1391" s="26"/>
      <c r="BI1391" s="26"/>
      <c r="BJ1391" s="26"/>
      <c r="BK1391" s="26"/>
      <c r="BL1391" s="26"/>
      <c r="BM1391" s="26"/>
      <c r="BN1391" s="26"/>
      <c r="BO1391" s="26"/>
      <c r="BP1391" s="16" t="n">
        <v>45667</v>
      </c>
      <c r="BQ1391" s="28" t="str">
        <f>HYPERLINK("https://organic.ams.usda.gov/Integrity/Certificate.aspx?cid=72&amp;nopid=5870001532")</f>
        <v>https://organic.ams.usda.gov/Integrity/Certificate.aspx?cid=72&amp;nopid=5870001532</v>
      </c>
    </row>
    <row r="1392">
      <c r="A1392" t="s">
        <v>3</v>
      </c>
      <c r="B1392" s="6" t="s">
        <v>12</v>
      </c>
      <c r="C1392" s="6" t="s">
        <v>59</v>
      </c>
      <c r="D1392" s="6" t="s">
        <v>105</v>
      </c>
      <c r="E1392" s="10" t="s">
        <v>1533</v>
      </c>
      <c r="F1392" s="6" t="s">
        <v>4257</v>
      </c>
      <c r="G1392" s="6" t="s">
        <v>81</v>
      </c>
      <c r="H1392" s="6" t="s">
        <v>7170</v>
      </c>
      <c r="I1392" s="6" t="s">
        <v>8409</v>
      </c>
      <c r="J1392" s="6" t="s">
        <v>9729</v>
      </c>
      <c r="K1392" s="6" t="s">
        <v>10886</v>
      </c>
      <c r="L1392" s="16" t="n">
        <v>42579</v>
      </c>
      <c r="M1392" s="16" t="n">
        <v>45717</v>
      </c>
      <c r="N1392" s="6" t="s">
        <v>10886</v>
      </c>
      <c r="O1392" s="16" t="n">
        <v>42579</v>
      </c>
      <c r="P1392" s="6" t="s">
        <v>10910</v>
      </c>
      <c r="Q1392" s="6" t="s">
        <v>81</v>
      </c>
      <c r="R1392" s="6" t="s">
        <v>81</v>
      </c>
      <c r="S1392" s="6" t="s">
        <v>10886</v>
      </c>
      <c r="T1392" s="16" t="n">
        <v>42579</v>
      </c>
      <c r="U1392" s="6" t="s">
        <v>13183</v>
      </c>
      <c r="V1392" s="6" t="s">
        <v>81</v>
      </c>
      <c r="W1392" s="6" t="s">
        <v>81</v>
      </c>
      <c r="X1392" s="6" t="s">
        <v>81</v>
      </c>
      <c r="Y1392" s="21" t="s">
        <v>81</v>
      </c>
      <c r="Z1392" s="6" t="s">
        <v>81</v>
      </c>
      <c r="AA1392" s="6" t="s">
        <v>81</v>
      </c>
      <c r="AB1392" s="6" t="s">
        <v>81</v>
      </c>
      <c r="AC1392" s="6" t="s">
        <v>81</v>
      </c>
      <c r="AD1392" s="21" t="s">
        <v>81</v>
      </c>
      <c r="AE1392" s="6" t="s">
        <v>81</v>
      </c>
      <c r="AF1392" s="6" t="s">
        <v>81</v>
      </c>
      <c r="AG1392" s="6" t="s">
        <v>81</v>
      </c>
      <c r="AH1392" s="6" t="s">
        <v>15961</v>
      </c>
      <c r="AI1392" s="6" t="s">
        <v>81</v>
      </c>
      <c r="AJ1392" s="6" t="s">
        <v>17531</v>
      </c>
      <c r="AK1392" s="6" t="s">
        <v>17712</v>
      </c>
      <c r="AL1392" s="6" t="s">
        <v>18444</v>
      </c>
      <c r="AM1392" s="6" t="s">
        <v>18694</v>
      </c>
      <c r="AN1392" s="6" t="s">
        <v>19657</v>
      </c>
      <c r="AO1392" s="6" t="s">
        <v>19751</v>
      </c>
      <c r="AP1392" s="6" t="s">
        <v>15961</v>
      </c>
      <c r="AQ1392" s="6" t="s">
        <v>81</v>
      </c>
      <c r="AR1392" s="6" t="s">
        <v>17531</v>
      </c>
      <c r="AS1392" s="6" t="s">
        <v>17712</v>
      </c>
      <c r="AT1392" s="6" t="s">
        <v>18444</v>
      </c>
      <c r="AU1392" s="6" t="s">
        <v>18694</v>
      </c>
      <c r="AV1392" s="6" t="s">
        <v>81</v>
      </c>
      <c r="AW1392" s="6" t="s">
        <v>81</v>
      </c>
      <c r="AX1392" s="6" t="s">
        <v>21618</v>
      </c>
      <c r="AY1392" s="6" t="s">
        <v>81</v>
      </c>
      <c r="AZ1392" s="6" t="s">
        <v>81</v>
      </c>
      <c r="BA1392" s="6" t="s">
        <v>81</v>
      </c>
      <c r="BB1392" s="24" t="n">
        <v>145</v>
      </c>
      <c r="BC1392" s="26"/>
      <c r="BD1392" s="26"/>
      <c r="BE1392" s="26"/>
      <c r="BF1392" s="26"/>
      <c r="BG1392" s="26"/>
      <c r="BH1392" s="26"/>
      <c r="BI1392" s="26"/>
      <c r="BJ1392" s="26"/>
      <c r="BK1392" s="26"/>
      <c r="BL1392" s="26"/>
      <c r="BM1392" s="26"/>
      <c r="BN1392" s="26"/>
      <c r="BO1392" s="26"/>
      <c r="BP1392" s="16" t="n">
        <v>45684</v>
      </c>
      <c r="BQ1392" s="28" t="str">
        <f>HYPERLINK("https://organic.ams.usda.gov/Integrity/Certificate.aspx?cid=68&amp;nopid=8210004770")</f>
        <v>https://organic.ams.usda.gov/Integrity/Certificate.aspx?cid=68&amp;nopid=8210004770</v>
      </c>
    </row>
    <row r="1393">
      <c r="A1393" t="s">
        <v>3</v>
      </c>
      <c r="B1393" s="6" t="s">
        <v>10</v>
      </c>
      <c r="C1393" s="6" t="s">
        <v>57</v>
      </c>
      <c r="D1393" s="6" t="s">
        <v>103</v>
      </c>
      <c r="E1393" s="10" t="s">
        <v>1534</v>
      </c>
      <c r="F1393" s="6" t="s">
        <v>4258</v>
      </c>
      <c r="G1393" s="6" t="s">
        <v>81</v>
      </c>
      <c r="H1393" s="6" t="s">
        <v>7171</v>
      </c>
      <c r="I1393" s="6" t="s">
        <v>9119</v>
      </c>
      <c r="J1393" s="6" t="s">
        <v>9672</v>
      </c>
      <c r="K1393" s="6" t="s">
        <v>10886</v>
      </c>
      <c r="L1393" s="16" t="n">
        <v>45390</v>
      </c>
      <c r="M1393" s="16" t="n">
        <v>45748</v>
      </c>
      <c r="N1393" s="6" t="s">
        <v>10886</v>
      </c>
      <c r="O1393" s="16" t="n">
        <v>45390</v>
      </c>
      <c r="P1393" s="6" t="s">
        <v>11730</v>
      </c>
      <c r="Q1393" s="6" t="s">
        <v>81</v>
      </c>
      <c r="R1393" s="6" t="s">
        <v>12809</v>
      </c>
      <c r="S1393" s="6" t="s">
        <v>10886</v>
      </c>
      <c r="T1393" s="16" t="n">
        <v>45390</v>
      </c>
      <c r="U1393" s="6" t="s">
        <v>13163</v>
      </c>
      <c r="V1393" s="6" t="s">
        <v>81</v>
      </c>
      <c r="W1393" s="6" t="s">
        <v>81</v>
      </c>
      <c r="X1393" s="6" t="s">
        <v>81</v>
      </c>
      <c r="Y1393" s="21" t="s">
        <v>81</v>
      </c>
      <c r="Z1393" s="6" t="s">
        <v>81</v>
      </c>
      <c r="AA1393" s="6" t="s">
        <v>81</v>
      </c>
      <c r="AB1393" s="6" t="s">
        <v>81</v>
      </c>
      <c r="AC1393" s="6" t="s">
        <v>81</v>
      </c>
      <c r="AD1393" s="21" t="s">
        <v>81</v>
      </c>
      <c r="AE1393" s="6" t="s">
        <v>81</v>
      </c>
      <c r="AF1393" s="6" t="s">
        <v>81</v>
      </c>
      <c r="AG1393" s="6" t="s">
        <v>81</v>
      </c>
      <c r="AH1393" s="6" t="s">
        <v>15962</v>
      </c>
      <c r="AI1393" s="6" t="s">
        <v>81</v>
      </c>
      <c r="AJ1393" s="6" t="s">
        <v>17318</v>
      </c>
      <c r="AK1393" s="6" t="s">
        <v>18379</v>
      </c>
      <c r="AL1393" s="6" t="s">
        <v>18444</v>
      </c>
      <c r="AM1393" s="6" t="s">
        <v>18470</v>
      </c>
      <c r="AN1393" s="6" t="s">
        <v>81</v>
      </c>
      <c r="AO1393" s="6" t="s">
        <v>81</v>
      </c>
      <c r="AP1393" s="6" t="s">
        <v>15962</v>
      </c>
      <c r="AQ1393" s="6" t="s">
        <v>81</v>
      </c>
      <c r="AR1393" s="6" t="s">
        <v>17318</v>
      </c>
      <c r="AS1393" s="6" t="s">
        <v>18379</v>
      </c>
      <c r="AT1393" s="6" t="s">
        <v>18444</v>
      </c>
      <c r="AU1393" s="6" t="s">
        <v>18470</v>
      </c>
      <c r="AV1393" s="6" t="s">
        <v>81</v>
      </c>
      <c r="AW1393" s="6" t="s">
        <v>81</v>
      </c>
      <c r="AX1393" s="6" t="s">
        <v>21619</v>
      </c>
      <c r="AY1393" s="6" t="s">
        <v>81</v>
      </c>
      <c r="AZ1393" s="6" t="s">
        <v>81</v>
      </c>
      <c r="BA1393" s="6" t="s">
        <v>81</v>
      </c>
      <c r="BB1393" s="24" t="n">
        <v>67</v>
      </c>
      <c r="BC1393" s="26"/>
      <c r="BD1393" s="26"/>
      <c r="BE1393" s="26"/>
      <c r="BF1393" s="26"/>
      <c r="BG1393" s="26"/>
      <c r="BH1393" s="26"/>
      <c r="BI1393" s="26"/>
      <c r="BJ1393" s="26"/>
      <c r="BK1393" s="26"/>
      <c r="BL1393" s="26"/>
      <c r="BM1393" s="26"/>
      <c r="BN1393" s="26"/>
      <c r="BO1393" s="26"/>
      <c r="BP1393" s="16" t="n">
        <v>45730</v>
      </c>
      <c r="BQ1393" s="28" t="str">
        <f>HYPERLINK("https://organic.ams.usda.gov/Integrity/Certificate.aspx?cid=90&amp;nopid=7170240777")</f>
        <v>https://organic.ams.usda.gov/Integrity/Certificate.aspx?cid=90&amp;nopid=7170240777</v>
      </c>
    </row>
    <row r="1394">
      <c r="A1394" t="s">
        <v>3</v>
      </c>
      <c r="B1394" s="6" t="s">
        <v>12</v>
      </c>
      <c r="C1394" s="6" t="s">
        <v>59</v>
      </c>
      <c r="D1394" s="6" t="s">
        <v>105</v>
      </c>
      <c r="E1394" s="10" t="s">
        <v>1535</v>
      </c>
      <c r="F1394" s="6" t="s">
        <v>4259</v>
      </c>
      <c r="G1394" s="6" t="s">
        <v>81</v>
      </c>
      <c r="H1394" s="6" t="s">
        <v>7172</v>
      </c>
      <c r="I1394" s="6" t="s">
        <v>8409</v>
      </c>
      <c r="J1394" s="6" t="s">
        <v>9750</v>
      </c>
      <c r="K1394" s="6" t="s">
        <v>10886</v>
      </c>
      <c r="L1394" s="16" t="n">
        <v>43707</v>
      </c>
      <c r="M1394" s="16" t="n">
        <v>45717</v>
      </c>
      <c r="N1394" s="6" t="s">
        <v>10886</v>
      </c>
      <c r="O1394" s="16" t="n">
        <v>43707</v>
      </c>
      <c r="P1394" s="6" t="s">
        <v>11731</v>
      </c>
      <c r="Q1394" s="6" t="s">
        <v>81</v>
      </c>
      <c r="R1394" s="6" t="s">
        <v>81</v>
      </c>
      <c r="S1394" s="6" t="s">
        <v>10886</v>
      </c>
      <c r="T1394" s="16" t="n">
        <v>43707</v>
      </c>
      <c r="U1394" s="6" t="s">
        <v>13183</v>
      </c>
      <c r="V1394" s="6" t="s">
        <v>81</v>
      </c>
      <c r="W1394" s="6" t="s">
        <v>81</v>
      </c>
      <c r="X1394" s="6" t="s">
        <v>81</v>
      </c>
      <c r="Y1394" s="21" t="s">
        <v>81</v>
      </c>
      <c r="Z1394" s="6" t="s">
        <v>81</v>
      </c>
      <c r="AA1394" s="6" t="s">
        <v>81</v>
      </c>
      <c r="AB1394" s="6" t="s">
        <v>81</v>
      </c>
      <c r="AC1394" s="6" t="s">
        <v>81</v>
      </c>
      <c r="AD1394" s="21" t="s">
        <v>81</v>
      </c>
      <c r="AE1394" s="6" t="s">
        <v>81</v>
      </c>
      <c r="AF1394" s="6" t="s">
        <v>81</v>
      </c>
      <c r="AG1394" s="6" t="s">
        <v>81</v>
      </c>
      <c r="AH1394" s="6" t="s">
        <v>15963</v>
      </c>
      <c r="AI1394" s="6" t="s">
        <v>81</v>
      </c>
      <c r="AJ1394" s="6" t="s">
        <v>17411</v>
      </c>
      <c r="AK1394" s="6" t="s">
        <v>18380</v>
      </c>
      <c r="AL1394" s="6" t="s">
        <v>18444</v>
      </c>
      <c r="AM1394" s="6" t="s">
        <v>18567</v>
      </c>
      <c r="AN1394" s="6" t="s">
        <v>19639</v>
      </c>
      <c r="AO1394" s="6" t="s">
        <v>19725</v>
      </c>
      <c r="AP1394" s="6" t="s">
        <v>15963</v>
      </c>
      <c r="AQ1394" s="6" t="s">
        <v>81</v>
      </c>
      <c r="AR1394" s="6" t="s">
        <v>17411</v>
      </c>
      <c r="AS1394" s="6" t="s">
        <v>18380</v>
      </c>
      <c r="AT1394" s="6" t="s">
        <v>18444</v>
      </c>
      <c r="AU1394" s="6" t="s">
        <v>18567</v>
      </c>
      <c r="AV1394" s="6" t="s">
        <v>81</v>
      </c>
      <c r="AW1394" s="6" t="s">
        <v>81</v>
      </c>
      <c r="AX1394" s="6" t="s">
        <v>21620</v>
      </c>
      <c r="AY1394" s="6" t="s">
        <v>81</v>
      </c>
      <c r="AZ1394" s="6" t="s">
        <v>81</v>
      </c>
      <c r="BA1394" s="6" t="s">
        <v>81</v>
      </c>
      <c r="BB1394" s="24" t="n">
        <v>63</v>
      </c>
      <c r="BC1394" s="26"/>
      <c r="BD1394" s="26"/>
      <c r="BE1394" s="26"/>
      <c r="BF1394" s="26"/>
      <c r="BG1394" s="26"/>
      <c r="BH1394" s="26"/>
      <c r="BI1394" s="26"/>
      <c r="BJ1394" s="26"/>
      <c r="BK1394" s="26"/>
      <c r="BL1394" s="26"/>
      <c r="BM1394" s="26"/>
      <c r="BN1394" s="26"/>
      <c r="BO1394" s="26"/>
      <c r="BP1394" s="16" t="n">
        <v>45684</v>
      </c>
      <c r="BQ1394" s="28" t="str">
        <f>HYPERLINK("https://organic.ams.usda.gov/Integrity/Certificate.aspx?cid=68&amp;nopid=8210002946")</f>
        <v>https://organic.ams.usda.gov/Integrity/Certificate.aspx?cid=68&amp;nopid=8210002946</v>
      </c>
    </row>
    <row r="1395">
      <c r="A1395" t="s">
        <v>3</v>
      </c>
      <c r="B1395" s="6" t="s">
        <v>10</v>
      </c>
      <c r="C1395" s="6" t="s">
        <v>57</v>
      </c>
      <c r="D1395" s="6" t="s">
        <v>103</v>
      </c>
      <c r="E1395" s="10" t="s">
        <v>1536</v>
      </c>
      <c r="F1395" s="6" t="s">
        <v>4260</v>
      </c>
      <c r="G1395" s="6" t="s">
        <v>81</v>
      </c>
      <c r="H1395" s="6" t="s">
        <v>7173</v>
      </c>
      <c r="I1395" s="6" t="s">
        <v>8409</v>
      </c>
      <c r="J1395" s="6" t="s">
        <v>9760</v>
      </c>
      <c r="K1395" s="6" t="s">
        <v>10886</v>
      </c>
      <c r="L1395" s="16" t="n">
        <v>40975</v>
      </c>
      <c r="M1395" s="16" t="n">
        <v>45748</v>
      </c>
      <c r="N1395" s="6" t="s">
        <v>10886</v>
      </c>
      <c r="O1395" s="16" t="n">
        <v>40975</v>
      </c>
      <c r="P1395" s="6" t="s">
        <v>11209</v>
      </c>
      <c r="Q1395" s="6" t="s">
        <v>81</v>
      </c>
      <c r="R1395" s="6" t="s">
        <v>12810</v>
      </c>
      <c r="S1395" s="6" t="s">
        <v>10886</v>
      </c>
      <c r="T1395" s="16" t="n">
        <v>40975</v>
      </c>
      <c r="U1395" s="6" t="s">
        <v>13163</v>
      </c>
      <c r="V1395" s="6" t="s">
        <v>81</v>
      </c>
      <c r="W1395" s="6" t="s">
        <v>81</v>
      </c>
      <c r="X1395" s="6" t="s">
        <v>81</v>
      </c>
      <c r="Y1395" s="21" t="s">
        <v>81</v>
      </c>
      <c r="Z1395" s="6" t="s">
        <v>81</v>
      </c>
      <c r="AA1395" s="6" t="s">
        <v>81</v>
      </c>
      <c r="AB1395" s="6" t="s">
        <v>81</v>
      </c>
      <c r="AC1395" s="6" t="s">
        <v>81</v>
      </c>
      <c r="AD1395" s="21" t="s">
        <v>81</v>
      </c>
      <c r="AE1395" s="6" t="s">
        <v>81</v>
      </c>
      <c r="AF1395" s="6" t="s">
        <v>81</v>
      </c>
      <c r="AG1395" s="6" t="s">
        <v>81</v>
      </c>
      <c r="AH1395" s="6" t="s">
        <v>15964</v>
      </c>
      <c r="AI1395" s="6" t="s">
        <v>81</v>
      </c>
      <c r="AJ1395" s="6" t="s">
        <v>17324</v>
      </c>
      <c r="AK1395" s="6" t="s">
        <v>18378</v>
      </c>
      <c r="AL1395" s="6" t="s">
        <v>18444</v>
      </c>
      <c r="AM1395" s="6" t="s">
        <v>18476</v>
      </c>
      <c r="AN1395" s="6" t="s">
        <v>19640</v>
      </c>
      <c r="AO1395" s="6" t="s">
        <v>19726</v>
      </c>
      <c r="AP1395" s="6" t="s">
        <v>15964</v>
      </c>
      <c r="AQ1395" s="6" t="s">
        <v>81</v>
      </c>
      <c r="AR1395" s="6" t="s">
        <v>17324</v>
      </c>
      <c r="AS1395" s="6" t="s">
        <v>18378</v>
      </c>
      <c r="AT1395" s="6" t="s">
        <v>18444</v>
      </c>
      <c r="AU1395" s="6" t="s">
        <v>18476</v>
      </c>
      <c r="AV1395" s="6" t="s">
        <v>81</v>
      </c>
      <c r="AW1395" s="6" t="s">
        <v>81</v>
      </c>
      <c r="AX1395" s="6" t="s">
        <v>21621</v>
      </c>
      <c r="AY1395" s="6" t="s">
        <v>81</v>
      </c>
      <c r="AZ1395" s="6" t="s">
        <v>81</v>
      </c>
      <c r="BA1395" s="6" t="s">
        <v>81</v>
      </c>
      <c r="BB1395" s="24" t="n">
        <v>108</v>
      </c>
      <c r="BC1395" s="26"/>
      <c r="BD1395" s="26"/>
      <c r="BE1395" s="26"/>
      <c r="BF1395" s="26"/>
      <c r="BG1395" s="26"/>
      <c r="BH1395" s="26"/>
      <c r="BI1395" s="26"/>
      <c r="BJ1395" s="26"/>
      <c r="BK1395" s="26"/>
      <c r="BL1395" s="26"/>
      <c r="BM1395" s="26"/>
      <c r="BN1395" s="26"/>
      <c r="BO1395" s="26"/>
      <c r="BP1395" s="16" t="n">
        <v>45730</v>
      </c>
      <c r="BQ1395" s="28" t="str">
        <f>HYPERLINK("https://organic.ams.usda.gov/Integrity/Certificate.aspx?cid=90&amp;nopid=7170210285")</f>
        <v>https://organic.ams.usda.gov/Integrity/Certificate.aspx?cid=90&amp;nopid=7170210285</v>
      </c>
    </row>
    <row r="1396">
      <c r="A1396" t="s">
        <v>3</v>
      </c>
      <c r="B1396" s="6" t="s">
        <v>12</v>
      </c>
      <c r="C1396" s="6" t="s">
        <v>59</v>
      </c>
      <c r="D1396" s="6" t="s">
        <v>105</v>
      </c>
      <c r="E1396" s="10" t="s">
        <v>1537</v>
      </c>
      <c r="F1396" s="6" t="s">
        <v>4261</v>
      </c>
      <c r="G1396" s="6" t="s">
        <v>81</v>
      </c>
      <c r="H1396" s="6" t="s">
        <v>7174</v>
      </c>
      <c r="I1396" s="6" t="s">
        <v>8409</v>
      </c>
      <c r="J1396" s="6" t="s">
        <v>10311</v>
      </c>
      <c r="K1396" s="6" t="s">
        <v>10886</v>
      </c>
      <c r="L1396" s="16" t="n">
        <v>39024</v>
      </c>
      <c r="M1396" s="16" t="n">
        <v>45717</v>
      </c>
      <c r="N1396" s="6" t="s">
        <v>10886</v>
      </c>
      <c r="O1396" s="16" t="n">
        <v>39024</v>
      </c>
      <c r="P1396" s="6" t="s">
        <v>11732</v>
      </c>
      <c r="Q1396" s="6" t="s">
        <v>81</v>
      </c>
      <c r="R1396" s="6" t="s">
        <v>81</v>
      </c>
      <c r="S1396" s="6" t="s">
        <v>10886</v>
      </c>
      <c r="T1396" s="16" t="n">
        <v>39024</v>
      </c>
      <c r="U1396" s="6" t="s">
        <v>13612</v>
      </c>
      <c r="V1396" s="6" t="s">
        <v>81</v>
      </c>
      <c r="W1396" s="6" t="s">
        <v>81</v>
      </c>
      <c r="X1396" s="6" t="s">
        <v>81</v>
      </c>
      <c r="Y1396" s="21" t="s">
        <v>81</v>
      </c>
      <c r="Z1396" s="6" t="s">
        <v>81</v>
      </c>
      <c r="AA1396" s="6" t="s">
        <v>81</v>
      </c>
      <c r="AB1396" s="6" t="s">
        <v>81</v>
      </c>
      <c r="AC1396" s="6" t="s">
        <v>81</v>
      </c>
      <c r="AD1396" s="21" t="s">
        <v>81</v>
      </c>
      <c r="AE1396" s="6" t="s">
        <v>81</v>
      </c>
      <c r="AF1396" s="6" t="s">
        <v>81</v>
      </c>
      <c r="AG1396" s="6" t="s">
        <v>81</v>
      </c>
      <c r="AH1396" s="6" t="s">
        <v>15965</v>
      </c>
      <c r="AI1396" s="6" t="s">
        <v>81</v>
      </c>
      <c r="AJ1396" s="6" t="s">
        <v>17983</v>
      </c>
      <c r="AK1396" s="6" t="s">
        <v>18380</v>
      </c>
      <c r="AL1396" s="6" t="s">
        <v>18444</v>
      </c>
      <c r="AM1396" s="6" t="s">
        <v>19173</v>
      </c>
      <c r="AN1396" s="6" t="s">
        <v>19687</v>
      </c>
      <c r="AO1396" s="6" t="s">
        <v>19830</v>
      </c>
      <c r="AP1396" s="6" t="s">
        <v>20280</v>
      </c>
      <c r="AQ1396" s="6" t="s">
        <v>81</v>
      </c>
      <c r="AR1396" s="6" t="s">
        <v>17983</v>
      </c>
      <c r="AS1396" s="6" t="s">
        <v>18380</v>
      </c>
      <c r="AT1396" s="6" t="s">
        <v>18444</v>
      </c>
      <c r="AU1396" s="6" t="s">
        <v>19173</v>
      </c>
      <c r="AV1396" s="6" t="s">
        <v>81</v>
      </c>
      <c r="AW1396" s="6" t="s">
        <v>81</v>
      </c>
      <c r="AX1396" s="6" t="s">
        <v>21622</v>
      </c>
      <c r="AY1396" s="6" t="s">
        <v>81</v>
      </c>
      <c r="AZ1396" s="6" t="s">
        <v>81</v>
      </c>
      <c r="BA1396" s="6" t="s">
        <v>81</v>
      </c>
      <c r="BB1396" s="24" t="n">
        <v>296</v>
      </c>
      <c r="BC1396" s="26"/>
      <c r="BD1396" s="26"/>
      <c r="BE1396" s="26"/>
      <c r="BF1396" s="26"/>
      <c r="BG1396" s="26"/>
      <c r="BH1396" s="26"/>
      <c r="BI1396" s="26"/>
      <c r="BJ1396" s="26"/>
      <c r="BK1396" s="26"/>
      <c r="BL1396" s="26"/>
      <c r="BM1396" s="26"/>
      <c r="BN1396" s="26"/>
      <c r="BO1396" s="26"/>
      <c r="BP1396" s="16" t="n">
        <v>45695</v>
      </c>
      <c r="BQ1396" s="28" t="str">
        <f>HYPERLINK("https://organic.ams.usda.gov/Integrity/Certificate.aspx?cid=68&amp;nopid=8210001822")</f>
        <v>https://organic.ams.usda.gov/Integrity/Certificate.aspx?cid=68&amp;nopid=8210001822</v>
      </c>
    </row>
    <row r="1397">
      <c r="A1397" t="s">
        <v>3</v>
      </c>
      <c r="B1397" s="6" t="s">
        <v>9</v>
      </c>
      <c r="C1397" s="6" t="s">
        <v>56</v>
      </c>
      <c r="D1397" s="6" t="s">
        <v>102</v>
      </c>
      <c r="E1397" s="10" t="s">
        <v>1538</v>
      </c>
      <c r="F1397" s="6" t="s">
        <v>4262</v>
      </c>
      <c r="G1397" s="6" t="s">
        <v>81</v>
      </c>
      <c r="H1397" s="6" t="s">
        <v>7175</v>
      </c>
      <c r="I1397" s="6" t="s">
        <v>8409</v>
      </c>
      <c r="J1397" s="6" t="s">
        <v>9666</v>
      </c>
      <c r="K1397" s="6" t="s">
        <v>10886</v>
      </c>
      <c r="L1397" s="16" t="n">
        <v>44133</v>
      </c>
      <c r="M1397" s="16" t="n">
        <v>45748</v>
      </c>
      <c r="N1397" s="6" t="s">
        <v>10886</v>
      </c>
      <c r="O1397" s="16" t="n">
        <v>44133</v>
      </c>
      <c r="P1397" s="6" t="s">
        <v>11733</v>
      </c>
      <c r="Q1397" s="6" t="s">
        <v>81</v>
      </c>
      <c r="R1397" s="6" t="s">
        <v>12811</v>
      </c>
      <c r="S1397" s="6" t="s">
        <v>10886</v>
      </c>
      <c r="T1397" s="16" t="n">
        <v>44133</v>
      </c>
      <c r="U1397" s="6" t="s">
        <v>13613</v>
      </c>
      <c r="V1397" s="6" t="s">
        <v>81</v>
      </c>
      <c r="W1397" s="6" t="s">
        <v>12811</v>
      </c>
      <c r="X1397" s="6" t="s">
        <v>81</v>
      </c>
      <c r="Y1397" s="21" t="s">
        <v>81</v>
      </c>
      <c r="Z1397" s="6" t="s">
        <v>81</v>
      </c>
      <c r="AA1397" s="6" t="s">
        <v>81</v>
      </c>
      <c r="AB1397" s="6" t="s">
        <v>81</v>
      </c>
      <c r="AC1397" s="6" t="s">
        <v>81</v>
      </c>
      <c r="AD1397" s="21" t="s">
        <v>81</v>
      </c>
      <c r="AE1397" s="6" t="s">
        <v>81</v>
      </c>
      <c r="AF1397" s="6" t="s">
        <v>81</v>
      </c>
      <c r="AG1397" s="6" t="s">
        <v>81</v>
      </c>
      <c r="AH1397" s="6" t="s">
        <v>15966</v>
      </c>
      <c r="AI1397" s="6" t="s">
        <v>81</v>
      </c>
      <c r="AJ1397" s="6" t="s">
        <v>17984</v>
      </c>
      <c r="AK1397" s="6" t="s">
        <v>18377</v>
      </c>
      <c r="AL1397" s="6" t="s">
        <v>18444</v>
      </c>
      <c r="AM1397" s="6" t="s">
        <v>19174</v>
      </c>
      <c r="AN1397" s="6" t="s">
        <v>7195</v>
      </c>
      <c r="AO1397" s="6" t="s">
        <v>19737</v>
      </c>
      <c r="AP1397" s="6" t="s">
        <v>81</v>
      </c>
      <c r="AQ1397" s="6" t="s">
        <v>81</v>
      </c>
      <c r="AR1397" s="6" t="s">
        <v>81</v>
      </c>
      <c r="AS1397" s="6" t="s">
        <v>81</v>
      </c>
      <c r="AT1397" s="6" t="s">
        <v>81</v>
      </c>
      <c r="AU1397" s="6" t="s">
        <v>81</v>
      </c>
      <c r="AV1397" s="6" t="s">
        <v>81</v>
      </c>
      <c r="AW1397" s="6" t="s">
        <v>81</v>
      </c>
      <c r="AX1397" s="6" t="s">
        <v>21623</v>
      </c>
      <c r="AY1397" s="6" t="s">
        <v>81</v>
      </c>
      <c r="AZ1397" s="6" t="s">
        <v>81</v>
      </c>
      <c r="BA1397" s="6" t="s">
        <v>81</v>
      </c>
      <c r="BB1397" s="24" t="n">
        <v>113</v>
      </c>
      <c r="BC1397" s="26"/>
      <c r="BD1397" s="26"/>
      <c r="BE1397" s="26"/>
      <c r="BF1397" s="26"/>
      <c r="BG1397" s="26"/>
      <c r="BH1397" s="26"/>
      <c r="BI1397" s="26"/>
      <c r="BJ1397" s="26"/>
      <c r="BK1397" s="26"/>
      <c r="BL1397" s="26"/>
      <c r="BM1397" s="26"/>
      <c r="BN1397" s="26"/>
      <c r="BO1397" s="26"/>
      <c r="BP1397" s="16" t="n">
        <v>45738</v>
      </c>
      <c r="BQ1397" s="28" t="str">
        <f>HYPERLINK("https://organic.ams.usda.gov/Integrity/Certificate.aspx?cid=52&amp;nopid=8432001876")</f>
        <v>https://organic.ams.usda.gov/Integrity/Certificate.aspx?cid=52&amp;nopid=8432001876</v>
      </c>
    </row>
    <row r="1398">
      <c r="A1398" t="s">
        <v>3</v>
      </c>
      <c r="B1398" s="6" t="s">
        <v>13</v>
      </c>
      <c r="C1398" s="6" t="s">
        <v>60</v>
      </c>
      <c r="D1398" s="6" t="s">
        <v>106</v>
      </c>
      <c r="E1398" s="10" t="s">
        <v>1539</v>
      </c>
      <c r="F1398" s="6" t="s">
        <v>4263</v>
      </c>
      <c r="G1398" s="6" t="s">
        <v>81</v>
      </c>
      <c r="H1398" s="6" t="s">
        <v>7176</v>
      </c>
      <c r="I1398" s="6" t="s">
        <v>8409</v>
      </c>
      <c r="J1398" s="6" t="s">
        <v>9666</v>
      </c>
      <c r="K1398" s="6" t="s">
        <v>10886</v>
      </c>
      <c r="L1398" s="16" t="n">
        <v>40495</v>
      </c>
      <c r="M1398" s="16" t="n">
        <v>46024</v>
      </c>
      <c r="N1398" s="6" t="s">
        <v>10886</v>
      </c>
      <c r="O1398" s="16" t="n">
        <v>40495</v>
      </c>
      <c r="P1398" s="6" t="s">
        <v>11252</v>
      </c>
      <c r="Q1398" s="6" t="s">
        <v>81</v>
      </c>
      <c r="R1398" s="6" t="s">
        <v>12812</v>
      </c>
      <c r="S1398" s="6" t="s">
        <v>10886</v>
      </c>
      <c r="T1398" s="16" t="n">
        <v>40495</v>
      </c>
      <c r="U1398" s="6" t="s">
        <v>13381</v>
      </c>
      <c r="V1398" s="6" t="s">
        <v>81</v>
      </c>
      <c r="W1398" s="6" t="s">
        <v>12812</v>
      </c>
      <c r="X1398" s="6" t="s">
        <v>81</v>
      </c>
      <c r="Y1398" s="21" t="s">
        <v>81</v>
      </c>
      <c r="Z1398" s="6" t="s">
        <v>81</v>
      </c>
      <c r="AA1398" s="6" t="s">
        <v>81</v>
      </c>
      <c r="AB1398" s="6" t="s">
        <v>81</v>
      </c>
      <c r="AC1398" s="6" t="s">
        <v>81</v>
      </c>
      <c r="AD1398" s="21" t="s">
        <v>81</v>
      </c>
      <c r="AE1398" s="6" t="s">
        <v>81</v>
      </c>
      <c r="AF1398" s="6" t="s">
        <v>81</v>
      </c>
      <c r="AG1398" s="6" t="s">
        <v>81</v>
      </c>
      <c r="AH1398" s="6" t="s">
        <v>15967</v>
      </c>
      <c r="AI1398" s="6" t="s">
        <v>81</v>
      </c>
      <c r="AJ1398" s="6" t="s">
        <v>10457</v>
      </c>
      <c r="AK1398" s="6" t="s">
        <v>18378</v>
      </c>
      <c r="AL1398" s="6" t="s">
        <v>18444</v>
      </c>
      <c r="AM1398" s="6" t="s">
        <v>18573</v>
      </c>
      <c r="AN1398" s="6" t="s">
        <v>19673</v>
      </c>
      <c r="AO1398" s="6" t="s">
        <v>19786</v>
      </c>
      <c r="AP1398" s="6" t="s">
        <v>15967</v>
      </c>
      <c r="AQ1398" s="6" t="s">
        <v>81</v>
      </c>
      <c r="AR1398" s="6" t="s">
        <v>10457</v>
      </c>
      <c r="AS1398" s="6" t="s">
        <v>18378</v>
      </c>
      <c r="AT1398" s="6" t="s">
        <v>18444</v>
      </c>
      <c r="AU1398" s="6" t="s">
        <v>18573</v>
      </c>
      <c r="AV1398" s="6" t="s">
        <v>81</v>
      </c>
      <c r="AW1398" s="6" t="s">
        <v>81</v>
      </c>
      <c r="AX1398" s="6" t="s">
        <v>21624</v>
      </c>
      <c r="AY1398" s="6" t="s">
        <v>81</v>
      </c>
      <c r="AZ1398" s="6" t="s">
        <v>81</v>
      </c>
      <c r="BA1398" s="6" t="s">
        <v>81</v>
      </c>
      <c r="BB1398" s="24" t="n">
        <v>112</v>
      </c>
      <c r="BC1398" s="26"/>
      <c r="BD1398" s="26"/>
      <c r="BE1398" s="26"/>
      <c r="BF1398" s="26" t="s">
        <v>23900</v>
      </c>
      <c r="BG1398" s="26"/>
      <c r="BH1398" s="26"/>
      <c r="BI1398" s="26"/>
      <c r="BJ1398" s="26"/>
      <c r="BK1398" s="26"/>
      <c r="BL1398" s="26"/>
      <c r="BM1398" s="26"/>
      <c r="BN1398" s="26"/>
      <c r="BO1398" s="26"/>
      <c r="BP1398" s="16" t="n">
        <v>45667</v>
      </c>
      <c r="BQ1398" s="28" t="str">
        <f>HYPERLINK("https://organic.ams.usda.gov/Integrity/Certificate.aspx?cid=72&amp;nopid=5870001510")</f>
        <v>https://organic.ams.usda.gov/Integrity/Certificate.aspx?cid=72&amp;nopid=5870001510</v>
      </c>
    </row>
    <row r="1399">
      <c r="A1399" t="s">
        <v>3</v>
      </c>
      <c r="B1399" s="6" t="s">
        <v>8</v>
      </c>
      <c r="C1399" s="6" t="s">
        <v>55</v>
      </c>
      <c r="D1399" s="6" t="s">
        <v>101</v>
      </c>
      <c r="E1399" s="10" t="s">
        <v>1540</v>
      </c>
      <c r="F1399" s="6" t="s">
        <v>4264</v>
      </c>
      <c r="G1399" s="6" t="s">
        <v>81</v>
      </c>
      <c r="H1399" s="6" t="s">
        <v>7177</v>
      </c>
      <c r="I1399" s="6" t="s">
        <v>8409</v>
      </c>
      <c r="J1399" s="6" t="s">
        <v>10312</v>
      </c>
      <c r="K1399" s="6" t="s">
        <v>10886</v>
      </c>
      <c r="L1399" s="16" t="n">
        <v>44804</v>
      </c>
      <c r="M1399" s="16" t="n">
        <v>45748</v>
      </c>
      <c r="N1399" s="6" t="s">
        <v>10886</v>
      </c>
      <c r="O1399" s="16" t="n">
        <v>44804</v>
      </c>
      <c r="P1399" s="6" t="s">
        <v>11734</v>
      </c>
      <c r="Q1399" s="6" t="s">
        <v>81</v>
      </c>
      <c r="R1399" s="6" t="s">
        <v>7177</v>
      </c>
      <c r="S1399" s="6" t="s">
        <v>10886</v>
      </c>
      <c r="T1399" s="16" t="n">
        <v>44804</v>
      </c>
      <c r="U1399" s="6" t="s">
        <v>13614</v>
      </c>
      <c r="V1399" s="6" t="s">
        <v>81</v>
      </c>
      <c r="W1399" s="6" t="s">
        <v>7177</v>
      </c>
      <c r="X1399" s="6" t="s">
        <v>81</v>
      </c>
      <c r="Y1399" s="21" t="s">
        <v>81</v>
      </c>
      <c r="Z1399" s="6" t="s">
        <v>81</v>
      </c>
      <c r="AA1399" s="6" t="s">
        <v>81</v>
      </c>
      <c r="AB1399" s="6" t="s">
        <v>81</v>
      </c>
      <c r="AC1399" s="6" t="s">
        <v>81</v>
      </c>
      <c r="AD1399" s="21" t="s">
        <v>81</v>
      </c>
      <c r="AE1399" s="6" t="s">
        <v>81</v>
      </c>
      <c r="AF1399" s="6" t="s">
        <v>81</v>
      </c>
      <c r="AG1399" s="6" t="s">
        <v>81</v>
      </c>
      <c r="AH1399" s="6" t="s">
        <v>15968</v>
      </c>
      <c r="AI1399" s="6" t="s">
        <v>81</v>
      </c>
      <c r="AJ1399" s="6" t="s">
        <v>17376</v>
      </c>
      <c r="AK1399" s="6" t="s">
        <v>18377</v>
      </c>
      <c r="AL1399" s="6" t="s">
        <v>18444</v>
      </c>
      <c r="AM1399" s="6" t="s">
        <v>18528</v>
      </c>
      <c r="AN1399" s="6" t="s">
        <v>19661</v>
      </c>
      <c r="AO1399" s="6" t="s">
        <v>19761</v>
      </c>
      <c r="AP1399" s="6" t="s">
        <v>81</v>
      </c>
      <c r="AQ1399" s="6" t="s">
        <v>81</v>
      </c>
      <c r="AR1399" s="6" t="s">
        <v>81</v>
      </c>
      <c r="AS1399" s="6" t="s">
        <v>81</v>
      </c>
      <c r="AT1399" s="6" t="s">
        <v>81</v>
      </c>
      <c r="AU1399" s="6" t="s">
        <v>81</v>
      </c>
      <c r="AV1399" s="6" t="s">
        <v>81</v>
      </c>
      <c r="AW1399" s="6" t="s">
        <v>81</v>
      </c>
      <c r="AX1399" s="6" t="s">
        <v>21625</v>
      </c>
      <c r="AY1399" s="6" t="s">
        <v>81</v>
      </c>
      <c r="AZ1399" s="6" t="s">
        <v>81</v>
      </c>
      <c r="BA1399" s="6" t="s">
        <v>23824</v>
      </c>
      <c r="BB1399" s="24" t="n">
        <v>246</v>
      </c>
      <c r="BC1399" s="26"/>
      <c r="BD1399" s="26"/>
      <c r="BE1399" s="26"/>
      <c r="BF1399" s="26" t="s">
        <v>23900</v>
      </c>
      <c r="BG1399" s="26"/>
      <c r="BH1399" s="26"/>
      <c r="BI1399" s="26"/>
      <c r="BJ1399" s="26"/>
      <c r="BK1399" s="26"/>
      <c r="BL1399" s="26"/>
      <c r="BM1399" s="26"/>
      <c r="BN1399" s="26"/>
      <c r="BO1399" s="26"/>
      <c r="BP1399" s="16" t="n">
        <v>45531</v>
      </c>
      <c r="BQ1399" s="28" t="str">
        <f>HYPERLINK("https://organic.ams.usda.gov/Integrity/Certificate.aspx?cid=45&amp;nopid=9950011686")</f>
        <v>https://organic.ams.usda.gov/Integrity/Certificate.aspx?cid=45&amp;nopid=9950011686</v>
      </c>
    </row>
    <row r="1400">
      <c r="A1400" t="s">
        <v>3</v>
      </c>
      <c r="B1400" s="6" t="s">
        <v>24</v>
      </c>
      <c r="C1400" s="6" t="s">
        <v>71</v>
      </c>
      <c r="D1400" s="6" t="s">
        <v>117</v>
      </c>
      <c r="E1400" s="10" t="s">
        <v>1541</v>
      </c>
      <c r="F1400" s="6" t="s">
        <v>4265</v>
      </c>
      <c r="G1400" s="6" t="s">
        <v>81</v>
      </c>
      <c r="H1400" s="6" t="s">
        <v>81</v>
      </c>
      <c r="I1400" s="6" t="s">
        <v>8913</v>
      </c>
      <c r="J1400" s="6" t="s">
        <v>10313</v>
      </c>
      <c r="K1400" s="6" t="s">
        <v>10886</v>
      </c>
      <c r="L1400" s="16" t="n">
        <v>44753</v>
      </c>
      <c r="M1400" s="16" t="n">
        <v>45901</v>
      </c>
      <c r="N1400" s="6" t="s">
        <v>10886</v>
      </c>
      <c r="O1400" s="16" t="n">
        <v>45209</v>
      </c>
      <c r="P1400" s="6" t="s">
        <v>11031</v>
      </c>
      <c r="Q1400" s="6" t="s">
        <v>81</v>
      </c>
      <c r="R1400" s="6" t="s">
        <v>81</v>
      </c>
      <c r="S1400" s="6" t="s">
        <v>10886</v>
      </c>
      <c r="T1400" s="16" t="n">
        <v>44753</v>
      </c>
      <c r="U1400" s="6" t="s">
        <v>13278</v>
      </c>
      <c r="V1400" s="6" t="s">
        <v>81</v>
      </c>
      <c r="W1400" s="6" t="s">
        <v>81</v>
      </c>
      <c r="X1400" s="6" t="s">
        <v>81</v>
      </c>
      <c r="Y1400" s="21" t="s">
        <v>81</v>
      </c>
      <c r="Z1400" s="6" t="s">
        <v>81</v>
      </c>
      <c r="AA1400" s="6" t="s">
        <v>81</v>
      </c>
      <c r="AB1400" s="6" t="s">
        <v>81</v>
      </c>
      <c r="AC1400" s="6" t="s">
        <v>10886</v>
      </c>
      <c r="AD1400" s="16" t="n">
        <v>44753</v>
      </c>
      <c r="AE1400" s="6" t="s">
        <v>14014</v>
      </c>
      <c r="AF1400" s="6" t="s">
        <v>81</v>
      </c>
      <c r="AG1400" s="6" t="s">
        <v>81</v>
      </c>
      <c r="AH1400" s="6" t="s">
        <v>15969</v>
      </c>
      <c r="AI1400" s="6" t="s">
        <v>81</v>
      </c>
      <c r="AJ1400" s="6" t="s">
        <v>17660</v>
      </c>
      <c r="AK1400" s="6" t="s">
        <v>18404</v>
      </c>
      <c r="AL1400" s="6" t="s">
        <v>18444</v>
      </c>
      <c r="AM1400" s="6" t="s">
        <v>18828</v>
      </c>
      <c r="AN1400" s="6" t="s">
        <v>19684</v>
      </c>
      <c r="AO1400" s="6" t="s">
        <v>19829</v>
      </c>
      <c r="AP1400" s="6" t="s">
        <v>20281</v>
      </c>
      <c r="AQ1400" s="6" t="s">
        <v>81</v>
      </c>
      <c r="AR1400" s="6" t="s">
        <v>17660</v>
      </c>
      <c r="AS1400" s="6" t="s">
        <v>18404</v>
      </c>
      <c r="AT1400" s="6" t="s">
        <v>18444</v>
      </c>
      <c r="AU1400" s="6" t="s">
        <v>18828</v>
      </c>
      <c r="AV1400" s="6" t="s">
        <v>81</v>
      </c>
      <c r="AW1400" s="6" t="s">
        <v>81</v>
      </c>
      <c r="AX1400" s="6" t="s">
        <v>81</v>
      </c>
      <c r="AY1400" s="6" t="s">
        <v>23048</v>
      </c>
      <c r="AZ1400" s="6" t="s">
        <v>81</v>
      </c>
      <c r="BA1400" s="6" t="s">
        <v>81</v>
      </c>
      <c r="BB1400" s="24" t="n">
        <v>228</v>
      </c>
      <c r="BC1400" s="26"/>
      <c r="BD1400" s="26"/>
      <c r="BE1400" s="26"/>
      <c r="BF1400" s="26"/>
      <c r="BG1400" s="26"/>
      <c r="BH1400" s="26"/>
      <c r="BI1400" s="26"/>
      <c r="BJ1400" s="26"/>
      <c r="BK1400" s="26"/>
      <c r="BL1400" s="26"/>
      <c r="BM1400" s="26"/>
      <c r="BN1400" s="26"/>
      <c r="BO1400" s="26"/>
      <c r="BP1400" s="16" t="n">
        <v>45628</v>
      </c>
      <c r="BQ1400" s="28" t="str">
        <f>HYPERLINK("https://organic.ams.usda.gov/Integrity/Certificate.aspx?cid=1&amp;nopid=9092205903")</f>
        <v>https://organic.ams.usda.gov/Integrity/Certificate.aspx?cid=1&amp;nopid=9092205903</v>
      </c>
    </row>
    <row r="1401">
      <c r="A1401" t="s">
        <v>3</v>
      </c>
      <c r="B1401" s="6" t="s">
        <v>9</v>
      </c>
      <c r="C1401" s="6" t="s">
        <v>56</v>
      </c>
      <c r="D1401" s="6" t="s">
        <v>102</v>
      </c>
      <c r="E1401" s="10" t="s">
        <v>1542</v>
      </c>
      <c r="F1401" s="6" t="s">
        <v>4266</v>
      </c>
      <c r="G1401" s="6" t="s">
        <v>81</v>
      </c>
      <c r="H1401" s="6" t="s">
        <v>7178</v>
      </c>
      <c r="I1401" s="6" t="s">
        <v>8913</v>
      </c>
      <c r="J1401" s="6" t="s">
        <v>10314</v>
      </c>
      <c r="K1401" s="6" t="s">
        <v>10886</v>
      </c>
      <c r="L1401" s="16" t="n">
        <v>41473</v>
      </c>
      <c r="M1401" s="16" t="n">
        <v>45748</v>
      </c>
      <c r="N1401" s="6" t="s">
        <v>10886</v>
      </c>
      <c r="O1401" s="16" t="n">
        <v>41473</v>
      </c>
      <c r="P1401" s="6" t="s">
        <v>11735</v>
      </c>
      <c r="Q1401" s="6" t="s">
        <v>81</v>
      </c>
      <c r="R1401" s="6" t="s">
        <v>12813</v>
      </c>
      <c r="S1401" s="6" t="s">
        <v>10886</v>
      </c>
      <c r="T1401" s="16" t="n">
        <v>41473</v>
      </c>
      <c r="U1401" s="6" t="s">
        <v>13227</v>
      </c>
      <c r="V1401" s="6" t="s">
        <v>81</v>
      </c>
      <c r="W1401" s="6" t="s">
        <v>12813</v>
      </c>
      <c r="X1401" s="6" t="s">
        <v>81</v>
      </c>
      <c r="Y1401" s="21" t="s">
        <v>81</v>
      </c>
      <c r="Z1401" s="6" t="s">
        <v>81</v>
      </c>
      <c r="AA1401" s="6" t="s">
        <v>81</v>
      </c>
      <c r="AB1401" s="6" t="s">
        <v>81</v>
      </c>
      <c r="AC1401" s="6" t="s">
        <v>81</v>
      </c>
      <c r="AD1401" s="21" t="s">
        <v>81</v>
      </c>
      <c r="AE1401" s="6" t="s">
        <v>81</v>
      </c>
      <c r="AF1401" s="6" t="s">
        <v>81</v>
      </c>
      <c r="AG1401" s="6" t="s">
        <v>81</v>
      </c>
      <c r="AH1401" s="6" t="s">
        <v>15970</v>
      </c>
      <c r="AI1401" s="6" t="s">
        <v>81</v>
      </c>
      <c r="AJ1401" s="6" t="s">
        <v>17985</v>
      </c>
      <c r="AK1401" s="6" t="s">
        <v>18377</v>
      </c>
      <c r="AL1401" s="6" t="s">
        <v>18444</v>
      </c>
      <c r="AM1401" s="6" t="s">
        <v>19175</v>
      </c>
      <c r="AN1401" s="6" t="s">
        <v>19683</v>
      </c>
      <c r="AO1401" s="6" t="s">
        <v>19837</v>
      </c>
      <c r="AP1401" s="6" t="s">
        <v>81</v>
      </c>
      <c r="AQ1401" s="6" t="s">
        <v>81</v>
      </c>
      <c r="AR1401" s="6" t="s">
        <v>81</v>
      </c>
      <c r="AS1401" s="6" t="s">
        <v>81</v>
      </c>
      <c r="AT1401" s="6" t="s">
        <v>81</v>
      </c>
      <c r="AU1401" s="6" t="s">
        <v>81</v>
      </c>
      <c r="AV1401" s="6" t="s">
        <v>81</v>
      </c>
      <c r="AW1401" s="6" t="s">
        <v>81</v>
      </c>
      <c r="AX1401" s="6" t="s">
        <v>21626</v>
      </c>
      <c r="AY1401" s="6" t="s">
        <v>23049</v>
      </c>
      <c r="AZ1401" s="6" t="s">
        <v>81</v>
      </c>
      <c r="BA1401" s="6" t="s">
        <v>81</v>
      </c>
      <c r="BB1401" s="24" t="n">
        <v>174</v>
      </c>
      <c r="BC1401" s="26"/>
      <c r="BD1401" s="26"/>
      <c r="BE1401" s="26"/>
      <c r="BF1401" s="26"/>
      <c r="BG1401" s="26"/>
      <c r="BH1401" s="26"/>
      <c r="BI1401" s="26"/>
      <c r="BJ1401" s="26"/>
      <c r="BK1401" s="26"/>
      <c r="BL1401" s="26"/>
      <c r="BM1401" s="26"/>
      <c r="BN1401" s="26"/>
      <c r="BO1401" s="26"/>
      <c r="BP1401" s="16" t="n">
        <v>45738</v>
      </c>
      <c r="BQ1401" s="28" t="str">
        <f>HYPERLINK("https://organic.ams.usda.gov/Integrity/Certificate.aspx?cid=52&amp;nopid=8431300496")</f>
        <v>https://organic.ams.usda.gov/Integrity/Certificate.aspx?cid=52&amp;nopid=8431300496</v>
      </c>
    </row>
    <row r="1402">
      <c r="A1402" t="s">
        <v>3</v>
      </c>
      <c r="B1402" s="6" t="s">
        <v>15</v>
      </c>
      <c r="C1402" s="6" t="s">
        <v>62</v>
      </c>
      <c r="D1402" s="6" t="s">
        <v>108</v>
      </c>
      <c r="E1402" s="10" t="s">
        <v>1543</v>
      </c>
      <c r="F1402" s="6" t="s">
        <v>4267</v>
      </c>
      <c r="G1402" s="6" t="s">
        <v>81</v>
      </c>
      <c r="H1402" s="6" t="s">
        <v>7179</v>
      </c>
      <c r="I1402" s="6" t="s">
        <v>9120</v>
      </c>
      <c r="J1402" s="6" t="s">
        <v>10053</v>
      </c>
      <c r="K1402" s="6" t="s">
        <v>10886</v>
      </c>
      <c r="L1402" s="16" t="n">
        <v>43383</v>
      </c>
      <c r="M1402" s="16" t="n">
        <v>46157</v>
      </c>
      <c r="N1402" s="6" t="s">
        <v>10886</v>
      </c>
      <c r="O1402" s="16" t="n">
        <v>43383</v>
      </c>
      <c r="P1402" s="6" t="s">
        <v>11698</v>
      </c>
      <c r="Q1402" s="6" t="s">
        <v>81</v>
      </c>
      <c r="R1402" s="6" t="s">
        <v>81</v>
      </c>
      <c r="S1402" s="6" t="s">
        <v>10886</v>
      </c>
      <c r="T1402" s="16" t="n">
        <v>43383</v>
      </c>
      <c r="U1402" s="6" t="s">
        <v>13196</v>
      </c>
      <c r="V1402" s="6" t="s">
        <v>81</v>
      </c>
      <c r="W1402" s="6" t="s">
        <v>81</v>
      </c>
      <c r="X1402" s="6" t="s">
        <v>81</v>
      </c>
      <c r="Y1402" s="21" t="s">
        <v>81</v>
      </c>
      <c r="Z1402" s="6" t="s">
        <v>81</v>
      </c>
      <c r="AA1402" s="6" t="s">
        <v>81</v>
      </c>
      <c r="AB1402" s="6" t="s">
        <v>81</v>
      </c>
      <c r="AC1402" s="6" t="s">
        <v>81</v>
      </c>
      <c r="AD1402" s="21" t="s">
        <v>81</v>
      </c>
      <c r="AE1402" s="6" t="s">
        <v>81</v>
      </c>
      <c r="AF1402" s="6" t="s">
        <v>81</v>
      </c>
      <c r="AG1402" s="6" t="s">
        <v>81</v>
      </c>
      <c r="AH1402" s="6" t="s">
        <v>15971</v>
      </c>
      <c r="AI1402" s="6" t="s">
        <v>81</v>
      </c>
      <c r="AJ1402" s="6" t="s">
        <v>17743</v>
      </c>
      <c r="AK1402" s="6" t="s">
        <v>18380</v>
      </c>
      <c r="AL1402" s="6" t="s">
        <v>18444</v>
      </c>
      <c r="AM1402" s="6" t="s">
        <v>18911</v>
      </c>
      <c r="AN1402" s="6" t="s">
        <v>81</v>
      </c>
      <c r="AO1402" s="6" t="s">
        <v>81</v>
      </c>
      <c r="AP1402" s="6" t="s">
        <v>15971</v>
      </c>
      <c r="AQ1402" s="6" t="s">
        <v>81</v>
      </c>
      <c r="AR1402" s="6" t="s">
        <v>17743</v>
      </c>
      <c r="AS1402" s="6" t="s">
        <v>18380</v>
      </c>
      <c r="AT1402" s="6" t="s">
        <v>18444</v>
      </c>
      <c r="AU1402" s="6" t="s">
        <v>18911</v>
      </c>
      <c r="AV1402" s="6" t="s">
        <v>81</v>
      </c>
      <c r="AW1402" s="6" t="s">
        <v>81</v>
      </c>
      <c r="AX1402" s="6" t="s">
        <v>5606</v>
      </c>
      <c r="AY1402" s="6" t="s">
        <v>81</v>
      </c>
      <c r="AZ1402" s="6" t="s">
        <v>81</v>
      </c>
      <c r="BA1402" s="6" t="s">
        <v>81</v>
      </c>
      <c r="BB1402" s="24" t="n">
        <v>72</v>
      </c>
      <c r="BC1402" s="26"/>
      <c r="BD1402" s="26"/>
      <c r="BE1402" s="26"/>
      <c r="BF1402" s="26" t="s">
        <v>23900</v>
      </c>
      <c r="BG1402" s="26"/>
      <c r="BH1402" s="26"/>
      <c r="BI1402" s="26"/>
      <c r="BJ1402" s="26"/>
      <c r="BK1402" s="26"/>
      <c r="BL1402" s="26"/>
      <c r="BM1402" s="26"/>
      <c r="BN1402" s="26"/>
      <c r="BO1402" s="26"/>
      <c r="BP1402" s="16" t="n">
        <v>45737</v>
      </c>
      <c r="BQ1402" s="28" t="str">
        <f>HYPERLINK("https://organic.ams.usda.gov/Integrity/Certificate.aspx?cid=58&amp;nopid=1600003713")</f>
        <v>https://organic.ams.usda.gov/Integrity/Certificate.aspx?cid=58&amp;nopid=1600003713</v>
      </c>
    </row>
    <row r="1403">
      <c r="A1403" t="s">
        <v>3</v>
      </c>
      <c r="B1403" s="6" t="s">
        <v>7</v>
      </c>
      <c r="C1403" s="6" t="s">
        <v>54</v>
      </c>
      <c r="D1403" s="6" t="s">
        <v>100</v>
      </c>
      <c r="E1403" s="10" t="s">
        <v>1544</v>
      </c>
      <c r="F1403" s="6" t="s">
        <v>4268</v>
      </c>
      <c r="G1403" s="6" t="s">
        <v>81</v>
      </c>
      <c r="H1403" s="6" t="s">
        <v>7180</v>
      </c>
      <c r="I1403" s="6" t="s">
        <v>9121</v>
      </c>
      <c r="J1403" s="6" t="s">
        <v>9701</v>
      </c>
      <c r="K1403" s="6" t="s">
        <v>10886</v>
      </c>
      <c r="L1403" s="16" t="n">
        <v>45617</v>
      </c>
      <c r="M1403" s="16" t="n">
        <v>45716</v>
      </c>
      <c r="N1403" s="6" t="s">
        <v>10886</v>
      </c>
      <c r="O1403" s="16" t="n">
        <v>45617</v>
      </c>
      <c r="P1403" s="6" t="s">
        <v>11736</v>
      </c>
      <c r="Q1403" s="6" t="s">
        <v>81</v>
      </c>
      <c r="R1403" s="6" t="s">
        <v>81</v>
      </c>
      <c r="S1403" s="6" t="s">
        <v>10886</v>
      </c>
      <c r="T1403" s="16" t="n">
        <v>45617</v>
      </c>
      <c r="U1403" s="6" t="s">
        <v>13615</v>
      </c>
      <c r="V1403" s="6" t="s">
        <v>81</v>
      </c>
      <c r="W1403" s="6" t="s">
        <v>81</v>
      </c>
      <c r="X1403" s="6" t="s">
        <v>81</v>
      </c>
      <c r="Y1403" s="21" t="s">
        <v>81</v>
      </c>
      <c r="Z1403" s="6" t="s">
        <v>81</v>
      </c>
      <c r="AA1403" s="6" t="s">
        <v>81</v>
      </c>
      <c r="AB1403" s="6" t="s">
        <v>81</v>
      </c>
      <c r="AC1403" s="6" t="s">
        <v>81</v>
      </c>
      <c r="AD1403" s="21" t="s">
        <v>81</v>
      </c>
      <c r="AE1403" s="6" t="s">
        <v>81</v>
      </c>
      <c r="AF1403" s="6" t="s">
        <v>81</v>
      </c>
      <c r="AG1403" s="6" t="s">
        <v>81</v>
      </c>
      <c r="AH1403" s="6" t="s">
        <v>15972</v>
      </c>
      <c r="AI1403" s="6" t="s">
        <v>81</v>
      </c>
      <c r="AJ1403" s="6" t="s">
        <v>17986</v>
      </c>
      <c r="AK1403" s="6" t="s">
        <v>18380</v>
      </c>
      <c r="AL1403" s="6" t="s">
        <v>18444</v>
      </c>
      <c r="AM1403" s="6" t="s">
        <v>19176</v>
      </c>
      <c r="AN1403" s="6" t="s">
        <v>81</v>
      </c>
      <c r="AO1403" s="6" t="s">
        <v>81</v>
      </c>
      <c r="AP1403" s="6" t="s">
        <v>15972</v>
      </c>
      <c r="AQ1403" s="6" t="s">
        <v>81</v>
      </c>
      <c r="AR1403" s="6" t="s">
        <v>17986</v>
      </c>
      <c r="AS1403" s="6" t="s">
        <v>18380</v>
      </c>
      <c r="AT1403" s="6" t="s">
        <v>18444</v>
      </c>
      <c r="AU1403" s="6" t="s">
        <v>19176</v>
      </c>
      <c r="AV1403" s="6" t="s">
        <v>81</v>
      </c>
      <c r="AW1403" s="6" t="s">
        <v>81</v>
      </c>
      <c r="AX1403" s="6" t="s">
        <v>21627</v>
      </c>
      <c r="AY1403" s="6" t="s">
        <v>81</v>
      </c>
      <c r="AZ1403" s="6" t="s">
        <v>81</v>
      </c>
      <c r="BA1403" s="6" t="s">
        <v>81</v>
      </c>
      <c r="BB1403" s="24" t="n">
        <v>754</v>
      </c>
      <c r="BC1403" s="26"/>
      <c r="BD1403" s="26"/>
      <c r="BE1403" s="26"/>
      <c r="BF1403" s="26"/>
      <c r="BG1403" s="26"/>
      <c r="BH1403" s="26"/>
      <c r="BI1403" s="26"/>
      <c r="BJ1403" s="26"/>
      <c r="BK1403" s="26"/>
      <c r="BL1403" s="26"/>
      <c r="BM1403" s="26"/>
      <c r="BN1403" s="26"/>
      <c r="BO1403" s="26"/>
      <c r="BP1403" s="16" t="n">
        <v>45664</v>
      </c>
      <c r="BQ1403" s="28" t="str">
        <f>HYPERLINK("https://organic.ams.usda.gov/Integrity/Certificate.aspx?cid=57&amp;nopid=3252024063")</f>
        <v>https://organic.ams.usda.gov/Integrity/Certificate.aspx?cid=57&amp;nopid=3252024063</v>
      </c>
    </row>
    <row r="1404">
      <c r="A1404" t="s">
        <v>3</v>
      </c>
      <c r="B1404" s="6" t="s">
        <v>12</v>
      </c>
      <c r="C1404" s="6" t="s">
        <v>59</v>
      </c>
      <c r="D1404" s="6" t="s">
        <v>105</v>
      </c>
      <c r="E1404" s="10" t="s">
        <v>1545</v>
      </c>
      <c r="F1404" s="6" t="s">
        <v>4269</v>
      </c>
      <c r="G1404" s="6" t="s">
        <v>81</v>
      </c>
      <c r="H1404" s="6" t="s">
        <v>7181</v>
      </c>
      <c r="I1404" s="6" t="s">
        <v>9122</v>
      </c>
      <c r="J1404" s="6" t="s">
        <v>9233</v>
      </c>
      <c r="K1404" s="6" t="s">
        <v>10886</v>
      </c>
      <c r="L1404" s="16" t="n">
        <v>43432</v>
      </c>
      <c r="M1404" s="16" t="n">
        <v>45717</v>
      </c>
      <c r="N1404" s="6" t="s">
        <v>10886</v>
      </c>
      <c r="O1404" s="16" t="n">
        <v>43432</v>
      </c>
      <c r="P1404" s="6" t="s">
        <v>11737</v>
      </c>
      <c r="Q1404" s="6" t="s">
        <v>81</v>
      </c>
      <c r="R1404" s="6" t="s">
        <v>81</v>
      </c>
      <c r="S1404" s="6" t="s">
        <v>10886</v>
      </c>
      <c r="T1404" s="16" t="n">
        <v>43432</v>
      </c>
      <c r="U1404" s="6" t="s">
        <v>13183</v>
      </c>
      <c r="V1404" s="6" t="s">
        <v>81</v>
      </c>
      <c r="W1404" s="6" t="s">
        <v>81</v>
      </c>
      <c r="X1404" s="6" t="s">
        <v>81</v>
      </c>
      <c r="Y1404" s="21" t="s">
        <v>81</v>
      </c>
      <c r="Z1404" s="6" t="s">
        <v>81</v>
      </c>
      <c r="AA1404" s="6" t="s">
        <v>81</v>
      </c>
      <c r="AB1404" s="6" t="s">
        <v>81</v>
      </c>
      <c r="AC1404" s="6" t="s">
        <v>81</v>
      </c>
      <c r="AD1404" s="21" t="s">
        <v>81</v>
      </c>
      <c r="AE1404" s="6" t="s">
        <v>81</v>
      </c>
      <c r="AF1404" s="6" t="s">
        <v>81</v>
      </c>
      <c r="AG1404" s="6" t="s">
        <v>81</v>
      </c>
      <c r="AH1404" s="6" t="s">
        <v>15973</v>
      </c>
      <c r="AI1404" s="6" t="s">
        <v>81</v>
      </c>
      <c r="AJ1404" s="6" t="s">
        <v>17589</v>
      </c>
      <c r="AK1404" s="6" t="s">
        <v>18380</v>
      </c>
      <c r="AL1404" s="6" t="s">
        <v>18444</v>
      </c>
      <c r="AM1404" s="6" t="s">
        <v>18753</v>
      </c>
      <c r="AN1404" s="6" t="s">
        <v>19683</v>
      </c>
      <c r="AO1404" s="6" t="s">
        <v>19867</v>
      </c>
      <c r="AP1404" s="6" t="s">
        <v>15973</v>
      </c>
      <c r="AQ1404" s="6" t="s">
        <v>81</v>
      </c>
      <c r="AR1404" s="6" t="s">
        <v>17589</v>
      </c>
      <c r="AS1404" s="6" t="s">
        <v>18380</v>
      </c>
      <c r="AT1404" s="6" t="s">
        <v>18444</v>
      </c>
      <c r="AU1404" s="6" t="s">
        <v>18753</v>
      </c>
      <c r="AV1404" s="6" t="s">
        <v>81</v>
      </c>
      <c r="AW1404" s="6" t="s">
        <v>81</v>
      </c>
      <c r="AX1404" s="6" t="s">
        <v>21628</v>
      </c>
      <c r="AY1404" s="6" t="s">
        <v>23050</v>
      </c>
      <c r="AZ1404" s="6" t="s">
        <v>81</v>
      </c>
      <c r="BA1404" s="6" t="s">
        <v>81</v>
      </c>
      <c r="BB1404" s="24" t="n">
        <v>149</v>
      </c>
      <c r="BC1404" s="26"/>
      <c r="BD1404" s="26"/>
      <c r="BE1404" s="26"/>
      <c r="BF1404" s="26"/>
      <c r="BG1404" s="26"/>
      <c r="BH1404" s="26"/>
      <c r="BI1404" s="26"/>
      <c r="BJ1404" s="26"/>
      <c r="BK1404" s="26"/>
      <c r="BL1404" s="26"/>
      <c r="BM1404" s="26"/>
      <c r="BN1404" s="26"/>
      <c r="BO1404" s="26"/>
      <c r="BP1404" s="16" t="n">
        <v>45684</v>
      </c>
      <c r="BQ1404" s="28" t="str">
        <f>HYPERLINK("https://organic.ams.usda.gov/Integrity/Certificate.aspx?cid=68&amp;nopid=8210006589")</f>
        <v>https://organic.ams.usda.gov/Integrity/Certificate.aspx?cid=68&amp;nopid=8210006589</v>
      </c>
    </row>
    <row r="1405">
      <c r="A1405" t="s">
        <v>3</v>
      </c>
      <c r="B1405" s="6" t="s">
        <v>20</v>
      </c>
      <c r="C1405" s="6" t="s">
        <v>67</v>
      </c>
      <c r="D1405" s="6" t="s">
        <v>113</v>
      </c>
      <c r="E1405" s="10" t="s">
        <v>1546</v>
      </c>
      <c r="F1405" s="6" t="s">
        <v>4270</v>
      </c>
      <c r="G1405" s="6" t="s">
        <v>81</v>
      </c>
      <c r="H1405" s="6" t="s">
        <v>7182</v>
      </c>
      <c r="I1405" s="6" t="s">
        <v>9123</v>
      </c>
      <c r="J1405" s="6" t="s">
        <v>9839</v>
      </c>
      <c r="K1405" s="6" t="s">
        <v>10886</v>
      </c>
      <c r="L1405" s="16" t="n">
        <v>38952</v>
      </c>
      <c r="M1405" s="16" t="n">
        <v>45712</v>
      </c>
      <c r="N1405" s="6" t="s">
        <v>81</v>
      </c>
      <c r="O1405" s="21" t="s">
        <v>81</v>
      </c>
      <c r="P1405" s="6" t="s">
        <v>81</v>
      </c>
      <c r="Q1405" s="6" t="s">
        <v>81</v>
      </c>
      <c r="R1405" s="6" t="s">
        <v>81</v>
      </c>
      <c r="S1405" s="6" t="s">
        <v>81</v>
      </c>
      <c r="T1405" s="21" t="s">
        <v>81</v>
      </c>
      <c r="U1405" s="6" t="s">
        <v>81</v>
      </c>
      <c r="V1405" s="6" t="s">
        <v>81</v>
      </c>
      <c r="W1405" s="6" t="s">
        <v>81</v>
      </c>
      <c r="X1405" s="6" t="s">
        <v>81</v>
      </c>
      <c r="Y1405" s="21" t="s">
        <v>81</v>
      </c>
      <c r="Z1405" s="6" t="s">
        <v>81</v>
      </c>
      <c r="AA1405" s="6" t="s">
        <v>81</v>
      </c>
      <c r="AB1405" s="6" t="s">
        <v>81</v>
      </c>
      <c r="AC1405" s="6" t="s">
        <v>10886</v>
      </c>
      <c r="AD1405" s="16" t="n">
        <v>38952</v>
      </c>
      <c r="AE1405" s="6" t="s">
        <v>14254</v>
      </c>
      <c r="AF1405" s="6" t="s">
        <v>81</v>
      </c>
      <c r="AG1405" s="6" t="s">
        <v>14563</v>
      </c>
      <c r="AH1405" s="6" t="s">
        <v>15974</v>
      </c>
      <c r="AI1405" s="6" t="s">
        <v>81</v>
      </c>
      <c r="AJ1405" s="6" t="s">
        <v>17987</v>
      </c>
      <c r="AK1405" s="6" t="s">
        <v>18428</v>
      </c>
      <c r="AL1405" s="6" t="s">
        <v>18444</v>
      </c>
      <c r="AM1405" s="6" t="s">
        <v>19177</v>
      </c>
      <c r="AN1405" s="6" t="s">
        <v>81</v>
      </c>
      <c r="AO1405" s="6" t="s">
        <v>81</v>
      </c>
      <c r="AP1405" s="6" t="s">
        <v>15974</v>
      </c>
      <c r="AQ1405" s="6" t="s">
        <v>81</v>
      </c>
      <c r="AR1405" s="6" t="s">
        <v>17987</v>
      </c>
      <c r="AS1405" s="6" t="s">
        <v>18428</v>
      </c>
      <c r="AT1405" s="6" t="s">
        <v>18444</v>
      </c>
      <c r="AU1405" s="6" t="s">
        <v>19177</v>
      </c>
      <c r="AV1405" s="6" t="s">
        <v>81</v>
      </c>
      <c r="AW1405" s="6" t="s">
        <v>81</v>
      </c>
      <c r="AX1405" s="6" t="s">
        <v>21629</v>
      </c>
      <c r="AY1405" s="6" t="s">
        <v>23051</v>
      </c>
      <c r="AZ1405" s="6" t="s">
        <v>81</v>
      </c>
      <c r="BA1405" s="6" t="s">
        <v>81</v>
      </c>
      <c r="BB1405" s="6" t="s">
        <v>81</v>
      </c>
      <c r="BC1405" s="26"/>
      <c r="BD1405" s="26"/>
      <c r="BE1405" s="26"/>
      <c r="BF1405" s="26"/>
      <c r="BG1405" s="26" t="s">
        <v>23900</v>
      </c>
      <c r="BH1405" s="26"/>
      <c r="BI1405" s="26"/>
      <c r="BJ1405" s="26"/>
      <c r="BK1405" s="26"/>
      <c r="BL1405" s="26"/>
      <c r="BM1405" s="26"/>
      <c r="BN1405" s="26"/>
      <c r="BO1405" s="26"/>
      <c r="BP1405" s="16" t="n">
        <v>45737</v>
      </c>
      <c r="BQ1405" s="28" t="str">
        <f>HYPERLINK("https://organic.ams.usda.gov/Integrity/Certificate.aspx?cid=71&amp;nopid=5520031241")</f>
        <v>https://organic.ams.usda.gov/Integrity/Certificate.aspx?cid=71&amp;nopid=5520031241</v>
      </c>
    </row>
    <row r="1406">
      <c r="A1406" t="s">
        <v>3</v>
      </c>
      <c r="B1406" s="6" t="s">
        <v>11</v>
      </c>
      <c r="C1406" s="6" t="s">
        <v>58</v>
      </c>
      <c r="D1406" s="6" t="s">
        <v>104</v>
      </c>
      <c r="E1406" s="10" t="s">
        <v>1547</v>
      </c>
      <c r="F1406" s="6" t="s">
        <v>4271</v>
      </c>
      <c r="G1406" s="6" t="s">
        <v>81</v>
      </c>
      <c r="H1406" s="6" t="s">
        <v>81</v>
      </c>
      <c r="I1406" s="6" t="s">
        <v>9124</v>
      </c>
      <c r="J1406" s="6" t="s">
        <v>10315</v>
      </c>
      <c r="K1406" s="6" t="s">
        <v>10886</v>
      </c>
      <c r="L1406" s="16" t="n">
        <v>45377</v>
      </c>
      <c r="M1406" s="16" t="n">
        <v>45748</v>
      </c>
      <c r="N1406" s="6" t="s">
        <v>10886</v>
      </c>
      <c r="O1406" s="16" t="n">
        <v>45377</v>
      </c>
      <c r="P1406" s="6" t="s">
        <v>11738</v>
      </c>
      <c r="Q1406" s="6" t="s">
        <v>81</v>
      </c>
      <c r="R1406" s="6" t="s">
        <v>81</v>
      </c>
      <c r="S1406" s="6" t="s">
        <v>10886</v>
      </c>
      <c r="T1406" s="16" t="n">
        <v>45377</v>
      </c>
      <c r="U1406" s="6" t="s">
        <v>13616</v>
      </c>
      <c r="V1406" s="6" t="s">
        <v>81</v>
      </c>
      <c r="W1406" s="6" t="s">
        <v>81</v>
      </c>
      <c r="X1406" s="6" t="s">
        <v>81</v>
      </c>
      <c r="Y1406" s="21" t="s">
        <v>81</v>
      </c>
      <c r="Z1406" s="6" t="s">
        <v>81</v>
      </c>
      <c r="AA1406" s="6" t="s">
        <v>81</v>
      </c>
      <c r="AB1406" s="6" t="s">
        <v>81</v>
      </c>
      <c r="AC1406" s="6" t="s">
        <v>81</v>
      </c>
      <c r="AD1406" s="21" t="s">
        <v>81</v>
      </c>
      <c r="AE1406" s="6" t="s">
        <v>81</v>
      </c>
      <c r="AF1406" s="6" t="s">
        <v>81</v>
      </c>
      <c r="AG1406" s="6" t="s">
        <v>81</v>
      </c>
      <c r="AH1406" s="6" t="s">
        <v>15975</v>
      </c>
      <c r="AI1406" s="6" t="s">
        <v>81</v>
      </c>
      <c r="AJ1406" s="6" t="s">
        <v>17956</v>
      </c>
      <c r="AK1406" s="6" t="s">
        <v>18377</v>
      </c>
      <c r="AL1406" s="6" t="s">
        <v>18444</v>
      </c>
      <c r="AM1406" s="6" t="s">
        <v>19143</v>
      </c>
      <c r="AN1406" s="6" t="s">
        <v>81</v>
      </c>
      <c r="AO1406" s="6" t="s">
        <v>81</v>
      </c>
      <c r="AP1406" s="6" t="s">
        <v>15975</v>
      </c>
      <c r="AQ1406" s="6" t="s">
        <v>81</v>
      </c>
      <c r="AR1406" s="6" t="s">
        <v>17956</v>
      </c>
      <c r="AS1406" s="6" t="s">
        <v>18377</v>
      </c>
      <c r="AT1406" s="6" t="s">
        <v>18444</v>
      </c>
      <c r="AU1406" s="6" t="s">
        <v>19143</v>
      </c>
      <c r="AV1406" s="6" t="s">
        <v>81</v>
      </c>
      <c r="AW1406" s="6" t="s">
        <v>81</v>
      </c>
      <c r="AX1406" s="6" t="s">
        <v>81</v>
      </c>
      <c r="AY1406" s="6" t="s">
        <v>81</v>
      </c>
      <c r="AZ1406" s="6" t="s">
        <v>81</v>
      </c>
      <c r="BA1406" s="6" t="s">
        <v>81</v>
      </c>
      <c r="BB1406" s="24" t="n">
        <v>260</v>
      </c>
      <c r="BC1406" s="26"/>
      <c r="BD1406" s="26"/>
      <c r="BE1406" s="26"/>
      <c r="BF1406" s="26"/>
      <c r="BG1406" s="26"/>
      <c r="BH1406" s="26"/>
      <c r="BI1406" s="26"/>
      <c r="BJ1406" s="26"/>
      <c r="BK1406" s="26"/>
      <c r="BL1406" s="26"/>
      <c r="BM1406" s="26"/>
      <c r="BN1406" s="26"/>
      <c r="BO1406" s="26"/>
      <c r="BP1406" s="16" t="n">
        <v>45379</v>
      </c>
      <c r="BQ1406" s="28" t="str">
        <f>HYPERLINK("https://organic.ams.usda.gov/Integrity/Certificate.aspx?cid=46&amp;nopid=3672400013")</f>
        <v>https://organic.ams.usda.gov/Integrity/Certificate.aspx?cid=46&amp;nopid=3672400013</v>
      </c>
    </row>
    <row r="1407">
      <c r="A1407" t="s">
        <v>3</v>
      </c>
      <c r="B1407" s="6" t="s">
        <v>8</v>
      </c>
      <c r="C1407" s="6" t="s">
        <v>55</v>
      </c>
      <c r="D1407" s="6" t="s">
        <v>101</v>
      </c>
      <c r="E1407" s="10" t="s">
        <v>1548</v>
      </c>
      <c r="F1407" s="6" t="s">
        <v>4272</v>
      </c>
      <c r="G1407" s="6" t="s">
        <v>81</v>
      </c>
      <c r="H1407" s="6" t="s">
        <v>7183</v>
      </c>
      <c r="I1407" s="6" t="s">
        <v>9125</v>
      </c>
      <c r="J1407" s="6" t="s">
        <v>10316</v>
      </c>
      <c r="K1407" s="6" t="s">
        <v>10886</v>
      </c>
      <c r="L1407" s="16" t="n">
        <v>36584</v>
      </c>
      <c r="M1407" s="18" t="s">
        <v>81</v>
      </c>
      <c r="N1407" s="6" t="s">
        <v>10886</v>
      </c>
      <c r="O1407" s="16" t="n">
        <v>36584</v>
      </c>
      <c r="P1407" s="6" t="s">
        <v>11739</v>
      </c>
      <c r="Q1407" s="6" t="s">
        <v>81</v>
      </c>
      <c r="R1407" s="6" t="s">
        <v>81</v>
      </c>
      <c r="S1407" s="6" t="s">
        <v>10886</v>
      </c>
      <c r="T1407" s="16" t="n">
        <v>36584</v>
      </c>
      <c r="U1407" s="6" t="s">
        <v>13617</v>
      </c>
      <c r="V1407" s="6" t="s">
        <v>81</v>
      </c>
      <c r="W1407" s="6" t="s">
        <v>81</v>
      </c>
      <c r="X1407" s="6" t="s">
        <v>81</v>
      </c>
      <c r="Y1407" s="21" t="s">
        <v>81</v>
      </c>
      <c r="Z1407" s="6" t="s">
        <v>81</v>
      </c>
      <c r="AA1407" s="6" t="s">
        <v>81</v>
      </c>
      <c r="AB1407" s="6" t="s">
        <v>81</v>
      </c>
      <c r="AC1407" s="6" t="s">
        <v>81</v>
      </c>
      <c r="AD1407" s="21" t="s">
        <v>81</v>
      </c>
      <c r="AE1407" s="6" t="s">
        <v>81</v>
      </c>
      <c r="AF1407" s="6" t="s">
        <v>81</v>
      </c>
      <c r="AG1407" s="6" t="s">
        <v>81</v>
      </c>
      <c r="AH1407" s="6" t="s">
        <v>15976</v>
      </c>
      <c r="AI1407" s="6" t="s">
        <v>81</v>
      </c>
      <c r="AJ1407" s="6" t="s">
        <v>17988</v>
      </c>
      <c r="AK1407" s="6" t="s">
        <v>18377</v>
      </c>
      <c r="AL1407" s="6" t="s">
        <v>18444</v>
      </c>
      <c r="AM1407" s="6" t="s">
        <v>19178</v>
      </c>
      <c r="AN1407" s="6" t="s">
        <v>19681</v>
      </c>
      <c r="AO1407" s="6" t="s">
        <v>19853</v>
      </c>
      <c r="AP1407" s="6" t="s">
        <v>81</v>
      </c>
      <c r="AQ1407" s="6" t="s">
        <v>81</v>
      </c>
      <c r="AR1407" s="6" t="s">
        <v>81</v>
      </c>
      <c r="AS1407" s="6" t="s">
        <v>81</v>
      </c>
      <c r="AT1407" s="6" t="s">
        <v>81</v>
      </c>
      <c r="AU1407" s="6" t="s">
        <v>81</v>
      </c>
      <c r="AV1407" s="6" t="s">
        <v>81</v>
      </c>
      <c r="AW1407" s="6" t="s">
        <v>81</v>
      </c>
      <c r="AX1407" s="6" t="s">
        <v>81</v>
      </c>
      <c r="AY1407" s="6" t="s">
        <v>81</v>
      </c>
      <c r="AZ1407" s="6" t="s">
        <v>81</v>
      </c>
      <c r="BA1407" s="6" t="s">
        <v>81</v>
      </c>
      <c r="BB1407" s="24" t="n">
        <v>312</v>
      </c>
      <c r="BC1407" s="26"/>
      <c r="BD1407" s="26"/>
      <c r="BE1407" s="26"/>
      <c r="BF1407" s="26"/>
      <c r="BG1407" s="26"/>
      <c r="BH1407" s="26"/>
      <c r="BI1407" s="26"/>
      <c r="BJ1407" s="26"/>
      <c r="BK1407" s="26"/>
      <c r="BL1407" s="26"/>
      <c r="BM1407" s="26"/>
      <c r="BN1407" s="26"/>
      <c r="BO1407" s="26"/>
      <c r="BP1407" s="16" t="n">
        <v>45292</v>
      </c>
      <c r="BQ1407" s="28" t="str">
        <f>HYPERLINK("https://organic.ams.usda.gov/Integrity/Certificate.aspx?cid=45&amp;nopid=9950000236")</f>
        <v>https://organic.ams.usda.gov/Integrity/Certificate.aspx?cid=45&amp;nopid=9950000236</v>
      </c>
    </row>
    <row r="1408">
      <c r="A1408" t="s">
        <v>3</v>
      </c>
      <c r="B1408" s="6" t="s">
        <v>9</v>
      </c>
      <c r="C1408" s="6" t="s">
        <v>56</v>
      </c>
      <c r="D1408" s="6" t="s">
        <v>102</v>
      </c>
      <c r="E1408" s="10" t="s">
        <v>1549</v>
      </c>
      <c r="F1408" s="6" t="s">
        <v>4273</v>
      </c>
      <c r="G1408" s="6" t="s">
        <v>81</v>
      </c>
      <c r="H1408" s="6" t="s">
        <v>7184</v>
      </c>
      <c r="I1408" s="6" t="s">
        <v>9126</v>
      </c>
      <c r="J1408" s="6" t="s">
        <v>10314</v>
      </c>
      <c r="K1408" s="6" t="s">
        <v>10886</v>
      </c>
      <c r="L1408" s="16" t="n">
        <v>39342</v>
      </c>
      <c r="M1408" s="16" t="n">
        <v>46113</v>
      </c>
      <c r="N1408" s="6" t="s">
        <v>10886</v>
      </c>
      <c r="O1408" s="16" t="n">
        <v>39342</v>
      </c>
      <c r="P1408" s="6" t="s">
        <v>11740</v>
      </c>
      <c r="Q1408" s="6" t="s">
        <v>81</v>
      </c>
      <c r="R1408" s="6" t="s">
        <v>12814</v>
      </c>
      <c r="S1408" s="6" t="s">
        <v>10886</v>
      </c>
      <c r="T1408" s="16" t="n">
        <v>39342</v>
      </c>
      <c r="U1408" s="6" t="s">
        <v>13162</v>
      </c>
      <c r="V1408" s="6" t="s">
        <v>81</v>
      </c>
      <c r="W1408" s="6" t="s">
        <v>12814</v>
      </c>
      <c r="X1408" s="6" t="s">
        <v>81</v>
      </c>
      <c r="Y1408" s="21" t="s">
        <v>81</v>
      </c>
      <c r="Z1408" s="6" t="s">
        <v>81</v>
      </c>
      <c r="AA1408" s="6" t="s">
        <v>81</v>
      </c>
      <c r="AB1408" s="6" t="s">
        <v>81</v>
      </c>
      <c r="AC1408" s="6" t="s">
        <v>81</v>
      </c>
      <c r="AD1408" s="21" t="s">
        <v>81</v>
      </c>
      <c r="AE1408" s="6" t="s">
        <v>81</v>
      </c>
      <c r="AF1408" s="6" t="s">
        <v>81</v>
      </c>
      <c r="AG1408" s="6" t="s">
        <v>81</v>
      </c>
      <c r="AH1408" s="6" t="s">
        <v>15977</v>
      </c>
      <c r="AI1408" s="6" t="s">
        <v>81</v>
      </c>
      <c r="AJ1408" s="6" t="s">
        <v>17985</v>
      </c>
      <c r="AK1408" s="6" t="s">
        <v>18377</v>
      </c>
      <c r="AL1408" s="6" t="s">
        <v>18444</v>
      </c>
      <c r="AM1408" s="6" t="s">
        <v>19175</v>
      </c>
      <c r="AN1408" s="6" t="s">
        <v>19683</v>
      </c>
      <c r="AO1408" s="6" t="s">
        <v>19837</v>
      </c>
      <c r="AP1408" s="6" t="s">
        <v>81</v>
      </c>
      <c r="AQ1408" s="6" t="s">
        <v>81</v>
      </c>
      <c r="AR1408" s="6" t="s">
        <v>81</v>
      </c>
      <c r="AS1408" s="6" t="s">
        <v>81</v>
      </c>
      <c r="AT1408" s="6" t="s">
        <v>81</v>
      </c>
      <c r="AU1408" s="6" t="s">
        <v>81</v>
      </c>
      <c r="AV1408" s="6" t="s">
        <v>81</v>
      </c>
      <c r="AW1408" s="6" t="s">
        <v>81</v>
      </c>
      <c r="AX1408" s="6" t="s">
        <v>21630</v>
      </c>
      <c r="AY1408" s="6" t="s">
        <v>23052</v>
      </c>
      <c r="AZ1408" s="6" t="s">
        <v>81</v>
      </c>
      <c r="BA1408" s="6" t="s">
        <v>81</v>
      </c>
      <c r="BB1408" s="24" t="n">
        <v>307</v>
      </c>
      <c r="BC1408" s="26"/>
      <c r="BD1408" s="26"/>
      <c r="BE1408" s="26"/>
      <c r="BF1408" s="26"/>
      <c r="BG1408" s="26"/>
      <c r="BH1408" s="26"/>
      <c r="BI1408" s="26"/>
      <c r="BJ1408" s="26"/>
      <c r="BK1408" s="26"/>
      <c r="BL1408" s="26"/>
      <c r="BM1408" s="26"/>
      <c r="BN1408" s="26"/>
      <c r="BO1408" s="26"/>
      <c r="BP1408" s="16" t="n">
        <v>45738</v>
      </c>
      <c r="BQ1408" s="28" t="str">
        <f>HYPERLINK("https://organic.ams.usda.gov/Integrity/Certificate.aspx?cid=52&amp;nopid=8430700011")</f>
        <v>https://organic.ams.usda.gov/Integrity/Certificate.aspx?cid=52&amp;nopid=8430700011</v>
      </c>
    </row>
    <row r="1409">
      <c r="A1409" t="s">
        <v>3</v>
      </c>
      <c r="B1409" s="6" t="s">
        <v>12</v>
      </c>
      <c r="C1409" s="6" t="s">
        <v>59</v>
      </c>
      <c r="D1409" s="6" t="s">
        <v>105</v>
      </c>
      <c r="E1409" s="10" t="s">
        <v>1550</v>
      </c>
      <c r="F1409" s="6" t="s">
        <v>4274</v>
      </c>
      <c r="G1409" s="6" t="s">
        <v>81</v>
      </c>
      <c r="H1409" s="6" t="s">
        <v>7185</v>
      </c>
      <c r="I1409" s="6" t="s">
        <v>8521</v>
      </c>
      <c r="J1409" s="6" t="s">
        <v>9839</v>
      </c>
      <c r="K1409" s="6" t="s">
        <v>10886</v>
      </c>
      <c r="L1409" s="16" t="n">
        <v>42109</v>
      </c>
      <c r="M1409" s="16" t="n">
        <v>45717</v>
      </c>
      <c r="N1409" s="6" t="s">
        <v>81</v>
      </c>
      <c r="O1409" s="21" t="s">
        <v>81</v>
      </c>
      <c r="P1409" s="6" t="s">
        <v>81</v>
      </c>
      <c r="Q1409" s="6" t="s">
        <v>81</v>
      </c>
      <c r="R1409" s="6" t="s">
        <v>81</v>
      </c>
      <c r="S1409" s="6" t="s">
        <v>81</v>
      </c>
      <c r="T1409" s="21" t="s">
        <v>81</v>
      </c>
      <c r="U1409" s="6" t="s">
        <v>81</v>
      </c>
      <c r="V1409" s="6" t="s">
        <v>81</v>
      </c>
      <c r="W1409" s="6" t="s">
        <v>81</v>
      </c>
      <c r="X1409" s="6" t="s">
        <v>81</v>
      </c>
      <c r="Y1409" s="21" t="s">
        <v>81</v>
      </c>
      <c r="Z1409" s="6" t="s">
        <v>81</v>
      </c>
      <c r="AA1409" s="6" t="s">
        <v>81</v>
      </c>
      <c r="AB1409" s="6" t="s">
        <v>81</v>
      </c>
      <c r="AC1409" s="6" t="s">
        <v>10886</v>
      </c>
      <c r="AD1409" s="16" t="n">
        <v>42109</v>
      </c>
      <c r="AE1409" s="6" t="s">
        <v>14255</v>
      </c>
      <c r="AF1409" s="6" t="s">
        <v>81</v>
      </c>
      <c r="AG1409" s="6" t="s">
        <v>81</v>
      </c>
      <c r="AH1409" s="6" t="s">
        <v>15978</v>
      </c>
      <c r="AI1409" s="6" t="s">
        <v>81</v>
      </c>
      <c r="AJ1409" s="6" t="s">
        <v>17989</v>
      </c>
      <c r="AK1409" s="6" t="s">
        <v>18378</v>
      </c>
      <c r="AL1409" s="6" t="s">
        <v>18444</v>
      </c>
      <c r="AM1409" s="6" t="s">
        <v>19179</v>
      </c>
      <c r="AN1409" s="6" t="s">
        <v>19709</v>
      </c>
      <c r="AO1409" s="6" t="s">
        <v>19989</v>
      </c>
      <c r="AP1409" s="6" t="s">
        <v>20282</v>
      </c>
      <c r="AQ1409" s="6" t="s">
        <v>81</v>
      </c>
      <c r="AR1409" s="6" t="s">
        <v>20540</v>
      </c>
      <c r="AS1409" s="6" t="s">
        <v>18378</v>
      </c>
      <c r="AT1409" s="6" t="s">
        <v>18444</v>
      </c>
      <c r="AU1409" s="6" t="s">
        <v>20665</v>
      </c>
      <c r="AV1409" s="6" t="s">
        <v>81</v>
      </c>
      <c r="AW1409" s="6" t="s">
        <v>81</v>
      </c>
      <c r="AX1409" s="6" t="s">
        <v>21631</v>
      </c>
      <c r="AY1409" s="6" t="s">
        <v>23053</v>
      </c>
      <c r="AZ1409" s="6" t="s">
        <v>81</v>
      </c>
      <c r="BA1409" s="6" t="s">
        <v>81</v>
      </c>
      <c r="BB1409" s="6" t="s">
        <v>81</v>
      </c>
      <c r="BC1409" s="26"/>
      <c r="BD1409" s="26"/>
      <c r="BE1409" s="26"/>
      <c r="BF1409" s="26"/>
      <c r="BG1409" s="26"/>
      <c r="BH1409" s="26"/>
      <c r="BI1409" s="26"/>
      <c r="BJ1409" s="26"/>
      <c r="BK1409" s="26"/>
      <c r="BL1409" s="26"/>
      <c r="BM1409" s="26"/>
      <c r="BN1409" s="26"/>
      <c r="BO1409" s="26"/>
      <c r="BP1409" s="16" t="n">
        <v>45726</v>
      </c>
      <c r="BQ1409" s="28" t="str">
        <f>HYPERLINK("https://organic.ams.usda.gov/Integrity/Certificate.aspx?cid=68&amp;nopid=8210001874")</f>
        <v>https://organic.ams.usda.gov/Integrity/Certificate.aspx?cid=68&amp;nopid=8210001874</v>
      </c>
    </row>
    <row r="1410">
      <c r="A1410" t="s">
        <v>3</v>
      </c>
      <c r="B1410" s="6" t="s">
        <v>17</v>
      </c>
      <c r="C1410" s="6" t="s">
        <v>64</v>
      </c>
      <c r="D1410" s="6" t="s">
        <v>110</v>
      </c>
      <c r="E1410" s="10" t="s">
        <v>1551</v>
      </c>
      <c r="F1410" s="6" t="s">
        <v>4275</v>
      </c>
      <c r="G1410" s="6" t="s">
        <v>81</v>
      </c>
      <c r="H1410" s="6" t="s">
        <v>7186</v>
      </c>
      <c r="I1410" s="6" t="s">
        <v>8501</v>
      </c>
      <c r="J1410" s="6" t="s">
        <v>10086</v>
      </c>
      <c r="K1410" s="6" t="s">
        <v>10886</v>
      </c>
      <c r="L1410" s="16" t="n">
        <v>43637</v>
      </c>
      <c r="M1410" s="16" t="n">
        <v>46068</v>
      </c>
      <c r="N1410" s="6" t="s">
        <v>81</v>
      </c>
      <c r="O1410" s="21" t="s">
        <v>81</v>
      </c>
      <c r="P1410" s="6" t="s">
        <v>81</v>
      </c>
      <c r="Q1410" s="6" t="s">
        <v>81</v>
      </c>
      <c r="R1410" s="6" t="s">
        <v>81</v>
      </c>
      <c r="S1410" s="6" t="s">
        <v>81</v>
      </c>
      <c r="T1410" s="21" t="s">
        <v>81</v>
      </c>
      <c r="U1410" s="6" t="s">
        <v>81</v>
      </c>
      <c r="V1410" s="6" t="s">
        <v>81</v>
      </c>
      <c r="W1410" s="6" t="s">
        <v>81</v>
      </c>
      <c r="X1410" s="6" t="s">
        <v>81</v>
      </c>
      <c r="Y1410" s="21" t="s">
        <v>81</v>
      </c>
      <c r="Z1410" s="6" t="s">
        <v>81</v>
      </c>
      <c r="AA1410" s="6" t="s">
        <v>81</v>
      </c>
      <c r="AB1410" s="6" t="s">
        <v>81</v>
      </c>
      <c r="AC1410" s="6" t="s">
        <v>10886</v>
      </c>
      <c r="AD1410" s="16" t="n">
        <v>43637</v>
      </c>
      <c r="AE1410" s="6" t="s">
        <v>14256</v>
      </c>
      <c r="AF1410" s="6" t="s">
        <v>81</v>
      </c>
      <c r="AG1410" s="6" t="s">
        <v>7186</v>
      </c>
      <c r="AH1410" s="6" t="s">
        <v>15979</v>
      </c>
      <c r="AI1410" s="6" t="s">
        <v>81</v>
      </c>
      <c r="AJ1410" s="6" t="s">
        <v>17426</v>
      </c>
      <c r="AK1410" s="6" t="s">
        <v>18384</v>
      </c>
      <c r="AL1410" s="6" t="s">
        <v>18444</v>
      </c>
      <c r="AM1410" s="6" t="s">
        <v>18583</v>
      </c>
      <c r="AN1410" s="6" t="s">
        <v>19690</v>
      </c>
      <c r="AO1410" s="6" t="s">
        <v>19852</v>
      </c>
      <c r="AP1410" s="6" t="s">
        <v>20283</v>
      </c>
      <c r="AQ1410" s="6" t="s">
        <v>81</v>
      </c>
      <c r="AR1410" s="6" t="s">
        <v>17426</v>
      </c>
      <c r="AS1410" s="6" t="s">
        <v>18384</v>
      </c>
      <c r="AT1410" s="6" t="s">
        <v>18444</v>
      </c>
      <c r="AU1410" s="6" t="s">
        <v>18583</v>
      </c>
      <c r="AV1410" s="6" t="s">
        <v>81</v>
      </c>
      <c r="AW1410" s="6" t="s">
        <v>81</v>
      </c>
      <c r="AX1410" s="6" t="s">
        <v>21283</v>
      </c>
      <c r="AY1410" s="6" t="s">
        <v>22859</v>
      </c>
      <c r="AZ1410" s="6" t="s">
        <v>81</v>
      </c>
      <c r="BA1410" s="6" t="s">
        <v>81</v>
      </c>
      <c r="BB1410" s="6" t="s">
        <v>81</v>
      </c>
      <c r="BC1410" s="26"/>
      <c r="BD1410" s="26"/>
      <c r="BE1410" s="26" t="s">
        <v>23900</v>
      </c>
      <c r="BF1410" s="26" t="s">
        <v>23900</v>
      </c>
      <c r="BG1410" s="26" t="s">
        <v>23900</v>
      </c>
      <c r="BH1410" s="26"/>
      <c r="BI1410" s="26"/>
      <c r="BJ1410" s="26"/>
      <c r="BK1410" s="26"/>
      <c r="BL1410" s="26"/>
      <c r="BM1410" s="26"/>
      <c r="BN1410" s="26"/>
      <c r="BO1410" s="26"/>
      <c r="BP1410" s="16" t="n">
        <v>45707</v>
      </c>
      <c r="BQ1410" s="28" t="str">
        <f>HYPERLINK("https://organic.ams.usda.gov/Integrity/Certificate.aspx?cid=36&amp;nopid=5406859126")</f>
        <v>https://organic.ams.usda.gov/Integrity/Certificate.aspx?cid=36&amp;nopid=5406859126</v>
      </c>
    </row>
    <row r="1411">
      <c r="A1411" t="s">
        <v>3</v>
      </c>
      <c r="B1411" s="6" t="s">
        <v>17</v>
      </c>
      <c r="C1411" s="6" t="s">
        <v>64</v>
      </c>
      <c r="D1411" s="6" t="s">
        <v>110</v>
      </c>
      <c r="E1411" s="10" t="s">
        <v>1552</v>
      </c>
      <c r="F1411" s="6" t="s">
        <v>4276</v>
      </c>
      <c r="G1411" s="6" t="s">
        <v>81</v>
      </c>
      <c r="H1411" s="6" t="s">
        <v>7187</v>
      </c>
      <c r="I1411" s="6" t="s">
        <v>8501</v>
      </c>
      <c r="J1411" s="6" t="s">
        <v>10086</v>
      </c>
      <c r="K1411" s="6" t="s">
        <v>10886</v>
      </c>
      <c r="L1411" s="16" t="n">
        <v>40749</v>
      </c>
      <c r="M1411" s="16" t="n">
        <v>46068</v>
      </c>
      <c r="N1411" s="6" t="s">
        <v>81</v>
      </c>
      <c r="O1411" s="21" t="s">
        <v>81</v>
      </c>
      <c r="P1411" s="6" t="s">
        <v>81</v>
      </c>
      <c r="Q1411" s="6" t="s">
        <v>81</v>
      </c>
      <c r="R1411" s="6" t="s">
        <v>81</v>
      </c>
      <c r="S1411" s="6" t="s">
        <v>81</v>
      </c>
      <c r="T1411" s="21" t="s">
        <v>81</v>
      </c>
      <c r="U1411" s="6" t="s">
        <v>81</v>
      </c>
      <c r="V1411" s="6" t="s">
        <v>81</v>
      </c>
      <c r="W1411" s="6" t="s">
        <v>81</v>
      </c>
      <c r="X1411" s="6" t="s">
        <v>81</v>
      </c>
      <c r="Y1411" s="21" t="s">
        <v>81</v>
      </c>
      <c r="Z1411" s="6" t="s">
        <v>81</v>
      </c>
      <c r="AA1411" s="6" t="s">
        <v>81</v>
      </c>
      <c r="AB1411" s="6" t="s">
        <v>81</v>
      </c>
      <c r="AC1411" s="6" t="s">
        <v>10886</v>
      </c>
      <c r="AD1411" s="16" t="n">
        <v>40749</v>
      </c>
      <c r="AE1411" s="6" t="s">
        <v>14257</v>
      </c>
      <c r="AF1411" s="6" t="s">
        <v>81</v>
      </c>
      <c r="AG1411" s="6" t="s">
        <v>7187</v>
      </c>
      <c r="AH1411" s="6" t="s">
        <v>15980</v>
      </c>
      <c r="AI1411" s="6" t="s">
        <v>81</v>
      </c>
      <c r="AJ1411" s="6" t="s">
        <v>17426</v>
      </c>
      <c r="AK1411" s="6" t="s">
        <v>18384</v>
      </c>
      <c r="AL1411" s="6" t="s">
        <v>18444</v>
      </c>
      <c r="AM1411" s="6" t="s">
        <v>18583</v>
      </c>
      <c r="AN1411" s="6" t="s">
        <v>19690</v>
      </c>
      <c r="AO1411" s="6" t="s">
        <v>19852</v>
      </c>
      <c r="AP1411" s="6" t="s">
        <v>20283</v>
      </c>
      <c r="AQ1411" s="6" t="s">
        <v>81</v>
      </c>
      <c r="AR1411" s="6" t="s">
        <v>17426</v>
      </c>
      <c r="AS1411" s="6" t="s">
        <v>18384</v>
      </c>
      <c r="AT1411" s="6" t="s">
        <v>18444</v>
      </c>
      <c r="AU1411" s="6" t="s">
        <v>18583</v>
      </c>
      <c r="AV1411" s="6" t="s">
        <v>81</v>
      </c>
      <c r="AW1411" s="6" t="s">
        <v>81</v>
      </c>
      <c r="AX1411" s="6" t="s">
        <v>21632</v>
      </c>
      <c r="AY1411" s="6" t="s">
        <v>22859</v>
      </c>
      <c r="AZ1411" s="6" t="s">
        <v>81</v>
      </c>
      <c r="BA1411" s="6" t="s">
        <v>81</v>
      </c>
      <c r="BB1411" s="6" t="s">
        <v>81</v>
      </c>
      <c r="BC1411" s="26"/>
      <c r="BD1411" s="26"/>
      <c r="BE1411" s="26"/>
      <c r="BF1411" s="26"/>
      <c r="BG1411" s="26"/>
      <c r="BH1411" s="26"/>
      <c r="BI1411" s="26"/>
      <c r="BJ1411" s="26"/>
      <c r="BK1411" s="26"/>
      <c r="BL1411" s="26"/>
      <c r="BM1411" s="26"/>
      <c r="BN1411" s="26"/>
      <c r="BO1411" s="26"/>
      <c r="BP1411" s="16" t="n">
        <v>45707</v>
      </c>
      <c r="BQ1411" s="28" t="str">
        <f>HYPERLINK("https://organic.ams.usda.gov/Integrity/Certificate.aspx?cid=36&amp;nopid=5400000560")</f>
        <v>https://organic.ams.usda.gov/Integrity/Certificate.aspx?cid=36&amp;nopid=5400000560</v>
      </c>
    </row>
    <row r="1412">
      <c r="A1412" t="s">
        <v>3</v>
      </c>
      <c r="B1412" s="6" t="s">
        <v>12</v>
      </c>
      <c r="C1412" s="6" t="s">
        <v>59</v>
      </c>
      <c r="D1412" s="6" t="s">
        <v>105</v>
      </c>
      <c r="E1412" s="10" t="s">
        <v>1553</v>
      </c>
      <c r="F1412" s="6" t="s">
        <v>4277</v>
      </c>
      <c r="G1412" s="6" t="s">
        <v>81</v>
      </c>
      <c r="H1412" s="6" t="s">
        <v>7188</v>
      </c>
      <c r="I1412" s="6" t="s">
        <v>8514</v>
      </c>
      <c r="J1412" s="6" t="s">
        <v>10317</v>
      </c>
      <c r="K1412" s="6" t="s">
        <v>10886</v>
      </c>
      <c r="L1412" s="16" t="n">
        <v>45383</v>
      </c>
      <c r="M1412" s="16" t="n">
        <v>45717</v>
      </c>
      <c r="N1412" s="6" t="s">
        <v>81</v>
      </c>
      <c r="O1412" s="21" t="s">
        <v>81</v>
      </c>
      <c r="P1412" s="6" t="s">
        <v>81</v>
      </c>
      <c r="Q1412" s="6" t="s">
        <v>81</v>
      </c>
      <c r="R1412" s="6" t="s">
        <v>81</v>
      </c>
      <c r="S1412" s="6" t="s">
        <v>81</v>
      </c>
      <c r="T1412" s="21" t="s">
        <v>81</v>
      </c>
      <c r="U1412" s="6" t="s">
        <v>81</v>
      </c>
      <c r="V1412" s="6" t="s">
        <v>81</v>
      </c>
      <c r="W1412" s="6" t="s">
        <v>81</v>
      </c>
      <c r="X1412" s="6" t="s">
        <v>81</v>
      </c>
      <c r="Y1412" s="21" t="s">
        <v>81</v>
      </c>
      <c r="Z1412" s="6" t="s">
        <v>81</v>
      </c>
      <c r="AA1412" s="6" t="s">
        <v>81</v>
      </c>
      <c r="AB1412" s="6" t="s">
        <v>81</v>
      </c>
      <c r="AC1412" s="6" t="s">
        <v>10886</v>
      </c>
      <c r="AD1412" s="16" t="n">
        <v>45383</v>
      </c>
      <c r="AE1412" s="6" t="s">
        <v>14258</v>
      </c>
      <c r="AF1412" s="6" t="s">
        <v>81</v>
      </c>
      <c r="AG1412" s="6" t="s">
        <v>81</v>
      </c>
      <c r="AH1412" s="6" t="s">
        <v>15981</v>
      </c>
      <c r="AI1412" s="6" t="s">
        <v>81</v>
      </c>
      <c r="AJ1412" s="6" t="s">
        <v>17426</v>
      </c>
      <c r="AK1412" s="6" t="s">
        <v>18384</v>
      </c>
      <c r="AL1412" s="6" t="s">
        <v>18444</v>
      </c>
      <c r="AM1412" s="6" t="s">
        <v>18583</v>
      </c>
      <c r="AN1412" s="6" t="s">
        <v>81</v>
      </c>
      <c r="AO1412" s="6" t="s">
        <v>81</v>
      </c>
      <c r="AP1412" s="6" t="s">
        <v>15981</v>
      </c>
      <c r="AQ1412" s="6" t="s">
        <v>81</v>
      </c>
      <c r="AR1412" s="6" t="s">
        <v>17426</v>
      </c>
      <c r="AS1412" s="6" t="s">
        <v>18384</v>
      </c>
      <c r="AT1412" s="6" t="s">
        <v>18444</v>
      </c>
      <c r="AU1412" s="6" t="s">
        <v>18583</v>
      </c>
      <c r="AV1412" s="6" t="s">
        <v>81</v>
      </c>
      <c r="AW1412" s="6" t="s">
        <v>81</v>
      </c>
      <c r="AX1412" s="6" t="s">
        <v>21633</v>
      </c>
      <c r="AY1412" s="6" t="s">
        <v>23054</v>
      </c>
      <c r="AZ1412" s="6" t="s">
        <v>23693</v>
      </c>
      <c r="BA1412" s="6" t="s">
        <v>81</v>
      </c>
      <c r="BB1412" s="6" t="s">
        <v>81</v>
      </c>
      <c r="BC1412" s="26"/>
      <c r="BD1412" s="26"/>
      <c r="BE1412" s="26"/>
      <c r="BF1412" s="26"/>
      <c r="BG1412" s="26"/>
      <c r="BH1412" s="26"/>
      <c r="BI1412" s="26"/>
      <c r="BJ1412" s="26"/>
      <c r="BK1412" s="26"/>
      <c r="BL1412" s="26"/>
      <c r="BM1412" s="26"/>
      <c r="BN1412" s="26"/>
      <c r="BO1412" s="26"/>
      <c r="BP1412" s="16" t="n">
        <v>45726</v>
      </c>
      <c r="BQ1412" s="28" t="str">
        <f>HYPERLINK("https://organic.ams.usda.gov/Integrity/Certificate.aspx?cid=68&amp;nopid=8210009073")</f>
        <v>https://organic.ams.usda.gov/Integrity/Certificate.aspx?cid=68&amp;nopid=8210009073</v>
      </c>
    </row>
    <row r="1413">
      <c r="A1413" t="s">
        <v>3</v>
      </c>
      <c r="B1413" s="6" t="s">
        <v>19</v>
      </c>
      <c r="C1413" s="6" t="s">
        <v>66</v>
      </c>
      <c r="D1413" s="6" t="s">
        <v>112</v>
      </c>
      <c r="E1413" s="10" t="s">
        <v>1554</v>
      </c>
      <c r="F1413" s="6" t="s">
        <v>4278</v>
      </c>
      <c r="G1413" s="6" t="s">
        <v>81</v>
      </c>
      <c r="H1413" s="6" t="s">
        <v>7189</v>
      </c>
      <c r="I1413" s="6" t="s">
        <v>81</v>
      </c>
      <c r="J1413" s="6" t="s">
        <v>10318</v>
      </c>
      <c r="K1413" s="6" t="s">
        <v>10886</v>
      </c>
      <c r="L1413" s="16" t="n">
        <v>44543</v>
      </c>
      <c r="M1413" s="16" t="n">
        <v>46054</v>
      </c>
      <c r="N1413" s="6" t="s">
        <v>81</v>
      </c>
      <c r="O1413" s="21" t="s">
        <v>81</v>
      </c>
      <c r="P1413" s="6" t="s">
        <v>81</v>
      </c>
      <c r="Q1413" s="6" t="s">
        <v>81</v>
      </c>
      <c r="R1413" s="6" t="s">
        <v>81</v>
      </c>
      <c r="S1413" s="6" t="s">
        <v>81</v>
      </c>
      <c r="T1413" s="21" t="s">
        <v>81</v>
      </c>
      <c r="U1413" s="6" t="s">
        <v>81</v>
      </c>
      <c r="V1413" s="6" t="s">
        <v>81</v>
      </c>
      <c r="W1413" s="6" t="s">
        <v>81</v>
      </c>
      <c r="X1413" s="6" t="s">
        <v>81</v>
      </c>
      <c r="Y1413" s="21" t="s">
        <v>81</v>
      </c>
      <c r="Z1413" s="6" t="s">
        <v>81</v>
      </c>
      <c r="AA1413" s="6" t="s">
        <v>81</v>
      </c>
      <c r="AB1413" s="6" t="s">
        <v>81</v>
      </c>
      <c r="AC1413" s="6" t="s">
        <v>10886</v>
      </c>
      <c r="AD1413" s="16" t="n">
        <v>44543</v>
      </c>
      <c r="AE1413" s="6" t="s">
        <v>14259</v>
      </c>
      <c r="AF1413" s="6" t="s">
        <v>81</v>
      </c>
      <c r="AG1413" s="6" t="s">
        <v>81</v>
      </c>
      <c r="AH1413" s="6" t="s">
        <v>15982</v>
      </c>
      <c r="AI1413" s="6" t="s">
        <v>81</v>
      </c>
      <c r="AJ1413" s="6" t="s">
        <v>17426</v>
      </c>
      <c r="AK1413" s="6" t="s">
        <v>18384</v>
      </c>
      <c r="AL1413" s="6" t="s">
        <v>18444</v>
      </c>
      <c r="AM1413" s="6" t="s">
        <v>18583</v>
      </c>
      <c r="AN1413" s="6" t="s">
        <v>19675</v>
      </c>
      <c r="AO1413" s="6" t="s">
        <v>19721</v>
      </c>
      <c r="AP1413" s="6" t="s">
        <v>81</v>
      </c>
      <c r="AQ1413" s="6" t="s">
        <v>81</v>
      </c>
      <c r="AR1413" s="6" t="s">
        <v>81</v>
      </c>
      <c r="AS1413" s="6" t="s">
        <v>81</v>
      </c>
      <c r="AT1413" s="6" t="s">
        <v>81</v>
      </c>
      <c r="AU1413" s="6" t="s">
        <v>81</v>
      </c>
      <c r="AV1413" s="6" t="s">
        <v>81</v>
      </c>
      <c r="AW1413" s="6" t="s">
        <v>81</v>
      </c>
      <c r="AX1413" s="6" t="s">
        <v>21634</v>
      </c>
      <c r="AY1413" s="6" t="s">
        <v>23055</v>
      </c>
      <c r="AZ1413" s="6" t="s">
        <v>23694</v>
      </c>
      <c r="BA1413" s="6" t="s">
        <v>81</v>
      </c>
      <c r="BB1413" s="24" t="n">
        <v>0</v>
      </c>
      <c r="BC1413" s="26"/>
      <c r="BD1413" s="26"/>
      <c r="BE1413" s="26"/>
      <c r="BF1413" s="26"/>
      <c r="BG1413" s="26" t="s">
        <v>23900</v>
      </c>
      <c r="BH1413" s="26"/>
      <c r="BI1413" s="26"/>
      <c r="BJ1413" s="26"/>
      <c r="BK1413" s="26"/>
      <c r="BL1413" s="26"/>
      <c r="BM1413" s="26"/>
      <c r="BN1413" s="26"/>
      <c r="BO1413" s="26"/>
      <c r="BP1413" s="16" t="n">
        <v>45690</v>
      </c>
      <c r="BQ1413" s="28" t="str">
        <f>HYPERLINK("https://organic.ams.usda.gov/Integrity/Certificate.aspx?cid=24&amp;nopid=7880234662")</f>
        <v>https://organic.ams.usda.gov/Integrity/Certificate.aspx?cid=24&amp;nopid=7880234662</v>
      </c>
    </row>
    <row r="1414">
      <c r="A1414" t="s">
        <v>3</v>
      </c>
      <c r="B1414" s="6" t="s">
        <v>20</v>
      </c>
      <c r="C1414" s="6" t="s">
        <v>67</v>
      </c>
      <c r="D1414" s="6" t="s">
        <v>113</v>
      </c>
      <c r="E1414" s="10" t="s">
        <v>1555</v>
      </c>
      <c r="F1414" s="6" t="s">
        <v>4279</v>
      </c>
      <c r="G1414" s="6" t="s">
        <v>81</v>
      </c>
      <c r="H1414" s="6" t="s">
        <v>7190</v>
      </c>
      <c r="I1414" s="6" t="s">
        <v>9127</v>
      </c>
      <c r="J1414" s="6" t="s">
        <v>10319</v>
      </c>
      <c r="K1414" s="6" t="s">
        <v>10886</v>
      </c>
      <c r="L1414" s="16" t="n">
        <v>44267</v>
      </c>
      <c r="M1414" s="16" t="n">
        <v>45635</v>
      </c>
      <c r="N1414" s="6" t="s">
        <v>81</v>
      </c>
      <c r="O1414" s="21" t="s">
        <v>81</v>
      </c>
      <c r="P1414" s="6" t="s">
        <v>81</v>
      </c>
      <c r="Q1414" s="6" t="s">
        <v>81</v>
      </c>
      <c r="R1414" s="6" t="s">
        <v>81</v>
      </c>
      <c r="S1414" s="6" t="s">
        <v>81</v>
      </c>
      <c r="T1414" s="21" t="s">
        <v>81</v>
      </c>
      <c r="U1414" s="6" t="s">
        <v>81</v>
      </c>
      <c r="V1414" s="6" t="s">
        <v>81</v>
      </c>
      <c r="W1414" s="6" t="s">
        <v>81</v>
      </c>
      <c r="X1414" s="6" t="s">
        <v>81</v>
      </c>
      <c r="Y1414" s="21" t="s">
        <v>81</v>
      </c>
      <c r="Z1414" s="6" t="s">
        <v>81</v>
      </c>
      <c r="AA1414" s="6" t="s">
        <v>81</v>
      </c>
      <c r="AB1414" s="6" t="s">
        <v>81</v>
      </c>
      <c r="AC1414" s="6" t="s">
        <v>10886</v>
      </c>
      <c r="AD1414" s="16" t="n">
        <v>44267</v>
      </c>
      <c r="AE1414" s="6" t="s">
        <v>14260</v>
      </c>
      <c r="AF1414" s="6" t="s">
        <v>81</v>
      </c>
      <c r="AG1414" s="6" t="s">
        <v>14564</v>
      </c>
      <c r="AH1414" s="6" t="s">
        <v>15983</v>
      </c>
      <c r="AI1414" s="6" t="s">
        <v>17291</v>
      </c>
      <c r="AJ1414" s="6" t="s">
        <v>17990</v>
      </c>
      <c r="AK1414" s="6" t="s">
        <v>18381</v>
      </c>
      <c r="AL1414" s="6" t="s">
        <v>18444</v>
      </c>
      <c r="AM1414" s="6" t="s">
        <v>19180</v>
      </c>
      <c r="AN1414" s="6" t="s">
        <v>19634</v>
      </c>
      <c r="AO1414" s="6" t="s">
        <v>19990</v>
      </c>
      <c r="AP1414" s="6" t="s">
        <v>15983</v>
      </c>
      <c r="AQ1414" s="6" t="s">
        <v>17291</v>
      </c>
      <c r="AR1414" s="6" t="s">
        <v>17990</v>
      </c>
      <c r="AS1414" s="6" t="s">
        <v>18381</v>
      </c>
      <c r="AT1414" s="6" t="s">
        <v>18444</v>
      </c>
      <c r="AU1414" s="6" t="s">
        <v>19180</v>
      </c>
      <c r="AV1414" s="6" t="s">
        <v>81</v>
      </c>
      <c r="AW1414" s="6" t="s">
        <v>81</v>
      </c>
      <c r="AX1414" s="6" t="s">
        <v>21635</v>
      </c>
      <c r="AY1414" s="6" t="s">
        <v>81</v>
      </c>
      <c r="AZ1414" s="6" t="s">
        <v>81</v>
      </c>
      <c r="BA1414" s="6" t="s">
        <v>81</v>
      </c>
      <c r="BB1414" s="6" t="s">
        <v>81</v>
      </c>
      <c r="BC1414" s="26"/>
      <c r="BD1414" s="26"/>
      <c r="BE1414" s="26"/>
      <c r="BF1414" s="26"/>
      <c r="BG1414" s="26"/>
      <c r="BH1414" s="26" t="s">
        <v>23900</v>
      </c>
      <c r="BI1414" s="26"/>
      <c r="BJ1414" s="26"/>
      <c r="BK1414" s="26"/>
      <c r="BL1414" s="26"/>
      <c r="BM1414" s="26"/>
      <c r="BN1414" s="26"/>
      <c r="BO1414" s="26"/>
      <c r="BP1414" s="16" t="n">
        <v>45737</v>
      </c>
      <c r="BQ1414" s="28" t="str">
        <f>HYPERLINK("https://organic.ams.usda.gov/Integrity/Certificate.aspx?cid=71&amp;nopid=5520335903")</f>
        <v>https://organic.ams.usda.gov/Integrity/Certificate.aspx?cid=71&amp;nopid=5520335903</v>
      </c>
    </row>
    <row r="1415">
      <c r="A1415" t="s">
        <v>3</v>
      </c>
      <c r="B1415" s="6" t="s">
        <v>7</v>
      </c>
      <c r="C1415" s="6" t="s">
        <v>54</v>
      </c>
      <c r="D1415" s="6" t="s">
        <v>100</v>
      </c>
      <c r="E1415" s="10" t="s">
        <v>1556</v>
      </c>
      <c r="F1415" s="6" t="s">
        <v>4280</v>
      </c>
      <c r="G1415" s="6" t="s">
        <v>81</v>
      </c>
      <c r="H1415" s="6" t="s">
        <v>7191</v>
      </c>
      <c r="I1415" s="6" t="s">
        <v>8877</v>
      </c>
      <c r="J1415" s="6" t="s">
        <v>9745</v>
      </c>
      <c r="K1415" s="6" t="s">
        <v>10886</v>
      </c>
      <c r="L1415" s="16" t="n">
        <v>41940</v>
      </c>
      <c r="M1415" s="16" t="n">
        <v>45716</v>
      </c>
      <c r="N1415" s="6" t="s">
        <v>10886</v>
      </c>
      <c r="O1415" s="16" t="n">
        <v>39355</v>
      </c>
      <c r="P1415" s="6" t="s">
        <v>11250</v>
      </c>
      <c r="Q1415" s="6" t="s">
        <v>81</v>
      </c>
      <c r="R1415" s="6" t="s">
        <v>81</v>
      </c>
      <c r="S1415" s="6" t="s">
        <v>10886</v>
      </c>
      <c r="T1415" s="16" t="n">
        <v>42053</v>
      </c>
      <c r="U1415" s="6" t="s">
        <v>13169</v>
      </c>
      <c r="V1415" s="6" t="s">
        <v>81</v>
      </c>
      <c r="W1415" s="6" t="s">
        <v>81</v>
      </c>
      <c r="X1415" s="6" t="s">
        <v>81</v>
      </c>
      <c r="Y1415" s="21" t="s">
        <v>81</v>
      </c>
      <c r="Z1415" s="6" t="s">
        <v>81</v>
      </c>
      <c r="AA1415" s="6" t="s">
        <v>81</v>
      </c>
      <c r="AB1415" s="6" t="s">
        <v>81</v>
      </c>
      <c r="AC1415" s="6" t="s">
        <v>81</v>
      </c>
      <c r="AD1415" s="21" t="s">
        <v>81</v>
      </c>
      <c r="AE1415" s="6" t="s">
        <v>81</v>
      </c>
      <c r="AF1415" s="6" t="s">
        <v>81</v>
      </c>
      <c r="AG1415" s="6" t="s">
        <v>81</v>
      </c>
      <c r="AH1415" s="6" t="s">
        <v>15984</v>
      </c>
      <c r="AI1415" s="6" t="s">
        <v>81</v>
      </c>
      <c r="AJ1415" s="6" t="s">
        <v>17389</v>
      </c>
      <c r="AK1415" s="6" t="s">
        <v>17712</v>
      </c>
      <c r="AL1415" s="6" t="s">
        <v>18444</v>
      </c>
      <c r="AM1415" s="6" t="s">
        <v>18543</v>
      </c>
      <c r="AN1415" s="6" t="s">
        <v>19645</v>
      </c>
      <c r="AO1415" s="6" t="s">
        <v>19770</v>
      </c>
      <c r="AP1415" s="6" t="s">
        <v>15984</v>
      </c>
      <c r="AQ1415" s="6" t="s">
        <v>81</v>
      </c>
      <c r="AR1415" s="6" t="s">
        <v>17389</v>
      </c>
      <c r="AS1415" s="6" t="s">
        <v>17712</v>
      </c>
      <c r="AT1415" s="6" t="s">
        <v>18444</v>
      </c>
      <c r="AU1415" s="6" t="s">
        <v>18543</v>
      </c>
      <c r="AV1415" s="6" t="s">
        <v>81</v>
      </c>
      <c r="AW1415" s="6" t="s">
        <v>81</v>
      </c>
      <c r="AX1415" s="6" t="s">
        <v>21636</v>
      </c>
      <c r="AY1415" s="6" t="s">
        <v>81</v>
      </c>
      <c r="AZ1415" s="6" t="s">
        <v>81</v>
      </c>
      <c r="BA1415" s="6" t="s">
        <v>81</v>
      </c>
      <c r="BB1415" s="24" t="n">
        <v>239</v>
      </c>
      <c r="BC1415" s="26"/>
      <c r="BD1415" s="26"/>
      <c r="BE1415" s="26"/>
      <c r="BF1415" s="26" t="s">
        <v>23900</v>
      </c>
      <c r="BG1415" s="26"/>
      <c r="BH1415" s="26"/>
      <c r="BI1415" s="26"/>
      <c r="BJ1415" s="26"/>
      <c r="BK1415" s="26"/>
      <c r="BL1415" s="26"/>
      <c r="BM1415" s="26"/>
      <c r="BN1415" s="26"/>
      <c r="BO1415" s="26"/>
      <c r="BP1415" s="16" t="n">
        <v>45693</v>
      </c>
      <c r="BQ1415" s="28" t="str">
        <f>HYPERLINK("https://organic.ams.usda.gov/Integrity/Certificate.aspx?cid=57&amp;nopid=3252014068")</f>
        <v>https://organic.ams.usda.gov/Integrity/Certificate.aspx?cid=57&amp;nopid=3252014068</v>
      </c>
    </row>
    <row r="1416">
      <c r="A1416" t="s">
        <v>3</v>
      </c>
      <c r="B1416" s="6" t="s">
        <v>10</v>
      </c>
      <c r="C1416" s="6" t="s">
        <v>57</v>
      </c>
      <c r="D1416" s="6" t="s">
        <v>103</v>
      </c>
      <c r="E1416" s="10" t="s">
        <v>1557</v>
      </c>
      <c r="F1416" s="6" t="s">
        <v>4281</v>
      </c>
      <c r="G1416" s="6" t="s">
        <v>81</v>
      </c>
      <c r="H1416" s="6" t="s">
        <v>7192</v>
      </c>
      <c r="I1416" s="6" t="s">
        <v>8960</v>
      </c>
      <c r="J1416" s="6" t="s">
        <v>9742</v>
      </c>
      <c r="K1416" s="6" t="s">
        <v>10886</v>
      </c>
      <c r="L1416" s="16" t="n">
        <v>45613</v>
      </c>
      <c r="M1416" s="16" t="n">
        <v>45748</v>
      </c>
      <c r="N1416" s="6" t="s">
        <v>10886</v>
      </c>
      <c r="O1416" s="16" t="n">
        <v>45613</v>
      </c>
      <c r="P1416" s="6" t="s">
        <v>10925</v>
      </c>
      <c r="Q1416" s="6" t="s">
        <v>81</v>
      </c>
      <c r="R1416" s="6" t="s">
        <v>12815</v>
      </c>
      <c r="S1416" s="6" t="s">
        <v>10886</v>
      </c>
      <c r="T1416" s="16" t="n">
        <v>45613</v>
      </c>
      <c r="U1416" s="6" t="s">
        <v>13163</v>
      </c>
      <c r="V1416" s="6" t="s">
        <v>81</v>
      </c>
      <c r="W1416" s="6" t="s">
        <v>81</v>
      </c>
      <c r="X1416" s="6" t="s">
        <v>81</v>
      </c>
      <c r="Y1416" s="21" t="s">
        <v>81</v>
      </c>
      <c r="Z1416" s="6" t="s">
        <v>81</v>
      </c>
      <c r="AA1416" s="6" t="s">
        <v>81</v>
      </c>
      <c r="AB1416" s="6" t="s">
        <v>81</v>
      </c>
      <c r="AC1416" s="6" t="s">
        <v>81</v>
      </c>
      <c r="AD1416" s="21" t="s">
        <v>81</v>
      </c>
      <c r="AE1416" s="6" t="s">
        <v>81</v>
      </c>
      <c r="AF1416" s="6" t="s">
        <v>81</v>
      </c>
      <c r="AG1416" s="6" t="s">
        <v>81</v>
      </c>
      <c r="AH1416" s="6" t="s">
        <v>15985</v>
      </c>
      <c r="AI1416" s="6" t="s">
        <v>81</v>
      </c>
      <c r="AJ1416" s="6" t="s">
        <v>17380</v>
      </c>
      <c r="AK1416" s="6" t="s">
        <v>18379</v>
      </c>
      <c r="AL1416" s="6" t="s">
        <v>18444</v>
      </c>
      <c r="AM1416" s="6" t="s">
        <v>18533</v>
      </c>
      <c r="AN1416" s="6" t="s">
        <v>81</v>
      </c>
      <c r="AO1416" s="6" t="s">
        <v>81</v>
      </c>
      <c r="AP1416" s="6" t="s">
        <v>15985</v>
      </c>
      <c r="AQ1416" s="6" t="s">
        <v>81</v>
      </c>
      <c r="AR1416" s="6" t="s">
        <v>17380</v>
      </c>
      <c r="AS1416" s="6" t="s">
        <v>18379</v>
      </c>
      <c r="AT1416" s="6" t="s">
        <v>18444</v>
      </c>
      <c r="AU1416" s="6" t="s">
        <v>18533</v>
      </c>
      <c r="AV1416" s="6" t="s">
        <v>81</v>
      </c>
      <c r="AW1416" s="6" t="s">
        <v>81</v>
      </c>
      <c r="AX1416" s="6" t="s">
        <v>21637</v>
      </c>
      <c r="AY1416" s="6" t="s">
        <v>81</v>
      </c>
      <c r="AZ1416" s="6" t="s">
        <v>81</v>
      </c>
      <c r="BA1416" s="6" t="s">
        <v>81</v>
      </c>
      <c r="BB1416" s="24" t="n">
        <v>66</v>
      </c>
      <c r="BC1416" s="26"/>
      <c r="BD1416" s="26"/>
      <c r="BE1416" s="26"/>
      <c r="BF1416" s="26"/>
      <c r="BG1416" s="26"/>
      <c r="BH1416" s="26"/>
      <c r="BI1416" s="26"/>
      <c r="BJ1416" s="26"/>
      <c r="BK1416" s="26"/>
      <c r="BL1416" s="26"/>
      <c r="BM1416" s="26"/>
      <c r="BN1416" s="26"/>
      <c r="BO1416" s="26"/>
      <c r="BP1416" s="16" t="n">
        <v>45730</v>
      </c>
      <c r="BQ1416" s="28" t="str">
        <f>HYPERLINK("https://organic.ams.usda.gov/Integrity/Certificate.aspx?cid=90&amp;nopid=7170240853")</f>
        <v>https://organic.ams.usda.gov/Integrity/Certificate.aspx?cid=90&amp;nopid=7170240853</v>
      </c>
    </row>
    <row r="1417">
      <c r="A1417" t="s">
        <v>3</v>
      </c>
      <c r="B1417" s="6" t="s">
        <v>24</v>
      </c>
      <c r="C1417" s="6" t="s">
        <v>71</v>
      </c>
      <c r="D1417" s="6" t="s">
        <v>117</v>
      </c>
      <c r="E1417" s="10" t="s">
        <v>1558</v>
      </c>
      <c r="F1417" s="6" t="s">
        <v>4282</v>
      </c>
      <c r="G1417" s="6" t="s">
        <v>81</v>
      </c>
      <c r="H1417" s="6" t="s">
        <v>81</v>
      </c>
      <c r="I1417" s="6" t="s">
        <v>8960</v>
      </c>
      <c r="J1417" s="6" t="s">
        <v>9735</v>
      </c>
      <c r="K1417" s="6" t="s">
        <v>10886</v>
      </c>
      <c r="L1417" s="16" t="n">
        <v>44568</v>
      </c>
      <c r="M1417" s="16" t="n">
        <v>45809</v>
      </c>
      <c r="N1417" s="6" t="s">
        <v>10886</v>
      </c>
      <c r="O1417" s="16" t="n">
        <v>44568</v>
      </c>
      <c r="P1417" s="6" t="s">
        <v>11741</v>
      </c>
      <c r="Q1417" s="6" t="s">
        <v>81</v>
      </c>
      <c r="R1417" s="6" t="s">
        <v>81</v>
      </c>
      <c r="S1417" s="6" t="s">
        <v>10886</v>
      </c>
      <c r="T1417" s="16" t="n">
        <v>44568</v>
      </c>
      <c r="U1417" s="6" t="s">
        <v>13618</v>
      </c>
      <c r="V1417" s="6" t="s">
        <v>81</v>
      </c>
      <c r="W1417" s="6" t="s">
        <v>81</v>
      </c>
      <c r="X1417" s="6" t="s">
        <v>81</v>
      </c>
      <c r="Y1417" s="21" t="s">
        <v>81</v>
      </c>
      <c r="Z1417" s="6" t="s">
        <v>81</v>
      </c>
      <c r="AA1417" s="6" t="s">
        <v>81</v>
      </c>
      <c r="AB1417" s="6" t="s">
        <v>81</v>
      </c>
      <c r="AC1417" s="6" t="s">
        <v>10886</v>
      </c>
      <c r="AD1417" s="16" t="n">
        <v>44568</v>
      </c>
      <c r="AE1417" s="6" t="s">
        <v>14133</v>
      </c>
      <c r="AF1417" s="6" t="s">
        <v>81</v>
      </c>
      <c r="AG1417" s="6" t="s">
        <v>81</v>
      </c>
      <c r="AH1417" s="6" t="s">
        <v>15986</v>
      </c>
      <c r="AI1417" s="6" t="s">
        <v>81</v>
      </c>
      <c r="AJ1417" s="6" t="s">
        <v>17619</v>
      </c>
      <c r="AK1417" s="6" t="s">
        <v>17712</v>
      </c>
      <c r="AL1417" s="6" t="s">
        <v>18444</v>
      </c>
      <c r="AM1417" s="6" t="s">
        <v>5908</v>
      </c>
      <c r="AN1417" s="6" t="s">
        <v>19652</v>
      </c>
      <c r="AO1417" s="6" t="s">
        <v>19742</v>
      </c>
      <c r="AP1417" s="6" t="s">
        <v>15986</v>
      </c>
      <c r="AQ1417" s="6" t="s">
        <v>81</v>
      </c>
      <c r="AR1417" s="6" t="s">
        <v>17619</v>
      </c>
      <c r="AS1417" s="6" t="s">
        <v>17712</v>
      </c>
      <c r="AT1417" s="6" t="s">
        <v>18444</v>
      </c>
      <c r="AU1417" s="6" t="s">
        <v>5908</v>
      </c>
      <c r="AV1417" s="6" t="s">
        <v>81</v>
      </c>
      <c r="AW1417" s="6" t="s">
        <v>81</v>
      </c>
      <c r="AX1417" s="6" t="s">
        <v>81</v>
      </c>
      <c r="AY1417" s="6" t="s">
        <v>23056</v>
      </c>
      <c r="AZ1417" s="6" t="s">
        <v>81</v>
      </c>
      <c r="BA1417" s="6" t="s">
        <v>81</v>
      </c>
      <c r="BB1417" s="24" t="n">
        <v>412</v>
      </c>
      <c r="BC1417" s="26"/>
      <c r="BD1417" s="26"/>
      <c r="BE1417" s="26"/>
      <c r="BF1417" s="26"/>
      <c r="BG1417" s="26"/>
      <c r="BH1417" s="26"/>
      <c r="BI1417" s="26"/>
      <c r="BJ1417" s="26"/>
      <c r="BK1417" s="26"/>
      <c r="BL1417" s="26"/>
      <c r="BM1417" s="26"/>
      <c r="BN1417" s="26"/>
      <c r="BO1417" s="26"/>
      <c r="BP1417" s="16" t="n">
        <v>45628</v>
      </c>
      <c r="BQ1417" s="28" t="str">
        <f>HYPERLINK("https://organic.ams.usda.gov/Integrity/Certificate.aspx?cid=1&amp;nopid=9092127903")</f>
        <v>https://organic.ams.usda.gov/Integrity/Certificate.aspx?cid=1&amp;nopid=9092127903</v>
      </c>
    </row>
    <row r="1418">
      <c r="A1418" t="s">
        <v>3</v>
      </c>
      <c r="B1418" s="6" t="s">
        <v>11</v>
      </c>
      <c r="C1418" s="6" t="s">
        <v>58</v>
      </c>
      <c r="D1418" s="6" t="s">
        <v>104</v>
      </c>
      <c r="E1418" s="10" t="s">
        <v>1559</v>
      </c>
      <c r="F1418" s="6" t="s">
        <v>4283</v>
      </c>
      <c r="G1418" s="6" t="s">
        <v>5721</v>
      </c>
      <c r="H1418" s="6" t="s">
        <v>81</v>
      </c>
      <c r="I1418" s="6" t="s">
        <v>9128</v>
      </c>
      <c r="J1418" s="6" t="s">
        <v>9666</v>
      </c>
      <c r="K1418" s="6" t="s">
        <v>10886</v>
      </c>
      <c r="L1418" s="16" t="n">
        <v>43187</v>
      </c>
      <c r="M1418" s="16" t="n">
        <v>45383</v>
      </c>
      <c r="N1418" s="6" t="s">
        <v>10886</v>
      </c>
      <c r="O1418" s="16" t="n">
        <v>43187</v>
      </c>
      <c r="P1418" s="6" t="s">
        <v>11742</v>
      </c>
      <c r="Q1418" s="6" t="s">
        <v>81</v>
      </c>
      <c r="R1418" s="6" t="s">
        <v>81</v>
      </c>
      <c r="S1418" s="6" t="s">
        <v>10886</v>
      </c>
      <c r="T1418" s="16" t="n">
        <v>43187</v>
      </c>
      <c r="U1418" s="6" t="s">
        <v>13619</v>
      </c>
      <c r="V1418" s="6" t="s">
        <v>81</v>
      </c>
      <c r="W1418" s="6" t="s">
        <v>81</v>
      </c>
      <c r="X1418" s="6" t="s">
        <v>81</v>
      </c>
      <c r="Y1418" s="21" t="s">
        <v>81</v>
      </c>
      <c r="Z1418" s="6" t="s">
        <v>81</v>
      </c>
      <c r="AA1418" s="6" t="s">
        <v>81</v>
      </c>
      <c r="AB1418" s="6" t="s">
        <v>81</v>
      </c>
      <c r="AC1418" s="6" t="s">
        <v>81</v>
      </c>
      <c r="AD1418" s="21" t="s">
        <v>81</v>
      </c>
      <c r="AE1418" s="6" t="s">
        <v>81</v>
      </c>
      <c r="AF1418" s="6" t="s">
        <v>81</v>
      </c>
      <c r="AG1418" s="6" t="s">
        <v>81</v>
      </c>
      <c r="AH1418" s="6" t="s">
        <v>15987</v>
      </c>
      <c r="AI1418" s="6" t="s">
        <v>81</v>
      </c>
      <c r="AJ1418" s="6" t="s">
        <v>17478</v>
      </c>
      <c r="AK1418" s="6" t="s">
        <v>18377</v>
      </c>
      <c r="AL1418" s="6" t="s">
        <v>18444</v>
      </c>
      <c r="AM1418" s="6" t="s">
        <v>18640</v>
      </c>
      <c r="AN1418" s="6" t="s">
        <v>19638</v>
      </c>
      <c r="AO1418" s="6" t="s">
        <v>19724</v>
      </c>
      <c r="AP1418" s="6" t="s">
        <v>15987</v>
      </c>
      <c r="AQ1418" s="6" t="s">
        <v>81</v>
      </c>
      <c r="AR1418" s="6" t="s">
        <v>17478</v>
      </c>
      <c r="AS1418" s="6" t="s">
        <v>18377</v>
      </c>
      <c r="AT1418" s="6" t="s">
        <v>18444</v>
      </c>
      <c r="AU1418" s="6" t="s">
        <v>18640</v>
      </c>
      <c r="AV1418" s="6" t="s">
        <v>81</v>
      </c>
      <c r="AW1418" s="6" t="s">
        <v>81</v>
      </c>
      <c r="AX1418" s="6" t="s">
        <v>81</v>
      </c>
      <c r="AY1418" s="6" t="s">
        <v>81</v>
      </c>
      <c r="AZ1418" s="6" t="s">
        <v>81</v>
      </c>
      <c r="BA1418" s="6" t="s">
        <v>23820</v>
      </c>
      <c r="BB1418" s="24" t="n">
        <v>77</v>
      </c>
      <c r="BC1418" s="26"/>
      <c r="BD1418" s="26"/>
      <c r="BE1418" s="26"/>
      <c r="BF1418" s="26"/>
      <c r="BG1418" s="26"/>
      <c r="BH1418" s="26"/>
      <c r="BI1418" s="26"/>
      <c r="BJ1418" s="26"/>
      <c r="BK1418" s="26"/>
      <c r="BL1418" s="26"/>
      <c r="BM1418" s="26"/>
      <c r="BN1418" s="26"/>
      <c r="BO1418" s="26"/>
      <c r="BP1418" s="16" t="n">
        <v>45443</v>
      </c>
      <c r="BQ1418" s="28" t="str">
        <f>HYPERLINK("https://organic.ams.usda.gov/Integrity/Certificate.aspx?cid=46&amp;nopid=3671800012")</f>
        <v>https://organic.ams.usda.gov/Integrity/Certificate.aspx?cid=46&amp;nopid=3671800012</v>
      </c>
    </row>
    <row r="1419">
      <c r="A1419" t="s">
        <v>3</v>
      </c>
      <c r="B1419" s="6" t="s">
        <v>14</v>
      </c>
      <c r="C1419" s="6" t="s">
        <v>61</v>
      </c>
      <c r="D1419" s="6" t="s">
        <v>107</v>
      </c>
      <c r="E1419" s="10" t="s">
        <v>1560</v>
      </c>
      <c r="F1419" s="6" t="s">
        <v>4284</v>
      </c>
      <c r="G1419" s="6" t="s">
        <v>81</v>
      </c>
      <c r="H1419" s="6" t="s">
        <v>7193</v>
      </c>
      <c r="I1419" s="6" t="s">
        <v>9129</v>
      </c>
      <c r="J1419" s="6" t="s">
        <v>10320</v>
      </c>
      <c r="K1419" s="6" t="s">
        <v>10886</v>
      </c>
      <c r="L1419" s="16" t="n">
        <v>45482</v>
      </c>
      <c r="M1419" s="16" t="n">
        <v>45748</v>
      </c>
      <c r="N1419" s="6" t="s">
        <v>81</v>
      </c>
      <c r="O1419" s="21" t="s">
        <v>81</v>
      </c>
      <c r="P1419" s="6" t="s">
        <v>81</v>
      </c>
      <c r="Q1419" s="6" t="s">
        <v>81</v>
      </c>
      <c r="R1419" s="6" t="s">
        <v>81</v>
      </c>
      <c r="S1419" s="6" t="s">
        <v>81</v>
      </c>
      <c r="T1419" s="21" t="s">
        <v>81</v>
      </c>
      <c r="U1419" s="6" t="s">
        <v>81</v>
      </c>
      <c r="V1419" s="6" t="s">
        <v>81</v>
      </c>
      <c r="W1419" s="6" t="s">
        <v>81</v>
      </c>
      <c r="X1419" s="6" t="s">
        <v>81</v>
      </c>
      <c r="Y1419" s="21" t="s">
        <v>81</v>
      </c>
      <c r="Z1419" s="6" t="s">
        <v>81</v>
      </c>
      <c r="AA1419" s="6" t="s">
        <v>81</v>
      </c>
      <c r="AB1419" s="6" t="s">
        <v>81</v>
      </c>
      <c r="AC1419" s="6" t="s">
        <v>10886</v>
      </c>
      <c r="AD1419" s="16" t="n">
        <v>45482</v>
      </c>
      <c r="AE1419" s="6" t="s">
        <v>14261</v>
      </c>
      <c r="AF1419" s="6" t="s">
        <v>81</v>
      </c>
      <c r="AG1419" s="6" t="s">
        <v>81</v>
      </c>
      <c r="AH1419" s="6" t="s">
        <v>15988</v>
      </c>
      <c r="AI1419" s="6" t="s">
        <v>17292</v>
      </c>
      <c r="AJ1419" s="6" t="s">
        <v>17712</v>
      </c>
      <c r="AK1419" s="6" t="s">
        <v>17712</v>
      </c>
      <c r="AL1419" s="6" t="s">
        <v>18444</v>
      </c>
      <c r="AM1419" s="6" t="s">
        <v>19181</v>
      </c>
      <c r="AN1419" s="6" t="s">
        <v>81</v>
      </c>
      <c r="AO1419" s="6" t="s">
        <v>81</v>
      </c>
      <c r="AP1419" s="6" t="s">
        <v>15988</v>
      </c>
      <c r="AQ1419" s="6" t="s">
        <v>17292</v>
      </c>
      <c r="AR1419" s="6" t="s">
        <v>17712</v>
      </c>
      <c r="AS1419" s="6" t="s">
        <v>17712</v>
      </c>
      <c r="AT1419" s="6" t="s">
        <v>18444</v>
      </c>
      <c r="AU1419" s="6" t="s">
        <v>19181</v>
      </c>
      <c r="AV1419" s="6" t="s">
        <v>81</v>
      </c>
      <c r="AW1419" s="6" t="s">
        <v>81</v>
      </c>
      <c r="AX1419" s="6" t="s">
        <v>21638</v>
      </c>
      <c r="AY1419" s="6" t="s">
        <v>23057</v>
      </c>
      <c r="AZ1419" s="6" t="s">
        <v>81</v>
      </c>
      <c r="BA1419" s="6" t="s">
        <v>81</v>
      </c>
      <c r="BB1419" s="24" t="n">
        <v>0</v>
      </c>
      <c r="BC1419" s="26"/>
      <c r="BD1419" s="26"/>
      <c r="BE1419" s="26"/>
      <c r="BF1419" s="26"/>
      <c r="BG1419" s="26"/>
      <c r="BH1419" s="26" t="s">
        <v>23900</v>
      </c>
      <c r="BI1419" s="26"/>
      <c r="BJ1419" s="26"/>
      <c r="BK1419" s="26"/>
      <c r="BL1419" s="26"/>
      <c r="BM1419" s="26"/>
      <c r="BN1419" s="26"/>
      <c r="BO1419" s="26"/>
      <c r="BP1419" s="16" t="n">
        <v>45664</v>
      </c>
      <c r="BQ1419" s="28" t="str">
        <f>HYPERLINK("https://organic.ams.usda.gov/Integrity/Certificate.aspx?cid=51&amp;nopid=8241000052")</f>
        <v>https://organic.ams.usda.gov/Integrity/Certificate.aspx?cid=51&amp;nopid=8241000052</v>
      </c>
    </row>
    <row r="1420">
      <c r="A1420" t="s">
        <v>3</v>
      </c>
      <c r="B1420" s="6" t="s">
        <v>20</v>
      </c>
      <c r="C1420" s="6" t="s">
        <v>67</v>
      </c>
      <c r="D1420" s="6" t="s">
        <v>113</v>
      </c>
      <c r="E1420" s="10" t="s">
        <v>1561</v>
      </c>
      <c r="F1420" s="6" t="s">
        <v>4285</v>
      </c>
      <c r="G1420" s="6" t="s">
        <v>81</v>
      </c>
      <c r="H1420" s="6" t="s">
        <v>7194</v>
      </c>
      <c r="I1420" s="6" t="s">
        <v>9130</v>
      </c>
      <c r="J1420" s="6" t="s">
        <v>10321</v>
      </c>
      <c r="K1420" s="6" t="s">
        <v>10886</v>
      </c>
      <c r="L1420" s="16" t="n">
        <v>37860</v>
      </c>
      <c r="M1420" s="16" t="n">
        <v>45910</v>
      </c>
      <c r="N1420" s="6" t="s">
        <v>81</v>
      </c>
      <c r="O1420" s="21" t="s">
        <v>81</v>
      </c>
      <c r="P1420" s="6" t="s">
        <v>81</v>
      </c>
      <c r="Q1420" s="6" t="s">
        <v>81</v>
      </c>
      <c r="R1420" s="6" t="s">
        <v>81</v>
      </c>
      <c r="S1420" s="6" t="s">
        <v>81</v>
      </c>
      <c r="T1420" s="21" t="s">
        <v>81</v>
      </c>
      <c r="U1420" s="6" t="s">
        <v>81</v>
      </c>
      <c r="V1420" s="6" t="s">
        <v>81</v>
      </c>
      <c r="W1420" s="6" t="s">
        <v>81</v>
      </c>
      <c r="X1420" s="6" t="s">
        <v>81</v>
      </c>
      <c r="Y1420" s="21" t="s">
        <v>81</v>
      </c>
      <c r="Z1420" s="6" t="s">
        <v>81</v>
      </c>
      <c r="AA1420" s="6" t="s">
        <v>81</v>
      </c>
      <c r="AB1420" s="6" t="s">
        <v>81</v>
      </c>
      <c r="AC1420" s="6" t="s">
        <v>10886</v>
      </c>
      <c r="AD1420" s="16" t="n">
        <v>37860</v>
      </c>
      <c r="AE1420" s="6" t="s">
        <v>14262</v>
      </c>
      <c r="AF1420" s="6" t="s">
        <v>81</v>
      </c>
      <c r="AG1420" s="6" t="s">
        <v>14565</v>
      </c>
      <c r="AH1420" s="6" t="s">
        <v>15989</v>
      </c>
      <c r="AI1420" s="6" t="s">
        <v>81</v>
      </c>
      <c r="AJ1420" s="6" t="s">
        <v>17991</v>
      </c>
      <c r="AK1420" s="6" t="s">
        <v>18398</v>
      </c>
      <c r="AL1420" s="6" t="s">
        <v>18444</v>
      </c>
      <c r="AM1420" s="6" t="s">
        <v>19182</v>
      </c>
      <c r="AN1420" s="6" t="s">
        <v>19693</v>
      </c>
      <c r="AO1420" s="6" t="s">
        <v>19991</v>
      </c>
      <c r="AP1420" s="6" t="s">
        <v>15989</v>
      </c>
      <c r="AQ1420" s="6" t="s">
        <v>81</v>
      </c>
      <c r="AR1420" s="6" t="s">
        <v>17991</v>
      </c>
      <c r="AS1420" s="6" t="s">
        <v>18398</v>
      </c>
      <c r="AT1420" s="6" t="s">
        <v>18444</v>
      </c>
      <c r="AU1420" s="6" t="s">
        <v>19182</v>
      </c>
      <c r="AV1420" s="6" t="s">
        <v>81</v>
      </c>
      <c r="AW1420" s="6" t="s">
        <v>81</v>
      </c>
      <c r="AX1420" s="6" t="s">
        <v>21639</v>
      </c>
      <c r="AY1420" s="6" t="s">
        <v>23058</v>
      </c>
      <c r="AZ1420" s="6" t="s">
        <v>23695</v>
      </c>
      <c r="BA1420" s="6" t="s">
        <v>81</v>
      </c>
      <c r="BB1420" s="6" t="s">
        <v>81</v>
      </c>
      <c r="BC1420" s="26"/>
      <c r="BD1420" s="26"/>
      <c r="BE1420" s="26"/>
      <c r="BF1420" s="26"/>
      <c r="BG1420" s="26" t="s">
        <v>23900</v>
      </c>
      <c r="BH1420" s="26"/>
      <c r="BI1420" s="26"/>
      <c r="BJ1420" s="26"/>
      <c r="BK1420" s="26"/>
      <c r="BL1420" s="26" t="s">
        <v>23900</v>
      </c>
      <c r="BM1420" s="26"/>
      <c r="BN1420" s="26"/>
      <c r="BO1420" s="26"/>
      <c r="BP1420" s="16" t="n">
        <v>45737</v>
      </c>
      <c r="BQ1420" s="28" t="str">
        <f>HYPERLINK("https://organic.ams.usda.gov/Integrity/Certificate.aspx?cid=71&amp;nopid=5520031649")</f>
        <v>https://organic.ams.usda.gov/Integrity/Certificate.aspx?cid=71&amp;nopid=5520031649</v>
      </c>
    </row>
    <row r="1421">
      <c r="A1421" t="s">
        <v>3</v>
      </c>
      <c r="B1421" s="6" t="s">
        <v>34</v>
      </c>
      <c r="C1421" s="6" t="s">
        <v>81</v>
      </c>
      <c r="D1421" s="6" t="s">
        <v>81</v>
      </c>
      <c r="E1421" s="10" t="s">
        <v>1562</v>
      </c>
      <c r="F1421" s="6" t="s">
        <v>4286</v>
      </c>
      <c r="G1421" s="6" t="s">
        <v>5722</v>
      </c>
      <c r="H1421" s="6" t="s">
        <v>7195</v>
      </c>
      <c r="I1421" s="6" t="s">
        <v>8562</v>
      </c>
      <c r="J1421" s="6" t="s">
        <v>10322</v>
      </c>
      <c r="K1421" s="6" t="s">
        <v>10886</v>
      </c>
      <c r="L1421" s="16" t="n">
        <v>38896</v>
      </c>
      <c r="M1421" s="16" t="n">
        <v>45717</v>
      </c>
      <c r="N1421" s="6" t="s">
        <v>10886</v>
      </c>
      <c r="O1421" s="16" t="n">
        <v>38896</v>
      </c>
      <c r="P1421" s="6" t="s">
        <v>11076</v>
      </c>
      <c r="Q1421" s="6" t="s">
        <v>81</v>
      </c>
      <c r="R1421" s="6" t="s">
        <v>7195</v>
      </c>
      <c r="S1421" s="6" t="s">
        <v>10886</v>
      </c>
      <c r="T1421" s="16" t="n">
        <v>38896</v>
      </c>
      <c r="U1421" s="6" t="s">
        <v>13413</v>
      </c>
      <c r="V1421" s="6" t="s">
        <v>81</v>
      </c>
      <c r="W1421" s="6" t="s">
        <v>7195</v>
      </c>
      <c r="X1421" s="6" t="s">
        <v>81</v>
      </c>
      <c r="Y1421" s="21" t="s">
        <v>81</v>
      </c>
      <c r="Z1421" s="6" t="s">
        <v>81</v>
      </c>
      <c r="AA1421" s="6" t="s">
        <v>81</v>
      </c>
      <c r="AB1421" s="6" t="s">
        <v>81</v>
      </c>
      <c r="AC1421" s="6" t="s">
        <v>81</v>
      </c>
      <c r="AD1421" s="21" t="s">
        <v>81</v>
      </c>
      <c r="AE1421" s="6" t="s">
        <v>81</v>
      </c>
      <c r="AF1421" s="6" t="s">
        <v>81</v>
      </c>
      <c r="AG1421" s="6" t="s">
        <v>81</v>
      </c>
      <c r="AH1421" s="6" t="s">
        <v>15990</v>
      </c>
      <c r="AI1421" s="6" t="s">
        <v>81</v>
      </c>
      <c r="AJ1421" s="6" t="s">
        <v>17992</v>
      </c>
      <c r="AK1421" s="6" t="s">
        <v>18386</v>
      </c>
      <c r="AL1421" s="6" t="s">
        <v>18444</v>
      </c>
      <c r="AM1421" s="6" t="s">
        <v>19183</v>
      </c>
      <c r="AN1421" s="6" t="s">
        <v>81</v>
      </c>
      <c r="AO1421" s="6" t="s">
        <v>81</v>
      </c>
      <c r="AP1421" s="6" t="s">
        <v>81</v>
      </c>
      <c r="AQ1421" s="6" t="s">
        <v>81</v>
      </c>
      <c r="AR1421" s="6" t="s">
        <v>81</v>
      </c>
      <c r="AS1421" s="6" t="s">
        <v>81</v>
      </c>
      <c r="AT1421" s="6" t="s">
        <v>81</v>
      </c>
      <c r="AU1421" s="6" t="s">
        <v>81</v>
      </c>
      <c r="AV1421" s="6" t="s">
        <v>81</v>
      </c>
      <c r="AW1421" s="6" t="s">
        <v>81</v>
      </c>
      <c r="AX1421" s="6" t="s">
        <v>21640</v>
      </c>
      <c r="AY1421" s="6" t="s">
        <v>23059</v>
      </c>
      <c r="AZ1421" s="6" t="s">
        <v>81</v>
      </c>
      <c r="BA1421" s="6" t="s">
        <v>23833</v>
      </c>
      <c r="BB1421" s="24" t="n">
        <v>1070</v>
      </c>
      <c r="BC1421" s="26"/>
      <c r="BD1421" s="26"/>
      <c r="BE1421" s="26"/>
      <c r="BF1421" s="26" t="s">
        <v>23900</v>
      </c>
      <c r="BG1421" s="26"/>
      <c r="BH1421" s="26"/>
      <c r="BI1421" s="26"/>
      <c r="BJ1421" s="26"/>
      <c r="BK1421" s="26"/>
      <c r="BL1421" s="26"/>
      <c r="BM1421" s="26"/>
      <c r="BN1421" s="26"/>
      <c r="BO1421" s="26"/>
      <c r="BP1421" s="16" t="n">
        <v>45629</v>
      </c>
      <c r="BQ1421" s="28" t="str">
        <f>HYPERLINK("")</f>
      </c>
    </row>
    <row r="1422">
      <c r="A1422" t="s">
        <v>3</v>
      </c>
      <c r="B1422" s="6" t="s">
        <v>25</v>
      </c>
      <c r="C1422" s="6" t="s">
        <v>72</v>
      </c>
      <c r="D1422" s="6" t="s">
        <v>118</v>
      </c>
      <c r="E1422" s="10" t="s">
        <v>1563</v>
      </c>
      <c r="F1422" s="6" t="s">
        <v>4287</v>
      </c>
      <c r="G1422" s="6" t="s">
        <v>81</v>
      </c>
      <c r="H1422" s="6" t="s">
        <v>7196</v>
      </c>
      <c r="I1422" s="6" t="s">
        <v>9131</v>
      </c>
      <c r="J1422" s="6" t="s">
        <v>10323</v>
      </c>
      <c r="K1422" s="6" t="s">
        <v>10886</v>
      </c>
      <c r="L1422" s="16" t="n">
        <v>40890</v>
      </c>
      <c r="M1422" s="16" t="n">
        <v>46023</v>
      </c>
      <c r="N1422" s="6" t="s">
        <v>10886</v>
      </c>
      <c r="O1422" s="16" t="n">
        <v>40890</v>
      </c>
      <c r="P1422" s="6" t="s">
        <v>11743</v>
      </c>
      <c r="Q1422" s="6" t="s">
        <v>81</v>
      </c>
      <c r="R1422" s="6" t="s">
        <v>81</v>
      </c>
      <c r="S1422" s="6" t="s">
        <v>10886</v>
      </c>
      <c r="T1422" s="16" t="n">
        <v>40890</v>
      </c>
      <c r="U1422" s="6" t="s">
        <v>13620</v>
      </c>
      <c r="V1422" s="6" t="s">
        <v>81</v>
      </c>
      <c r="W1422" s="6" t="s">
        <v>81</v>
      </c>
      <c r="X1422" s="6" t="s">
        <v>81</v>
      </c>
      <c r="Y1422" s="21" t="s">
        <v>81</v>
      </c>
      <c r="Z1422" s="6" t="s">
        <v>81</v>
      </c>
      <c r="AA1422" s="6" t="s">
        <v>81</v>
      </c>
      <c r="AB1422" s="6" t="s">
        <v>81</v>
      </c>
      <c r="AC1422" s="6" t="s">
        <v>10886</v>
      </c>
      <c r="AD1422" s="16" t="n">
        <v>44732</v>
      </c>
      <c r="AE1422" s="6" t="s">
        <v>14081</v>
      </c>
      <c r="AF1422" s="6" t="s">
        <v>81</v>
      </c>
      <c r="AG1422" s="6" t="s">
        <v>81</v>
      </c>
      <c r="AH1422" s="6" t="s">
        <v>15991</v>
      </c>
      <c r="AI1422" s="6" t="s">
        <v>81</v>
      </c>
      <c r="AJ1422" s="6" t="s">
        <v>17993</v>
      </c>
      <c r="AK1422" s="6" t="s">
        <v>8428</v>
      </c>
      <c r="AL1422" s="6" t="s">
        <v>18444</v>
      </c>
      <c r="AM1422" s="6" t="s">
        <v>19184</v>
      </c>
      <c r="AN1422" s="6" t="s">
        <v>19694</v>
      </c>
      <c r="AO1422" s="6" t="s">
        <v>19928</v>
      </c>
      <c r="AP1422" s="6" t="s">
        <v>20284</v>
      </c>
      <c r="AQ1422" s="6" t="s">
        <v>81</v>
      </c>
      <c r="AR1422" s="6" t="s">
        <v>17993</v>
      </c>
      <c r="AS1422" s="6" t="s">
        <v>8428</v>
      </c>
      <c r="AT1422" s="6" t="s">
        <v>18444</v>
      </c>
      <c r="AU1422" s="6" t="s">
        <v>19184</v>
      </c>
      <c r="AV1422" s="6" t="s">
        <v>81</v>
      </c>
      <c r="AW1422" s="6" t="s">
        <v>81</v>
      </c>
      <c r="AX1422" s="6" t="s">
        <v>21641</v>
      </c>
      <c r="AY1422" s="6" t="s">
        <v>23060</v>
      </c>
      <c r="AZ1422" s="6" t="s">
        <v>81</v>
      </c>
      <c r="BA1422" s="6" t="s">
        <v>81</v>
      </c>
      <c r="BB1422" s="24" t="n">
        <v>1886</v>
      </c>
      <c r="BC1422" s="26"/>
      <c r="BD1422" s="26"/>
      <c r="BE1422" s="26"/>
      <c r="BF1422" s="26"/>
      <c r="BG1422" s="26"/>
      <c r="BH1422" s="26"/>
      <c r="BI1422" s="26"/>
      <c r="BJ1422" s="26"/>
      <c r="BK1422" s="26"/>
      <c r="BL1422" s="26"/>
      <c r="BM1422" s="26"/>
      <c r="BN1422" s="26"/>
      <c r="BO1422" s="26"/>
      <c r="BP1422" s="16" t="n">
        <v>45667</v>
      </c>
      <c r="BQ1422" s="28" t="str">
        <f>HYPERLINK("https://organic.ams.usda.gov/Integrity/Certificate.aspx?cid=15&amp;nopid=5561000103")</f>
        <v>https://organic.ams.usda.gov/Integrity/Certificate.aspx?cid=15&amp;nopid=5561000103</v>
      </c>
    </row>
    <row r="1423">
      <c r="A1423" t="s">
        <v>3</v>
      </c>
      <c r="B1423" s="6" t="s">
        <v>12</v>
      </c>
      <c r="C1423" s="6" t="s">
        <v>59</v>
      </c>
      <c r="D1423" s="6" t="s">
        <v>105</v>
      </c>
      <c r="E1423" s="10" t="s">
        <v>1564</v>
      </c>
      <c r="F1423" s="6" t="s">
        <v>4288</v>
      </c>
      <c r="G1423" s="6" t="s">
        <v>81</v>
      </c>
      <c r="H1423" s="6" t="s">
        <v>7197</v>
      </c>
      <c r="I1423" s="6" t="s">
        <v>9132</v>
      </c>
      <c r="J1423" s="6" t="s">
        <v>10324</v>
      </c>
      <c r="K1423" s="6" t="s">
        <v>10886</v>
      </c>
      <c r="L1423" s="16" t="n">
        <v>43009</v>
      </c>
      <c r="M1423" s="16" t="n">
        <v>45717</v>
      </c>
      <c r="N1423" s="6" t="s">
        <v>10886</v>
      </c>
      <c r="O1423" s="16" t="n">
        <v>43009</v>
      </c>
      <c r="P1423" s="6" t="s">
        <v>10910</v>
      </c>
      <c r="Q1423" s="6" t="s">
        <v>81</v>
      </c>
      <c r="R1423" s="6" t="s">
        <v>81</v>
      </c>
      <c r="S1423" s="6" t="s">
        <v>10886</v>
      </c>
      <c r="T1423" s="16" t="n">
        <v>43009</v>
      </c>
      <c r="U1423" s="6" t="s">
        <v>13274</v>
      </c>
      <c r="V1423" s="6" t="s">
        <v>81</v>
      </c>
      <c r="W1423" s="6" t="s">
        <v>81</v>
      </c>
      <c r="X1423" s="6" t="s">
        <v>81</v>
      </c>
      <c r="Y1423" s="21" t="s">
        <v>81</v>
      </c>
      <c r="Z1423" s="6" t="s">
        <v>81</v>
      </c>
      <c r="AA1423" s="6" t="s">
        <v>81</v>
      </c>
      <c r="AB1423" s="6" t="s">
        <v>81</v>
      </c>
      <c r="AC1423" s="6" t="s">
        <v>81</v>
      </c>
      <c r="AD1423" s="21" t="s">
        <v>81</v>
      </c>
      <c r="AE1423" s="6" t="s">
        <v>81</v>
      </c>
      <c r="AF1423" s="6" t="s">
        <v>81</v>
      </c>
      <c r="AG1423" s="6" t="s">
        <v>81</v>
      </c>
      <c r="AH1423" s="6" t="s">
        <v>15992</v>
      </c>
      <c r="AI1423" s="6" t="s">
        <v>81</v>
      </c>
      <c r="AJ1423" s="6" t="s">
        <v>17717</v>
      </c>
      <c r="AK1423" s="6" t="s">
        <v>17712</v>
      </c>
      <c r="AL1423" s="6" t="s">
        <v>18444</v>
      </c>
      <c r="AM1423" s="6" t="s">
        <v>18884</v>
      </c>
      <c r="AN1423" s="6" t="s">
        <v>7195</v>
      </c>
      <c r="AO1423" s="6" t="s">
        <v>19735</v>
      </c>
      <c r="AP1423" s="6" t="s">
        <v>15992</v>
      </c>
      <c r="AQ1423" s="6" t="s">
        <v>81</v>
      </c>
      <c r="AR1423" s="6" t="s">
        <v>17717</v>
      </c>
      <c r="AS1423" s="6" t="s">
        <v>17712</v>
      </c>
      <c r="AT1423" s="6" t="s">
        <v>18444</v>
      </c>
      <c r="AU1423" s="6" t="s">
        <v>18884</v>
      </c>
      <c r="AV1423" s="6" t="s">
        <v>81</v>
      </c>
      <c r="AW1423" s="6" t="s">
        <v>81</v>
      </c>
      <c r="AX1423" s="6" t="s">
        <v>81</v>
      </c>
      <c r="AY1423" s="6" t="s">
        <v>81</v>
      </c>
      <c r="AZ1423" s="6" t="s">
        <v>81</v>
      </c>
      <c r="BA1423" s="6" t="s">
        <v>81</v>
      </c>
      <c r="BB1423" s="24" t="n">
        <v>209</v>
      </c>
      <c r="BC1423" s="26"/>
      <c r="BD1423" s="26"/>
      <c r="BE1423" s="26"/>
      <c r="BF1423" s="26"/>
      <c r="BG1423" s="26"/>
      <c r="BH1423" s="26"/>
      <c r="BI1423" s="26"/>
      <c r="BJ1423" s="26"/>
      <c r="BK1423" s="26"/>
      <c r="BL1423" s="26"/>
      <c r="BM1423" s="26"/>
      <c r="BN1423" s="26"/>
      <c r="BO1423" s="26"/>
      <c r="BP1423" s="16" t="n">
        <v>45684</v>
      </c>
      <c r="BQ1423" s="28" t="str">
        <f>HYPERLINK("https://organic.ams.usda.gov/Integrity/Certificate.aspx?cid=68&amp;nopid=8210001403")</f>
        <v>https://organic.ams.usda.gov/Integrity/Certificate.aspx?cid=68&amp;nopid=8210001403</v>
      </c>
    </row>
    <row r="1424">
      <c r="A1424" t="s">
        <v>3</v>
      </c>
      <c r="B1424" s="6" t="s">
        <v>8</v>
      </c>
      <c r="C1424" s="6" t="s">
        <v>55</v>
      </c>
      <c r="D1424" s="6" t="s">
        <v>101</v>
      </c>
      <c r="E1424" s="10" t="s">
        <v>1565</v>
      </c>
      <c r="F1424" s="6" t="s">
        <v>4289</v>
      </c>
      <c r="G1424" s="6" t="s">
        <v>81</v>
      </c>
      <c r="H1424" s="6" t="s">
        <v>7198</v>
      </c>
      <c r="I1424" s="6" t="s">
        <v>9133</v>
      </c>
      <c r="J1424" s="6" t="s">
        <v>10325</v>
      </c>
      <c r="K1424" s="6" t="s">
        <v>10886</v>
      </c>
      <c r="L1424" s="16" t="n">
        <v>39199</v>
      </c>
      <c r="M1424" s="16" t="n">
        <v>45689</v>
      </c>
      <c r="N1424" s="6" t="s">
        <v>10886</v>
      </c>
      <c r="O1424" s="16" t="n">
        <v>39199</v>
      </c>
      <c r="P1424" s="6" t="s">
        <v>11744</v>
      </c>
      <c r="Q1424" s="6" t="s">
        <v>81</v>
      </c>
      <c r="R1424" s="6" t="s">
        <v>7198</v>
      </c>
      <c r="S1424" s="6" t="s">
        <v>10886</v>
      </c>
      <c r="T1424" s="16" t="n">
        <v>39199</v>
      </c>
      <c r="U1424" s="6" t="s">
        <v>13265</v>
      </c>
      <c r="V1424" s="6" t="s">
        <v>81</v>
      </c>
      <c r="W1424" s="6" t="s">
        <v>7198</v>
      </c>
      <c r="X1424" s="6" t="s">
        <v>81</v>
      </c>
      <c r="Y1424" s="21" t="s">
        <v>81</v>
      </c>
      <c r="Z1424" s="6" t="s">
        <v>81</v>
      </c>
      <c r="AA1424" s="6" t="s">
        <v>81</v>
      </c>
      <c r="AB1424" s="6" t="s">
        <v>81</v>
      </c>
      <c r="AC1424" s="6" t="s">
        <v>81</v>
      </c>
      <c r="AD1424" s="21" t="s">
        <v>81</v>
      </c>
      <c r="AE1424" s="6" t="s">
        <v>81</v>
      </c>
      <c r="AF1424" s="6" t="s">
        <v>81</v>
      </c>
      <c r="AG1424" s="6" t="s">
        <v>81</v>
      </c>
      <c r="AH1424" s="6" t="s">
        <v>15993</v>
      </c>
      <c r="AI1424" s="6" t="s">
        <v>81</v>
      </c>
      <c r="AJ1424" s="6" t="s">
        <v>17994</v>
      </c>
      <c r="AK1424" s="6" t="s">
        <v>18377</v>
      </c>
      <c r="AL1424" s="6" t="s">
        <v>18444</v>
      </c>
      <c r="AM1424" s="6" t="s">
        <v>19185</v>
      </c>
      <c r="AN1424" s="6" t="s">
        <v>19690</v>
      </c>
      <c r="AO1424" s="6" t="s">
        <v>19849</v>
      </c>
      <c r="AP1424" s="6" t="s">
        <v>81</v>
      </c>
      <c r="AQ1424" s="6" t="s">
        <v>81</v>
      </c>
      <c r="AR1424" s="6" t="s">
        <v>81</v>
      </c>
      <c r="AS1424" s="6" t="s">
        <v>81</v>
      </c>
      <c r="AT1424" s="6" t="s">
        <v>81</v>
      </c>
      <c r="AU1424" s="6" t="s">
        <v>81</v>
      </c>
      <c r="AV1424" s="6" t="s">
        <v>81</v>
      </c>
      <c r="AW1424" s="6" t="s">
        <v>81</v>
      </c>
      <c r="AX1424" s="6" t="s">
        <v>81</v>
      </c>
      <c r="AY1424" s="6" t="s">
        <v>23061</v>
      </c>
      <c r="AZ1424" s="6" t="s">
        <v>81</v>
      </c>
      <c r="BA1424" s="6" t="s">
        <v>23824</v>
      </c>
      <c r="BB1424" s="24" t="n">
        <v>793</v>
      </c>
      <c r="BC1424" s="26"/>
      <c r="BD1424" s="26"/>
      <c r="BE1424" s="26"/>
      <c r="BF1424" s="26" t="s">
        <v>23900</v>
      </c>
      <c r="BG1424" s="26"/>
      <c r="BH1424" s="26"/>
      <c r="BI1424" s="26"/>
      <c r="BJ1424" s="26"/>
      <c r="BK1424" s="26"/>
      <c r="BL1424" s="26"/>
      <c r="BM1424" s="26"/>
      <c r="BN1424" s="26"/>
      <c r="BO1424" s="26"/>
      <c r="BP1424" s="16" t="n">
        <v>45721</v>
      </c>
      <c r="BQ1424" s="28" t="str">
        <f>HYPERLINK("https://organic.ams.usda.gov/Integrity/Certificate.aspx?cid=45&amp;nopid=9950002491")</f>
        <v>https://organic.ams.usda.gov/Integrity/Certificate.aspx?cid=45&amp;nopid=9950002491</v>
      </c>
    </row>
    <row r="1425">
      <c r="A1425" t="s">
        <v>3</v>
      </c>
      <c r="B1425" s="6" t="s">
        <v>24</v>
      </c>
      <c r="C1425" s="6" t="s">
        <v>71</v>
      </c>
      <c r="D1425" s="6" t="s">
        <v>117</v>
      </c>
      <c r="E1425" s="10" t="s">
        <v>1566</v>
      </c>
      <c r="F1425" s="6" t="s">
        <v>4290</v>
      </c>
      <c r="G1425" s="6" t="s">
        <v>81</v>
      </c>
      <c r="H1425" s="6" t="s">
        <v>81</v>
      </c>
      <c r="I1425" s="6" t="s">
        <v>9133</v>
      </c>
      <c r="J1425" s="6" t="s">
        <v>10326</v>
      </c>
      <c r="K1425" s="6" t="s">
        <v>10886</v>
      </c>
      <c r="L1425" s="16" t="n">
        <v>44718</v>
      </c>
      <c r="M1425" s="16" t="n">
        <v>45901</v>
      </c>
      <c r="N1425" s="6" t="s">
        <v>10886</v>
      </c>
      <c r="O1425" s="16" t="n">
        <v>45104</v>
      </c>
      <c r="P1425" s="6" t="s">
        <v>10910</v>
      </c>
      <c r="Q1425" s="6" t="s">
        <v>81</v>
      </c>
      <c r="R1425" s="6" t="s">
        <v>81</v>
      </c>
      <c r="S1425" s="6" t="s">
        <v>10886</v>
      </c>
      <c r="T1425" s="16" t="n">
        <v>44718</v>
      </c>
      <c r="U1425" s="6" t="s">
        <v>13621</v>
      </c>
      <c r="V1425" s="6" t="s">
        <v>81</v>
      </c>
      <c r="W1425" s="6" t="s">
        <v>81</v>
      </c>
      <c r="X1425" s="6" t="s">
        <v>81</v>
      </c>
      <c r="Y1425" s="21" t="s">
        <v>81</v>
      </c>
      <c r="Z1425" s="6" t="s">
        <v>81</v>
      </c>
      <c r="AA1425" s="6" t="s">
        <v>81</v>
      </c>
      <c r="AB1425" s="6" t="s">
        <v>81</v>
      </c>
      <c r="AC1425" s="6" t="s">
        <v>10886</v>
      </c>
      <c r="AD1425" s="16" t="n">
        <v>44718</v>
      </c>
      <c r="AE1425" s="6" t="s">
        <v>14041</v>
      </c>
      <c r="AF1425" s="6" t="s">
        <v>81</v>
      </c>
      <c r="AG1425" s="6" t="s">
        <v>81</v>
      </c>
      <c r="AH1425" s="6" t="s">
        <v>15994</v>
      </c>
      <c r="AI1425" s="6" t="s">
        <v>81</v>
      </c>
      <c r="AJ1425" s="6" t="s">
        <v>17995</v>
      </c>
      <c r="AK1425" s="6" t="s">
        <v>18400</v>
      </c>
      <c r="AL1425" s="6" t="s">
        <v>18444</v>
      </c>
      <c r="AM1425" s="6" t="s">
        <v>19186</v>
      </c>
      <c r="AN1425" s="6" t="s">
        <v>19644</v>
      </c>
      <c r="AO1425" s="6" t="s">
        <v>19992</v>
      </c>
      <c r="AP1425" s="6" t="s">
        <v>15994</v>
      </c>
      <c r="AQ1425" s="6" t="s">
        <v>81</v>
      </c>
      <c r="AR1425" s="6" t="s">
        <v>17995</v>
      </c>
      <c r="AS1425" s="6" t="s">
        <v>18400</v>
      </c>
      <c r="AT1425" s="6" t="s">
        <v>18444</v>
      </c>
      <c r="AU1425" s="6" t="s">
        <v>19186</v>
      </c>
      <c r="AV1425" s="6" t="s">
        <v>81</v>
      </c>
      <c r="AW1425" s="6" t="s">
        <v>81</v>
      </c>
      <c r="AX1425" s="6" t="s">
        <v>81</v>
      </c>
      <c r="AY1425" s="6" t="s">
        <v>23062</v>
      </c>
      <c r="AZ1425" s="6" t="s">
        <v>81</v>
      </c>
      <c r="BA1425" s="6" t="s">
        <v>81</v>
      </c>
      <c r="BB1425" s="24" t="n">
        <v>749</v>
      </c>
      <c r="BC1425" s="26"/>
      <c r="BD1425" s="26"/>
      <c r="BE1425" s="26"/>
      <c r="BF1425" s="26"/>
      <c r="BG1425" s="26"/>
      <c r="BH1425" s="26"/>
      <c r="BI1425" s="26"/>
      <c r="BJ1425" s="26"/>
      <c r="BK1425" s="26"/>
      <c r="BL1425" s="26"/>
      <c r="BM1425" s="26"/>
      <c r="BN1425" s="26"/>
      <c r="BO1425" s="26"/>
      <c r="BP1425" s="16" t="n">
        <v>45628</v>
      </c>
      <c r="BQ1425" s="28" t="str">
        <f>HYPERLINK("https://organic.ams.usda.gov/Integrity/Certificate.aspx?cid=1&amp;nopid=9092204803")</f>
        <v>https://organic.ams.usda.gov/Integrity/Certificate.aspx?cid=1&amp;nopid=9092204803</v>
      </c>
    </row>
    <row r="1426">
      <c r="A1426" t="s">
        <v>3</v>
      </c>
      <c r="B1426" s="6" t="s">
        <v>8</v>
      </c>
      <c r="C1426" s="6" t="s">
        <v>55</v>
      </c>
      <c r="D1426" s="6" t="s">
        <v>101</v>
      </c>
      <c r="E1426" s="10" t="s">
        <v>1567</v>
      </c>
      <c r="F1426" s="6" t="s">
        <v>4291</v>
      </c>
      <c r="G1426" s="6" t="s">
        <v>81</v>
      </c>
      <c r="H1426" s="6" t="s">
        <v>7199</v>
      </c>
      <c r="I1426" s="6" t="s">
        <v>8511</v>
      </c>
      <c r="J1426" s="6" t="s">
        <v>10327</v>
      </c>
      <c r="K1426" s="6" t="s">
        <v>10886</v>
      </c>
      <c r="L1426" s="16" t="n">
        <v>37469</v>
      </c>
      <c r="M1426" s="16" t="n">
        <v>45748</v>
      </c>
      <c r="N1426" s="6" t="s">
        <v>10886</v>
      </c>
      <c r="O1426" s="16" t="n">
        <v>37469</v>
      </c>
      <c r="P1426" s="6" t="s">
        <v>11745</v>
      </c>
      <c r="Q1426" s="6" t="s">
        <v>81</v>
      </c>
      <c r="R1426" s="6" t="s">
        <v>7199</v>
      </c>
      <c r="S1426" s="6" t="s">
        <v>10886</v>
      </c>
      <c r="T1426" s="16" t="n">
        <v>37469</v>
      </c>
      <c r="U1426" s="6" t="s">
        <v>13293</v>
      </c>
      <c r="V1426" s="6" t="s">
        <v>81</v>
      </c>
      <c r="W1426" s="6" t="s">
        <v>7199</v>
      </c>
      <c r="X1426" s="6" t="s">
        <v>81</v>
      </c>
      <c r="Y1426" s="21" t="s">
        <v>81</v>
      </c>
      <c r="Z1426" s="6" t="s">
        <v>81</v>
      </c>
      <c r="AA1426" s="6" t="s">
        <v>81</v>
      </c>
      <c r="AB1426" s="6" t="s">
        <v>81</v>
      </c>
      <c r="AC1426" s="6" t="s">
        <v>81</v>
      </c>
      <c r="AD1426" s="21" t="s">
        <v>81</v>
      </c>
      <c r="AE1426" s="6" t="s">
        <v>81</v>
      </c>
      <c r="AF1426" s="6" t="s">
        <v>81</v>
      </c>
      <c r="AG1426" s="6" t="s">
        <v>81</v>
      </c>
      <c r="AH1426" s="6" t="s">
        <v>15995</v>
      </c>
      <c r="AI1426" s="6" t="s">
        <v>81</v>
      </c>
      <c r="AJ1426" s="6" t="s">
        <v>17962</v>
      </c>
      <c r="AK1426" s="6" t="s">
        <v>18377</v>
      </c>
      <c r="AL1426" s="6" t="s">
        <v>18444</v>
      </c>
      <c r="AM1426" s="6" t="s">
        <v>19149</v>
      </c>
      <c r="AN1426" s="6" t="s">
        <v>19686</v>
      </c>
      <c r="AO1426" s="6" t="s">
        <v>19959</v>
      </c>
      <c r="AP1426" s="6" t="s">
        <v>81</v>
      </c>
      <c r="AQ1426" s="6" t="s">
        <v>81</v>
      </c>
      <c r="AR1426" s="6" t="s">
        <v>81</v>
      </c>
      <c r="AS1426" s="6" t="s">
        <v>81</v>
      </c>
      <c r="AT1426" s="6" t="s">
        <v>81</v>
      </c>
      <c r="AU1426" s="6" t="s">
        <v>81</v>
      </c>
      <c r="AV1426" s="6" t="s">
        <v>81</v>
      </c>
      <c r="AW1426" s="6" t="s">
        <v>81</v>
      </c>
      <c r="AX1426" s="6" t="s">
        <v>81</v>
      </c>
      <c r="AY1426" s="6" t="s">
        <v>23063</v>
      </c>
      <c r="AZ1426" s="6" t="s">
        <v>81</v>
      </c>
      <c r="BA1426" s="6" t="s">
        <v>23824</v>
      </c>
      <c r="BB1426" s="24" t="n">
        <v>1018</v>
      </c>
      <c r="BC1426" s="26"/>
      <c r="BD1426" s="26"/>
      <c r="BE1426" s="26"/>
      <c r="BF1426" s="26" t="s">
        <v>23900</v>
      </c>
      <c r="BG1426" s="26"/>
      <c r="BH1426" s="26"/>
      <c r="BI1426" s="26"/>
      <c r="BJ1426" s="26"/>
      <c r="BK1426" s="26"/>
      <c r="BL1426" s="26"/>
      <c r="BM1426" s="26"/>
      <c r="BN1426" s="26"/>
      <c r="BO1426" s="26"/>
      <c r="BP1426" s="16" t="n">
        <v>45663</v>
      </c>
      <c r="BQ1426" s="28" t="str">
        <f>HYPERLINK("https://organic.ams.usda.gov/Integrity/Certificate.aspx?cid=45&amp;nopid=9950000921")</f>
        <v>https://organic.ams.usda.gov/Integrity/Certificate.aspx?cid=45&amp;nopid=9950000921</v>
      </c>
    </row>
    <row r="1427">
      <c r="A1427" t="s">
        <v>3</v>
      </c>
      <c r="B1427" s="6" t="s">
        <v>24</v>
      </c>
      <c r="C1427" s="6" t="s">
        <v>71</v>
      </c>
      <c r="D1427" s="6" t="s">
        <v>117</v>
      </c>
      <c r="E1427" s="10" t="s">
        <v>1568</v>
      </c>
      <c r="F1427" s="6" t="s">
        <v>4292</v>
      </c>
      <c r="G1427" s="6" t="s">
        <v>81</v>
      </c>
      <c r="H1427" s="6" t="s">
        <v>81</v>
      </c>
      <c r="I1427" s="6" t="s">
        <v>9134</v>
      </c>
      <c r="J1427" s="6" t="s">
        <v>10328</v>
      </c>
      <c r="K1427" s="6" t="s">
        <v>10886</v>
      </c>
      <c r="L1427" s="16" t="n">
        <v>44728</v>
      </c>
      <c r="M1427" s="16" t="n">
        <v>45901</v>
      </c>
      <c r="N1427" s="6" t="s">
        <v>10886</v>
      </c>
      <c r="O1427" s="16" t="n">
        <v>45195</v>
      </c>
      <c r="P1427" s="6" t="s">
        <v>11031</v>
      </c>
      <c r="Q1427" s="6" t="s">
        <v>81</v>
      </c>
      <c r="R1427" s="6" t="s">
        <v>81</v>
      </c>
      <c r="S1427" s="6" t="s">
        <v>10886</v>
      </c>
      <c r="T1427" s="16" t="n">
        <v>44728</v>
      </c>
      <c r="U1427" s="6" t="s">
        <v>13278</v>
      </c>
      <c r="V1427" s="6" t="s">
        <v>81</v>
      </c>
      <c r="W1427" s="6" t="s">
        <v>81</v>
      </c>
      <c r="X1427" s="6" t="s">
        <v>81</v>
      </c>
      <c r="Y1427" s="21" t="s">
        <v>81</v>
      </c>
      <c r="Z1427" s="6" t="s">
        <v>81</v>
      </c>
      <c r="AA1427" s="6" t="s">
        <v>81</v>
      </c>
      <c r="AB1427" s="6" t="s">
        <v>81</v>
      </c>
      <c r="AC1427" s="6" t="s">
        <v>10886</v>
      </c>
      <c r="AD1427" s="16" t="n">
        <v>44728</v>
      </c>
      <c r="AE1427" s="6" t="s">
        <v>14014</v>
      </c>
      <c r="AF1427" s="6" t="s">
        <v>81</v>
      </c>
      <c r="AG1427" s="6" t="s">
        <v>81</v>
      </c>
      <c r="AH1427" s="6" t="s">
        <v>15996</v>
      </c>
      <c r="AI1427" s="6" t="s">
        <v>81</v>
      </c>
      <c r="AJ1427" s="6" t="s">
        <v>17514</v>
      </c>
      <c r="AK1427" s="6" t="s">
        <v>18404</v>
      </c>
      <c r="AL1427" s="6" t="s">
        <v>18444</v>
      </c>
      <c r="AM1427" s="6" t="s">
        <v>18679</v>
      </c>
      <c r="AN1427" s="6" t="s">
        <v>19684</v>
      </c>
      <c r="AO1427" s="6" t="s">
        <v>19829</v>
      </c>
      <c r="AP1427" s="6" t="s">
        <v>20285</v>
      </c>
      <c r="AQ1427" s="6" t="s">
        <v>81</v>
      </c>
      <c r="AR1427" s="6" t="s">
        <v>17660</v>
      </c>
      <c r="AS1427" s="6" t="s">
        <v>18404</v>
      </c>
      <c r="AT1427" s="6" t="s">
        <v>18444</v>
      </c>
      <c r="AU1427" s="6" t="s">
        <v>18828</v>
      </c>
      <c r="AV1427" s="6" t="s">
        <v>81</v>
      </c>
      <c r="AW1427" s="6" t="s">
        <v>81</v>
      </c>
      <c r="AX1427" s="6" t="s">
        <v>81</v>
      </c>
      <c r="AY1427" s="6" t="s">
        <v>23064</v>
      </c>
      <c r="AZ1427" s="6" t="s">
        <v>81</v>
      </c>
      <c r="BA1427" s="6" t="s">
        <v>81</v>
      </c>
      <c r="BB1427" s="24" t="n">
        <v>96</v>
      </c>
      <c r="BC1427" s="26"/>
      <c r="BD1427" s="26"/>
      <c r="BE1427" s="26"/>
      <c r="BF1427" s="26"/>
      <c r="BG1427" s="26"/>
      <c r="BH1427" s="26"/>
      <c r="BI1427" s="26"/>
      <c r="BJ1427" s="26"/>
      <c r="BK1427" s="26"/>
      <c r="BL1427" s="26"/>
      <c r="BM1427" s="26"/>
      <c r="BN1427" s="26"/>
      <c r="BO1427" s="26"/>
      <c r="BP1427" s="16" t="n">
        <v>45628</v>
      </c>
      <c r="BQ1427" s="28" t="str">
        <f>HYPERLINK("https://organic.ams.usda.gov/Integrity/Certificate.aspx?cid=1&amp;nopid=9092204901")</f>
        <v>https://organic.ams.usda.gov/Integrity/Certificate.aspx?cid=1&amp;nopid=9092204901</v>
      </c>
    </row>
    <row r="1428">
      <c r="A1428" t="s">
        <v>3</v>
      </c>
      <c r="B1428" s="6" t="s">
        <v>7</v>
      </c>
      <c r="C1428" s="6" t="s">
        <v>54</v>
      </c>
      <c r="D1428" s="6" t="s">
        <v>100</v>
      </c>
      <c r="E1428" s="10" t="s">
        <v>1569</v>
      </c>
      <c r="F1428" s="6" t="s">
        <v>4293</v>
      </c>
      <c r="G1428" s="6" t="s">
        <v>81</v>
      </c>
      <c r="H1428" s="6" t="s">
        <v>7200</v>
      </c>
      <c r="I1428" s="6" t="s">
        <v>9135</v>
      </c>
      <c r="J1428" s="6" t="s">
        <v>9906</v>
      </c>
      <c r="K1428" s="6" t="s">
        <v>10886</v>
      </c>
      <c r="L1428" s="16" t="n">
        <v>41529</v>
      </c>
      <c r="M1428" s="16" t="n">
        <v>45716</v>
      </c>
      <c r="N1428" s="6" t="s">
        <v>10886</v>
      </c>
      <c r="O1428" s="16" t="n">
        <v>41529</v>
      </c>
      <c r="P1428" s="6" t="s">
        <v>10910</v>
      </c>
      <c r="Q1428" s="6" t="s">
        <v>81</v>
      </c>
      <c r="R1428" s="6" t="s">
        <v>81</v>
      </c>
      <c r="S1428" s="6" t="s">
        <v>10886</v>
      </c>
      <c r="T1428" s="16" t="n">
        <v>41788</v>
      </c>
      <c r="U1428" s="6" t="s">
        <v>13160</v>
      </c>
      <c r="V1428" s="6" t="s">
        <v>81</v>
      </c>
      <c r="W1428" s="6" t="s">
        <v>81</v>
      </c>
      <c r="X1428" s="6" t="s">
        <v>81</v>
      </c>
      <c r="Y1428" s="21" t="s">
        <v>81</v>
      </c>
      <c r="Z1428" s="6" t="s">
        <v>81</v>
      </c>
      <c r="AA1428" s="6" t="s">
        <v>81</v>
      </c>
      <c r="AB1428" s="6" t="s">
        <v>81</v>
      </c>
      <c r="AC1428" s="6" t="s">
        <v>81</v>
      </c>
      <c r="AD1428" s="21" t="s">
        <v>81</v>
      </c>
      <c r="AE1428" s="6" t="s">
        <v>81</v>
      </c>
      <c r="AF1428" s="6" t="s">
        <v>81</v>
      </c>
      <c r="AG1428" s="6" t="s">
        <v>81</v>
      </c>
      <c r="AH1428" s="6" t="s">
        <v>15997</v>
      </c>
      <c r="AI1428" s="6" t="s">
        <v>81</v>
      </c>
      <c r="AJ1428" s="6" t="s">
        <v>17485</v>
      </c>
      <c r="AK1428" s="6" t="s">
        <v>17712</v>
      </c>
      <c r="AL1428" s="6" t="s">
        <v>18444</v>
      </c>
      <c r="AM1428" s="6" t="s">
        <v>18645</v>
      </c>
      <c r="AN1428" s="6" t="s">
        <v>19642</v>
      </c>
      <c r="AO1428" s="6" t="s">
        <v>19728</v>
      </c>
      <c r="AP1428" s="6" t="s">
        <v>15997</v>
      </c>
      <c r="AQ1428" s="6" t="s">
        <v>81</v>
      </c>
      <c r="AR1428" s="6" t="s">
        <v>17485</v>
      </c>
      <c r="AS1428" s="6" t="s">
        <v>17712</v>
      </c>
      <c r="AT1428" s="6" t="s">
        <v>18444</v>
      </c>
      <c r="AU1428" s="6" t="s">
        <v>18645</v>
      </c>
      <c r="AV1428" s="6" t="s">
        <v>81</v>
      </c>
      <c r="AW1428" s="6" t="s">
        <v>81</v>
      </c>
      <c r="AX1428" s="6" t="s">
        <v>21642</v>
      </c>
      <c r="AY1428" s="6" t="s">
        <v>81</v>
      </c>
      <c r="AZ1428" s="6" t="s">
        <v>81</v>
      </c>
      <c r="BA1428" s="6" t="s">
        <v>81</v>
      </c>
      <c r="BB1428" s="24" t="n">
        <v>238</v>
      </c>
      <c r="BC1428" s="26"/>
      <c r="BD1428" s="26"/>
      <c r="BE1428" s="26"/>
      <c r="BF1428" s="26" t="s">
        <v>23900</v>
      </c>
      <c r="BG1428" s="26"/>
      <c r="BH1428" s="26"/>
      <c r="BI1428" s="26"/>
      <c r="BJ1428" s="26"/>
      <c r="BK1428" s="26"/>
      <c r="BL1428" s="26"/>
      <c r="BM1428" s="26"/>
      <c r="BN1428" s="26"/>
      <c r="BO1428" s="26"/>
      <c r="BP1428" s="16" t="n">
        <v>45728</v>
      </c>
      <c r="BQ1428" s="28" t="str">
        <f>HYPERLINK("https://organic.ams.usda.gov/Integrity/Certificate.aspx?cid=57&amp;nopid=3252013052")</f>
        <v>https://organic.ams.usda.gov/Integrity/Certificate.aspx?cid=57&amp;nopid=3252013052</v>
      </c>
    </row>
    <row r="1429">
      <c r="A1429" t="s">
        <v>3</v>
      </c>
      <c r="B1429" s="6" t="s">
        <v>8</v>
      </c>
      <c r="C1429" s="6" t="s">
        <v>55</v>
      </c>
      <c r="D1429" s="6" t="s">
        <v>101</v>
      </c>
      <c r="E1429" s="10" t="s">
        <v>1570</v>
      </c>
      <c r="F1429" s="6" t="s">
        <v>4294</v>
      </c>
      <c r="G1429" s="6" t="s">
        <v>81</v>
      </c>
      <c r="H1429" s="6" t="s">
        <v>7201</v>
      </c>
      <c r="I1429" s="6" t="s">
        <v>9136</v>
      </c>
      <c r="J1429" s="6" t="s">
        <v>10325</v>
      </c>
      <c r="K1429" s="6" t="s">
        <v>10886</v>
      </c>
      <c r="L1429" s="16" t="n">
        <v>36691</v>
      </c>
      <c r="M1429" s="18" t="s">
        <v>81</v>
      </c>
      <c r="N1429" s="6" t="s">
        <v>10886</v>
      </c>
      <c r="O1429" s="16" t="n">
        <v>36691</v>
      </c>
      <c r="P1429" s="6" t="s">
        <v>11746</v>
      </c>
      <c r="Q1429" s="6" t="s">
        <v>81</v>
      </c>
      <c r="R1429" s="6" t="s">
        <v>81</v>
      </c>
      <c r="S1429" s="6" t="s">
        <v>10886</v>
      </c>
      <c r="T1429" s="16" t="n">
        <v>36691</v>
      </c>
      <c r="U1429" s="6" t="s">
        <v>13622</v>
      </c>
      <c r="V1429" s="6" t="s">
        <v>81</v>
      </c>
      <c r="W1429" s="6" t="s">
        <v>81</v>
      </c>
      <c r="X1429" s="6" t="s">
        <v>81</v>
      </c>
      <c r="Y1429" s="21" t="s">
        <v>81</v>
      </c>
      <c r="Z1429" s="6" t="s">
        <v>81</v>
      </c>
      <c r="AA1429" s="6" t="s">
        <v>81</v>
      </c>
      <c r="AB1429" s="6" t="s">
        <v>81</v>
      </c>
      <c r="AC1429" s="6" t="s">
        <v>81</v>
      </c>
      <c r="AD1429" s="21" t="s">
        <v>81</v>
      </c>
      <c r="AE1429" s="6" t="s">
        <v>81</v>
      </c>
      <c r="AF1429" s="6" t="s">
        <v>81</v>
      </c>
      <c r="AG1429" s="6" t="s">
        <v>81</v>
      </c>
      <c r="AH1429" s="6" t="s">
        <v>15998</v>
      </c>
      <c r="AI1429" s="6" t="s">
        <v>81</v>
      </c>
      <c r="AJ1429" s="6" t="s">
        <v>17312</v>
      </c>
      <c r="AK1429" s="6" t="s">
        <v>18377</v>
      </c>
      <c r="AL1429" s="6" t="s">
        <v>18444</v>
      </c>
      <c r="AM1429" s="6" t="s">
        <v>18464</v>
      </c>
      <c r="AN1429" s="6" t="s">
        <v>19635</v>
      </c>
      <c r="AO1429" s="6" t="s">
        <v>19720</v>
      </c>
      <c r="AP1429" s="6" t="s">
        <v>81</v>
      </c>
      <c r="AQ1429" s="6" t="s">
        <v>81</v>
      </c>
      <c r="AR1429" s="6" t="s">
        <v>81</v>
      </c>
      <c r="AS1429" s="6" t="s">
        <v>81</v>
      </c>
      <c r="AT1429" s="6" t="s">
        <v>81</v>
      </c>
      <c r="AU1429" s="6" t="s">
        <v>81</v>
      </c>
      <c r="AV1429" s="6" t="s">
        <v>81</v>
      </c>
      <c r="AW1429" s="6" t="s">
        <v>81</v>
      </c>
      <c r="AX1429" s="6" t="s">
        <v>81</v>
      </c>
      <c r="AY1429" s="6" t="s">
        <v>81</v>
      </c>
      <c r="AZ1429" s="6" t="s">
        <v>81</v>
      </c>
      <c r="BA1429" s="6" t="s">
        <v>81</v>
      </c>
      <c r="BB1429" s="24" t="n">
        <v>288</v>
      </c>
      <c r="BC1429" s="26"/>
      <c r="BD1429" s="26"/>
      <c r="BE1429" s="26"/>
      <c r="BF1429" s="26"/>
      <c r="BG1429" s="26"/>
      <c r="BH1429" s="26"/>
      <c r="BI1429" s="26"/>
      <c r="BJ1429" s="26"/>
      <c r="BK1429" s="26"/>
      <c r="BL1429" s="26"/>
      <c r="BM1429" s="26"/>
      <c r="BN1429" s="26"/>
      <c r="BO1429" s="26"/>
      <c r="BP1429" s="16" t="n">
        <v>45292</v>
      </c>
      <c r="BQ1429" s="28" t="str">
        <f>HYPERLINK("https://organic.ams.usda.gov/Integrity/Certificate.aspx?cid=45&amp;nopid=9950000420")</f>
        <v>https://organic.ams.usda.gov/Integrity/Certificate.aspx?cid=45&amp;nopid=9950000420</v>
      </c>
    </row>
    <row r="1430">
      <c r="A1430" t="s">
        <v>3</v>
      </c>
      <c r="B1430" s="6" t="s">
        <v>10</v>
      </c>
      <c r="C1430" s="6" t="s">
        <v>57</v>
      </c>
      <c r="D1430" s="6" t="s">
        <v>103</v>
      </c>
      <c r="E1430" s="10" t="s">
        <v>1571</v>
      </c>
      <c r="F1430" s="6" t="s">
        <v>4295</v>
      </c>
      <c r="G1430" s="6" t="s">
        <v>81</v>
      </c>
      <c r="H1430" s="6" t="s">
        <v>7202</v>
      </c>
      <c r="I1430" s="6" t="s">
        <v>9137</v>
      </c>
      <c r="J1430" s="6" t="s">
        <v>10040</v>
      </c>
      <c r="K1430" s="6" t="s">
        <v>10886</v>
      </c>
      <c r="L1430" s="16" t="n">
        <v>43384</v>
      </c>
      <c r="M1430" s="16" t="n">
        <v>45748</v>
      </c>
      <c r="N1430" s="6" t="s">
        <v>10886</v>
      </c>
      <c r="O1430" s="16" t="n">
        <v>43384</v>
      </c>
      <c r="P1430" s="6" t="s">
        <v>11747</v>
      </c>
      <c r="Q1430" s="6" t="s">
        <v>81</v>
      </c>
      <c r="R1430" s="6" t="s">
        <v>12816</v>
      </c>
      <c r="S1430" s="6" t="s">
        <v>10886</v>
      </c>
      <c r="T1430" s="16" t="n">
        <v>43384</v>
      </c>
      <c r="U1430" s="6" t="s">
        <v>13163</v>
      </c>
      <c r="V1430" s="6" t="s">
        <v>81</v>
      </c>
      <c r="W1430" s="6" t="s">
        <v>81</v>
      </c>
      <c r="X1430" s="6" t="s">
        <v>81</v>
      </c>
      <c r="Y1430" s="21" t="s">
        <v>81</v>
      </c>
      <c r="Z1430" s="6" t="s">
        <v>81</v>
      </c>
      <c r="AA1430" s="6" t="s">
        <v>81</v>
      </c>
      <c r="AB1430" s="6" t="s">
        <v>81</v>
      </c>
      <c r="AC1430" s="6" t="s">
        <v>81</v>
      </c>
      <c r="AD1430" s="21" t="s">
        <v>81</v>
      </c>
      <c r="AE1430" s="6" t="s">
        <v>81</v>
      </c>
      <c r="AF1430" s="6" t="s">
        <v>81</v>
      </c>
      <c r="AG1430" s="6" t="s">
        <v>81</v>
      </c>
      <c r="AH1430" s="6" t="s">
        <v>15999</v>
      </c>
      <c r="AI1430" s="6" t="s">
        <v>81</v>
      </c>
      <c r="AJ1430" s="6" t="s">
        <v>17761</v>
      </c>
      <c r="AK1430" s="6" t="s">
        <v>18379</v>
      </c>
      <c r="AL1430" s="6" t="s">
        <v>18444</v>
      </c>
      <c r="AM1430" s="6" t="s">
        <v>18934</v>
      </c>
      <c r="AN1430" s="6" t="s">
        <v>19642</v>
      </c>
      <c r="AO1430" s="6" t="s">
        <v>19799</v>
      </c>
      <c r="AP1430" s="6" t="s">
        <v>15999</v>
      </c>
      <c r="AQ1430" s="6" t="s">
        <v>81</v>
      </c>
      <c r="AR1430" s="6" t="s">
        <v>17761</v>
      </c>
      <c r="AS1430" s="6" t="s">
        <v>18379</v>
      </c>
      <c r="AT1430" s="6" t="s">
        <v>18444</v>
      </c>
      <c r="AU1430" s="6" t="s">
        <v>18934</v>
      </c>
      <c r="AV1430" s="6" t="s">
        <v>81</v>
      </c>
      <c r="AW1430" s="6" t="s">
        <v>81</v>
      </c>
      <c r="AX1430" s="6" t="s">
        <v>21643</v>
      </c>
      <c r="AY1430" s="6" t="s">
        <v>81</v>
      </c>
      <c r="AZ1430" s="6" t="s">
        <v>81</v>
      </c>
      <c r="BA1430" s="6" t="s">
        <v>81</v>
      </c>
      <c r="BB1430" s="24" t="n">
        <v>117</v>
      </c>
      <c r="BC1430" s="26"/>
      <c r="BD1430" s="26"/>
      <c r="BE1430" s="26"/>
      <c r="BF1430" s="26"/>
      <c r="BG1430" s="26"/>
      <c r="BH1430" s="26"/>
      <c r="BI1430" s="26"/>
      <c r="BJ1430" s="26"/>
      <c r="BK1430" s="26"/>
      <c r="BL1430" s="26"/>
      <c r="BM1430" s="26"/>
      <c r="BN1430" s="26"/>
      <c r="BO1430" s="26"/>
      <c r="BP1430" s="16" t="n">
        <v>45730</v>
      </c>
      <c r="BQ1430" s="28" t="str">
        <f>HYPERLINK("https://organic.ams.usda.gov/Integrity/Certificate.aspx?cid=90&amp;nopid=7170220605")</f>
        <v>https://organic.ams.usda.gov/Integrity/Certificate.aspx?cid=90&amp;nopid=7170220605</v>
      </c>
    </row>
    <row r="1431">
      <c r="A1431" t="s">
        <v>3</v>
      </c>
      <c r="B1431" s="6" t="s">
        <v>30</v>
      </c>
      <c r="C1431" s="6" t="s">
        <v>77</v>
      </c>
      <c r="D1431" s="6" t="s">
        <v>123</v>
      </c>
      <c r="E1431" s="10" t="s">
        <v>1572</v>
      </c>
      <c r="F1431" s="6" t="s">
        <v>4296</v>
      </c>
      <c r="G1431" s="6" t="s">
        <v>81</v>
      </c>
      <c r="H1431" s="6" t="s">
        <v>7203</v>
      </c>
      <c r="I1431" s="6" t="s">
        <v>9136</v>
      </c>
      <c r="J1431" s="6" t="s">
        <v>9906</v>
      </c>
      <c r="K1431" s="6" t="s">
        <v>10886</v>
      </c>
      <c r="L1431" s="16" t="n">
        <v>45594</v>
      </c>
      <c r="M1431" s="16" t="n">
        <v>45747</v>
      </c>
      <c r="N1431" s="6" t="s">
        <v>10886</v>
      </c>
      <c r="O1431" s="16" t="n">
        <v>45594</v>
      </c>
      <c r="P1431" s="6" t="s">
        <v>11748</v>
      </c>
      <c r="Q1431" s="6" t="s">
        <v>81</v>
      </c>
      <c r="R1431" s="6" t="s">
        <v>81</v>
      </c>
      <c r="S1431" s="6" t="s">
        <v>10886</v>
      </c>
      <c r="T1431" s="16" t="n">
        <v>45594</v>
      </c>
      <c r="U1431" s="6" t="s">
        <v>13564</v>
      </c>
      <c r="V1431" s="6" t="s">
        <v>81</v>
      </c>
      <c r="W1431" s="6" t="s">
        <v>81</v>
      </c>
      <c r="X1431" s="6" t="s">
        <v>81</v>
      </c>
      <c r="Y1431" s="21" t="s">
        <v>81</v>
      </c>
      <c r="Z1431" s="6" t="s">
        <v>81</v>
      </c>
      <c r="AA1431" s="6" t="s">
        <v>81</v>
      </c>
      <c r="AB1431" s="6" t="s">
        <v>81</v>
      </c>
      <c r="AC1431" s="6" t="s">
        <v>81</v>
      </c>
      <c r="AD1431" s="21" t="s">
        <v>81</v>
      </c>
      <c r="AE1431" s="6" t="s">
        <v>81</v>
      </c>
      <c r="AF1431" s="6" t="s">
        <v>81</v>
      </c>
      <c r="AG1431" s="6" t="s">
        <v>81</v>
      </c>
      <c r="AH1431" s="6" t="s">
        <v>16000</v>
      </c>
      <c r="AI1431" s="6" t="s">
        <v>81</v>
      </c>
      <c r="AJ1431" s="6" t="s">
        <v>17996</v>
      </c>
      <c r="AK1431" s="6" t="s">
        <v>17712</v>
      </c>
      <c r="AL1431" s="6" t="s">
        <v>18444</v>
      </c>
      <c r="AM1431" s="6" t="s">
        <v>19187</v>
      </c>
      <c r="AN1431" s="6" t="s">
        <v>81</v>
      </c>
      <c r="AO1431" s="6" t="s">
        <v>81</v>
      </c>
      <c r="AP1431" s="6" t="s">
        <v>16000</v>
      </c>
      <c r="AQ1431" s="6" t="s">
        <v>81</v>
      </c>
      <c r="AR1431" s="6" t="s">
        <v>17996</v>
      </c>
      <c r="AS1431" s="6" t="s">
        <v>17712</v>
      </c>
      <c r="AT1431" s="6" t="s">
        <v>18444</v>
      </c>
      <c r="AU1431" s="6" t="s">
        <v>19187</v>
      </c>
      <c r="AV1431" s="6" t="s">
        <v>81</v>
      </c>
      <c r="AW1431" s="6" t="s">
        <v>81</v>
      </c>
      <c r="AX1431" s="6" t="s">
        <v>21644</v>
      </c>
      <c r="AY1431" s="6" t="s">
        <v>23065</v>
      </c>
      <c r="AZ1431" s="6" t="s">
        <v>81</v>
      </c>
      <c r="BA1431" s="6" t="s">
        <v>81</v>
      </c>
      <c r="BB1431" s="24" t="n">
        <v>471</v>
      </c>
      <c r="BC1431" s="26"/>
      <c r="BD1431" s="26"/>
      <c r="BE1431" s="26"/>
      <c r="BF1431" s="26"/>
      <c r="BG1431" s="26"/>
      <c r="BH1431" s="26"/>
      <c r="BI1431" s="26"/>
      <c r="BJ1431" s="26"/>
      <c r="BK1431" s="26"/>
      <c r="BL1431" s="26"/>
      <c r="BM1431" s="26"/>
      <c r="BN1431" s="26"/>
      <c r="BO1431" s="26"/>
      <c r="BP1431" s="16" t="n">
        <v>45594</v>
      </c>
      <c r="BQ1431" s="28" t="str">
        <f>HYPERLINK("https://organic.ams.usda.gov/Integrity/Certificate.aspx?cid=70&amp;nopid=6431242170")</f>
        <v>https://organic.ams.usda.gov/Integrity/Certificate.aspx?cid=70&amp;nopid=6431242170</v>
      </c>
    </row>
    <row r="1432">
      <c r="A1432" t="s">
        <v>3</v>
      </c>
      <c r="B1432" s="6" t="s">
        <v>8</v>
      </c>
      <c r="C1432" s="6" t="s">
        <v>55</v>
      </c>
      <c r="D1432" s="6" t="s">
        <v>101</v>
      </c>
      <c r="E1432" s="10" t="s">
        <v>1573</v>
      </c>
      <c r="F1432" s="6" t="s">
        <v>4297</v>
      </c>
      <c r="G1432" s="6" t="s">
        <v>81</v>
      </c>
      <c r="H1432" s="6" t="s">
        <v>7204</v>
      </c>
      <c r="I1432" s="6" t="s">
        <v>9136</v>
      </c>
      <c r="J1432" s="6" t="s">
        <v>9763</v>
      </c>
      <c r="K1432" s="6" t="s">
        <v>10886</v>
      </c>
      <c r="L1432" s="16" t="n">
        <v>43045</v>
      </c>
      <c r="M1432" s="16" t="n">
        <v>45748</v>
      </c>
      <c r="N1432" s="6" t="s">
        <v>10886</v>
      </c>
      <c r="O1432" s="16" t="n">
        <v>43045</v>
      </c>
      <c r="P1432" s="6" t="s">
        <v>11749</v>
      </c>
      <c r="Q1432" s="6" t="s">
        <v>81</v>
      </c>
      <c r="R1432" s="6" t="s">
        <v>7204</v>
      </c>
      <c r="S1432" s="6" t="s">
        <v>10886</v>
      </c>
      <c r="T1432" s="16" t="n">
        <v>43045</v>
      </c>
      <c r="U1432" s="6" t="s">
        <v>13623</v>
      </c>
      <c r="V1432" s="6" t="s">
        <v>81</v>
      </c>
      <c r="W1432" s="6" t="s">
        <v>7204</v>
      </c>
      <c r="X1432" s="6" t="s">
        <v>81</v>
      </c>
      <c r="Y1432" s="21" t="s">
        <v>81</v>
      </c>
      <c r="Z1432" s="6" t="s">
        <v>81</v>
      </c>
      <c r="AA1432" s="6" t="s">
        <v>81</v>
      </c>
      <c r="AB1432" s="6" t="s">
        <v>81</v>
      </c>
      <c r="AC1432" s="6" t="s">
        <v>81</v>
      </c>
      <c r="AD1432" s="21" t="s">
        <v>81</v>
      </c>
      <c r="AE1432" s="6" t="s">
        <v>81</v>
      </c>
      <c r="AF1432" s="6" t="s">
        <v>81</v>
      </c>
      <c r="AG1432" s="6" t="s">
        <v>81</v>
      </c>
      <c r="AH1432" s="6" t="s">
        <v>16001</v>
      </c>
      <c r="AI1432" s="6" t="s">
        <v>81</v>
      </c>
      <c r="AJ1432" s="6" t="s">
        <v>17829</v>
      </c>
      <c r="AK1432" s="6" t="s">
        <v>18377</v>
      </c>
      <c r="AL1432" s="6" t="s">
        <v>18444</v>
      </c>
      <c r="AM1432" s="6" t="s">
        <v>19009</v>
      </c>
      <c r="AN1432" s="6" t="s">
        <v>19646</v>
      </c>
      <c r="AO1432" s="6" t="s">
        <v>19733</v>
      </c>
      <c r="AP1432" s="6" t="s">
        <v>81</v>
      </c>
      <c r="AQ1432" s="6" t="s">
        <v>81</v>
      </c>
      <c r="AR1432" s="6" t="s">
        <v>81</v>
      </c>
      <c r="AS1432" s="6" t="s">
        <v>81</v>
      </c>
      <c r="AT1432" s="6" t="s">
        <v>81</v>
      </c>
      <c r="AU1432" s="6" t="s">
        <v>81</v>
      </c>
      <c r="AV1432" s="6" t="s">
        <v>81</v>
      </c>
      <c r="AW1432" s="6" t="s">
        <v>81</v>
      </c>
      <c r="AX1432" s="6" t="s">
        <v>81</v>
      </c>
      <c r="AY1432" s="6" t="s">
        <v>23066</v>
      </c>
      <c r="AZ1432" s="6" t="s">
        <v>81</v>
      </c>
      <c r="BA1432" s="6" t="s">
        <v>23819</v>
      </c>
      <c r="BB1432" s="24" t="n">
        <v>183</v>
      </c>
      <c r="BC1432" s="26"/>
      <c r="BD1432" s="26"/>
      <c r="BE1432" s="26"/>
      <c r="BF1432" s="26" t="s">
        <v>23900</v>
      </c>
      <c r="BG1432" s="26"/>
      <c r="BH1432" s="26"/>
      <c r="BI1432" s="26"/>
      <c r="BJ1432" s="26"/>
      <c r="BK1432" s="26"/>
      <c r="BL1432" s="26"/>
      <c r="BM1432" s="26"/>
      <c r="BN1432" s="26"/>
      <c r="BO1432" s="26"/>
      <c r="BP1432" s="16" t="n">
        <v>45588</v>
      </c>
      <c r="BQ1432" s="28" t="str">
        <f>HYPERLINK("https://organic.ams.usda.gov/Integrity/Certificate.aspx?cid=45&amp;nopid=9950010508")</f>
        <v>https://organic.ams.usda.gov/Integrity/Certificate.aspx?cid=45&amp;nopid=9950010508</v>
      </c>
    </row>
    <row r="1433">
      <c r="A1433" t="s">
        <v>3</v>
      </c>
      <c r="B1433" s="6" t="s">
        <v>29</v>
      </c>
      <c r="C1433" s="6" t="s">
        <v>76</v>
      </c>
      <c r="D1433" s="6" t="s">
        <v>122</v>
      </c>
      <c r="E1433" s="10" t="s">
        <v>1574</v>
      </c>
      <c r="F1433" s="6" t="s">
        <v>4298</v>
      </c>
      <c r="G1433" s="6" t="s">
        <v>81</v>
      </c>
      <c r="H1433" s="6" t="s">
        <v>7205</v>
      </c>
      <c r="I1433" s="6" t="s">
        <v>9138</v>
      </c>
      <c r="J1433" s="6" t="s">
        <v>10329</v>
      </c>
      <c r="K1433" s="6" t="s">
        <v>10886</v>
      </c>
      <c r="L1433" s="16" t="n">
        <v>37890</v>
      </c>
      <c r="M1433" s="16" t="n">
        <v>45505</v>
      </c>
      <c r="N1433" s="6" t="s">
        <v>10886</v>
      </c>
      <c r="O1433" s="16" t="n">
        <v>37890</v>
      </c>
      <c r="P1433" s="6" t="s">
        <v>11750</v>
      </c>
      <c r="Q1433" s="6" t="s">
        <v>81</v>
      </c>
      <c r="R1433" s="6" t="s">
        <v>12817</v>
      </c>
      <c r="S1433" s="6" t="s">
        <v>10886</v>
      </c>
      <c r="T1433" s="16" t="n">
        <v>37890</v>
      </c>
      <c r="U1433" s="6" t="s">
        <v>13212</v>
      </c>
      <c r="V1433" s="6" t="s">
        <v>81</v>
      </c>
      <c r="W1433" s="6" t="s">
        <v>12817</v>
      </c>
      <c r="X1433" s="6" t="s">
        <v>81</v>
      </c>
      <c r="Y1433" s="21" t="s">
        <v>81</v>
      </c>
      <c r="Z1433" s="6" t="s">
        <v>81</v>
      </c>
      <c r="AA1433" s="6" t="s">
        <v>81</v>
      </c>
      <c r="AB1433" s="6" t="s">
        <v>81</v>
      </c>
      <c r="AC1433" s="6" t="s">
        <v>81</v>
      </c>
      <c r="AD1433" s="21" t="s">
        <v>81</v>
      </c>
      <c r="AE1433" s="6" t="s">
        <v>81</v>
      </c>
      <c r="AF1433" s="6" t="s">
        <v>81</v>
      </c>
      <c r="AG1433" s="6" t="s">
        <v>81</v>
      </c>
      <c r="AH1433" s="6" t="s">
        <v>16002</v>
      </c>
      <c r="AI1433" s="6" t="s">
        <v>81</v>
      </c>
      <c r="AJ1433" s="6" t="s">
        <v>17654</v>
      </c>
      <c r="AK1433" s="6" t="s">
        <v>18380</v>
      </c>
      <c r="AL1433" s="6" t="s">
        <v>18444</v>
      </c>
      <c r="AM1433" s="6" t="s">
        <v>18823</v>
      </c>
      <c r="AN1433" s="6" t="s">
        <v>19683</v>
      </c>
      <c r="AO1433" s="6" t="s">
        <v>19867</v>
      </c>
      <c r="AP1433" s="6" t="s">
        <v>81</v>
      </c>
      <c r="AQ1433" s="6" t="s">
        <v>81</v>
      </c>
      <c r="AR1433" s="6" t="s">
        <v>81</v>
      </c>
      <c r="AS1433" s="6" t="s">
        <v>81</v>
      </c>
      <c r="AT1433" s="6" t="s">
        <v>81</v>
      </c>
      <c r="AU1433" s="6" t="s">
        <v>81</v>
      </c>
      <c r="AV1433" s="6" t="s">
        <v>81</v>
      </c>
      <c r="AW1433" s="6" t="s">
        <v>81</v>
      </c>
      <c r="AX1433" s="6" t="s">
        <v>21645</v>
      </c>
      <c r="AY1433" s="6" t="s">
        <v>23067</v>
      </c>
      <c r="AZ1433" s="6" t="s">
        <v>81</v>
      </c>
      <c r="BA1433" s="6" t="s">
        <v>81</v>
      </c>
      <c r="BB1433" s="24" t="n">
        <v>350</v>
      </c>
      <c r="BC1433" s="26"/>
      <c r="BD1433" s="26"/>
      <c r="BE1433" s="26"/>
      <c r="BF1433" s="26" t="s">
        <v>23900</v>
      </c>
      <c r="BG1433" s="26"/>
      <c r="BH1433" s="26"/>
      <c r="BI1433" s="26"/>
      <c r="BJ1433" s="26"/>
      <c r="BK1433" s="26"/>
      <c r="BL1433" s="26"/>
      <c r="BM1433" s="26"/>
      <c r="BN1433" s="26"/>
      <c r="BO1433" s="26"/>
      <c r="BP1433" s="16" t="n">
        <v>45737</v>
      </c>
      <c r="BQ1433" s="28" t="str">
        <f>HYPERLINK("https://organic.ams.usda.gov/Integrity/Certificate.aspx?cid=31&amp;nopid=3920897311")</f>
        <v>https://organic.ams.usda.gov/Integrity/Certificate.aspx?cid=31&amp;nopid=3920897311</v>
      </c>
    </row>
    <row r="1434">
      <c r="A1434" t="s">
        <v>3</v>
      </c>
      <c r="B1434" s="6" t="s">
        <v>12</v>
      </c>
      <c r="C1434" s="6" t="s">
        <v>59</v>
      </c>
      <c r="D1434" s="6" t="s">
        <v>105</v>
      </c>
      <c r="E1434" s="10" t="s">
        <v>1575</v>
      </c>
      <c r="F1434" s="6" t="s">
        <v>4299</v>
      </c>
      <c r="G1434" s="6" t="s">
        <v>81</v>
      </c>
      <c r="H1434" s="6" t="s">
        <v>7206</v>
      </c>
      <c r="I1434" s="6" t="s">
        <v>8384</v>
      </c>
      <c r="J1434" s="6" t="s">
        <v>10330</v>
      </c>
      <c r="K1434" s="6" t="s">
        <v>10886</v>
      </c>
      <c r="L1434" s="16" t="n">
        <v>42968</v>
      </c>
      <c r="M1434" s="16" t="n">
        <v>45717</v>
      </c>
      <c r="N1434" s="6" t="s">
        <v>10886</v>
      </c>
      <c r="O1434" s="16" t="n">
        <v>42968</v>
      </c>
      <c r="P1434" s="6" t="s">
        <v>11751</v>
      </c>
      <c r="Q1434" s="6" t="s">
        <v>81</v>
      </c>
      <c r="R1434" s="6" t="s">
        <v>81</v>
      </c>
      <c r="S1434" s="6" t="s">
        <v>10886</v>
      </c>
      <c r="T1434" s="16" t="n">
        <v>42968</v>
      </c>
      <c r="U1434" s="6" t="s">
        <v>13624</v>
      </c>
      <c r="V1434" s="6" t="s">
        <v>81</v>
      </c>
      <c r="W1434" s="6" t="s">
        <v>81</v>
      </c>
      <c r="X1434" s="6" t="s">
        <v>81</v>
      </c>
      <c r="Y1434" s="21" t="s">
        <v>81</v>
      </c>
      <c r="Z1434" s="6" t="s">
        <v>81</v>
      </c>
      <c r="AA1434" s="6" t="s">
        <v>81</v>
      </c>
      <c r="AB1434" s="6" t="s">
        <v>81</v>
      </c>
      <c r="AC1434" s="6" t="s">
        <v>10886</v>
      </c>
      <c r="AD1434" s="16" t="n">
        <v>42968</v>
      </c>
      <c r="AE1434" s="6" t="s">
        <v>14263</v>
      </c>
      <c r="AF1434" s="6" t="s">
        <v>81</v>
      </c>
      <c r="AG1434" s="6" t="s">
        <v>81</v>
      </c>
      <c r="AH1434" s="6" t="s">
        <v>16003</v>
      </c>
      <c r="AI1434" s="6" t="s">
        <v>81</v>
      </c>
      <c r="AJ1434" s="6" t="s">
        <v>17997</v>
      </c>
      <c r="AK1434" s="6" t="s">
        <v>18380</v>
      </c>
      <c r="AL1434" s="6" t="s">
        <v>18444</v>
      </c>
      <c r="AM1434" s="6" t="s">
        <v>19188</v>
      </c>
      <c r="AN1434" s="6" t="s">
        <v>19692</v>
      </c>
      <c r="AO1434" s="6" t="s">
        <v>19993</v>
      </c>
      <c r="AP1434" s="6" t="s">
        <v>16003</v>
      </c>
      <c r="AQ1434" s="6" t="s">
        <v>81</v>
      </c>
      <c r="AR1434" s="6" t="s">
        <v>17997</v>
      </c>
      <c r="AS1434" s="6" t="s">
        <v>18380</v>
      </c>
      <c r="AT1434" s="6" t="s">
        <v>18444</v>
      </c>
      <c r="AU1434" s="6" t="s">
        <v>19188</v>
      </c>
      <c r="AV1434" s="6" t="s">
        <v>81</v>
      </c>
      <c r="AW1434" s="6" t="s">
        <v>81</v>
      </c>
      <c r="AX1434" s="6" t="s">
        <v>21646</v>
      </c>
      <c r="AY1434" s="6" t="s">
        <v>23068</v>
      </c>
      <c r="AZ1434" s="6" t="s">
        <v>81</v>
      </c>
      <c r="BA1434" s="6" t="s">
        <v>81</v>
      </c>
      <c r="BB1434" s="24" t="n">
        <v>346</v>
      </c>
      <c r="BC1434" s="26"/>
      <c r="BD1434" s="26"/>
      <c r="BE1434" s="26"/>
      <c r="BF1434" s="26"/>
      <c r="BG1434" s="26"/>
      <c r="BH1434" s="26"/>
      <c r="BI1434" s="26"/>
      <c r="BJ1434" s="26"/>
      <c r="BK1434" s="26"/>
      <c r="BL1434" s="26"/>
      <c r="BM1434" s="26"/>
      <c r="BN1434" s="26"/>
      <c r="BO1434" s="26"/>
      <c r="BP1434" s="16" t="n">
        <v>45684</v>
      </c>
      <c r="BQ1434" s="28" t="str">
        <f>HYPERLINK("https://organic.ams.usda.gov/Integrity/Certificate.aspx?cid=68&amp;nopid=8210004894")</f>
        <v>https://organic.ams.usda.gov/Integrity/Certificate.aspx?cid=68&amp;nopid=8210004894</v>
      </c>
    </row>
    <row r="1435">
      <c r="A1435" t="s">
        <v>3</v>
      </c>
      <c r="B1435" s="6" t="s">
        <v>15</v>
      </c>
      <c r="C1435" s="6" t="s">
        <v>62</v>
      </c>
      <c r="D1435" s="6" t="s">
        <v>108</v>
      </c>
      <c r="E1435" s="10" t="s">
        <v>1576</v>
      </c>
      <c r="F1435" s="6" t="s">
        <v>4300</v>
      </c>
      <c r="G1435" s="6" t="s">
        <v>5723</v>
      </c>
      <c r="H1435" s="6" t="s">
        <v>7207</v>
      </c>
      <c r="I1435" s="6" t="s">
        <v>8384</v>
      </c>
      <c r="J1435" s="6" t="s">
        <v>9665</v>
      </c>
      <c r="K1435" s="6" t="s">
        <v>10886</v>
      </c>
      <c r="L1435" s="16" t="n">
        <v>37550</v>
      </c>
      <c r="M1435" s="16" t="n">
        <v>46157</v>
      </c>
      <c r="N1435" s="6" t="s">
        <v>10886</v>
      </c>
      <c r="O1435" s="16" t="n">
        <v>37550</v>
      </c>
      <c r="P1435" s="6" t="s">
        <v>11752</v>
      </c>
      <c r="Q1435" s="6" t="s">
        <v>81</v>
      </c>
      <c r="R1435" s="6" t="s">
        <v>81</v>
      </c>
      <c r="S1435" s="6" t="s">
        <v>10886</v>
      </c>
      <c r="T1435" s="16" t="n">
        <v>37550</v>
      </c>
      <c r="U1435" s="6" t="s">
        <v>13215</v>
      </c>
      <c r="V1435" s="6" t="s">
        <v>81</v>
      </c>
      <c r="W1435" s="6" t="s">
        <v>81</v>
      </c>
      <c r="X1435" s="6" t="s">
        <v>81</v>
      </c>
      <c r="Y1435" s="21" t="s">
        <v>81</v>
      </c>
      <c r="Z1435" s="6" t="s">
        <v>81</v>
      </c>
      <c r="AA1435" s="6" t="s">
        <v>81</v>
      </c>
      <c r="AB1435" s="6" t="s">
        <v>81</v>
      </c>
      <c r="AC1435" s="6" t="s">
        <v>81</v>
      </c>
      <c r="AD1435" s="21" t="s">
        <v>81</v>
      </c>
      <c r="AE1435" s="6" t="s">
        <v>81</v>
      </c>
      <c r="AF1435" s="6" t="s">
        <v>81</v>
      </c>
      <c r="AG1435" s="6" t="s">
        <v>81</v>
      </c>
      <c r="AH1435" s="6" t="s">
        <v>16004</v>
      </c>
      <c r="AI1435" s="6" t="s">
        <v>81</v>
      </c>
      <c r="AJ1435" s="6" t="s">
        <v>17319</v>
      </c>
      <c r="AK1435" s="6" t="s">
        <v>18378</v>
      </c>
      <c r="AL1435" s="6" t="s">
        <v>18444</v>
      </c>
      <c r="AM1435" s="6" t="s">
        <v>18471</v>
      </c>
      <c r="AN1435" s="6" t="s">
        <v>19640</v>
      </c>
      <c r="AO1435" s="6" t="s">
        <v>19726</v>
      </c>
      <c r="AP1435" s="6" t="s">
        <v>16004</v>
      </c>
      <c r="AQ1435" s="6" t="s">
        <v>81</v>
      </c>
      <c r="AR1435" s="6" t="s">
        <v>17319</v>
      </c>
      <c r="AS1435" s="6" t="s">
        <v>18378</v>
      </c>
      <c r="AT1435" s="6" t="s">
        <v>18444</v>
      </c>
      <c r="AU1435" s="6" t="s">
        <v>18471</v>
      </c>
      <c r="AV1435" s="6" t="s">
        <v>81</v>
      </c>
      <c r="AW1435" s="6" t="s">
        <v>81</v>
      </c>
      <c r="AX1435" s="6" t="s">
        <v>21647</v>
      </c>
      <c r="AY1435" s="6" t="s">
        <v>81</v>
      </c>
      <c r="AZ1435" s="6" t="s">
        <v>81</v>
      </c>
      <c r="BA1435" s="6" t="s">
        <v>81</v>
      </c>
      <c r="BB1435" s="24" t="n">
        <v>146</v>
      </c>
      <c r="BC1435" s="26"/>
      <c r="BD1435" s="26"/>
      <c r="BE1435" s="26"/>
      <c r="BF1435" s="26" t="s">
        <v>23900</v>
      </c>
      <c r="BG1435" s="26"/>
      <c r="BH1435" s="26"/>
      <c r="BI1435" s="26"/>
      <c r="BJ1435" s="26"/>
      <c r="BK1435" s="26"/>
      <c r="BL1435" s="26"/>
      <c r="BM1435" s="26"/>
      <c r="BN1435" s="26"/>
      <c r="BO1435" s="26"/>
      <c r="BP1435" s="16" t="n">
        <v>45737</v>
      </c>
      <c r="BQ1435" s="28" t="str">
        <f>HYPERLINK("https://organic.ams.usda.gov/Integrity/Certificate.aspx?cid=58&amp;nopid=1600000746")</f>
        <v>https://organic.ams.usda.gov/Integrity/Certificate.aspx?cid=58&amp;nopid=1600000746</v>
      </c>
    </row>
    <row r="1436">
      <c r="A1436" t="s">
        <v>3</v>
      </c>
      <c r="B1436" s="6" t="s">
        <v>13</v>
      </c>
      <c r="C1436" s="6" t="s">
        <v>60</v>
      </c>
      <c r="D1436" s="6" t="s">
        <v>106</v>
      </c>
      <c r="E1436" s="10" t="s">
        <v>1577</v>
      </c>
      <c r="F1436" s="6" t="s">
        <v>4301</v>
      </c>
      <c r="G1436" s="6" t="s">
        <v>81</v>
      </c>
      <c r="H1436" s="6" t="s">
        <v>7208</v>
      </c>
      <c r="I1436" s="6" t="s">
        <v>8384</v>
      </c>
      <c r="J1436" s="6" t="s">
        <v>10331</v>
      </c>
      <c r="K1436" s="6" t="s">
        <v>10886</v>
      </c>
      <c r="L1436" s="16" t="n">
        <v>43654</v>
      </c>
      <c r="M1436" s="16" t="n">
        <v>45748</v>
      </c>
      <c r="N1436" s="6" t="s">
        <v>10886</v>
      </c>
      <c r="O1436" s="16" t="n">
        <v>43654</v>
      </c>
      <c r="P1436" s="6" t="s">
        <v>11753</v>
      </c>
      <c r="Q1436" s="6" t="s">
        <v>81</v>
      </c>
      <c r="R1436" s="6" t="s">
        <v>12818</v>
      </c>
      <c r="S1436" s="6" t="s">
        <v>10886</v>
      </c>
      <c r="T1436" s="16" t="n">
        <v>44133</v>
      </c>
      <c r="U1436" s="6" t="s">
        <v>13625</v>
      </c>
      <c r="V1436" s="6" t="s">
        <v>81</v>
      </c>
      <c r="W1436" s="6" t="s">
        <v>12818</v>
      </c>
      <c r="X1436" s="6" t="s">
        <v>81</v>
      </c>
      <c r="Y1436" s="21" t="s">
        <v>81</v>
      </c>
      <c r="Z1436" s="6" t="s">
        <v>81</v>
      </c>
      <c r="AA1436" s="6" t="s">
        <v>81</v>
      </c>
      <c r="AB1436" s="6" t="s">
        <v>81</v>
      </c>
      <c r="AC1436" s="6" t="s">
        <v>81</v>
      </c>
      <c r="AD1436" s="21" t="s">
        <v>81</v>
      </c>
      <c r="AE1436" s="6" t="s">
        <v>81</v>
      </c>
      <c r="AF1436" s="6" t="s">
        <v>81</v>
      </c>
      <c r="AG1436" s="6" t="s">
        <v>81</v>
      </c>
      <c r="AH1436" s="6" t="s">
        <v>16005</v>
      </c>
      <c r="AI1436" s="6" t="s">
        <v>81</v>
      </c>
      <c r="AJ1436" s="6" t="s">
        <v>17403</v>
      </c>
      <c r="AK1436" s="6" t="s">
        <v>18378</v>
      </c>
      <c r="AL1436" s="6" t="s">
        <v>18444</v>
      </c>
      <c r="AM1436" s="6" t="s">
        <v>18559</v>
      </c>
      <c r="AN1436" s="6" t="s">
        <v>6817</v>
      </c>
      <c r="AO1436" s="6" t="s">
        <v>19849</v>
      </c>
      <c r="AP1436" s="6" t="s">
        <v>16005</v>
      </c>
      <c r="AQ1436" s="6" t="s">
        <v>81</v>
      </c>
      <c r="AR1436" s="6" t="s">
        <v>17403</v>
      </c>
      <c r="AS1436" s="6" t="s">
        <v>18378</v>
      </c>
      <c r="AT1436" s="6" t="s">
        <v>18444</v>
      </c>
      <c r="AU1436" s="6" t="s">
        <v>18559</v>
      </c>
      <c r="AV1436" s="6" t="s">
        <v>81</v>
      </c>
      <c r="AW1436" s="6" t="s">
        <v>81</v>
      </c>
      <c r="AX1436" s="6" t="s">
        <v>21648</v>
      </c>
      <c r="AY1436" s="6" t="s">
        <v>23069</v>
      </c>
      <c r="AZ1436" s="6" t="s">
        <v>81</v>
      </c>
      <c r="BA1436" s="6" t="s">
        <v>81</v>
      </c>
      <c r="BB1436" s="24" t="n">
        <v>146</v>
      </c>
      <c r="BC1436" s="26"/>
      <c r="BD1436" s="26"/>
      <c r="BE1436" s="26"/>
      <c r="BF1436" s="26" t="s">
        <v>23900</v>
      </c>
      <c r="BG1436" s="26"/>
      <c r="BH1436" s="26"/>
      <c r="BI1436" s="26"/>
      <c r="BJ1436" s="26"/>
      <c r="BK1436" s="26"/>
      <c r="BL1436" s="26"/>
      <c r="BM1436" s="26"/>
      <c r="BN1436" s="26"/>
      <c r="BO1436" s="26"/>
      <c r="BP1436" s="16" t="n">
        <v>45663</v>
      </c>
      <c r="BQ1436" s="28" t="str">
        <f>HYPERLINK("https://organic.ams.usda.gov/Integrity/Certificate.aspx?cid=72&amp;nopid=5872376139")</f>
        <v>https://organic.ams.usda.gov/Integrity/Certificate.aspx?cid=72&amp;nopid=5872376139</v>
      </c>
    </row>
    <row r="1437">
      <c r="A1437" t="s">
        <v>3</v>
      </c>
      <c r="B1437" s="6" t="s">
        <v>11</v>
      </c>
      <c r="C1437" s="6" t="s">
        <v>58</v>
      </c>
      <c r="D1437" s="6" t="s">
        <v>104</v>
      </c>
      <c r="E1437" s="10" t="s">
        <v>1578</v>
      </c>
      <c r="F1437" s="6" t="s">
        <v>4302</v>
      </c>
      <c r="G1437" s="6" t="s">
        <v>81</v>
      </c>
      <c r="H1437" s="6" t="s">
        <v>81</v>
      </c>
      <c r="I1437" s="6" t="s">
        <v>8384</v>
      </c>
      <c r="J1437" s="6" t="s">
        <v>10303</v>
      </c>
      <c r="K1437" s="6" t="s">
        <v>10886</v>
      </c>
      <c r="L1437" s="16" t="n">
        <v>41123</v>
      </c>
      <c r="M1437" s="16" t="n">
        <v>45383</v>
      </c>
      <c r="N1437" s="6" t="s">
        <v>10886</v>
      </c>
      <c r="O1437" s="16" t="n">
        <v>41123</v>
      </c>
      <c r="P1437" s="6" t="s">
        <v>11754</v>
      </c>
      <c r="Q1437" s="6" t="s">
        <v>81</v>
      </c>
      <c r="R1437" s="6" t="s">
        <v>81</v>
      </c>
      <c r="S1437" s="6" t="s">
        <v>10886</v>
      </c>
      <c r="T1437" s="16" t="n">
        <v>41123</v>
      </c>
      <c r="U1437" s="6" t="s">
        <v>13626</v>
      </c>
      <c r="V1437" s="6" t="s">
        <v>81</v>
      </c>
      <c r="W1437" s="6" t="s">
        <v>81</v>
      </c>
      <c r="X1437" s="6" t="s">
        <v>81</v>
      </c>
      <c r="Y1437" s="21" t="s">
        <v>81</v>
      </c>
      <c r="Z1437" s="6" t="s">
        <v>81</v>
      </c>
      <c r="AA1437" s="6" t="s">
        <v>81</v>
      </c>
      <c r="AB1437" s="6" t="s">
        <v>81</v>
      </c>
      <c r="AC1437" s="6" t="s">
        <v>81</v>
      </c>
      <c r="AD1437" s="21" t="s">
        <v>81</v>
      </c>
      <c r="AE1437" s="6" t="s">
        <v>81</v>
      </c>
      <c r="AF1437" s="6" t="s">
        <v>81</v>
      </c>
      <c r="AG1437" s="6" t="s">
        <v>81</v>
      </c>
      <c r="AH1437" s="6" t="s">
        <v>16006</v>
      </c>
      <c r="AI1437" s="6" t="s">
        <v>81</v>
      </c>
      <c r="AJ1437" s="6" t="s">
        <v>17969</v>
      </c>
      <c r="AK1437" s="6" t="s">
        <v>18381</v>
      </c>
      <c r="AL1437" s="6" t="s">
        <v>18444</v>
      </c>
      <c r="AM1437" s="6" t="s">
        <v>19156</v>
      </c>
      <c r="AN1437" s="6" t="s">
        <v>19658</v>
      </c>
      <c r="AO1437" s="6" t="s">
        <v>19752</v>
      </c>
      <c r="AP1437" s="6" t="s">
        <v>16006</v>
      </c>
      <c r="AQ1437" s="6" t="s">
        <v>81</v>
      </c>
      <c r="AR1437" s="6" t="s">
        <v>17969</v>
      </c>
      <c r="AS1437" s="6" t="s">
        <v>18381</v>
      </c>
      <c r="AT1437" s="6" t="s">
        <v>18444</v>
      </c>
      <c r="AU1437" s="6" t="s">
        <v>19156</v>
      </c>
      <c r="AV1437" s="6" t="s">
        <v>81</v>
      </c>
      <c r="AW1437" s="6" t="s">
        <v>81</v>
      </c>
      <c r="AX1437" s="6" t="s">
        <v>21649</v>
      </c>
      <c r="AY1437" s="6" t="s">
        <v>23070</v>
      </c>
      <c r="AZ1437" s="6" t="s">
        <v>81</v>
      </c>
      <c r="BA1437" s="6" t="s">
        <v>81</v>
      </c>
      <c r="BB1437" s="24" t="n">
        <v>359</v>
      </c>
      <c r="BC1437" s="26"/>
      <c r="BD1437" s="26"/>
      <c r="BE1437" s="26"/>
      <c r="BF1437" s="26"/>
      <c r="BG1437" s="26"/>
      <c r="BH1437" s="26"/>
      <c r="BI1437" s="26"/>
      <c r="BJ1437" s="26"/>
      <c r="BK1437" s="26"/>
      <c r="BL1437" s="26"/>
      <c r="BM1437" s="26"/>
      <c r="BN1437" s="26"/>
      <c r="BO1437" s="26"/>
      <c r="BP1437" s="16" t="n">
        <v>45443</v>
      </c>
      <c r="BQ1437" s="28" t="str">
        <f>HYPERLINK("https://organic.ams.usda.gov/Integrity/Certificate.aspx?cid=46&amp;nopid=3671200005")</f>
        <v>https://organic.ams.usda.gov/Integrity/Certificate.aspx?cid=46&amp;nopid=3671200005</v>
      </c>
    </row>
    <row r="1438">
      <c r="A1438" t="s">
        <v>3</v>
      </c>
      <c r="B1438" s="6" t="s">
        <v>7</v>
      </c>
      <c r="C1438" s="6" t="s">
        <v>54</v>
      </c>
      <c r="D1438" s="6" t="s">
        <v>100</v>
      </c>
      <c r="E1438" s="10" t="s">
        <v>1579</v>
      </c>
      <c r="F1438" s="6" t="s">
        <v>4303</v>
      </c>
      <c r="G1438" s="6" t="s">
        <v>81</v>
      </c>
      <c r="H1438" s="6" t="s">
        <v>7209</v>
      </c>
      <c r="I1438" s="6" t="s">
        <v>8384</v>
      </c>
      <c r="J1438" s="6" t="s">
        <v>10022</v>
      </c>
      <c r="K1438" s="6" t="s">
        <v>10886</v>
      </c>
      <c r="L1438" s="16" t="n">
        <v>43738</v>
      </c>
      <c r="M1438" s="16" t="n">
        <v>45716</v>
      </c>
      <c r="N1438" s="6" t="s">
        <v>10886</v>
      </c>
      <c r="O1438" s="16" t="n">
        <v>43738</v>
      </c>
      <c r="P1438" s="6" t="s">
        <v>11338</v>
      </c>
      <c r="Q1438" s="6" t="s">
        <v>81</v>
      </c>
      <c r="R1438" s="6" t="s">
        <v>81</v>
      </c>
      <c r="S1438" s="6" t="s">
        <v>10886</v>
      </c>
      <c r="T1438" s="16" t="n">
        <v>44036</v>
      </c>
      <c r="U1438" s="6" t="s">
        <v>13169</v>
      </c>
      <c r="V1438" s="6" t="s">
        <v>81</v>
      </c>
      <c r="W1438" s="6" t="s">
        <v>81</v>
      </c>
      <c r="X1438" s="6" t="s">
        <v>81</v>
      </c>
      <c r="Y1438" s="21" t="s">
        <v>81</v>
      </c>
      <c r="Z1438" s="6" t="s">
        <v>81</v>
      </c>
      <c r="AA1438" s="6" t="s">
        <v>81</v>
      </c>
      <c r="AB1438" s="6" t="s">
        <v>81</v>
      </c>
      <c r="AC1438" s="6" t="s">
        <v>81</v>
      </c>
      <c r="AD1438" s="21" t="s">
        <v>81</v>
      </c>
      <c r="AE1438" s="6" t="s">
        <v>81</v>
      </c>
      <c r="AF1438" s="6" t="s">
        <v>81</v>
      </c>
      <c r="AG1438" s="6" t="s">
        <v>81</v>
      </c>
      <c r="AH1438" s="6" t="s">
        <v>16007</v>
      </c>
      <c r="AI1438" s="6" t="s">
        <v>81</v>
      </c>
      <c r="AJ1438" s="6" t="s">
        <v>17998</v>
      </c>
      <c r="AK1438" s="6" t="s">
        <v>17712</v>
      </c>
      <c r="AL1438" s="6" t="s">
        <v>18444</v>
      </c>
      <c r="AM1438" s="6" t="s">
        <v>19189</v>
      </c>
      <c r="AN1438" s="6" t="s">
        <v>19652</v>
      </c>
      <c r="AO1438" s="6" t="s">
        <v>19742</v>
      </c>
      <c r="AP1438" s="6" t="s">
        <v>16007</v>
      </c>
      <c r="AQ1438" s="6" t="s">
        <v>81</v>
      </c>
      <c r="AR1438" s="6" t="s">
        <v>17998</v>
      </c>
      <c r="AS1438" s="6" t="s">
        <v>17712</v>
      </c>
      <c r="AT1438" s="6" t="s">
        <v>18444</v>
      </c>
      <c r="AU1438" s="6" t="s">
        <v>19189</v>
      </c>
      <c r="AV1438" s="6" t="s">
        <v>81</v>
      </c>
      <c r="AW1438" s="6" t="s">
        <v>81</v>
      </c>
      <c r="AX1438" s="6" t="s">
        <v>21650</v>
      </c>
      <c r="AY1438" s="6" t="s">
        <v>81</v>
      </c>
      <c r="AZ1438" s="6" t="s">
        <v>81</v>
      </c>
      <c r="BA1438" s="6" t="s">
        <v>81</v>
      </c>
      <c r="BB1438" s="24" t="n">
        <v>468</v>
      </c>
      <c r="BC1438" s="26"/>
      <c r="BD1438" s="26"/>
      <c r="BE1438" s="26"/>
      <c r="BF1438" s="26" t="s">
        <v>23900</v>
      </c>
      <c r="BG1438" s="26"/>
      <c r="BH1438" s="26"/>
      <c r="BI1438" s="26"/>
      <c r="BJ1438" s="26"/>
      <c r="BK1438" s="26"/>
      <c r="BL1438" s="26"/>
      <c r="BM1438" s="26"/>
      <c r="BN1438" s="26"/>
      <c r="BO1438" s="26"/>
      <c r="BP1438" s="16" t="n">
        <v>45737</v>
      </c>
      <c r="BQ1438" s="28" t="str">
        <f>HYPERLINK("https://organic.ams.usda.gov/Integrity/Certificate.aspx?cid=57&amp;nopid=3252019092")</f>
        <v>https://organic.ams.usda.gov/Integrity/Certificate.aspx?cid=57&amp;nopid=3252019092</v>
      </c>
    </row>
    <row r="1439">
      <c r="A1439" t="s">
        <v>3</v>
      </c>
      <c r="B1439" s="6" t="s">
        <v>12</v>
      </c>
      <c r="C1439" s="6" t="s">
        <v>59</v>
      </c>
      <c r="D1439" s="6" t="s">
        <v>105</v>
      </c>
      <c r="E1439" s="10" t="s">
        <v>1580</v>
      </c>
      <c r="F1439" s="6" t="s">
        <v>4304</v>
      </c>
      <c r="G1439" s="6" t="s">
        <v>81</v>
      </c>
      <c r="H1439" s="6" t="s">
        <v>7210</v>
      </c>
      <c r="I1439" s="6" t="s">
        <v>9139</v>
      </c>
      <c r="J1439" s="6" t="s">
        <v>9665</v>
      </c>
      <c r="K1439" s="6" t="s">
        <v>10886</v>
      </c>
      <c r="L1439" s="16" t="n">
        <v>45015</v>
      </c>
      <c r="M1439" s="16" t="n">
        <v>45717</v>
      </c>
      <c r="N1439" s="6" t="s">
        <v>10886</v>
      </c>
      <c r="O1439" s="16" t="n">
        <v>45015</v>
      </c>
      <c r="P1439" s="6" t="s">
        <v>11031</v>
      </c>
      <c r="Q1439" s="6" t="s">
        <v>81</v>
      </c>
      <c r="R1439" s="6" t="s">
        <v>81</v>
      </c>
      <c r="S1439" s="6" t="s">
        <v>10886</v>
      </c>
      <c r="T1439" s="16" t="n">
        <v>45048</v>
      </c>
      <c r="U1439" s="6" t="s">
        <v>13209</v>
      </c>
      <c r="V1439" s="6" t="s">
        <v>81</v>
      </c>
      <c r="W1439" s="6" t="s">
        <v>81</v>
      </c>
      <c r="X1439" s="6" t="s">
        <v>81</v>
      </c>
      <c r="Y1439" s="21" t="s">
        <v>81</v>
      </c>
      <c r="Z1439" s="6" t="s">
        <v>81</v>
      </c>
      <c r="AA1439" s="6" t="s">
        <v>81</v>
      </c>
      <c r="AB1439" s="6" t="s">
        <v>81</v>
      </c>
      <c r="AC1439" s="6" t="s">
        <v>81</v>
      </c>
      <c r="AD1439" s="21" t="s">
        <v>81</v>
      </c>
      <c r="AE1439" s="6" t="s">
        <v>81</v>
      </c>
      <c r="AF1439" s="6" t="s">
        <v>81</v>
      </c>
      <c r="AG1439" s="6" t="s">
        <v>81</v>
      </c>
      <c r="AH1439" s="6" t="s">
        <v>16008</v>
      </c>
      <c r="AI1439" s="6" t="s">
        <v>81</v>
      </c>
      <c r="AJ1439" s="6" t="s">
        <v>17999</v>
      </c>
      <c r="AK1439" s="6" t="s">
        <v>17759</v>
      </c>
      <c r="AL1439" s="6" t="s">
        <v>18444</v>
      </c>
      <c r="AM1439" s="6" t="s">
        <v>19190</v>
      </c>
      <c r="AN1439" s="6" t="s">
        <v>19693</v>
      </c>
      <c r="AO1439" s="6" t="s">
        <v>19986</v>
      </c>
      <c r="AP1439" s="6" t="s">
        <v>16008</v>
      </c>
      <c r="AQ1439" s="6" t="s">
        <v>81</v>
      </c>
      <c r="AR1439" s="6" t="s">
        <v>17999</v>
      </c>
      <c r="AS1439" s="6" t="s">
        <v>17759</v>
      </c>
      <c r="AT1439" s="6" t="s">
        <v>18444</v>
      </c>
      <c r="AU1439" s="6" t="s">
        <v>19190</v>
      </c>
      <c r="AV1439" s="6" t="s">
        <v>81</v>
      </c>
      <c r="AW1439" s="6" t="s">
        <v>81</v>
      </c>
      <c r="AX1439" s="6" t="s">
        <v>81</v>
      </c>
      <c r="AY1439" s="6" t="s">
        <v>81</v>
      </c>
      <c r="AZ1439" s="6" t="s">
        <v>81</v>
      </c>
      <c r="BA1439" s="6" t="s">
        <v>81</v>
      </c>
      <c r="BB1439" s="24" t="n">
        <v>115</v>
      </c>
      <c r="BC1439" s="26"/>
      <c r="BD1439" s="26"/>
      <c r="BE1439" s="26"/>
      <c r="BF1439" s="26"/>
      <c r="BG1439" s="26"/>
      <c r="BH1439" s="26"/>
      <c r="BI1439" s="26"/>
      <c r="BJ1439" s="26"/>
      <c r="BK1439" s="26"/>
      <c r="BL1439" s="26"/>
      <c r="BM1439" s="26"/>
      <c r="BN1439" s="26"/>
      <c r="BO1439" s="26"/>
      <c r="BP1439" s="16" t="n">
        <v>45684</v>
      </c>
      <c r="BQ1439" s="28" t="str">
        <f>HYPERLINK("https://organic.ams.usda.gov/Integrity/Certificate.aspx?cid=68&amp;nopid=8210008618")</f>
        <v>https://organic.ams.usda.gov/Integrity/Certificate.aspx?cid=68&amp;nopid=8210008618</v>
      </c>
    </row>
    <row r="1440">
      <c r="A1440" t="s">
        <v>3</v>
      </c>
      <c r="B1440" s="6" t="s">
        <v>8</v>
      </c>
      <c r="C1440" s="6" t="s">
        <v>55</v>
      </c>
      <c r="D1440" s="6" t="s">
        <v>101</v>
      </c>
      <c r="E1440" s="10" t="s">
        <v>1581</v>
      </c>
      <c r="F1440" s="6" t="s">
        <v>4305</v>
      </c>
      <c r="G1440" s="6" t="s">
        <v>81</v>
      </c>
      <c r="H1440" s="6" t="s">
        <v>7211</v>
      </c>
      <c r="I1440" s="6" t="s">
        <v>9140</v>
      </c>
      <c r="J1440" s="6" t="s">
        <v>10332</v>
      </c>
      <c r="K1440" s="6" t="s">
        <v>10886</v>
      </c>
      <c r="L1440" s="16" t="n">
        <v>38331</v>
      </c>
      <c r="M1440" s="18" t="s">
        <v>81</v>
      </c>
      <c r="N1440" s="6" t="s">
        <v>10886</v>
      </c>
      <c r="O1440" s="16" t="n">
        <v>38331</v>
      </c>
      <c r="P1440" s="6" t="s">
        <v>11755</v>
      </c>
      <c r="Q1440" s="6" t="s">
        <v>81</v>
      </c>
      <c r="R1440" s="6" t="s">
        <v>81</v>
      </c>
      <c r="S1440" s="6" t="s">
        <v>10886</v>
      </c>
      <c r="T1440" s="16" t="n">
        <v>38331</v>
      </c>
      <c r="U1440" s="6" t="s">
        <v>13229</v>
      </c>
      <c r="V1440" s="6" t="s">
        <v>81</v>
      </c>
      <c r="W1440" s="6" t="s">
        <v>81</v>
      </c>
      <c r="X1440" s="6" t="s">
        <v>81</v>
      </c>
      <c r="Y1440" s="21" t="s">
        <v>81</v>
      </c>
      <c r="Z1440" s="6" t="s">
        <v>81</v>
      </c>
      <c r="AA1440" s="6" t="s">
        <v>81</v>
      </c>
      <c r="AB1440" s="6" t="s">
        <v>81</v>
      </c>
      <c r="AC1440" s="6" t="s">
        <v>81</v>
      </c>
      <c r="AD1440" s="21" t="s">
        <v>81</v>
      </c>
      <c r="AE1440" s="6" t="s">
        <v>81</v>
      </c>
      <c r="AF1440" s="6" t="s">
        <v>81</v>
      </c>
      <c r="AG1440" s="6" t="s">
        <v>81</v>
      </c>
      <c r="AH1440" s="6" t="s">
        <v>16009</v>
      </c>
      <c r="AI1440" s="6" t="s">
        <v>81</v>
      </c>
      <c r="AJ1440" s="6" t="s">
        <v>17461</v>
      </c>
      <c r="AK1440" s="6" t="s">
        <v>18377</v>
      </c>
      <c r="AL1440" s="6" t="s">
        <v>18444</v>
      </c>
      <c r="AM1440" s="6" t="s">
        <v>19191</v>
      </c>
      <c r="AN1440" s="6" t="s">
        <v>19697</v>
      </c>
      <c r="AO1440" s="6" t="s">
        <v>19872</v>
      </c>
      <c r="AP1440" s="6" t="s">
        <v>81</v>
      </c>
      <c r="AQ1440" s="6" t="s">
        <v>81</v>
      </c>
      <c r="AR1440" s="6" t="s">
        <v>81</v>
      </c>
      <c r="AS1440" s="6" t="s">
        <v>81</v>
      </c>
      <c r="AT1440" s="6" t="s">
        <v>81</v>
      </c>
      <c r="AU1440" s="6" t="s">
        <v>81</v>
      </c>
      <c r="AV1440" s="6" t="s">
        <v>81</v>
      </c>
      <c r="AW1440" s="6" t="s">
        <v>81</v>
      </c>
      <c r="AX1440" s="6" t="s">
        <v>81</v>
      </c>
      <c r="AY1440" s="6" t="s">
        <v>81</v>
      </c>
      <c r="AZ1440" s="6" t="s">
        <v>81</v>
      </c>
      <c r="BA1440" s="6" t="s">
        <v>81</v>
      </c>
      <c r="BB1440" s="24" t="n">
        <v>432</v>
      </c>
      <c r="BC1440" s="26"/>
      <c r="BD1440" s="26"/>
      <c r="BE1440" s="26"/>
      <c r="BF1440" s="26"/>
      <c r="BG1440" s="26"/>
      <c r="BH1440" s="26"/>
      <c r="BI1440" s="26"/>
      <c r="BJ1440" s="26"/>
      <c r="BK1440" s="26"/>
      <c r="BL1440" s="26"/>
      <c r="BM1440" s="26"/>
      <c r="BN1440" s="26"/>
      <c r="BO1440" s="26"/>
      <c r="BP1440" s="16" t="n">
        <v>45292</v>
      </c>
      <c r="BQ1440" s="28" t="str">
        <f>HYPERLINK("https://organic.ams.usda.gov/Integrity/Certificate.aspx?cid=45&amp;nopid=9950001601")</f>
        <v>https://organic.ams.usda.gov/Integrity/Certificate.aspx?cid=45&amp;nopid=9950001601</v>
      </c>
    </row>
    <row r="1441">
      <c r="A1441" t="s">
        <v>3</v>
      </c>
      <c r="B1441" s="6" t="s">
        <v>8</v>
      </c>
      <c r="C1441" s="6" t="s">
        <v>55</v>
      </c>
      <c r="D1441" s="6" t="s">
        <v>101</v>
      </c>
      <c r="E1441" s="10" t="s">
        <v>1582</v>
      </c>
      <c r="F1441" s="6" t="s">
        <v>4306</v>
      </c>
      <c r="G1441" s="6" t="s">
        <v>81</v>
      </c>
      <c r="H1441" s="6" t="s">
        <v>7212</v>
      </c>
      <c r="I1441" s="6" t="s">
        <v>8707</v>
      </c>
      <c r="J1441" s="6" t="s">
        <v>10333</v>
      </c>
      <c r="K1441" s="6" t="s">
        <v>10886</v>
      </c>
      <c r="L1441" s="16" t="n">
        <v>36805</v>
      </c>
      <c r="M1441" s="16" t="n">
        <v>45689</v>
      </c>
      <c r="N1441" s="6" t="s">
        <v>10886</v>
      </c>
      <c r="O1441" s="16" t="n">
        <v>36805</v>
      </c>
      <c r="P1441" s="6" t="s">
        <v>11756</v>
      </c>
      <c r="Q1441" s="6" t="s">
        <v>81</v>
      </c>
      <c r="R1441" s="6" t="s">
        <v>7212</v>
      </c>
      <c r="S1441" s="6" t="s">
        <v>10886</v>
      </c>
      <c r="T1441" s="16" t="n">
        <v>36805</v>
      </c>
      <c r="U1441" s="6" t="s">
        <v>13627</v>
      </c>
      <c r="V1441" s="6" t="s">
        <v>81</v>
      </c>
      <c r="W1441" s="6" t="s">
        <v>7212</v>
      </c>
      <c r="X1441" s="6" t="s">
        <v>81</v>
      </c>
      <c r="Y1441" s="21" t="s">
        <v>81</v>
      </c>
      <c r="Z1441" s="6" t="s">
        <v>81</v>
      </c>
      <c r="AA1441" s="6" t="s">
        <v>81</v>
      </c>
      <c r="AB1441" s="6" t="s">
        <v>81</v>
      </c>
      <c r="AC1441" s="6" t="s">
        <v>81</v>
      </c>
      <c r="AD1441" s="21" t="s">
        <v>81</v>
      </c>
      <c r="AE1441" s="6" t="s">
        <v>81</v>
      </c>
      <c r="AF1441" s="6" t="s">
        <v>81</v>
      </c>
      <c r="AG1441" s="6" t="s">
        <v>81</v>
      </c>
      <c r="AH1441" s="6" t="s">
        <v>16010</v>
      </c>
      <c r="AI1441" s="6" t="s">
        <v>81</v>
      </c>
      <c r="AJ1441" s="6" t="s">
        <v>18000</v>
      </c>
      <c r="AK1441" s="6" t="s">
        <v>18377</v>
      </c>
      <c r="AL1441" s="6" t="s">
        <v>18444</v>
      </c>
      <c r="AM1441" s="6" t="s">
        <v>19192</v>
      </c>
      <c r="AN1441" s="6" t="s">
        <v>19660</v>
      </c>
      <c r="AO1441" s="6" t="s">
        <v>19804</v>
      </c>
      <c r="AP1441" s="6" t="s">
        <v>81</v>
      </c>
      <c r="AQ1441" s="6" t="s">
        <v>81</v>
      </c>
      <c r="AR1441" s="6" t="s">
        <v>81</v>
      </c>
      <c r="AS1441" s="6" t="s">
        <v>81</v>
      </c>
      <c r="AT1441" s="6" t="s">
        <v>81</v>
      </c>
      <c r="AU1441" s="6" t="s">
        <v>81</v>
      </c>
      <c r="AV1441" s="6" t="s">
        <v>81</v>
      </c>
      <c r="AW1441" s="6" t="s">
        <v>81</v>
      </c>
      <c r="AX1441" s="6" t="s">
        <v>81</v>
      </c>
      <c r="AY1441" s="6" t="s">
        <v>23071</v>
      </c>
      <c r="AZ1441" s="6" t="s">
        <v>81</v>
      </c>
      <c r="BA1441" s="6" t="s">
        <v>23824</v>
      </c>
      <c r="BB1441" s="24" t="n">
        <v>202</v>
      </c>
      <c r="BC1441" s="26"/>
      <c r="BD1441" s="26"/>
      <c r="BE1441" s="26"/>
      <c r="BF1441" s="26"/>
      <c r="BG1441" s="26"/>
      <c r="BH1441" s="26"/>
      <c r="BI1441" s="26"/>
      <c r="BJ1441" s="26"/>
      <c r="BK1441" s="26"/>
      <c r="BL1441" s="26"/>
      <c r="BM1441" s="26"/>
      <c r="BN1441" s="26"/>
      <c r="BO1441" s="26"/>
      <c r="BP1441" s="16" t="n">
        <v>45681</v>
      </c>
      <c r="BQ1441" s="28" t="str">
        <f>HYPERLINK("https://organic.ams.usda.gov/Integrity/Certificate.aspx?cid=45&amp;nopid=9950000229")</f>
        <v>https://organic.ams.usda.gov/Integrity/Certificate.aspx?cid=45&amp;nopid=9950000229</v>
      </c>
    </row>
    <row r="1442">
      <c r="A1442" t="s">
        <v>3</v>
      </c>
      <c r="B1442" s="6" t="s">
        <v>15</v>
      </c>
      <c r="C1442" s="6" t="s">
        <v>62</v>
      </c>
      <c r="D1442" s="6" t="s">
        <v>108</v>
      </c>
      <c r="E1442" s="10" t="s">
        <v>1583</v>
      </c>
      <c r="F1442" s="6" t="s">
        <v>4307</v>
      </c>
      <c r="G1442" s="6" t="s">
        <v>5724</v>
      </c>
      <c r="H1442" s="6" t="s">
        <v>7213</v>
      </c>
      <c r="I1442" s="6" t="s">
        <v>8562</v>
      </c>
      <c r="J1442" s="6" t="s">
        <v>10334</v>
      </c>
      <c r="K1442" s="6" t="s">
        <v>10886</v>
      </c>
      <c r="L1442" s="16" t="n">
        <v>39073</v>
      </c>
      <c r="M1442" s="16" t="n">
        <v>45747</v>
      </c>
      <c r="N1442" s="6" t="s">
        <v>81</v>
      </c>
      <c r="O1442" s="21" t="s">
        <v>81</v>
      </c>
      <c r="P1442" s="6" t="s">
        <v>81</v>
      </c>
      <c r="Q1442" s="6" t="s">
        <v>81</v>
      </c>
      <c r="R1442" s="6" t="s">
        <v>81</v>
      </c>
      <c r="S1442" s="6" t="s">
        <v>81</v>
      </c>
      <c r="T1442" s="21" t="s">
        <v>81</v>
      </c>
      <c r="U1442" s="6" t="s">
        <v>81</v>
      </c>
      <c r="V1442" s="6" t="s">
        <v>81</v>
      </c>
      <c r="W1442" s="6" t="s">
        <v>81</v>
      </c>
      <c r="X1442" s="6" t="s">
        <v>81</v>
      </c>
      <c r="Y1442" s="21" t="s">
        <v>81</v>
      </c>
      <c r="Z1442" s="6" t="s">
        <v>81</v>
      </c>
      <c r="AA1442" s="6" t="s">
        <v>81</v>
      </c>
      <c r="AB1442" s="6" t="s">
        <v>81</v>
      </c>
      <c r="AC1442" s="6" t="s">
        <v>10886</v>
      </c>
      <c r="AD1442" s="16" t="n">
        <v>39073</v>
      </c>
      <c r="AE1442" s="6" t="s">
        <v>14264</v>
      </c>
      <c r="AF1442" s="6" t="s">
        <v>81</v>
      </c>
      <c r="AG1442" s="6" t="s">
        <v>81</v>
      </c>
      <c r="AH1442" s="6" t="s">
        <v>16011</v>
      </c>
      <c r="AI1442" s="6" t="s">
        <v>81</v>
      </c>
      <c r="AJ1442" s="6" t="s">
        <v>17926</v>
      </c>
      <c r="AK1442" s="6" t="s">
        <v>18380</v>
      </c>
      <c r="AL1442" s="6" t="s">
        <v>18444</v>
      </c>
      <c r="AM1442" s="6" t="s">
        <v>19169</v>
      </c>
      <c r="AN1442" s="6" t="s">
        <v>19639</v>
      </c>
      <c r="AO1442" s="6" t="s">
        <v>19725</v>
      </c>
      <c r="AP1442" s="6" t="s">
        <v>16011</v>
      </c>
      <c r="AQ1442" s="6" t="s">
        <v>81</v>
      </c>
      <c r="AR1442" s="6" t="s">
        <v>17926</v>
      </c>
      <c r="AS1442" s="6" t="s">
        <v>18380</v>
      </c>
      <c r="AT1442" s="6" t="s">
        <v>18444</v>
      </c>
      <c r="AU1442" s="6" t="s">
        <v>19169</v>
      </c>
      <c r="AV1442" s="6" t="s">
        <v>81</v>
      </c>
      <c r="AW1442" s="6" t="s">
        <v>81</v>
      </c>
      <c r="AX1442" s="6" t="s">
        <v>21651</v>
      </c>
      <c r="AY1442" s="6" t="s">
        <v>23072</v>
      </c>
      <c r="AZ1442" s="6" t="s">
        <v>81</v>
      </c>
      <c r="BA1442" s="6" t="s">
        <v>81</v>
      </c>
      <c r="BB1442" s="6" t="s">
        <v>81</v>
      </c>
      <c r="BC1442" s="26"/>
      <c r="BD1442" s="26"/>
      <c r="BE1442" s="26"/>
      <c r="BF1442" s="26"/>
      <c r="BG1442" s="26"/>
      <c r="BH1442" s="26"/>
      <c r="BI1442" s="26"/>
      <c r="BJ1442" s="26"/>
      <c r="BK1442" s="26"/>
      <c r="BL1442" s="26"/>
      <c r="BM1442" s="26"/>
      <c r="BN1442" s="26"/>
      <c r="BO1442" s="26"/>
      <c r="BP1442" s="16" t="n">
        <v>45737</v>
      </c>
      <c r="BQ1442" s="28" t="str">
        <f>HYPERLINK("https://organic.ams.usda.gov/Integrity/Certificate.aspx?cid=58&amp;nopid=1600001157")</f>
        <v>https://organic.ams.usda.gov/Integrity/Certificate.aspx?cid=58&amp;nopid=1600001157</v>
      </c>
    </row>
    <row r="1443">
      <c r="A1443" t="s">
        <v>3</v>
      </c>
      <c r="B1443" s="6" t="s">
        <v>12</v>
      </c>
      <c r="C1443" s="6" t="s">
        <v>59</v>
      </c>
      <c r="D1443" s="6" t="s">
        <v>105</v>
      </c>
      <c r="E1443" s="10" t="s">
        <v>1584</v>
      </c>
      <c r="F1443" s="6" t="s">
        <v>4308</v>
      </c>
      <c r="G1443" s="6" t="s">
        <v>81</v>
      </c>
      <c r="H1443" s="6" t="s">
        <v>7214</v>
      </c>
      <c r="I1443" s="6" t="s">
        <v>9141</v>
      </c>
      <c r="J1443" s="6" t="s">
        <v>10335</v>
      </c>
      <c r="K1443" s="6" t="s">
        <v>10886</v>
      </c>
      <c r="L1443" s="16" t="n">
        <v>39329</v>
      </c>
      <c r="M1443" s="16" t="n">
        <v>45717</v>
      </c>
      <c r="N1443" s="6" t="s">
        <v>10886</v>
      </c>
      <c r="O1443" s="16" t="n">
        <v>39329</v>
      </c>
      <c r="P1443" s="6" t="s">
        <v>10910</v>
      </c>
      <c r="Q1443" s="6" t="s">
        <v>81</v>
      </c>
      <c r="R1443" s="6" t="s">
        <v>81</v>
      </c>
      <c r="S1443" s="6" t="s">
        <v>10886</v>
      </c>
      <c r="T1443" s="16" t="n">
        <v>39329</v>
      </c>
      <c r="U1443" s="6" t="s">
        <v>13183</v>
      </c>
      <c r="V1443" s="6" t="s">
        <v>81</v>
      </c>
      <c r="W1443" s="6" t="s">
        <v>81</v>
      </c>
      <c r="X1443" s="6" t="s">
        <v>81</v>
      </c>
      <c r="Y1443" s="21" t="s">
        <v>81</v>
      </c>
      <c r="Z1443" s="6" t="s">
        <v>81</v>
      </c>
      <c r="AA1443" s="6" t="s">
        <v>81</v>
      </c>
      <c r="AB1443" s="6" t="s">
        <v>81</v>
      </c>
      <c r="AC1443" s="6" t="s">
        <v>81</v>
      </c>
      <c r="AD1443" s="21" t="s">
        <v>81</v>
      </c>
      <c r="AE1443" s="6" t="s">
        <v>81</v>
      </c>
      <c r="AF1443" s="6" t="s">
        <v>81</v>
      </c>
      <c r="AG1443" s="6" t="s">
        <v>81</v>
      </c>
      <c r="AH1443" s="6" t="s">
        <v>16012</v>
      </c>
      <c r="AI1443" s="6" t="s">
        <v>81</v>
      </c>
      <c r="AJ1443" s="6" t="s">
        <v>18001</v>
      </c>
      <c r="AK1443" s="6" t="s">
        <v>18380</v>
      </c>
      <c r="AL1443" s="6" t="s">
        <v>18444</v>
      </c>
      <c r="AM1443" s="6" t="s">
        <v>19193</v>
      </c>
      <c r="AN1443" s="6" t="s">
        <v>19686</v>
      </c>
      <c r="AO1443" s="6" t="s">
        <v>19817</v>
      </c>
      <c r="AP1443" s="6" t="s">
        <v>16012</v>
      </c>
      <c r="AQ1443" s="6" t="s">
        <v>81</v>
      </c>
      <c r="AR1443" s="6" t="s">
        <v>18001</v>
      </c>
      <c r="AS1443" s="6" t="s">
        <v>18380</v>
      </c>
      <c r="AT1443" s="6" t="s">
        <v>18444</v>
      </c>
      <c r="AU1443" s="6" t="s">
        <v>19193</v>
      </c>
      <c r="AV1443" s="6" t="s">
        <v>81</v>
      </c>
      <c r="AW1443" s="6" t="s">
        <v>81</v>
      </c>
      <c r="AX1443" s="6" t="s">
        <v>81</v>
      </c>
      <c r="AY1443" s="6" t="s">
        <v>23073</v>
      </c>
      <c r="AZ1443" s="6" t="s">
        <v>23696</v>
      </c>
      <c r="BA1443" s="6" t="s">
        <v>81</v>
      </c>
      <c r="BB1443" s="24" t="n">
        <v>262</v>
      </c>
      <c r="BC1443" s="26"/>
      <c r="BD1443" s="26"/>
      <c r="BE1443" s="26"/>
      <c r="BF1443" s="26"/>
      <c r="BG1443" s="26"/>
      <c r="BH1443" s="26"/>
      <c r="BI1443" s="26"/>
      <c r="BJ1443" s="26"/>
      <c r="BK1443" s="26"/>
      <c r="BL1443" s="26"/>
      <c r="BM1443" s="26"/>
      <c r="BN1443" s="26"/>
      <c r="BO1443" s="26"/>
      <c r="BP1443" s="16" t="n">
        <v>45684</v>
      </c>
      <c r="BQ1443" s="28" t="str">
        <f>HYPERLINK("https://organic.ams.usda.gov/Integrity/Certificate.aspx?cid=68&amp;nopid=8210001371")</f>
        <v>https://organic.ams.usda.gov/Integrity/Certificate.aspx?cid=68&amp;nopid=8210001371</v>
      </c>
    </row>
    <row r="1444">
      <c r="A1444" t="s">
        <v>3</v>
      </c>
      <c r="B1444" s="6" t="s">
        <v>16</v>
      </c>
      <c r="C1444" s="6" t="s">
        <v>63</v>
      </c>
      <c r="D1444" s="6" t="s">
        <v>109</v>
      </c>
      <c r="E1444" s="10" t="s">
        <v>1585</v>
      </c>
      <c r="F1444" s="6" t="s">
        <v>4309</v>
      </c>
      <c r="G1444" s="6" t="s">
        <v>5725</v>
      </c>
      <c r="H1444" s="6" t="s">
        <v>7215</v>
      </c>
      <c r="I1444" s="6" t="s">
        <v>8961</v>
      </c>
      <c r="J1444" s="6" t="s">
        <v>10336</v>
      </c>
      <c r="K1444" s="6" t="s">
        <v>10886</v>
      </c>
      <c r="L1444" s="16" t="n">
        <v>41065</v>
      </c>
      <c r="M1444" s="16" t="n">
        <v>45731</v>
      </c>
      <c r="N1444" s="6" t="s">
        <v>10886</v>
      </c>
      <c r="O1444" s="16" t="n">
        <v>41065</v>
      </c>
      <c r="P1444" s="6" t="s">
        <v>11757</v>
      </c>
      <c r="Q1444" s="6" t="s">
        <v>81</v>
      </c>
      <c r="R1444" s="6" t="s">
        <v>81</v>
      </c>
      <c r="S1444" s="6" t="s">
        <v>10886</v>
      </c>
      <c r="T1444" s="16" t="n">
        <v>41065</v>
      </c>
      <c r="U1444" s="6" t="s">
        <v>13628</v>
      </c>
      <c r="V1444" s="6" t="s">
        <v>81</v>
      </c>
      <c r="W1444" s="6" t="s">
        <v>81</v>
      </c>
      <c r="X1444" s="6" t="s">
        <v>81</v>
      </c>
      <c r="Y1444" s="21" t="s">
        <v>81</v>
      </c>
      <c r="Z1444" s="6" t="s">
        <v>81</v>
      </c>
      <c r="AA1444" s="6" t="s">
        <v>81</v>
      </c>
      <c r="AB1444" s="6" t="s">
        <v>81</v>
      </c>
      <c r="AC1444" s="6" t="s">
        <v>10886</v>
      </c>
      <c r="AD1444" s="16" t="n">
        <v>41065</v>
      </c>
      <c r="AE1444" s="6" t="s">
        <v>14265</v>
      </c>
      <c r="AF1444" s="6" t="s">
        <v>81</v>
      </c>
      <c r="AG1444" s="6" t="s">
        <v>81</v>
      </c>
      <c r="AH1444" s="6" t="s">
        <v>16013</v>
      </c>
      <c r="AI1444" s="6" t="s">
        <v>81</v>
      </c>
      <c r="AJ1444" s="6" t="s">
        <v>18002</v>
      </c>
      <c r="AK1444" s="6" t="s">
        <v>18383</v>
      </c>
      <c r="AL1444" s="6" t="s">
        <v>18444</v>
      </c>
      <c r="AM1444" s="6" t="s">
        <v>19194</v>
      </c>
      <c r="AN1444" s="6" t="s">
        <v>19648</v>
      </c>
      <c r="AO1444" s="6" t="s">
        <v>19952</v>
      </c>
      <c r="AP1444" s="6" t="s">
        <v>20286</v>
      </c>
      <c r="AQ1444" s="6" t="s">
        <v>81</v>
      </c>
      <c r="AR1444" s="6" t="s">
        <v>20541</v>
      </c>
      <c r="AS1444" s="6" t="s">
        <v>18383</v>
      </c>
      <c r="AT1444" s="6" t="s">
        <v>18444</v>
      </c>
      <c r="AU1444" s="6" t="s">
        <v>19408</v>
      </c>
      <c r="AV1444" s="6" t="s">
        <v>81</v>
      </c>
      <c r="AW1444" s="6" t="s">
        <v>81</v>
      </c>
      <c r="AX1444" s="6" t="s">
        <v>21652</v>
      </c>
      <c r="AY1444" s="6" t="s">
        <v>81</v>
      </c>
      <c r="AZ1444" s="6" t="s">
        <v>23697</v>
      </c>
      <c r="BA1444" s="6" t="s">
        <v>81</v>
      </c>
      <c r="BB1444" s="24" t="n">
        <v>218</v>
      </c>
      <c r="BC1444" s="26"/>
      <c r="BD1444" s="26"/>
      <c r="BE1444" s="26"/>
      <c r="BF1444" s="26"/>
      <c r="BG1444" s="26"/>
      <c r="BH1444" s="26"/>
      <c r="BI1444" s="26"/>
      <c r="BJ1444" s="26"/>
      <c r="BK1444" s="26"/>
      <c r="BL1444" s="26"/>
      <c r="BM1444" s="26"/>
      <c r="BN1444" s="26"/>
      <c r="BO1444" s="26"/>
      <c r="BP1444" s="16" t="n">
        <v>45701</v>
      </c>
      <c r="BQ1444" s="28" t="str">
        <f>HYPERLINK("https://organic.ams.usda.gov/Integrity/Certificate.aspx?cid=81&amp;nopid=4210012023")</f>
        <v>https://organic.ams.usda.gov/Integrity/Certificate.aspx?cid=81&amp;nopid=4210012023</v>
      </c>
    </row>
    <row r="1445">
      <c r="A1445" t="s">
        <v>3</v>
      </c>
      <c r="B1445" s="6" t="s">
        <v>7</v>
      </c>
      <c r="C1445" s="6" t="s">
        <v>54</v>
      </c>
      <c r="D1445" s="6" t="s">
        <v>100</v>
      </c>
      <c r="E1445" s="10" t="s">
        <v>1586</v>
      </c>
      <c r="F1445" s="6" t="s">
        <v>4310</v>
      </c>
      <c r="G1445" s="6" t="s">
        <v>81</v>
      </c>
      <c r="H1445" s="6" t="s">
        <v>7216</v>
      </c>
      <c r="I1445" s="6" t="s">
        <v>8383</v>
      </c>
      <c r="J1445" s="6" t="s">
        <v>9662</v>
      </c>
      <c r="K1445" s="6" t="s">
        <v>10886</v>
      </c>
      <c r="L1445" s="16" t="n">
        <v>39071</v>
      </c>
      <c r="M1445" s="16" t="n">
        <v>45716</v>
      </c>
      <c r="N1445" s="6" t="s">
        <v>10886</v>
      </c>
      <c r="O1445" s="16" t="n">
        <v>39071</v>
      </c>
      <c r="P1445" s="6" t="s">
        <v>11758</v>
      </c>
      <c r="Q1445" s="6" t="s">
        <v>81</v>
      </c>
      <c r="R1445" s="6" t="s">
        <v>81</v>
      </c>
      <c r="S1445" s="6" t="s">
        <v>10886</v>
      </c>
      <c r="T1445" s="16" t="n">
        <v>39071</v>
      </c>
      <c r="U1445" s="6" t="s">
        <v>13309</v>
      </c>
      <c r="V1445" s="6" t="s">
        <v>81</v>
      </c>
      <c r="W1445" s="6" t="s">
        <v>81</v>
      </c>
      <c r="X1445" s="6" t="s">
        <v>81</v>
      </c>
      <c r="Y1445" s="21" t="s">
        <v>81</v>
      </c>
      <c r="Z1445" s="6" t="s">
        <v>81</v>
      </c>
      <c r="AA1445" s="6" t="s">
        <v>81</v>
      </c>
      <c r="AB1445" s="6" t="s">
        <v>81</v>
      </c>
      <c r="AC1445" s="6" t="s">
        <v>10886</v>
      </c>
      <c r="AD1445" s="16" t="n">
        <v>39071</v>
      </c>
      <c r="AE1445" s="6" t="s">
        <v>14266</v>
      </c>
      <c r="AF1445" s="6" t="s">
        <v>81</v>
      </c>
      <c r="AG1445" s="6" t="s">
        <v>81</v>
      </c>
      <c r="AH1445" s="6" t="s">
        <v>16014</v>
      </c>
      <c r="AI1445" s="6" t="s">
        <v>81</v>
      </c>
      <c r="AJ1445" s="6" t="s">
        <v>17311</v>
      </c>
      <c r="AK1445" s="6" t="s">
        <v>17712</v>
      </c>
      <c r="AL1445" s="6" t="s">
        <v>18444</v>
      </c>
      <c r="AM1445" s="6" t="s">
        <v>18463</v>
      </c>
      <c r="AN1445" s="6" t="s">
        <v>19634</v>
      </c>
      <c r="AO1445" s="6" t="s">
        <v>19719</v>
      </c>
      <c r="AP1445" s="6" t="s">
        <v>16014</v>
      </c>
      <c r="AQ1445" s="6" t="s">
        <v>81</v>
      </c>
      <c r="AR1445" s="6" t="s">
        <v>17311</v>
      </c>
      <c r="AS1445" s="6" t="s">
        <v>17712</v>
      </c>
      <c r="AT1445" s="6" t="s">
        <v>18444</v>
      </c>
      <c r="AU1445" s="6" t="s">
        <v>18463</v>
      </c>
      <c r="AV1445" s="6" t="s">
        <v>81</v>
      </c>
      <c r="AW1445" s="6" t="s">
        <v>81</v>
      </c>
      <c r="AX1445" s="6" t="s">
        <v>20743</v>
      </c>
      <c r="AY1445" s="6" t="s">
        <v>23074</v>
      </c>
      <c r="AZ1445" s="6" t="s">
        <v>81</v>
      </c>
      <c r="BA1445" s="6" t="s">
        <v>81</v>
      </c>
      <c r="BB1445" s="24" t="n">
        <v>601</v>
      </c>
      <c r="BC1445" s="26"/>
      <c r="BD1445" s="26"/>
      <c r="BE1445" s="26"/>
      <c r="BF1445" s="26"/>
      <c r="BG1445" s="26"/>
      <c r="BH1445" s="26"/>
      <c r="BI1445" s="26"/>
      <c r="BJ1445" s="26"/>
      <c r="BK1445" s="26"/>
      <c r="BL1445" s="26"/>
      <c r="BM1445" s="26"/>
      <c r="BN1445" s="26"/>
      <c r="BO1445" s="26"/>
      <c r="BP1445" s="16" t="n">
        <v>45623</v>
      </c>
      <c r="BQ1445" s="28" t="str">
        <f>HYPERLINK("https://organic.ams.usda.gov/Integrity/Certificate.aspx?cid=57&amp;nopid=3250200634")</f>
        <v>https://organic.ams.usda.gov/Integrity/Certificate.aspx?cid=57&amp;nopid=3250200634</v>
      </c>
    </row>
    <row r="1446">
      <c r="A1446" t="s">
        <v>3</v>
      </c>
      <c r="B1446" s="6" t="s">
        <v>8</v>
      </c>
      <c r="C1446" s="6" t="s">
        <v>55</v>
      </c>
      <c r="D1446" s="6" t="s">
        <v>101</v>
      </c>
      <c r="E1446" s="10" t="s">
        <v>1587</v>
      </c>
      <c r="F1446" s="6" t="s">
        <v>4311</v>
      </c>
      <c r="G1446" s="6" t="s">
        <v>5726</v>
      </c>
      <c r="H1446" s="6" t="s">
        <v>7217</v>
      </c>
      <c r="I1446" s="6" t="s">
        <v>8586</v>
      </c>
      <c r="J1446" s="6" t="s">
        <v>10337</v>
      </c>
      <c r="K1446" s="6" t="s">
        <v>10886</v>
      </c>
      <c r="L1446" s="16" t="n">
        <v>42935</v>
      </c>
      <c r="M1446" s="18" t="s">
        <v>81</v>
      </c>
      <c r="N1446" s="6" t="s">
        <v>10886</v>
      </c>
      <c r="O1446" s="16" t="n">
        <v>42935</v>
      </c>
      <c r="P1446" s="6" t="s">
        <v>11759</v>
      </c>
      <c r="Q1446" s="6" t="s">
        <v>81</v>
      </c>
      <c r="R1446" s="6" t="s">
        <v>81</v>
      </c>
      <c r="S1446" s="6" t="s">
        <v>10886</v>
      </c>
      <c r="T1446" s="16" t="n">
        <v>42935</v>
      </c>
      <c r="U1446" s="6" t="s">
        <v>13629</v>
      </c>
      <c r="V1446" s="6" t="s">
        <v>81</v>
      </c>
      <c r="W1446" s="6" t="s">
        <v>81</v>
      </c>
      <c r="X1446" s="6" t="s">
        <v>81</v>
      </c>
      <c r="Y1446" s="21" t="s">
        <v>81</v>
      </c>
      <c r="Z1446" s="6" t="s">
        <v>81</v>
      </c>
      <c r="AA1446" s="6" t="s">
        <v>81</v>
      </c>
      <c r="AB1446" s="6" t="s">
        <v>81</v>
      </c>
      <c r="AC1446" s="6" t="s">
        <v>81</v>
      </c>
      <c r="AD1446" s="21" t="s">
        <v>81</v>
      </c>
      <c r="AE1446" s="6" t="s">
        <v>81</v>
      </c>
      <c r="AF1446" s="6" t="s">
        <v>81</v>
      </c>
      <c r="AG1446" s="6" t="s">
        <v>81</v>
      </c>
      <c r="AH1446" s="6" t="s">
        <v>16015</v>
      </c>
      <c r="AI1446" s="6" t="s">
        <v>81</v>
      </c>
      <c r="AJ1446" s="6" t="s">
        <v>9032</v>
      </c>
      <c r="AK1446" s="6" t="s">
        <v>18377</v>
      </c>
      <c r="AL1446" s="6" t="s">
        <v>18444</v>
      </c>
      <c r="AM1446" s="6" t="s">
        <v>18909</v>
      </c>
      <c r="AN1446" s="6" t="s">
        <v>19652</v>
      </c>
      <c r="AO1446" s="6" t="s">
        <v>19772</v>
      </c>
      <c r="AP1446" s="6" t="s">
        <v>81</v>
      </c>
      <c r="AQ1446" s="6" t="s">
        <v>81</v>
      </c>
      <c r="AR1446" s="6" t="s">
        <v>81</v>
      </c>
      <c r="AS1446" s="6" t="s">
        <v>81</v>
      </c>
      <c r="AT1446" s="6" t="s">
        <v>81</v>
      </c>
      <c r="AU1446" s="6" t="s">
        <v>81</v>
      </c>
      <c r="AV1446" s="6" t="s">
        <v>81</v>
      </c>
      <c r="AW1446" s="6" t="s">
        <v>81</v>
      </c>
      <c r="AX1446" s="6" t="s">
        <v>81</v>
      </c>
      <c r="AY1446" s="6" t="s">
        <v>81</v>
      </c>
      <c r="AZ1446" s="6" t="s">
        <v>81</v>
      </c>
      <c r="BA1446" s="6" t="s">
        <v>81</v>
      </c>
      <c r="BB1446" s="24" t="n">
        <v>1537</v>
      </c>
      <c r="BC1446" s="26"/>
      <c r="BD1446" s="26"/>
      <c r="BE1446" s="26"/>
      <c r="BF1446" s="26"/>
      <c r="BG1446" s="26"/>
      <c r="BH1446" s="26"/>
      <c r="BI1446" s="26"/>
      <c r="BJ1446" s="26"/>
      <c r="BK1446" s="26"/>
      <c r="BL1446" s="26"/>
      <c r="BM1446" s="26"/>
      <c r="BN1446" s="26"/>
      <c r="BO1446" s="26"/>
      <c r="BP1446" s="16" t="n">
        <v>45292</v>
      </c>
      <c r="BQ1446" s="28" t="str">
        <f>HYPERLINK("https://organic.ams.usda.gov/Integrity/Certificate.aspx?cid=45&amp;nopid=9950008825")</f>
        <v>https://organic.ams.usda.gov/Integrity/Certificate.aspx?cid=45&amp;nopid=9950008825</v>
      </c>
    </row>
    <row r="1447">
      <c r="A1447" t="s">
        <v>3</v>
      </c>
      <c r="B1447" s="6" t="s">
        <v>8</v>
      </c>
      <c r="C1447" s="6" t="s">
        <v>55</v>
      </c>
      <c r="D1447" s="6" t="s">
        <v>101</v>
      </c>
      <c r="E1447" s="10" t="s">
        <v>1588</v>
      </c>
      <c r="F1447" s="6" t="s">
        <v>4312</v>
      </c>
      <c r="G1447" s="6" t="s">
        <v>81</v>
      </c>
      <c r="H1447" s="6" t="s">
        <v>7218</v>
      </c>
      <c r="I1447" s="6" t="s">
        <v>8690</v>
      </c>
      <c r="J1447" s="6" t="s">
        <v>9835</v>
      </c>
      <c r="K1447" s="6" t="s">
        <v>10886</v>
      </c>
      <c r="L1447" s="16" t="n">
        <v>42094</v>
      </c>
      <c r="M1447" s="16" t="n">
        <v>45748</v>
      </c>
      <c r="N1447" s="6" t="s">
        <v>10886</v>
      </c>
      <c r="O1447" s="16" t="n">
        <v>42094</v>
      </c>
      <c r="P1447" s="6" t="s">
        <v>11760</v>
      </c>
      <c r="Q1447" s="6" t="s">
        <v>81</v>
      </c>
      <c r="R1447" s="6" t="s">
        <v>7218</v>
      </c>
      <c r="S1447" s="6" t="s">
        <v>10886</v>
      </c>
      <c r="T1447" s="16" t="n">
        <v>42094</v>
      </c>
      <c r="U1447" s="6" t="s">
        <v>13197</v>
      </c>
      <c r="V1447" s="6" t="s">
        <v>81</v>
      </c>
      <c r="W1447" s="6" t="s">
        <v>7218</v>
      </c>
      <c r="X1447" s="6" t="s">
        <v>81</v>
      </c>
      <c r="Y1447" s="21" t="s">
        <v>81</v>
      </c>
      <c r="Z1447" s="6" t="s">
        <v>81</v>
      </c>
      <c r="AA1447" s="6" t="s">
        <v>81</v>
      </c>
      <c r="AB1447" s="6" t="s">
        <v>81</v>
      </c>
      <c r="AC1447" s="6" t="s">
        <v>81</v>
      </c>
      <c r="AD1447" s="21" t="s">
        <v>81</v>
      </c>
      <c r="AE1447" s="6" t="s">
        <v>81</v>
      </c>
      <c r="AF1447" s="6" t="s">
        <v>81</v>
      </c>
      <c r="AG1447" s="6" t="s">
        <v>81</v>
      </c>
      <c r="AH1447" s="6" t="s">
        <v>16016</v>
      </c>
      <c r="AI1447" s="6" t="s">
        <v>81</v>
      </c>
      <c r="AJ1447" s="6" t="s">
        <v>17682</v>
      </c>
      <c r="AK1447" s="6" t="s">
        <v>18377</v>
      </c>
      <c r="AL1447" s="6" t="s">
        <v>18444</v>
      </c>
      <c r="AM1447" s="6" t="s">
        <v>19001</v>
      </c>
      <c r="AN1447" s="6" t="s">
        <v>19634</v>
      </c>
      <c r="AO1447" s="6" t="s">
        <v>19764</v>
      </c>
      <c r="AP1447" s="6" t="s">
        <v>81</v>
      </c>
      <c r="AQ1447" s="6" t="s">
        <v>81</v>
      </c>
      <c r="AR1447" s="6" t="s">
        <v>81</v>
      </c>
      <c r="AS1447" s="6" t="s">
        <v>81</v>
      </c>
      <c r="AT1447" s="6" t="s">
        <v>81</v>
      </c>
      <c r="AU1447" s="6" t="s">
        <v>81</v>
      </c>
      <c r="AV1447" s="6" t="s">
        <v>81</v>
      </c>
      <c r="AW1447" s="6" t="s">
        <v>81</v>
      </c>
      <c r="AX1447" s="6" t="s">
        <v>81</v>
      </c>
      <c r="AY1447" s="6" t="s">
        <v>23075</v>
      </c>
      <c r="AZ1447" s="6" t="s">
        <v>81</v>
      </c>
      <c r="BA1447" s="6" t="s">
        <v>23819</v>
      </c>
      <c r="BB1447" s="24" t="n">
        <v>369</v>
      </c>
      <c r="BC1447" s="26"/>
      <c r="BD1447" s="26"/>
      <c r="BE1447" s="26"/>
      <c r="BF1447" s="26"/>
      <c r="BG1447" s="26"/>
      <c r="BH1447" s="26"/>
      <c r="BI1447" s="26"/>
      <c r="BJ1447" s="26"/>
      <c r="BK1447" s="26"/>
      <c r="BL1447" s="26"/>
      <c r="BM1447" s="26"/>
      <c r="BN1447" s="26"/>
      <c r="BO1447" s="26"/>
      <c r="BP1447" s="16" t="n">
        <v>45573</v>
      </c>
      <c r="BQ1447" s="28" t="str">
        <f>HYPERLINK("https://organic.ams.usda.gov/Integrity/Certificate.aspx?cid=45&amp;nopid=9950008028")</f>
        <v>https://organic.ams.usda.gov/Integrity/Certificate.aspx?cid=45&amp;nopid=9950008028</v>
      </c>
    </row>
    <row r="1448">
      <c r="A1448" t="s">
        <v>3</v>
      </c>
      <c r="B1448" s="6" t="s">
        <v>8</v>
      </c>
      <c r="C1448" s="6" t="s">
        <v>55</v>
      </c>
      <c r="D1448" s="6" t="s">
        <v>101</v>
      </c>
      <c r="E1448" s="10" t="s">
        <v>1589</v>
      </c>
      <c r="F1448" s="6" t="s">
        <v>4313</v>
      </c>
      <c r="G1448" s="6" t="s">
        <v>81</v>
      </c>
      <c r="H1448" s="6" t="s">
        <v>6344</v>
      </c>
      <c r="I1448" s="6" t="s">
        <v>8419</v>
      </c>
      <c r="J1448" s="6" t="s">
        <v>9835</v>
      </c>
      <c r="K1448" s="6" t="s">
        <v>10886</v>
      </c>
      <c r="L1448" s="16" t="n">
        <v>37195</v>
      </c>
      <c r="M1448" s="16" t="n">
        <v>46054</v>
      </c>
      <c r="N1448" s="6" t="s">
        <v>10886</v>
      </c>
      <c r="O1448" s="16" t="n">
        <v>37195</v>
      </c>
      <c r="P1448" s="6" t="s">
        <v>11761</v>
      </c>
      <c r="Q1448" s="6" t="s">
        <v>81</v>
      </c>
      <c r="R1448" s="6" t="s">
        <v>6344</v>
      </c>
      <c r="S1448" s="6" t="s">
        <v>10886</v>
      </c>
      <c r="T1448" s="16" t="n">
        <v>37195</v>
      </c>
      <c r="U1448" s="6" t="s">
        <v>13630</v>
      </c>
      <c r="V1448" s="6" t="s">
        <v>81</v>
      </c>
      <c r="W1448" s="6" t="s">
        <v>6344</v>
      </c>
      <c r="X1448" s="6" t="s">
        <v>81</v>
      </c>
      <c r="Y1448" s="21" t="s">
        <v>81</v>
      </c>
      <c r="Z1448" s="6" t="s">
        <v>81</v>
      </c>
      <c r="AA1448" s="6" t="s">
        <v>81</v>
      </c>
      <c r="AB1448" s="6" t="s">
        <v>81</v>
      </c>
      <c r="AC1448" s="6" t="s">
        <v>81</v>
      </c>
      <c r="AD1448" s="21" t="s">
        <v>81</v>
      </c>
      <c r="AE1448" s="6" t="s">
        <v>81</v>
      </c>
      <c r="AF1448" s="6" t="s">
        <v>81</v>
      </c>
      <c r="AG1448" s="6" t="s">
        <v>81</v>
      </c>
      <c r="AH1448" s="6" t="s">
        <v>16017</v>
      </c>
      <c r="AI1448" s="6" t="s">
        <v>81</v>
      </c>
      <c r="AJ1448" s="6" t="s">
        <v>17377</v>
      </c>
      <c r="AK1448" s="6" t="s">
        <v>18377</v>
      </c>
      <c r="AL1448" s="6" t="s">
        <v>18444</v>
      </c>
      <c r="AM1448" s="6" t="s">
        <v>18530</v>
      </c>
      <c r="AN1448" s="6" t="s">
        <v>19638</v>
      </c>
      <c r="AO1448" s="6" t="s">
        <v>19724</v>
      </c>
      <c r="AP1448" s="6" t="s">
        <v>20287</v>
      </c>
      <c r="AQ1448" s="6" t="s">
        <v>81</v>
      </c>
      <c r="AR1448" s="6" t="s">
        <v>17377</v>
      </c>
      <c r="AS1448" s="6" t="s">
        <v>18377</v>
      </c>
      <c r="AT1448" s="6" t="s">
        <v>18444</v>
      </c>
      <c r="AU1448" s="6" t="s">
        <v>18530</v>
      </c>
      <c r="AV1448" s="6" t="s">
        <v>81</v>
      </c>
      <c r="AW1448" s="6" t="s">
        <v>81</v>
      </c>
      <c r="AX1448" s="6" t="s">
        <v>81</v>
      </c>
      <c r="AY1448" s="6" t="s">
        <v>23076</v>
      </c>
      <c r="AZ1448" s="6" t="s">
        <v>81</v>
      </c>
      <c r="BA1448" s="6" t="s">
        <v>23819</v>
      </c>
      <c r="BB1448" s="24" t="n">
        <v>273</v>
      </c>
      <c r="BC1448" s="26"/>
      <c r="BD1448" s="26"/>
      <c r="BE1448" s="26"/>
      <c r="BF1448" s="26" t="s">
        <v>23900</v>
      </c>
      <c r="BG1448" s="26"/>
      <c r="BH1448" s="26"/>
      <c r="BI1448" s="26"/>
      <c r="BJ1448" s="26"/>
      <c r="BK1448" s="26"/>
      <c r="BL1448" s="26"/>
      <c r="BM1448" s="26"/>
      <c r="BN1448" s="26"/>
      <c r="BO1448" s="26"/>
      <c r="BP1448" s="16" t="n">
        <v>45687</v>
      </c>
      <c r="BQ1448" s="28" t="str">
        <f>HYPERLINK("https://organic.ams.usda.gov/Integrity/Certificate.aspx?cid=45&amp;nopid=9950000687")</f>
        <v>https://organic.ams.usda.gov/Integrity/Certificate.aspx?cid=45&amp;nopid=9950000687</v>
      </c>
    </row>
    <row r="1449">
      <c r="A1449" t="s">
        <v>3</v>
      </c>
      <c r="B1449" s="6" t="s">
        <v>30</v>
      </c>
      <c r="C1449" s="6" t="s">
        <v>77</v>
      </c>
      <c r="D1449" s="6" t="s">
        <v>123</v>
      </c>
      <c r="E1449" s="10" t="s">
        <v>1590</v>
      </c>
      <c r="F1449" s="6" t="s">
        <v>4314</v>
      </c>
      <c r="G1449" s="6" t="s">
        <v>81</v>
      </c>
      <c r="H1449" s="6" t="s">
        <v>7219</v>
      </c>
      <c r="I1449" s="6" t="s">
        <v>9142</v>
      </c>
      <c r="J1449" s="6" t="s">
        <v>10338</v>
      </c>
      <c r="K1449" s="6" t="s">
        <v>10886</v>
      </c>
      <c r="L1449" s="16" t="n">
        <v>43143</v>
      </c>
      <c r="M1449" s="16" t="n">
        <v>45747</v>
      </c>
      <c r="N1449" s="6" t="s">
        <v>10886</v>
      </c>
      <c r="O1449" s="16" t="n">
        <v>43143</v>
      </c>
      <c r="P1449" s="6" t="s">
        <v>10922</v>
      </c>
      <c r="Q1449" s="6" t="s">
        <v>81</v>
      </c>
      <c r="R1449" s="6" t="s">
        <v>81</v>
      </c>
      <c r="S1449" s="6" t="s">
        <v>10886</v>
      </c>
      <c r="T1449" s="16" t="n">
        <v>43143</v>
      </c>
      <c r="U1449" s="6" t="s">
        <v>13216</v>
      </c>
      <c r="V1449" s="6" t="s">
        <v>81</v>
      </c>
      <c r="W1449" s="6" t="s">
        <v>81</v>
      </c>
      <c r="X1449" s="6" t="s">
        <v>81</v>
      </c>
      <c r="Y1449" s="21" t="s">
        <v>81</v>
      </c>
      <c r="Z1449" s="6" t="s">
        <v>81</v>
      </c>
      <c r="AA1449" s="6" t="s">
        <v>81</v>
      </c>
      <c r="AB1449" s="6" t="s">
        <v>81</v>
      </c>
      <c r="AC1449" s="6" t="s">
        <v>81</v>
      </c>
      <c r="AD1449" s="21" t="s">
        <v>81</v>
      </c>
      <c r="AE1449" s="6" t="s">
        <v>81</v>
      </c>
      <c r="AF1449" s="6" t="s">
        <v>81</v>
      </c>
      <c r="AG1449" s="6" t="s">
        <v>81</v>
      </c>
      <c r="AH1449" s="6" t="s">
        <v>16018</v>
      </c>
      <c r="AI1449" s="6" t="s">
        <v>81</v>
      </c>
      <c r="AJ1449" s="6" t="s">
        <v>18003</v>
      </c>
      <c r="AK1449" s="6" t="s">
        <v>17712</v>
      </c>
      <c r="AL1449" s="6" t="s">
        <v>18444</v>
      </c>
      <c r="AM1449" s="6" t="s">
        <v>19081</v>
      </c>
      <c r="AN1449" s="6" t="s">
        <v>19669</v>
      </c>
      <c r="AO1449" s="6" t="s">
        <v>19790</v>
      </c>
      <c r="AP1449" s="6" t="s">
        <v>16018</v>
      </c>
      <c r="AQ1449" s="6" t="s">
        <v>81</v>
      </c>
      <c r="AR1449" s="6" t="s">
        <v>18003</v>
      </c>
      <c r="AS1449" s="6" t="s">
        <v>17712</v>
      </c>
      <c r="AT1449" s="6" t="s">
        <v>18444</v>
      </c>
      <c r="AU1449" s="6" t="s">
        <v>19081</v>
      </c>
      <c r="AV1449" s="6" t="s">
        <v>81</v>
      </c>
      <c r="AW1449" s="6" t="s">
        <v>81</v>
      </c>
      <c r="AX1449" s="6" t="s">
        <v>21653</v>
      </c>
      <c r="AY1449" s="6" t="s">
        <v>81</v>
      </c>
      <c r="AZ1449" s="6" t="s">
        <v>81</v>
      </c>
      <c r="BA1449" s="6" t="s">
        <v>81</v>
      </c>
      <c r="BB1449" s="24" t="n">
        <v>753</v>
      </c>
      <c r="BC1449" s="26"/>
      <c r="BD1449" s="26"/>
      <c r="BE1449" s="26"/>
      <c r="BF1449" s="26"/>
      <c r="BG1449" s="26"/>
      <c r="BH1449" s="26"/>
      <c r="BI1449" s="26"/>
      <c r="BJ1449" s="26"/>
      <c r="BK1449" s="26"/>
      <c r="BL1449" s="26"/>
      <c r="BM1449" s="26"/>
      <c r="BN1449" s="26"/>
      <c r="BO1449" s="26"/>
      <c r="BP1449" s="16" t="n">
        <v>45575</v>
      </c>
      <c r="BQ1449" s="28" t="str">
        <f>HYPERLINK("https://organic.ams.usda.gov/Integrity/Certificate.aspx?cid=70&amp;nopid=6431813010")</f>
        <v>https://organic.ams.usda.gov/Integrity/Certificate.aspx?cid=70&amp;nopid=6431813010</v>
      </c>
    </row>
    <row r="1450">
      <c r="A1450" t="s">
        <v>3</v>
      </c>
      <c r="B1450" s="6" t="s">
        <v>8</v>
      </c>
      <c r="C1450" s="6" t="s">
        <v>55</v>
      </c>
      <c r="D1450" s="6" t="s">
        <v>101</v>
      </c>
      <c r="E1450" s="10" t="s">
        <v>1591</v>
      </c>
      <c r="F1450" s="6" t="s">
        <v>4315</v>
      </c>
      <c r="G1450" s="6" t="s">
        <v>81</v>
      </c>
      <c r="H1450" s="6" t="s">
        <v>7220</v>
      </c>
      <c r="I1450" s="6" t="s">
        <v>8513</v>
      </c>
      <c r="J1450" s="6" t="s">
        <v>9804</v>
      </c>
      <c r="K1450" s="6" t="s">
        <v>10886</v>
      </c>
      <c r="L1450" s="16" t="n">
        <v>42571</v>
      </c>
      <c r="M1450" s="16" t="n">
        <v>45383</v>
      </c>
      <c r="N1450" s="6" t="s">
        <v>10886</v>
      </c>
      <c r="O1450" s="16" t="n">
        <v>42571</v>
      </c>
      <c r="P1450" s="6" t="s">
        <v>11762</v>
      </c>
      <c r="Q1450" s="6" t="s">
        <v>81</v>
      </c>
      <c r="R1450" s="6" t="s">
        <v>7220</v>
      </c>
      <c r="S1450" s="6" t="s">
        <v>10886</v>
      </c>
      <c r="T1450" s="16" t="n">
        <v>42571</v>
      </c>
      <c r="U1450" s="6" t="s">
        <v>13631</v>
      </c>
      <c r="V1450" s="6" t="s">
        <v>81</v>
      </c>
      <c r="W1450" s="6" t="s">
        <v>7220</v>
      </c>
      <c r="X1450" s="6" t="s">
        <v>81</v>
      </c>
      <c r="Y1450" s="21" t="s">
        <v>81</v>
      </c>
      <c r="Z1450" s="6" t="s">
        <v>81</v>
      </c>
      <c r="AA1450" s="6" t="s">
        <v>81</v>
      </c>
      <c r="AB1450" s="6" t="s">
        <v>81</v>
      </c>
      <c r="AC1450" s="6" t="s">
        <v>81</v>
      </c>
      <c r="AD1450" s="21" t="s">
        <v>81</v>
      </c>
      <c r="AE1450" s="6" t="s">
        <v>81</v>
      </c>
      <c r="AF1450" s="6" t="s">
        <v>81</v>
      </c>
      <c r="AG1450" s="6" t="s">
        <v>81</v>
      </c>
      <c r="AH1450" s="6" t="s">
        <v>16019</v>
      </c>
      <c r="AI1450" s="6" t="s">
        <v>81</v>
      </c>
      <c r="AJ1450" s="6" t="s">
        <v>17377</v>
      </c>
      <c r="AK1450" s="6" t="s">
        <v>18377</v>
      </c>
      <c r="AL1450" s="6" t="s">
        <v>18444</v>
      </c>
      <c r="AM1450" s="6" t="s">
        <v>18530</v>
      </c>
      <c r="AN1450" s="6" t="s">
        <v>19634</v>
      </c>
      <c r="AO1450" s="6" t="s">
        <v>19764</v>
      </c>
      <c r="AP1450" s="6" t="s">
        <v>81</v>
      </c>
      <c r="AQ1450" s="6" t="s">
        <v>81</v>
      </c>
      <c r="AR1450" s="6" t="s">
        <v>81</v>
      </c>
      <c r="AS1450" s="6" t="s">
        <v>81</v>
      </c>
      <c r="AT1450" s="6" t="s">
        <v>81</v>
      </c>
      <c r="AU1450" s="6" t="s">
        <v>81</v>
      </c>
      <c r="AV1450" s="6" t="s">
        <v>81</v>
      </c>
      <c r="AW1450" s="6" t="s">
        <v>81</v>
      </c>
      <c r="AX1450" s="6" t="s">
        <v>81</v>
      </c>
      <c r="AY1450" s="6" t="s">
        <v>81</v>
      </c>
      <c r="AZ1450" s="6" t="s">
        <v>81</v>
      </c>
      <c r="BA1450" s="6" t="s">
        <v>23824</v>
      </c>
      <c r="BB1450" s="24" t="n">
        <v>193</v>
      </c>
      <c r="BC1450" s="26"/>
      <c r="BD1450" s="26"/>
      <c r="BE1450" s="26"/>
      <c r="BF1450" s="26" t="s">
        <v>23900</v>
      </c>
      <c r="BG1450" s="26"/>
      <c r="BH1450" s="26"/>
      <c r="BI1450" s="26"/>
      <c r="BJ1450" s="26"/>
      <c r="BK1450" s="26"/>
      <c r="BL1450" s="26"/>
      <c r="BM1450" s="26"/>
      <c r="BN1450" s="26"/>
      <c r="BO1450" s="26"/>
      <c r="BP1450" s="16" t="n">
        <v>45467</v>
      </c>
      <c r="BQ1450" s="28" t="str">
        <f>HYPERLINK("https://organic.ams.usda.gov/Integrity/Certificate.aspx?cid=45&amp;nopid=9950009298")</f>
        <v>https://organic.ams.usda.gov/Integrity/Certificate.aspx?cid=45&amp;nopid=9950009298</v>
      </c>
    </row>
    <row r="1451">
      <c r="A1451" t="s">
        <v>3</v>
      </c>
      <c r="B1451" s="6" t="s">
        <v>12</v>
      </c>
      <c r="C1451" s="6" t="s">
        <v>59</v>
      </c>
      <c r="D1451" s="6" t="s">
        <v>105</v>
      </c>
      <c r="E1451" s="10" t="s">
        <v>1592</v>
      </c>
      <c r="F1451" s="6" t="s">
        <v>4316</v>
      </c>
      <c r="G1451" s="6" t="s">
        <v>81</v>
      </c>
      <c r="H1451" s="6" t="s">
        <v>7221</v>
      </c>
      <c r="I1451" s="6" t="s">
        <v>9143</v>
      </c>
      <c r="J1451" s="6" t="s">
        <v>10339</v>
      </c>
      <c r="K1451" s="6" t="s">
        <v>10886</v>
      </c>
      <c r="L1451" s="16" t="n">
        <v>40850</v>
      </c>
      <c r="M1451" s="16" t="n">
        <v>45717</v>
      </c>
      <c r="N1451" s="6" t="s">
        <v>81</v>
      </c>
      <c r="O1451" s="21" t="s">
        <v>81</v>
      </c>
      <c r="P1451" s="6" t="s">
        <v>81</v>
      </c>
      <c r="Q1451" s="6" t="s">
        <v>81</v>
      </c>
      <c r="R1451" s="6" t="s">
        <v>81</v>
      </c>
      <c r="S1451" s="6" t="s">
        <v>81</v>
      </c>
      <c r="T1451" s="21" t="s">
        <v>81</v>
      </c>
      <c r="U1451" s="6" t="s">
        <v>81</v>
      </c>
      <c r="V1451" s="6" t="s">
        <v>81</v>
      </c>
      <c r="W1451" s="6" t="s">
        <v>81</v>
      </c>
      <c r="X1451" s="6" t="s">
        <v>81</v>
      </c>
      <c r="Y1451" s="21" t="s">
        <v>81</v>
      </c>
      <c r="Z1451" s="6" t="s">
        <v>81</v>
      </c>
      <c r="AA1451" s="6" t="s">
        <v>81</v>
      </c>
      <c r="AB1451" s="6" t="s">
        <v>81</v>
      </c>
      <c r="AC1451" s="6" t="s">
        <v>10886</v>
      </c>
      <c r="AD1451" s="16" t="n">
        <v>40850</v>
      </c>
      <c r="AE1451" s="6" t="s">
        <v>14267</v>
      </c>
      <c r="AF1451" s="6" t="s">
        <v>81</v>
      </c>
      <c r="AG1451" s="6" t="s">
        <v>81</v>
      </c>
      <c r="AH1451" s="6" t="s">
        <v>16020</v>
      </c>
      <c r="AI1451" s="6" t="s">
        <v>81</v>
      </c>
      <c r="AJ1451" s="6" t="s">
        <v>18004</v>
      </c>
      <c r="AK1451" s="6" t="s">
        <v>18380</v>
      </c>
      <c r="AL1451" s="6" t="s">
        <v>18444</v>
      </c>
      <c r="AM1451" s="6" t="s">
        <v>19195</v>
      </c>
      <c r="AN1451" s="6" t="s">
        <v>7351</v>
      </c>
      <c r="AO1451" s="6" t="s">
        <v>19721</v>
      </c>
      <c r="AP1451" s="6" t="s">
        <v>16020</v>
      </c>
      <c r="AQ1451" s="6" t="s">
        <v>81</v>
      </c>
      <c r="AR1451" s="6" t="s">
        <v>18004</v>
      </c>
      <c r="AS1451" s="6" t="s">
        <v>18380</v>
      </c>
      <c r="AT1451" s="6" t="s">
        <v>18444</v>
      </c>
      <c r="AU1451" s="6" t="s">
        <v>19195</v>
      </c>
      <c r="AV1451" s="6" t="s">
        <v>81</v>
      </c>
      <c r="AW1451" s="6" t="s">
        <v>81</v>
      </c>
      <c r="AX1451" s="6" t="s">
        <v>21654</v>
      </c>
      <c r="AY1451" s="6" t="s">
        <v>23077</v>
      </c>
      <c r="AZ1451" s="6" t="s">
        <v>81</v>
      </c>
      <c r="BA1451" s="6" t="s">
        <v>81</v>
      </c>
      <c r="BB1451" s="6" t="s">
        <v>81</v>
      </c>
      <c r="BC1451" s="26"/>
      <c r="BD1451" s="26"/>
      <c r="BE1451" s="26"/>
      <c r="BF1451" s="26"/>
      <c r="BG1451" s="26"/>
      <c r="BH1451" s="26"/>
      <c r="BI1451" s="26"/>
      <c r="BJ1451" s="26"/>
      <c r="BK1451" s="26"/>
      <c r="BL1451" s="26"/>
      <c r="BM1451" s="26"/>
      <c r="BN1451" s="26"/>
      <c r="BO1451" s="26"/>
      <c r="BP1451" s="16" t="n">
        <v>45700</v>
      </c>
      <c r="BQ1451" s="28" t="str">
        <f>HYPERLINK("https://organic.ams.usda.gov/Integrity/Certificate.aspx?cid=68&amp;nopid=8210001914")</f>
        <v>https://organic.ams.usda.gov/Integrity/Certificate.aspx?cid=68&amp;nopid=8210001914</v>
      </c>
    </row>
    <row r="1452">
      <c r="A1452" t="s">
        <v>3</v>
      </c>
      <c r="B1452" s="6" t="s">
        <v>12</v>
      </c>
      <c r="C1452" s="6" t="s">
        <v>59</v>
      </c>
      <c r="D1452" s="6" t="s">
        <v>105</v>
      </c>
      <c r="E1452" s="10" t="s">
        <v>1593</v>
      </c>
      <c r="F1452" s="6" t="s">
        <v>4317</v>
      </c>
      <c r="G1452" s="6" t="s">
        <v>81</v>
      </c>
      <c r="H1452" s="6" t="s">
        <v>7222</v>
      </c>
      <c r="I1452" s="6" t="s">
        <v>9144</v>
      </c>
      <c r="J1452" s="6" t="s">
        <v>9666</v>
      </c>
      <c r="K1452" s="6" t="s">
        <v>10886</v>
      </c>
      <c r="L1452" s="16" t="n">
        <v>43397</v>
      </c>
      <c r="M1452" s="16" t="n">
        <v>45717</v>
      </c>
      <c r="N1452" s="6" t="s">
        <v>10886</v>
      </c>
      <c r="O1452" s="16" t="n">
        <v>43397</v>
      </c>
      <c r="P1452" s="6" t="s">
        <v>11763</v>
      </c>
      <c r="Q1452" s="6" t="s">
        <v>81</v>
      </c>
      <c r="R1452" s="6" t="s">
        <v>81</v>
      </c>
      <c r="S1452" s="6" t="s">
        <v>10886</v>
      </c>
      <c r="T1452" s="16" t="n">
        <v>43397</v>
      </c>
      <c r="U1452" s="6" t="s">
        <v>13187</v>
      </c>
      <c r="V1452" s="6" t="s">
        <v>81</v>
      </c>
      <c r="W1452" s="6" t="s">
        <v>81</v>
      </c>
      <c r="X1452" s="6" t="s">
        <v>81</v>
      </c>
      <c r="Y1452" s="21" t="s">
        <v>81</v>
      </c>
      <c r="Z1452" s="6" t="s">
        <v>81</v>
      </c>
      <c r="AA1452" s="6" t="s">
        <v>81</v>
      </c>
      <c r="AB1452" s="6" t="s">
        <v>81</v>
      </c>
      <c r="AC1452" s="6" t="s">
        <v>81</v>
      </c>
      <c r="AD1452" s="21" t="s">
        <v>81</v>
      </c>
      <c r="AE1452" s="6" t="s">
        <v>81</v>
      </c>
      <c r="AF1452" s="6" t="s">
        <v>81</v>
      </c>
      <c r="AG1452" s="6" t="s">
        <v>81</v>
      </c>
      <c r="AH1452" s="6" t="s">
        <v>16021</v>
      </c>
      <c r="AI1452" s="6" t="s">
        <v>81</v>
      </c>
      <c r="AJ1452" s="6" t="s">
        <v>17743</v>
      </c>
      <c r="AK1452" s="6" t="s">
        <v>18380</v>
      </c>
      <c r="AL1452" s="6" t="s">
        <v>18444</v>
      </c>
      <c r="AM1452" s="6" t="s">
        <v>18911</v>
      </c>
      <c r="AN1452" s="6" t="s">
        <v>19637</v>
      </c>
      <c r="AO1452" s="6" t="s">
        <v>19904</v>
      </c>
      <c r="AP1452" s="6" t="s">
        <v>16021</v>
      </c>
      <c r="AQ1452" s="6" t="s">
        <v>81</v>
      </c>
      <c r="AR1452" s="6" t="s">
        <v>17743</v>
      </c>
      <c r="AS1452" s="6" t="s">
        <v>18380</v>
      </c>
      <c r="AT1452" s="6" t="s">
        <v>18444</v>
      </c>
      <c r="AU1452" s="6" t="s">
        <v>18911</v>
      </c>
      <c r="AV1452" s="6" t="s">
        <v>81</v>
      </c>
      <c r="AW1452" s="6" t="s">
        <v>81</v>
      </c>
      <c r="AX1452" s="6" t="s">
        <v>81</v>
      </c>
      <c r="AY1452" s="6" t="s">
        <v>81</v>
      </c>
      <c r="AZ1452" s="6" t="s">
        <v>81</v>
      </c>
      <c r="BA1452" s="6" t="s">
        <v>81</v>
      </c>
      <c r="BB1452" s="24" t="n">
        <v>89</v>
      </c>
      <c r="BC1452" s="26"/>
      <c r="BD1452" s="26"/>
      <c r="BE1452" s="26"/>
      <c r="BF1452" s="26"/>
      <c r="BG1452" s="26"/>
      <c r="BH1452" s="26"/>
      <c r="BI1452" s="26"/>
      <c r="BJ1452" s="26"/>
      <c r="BK1452" s="26"/>
      <c r="BL1452" s="26"/>
      <c r="BM1452" s="26"/>
      <c r="BN1452" s="26"/>
      <c r="BO1452" s="26"/>
      <c r="BP1452" s="16" t="n">
        <v>45692</v>
      </c>
      <c r="BQ1452" s="28" t="str">
        <f>HYPERLINK("https://organic.ams.usda.gov/Integrity/Certificate.aspx?cid=68&amp;nopid=8210004630")</f>
        <v>https://organic.ams.usda.gov/Integrity/Certificate.aspx?cid=68&amp;nopid=8210004630</v>
      </c>
    </row>
    <row r="1453">
      <c r="A1453" t="s">
        <v>3</v>
      </c>
      <c r="B1453" s="6" t="s">
        <v>7</v>
      </c>
      <c r="C1453" s="6" t="s">
        <v>54</v>
      </c>
      <c r="D1453" s="6" t="s">
        <v>100</v>
      </c>
      <c r="E1453" s="10" t="s">
        <v>1594</v>
      </c>
      <c r="F1453" s="6" t="s">
        <v>4318</v>
      </c>
      <c r="G1453" s="6" t="s">
        <v>81</v>
      </c>
      <c r="H1453" s="6" t="s">
        <v>7223</v>
      </c>
      <c r="I1453" s="6" t="s">
        <v>9145</v>
      </c>
      <c r="J1453" s="6" t="s">
        <v>9671</v>
      </c>
      <c r="K1453" s="6" t="s">
        <v>10886</v>
      </c>
      <c r="L1453" s="16" t="n">
        <v>44804</v>
      </c>
      <c r="M1453" s="16" t="n">
        <v>45716</v>
      </c>
      <c r="N1453" s="6" t="s">
        <v>10886</v>
      </c>
      <c r="O1453" s="16" t="n">
        <v>44804</v>
      </c>
      <c r="P1453" s="6" t="s">
        <v>11764</v>
      </c>
      <c r="Q1453" s="6" t="s">
        <v>81</v>
      </c>
      <c r="R1453" s="6" t="s">
        <v>81</v>
      </c>
      <c r="S1453" s="6" t="s">
        <v>10886</v>
      </c>
      <c r="T1453" s="16" t="n">
        <v>44804</v>
      </c>
      <c r="U1453" s="6" t="s">
        <v>13160</v>
      </c>
      <c r="V1453" s="6" t="s">
        <v>81</v>
      </c>
      <c r="W1453" s="6" t="s">
        <v>81</v>
      </c>
      <c r="X1453" s="6" t="s">
        <v>81</v>
      </c>
      <c r="Y1453" s="21" t="s">
        <v>81</v>
      </c>
      <c r="Z1453" s="6" t="s">
        <v>81</v>
      </c>
      <c r="AA1453" s="6" t="s">
        <v>81</v>
      </c>
      <c r="AB1453" s="6" t="s">
        <v>81</v>
      </c>
      <c r="AC1453" s="6" t="s">
        <v>81</v>
      </c>
      <c r="AD1453" s="21" t="s">
        <v>81</v>
      </c>
      <c r="AE1453" s="6" t="s">
        <v>81</v>
      </c>
      <c r="AF1453" s="6" t="s">
        <v>81</v>
      </c>
      <c r="AG1453" s="6" t="s">
        <v>81</v>
      </c>
      <c r="AH1453" s="6" t="s">
        <v>16022</v>
      </c>
      <c r="AI1453" s="6" t="s">
        <v>81</v>
      </c>
      <c r="AJ1453" s="6" t="s">
        <v>17321</v>
      </c>
      <c r="AK1453" s="6" t="s">
        <v>17712</v>
      </c>
      <c r="AL1453" s="6" t="s">
        <v>18444</v>
      </c>
      <c r="AM1453" s="6" t="s">
        <v>18473</v>
      </c>
      <c r="AN1453" s="6" t="s">
        <v>19642</v>
      </c>
      <c r="AO1453" s="6" t="s">
        <v>19728</v>
      </c>
      <c r="AP1453" s="6" t="s">
        <v>16022</v>
      </c>
      <c r="AQ1453" s="6" t="s">
        <v>81</v>
      </c>
      <c r="AR1453" s="6" t="s">
        <v>17321</v>
      </c>
      <c r="AS1453" s="6" t="s">
        <v>17712</v>
      </c>
      <c r="AT1453" s="6" t="s">
        <v>18444</v>
      </c>
      <c r="AU1453" s="6" t="s">
        <v>18473</v>
      </c>
      <c r="AV1453" s="6" t="s">
        <v>81</v>
      </c>
      <c r="AW1453" s="6" t="s">
        <v>81</v>
      </c>
      <c r="AX1453" s="6" t="s">
        <v>21655</v>
      </c>
      <c r="AY1453" s="6" t="s">
        <v>81</v>
      </c>
      <c r="AZ1453" s="6" t="s">
        <v>81</v>
      </c>
      <c r="BA1453" s="6" t="s">
        <v>81</v>
      </c>
      <c r="BB1453" s="24" t="n">
        <v>101</v>
      </c>
      <c r="BC1453" s="26"/>
      <c r="BD1453" s="26"/>
      <c r="BE1453" s="26"/>
      <c r="BF1453" s="26" t="s">
        <v>23900</v>
      </c>
      <c r="BG1453" s="26"/>
      <c r="BH1453" s="26"/>
      <c r="BI1453" s="26"/>
      <c r="BJ1453" s="26"/>
      <c r="BK1453" s="26"/>
      <c r="BL1453" s="26"/>
      <c r="BM1453" s="26"/>
      <c r="BN1453" s="26"/>
      <c r="BO1453" s="26"/>
      <c r="BP1453" s="16" t="n">
        <v>45681</v>
      </c>
      <c r="BQ1453" s="28" t="str">
        <f>HYPERLINK("https://organic.ams.usda.gov/Integrity/Certificate.aspx?cid=57&amp;nopid=3252012046")</f>
        <v>https://organic.ams.usda.gov/Integrity/Certificate.aspx?cid=57&amp;nopid=3252012046</v>
      </c>
    </row>
    <row r="1454">
      <c r="A1454" t="s">
        <v>3</v>
      </c>
      <c r="B1454" s="6" t="s">
        <v>12</v>
      </c>
      <c r="C1454" s="6" t="s">
        <v>59</v>
      </c>
      <c r="D1454" s="6" t="s">
        <v>105</v>
      </c>
      <c r="E1454" s="10" t="s">
        <v>1595</v>
      </c>
      <c r="F1454" s="6" t="s">
        <v>4319</v>
      </c>
      <c r="G1454" s="6" t="s">
        <v>81</v>
      </c>
      <c r="H1454" s="6" t="s">
        <v>7224</v>
      </c>
      <c r="I1454" s="6" t="s">
        <v>9146</v>
      </c>
      <c r="J1454" s="6" t="s">
        <v>10340</v>
      </c>
      <c r="K1454" s="6" t="s">
        <v>10886</v>
      </c>
      <c r="L1454" s="16" t="n">
        <v>42452</v>
      </c>
      <c r="M1454" s="16" t="n">
        <v>45717</v>
      </c>
      <c r="N1454" s="6" t="s">
        <v>10886</v>
      </c>
      <c r="O1454" s="16" t="n">
        <v>42452</v>
      </c>
      <c r="P1454" s="6" t="s">
        <v>11765</v>
      </c>
      <c r="Q1454" s="6" t="s">
        <v>81</v>
      </c>
      <c r="R1454" s="6" t="s">
        <v>81</v>
      </c>
      <c r="S1454" s="6" t="s">
        <v>10886</v>
      </c>
      <c r="T1454" s="16" t="n">
        <v>42452</v>
      </c>
      <c r="U1454" s="6" t="s">
        <v>13632</v>
      </c>
      <c r="V1454" s="6" t="s">
        <v>81</v>
      </c>
      <c r="W1454" s="6" t="s">
        <v>81</v>
      </c>
      <c r="X1454" s="6" t="s">
        <v>81</v>
      </c>
      <c r="Y1454" s="21" t="s">
        <v>81</v>
      </c>
      <c r="Z1454" s="6" t="s">
        <v>81</v>
      </c>
      <c r="AA1454" s="6" t="s">
        <v>81</v>
      </c>
      <c r="AB1454" s="6" t="s">
        <v>81</v>
      </c>
      <c r="AC1454" s="6" t="s">
        <v>81</v>
      </c>
      <c r="AD1454" s="21" t="s">
        <v>81</v>
      </c>
      <c r="AE1454" s="6" t="s">
        <v>81</v>
      </c>
      <c r="AF1454" s="6" t="s">
        <v>81</v>
      </c>
      <c r="AG1454" s="6" t="s">
        <v>81</v>
      </c>
      <c r="AH1454" s="6" t="s">
        <v>16023</v>
      </c>
      <c r="AI1454" s="6" t="s">
        <v>81</v>
      </c>
      <c r="AJ1454" s="6" t="s">
        <v>17453</v>
      </c>
      <c r="AK1454" s="6" t="s">
        <v>17712</v>
      </c>
      <c r="AL1454" s="6" t="s">
        <v>18444</v>
      </c>
      <c r="AM1454" s="6" t="s">
        <v>18612</v>
      </c>
      <c r="AN1454" s="6" t="s">
        <v>19670</v>
      </c>
      <c r="AO1454" s="6" t="s">
        <v>19782</v>
      </c>
      <c r="AP1454" s="6" t="s">
        <v>16023</v>
      </c>
      <c r="AQ1454" s="6" t="s">
        <v>81</v>
      </c>
      <c r="AR1454" s="6" t="s">
        <v>17453</v>
      </c>
      <c r="AS1454" s="6" t="s">
        <v>17712</v>
      </c>
      <c r="AT1454" s="6" t="s">
        <v>18444</v>
      </c>
      <c r="AU1454" s="6" t="s">
        <v>18612</v>
      </c>
      <c r="AV1454" s="6" t="s">
        <v>81</v>
      </c>
      <c r="AW1454" s="6" t="s">
        <v>81</v>
      </c>
      <c r="AX1454" s="6" t="s">
        <v>21656</v>
      </c>
      <c r="AY1454" s="6" t="s">
        <v>23078</v>
      </c>
      <c r="AZ1454" s="6" t="s">
        <v>81</v>
      </c>
      <c r="BA1454" s="6" t="s">
        <v>81</v>
      </c>
      <c r="BB1454" s="24" t="n">
        <v>687</v>
      </c>
      <c r="BC1454" s="26"/>
      <c r="BD1454" s="26"/>
      <c r="BE1454" s="26"/>
      <c r="BF1454" s="26"/>
      <c r="BG1454" s="26"/>
      <c r="BH1454" s="26"/>
      <c r="BI1454" s="26"/>
      <c r="BJ1454" s="26"/>
      <c r="BK1454" s="26"/>
      <c r="BL1454" s="26"/>
      <c r="BM1454" s="26"/>
      <c r="BN1454" s="26"/>
      <c r="BO1454" s="26"/>
      <c r="BP1454" s="16" t="n">
        <v>45707</v>
      </c>
      <c r="BQ1454" s="28" t="str">
        <f>HYPERLINK("https://organic.ams.usda.gov/Integrity/Certificate.aspx?cid=68&amp;nopid=8210002992")</f>
        <v>https://organic.ams.usda.gov/Integrity/Certificate.aspx?cid=68&amp;nopid=8210002992</v>
      </c>
    </row>
    <row r="1455">
      <c r="A1455" t="s">
        <v>3</v>
      </c>
      <c r="B1455" s="6" t="s">
        <v>8</v>
      </c>
      <c r="C1455" s="6" t="s">
        <v>55</v>
      </c>
      <c r="D1455" s="6" t="s">
        <v>101</v>
      </c>
      <c r="E1455" s="10" t="s">
        <v>1596</v>
      </c>
      <c r="F1455" s="6" t="s">
        <v>4320</v>
      </c>
      <c r="G1455" s="6" t="s">
        <v>81</v>
      </c>
      <c r="H1455" s="6" t="s">
        <v>7225</v>
      </c>
      <c r="I1455" s="6" t="s">
        <v>8693</v>
      </c>
      <c r="J1455" s="6" t="s">
        <v>10341</v>
      </c>
      <c r="K1455" s="6" t="s">
        <v>10886</v>
      </c>
      <c r="L1455" s="16" t="n">
        <v>43000</v>
      </c>
      <c r="M1455" s="16" t="n">
        <v>45748</v>
      </c>
      <c r="N1455" s="6" t="s">
        <v>10886</v>
      </c>
      <c r="O1455" s="16" t="n">
        <v>43000</v>
      </c>
      <c r="P1455" s="6" t="s">
        <v>11766</v>
      </c>
      <c r="Q1455" s="6" t="s">
        <v>81</v>
      </c>
      <c r="R1455" s="6" t="s">
        <v>7225</v>
      </c>
      <c r="S1455" s="6" t="s">
        <v>10886</v>
      </c>
      <c r="T1455" s="16" t="n">
        <v>43000</v>
      </c>
      <c r="U1455" s="6" t="s">
        <v>13173</v>
      </c>
      <c r="V1455" s="6" t="s">
        <v>81</v>
      </c>
      <c r="W1455" s="6" t="s">
        <v>7225</v>
      </c>
      <c r="X1455" s="6" t="s">
        <v>81</v>
      </c>
      <c r="Y1455" s="21" t="s">
        <v>81</v>
      </c>
      <c r="Z1455" s="6" t="s">
        <v>81</v>
      </c>
      <c r="AA1455" s="6" t="s">
        <v>81</v>
      </c>
      <c r="AB1455" s="6" t="s">
        <v>81</v>
      </c>
      <c r="AC1455" s="6" t="s">
        <v>81</v>
      </c>
      <c r="AD1455" s="21" t="s">
        <v>81</v>
      </c>
      <c r="AE1455" s="6" t="s">
        <v>81</v>
      </c>
      <c r="AF1455" s="6" t="s">
        <v>81</v>
      </c>
      <c r="AG1455" s="6" t="s">
        <v>81</v>
      </c>
      <c r="AH1455" s="6" t="s">
        <v>16024</v>
      </c>
      <c r="AI1455" s="6" t="s">
        <v>81</v>
      </c>
      <c r="AJ1455" s="6" t="s">
        <v>18005</v>
      </c>
      <c r="AK1455" s="6" t="s">
        <v>18381</v>
      </c>
      <c r="AL1455" s="6" t="s">
        <v>18444</v>
      </c>
      <c r="AM1455" s="6" t="s">
        <v>19196</v>
      </c>
      <c r="AN1455" s="6" t="s">
        <v>19681</v>
      </c>
      <c r="AO1455" s="6" t="s">
        <v>19903</v>
      </c>
      <c r="AP1455" s="6" t="s">
        <v>81</v>
      </c>
      <c r="AQ1455" s="6" t="s">
        <v>81</v>
      </c>
      <c r="AR1455" s="6" t="s">
        <v>81</v>
      </c>
      <c r="AS1455" s="6" t="s">
        <v>81</v>
      </c>
      <c r="AT1455" s="6" t="s">
        <v>81</v>
      </c>
      <c r="AU1455" s="6" t="s">
        <v>81</v>
      </c>
      <c r="AV1455" s="6" t="s">
        <v>81</v>
      </c>
      <c r="AW1455" s="6" t="s">
        <v>81</v>
      </c>
      <c r="AX1455" s="6" t="s">
        <v>81</v>
      </c>
      <c r="AY1455" s="6" t="s">
        <v>23079</v>
      </c>
      <c r="AZ1455" s="6" t="s">
        <v>81</v>
      </c>
      <c r="BA1455" s="6" t="s">
        <v>23819</v>
      </c>
      <c r="BB1455" s="24" t="n">
        <v>245</v>
      </c>
      <c r="BC1455" s="26"/>
      <c r="BD1455" s="26"/>
      <c r="BE1455" s="26"/>
      <c r="BF1455" s="26" t="s">
        <v>23900</v>
      </c>
      <c r="BG1455" s="26"/>
      <c r="BH1455" s="26"/>
      <c r="BI1455" s="26"/>
      <c r="BJ1455" s="26"/>
      <c r="BK1455" s="26"/>
      <c r="BL1455" s="26"/>
      <c r="BM1455" s="26"/>
      <c r="BN1455" s="26"/>
      <c r="BO1455" s="26"/>
      <c r="BP1455" s="16" t="n">
        <v>45574</v>
      </c>
      <c r="BQ1455" s="28" t="str">
        <f>HYPERLINK("https://organic.ams.usda.gov/Integrity/Certificate.aspx?cid=45&amp;nopid=9950010622")</f>
        <v>https://organic.ams.usda.gov/Integrity/Certificate.aspx?cid=45&amp;nopid=9950010622</v>
      </c>
    </row>
    <row r="1456">
      <c r="A1456" t="s">
        <v>3</v>
      </c>
      <c r="B1456" s="6" t="s">
        <v>12</v>
      </c>
      <c r="C1456" s="6" t="s">
        <v>59</v>
      </c>
      <c r="D1456" s="6" t="s">
        <v>105</v>
      </c>
      <c r="E1456" s="10" t="s">
        <v>1597</v>
      </c>
      <c r="F1456" s="6" t="s">
        <v>4321</v>
      </c>
      <c r="G1456" s="6" t="s">
        <v>81</v>
      </c>
      <c r="H1456" s="6" t="s">
        <v>7226</v>
      </c>
      <c r="I1456" s="6" t="s">
        <v>8792</v>
      </c>
      <c r="J1456" s="6" t="s">
        <v>10342</v>
      </c>
      <c r="K1456" s="6" t="s">
        <v>10886</v>
      </c>
      <c r="L1456" s="16" t="n">
        <v>40147</v>
      </c>
      <c r="M1456" s="16" t="n">
        <v>45717</v>
      </c>
      <c r="N1456" s="6" t="s">
        <v>81</v>
      </c>
      <c r="O1456" s="21" t="s">
        <v>81</v>
      </c>
      <c r="P1456" s="6" t="s">
        <v>81</v>
      </c>
      <c r="Q1456" s="6" t="s">
        <v>81</v>
      </c>
      <c r="R1456" s="6" t="s">
        <v>81</v>
      </c>
      <c r="S1456" s="6" t="s">
        <v>81</v>
      </c>
      <c r="T1456" s="21" t="s">
        <v>81</v>
      </c>
      <c r="U1456" s="6" t="s">
        <v>81</v>
      </c>
      <c r="V1456" s="6" t="s">
        <v>81</v>
      </c>
      <c r="W1456" s="6" t="s">
        <v>81</v>
      </c>
      <c r="X1456" s="6" t="s">
        <v>81</v>
      </c>
      <c r="Y1456" s="21" t="s">
        <v>81</v>
      </c>
      <c r="Z1456" s="6" t="s">
        <v>81</v>
      </c>
      <c r="AA1456" s="6" t="s">
        <v>81</v>
      </c>
      <c r="AB1456" s="6" t="s">
        <v>81</v>
      </c>
      <c r="AC1456" s="6" t="s">
        <v>10886</v>
      </c>
      <c r="AD1456" s="16" t="n">
        <v>40147</v>
      </c>
      <c r="AE1456" s="6" t="s">
        <v>14268</v>
      </c>
      <c r="AF1456" s="6" t="s">
        <v>81</v>
      </c>
      <c r="AG1456" s="6" t="s">
        <v>81</v>
      </c>
      <c r="AH1456" s="6" t="s">
        <v>16025</v>
      </c>
      <c r="AI1456" s="6" t="s">
        <v>81</v>
      </c>
      <c r="AJ1456" s="6" t="s">
        <v>18006</v>
      </c>
      <c r="AK1456" s="6" t="s">
        <v>18380</v>
      </c>
      <c r="AL1456" s="6" t="s">
        <v>18444</v>
      </c>
      <c r="AM1456" s="6" t="s">
        <v>19197</v>
      </c>
      <c r="AN1456" s="6" t="s">
        <v>7595</v>
      </c>
      <c r="AO1456" s="6" t="s">
        <v>19978</v>
      </c>
      <c r="AP1456" s="6" t="s">
        <v>20288</v>
      </c>
      <c r="AQ1456" s="6" t="s">
        <v>81</v>
      </c>
      <c r="AR1456" s="6" t="s">
        <v>18006</v>
      </c>
      <c r="AS1456" s="6" t="s">
        <v>18380</v>
      </c>
      <c r="AT1456" s="6" t="s">
        <v>18444</v>
      </c>
      <c r="AU1456" s="6" t="s">
        <v>19197</v>
      </c>
      <c r="AV1456" s="6" t="s">
        <v>81</v>
      </c>
      <c r="AW1456" s="6" t="s">
        <v>81</v>
      </c>
      <c r="AX1456" s="6" t="s">
        <v>21657</v>
      </c>
      <c r="AY1456" s="6" t="s">
        <v>23080</v>
      </c>
      <c r="AZ1456" s="6" t="s">
        <v>81</v>
      </c>
      <c r="BA1456" s="6" t="s">
        <v>81</v>
      </c>
      <c r="BB1456" s="6" t="s">
        <v>81</v>
      </c>
      <c r="BC1456" s="26"/>
      <c r="BD1456" s="26"/>
      <c r="BE1456" s="26"/>
      <c r="BF1456" s="26"/>
      <c r="BG1456" s="26"/>
      <c r="BH1456" s="26"/>
      <c r="BI1456" s="26"/>
      <c r="BJ1456" s="26"/>
      <c r="BK1456" s="26"/>
      <c r="BL1456" s="26"/>
      <c r="BM1456" s="26"/>
      <c r="BN1456" s="26"/>
      <c r="BO1456" s="26"/>
      <c r="BP1456" s="16" t="n">
        <v>45684</v>
      </c>
      <c r="BQ1456" s="28" t="str">
        <f>HYPERLINK("https://organic.ams.usda.gov/Integrity/Certificate.aspx?cid=68&amp;nopid=8210001919")</f>
        <v>https://organic.ams.usda.gov/Integrity/Certificate.aspx?cid=68&amp;nopid=8210001919</v>
      </c>
    </row>
    <row r="1457">
      <c r="A1457" t="s">
        <v>3</v>
      </c>
      <c r="B1457" s="6" t="s">
        <v>35</v>
      </c>
      <c r="C1457" s="6" t="s">
        <v>82</v>
      </c>
      <c r="D1457" s="6" t="s">
        <v>127</v>
      </c>
      <c r="E1457" s="10" t="s">
        <v>1598</v>
      </c>
      <c r="F1457" s="6" t="s">
        <v>4322</v>
      </c>
      <c r="G1457" s="6" t="s">
        <v>81</v>
      </c>
      <c r="H1457" s="6" t="s">
        <v>7227</v>
      </c>
      <c r="I1457" s="6" t="s">
        <v>8513</v>
      </c>
      <c r="J1457" s="6" t="s">
        <v>10343</v>
      </c>
      <c r="K1457" s="6" t="s">
        <v>10886</v>
      </c>
      <c r="L1457" s="16" t="n">
        <v>38898</v>
      </c>
      <c r="M1457" s="16" t="n">
        <v>45762</v>
      </c>
      <c r="N1457" s="6" t="s">
        <v>10886</v>
      </c>
      <c r="O1457" s="16" t="n">
        <v>38898</v>
      </c>
      <c r="P1457" s="6" t="s">
        <v>11140</v>
      </c>
      <c r="Q1457" s="6" t="s">
        <v>81</v>
      </c>
      <c r="R1457" s="6" t="s">
        <v>12819</v>
      </c>
      <c r="S1457" s="6" t="s">
        <v>10886</v>
      </c>
      <c r="T1457" s="16" t="n">
        <v>38898</v>
      </c>
      <c r="U1457" s="6" t="s">
        <v>13633</v>
      </c>
      <c r="V1457" s="6" t="s">
        <v>81</v>
      </c>
      <c r="W1457" s="6" t="s">
        <v>12819</v>
      </c>
      <c r="X1457" s="6" t="s">
        <v>81</v>
      </c>
      <c r="Y1457" s="21" t="s">
        <v>81</v>
      </c>
      <c r="Z1457" s="6" t="s">
        <v>81</v>
      </c>
      <c r="AA1457" s="6" t="s">
        <v>81</v>
      </c>
      <c r="AB1457" s="6" t="s">
        <v>81</v>
      </c>
      <c r="AC1457" s="6" t="s">
        <v>81</v>
      </c>
      <c r="AD1457" s="21" t="s">
        <v>81</v>
      </c>
      <c r="AE1457" s="6" t="s">
        <v>81</v>
      </c>
      <c r="AF1457" s="6" t="s">
        <v>81</v>
      </c>
      <c r="AG1457" s="6" t="s">
        <v>81</v>
      </c>
      <c r="AH1457" s="6" t="s">
        <v>16026</v>
      </c>
      <c r="AI1457" s="6" t="s">
        <v>81</v>
      </c>
      <c r="AJ1457" s="6" t="s">
        <v>18007</v>
      </c>
      <c r="AK1457" s="6" t="s">
        <v>18405</v>
      </c>
      <c r="AL1457" s="6" t="s">
        <v>18444</v>
      </c>
      <c r="AM1457" s="6" t="s">
        <v>19198</v>
      </c>
      <c r="AN1457" s="6" t="s">
        <v>19696</v>
      </c>
      <c r="AO1457" s="6" t="s">
        <v>19805</v>
      </c>
      <c r="AP1457" s="6" t="s">
        <v>16026</v>
      </c>
      <c r="AQ1457" s="6" t="s">
        <v>81</v>
      </c>
      <c r="AR1457" s="6" t="s">
        <v>18007</v>
      </c>
      <c r="AS1457" s="6" t="s">
        <v>18405</v>
      </c>
      <c r="AT1457" s="6" t="s">
        <v>18444</v>
      </c>
      <c r="AU1457" s="6" t="s">
        <v>19198</v>
      </c>
      <c r="AV1457" s="6" t="s">
        <v>81</v>
      </c>
      <c r="AW1457" s="6" t="s">
        <v>81</v>
      </c>
      <c r="AX1457" s="6" t="s">
        <v>21658</v>
      </c>
      <c r="AY1457" s="6" t="s">
        <v>23081</v>
      </c>
      <c r="AZ1457" s="6" t="s">
        <v>81</v>
      </c>
      <c r="BA1457" s="6" t="s">
        <v>81</v>
      </c>
      <c r="BB1457" s="24" t="n">
        <v>411</v>
      </c>
      <c r="BC1457" s="26"/>
      <c r="BD1457" s="26"/>
      <c r="BE1457" s="26"/>
      <c r="BF1457" s="26"/>
      <c r="BG1457" s="26"/>
      <c r="BH1457" s="26"/>
      <c r="BI1457" s="26"/>
      <c r="BJ1457" s="26"/>
      <c r="BK1457" s="26"/>
      <c r="BL1457" s="26"/>
      <c r="BM1457" s="26"/>
      <c r="BN1457" s="26"/>
      <c r="BO1457" s="26"/>
      <c r="BP1457" s="16" t="n">
        <v>45694</v>
      </c>
      <c r="BQ1457" s="28" t="str">
        <f>HYPERLINK("https://organic.ams.usda.gov/Integrity/Certificate.aspx?cid=47&amp;nopid=7142073583")</f>
        <v>https://organic.ams.usda.gov/Integrity/Certificate.aspx?cid=47&amp;nopid=7142073583</v>
      </c>
    </row>
    <row r="1458">
      <c r="A1458" t="s">
        <v>3</v>
      </c>
      <c r="B1458" s="6" t="s">
        <v>12</v>
      </c>
      <c r="C1458" s="6" t="s">
        <v>59</v>
      </c>
      <c r="D1458" s="6" t="s">
        <v>105</v>
      </c>
      <c r="E1458" s="10" t="s">
        <v>1599</v>
      </c>
      <c r="F1458" s="6" t="s">
        <v>4323</v>
      </c>
      <c r="G1458" s="6" t="s">
        <v>81</v>
      </c>
      <c r="H1458" s="6" t="s">
        <v>7228</v>
      </c>
      <c r="I1458" s="6" t="s">
        <v>8787</v>
      </c>
      <c r="J1458" s="6" t="s">
        <v>10344</v>
      </c>
      <c r="K1458" s="6" t="s">
        <v>10886</v>
      </c>
      <c r="L1458" s="16" t="n">
        <v>44125</v>
      </c>
      <c r="M1458" s="16" t="n">
        <v>45717</v>
      </c>
      <c r="N1458" s="6" t="s">
        <v>81</v>
      </c>
      <c r="O1458" s="21" t="s">
        <v>81</v>
      </c>
      <c r="P1458" s="6" t="s">
        <v>81</v>
      </c>
      <c r="Q1458" s="6" t="s">
        <v>81</v>
      </c>
      <c r="R1458" s="6" t="s">
        <v>81</v>
      </c>
      <c r="S1458" s="6" t="s">
        <v>81</v>
      </c>
      <c r="T1458" s="21" t="s">
        <v>81</v>
      </c>
      <c r="U1458" s="6" t="s">
        <v>81</v>
      </c>
      <c r="V1458" s="6" t="s">
        <v>81</v>
      </c>
      <c r="W1458" s="6" t="s">
        <v>81</v>
      </c>
      <c r="X1458" s="6" t="s">
        <v>81</v>
      </c>
      <c r="Y1458" s="21" t="s">
        <v>81</v>
      </c>
      <c r="Z1458" s="6" t="s">
        <v>81</v>
      </c>
      <c r="AA1458" s="6" t="s">
        <v>81</v>
      </c>
      <c r="AB1458" s="6" t="s">
        <v>81</v>
      </c>
      <c r="AC1458" s="6" t="s">
        <v>10886</v>
      </c>
      <c r="AD1458" s="16" t="n">
        <v>44125</v>
      </c>
      <c r="AE1458" s="6" t="s">
        <v>14269</v>
      </c>
      <c r="AF1458" s="6" t="s">
        <v>81</v>
      </c>
      <c r="AG1458" s="6" t="s">
        <v>81</v>
      </c>
      <c r="AH1458" s="6" t="s">
        <v>16027</v>
      </c>
      <c r="AI1458" s="6" t="s">
        <v>81</v>
      </c>
      <c r="AJ1458" s="6" t="s">
        <v>18008</v>
      </c>
      <c r="AK1458" s="6" t="s">
        <v>17712</v>
      </c>
      <c r="AL1458" s="6" t="s">
        <v>18444</v>
      </c>
      <c r="AM1458" s="6" t="s">
        <v>19199</v>
      </c>
      <c r="AN1458" s="6" t="s">
        <v>19652</v>
      </c>
      <c r="AO1458" s="6" t="s">
        <v>19742</v>
      </c>
      <c r="AP1458" s="6" t="s">
        <v>16027</v>
      </c>
      <c r="AQ1458" s="6" t="s">
        <v>81</v>
      </c>
      <c r="AR1458" s="6" t="s">
        <v>18008</v>
      </c>
      <c r="AS1458" s="6" t="s">
        <v>17712</v>
      </c>
      <c r="AT1458" s="6" t="s">
        <v>18444</v>
      </c>
      <c r="AU1458" s="6" t="s">
        <v>19199</v>
      </c>
      <c r="AV1458" s="6" t="s">
        <v>81</v>
      </c>
      <c r="AW1458" s="6" t="s">
        <v>81</v>
      </c>
      <c r="AX1458" s="6" t="s">
        <v>21659</v>
      </c>
      <c r="AY1458" s="6" t="s">
        <v>23082</v>
      </c>
      <c r="AZ1458" s="6" t="s">
        <v>81</v>
      </c>
      <c r="BA1458" s="6" t="s">
        <v>81</v>
      </c>
      <c r="BB1458" s="6" t="s">
        <v>81</v>
      </c>
      <c r="BC1458" s="26"/>
      <c r="BD1458" s="26"/>
      <c r="BE1458" s="26"/>
      <c r="BF1458" s="26"/>
      <c r="BG1458" s="26"/>
      <c r="BH1458" s="26"/>
      <c r="BI1458" s="26"/>
      <c r="BJ1458" s="26"/>
      <c r="BK1458" s="26"/>
      <c r="BL1458" s="26"/>
      <c r="BM1458" s="26"/>
      <c r="BN1458" s="26"/>
      <c r="BO1458" s="26"/>
      <c r="BP1458" s="16" t="n">
        <v>45695</v>
      </c>
      <c r="BQ1458" s="28" t="str">
        <f>HYPERLINK("https://organic.ams.usda.gov/Integrity/Certificate.aspx?cid=68&amp;nopid=8210005103")</f>
        <v>https://organic.ams.usda.gov/Integrity/Certificate.aspx?cid=68&amp;nopid=8210005103</v>
      </c>
    </row>
    <row r="1459">
      <c r="A1459" t="s">
        <v>3</v>
      </c>
      <c r="B1459" s="6" t="s">
        <v>7</v>
      </c>
      <c r="C1459" s="6" t="s">
        <v>54</v>
      </c>
      <c r="D1459" s="6" t="s">
        <v>100</v>
      </c>
      <c r="E1459" s="10" t="s">
        <v>1600</v>
      </c>
      <c r="F1459" s="6" t="s">
        <v>4324</v>
      </c>
      <c r="G1459" s="6" t="s">
        <v>81</v>
      </c>
      <c r="H1459" s="6" t="s">
        <v>7229</v>
      </c>
      <c r="I1459" s="6" t="s">
        <v>8477</v>
      </c>
      <c r="J1459" s="6" t="s">
        <v>10345</v>
      </c>
      <c r="K1459" s="6" t="s">
        <v>10886</v>
      </c>
      <c r="L1459" s="16" t="n">
        <v>37427</v>
      </c>
      <c r="M1459" s="16" t="n">
        <v>45716</v>
      </c>
      <c r="N1459" s="6" t="s">
        <v>10886</v>
      </c>
      <c r="O1459" s="16" t="n">
        <v>37427</v>
      </c>
      <c r="P1459" s="6" t="s">
        <v>10993</v>
      </c>
      <c r="Q1459" s="6" t="s">
        <v>81</v>
      </c>
      <c r="R1459" s="6" t="s">
        <v>81</v>
      </c>
      <c r="S1459" s="6" t="s">
        <v>10886</v>
      </c>
      <c r="T1459" s="16" t="n">
        <v>37427</v>
      </c>
      <c r="U1459" s="6" t="s">
        <v>13309</v>
      </c>
      <c r="V1459" s="6" t="s">
        <v>81</v>
      </c>
      <c r="W1459" s="6" t="s">
        <v>81</v>
      </c>
      <c r="X1459" s="6" t="s">
        <v>81</v>
      </c>
      <c r="Y1459" s="21" t="s">
        <v>81</v>
      </c>
      <c r="Z1459" s="6" t="s">
        <v>81</v>
      </c>
      <c r="AA1459" s="6" t="s">
        <v>81</v>
      </c>
      <c r="AB1459" s="6" t="s">
        <v>81</v>
      </c>
      <c r="AC1459" s="6" t="s">
        <v>81</v>
      </c>
      <c r="AD1459" s="21" t="s">
        <v>81</v>
      </c>
      <c r="AE1459" s="6" t="s">
        <v>81</v>
      </c>
      <c r="AF1459" s="6" t="s">
        <v>81</v>
      </c>
      <c r="AG1459" s="6" t="s">
        <v>81</v>
      </c>
      <c r="AH1459" s="6" t="s">
        <v>16028</v>
      </c>
      <c r="AI1459" s="6" t="s">
        <v>81</v>
      </c>
      <c r="AJ1459" s="6" t="s">
        <v>17671</v>
      </c>
      <c r="AK1459" s="6" t="s">
        <v>17712</v>
      </c>
      <c r="AL1459" s="6" t="s">
        <v>18444</v>
      </c>
      <c r="AM1459" s="6" t="s">
        <v>18838</v>
      </c>
      <c r="AN1459" s="6" t="s">
        <v>6139</v>
      </c>
      <c r="AO1459" s="6" t="s">
        <v>19808</v>
      </c>
      <c r="AP1459" s="6" t="s">
        <v>16028</v>
      </c>
      <c r="AQ1459" s="6" t="s">
        <v>81</v>
      </c>
      <c r="AR1459" s="6" t="s">
        <v>17671</v>
      </c>
      <c r="AS1459" s="6" t="s">
        <v>17712</v>
      </c>
      <c r="AT1459" s="6" t="s">
        <v>18444</v>
      </c>
      <c r="AU1459" s="6" t="s">
        <v>20666</v>
      </c>
      <c r="AV1459" s="6" t="s">
        <v>81</v>
      </c>
      <c r="AW1459" s="6" t="s">
        <v>81</v>
      </c>
      <c r="AX1459" s="6" t="s">
        <v>21660</v>
      </c>
      <c r="AY1459" s="6" t="s">
        <v>23083</v>
      </c>
      <c r="AZ1459" s="6" t="s">
        <v>81</v>
      </c>
      <c r="BA1459" s="6" t="s">
        <v>81</v>
      </c>
      <c r="BB1459" s="24" t="n">
        <v>227</v>
      </c>
      <c r="BC1459" s="26"/>
      <c r="BD1459" s="26"/>
      <c r="BE1459" s="26"/>
      <c r="BF1459" s="26" t="s">
        <v>23900</v>
      </c>
      <c r="BG1459" s="26"/>
      <c r="BH1459" s="26"/>
      <c r="BI1459" s="26"/>
      <c r="BJ1459" s="26"/>
      <c r="BK1459" s="26"/>
      <c r="BL1459" s="26"/>
      <c r="BM1459" s="26"/>
      <c r="BN1459" s="26"/>
      <c r="BO1459" s="26"/>
      <c r="BP1459" s="16" t="n">
        <v>45595</v>
      </c>
      <c r="BQ1459" s="28" t="str">
        <f>HYPERLINK("https://organic.ams.usda.gov/Integrity/Certificate.aspx?cid=57&amp;nopid=3250970024")</f>
        <v>https://organic.ams.usda.gov/Integrity/Certificate.aspx?cid=57&amp;nopid=3250970024</v>
      </c>
    </row>
    <row r="1460">
      <c r="A1460" t="s">
        <v>3</v>
      </c>
      <c r="B1460" s="6" t="s">
        <v>14</v>
      </c>
      <c r="C1460" s="6" t="s">
        <v>61</v>
      </c>
      <c r="D1460" s="6" t="s">
        <v>107</v>
      </c>
      <c r="E1460" s="10" t="s">
        <v>1601</v>
      </c>
      <c r="F1460" s="6" t="s">
        <v>4325</v>
      </c>
      <c r="G1460" s="6" t="s">
        <v>81</v>
      </c>
      <c r="H1460" s="6" t="s">
        <v>7230</v>
      </c>
      <c r="I1460" s="6" t="s">
        <v>8586</v>
      </c>
      <c r="J1460" s="6" t="s">
        <v>10346</v>
      </c>
      <c r="K1460" s="6" t="s">
        <v>10886</v>
      </c>
      <c r="L1460" s="16" t="n">
        <v>45685</v>
      </c>
      <c r="M1460" s="16" t="n">
        <v>45931</v>
      </c>
      <c r="N1460" s="6" t="s">
        <v>81</v>
      </c>
      <c r="O1460" s="21" t="s">
        <v>81</v>
      </c>
      <c r="P1460" s="6" t="s">
        <v>81</v>
      </c>
      <c r="Q1460" s="6" t="s">
        <v>81</v>
      </c>
      <c r="R1460" s="6" t="s">
        <v>81</v>
      </c>
      <c r="S1460" s="6" t="s">
        <v>81</v>
      </c>
      <c r="T1460" s="21" t="s">
        <v>81</v>
      </c>
      <c r="U1460" s="6" t="s">
        <v>81</v>
      </c>
      <c r="V1460" s="6" t="s">
        <v>81</v>
      </c>
      <c r="W1460" s="6" t="s">
        <v>81</v>
      </c>
      <c r="X1460" s="6" t="s">
        <v>81</v>
      </c>
      <c r="Y1460" s="21" t="s">
        <v>81</v>
      </c>
      <c r="Z1460" s="6" t="s">
        <v>81</v>
      </c>
      <c r="AA1460" s="6" t="s">
        <v>81</v>
      </c>
      <c r="AB1460" s="6" t="s">
        <v>81</v>
      </c>
      <c r="AC1460" s="6" t="s">
        <v>10886</v>
      </c>
      <c r="AD1460" s="16" t="n">
        <v>45685</v>
      </c>
      <c r="AE1460" s="6" t="s">
        <v>14270</v>
      </c>
      <c r="AF1460" s="6" t="s">
        <v>81</v>
      </c>
      <c r="AG1460" s="6" t="s">
        <v>81</v>
      </c>
      <c r="AH1460" s="6" t="s">
        <v>16029</v>
      </c>
      <c r="AI1460" s="6" t="s">
        <v>81</v>
      </c>
      <c r="AJ1460" s="6" t="s">
        <v>18009</v>
      </c>
      <c r="AK1460" s="6" t="s">
        <v>17712</v>
      </c>
      <c r="AL1460" s="6" t="s">
        <v>18444</v>
      </c>
      <c r="AM1460" s="6" t="s">
        <v>19200</v>
      </c>
      <c r="AN1460" s="6" t="s">
        <v>81</v>
      </c>
      <c r="AO1460" s="6" t="s">
        <v>81</v>
      </c>
      <c r="AP1460" s="6" t="s">
        <v>16029</v>
      </c>
      <c r="AQ1460" s="6" t="s">
        <v>81</v>
      </c>
      <c r="AR1460" s="6" t="s">
        <v>18009</v>
      </c>
      <c r="AS1460" s="6" t="s">
        <v>17712</v>
      </c>
      <c r="AT1460" s="6" t="s">
        <v>18444</v>
      </c>
      <c r="AU1460" s="6" t="s">
        <v>19200</v>
      </c>
      <c r="AV1460" s="6" t="s">
        <v>81</v>
      </c>
      <c r="AW1460" s="6" t="s">
        <v>81</v>
      </c>
      <c r="AX1460" s="6" t="s">
        <v>21661</v>
      </c>
      <c r="AY1460" s="6" t="s">
        <v>23084</v>
      </c>
      <c r="AZ1460" s="6" t="s">
        <v>81</v>
      </c>
      <c r="BA1460" s="6" t="s">
        <v>81</v>
      </c>
      <c r="BB1460" s="24" t="n">
        <v>0</v>
      </c>
      <c r="BC1460" s="26"/>
      <c r="BD1460" s="26"/>
      <c r="BE1460" s="26"/>
      <c r="BF1460" s="26"/>
      <c r="BG1460" s="26"/>
      <c r="BH1460" s="26"/>
      <c r="BI1460" s="26"/>
      <c r="BJ1460" s="26"/>
      <c r="BK1460" s="26"/>
      <c r="BL1460" s="26"/>
      <c r="BM1460" s="26"/>
      <c r="BN1460" s="26"/>
      <c r="BO1460" s="26"/>
      <c r="BP1460" s="16" t="n">
        <v>45713</v>
      </c>
      <c r="BQ1460" s="28" t="str">
        <f>HYPERLINK("https://organic.ams.usda.gov/Integrity/Certificate.aspx?cid=51&amp;nopid=8241000219")</f>
        <v>https://organic.ams.usda.gov/Integrity/Certificate.aspx?cid=51&amp;nopid=8241000219</v>
      </c>
    </row>
    <row r="1461">
      <c r="A1461" t="s">
        <v>3</v>
      </c>
      <c r="B1461" s="6" t="s">
        <v>31</v>
      </c>
      <c r="C1461" s="6" t="s">
        <v>78</v>
      </c>
      <c r="D1461" s="6" t="s">
        <v>124</v>
      </c>
      <c r="E1461" s="10" t="s">
        <v>1602</v>
      </c>
      <c r="F1461" s="6" t="s">
        <v>4326</v>
      </c>
      <c r="G1461" s="6" t="s">
        <v>81</v>
      </c>
      <c r="H1461" s="6" t="s">
        <v>7231</v>
      </c>
      <c r="I1461" s="6" t="s">
        <v>9147</v>
      </c>
      <c r="J1461" s="6" t="s">
        <v>10347</v>
      </c>
      <c r="K1461" s="6" t="s">
        <v>10886</v>
      </c>
      <c r="L1461" s="16" t="n">
        <v>45646</v>
      </c>
      <c r="M1461" s="16" t="n">
        <v>45900</v>
      </c>
      <c r="N1461" s="6" t="s">
        <v>81</v>
      </c>
      <c r="O1461" s="21" t="s">
        <v>81</v>
      </c>
      <c r="P1461" s="6" t="s">
        <v>81</v>
      </c>
      <c r="Q1461" s="6" t="s">
        <v>81</v>
      </c>
      <c r="R1461" s="6" t="s">
        <v>81</v>
      </c>
      <c r="S1461" s="6" t="s">
        <v>81</v>
      </c>
      <c r="T1461" s="21" t="s">
        <v>81</v>
      </c>
      <c r="U1461" s="6" t="s">
        <v>81</v>
      </c>
      <c r="V1461" s="6" t="s">
        <v>81</v>
      </c>
      <c r="W1461" s="6" t="s">
        <v>81</v>
      </c>
      <c r="X1461" s="6" t="s">
        <v>81</v>
      </c>
      <c r="Y1461" s="21" t="s">
        <v>81</v>
      </c>
      <c r="Z1461" s="6" t="s">
        <v>81</v>
      </c>
      <c r="AA1461" s="6" t="s">
        <v>81</v>
      </c>
      <c r="AB1461" s="6" t="s">
        <v>81</v>
      </c>
      <c r="AC1461" s="6" t="s">
        <v>10886</v>
      </c>
      <c r="AD1461" s="16" t="n">
        <v>45646</v>
      </c>
      <c r="AE1461" s="6" t="s">
        <v>14271</v>
      </c>
      <c r="AF1461" s="6" t="s">
        <v>81</v>
      </c>
      <c r="AG1461" s="6" t="s">
        <v>7231</v>
      </c>
      <c r="AH1461" s="6" t="s">
        <v>16030</v>
      </c>
      <c r="AI1461" s="6" t="s">
        <v>81</v>
      </c>
      <c r="AJ1461" s="6" t="s">
        <v>18010</v>
      </c>
      <c r="AK1461" s="6" t="s">
        <v>18429</v>
      </c>
      <c r="AL1461" s="6" t="s">
        <v>17856</v>
      </c>
      <c r="AM1461" s="6" t="s">
        <v>19201</v>
      </c>
      <c r="AN1461" s="6" t="s">
        <v>81</v>
      </c>
      <c r="AO1461" s="6" t="s">
        <v>81</v>
      </c>
      <c r="AP1461" s="6" t="s">
        <v>16030</v>
      </c>
      <c r="AQ1461" s="6" t="s">
        <v>81</v>
      </c>
      <c r="AR1461" s="6" t="s">
        <v>18010</v>
      </c>
      <c r="AS1461" s="6" t="s">
        <v>18429</v>
      </c>
      <c r="AT1461" s="6" t="s">
        <v>17856</v>
      </c>
      <c r="AU1461" s="6" t="s">
        <v>19201</v>
      </c>
      <c r="AV1461" s="6" t="s">
        <v>81</v>
      </c>
      <c r="AW1461" s="6" t="s">
        <v>81</v>
      </c>
      <c r="AX1461" s="6" t="s">
        <v>21662</v>
      </c>
      <c r="AY1461" s="6" t="s">
        <v>23085</v>
      </c>
      <c r="AZ1461" s="6" t="s">
        <v>81</v>
      </c>
      <c r="BA1461" s="6" t="s">
        <v>81</v>
      </c>
      <c r="BB1461" s="6" t="s">
        <v>81</v>
      </c>
      <c r="BC1461" s="26"/>
      <c r="BD1461" s="26"/>
      <c r="BE1461" s="26"/>
      <c r="BF1461" s="26"/>
      <c r="BG1461" s="26"/>
      <c r="BH1461" s="26"/>
      <c r="BI1461" s="26"/>
      <c r="BJ1461" s="26"/>
      <c r="BK1461" s="26"/>
      <c r="BL1461" s="26"/>
      <c r="BM1461" s="26"/>
      <c r="BN1461" s="26"/>
      <c r="BO1461" s="26"/>
      <c r="BP1461" s="16" t="n">
        <v>45649</v>
      </c>
      <c r="BQ1461" s="28" t="str">
        <f>HYPERLINK("https://organic.ams.usda.gov/Integrity/Certificate.aspx?cid=7&amp;nopid=3950001318")</f>
        <v>https://organic.ams.usda.gov/Integrity/Certificate.aspx?cid=7&amp;nopid=3950001318</v>
      </c>
    </row>
    <row r="1462">
      <c r="A1462" t="s">
        <v>3</v>
      </c>
      <c r="B1462" s="6" t="s">
        <v>11</v>
      </c>
      <c r="C1462" s="6" t="s">
        <v>58</v>
      </c>
      <c r="D1462" s="6" t="s">
        <v>104</v>
      </c>
      <c r="E1462" s="10" t="s">
        <v>1603</v>
      </c>
      <c r="F1462" s="6" t="s">
        <v>4327</v>
      </c>
      <c r="G1462" s="6" t="s">
        <v>5727</v>
      </c>
      <c r="H1462" s="6" t="s">
        <v>81</v>
      </c>
      <c r="I1462" s="6" t="s">
        <v>9148</v>
      </c>
      <c r="J1462" s="6" t="s">
        <v>9734</v>
      </c>
      <c r="K1462" s="6" t="s">
        <v>10886</v>
      </c>
      <c r="L1462" s="16" t="n">
        <v>43465</v>
      </c>
      <c r="M1462" s="16" t="n">
        <v>45383</v>
      </c>
      <c r="N1462" s="6" t="s">
        <v>10886</v>
      </c>
      <c r="O1462" s="16" t="n">
        <v>43465</v>
      </c>
      <c r="P1462" s="6" t="s">
        <v>11767</v>
      </c>
      <c r="Q1462" s="6" t="s">
        <v>81</v>
      </c>
      <c r="R1462" s="6" t="s">
        <v>81</v>
      </c>
      <c r="S1462" s="6" t="s">
        <v>10886</v>
      </c>
      <c r="T1462" s="16" t="n">
        <v>43465</v>
      </c>
      <c r="U1462" s="6" t="s">
        <v>13213</v>
      </c>
      <c r="V1462" s="6" t="s">
        <v>81</v>
      </c>
      <c r="W1462" s="6" t="s">
        <v>81</v>
      </c>
      <c r="X1462" s="6" t="s">
        <v>81</v>
      </c>
      <c r="Y1462" s="21" t="s">
        <v>81</v>
      </c>
      <c r="Z1462" s="6" t="s">
        <v>81</v>
      </c>
      <c r="AA1462" s="6" t="s">
        <v>81</v>
      </c>
      <c r="AB1462" s="6" t="s">
        <v>81</v>
      </c>
      <c r="AC1462" s="6" t="s">
        <v>81</v>
      </c>
      <c r="AD1462" s="21" t="s">
        <v>81</v>
      </c>
      <c r="AE1462" s="6" t="s">
        <v>81</v>
      </c>
      <c r="AF1462" s="6" t="s">
        <v>81</v>
      </c>
      <c r="AG1462" s="6" t="s">
        <v>81</v>
      </c>
      <c r="AH1462" s="6" t="s">
        <v>16031</v>
      </c>
      <c r="AI1462" s="6" t="s">
        <v>81</v>
      </c>
      <c r="AJ1462" s="6" t="s">
        <v>17373</v>
      </c>
      <c r="AK1462" s="6" t="s">
        <v>18377</v>
      </c>
      <c r="AL1462" s="6" t="s">
        <v>18444</v>
      </c>
      <c r="AM1462" s="6" t="s">
        <v>18546</v>
      </c>
      <c r="AN1462" s="6" t="s">
        <v>19652</v>
      </c>
      <c r="AO1462" s="6" t="s">
        <v>19772</v>
      </c>
      <c r="AP1462" s="6" t="s">
        <v>16031</v>
      </c>
      <c r="AQ1462" s="6" t="s">
        <v>81</v>
      </c>
      <c r="AR1462" s="6" t="s">
        <v>17373</v>
      </c>
      <c r="AS1462" s="6" t="s">
        <v>18377</v>
      </c>
      <c r="AT1462" s="6" t="s">
        <v>18444</v>
      </c>
      <c r="AU1462" s="6" t="s">
        <v>18546</v>
      </c>
      <c r="AV1462" s="6" t="s">
        <v>81</v>
      </c>
      <c r="AW1462" s="6" t="s">
        <v>81</v>
      </c>
      <c r="AX1462" s="6" t="s">
        <v>81</v>
      </c>
      <c r="AY1462" s="6" t="s">
        <v>81</v>
      </c>
      <c r="AZ1462" s="6" t="s">
        <v>81</v>
      </c>
      <c r="BA1462" s="6" t="s">
        <v>81</v>
      </c>
      <c r="BB1462" s="24" t="n">
        <v>55</v>
      </c>
      <c r="BC1462" s="26"/>
      <c r="BD1462" s="26"/>
      <c r="BE1462" s="26"/>
      <c r="BF1462" s="26"/>
      <c r="BG1462" s="26"/>
      <c r="BH1462" s="26"/>
      <c r="BI1462" s="26"/>
      <c r="BJ1462" s="26"/>
      <c r="BK1462" s="26"/>
      <c r="BL1462" s="26"/>
      <c r="BM1462" s="26"/>
      <c r="BN1462" s="26"/>
      <c r="BO1462" s="26"/>
      <c r="BP1462" s="16" t="n">
        <v>45527</v>
      </c>
      <c r="BQ1462" s="28" t="str">
        <f>HYPERLINK("https://organic.ams.usda.gov/Integrity/Certificate.aspx?cid=46&amp;nopid=3671800109")</f>
        <v>https://organic.ams.usda.gov/Integrity/Certificate.aspx?cid=46&amp;nopid=3671800109</v>
      </c>
    </row>
    <row r="1463">
      <c r="A1463" t="s">
        <v>3</v>
      </c>
      <c r="B1463" s="6" t="s">
        <v>8</v>
      </c>
      <c r="C1463" s="6" t="s">
        <v>55</v>
      </c>
      <c r="D1463" s="6" t="s">
        <v>101</v>
      </c>
      <c r="E1463" s="10" t="s">
        <v>1604</v>
      </c>
      <c r="F1463" s="6" t="s">
        <v>4328</v>
      </c>
      <c r="G1463" s="6" t="s">
        <v>81</v>
      </c>
      <c r="H1463" s="6" t="s">
        <v>7232</v>
      </c>
      <c r="I1463" s="6" t="s">
        <v>8601</v>
      </c>
      <c r="J1463" s="6" t="s">
        <v>10348</v>
      </c>
      <c r="K1463" s="6" t="s">
        <v>10886</v>
      </c>
      <c r="L1463" s="16" t="n">
        <v>44042</v>
      </c>
      <c r="M1463" s="16" t="n">
        <v>45748</v>
      </c>
      <c r="N1463" s="6" t="s">
        <v>10886</v>
      </c>
      <c r="O1463" s="16" t="n">
        <v>44042</v>
      </c>
      <c r="P1463" s="6" t="s">
        <v>11768</v>
      </c>
      <c r="Q1463" s="6" t="s">
        <v>81</v>
      </c>
      <c r="R1463" s="6" t="s">
        <v>7232</v>
      </c>
      <c r="S1463" s="6" t="s">
        <v>10886</v>
      </c>
      <c r="T1463" s="16" t="n">
        <v>44042</v>
      </c>
      <c r="U1463" s="6" t="s">
        <v>13508</v>
      </c>
      <c r="V1463" s="6" t="s">
        <v>81</v>
      </c>
      <c r="W1463" s="6" t="s">
        <v>7232</v>
      </c>
      <c r="X1463" s="6" t="s">
        <v>81</v>
      </c>
      <c r="Y1463" s="21" t="s">
        <v>81</v>
      </c>
      <c r="Z1463" s="6" t="s">
        <v>81</v>
      </c>
      <c r="AA1463" s="6" t="s">
        <v>81</v>
      </c>
      <c r="AB1463" s="6" t="s">
        <v>81</v>
      </c>
      <c r="AC1463" s="6" t="s">
        <v>81</v>
      </c>
      <c r="AD1463" s="21" t="s">
        <v>81</v>
      </c>
      <c r="AE1463" s="6" t="s">
        <v>81</v>
      </c>
      <c r="AF1463" s="6" t="s">
        <v>81</v>
      </c>
      <c r="AG1463" s="6" t="s">
        <v>81</v>
      </c>
      <c r="AH1463" s="6" t="s">
        <v>16032</v>
      </c>
      <c r="AI1463" s="6" t="s">
        <v>81</v>
      </c>
      <c r="AJ1463" s="6" t="s">
        <v>9215</v>
      </c>
      <c r="AK1463" s="6" t="s">
        <v>18377</v>
      </c>
      <c r="AL1463" s="6" t="s">
        <v>18444</v>
      </c>
      <c r="AM1463" s="6" t="s">
        <v>18671</v>
      </c>
      <c r="AN1463" s="6" t="s">
        <v>7595</v>
      </c>
      <c r="AO1463" s="6" t="s">
        <v>19826</v>
      </c>
      <c r="AP1463" s="6" t="s">
        <v>81</v>
      </c>
      <c r="AQ1463" s="6" t="s">
        <v>81</v>
      </c>
      <c r="AR1463" s="6" t="s">
        <v>81</v>
      </c>
      <c r="AS1463" s="6" t="s">
        <v>81</v>
      </c>
      <c r="AT1463" s="6" t="s">
        <v>81</v>
      </c>
      <c r="AU1463" s="6" t="s">
        <v>81</v>
      </c>
      <c r="AV1463" s="6" t="s">
        <v>81</v>
      </c>
      <c r="AW1463" s="6" t="s">
        <v>81</v>
      </c>
      <c r="AX1463" s="6" t="s">
        <v>21663</v>
      </c>
      <c r="AY1463" s="6" t="s">
        <v>23086</v>
      </c>
      <c r="AZ1463" s="6" t="s">
        <v>81</v>
      </c>
      <c r="BA1463" s="6" t="s">
        <v>23819</v>
      </c>
      <c r="BB1463" s="24" t="n">
        <v>72</v>
      </c>
      <c r="BC1463" s="26"/>
      <c r="BD1463" s="26"/>
      <c r="BE1463" s="26"/>
      <c r="BF1463" s="26" t="s">
        <v>23900</v>
      </c>
      <c r="BG1463" s="26"/>
      <c r="BH1463" s="26"/>
      <c r="BI1463" s="26"/>
      <c r="BJ1463" s="26"/>
      <c r="BK1463" s="26"/>
      <c r="BL1463" s="26"/>
      <c r="BM1463" s="26"/>
      <c r="BN1463" s="26"/>
      <c r="BO1463" s="26"/>
      <c r="BP1463" s="16" t="n">
        <v>45596</v>
      </c>
      <c r="BQ1463" s="28" t="str">
        <f>HYPERLINK("https://organic.ams.usda.gov/Integrity/Certificate.aspx?cid=45&amp;nopid=9950012492")</f>
        <v>https://organic.ams.usda.gov/Integrity/Certificate.aspx?cid=45&amp;nopid=9950012492</v>
      </c>
    </row>
    <row r="1464">
      <c r="A1464" t="s">
        <v>3</v>
      </c>
      <c r="B1464" s="6" t="s">
        <v>11</v>
      </c>
      <c r="C1464" s="6" t="s">
        <v>58</v>
      </c>
      <c r="D1464" s="6" t="s">
        <v>104</v>
      </c>
      <c r="E1464" s="10" t="s">
        <v>1605</v>
      </c>
      <c r="F1464" s="6" t="s">
        <v>4329</v>
      </c>
      <c r="G1464" s="6" t="s">
        <v>81</v>
      </c>
      <c r="H1464" s="6" t="s">
        <v>81</v>
      </c>
      <c r="I1464" s="6" t="s">
        <v>9149</v>
      </c>
      <c r="J1464" s="6" t="s">
        <v>10349</v>
      </c>
      <c r="K1464" s="6" t="s">
        <v>10886</v>
      </c>
      <c r="L1464" s="16" t="n">
        <v>45454</v>
      </c>
      <c r="M1464" s="16" t="n">
        <v>45748</v>
      </c>
      <c r="N1464" s="6" t="s">
        <v>10886</v>
      </c>
      <c r="O1464" s="16" t="n">
        <v>45454</v>
      </c>
      <c r="P1464" s="6" t="s">
        <v>11769</v>
      </c>
      <c r="Q1464" s="6" t="s">
        <v>81</v>
      </c>
      <c r="R1464" s="6" t="s">
        <v>81</v>
      </c>
      <c r="S1464" s="6" t="s">
        <v>10886</v>
      </c>
      <c r="T1464" s="16" t="n">
        <v>45524</v>
      </c>
      <c r="U1464" s="6" t="s">
        <v>13634</v>
      </c>
      <c r="V1464" s="6" t="s">
        <v>81</v>
      </c>
      <c r="W1464" s="6" t="s">
        <v>81</v>
      </c>
      <c r="X1464" s="6" t="s">
        <v>81</v>
      </c>
      <c r="Y1464" s="21" t="s">
        <v>81</v>
      </c>
      <c r="Z1464" s="6" t="s">
        <v>81</v>
      </c>
      <c r="AA1464" s="6" t="s">
        <v>81</v>
      </c>
      <c r="AB1464" s="6" t="s">
        <v>81</v>
      </c>
      <c r="AC1464" s="6" t="s">
        <v>81</v>
      </c>
      <c r="AD1464" s="21" t="s">
        <v>81</v>
      </c>
      <c r="AE1464" s="6" t="s">
        <v>81</v>
      </c>
      <c r="AF1464" s="6" t="s">
        <v>81</v>
      </c>
      <c r="AG1464" s="6" t="s">
        <v>81</v>
      </c>
      <c r="AH1464" s="6" t="s">
        <v>16033</v>
      </c>
      <c r="AI1464" s="6" t="s">
        <v>81</v>
      </c>
      <c r="AJ1464" s="6" t="s">
        <v>18011</v>
      </c>
      <c r="AK1464" s="6" t="s">
        <v>18377</v>
      </c>
      <c r="AL1464" s="6" t="s">
        <v>18444</v>
      </c>
      <c r="AM1464" s="6" t="s">
        <v>19202</v>
      </c>
      <c r="AN1464" s="6" t="s">
        <v>81</v>
      </c>
      <c r="AO1464" s="6" t="s">
        <v>81</v>
      </c>
      <c r="AP1464" s="6" t="s">
        <v>16033</v>
      </c>
      <c r="AQ1464" s="6" t="s">
        <v>81</v>
      </c>
      <c r="AR1464" s="6" t="s">
        <v>18011</v>
      </c>
      <c r="AS1464" s="6" t="s">
        <v>18377</v>
      </c>
      <c r="AT1464" s="6" t="s">
        <v>18444</v>
      </c>
      <c r="AU1464" s="6" t="s">
        <v>19202</v>
      </c>
      <c r="AV1464" s="6" t="s">
        <v>81</v>
      </c>
      <c r="AW1464" s="6" t="s">
        <v>81</v>
      </c>
      <c r="AX1464" s="6" t="s">
        <v>81</v>
      </c>
      <c r="AY1464" s="6" t="s">
        <v>81</v>
      </c>
      <c r="AZ1464" s="6" t="s">
        <v>81</v>
      </c>
      <c r="BA1464" s="6" t="s">
        <v>81</v>
      </c>
      <c r="BB1464" s="24" t="n">
        <v>56</v>
      </c>
      <c r="BC1464" s="26"/>
      <c r="BD1464" s="26"/>
      <c r="BE1464" s="26"/>
      <c r="BF1464" s="26"/>
      <c r="BG1464" s="26"/>
      <c r="BH1464" s="26"/>
      <c r="BI1464" s="26"/>
      <c r="BJ1464" s="26"/>
      <c r="BK1464" s="26"/>
      <c r="BL1464" s="26"/>
      <c r="BM1464" s="26"/>
      <c r="BN1464" s="26"/>
      <c r="BO1464" s="26"/>
      <c r="BP1464" s="16" t="n">
        <v>45531</v>
      </c>
      <c r="BQ1464" s="28" t="str">
        <f>HYPERLINK("https://organic.ams.usda.gov/Integrity/Certificate.aspx?cid=46&amp;nopid=3672400031")</f>
        <v>https://organic.ams.usda.gov/Integrity/Certificate.aspx?cid=46&amp;nopid=3672400031</v>
      </c>
    </row>
    <row r="1465">
      <c r="A1465" t="s">
        <v>3</v>
      </c>
      <c r="B1465" s="6" t="s">
        <v>29</v>
      </c>
      <c r="C1465" s="6" t="s">
        <v>76</v>
      </c>
      <c r="D1465" s="6" t="s">
        <v>122</v>
      </c>
      <c r="E1465" s="10" t="s">
        <v>1606</v>
      </c>
      <c r="F1465" s="6" t="s">
        <v>4330</v>
      </c>
      <c r="G1465" s="6" t="s">
        <v>81</v>
      </c>
      <c r="H1465" s="6" t="s">
        <v>7233</v>
      </c>
      <c r="I1465" s="6" t="s">
        <v>9150</v>
      </c>
      <c r="J1465" s="6" t="s">
        <v>9675</v>
      </c>
      <c r="K1465" s="6" t="s">
        <v>10886</v>
      </c>
      <c r="L1465" s="16" t="n">
        <v>41151</v>
      </c>
      <c r="M1465" s="16" t="n">
        <v>45870</v>
      </c>
      <c r="N1465" s="6" t="s">
        <v>10886</v>
      </c>
      <c r="O1465" s="16" t="n">
        <v>41151</v>
      </c>
      <c r="P1465" s="6" t="s">
        <v>11063</v>
      </c>
      <c r="Q1465" s="6" t="s">
        <v>81</v>
      </c>
      <c r="R1465" s="6" t="s">
        <v>12820</v>
      </c>
      <c r="S1465" s="6" t="s">
        <v>10886</v>
      </c>
      <c r="T1465" s="16" t="n">
        <v>41151</v>
      </c>
      <c r="U1465" s="6" t="s">
        <v>13635</v>
      </c>
      <c r="V1465" s="6" t="s">
        <v>81</v>
      </c>
      <c r="W1465" s="6" t="s">
        <v>12820</v>
      </c>
      <c r="X1465" s="6" t="s">
        <v>81</v>
      </c>
      <c r="Y1465" s="21" t="s">
        <v>81</v>
      </c>
      <c r="Z1465" s="6" t="s">
        <v>81</v>
      </c>
      <c r="AA1465" s="6" t="s">
        <v>81</v>
      </c>
      <c r="AB1465" s="6" t="s">
        <v>81</v>
      </c>
      <c r="AC1465" s="6" t="s">
        <v>81</v>
      </c>
      <c r="AD1465" s="21" t="s">
        <v>81</v>
      </c>
      <c r="AE1465" s="6" t="s">
        <v>81</v>
      </c>
      <c r="AF1465" s="6" t="s">
        <v>81</v>
      </c>
      <c r="AG1465" s="6" t="s">
        <v>81</v>
      </c>
      <c r="AH1465" s="6" t="s">
        <v>16034</v>
      </c>
      <c r="AI1465" s="6" t="s">
        <v>81</v>
      </c>
      <c r="AJ1465" s="6" t="s">
        <v>17324</v>
      </c>
      <c r="AK1465" s="6" t="s">
        <v>18378</v>
      </c>
      <c r="AL1465" s="6" t="s">
        <v>18444</v>
      </c>
      <c r="AM1465" s="6" t="s">
        <v>18476</v>
      </c>
      <c r="AN1465" s="6" t="s">
        <v>19640</v>
      </c>
      <c r="AO1465" s="6" t="s">
        <v>19726</v>
      </c>
      <c r="AP1465" s="6" t="s">
        <v>81</v>
      </c>
      <c r="AQ1465" s="6" t="s">
        <v>81</v>
      </c>
      <c r="AR1465" s="6" t="s">
        <v>81</v>
      </c>
      <c r="AS1465" s="6" t="s">
        <v>81</v>
      </c>
      <c r="AT1465" s="6" t="s">
        <v>81</v>
      </c>
      <c r="AU1465" s="6" t="s">
        <v>81</v>
      </c>
      <c r="AV1465" s="6" t="s">
        <v>81</v>
      </c>
      <c r="AW1465" s="6" t="s">
        <v>81</v>
      </c>
      <c r="AX1465" s="6" t="s">
        <v>21664</v>
      </c>
      <c r="AY1465" s="6" t="s">
        <v>81</v>
      </c>
      <c r="AZ1465" s="6" t="s">
        <v>81</v>
      </c>
      <c r="BA1465" s="6" t="s">
        <v>81</v>
      </c>
      <c r="BB1465" s="24" t="n">
        <v>74</v>
      </c>
      <c r="BC1465" s="26"/>
      <c r="BD1465" s="26"/>
      <c r="BE1465" s="26"/>
      <c r="BF1465" s="26" t="s">
        <v>23900</v>
      </c>
      <c r="BG1465" s="26"/>
      <c r="BH1465" s="26"/>
      <c r="BI1465" s="26"/>
      <c r="BJ1465" s="26"/>
      <c r="BK1465" s="26"/>
      <c r="BL1465" s="26"/>
      <c r="BM1465" s="26"/>
      <c r="BN1465" s="26"/>
      <c r="BO1465" s="26"/>
      <c r="BP1465" s="16" t="n">
        <v>45737</v>
      </c>
      <c r="BQ1465" s="28" t="str">
        <f>HYPERLINK("https://organic.ams.usda.gov/Integrity/Certificate.aspx?cid=31&amp;nopid=3928971205")</f>
        <v>https://organic.ams.usda.gov/Integrity/Certificate.aspx?cid=31&amp;nopid=3928971205</v>
      </c>
    </row>
    <row r="1466">
      <c r="A1466" t="s">
        <v>3</v>
      </c>
      <c r="B1466" s="6" t="s">
        <v>13</v>
      </c>
      <c r="C1466" s="6" t="s">
        <v>60</v>
      </c>
      <c r="D1466" s="6" t="s">
        <v>106</v>
      </c>
      <c r="E1466" s="10" t="s">
        <v>1607</v>
      </c>
      <c r="F1466" s="6" t="s">
        <v>4331</v>
      </c>
      <c r="G1466" s="6" t="s">
        <v>81</v>
      </c>
      <c r="H1466" s="6" t="s">
        <v>7234</v>
      </c>
      <c r="I1466" s="6" t="s">
        <v>8568</v>
      </c>
      <c r="J1466" s="6" t="s">
        <v>9665</v>
      </c>
      <c r="K1466" s="6" t="s">
        <v>10886</v>
      </c>
      <c r="L1466" s="16" t="n">
        <v>41934</v>
      </c>
      <c r="M1466" s="16" t="n">
        <v>45748</v>
      </c>
      <c r="N1466" s="6" t="s">
        <v>10886</v>
      </c>
      <c r="O1466" s="16" t="n">
        <v>41934</v>
      </c>
      <c r="P1466" s="6" t="s">
        <v>11770</v>
      </c>
      <c r="Q1466" s="6" t="s">
        <v>81</v>
      </c>
      <c r="R1466" s="6" t="s">
        <v>12821</v>
      </c>
      <c r="S1466" s="6" t="s">
        <v>10886</v>
      </c>
      <c r="T1466" s="16" t="n">
        <v>41934</v>
      </c>
      <c r="U1466" s="6" t="s">
        <v>13301</v>
      </c>
      <c r="V1466" s="6" t="s">
        <v>81</v>
      </c>
      <c r="W1466" s="6" t="s">
        <v>12821</v>
      </c>
      <c r="X1466" s="6" t="s">
        <v>81</v>
      </c>
      <c r="Y1466" s="21" t="s">
        <v>81</v>
      </c>
      <c r="Z1466" s="6" t="s">
        <v>81</v>
      </c>
      <c r="AA1466" s="6" t="s">
        <v>81</v>
      </c>
      <c r="AB1466" s="6" t="s">
        <v>81</v>
      </c>
      <c r="AC1466" s="6" t="s">
        <v>81</v>
      </c>
      <c r="AD1466" s="21" t="s">
        <v>81</v>
      </c>
      <c r="AE1466" s="6" t="s">
        <v>81</v>
      </c>
      <c r="AF1466" s="6" t="s">
        <v>81</v>
      </c>
      <c r="AG1466" s="6" t="s">
        <v>81</v>
      </c>
      <c r="AH1466" s="6" t="s">
        <v>16035</v>
      </c>
      <c r="AI1466" s="6" t="s">
        <v>81</v>
      </c>
      <c r="AJ1466" s="6" t="s">
        <v>18012</v>
      </c>
      <c r="AK1466" s="6" t="s">
        <v>18379</v>
      </c>
      <c r="AL1466" s="6" t="s">
        <v>18444</v>
      </c>
      <c r="AM1466" s="6" t="s">
        <v>19203</v>
      </c>
      <c r="AN1466" s="6" t="s">
        <v>19678</v>
      </c>
      <c r="AO1466" s="6" t="s">
        <v>19994</v>
      </c>
      <c r="AP1466" s="6" t="s">
        <v>16035</v>
      </c>
      <c r="AQ1466" s="6" t="s">
        <v>81</v>
      </c>
      <c r="AR1466" s="6" t="s">
        <v>18012</v>
      </c>
      <c r="AS1466" s="6" t="s">
        <v>18379</v>
      </c>
      <c r="AT1466" s="6" t="s">
        <v>18444</v>
      </c>
      <c r="AU1466" s="6" t="s">
        <v>19203</v>
      </c>
      <c r="AV1466" s="6" t="s">
        <v>81</v>
      </c>
      <c r="AW1466" s="6" t="s">
        <v>81</v>
      </c>
      <c r="AX1466" s="6" t="s">
        <v>21665</v>
      </c>
      <c r="AY1466" s="6" t="s">
        <v>81</v>
      </c>
      <c r="AZ1466" s="6" t="s">
        <v>81</v>
      </c>
      <c r="BA1466" s="6" t="s">
        <v>81</v>
      </c>
      <c r="BB1466" s="24" t="n">
        <v>90</v>
      </c>
      <c r="BC1466" s="26"/>
      <c r="BD1466" s="26"/>
      <c r="BE1466" s="26"/>
      <c r="BF1466" s="26" t="s">
        <v>23900</v>
      </c>
      <c r="BG1466" s="26"/>
      <c r="BH1466" s="26"/>
      <c r="BI1466" s="26"/>
      <c r="BJ1466" s="26"/>
      <c r="BK1466" s="26"/>
      <c r="BL1466" s="26"/>
      <c r="BM1466" s="26"/>
      <c r="BN1466" s="26"/>
      <c r="BO1466" s="26"/>
      <c r="BP1466" s="16" t="n">
        <v>45663</v>
      </c>
      <c r="BQ1466" s="28" t="str">
        <f>HYPERLINK("https://organic.ams.usda.gov/Integrity/Certificate.aspx?cid=72&amp;nopid=5870001866")</f>
        <v>https://organic.ams.usda.gov/Integrity/Certificate.aspx?cid=72&amp;nopid=5870001866</v>
      </c>
    </row>
    <row r="1467">
      <c r="A1467" t="s">
        <v>3</v>
      </c>
      <c r="B1467" s="6" t="s">
        <v>48</v>
      </c>
      <c r="C1467" s="6" t="s">
        <v>95</v>
      </c>
      <c r="D1467" s="6" t="s">
        <v>140</v>
      </c>
      <c r="E1467" s="10" t="s">
        <v>1608</v>
      </c>
      <c r="F1467" s="6" t="s">
        <v>4332</v>
      </c>
      <c r="G1467" s="6" t="s">
        <v>81</v>
      </c>
      <c r="H1467" s="6" t="s">
        <v>7235</v>
      </c>
      <c r="I1467" s="6" t="s">
        <v>8713</v>
      </c>
      <c r="J1467" s="6" t="s">
        <v>10350</v>
      </c>
      <c r="K1467" s="6" t="s">
        <v>10886</v>
      </c>
      <c r="L1467" s="16" t="n">
        <v>45422</v>
      </c>
      <c r="M1467" s="16" t="n">
        <v>45786</v>
      </c>
      <c r="N1467" s="6" t="s">
        <v>81</v>
      </c>
      <c r="O1467" s="21" t="s">
        <v>81</v>
      </c>
      <c r="P1467" s="6" t="s">
        <v>81</v>
      </c>
      <c r="Q1467" s="6" t="s">
        <v>81</v>
      </c>
      <c r="R1467" s="6" t="s">
        <v>81</v>
      </c>
      <c r="S1467" s="6" t="s">
        <v>81</v>
      </c>
      <c r="T1467" s="21" t="s">
        <v>81</v>
      </c>
      <c r="U1467" s="6" t="s">
        <v>81</v>
      </c>
      <c r="V1467" s="6" t="s">
        <v>81</v>
      </c>
      <c r="W1467" s="6" t="s">
        <v>81</v>
      </c>
      <c r="X1467" s="6" t="s">
        <v>81</v>
      </c>
      <c r="Y1467" s="21" t="s">
        <v>81</v>
      </c>
      <c r="Z1467" s="6" t="s">
        <v>81</v>
      </c>
      <c r="AA1467" s="6" t="s">
        <v>81</v>
      </c>
      <c r="AB1467" s="6" t="s">
        <v>81</v>
      </c>
      <c r="AC1467" s="6" t="s">
        <v>10886</v>
      </c>
      <c r="AD1467" s="16" t="n">
        <v>45422</v>
      </c>
      <c r="AE1467" s="6" t="s">
        <v>14272</v>
      </c>
      <c r="AF1467" s="6" t="s">
        <v>81</v>
      </c>
      <c r="AG1467" s="6" t="s">
        <v>14566</v>
      </c>
      <c r="AH1467" s="6" t="s">
        <v>16036</v>
      </c>
      <c r="AI1467" s="6" t="s">
        <v>81</v>
      </c>
      <c r="AJ1467" s="6" t="s">
        <v>18013</v>
      </c>
      <c r="AK1467" s="6" t="s">
        <v>81</v>
      </c>
      <c r="AL1467" s="6" t="s">
        <v>18457</v>
      </c>
      <c r="AM1467" s="6" t="s">
        <v>19204</v>
      </c>
      <c r="AN1467" s="6" t="s">
        <v>81</v>
      </c>
      <c r="AO1467" s="6" t="s">
        <v>81</v>
      </c>
      <c r="AP1467" s="6" t="s">
        <v>16036</v>
      </c>
      <c r="AQ1467" s="6" t="s">
        <v>81</v>
      </c>
      <c r="AR1467" s="6" t="s">
        <v>18013</v>
      </c>
      <c r="AS1467" s="6" t="s">
        <v>81</v>
      </c>
      <c r="AT1467" s="6" t="s">
        <v>18457</v>
      </c>
      <c r="AU1467" s="6" t="s">
        <v>19204</v>
      </c>
      <c r="AV1467" s="6" t="s">
        <v>81</v>
      </c>
      <c r="AW1467" s="6" t="s">
        <v>81</v>
      </c>
      <c r="AX1467" s="6" t="s">
        <v>21666</v>
      </c>
      <c r="AY1467" s="6" t="s">
        <v>23087</v>
      </c>
      <c r="AZ1467" s="6" t="s">
        <v>81</v>
      </c>
      <c r="BA1467" s="6" t="s">
        <v>81</v>
      </c>
      <c r="BB1467" s="6" t="s">
        <v>81</v>
      </c>
      <c r="BC1467" s="26"/>
      <c r="BD1467" s="26"/>
      <c r="BE1467" s="26"/>
      <c r="BF1467" s="26"/>
      <c r="BG1467" s="26"/>
      <c r="BH1467" s="26"/>
      <c r="BI1467" s="26"/>
      <c r="BJ1467" s="26"/>
      <c r="BK1467" s="26"/>
      <c r="BL1467" s="26"/>
      <c r="BM1467" s="26"/>
      <c r="BN1467" s="26"/>
      <c r="BO1467" s="26"/>
      <c r="BP1467" s="16" t="n">
        <v>45461</v>
      </c>
      <c r="BQ1467" s="28" t="str">
        <f>HYPERLINK("https://organic.ams.usda.gov/Integrity/Certificate.aspx?cid=16&amp;nopid=7281691132")</f>
        <v>https://organic.ams.usda.gov/Integrity/Certificate.aspx?cid=16&amp;nopid=7281691132</v>
      </c>
    </row>
    <row r="1468">
      <c r="A1468" t="s">
        <v>3</v>
      </c>
      <c r="B1468" s="6" t="s">
        <v>16</v>
      </c>
      <c r="C1468" s="6" t="s">
        <v>63</v>
      </c>
      <c r="D1468" s="6" t="s">
        <v>109</v>
      </c>
      <c r="E1468" s="10" t="s">
        <v>1609</v>
      </c>
      <c r="F1468" s="6" t="s">
        <v>4333</v>
      </c>
      <c r="G1468" s="6" t="s">
        <v>81</v>
      </c>
      <c r="H1468" s="6" t="s">
        <v>7236</v>
      </c>
      <c r="I1468" s="6" t="s">
        <v>9127</v>
      </c>
      <c r="J1468" s="6" t="s">
        <v>10351</v>
      </c>
      <c r="K1468" s="6" t="s">
        <v>10886</v>
      </c>
      <c r="L1468" s="16" t="n">
        <v>40909</v>
      </c>
      <c r="M1468" s="16" t="n">
        <v>45731</v>
      </c>
      <c r="N1468" s="6" t="s">
        <v>10886</v>
      </c>
      <c r="O1468" s="16" t="n">
        <v>40909</v>
      </c>
      <c r="P1468" s="6" t="s">
        <v>11302</v>
      </c>
      <c r="Q1468" s="6" t="s">
        <v>81</v>
      </c>
      <c r="R1468" s="6" t="s">
        <v>81</v>
      </c>
      <c r="S1468" s="6" t="s">
        <v>10886</v>
      </c>
      <c r="T1468" s="16" t="n">
        <v>40909</v>
      </c>
      <c r="U1468" s="6" t="s">
        <v>13551</v>
      </c>
      <c r="V1468" s="6" t="s">
        <v>81</v>
      </c>
      <c r="W1468" s="6" t="s">
        <v>81</v>
      </c>
      <c r="X1468" s="6" t="s">
        <v>81</v>
      </c>
      <c r="Y1468" s="21" t="s">
        <v>81</v>
      </c>
      <c r="Z1468" s="6" t="s">
        <v>81</v>
      </c>
      <c r="AA1468" s="6" t="s">
        <v>81</v>
      </c>
      <c r="AB1468" s="6" t="s">
        <v>81</v>
      </c>
      <c r="AC1468" s="6" t="s">
        <v>10886</v>
      </c>
      <c r="AD1468" s="16" t="n">
        <v>40909</v>
      </c>
      <c r="AE1468" s="6" t="s">
        <v>81</v>
      </c>
      <c r="AF1468" s="6" t="s">
        <v>81</v>
      </c>
      <c r="AG1468" s="6" t="s">
        <v>81</v>
      </c>
      <c r="AH1468" s="6" t="s">
        <v>16037</v>
      </c>
      <c r="AI1468" s="6" t="s">
        <v>81</v>
      </c>
      <c r="AJ1468" s="6" t="s">
        <v>17344</v>
      </c>
      <c r="AK1468" s="6" t="s">
        <v>18383</v>
      </c>
      <c r="AL1468" s="6" t="s">
        <v>18444</v>
      </c>
      <c r="AM1468" s="6" t="s">
        <v>18498</v>
      </c>
      <c r="AN1468" s="6" t="s">
        <v>19636</v>
      </c>
      <c r="AO1468" s="6" t="s">
        <v>19740</v>
      </c>
      <c r="AP1468" s="6" t="s">
        <v>81</v>
      </c>
      <c r="AQ1468" s="6" t="s">
        <v>81</v>
      </c>
      <c r="AR1468" s="6" t="s">
        <v>81</v>
      </c>
      <c r="AS1468" s="6" t="s">
        <v>81</v>
      </c>
      <c r="AT1468" s="6" t="s">
        <v>81</v>
      </c>
      <c r="AU1468" s="6" t="s">
        <v>81</v>
      </c>
      <c r="AV1468" s="6" t="s">
        <v>81</v>
      </c>
      <c r="AW1468" s="6" t="s">
        <v>81</v>
      </c>
      <c r="AX1468" s="6" t="s">
        <v>21667</v>
      </c>
      <c r="AY1468" s="6" t="s">
        <v>81</v>
      </c>
      <c r="AZ1468" s="6" t="s">
        <v>81</v>
      </c>
      <c r="BA1468" s="6" t="s">
        <v>81</v>
      </c>
      <c r="BB1468" s="24" t="n">
        <v>355</v>
      </c>
      <c r="BC1468" s="26"/>
      <c r="BD1468" s="26"/>
      <c r="BE1468" s="26"/>
      <c r="BF1468" s="26"/>
      <c r="BG1468" s="26"/>
      <c r="BH1468" s="26"/>
      <c r="BI1468" s="26"/>
      <c r="BJ1468" s="26"/>
      <c r="BK1468" s="26"/>
      <c r="BL1468" s="26"/>
      <c r="BM1468" s="26"/>
      <c r="BN1468" s="26"/>
      <c r="BO1468" s="26"/>
      <c r="BP1468" s="16" t="n">
        <v>45701</v>
      </c>
      <c r="BQ1468" s="28" t="str">
        <f>HYPERLINK("https://organic.ams.usda.gov/Integrity/Certificate.aspx?cid=81&amp;nopid=4210011031")</f>
        <v>https://organic.ams.usda.gov/Integrity/Certificate.aspx?cid=81&amp;nopid=4210011031</v>
      </c>
    </row>
    <row r="1469">
      <c r="A1469" t="s">
        <v>3</v>
      </c>
      <c r="B1469" s="6" t="s">
        <v>25</v>
      </c>
      <c r="C1469" s="6" t="s">
        <v>72</v>
      </c>
      <c r="D1469" s="6" t="s">
        <v>118</v>
      </c>
      <c r="E1469" s="10" t="s">
        <v>1610</v>
      </c>
      <c r="F1469" s="6" t="s">
        <v>4334</v>
      </c>
      <c r="G1469" s="6" t="s">
        <v>5728</v>
      </c>
      <c r="H1469" s="6" t="s">
        <v>7237</v>
      </c>
      <c r="I1469" s="6" t="s">
        <v>9151</v>
      </c>
      <c r="J1469" s="6" t="s">
        <v>10352</v>
      </c>
      <c r="K1469" s="6" t="s">
        <v>10886</v>
      </c>
      <c r="L1469" s="16" t="n">
        <v>41762</v>
      </c>
      <c r="M1469" s="16" t="n">
        <v>46023</v>
      </c>
      <c r="N1469" s="6" t="s">
        <v>10886</v>
      </c>
      <c r="O1469" s="16" t="n">
        <v>41762</v>
      </c>
      <c r="P1469" s="6" t="s">
        <v>11771</v>
      </c>
      <c r="Q1469" s="6" t="s">
        <v>81</v>
      </c>
      <c r="R1469" s="6" t="s">
        <v>81</v>
      </c>
      <c r="S1469" s="6" t="s">
        <v>10886</v>
      </c>
      <c r="T1469" s="16" t="n">
        <v>41762</v>
      </c>
      <c r="U1469" s="6" t="s">
        <v>13636</v>
      </c>
      <c r="V1469" s="6" t="s">
        <v>81</v>
      </c>
      <c r="W1469" s="6" t="s">
        <v>81</v>
      </c>
      <c r="X1469" s="6" t="s">
        <v>81</v>
      </c>
      <c r="Y1469" s="21" t="s">
        <v>81</v>
      </c>
      <c r="Z1469" s="6" t="s">
        <v>81</v>
      </c>
      <c r="AA1469" s="6" t="s">
        <v>81</v>
      </c>
      <c r="AB1469" s="6" t="s">
        <v>81</v>
      </c>
      <c r="AC1469" s="6" t="s">
        <v>10886</v>
      </c>
      <c r="AD1469" s="16" t="n">
        <v>44734</v>
      </c>
      <c r="AE1469" s="6" t="s">
        <v>14081</v>
      </c>
      <c r="AF1469" s="6" t="s">
        <v>81</v>
      </c>
      <c r="AG1469" s="6" t="s">
        <v>81</v>
      </c>
      <c r="AH1469" s="6" t="s">
        <v>16038</v>
      </c>
      <c r="AI1469" s="6" t="s">
        <v>81</v>
      </c>
      <c r="AJ1469" s="6" t="s">
        <v>17700</v>
      </c>
      <c r="AK1469" s="6" t="s">
        <v>18386</v>
      </c>
      <c r="AL1469" s="6" t="s">
        <v>18444</v>
      </c>
      <c r="AM1469" s="6" t="s">
        <v>18866</v>
      </c>
      <c r="AN1469" s="6" t="s">
        <v>19674</v>
      </c>
      <c r="AO1469" s="6" t="s">
        <v>19803</v>
      </c>
      <c r="AP1469" s="6" t="s">
        <v>16038</v>
      </c>
      <c r="AQ1469" s="6" t="s">
        <v>81</v>
      </c>
      <c r="AR1469" s="6" t="s">
        <v>17700</v>
      </c>
      <c r="AS1469" s="6" t="s">
        <v>18386</v>
      </c>
      <c r="AT1469" s="6" t="s">
        <v>18444</v>
      </c>
      <c r="AU1469" s="6" t="s">
        <v>18866</v>
      </c>
      <c r="AV1469" s="6" t="s">
        <v>81</v>
      </c>
      <c r="AW1469" s="6" t="s">
        <v>81</v>
      </c>
      <c r="AX1469" s="6" t="s">
        <v>21668</v>
      </c>
      <c r="AY1469" s="6" t="s">
        <v>23088</v>
      </c>
      <c r="AZ1469" s="6" t="s">
        <v>23698</v>
      </c>
      <c r="BA1469" s="6" t="s">
        <v>23867</v>
      </c>
      <c r="BB1469" s="24" t="n">
        <v>2444</v>
      </c>
      <c r="BC1469" s="26"/>
      <c r="BD1469" s="26"/>
      <c r="BE1469" s="26"/>
      <c r="BF1469" s="26" t="s">
        <v>23900</v>
      </c>
      <c r="BG1469" s="26"/>
      <c r="BH1469" s="26"/>
      <c r="BI1469" s="26"/>
      <c r="BJ1469" s="26"/>
      <c r="BK1469" s="26"/>
      <c r="BL1469" s="26"/>
      <c r="BM1469" s="26"/>
      <c r="BN1469" s="26"/>
      <c r="BO1469" s="26"/>
      <c r="BP1469" s="16" t="n">
        <v>45688</v>
      </c>
      <c r="BQ1469" s="28" t="str">
        <f>HYPERLINK("https://organic.ams.usda.gov/Integrity/Certificate.aspx?cid=15&amp;nopid=5561001474")</f>
        <v>https://organic.ams.usda.gov/Integrity/Certificate.aspx?cid=15&amp;nopid=5561001474</v>
      </c>
    </row>
    <row r="1470">
      <c r="A1470" t="s">
        <v>3</v>
      </c>
      <c r="B1470" s="6" t="s">
        <v>8</v>
      </c>
      <c r="C1470" s="6" t="s">
        <v>55</v>
      </c>
      <c r="D1470" s="6" t="s">
        <v>101</v>
      </c>
      <c r="E1470" s="10" t="s">
        <v>1611</v>
      </c>
      <c r="F1470" s="6" t="s">
        <v>4335</v>
      </c>
      <c r="G1470" s="6" t="s">
        <v>81</v>
      </c>
      <c r="H1470" s="6" t="s">
        <v>7238</v>
      </c>
      <c r="I1470" s="6" t="s">
        <v>8568</v>
      </c>
      <c r="J1470" s="6" t="s">
        <v>10353</v>
      </c>
      <c r="K1470" s="6" t="s">
        <v>10886</v>
      </c>
      <c r="L1470" s="16" t="n">
        <v>37166</v>
      </c>
      <c r="M1470" s="16" t="n">
        <v>45689</v>
      </c>
      <c r="N1470" s="6" t="s">
        <v>10886</v>
      </c>
      <c r="O1470" s="16" t="n">
        <v>37166</v>
      </c>
      <c r="P1470" s="6" t="s">
        <v>11772</v>
      </c>
      <c r="Q1470" s="6" t="s">
        <v>81</v>
      </c>
      <c r="R1470" s="6" t="s">
        <v>7238</v>
      </c>
      <c r="S1470" s="6" t="s">
        <v>10886</v>
      </c>
      <c r="T1470" s="16" t="n">
        <v>37166</v>
      </c>
      <c r="U1470" s="6" t="s">
        <v>13179</v>
      </c>
      <c r="V1470" s="6" t="s">
        <v>81</v>
      </c>
      <c r="W1470" s="6" t="s">
        <v>7238</v>
      </c>
      <c r="X1470" s="6" t="s">
        <v>81</v>
      </c>
      <c r="Y1470" s="21" t="s">
        <v>81</v>
      </c>
      <c r="Z1470" s="6" t="s">
        <v>81</v>
      </c>
      <c r="AA1470" s="6" t="s">
        <v>81</v>
      </c>
      <c r="AB1470" s="6" t="s">
        <v>81</v>
      </c>
      <c r="AC1470" s="6" t="s">
        <v>81</v>
      </c>
      <c r="AD1470" s="21" t="s">
        <v>81</v>
      </c>
      <c r="AE1470" s="6" t="s">
        <v>81</v>
      </c>
      <c r="AF1470" s="6" t="s">
        <v>81</v>
      </c>
      <c r="AG1470" s="6" t="s">
        <v>81</v>
      </c>
      <c r="AH1470" s="6" t="s">
        <v>16039</v>
      </c>
      <c r="AI1470" s="6" t="s">
        <v>81</v>
      </c>
      <c r="AJ1470" s="6" t="s">
        <v>18014</v>
      </c>
      <c r="AK1470" s="6" t="s">
        <v>18377</v>
      </c>
      <c r="AL1470" s="6" t="s">
        <v>18444</v>
      </c>
      <c r="AM1470" s="6" t="s">
        <v>19205</v>
      </c>
      <c r="AN1470" s="6" t="s">
        <v>19691</v>
      </c>
      <c r="AO1470" s="6" t="s">
        <v>19995</v>
      </c>
      <c r="AP1470" s="6" t="s">
        <v>16039</v>
      </c>
      <c r="AQ1470" s="6" t="s">
        <v>81</v>
      </c>
      <c r="AR1470" s="6" t="s">
        <v>18014</v>
      </c>
      <c r="AS1470" s="6" t="s">
        <v>18377</v>
      </c>
      <c r="AT1470" s="6" t="s">
        <v>18444</v>
      </c>
      <c r="AU1470" s="6" t="s">
        <v>19205</v>
      </c>
      <c r="AV1470" s="6" t="s">
        <v>81</v>
      </c>
      <c r="AW1470" s="6" t="s">
        <v>81</v>
      </c>
      <c r="AX1470" s="6" t="s">
        <v>21669</v>
      </c>
      <c r="AY1470" s="6" t="s">
        <v>23089</v>
      </c>
      <c r="AZ1470" s="6" t="s">
        <v>81</v>
      </c>
      <c r="BA1470" s="6" t="s">
        <v>23819</v>
      </c>
      <c r="BB1470" s="24" t="n">
        <v>268</v>
      </c>
      <c r="BC1470" s="26"/>
      <c r="BD1470" s="26"/>
      <c r="BE1470" s="26"/>
      <c r="BF1470" s="26" t="s">
        <v>23900</v>
      </c>
      <c r="BG1470" s="26"/>
      <c r="BH1470" s="26"/>
      <c r="BI1470" s="26"/>
      <c r="BJ1470" s="26"/>
      <c r="BK1470" s="26"/>
      <c r="BL1470" s="26"/>
      <c r="BM1470" s="26"/>
      <c r="BN1470" s="26"/>
      <c r="BO1470" s="26"/>
      <c r="BP1470" s="16" t="n">
        <v>45728</v>
      </c>
      <c r="BQ1470" s="28" t="str">
        <f>HYPERLINK("https://organic.ams.usda.gov/Integrity/Certificate.aspx?cid=45&amp;nopid=9950000651")</f>
        <v>https://organic.ams.usda.gov/Integrity/Certificate.aspx?cid=45&amp;nopid=9950000651</v>
      </c>
    </row>
    <row r="1471">
      <c r="A1471" t="s">
        <v>3</v>
      </c>
      <c r="B1471" s="6" t="s">
        <v>8</v>
      </c>
      <c r="C1471" s="6" t="s">
        <v>55</v>
      </c>
      <c r="D1471" s="6" t="s">
        <v>101</v>
      </c>
      <c r="E1471" s="10" t="s">
        <v>1612</v>
      </c>
      <c r="F1471" s="6" t="s">
        <v>4336</v>
      </c>
      <c r="G1471" s="6" t="s">
        <v>81</v>
      </c>
      <c r="H1471" s="6" t="s">
        <v>7239</v>
      </c>
      <c r="I1471" s="6" t="s">
        <v>8961</v>
      </c>
      <c r="J1471" s="6" t="s">
        <v>10354</v>
      </c>
      <c r="K1471" s="6" t="s">
        <v>10886</v>
      </c>
      <c r="L1471" s="16" t="n">
        <v>41953</v>
      </c>
      <c r="M1471" s="16" t="n">
        <v>45748</v>
      </c>
      <c r="N1471" s="6" t="s">
        <v>81</v>
      </c>
      <c r="O1471" s="21" t="s">
        <v>81</v>
      </c>
      <c r="P1471" s="6" t="s">
        <v>81</v>
      </c>
      <c r="Q1471" s="6" t="s">
        <v>81</v>
      </c>
      <c r="R1471" s="6" t="s">
        <v>81</v>
      </c>
      <c r="S1471" s="6" t="s">
        <v>81</v>
      </c>
      <c r="T1471" s="21" t="s">
        <v>81</v>
      </c>
      <c r="U1471" s="6" t="s">
        <v>81</v>
      </c>
      <c r="V1471" s="6" t="s">
        <v>81</v>
      </c>
      <c r="W1471" s="6" t="s">
        <v>81</v>
      </c>
      <c r="X1471" s="6" t="s">
        <v>81</v>
      </c>
      <c r="Y1471" s="21" t="s">
        <v>81</v>
      </c>
      <c r="Z1471" s="6" t="s">
        <v>81</v>
      </c>
      <c r="AA1471" s="6" t="s">
        <v>81</v>
      </c>
      <c r="AB1471" s="6" t="s">
        <v>81</v>
      </c>
      <c r="AC1471" s="6" t="s">
        <v>10886</v>
      </c>
      <c r="AD1471" s="16" t="n">
        <v>41953</v>
      </c>
      <c r="AE1471" s="6" t="s">
        <v>14273</v>
      </c>
      <c r="AF1471" s="6" t="s">
        <v>81</v>
      </c>
      <c r="AG1471" s="6" t="s">
        <v>7239</v>
      </c>
      <c r="AH1471" s="6" t="s">
        <v>16040</v>
      </c>
      <c r="AI1471" s="6" t="s">
        <v>81</v>
      </c>
      <c r="AJ1471" s="6" t="s">
        <v>18015</v>
      </c>
      <c r="AK1471" s="6" t="s">
        <v>18377</v>
      </c>
      <c r="AL1471" s="6" t="s">
        <v>18444</v>
      </c>
      <c r="AM1471" s="6" t="s">
        <v>19206</v>
      </c>
      <c r="AN1471" s="6" t="s">
        <v>19697</v>
      </c>
      <c r="AO1471" s="6" t="s">
        <v>19872</v>
      </c>
      <c r="AP1471" s="6" t="s">
        <v>81</v>
      </c>
      <c r="AQ1471" s="6" t="s">
        <v>81</v>
      </c>
      <c r="AR1471" s="6" t="s">
        <v>81</v>
      </c>
      <c r="AS1471" s="6" t="s">
        <v>81</v>
      </c>
      <c r="AT1471" s="6" t="s">
        <v>81</v>
      </c>
      <c r="AU1471" s="6" t="s">
        <v>81</v>
      </c>
      <c r="AV1471" s="6" t="s">
        <v>81</v>
      </c>
      <c r="AW1471" s="6" t="s">
        <v>81</v>
      </c>
      <c r="AX1471" s="6" t="s">
        <v>21670</v>
      </c>
      <c r="AY1471" s="6" t="s">
        <v>23090</v>
      </c>
      <c r="AZ1471" s="6" t="s">
        <v>81</v>
      </c>
      <c r="BA1471" s="6" t="s">
        <v>23824</v>
      </c>
      <c r="BB1471" s="24" t="n">
        <v>0</v>
      </c>
      <c r="BC1471" s="26"/>
      <c r="BD1471" s="26"/>
      <c r="BE1471" s="26"/>
      <c r="BF1471" s="26"/>
      <c r="BG1471" s="26"/>
      <c r="BH1471" s="26"/>
      <c r="BI1471" s="26"/>
      <c r="BJ1471" s="26"/>
      <c r="BK1471" s="26"/>
      <c r="BL1471" s="26"/>
      <c r="BM1471" s="26"/>
      <c r="BN1471" s="26"/>
      <c r="BO1471" s="26"/>
      <c r="BP1471" s="16" t="n">
        <v>45552</v>
      </c>
      <c r="BQ1471" s="28" t="str">
        <f>HYPERLINK("https://organic.ams.usda.gov/Integrity/Certificate.aspx?cid=45&amp;nopid=9950007730")</f>
        <v>https://organic.ams.usda.gov/Integrity/Certificate.aspx?cid=45&amp;nopid=9950007730</v>
      </c>
    </row>
    <row r="1472">
      <c r="A1472" t="s">
        <v>3</v>
      </c>
      <c r="B1472" s="6" t="s">
        <v>21</v>
      </c>
      <c r="C1472" s="6" t="s">
        <v>68</v>
      </c>
      <c r="D1472" s="6" t="s">
        <v>114</v>
      </c>
      <c r="E1472" s="10" t="s">
        <v>1613</v>
      </c>
      <c r="F1472" s="6" t="s">
        <v>4337</v>
      </c>
      <c r="G1472" s="6" t="s">
        <v>81</v>
      </c>
      <c r="H1472" s="6" t="s">
        <v>7240</v>
      </c>
      <c r="I1472" s="6" t="s">
        <v>9127</v>
      </c>
      <c r="J1472" s="6" t="s">
        <v>10355</v>
      </c>
      <c r="K1472" s="6" t="s">
        <v>10886</v>
      </c>
      <c r="L1472" s="16" t="n">
        <v>45008</v>
      </c>
      <c r="M1472" s="16" t="n">
        <v>46023</v>
      </c>
      <c r="N1472" s="6" t="s">
        <v>81</v>
      </c>
      <c r="O1472" s="21" t="s">
        <v>81</v>
      </c>
      <c r="P1472" s="6" t="s">
        <v>81</v>
      </c>
      <c r="Q1472" s="6" t="s">
        <v>81</v>
      </c>
      <c r="R1472" s="6" t="s">
        <v>81</v>
      </c>
      <c r="S1472" s="6" t="s">
        <v>81</v>
      </c>
      <c r="T1472" s="21" t="s">
        <v>81</v>
      </c>
      <c r="U1472" s="6" t="s">
        <v>81</v>
      </c>
      <c r="V1472" s="6" t="s">
        <v>81</v>
      </c>
      <c r="W1472" s="6" t="s">
        <v>81</v>
      </c>
      <c r="X1472" s="6" t="s">
        <v>81</v>
      </c>
      <c r="Y1472" s="21" t="s">
        <v>81</v>
      </c>
      <c r="Z1472" s="6" t="s">
        <v>81</v>
      </c>
      <c r="AA1472" s="6" t="s">
        <v>81</v>
      </c>
      <c r="AB1472" s="6" t="s">
        <v>81</v>
      </c>
      <c r="AC1472" s="6" t="s">
        <v>10886</v>
      </c>
      <c r="AD1472" s="16" t="n">
        <v>45008</v>
      </c>
      <c r="AE1472" s="6" t="s">
        <v>14274</v>
      </c>
      <c r="AF1472" s="6" t="s">
        <v>81</v>
      </c>
      <c r="AG1472" s="6" t="s">
        <v>81</v>
      </c>
      <c r="AH1472" s="6" t="s">
        <v>81</v>
      </c>
      <c r="AI1472" s="6" t="s">
        <v>81</v>
      </c>
      <c r="AJ1472" s="6" t="s">
        <v>81</v>
      </c>
      <c r="AK1472" s="6" t="s">
        <v>81</v>
      </c>
      <c r="AL1472" s="6" t="s">
        <v>81</v>
      </c>
      <c r="AM1472" s="6" t="s">
        <v>81</v>
      </c>
      <c r="AN1472" s="6" t="s">
        <v>81</v>
      </c>
      <c r="AO1472" s="6" t="s">
        <v>81</v>
      </c>
      <c r="AP1472" s="6" t="s">
        <v>20289</v>
      </c>
      <c r="AQ1472" s="6" t="s">
        <v>81</v>
      </c>
      <c r="AR1472" s="6" t="s">
        <v>20542</v>
      </c>
      <c r="AS1472" s="6" t="s">
        <v>18390</v>
      </c>
      <c r="AT1472" s="6" t="s">
        <v>18444</v>
      </c>
      <c r="AU1472" s="6" t="s">
        <v>20667</v>
      </c>
      <c r="AV1472" s="6" t="s">
        <v>19685</v>
      </c>
      <c r="AW1472" s="6" t="s">
        <v>20066</v>
      </c>
      <c r="AX1472" s="6" t="s">
        <v>21671</v>
      </c>
      <c r="AY1472" s="6" t="s">
        <v>81</v>
      </c>
      <c r="AZ1472" s="6" t="s">
        <v>81</v>
      </c>
      <c r="BA1472" s="6" t="s">
        <v>81</v>
      </c>
      <c r="BB1472" s="6" t="s">
        <v>81</v>
      </c>
      <c r="BC1472" s="26"/>
      <c r="BD1472" s="26"/>
      <c r="BE1472" s="26"/>
      <c r="BF1472" s="26"/>
      <c r="BG1472" s="26"/>
      <c r="BH1472" s="26"/>
      <c r="BI1472" s="26"/>
      <c r="BJ1472" s="26"/>
      <c r="BK1472" s="26"/>
      <c r="BL1472" s="26"/>
      <c r="BM1472" s="26"/>
      <c r="BN1472" s="26"/>
      <c r="BO1472" s="26"/>
      <c r="BP1472" s="16" t="n">
        <v>45698</v>
      </c>
      <c r="BQ1472" s="28" t="str">
        <f>HYPERLINK("https://organic.ams.usda.gov/Integrity/Certificate.aspx?cid=62&amp;nopid=8150021879")</f>
        <v>https://organic.ams.usda.gov/Integrity/Certificate.aspx?cid=62&amp;nopid=8150021879</v>
      </c>
    </row>
    <row r="1473">
      <c r="A1473" t="s">
        <v>3</v>
      </c>
      <c r="B1473" s="6" t="s">
        <v>7</v>
      </c>
      <c r="C1473" s="6" t="s">
        <v>54</v>
      </c>
      <c r="D1473" s="6" t="s">
        <v>100</v>
      </c>
      <c r="E1473" s="10" t="s">
        <v>1614</v>
      </c>
      <c r="F1473" s="6" t="s">
        <v>4338</v>
      </c>
      <c r="G1473" s="6" t="s">
        <v>81</v>
      </c>
      <c r="H1473" s="6" t="s">
        <v>7241</v>
      </c>
      <c r="I1473" s="6" t="s">
        <v>8713</v>
      </c>
      <c r="J1473" s="6" t="s">
        <v>9665</v>
      </c>
      <c r="K1473" s="6" t="s">
        <v>10886</v>
      </c>
      <c r="L1473" s="16" t="n">
        <v>37607</v>
      </c>
      <c r="M1473" s="16" t="n">
        <v>45716</v>
      </c>
      <c r="N1473" s="6" t="s">
        <v>10886</v>
      </c>
      <c r="O1473" s="16" t="n">
        <v>37607</v>
      </c>
      <c r="P1473" s="6" t="s">
        <v>11773</v>
      </c>
      <c r="Q1473" s="6" t="s">
        <v>81</v>
      </c>
      <c r="R1473" s="6" t="s">
        <v>81</v>
      </c>
      <c r="S1473" s="6" t="s">
        <v>10886</v>
      </c>
      <c r="T1473" s="16" t="n">
        <v>37607</v>
      </c>
      <c r="U1473" s="6" t="s">
        <v>13284</v>
      </c>
      <c r="V1473" s="6" t="s">
        <v>81</v>
      </c>
      <c r="W1473" s="6" t="s">
        <v>81</v>
      </c>
      <c r="X1473" s="6" t="s">
        <v>81</v>
      </c>
      <c r="Y1473" s="21" t="s">
        <v>81</v>
      </c>
      <c r="Z1473" s="6" t="s">
        <v>81</v>
      </c>
      <c r="AA1473" s="6" t="s">
        <v>81</v>
      </c>
      <c r="AB1473" s="6" t="s">
        <v>81</v>
      </c>
      <c r="AC1473" s="6" t="s">
        <v>81</v>
      </c>
      <c r="AD1473" s="21" t="s">
        <v>81</v>
      </c>
      <c r="AE1473" s="6" t="s">
        <v>81</v>
      </c>
      <c r="AF1473" s="6" t="s">
        <v>81</v>
      </c>
      <c r="AG1473" s="6" t="s">
        <v>81</v>
      </c>
      <c r="AH1473" s="6" t="s">
        <v>16041</v>
      </c>
      <c r="AI1473" s="6" t="s">
        <v>81</v>
      </c>
      <c r="AJ1473" s="6" t="s">
        <v>17653</v>
      </c>
      <c r="AK1473" s="6" t="s">
        <v>17712</v>
      </c>
      <c r="AL1473" s="6" t="s">
        <v>18444</v>
      </c>
      <c r="AM1473" s="6" t="s">
        <v>18822</v>
      </c>
      <c r="AN1473" s="6" t="s">
        <v>19662</v>
      </c>
      <c r="AO1473" s="6" t="s">
        <v>19762</v>
      </c>
      <c r="AP1473" s="6" t="s">
        <v>16041</v>
      </c>
      <c r="AQ1473" s="6" t="s">
        <v>81</v>
      </c>
      <c r="AR1473" s="6" t="s">
        <v>17653</v>
      </c>
      <c r="AS1473" s="6" t="s">
        <v>17712</v>
      </c>
      <c r="AT1473" s="6" t="s">
        <v>18444</v>
      </c>
      <c r="AU1473" s="6" t="s">
        <v>18822</v>
      </c>
      <c r="AV1473" s="6" t="s">
        <v>81</v>
      </c>
      <c r="AW1473" s="6" t="s">
        <v>81</v>
      </c>
      <c r="AX1473" s="6" t="s">
        <v>21672</v>
      </c>
      <c r="AY1473" s="6" t="s">
        <v>81</v>
      </c>
      <c r="AZ1473" s="6" t="s">
        <v>81</v>
      </c>
      <c r="BA1473" s="6" t="s">
        <v>81</v>
      </c>
      <c r="BB1473" s="24" t="n">
        <v>169</v>
      </c>
      <c r="BC1473" s="26"/>
      <c r="BD1473" s="26"/>
      <c r="BE1473" s="26"/>
      <c r="BF1473" s="26" t="s">
        <v>23900</v>
      </c>
      <c r="BG1473" s="26"/>
      <c r="BH1473" s="26"/>
      <c r="BI1473" s="26"/>
      <c r="BJ1473" s="26"/>
      <c r="BK1473" s="26"/>
      <c r="BL1473" s="26"/>
      <c r="BM1473" s="26"/>
      <c r="BN1473" s="26"/>
      <c r="BO1473" s="26"/>
      <c r="BP1473" s="16" t="n">
        <v>45595</v>
      </c>
      <c r="BQ1473" s="28" t="str">
        <f>HYPERLINK("https://organic.ams.usda.gov/Integrity/Certificate.aspx?cid=57&amp;nopid=3250200008")</f>
        <v>https://organic.ams.usda.gov/Integrity/Certificate.aspx?cid=57&amp;nopid=3250200008</v>
      </c>
    </row>
    <row r="1474">
      <c r="A1474" t="s">
        <v>3</v>
      </c>
      <c r="B1474" s="6" t="s">
        <v>25</v>
      </c>
      <c r="C1474" s="6" t="s">
        <v>72</v>
      </c>
      <c r="D1474" s="6" t="s">
        <v>118</v>
      </c>
      <c r="E1474" s="10" t="s">
        <v>1615</v>
      </c>
      <c r="F1474" s="6" t="s">
        <v>4339</v>
      </c>
      <c r="G1474" s="6" t="s">
        <v>81</v>
      </c>
      <c r="H1474" s="6" t="s">
        <v>7242</v>
      </c>
      <c r="I1474" s="6" t="s">
        <v>8451</v>
      </c>
      <c r="J1474" s="6" t="s">
        <v>10356</v>
      </c>
      <c r="K1474" s="6" t="s">
        <v>10886</v>
      </c>
      <c r="L1474" s="16" t="n">
        <v>45419</v>
      </c>
      <c r="M1474" s="16" t="n">
        <v>46023</v>
      </c>
      <c r="N1474" s="6" t="s">
        <v>81</v>
      </c>
      <c r="O1474" s="21" t="s">
        <v>81</v>
      </c>
      <c r="P1474" s="6" t="s">
        <v>81</v>
      </c>
      <c r="Q1474" s="6" t="s">
        <v>81</v>
      </c>
      <c r="R1474" s="6" t="s">
        <v>81</v>
      </c>
      <c r="S1474" s="6" t="s">
        <v>81</v>
      </c>
      <c r="T1474" s="21" t="s">
        <v>81</v>
      </c>
      <c r="U1474" s="6" t="s">
        <v>81</v>
      </c>
      <c r="V1474" s="6" t="s">
        <v>81</v>
      </c>
      <c r="W1474" s="6" t="s">
        <v>81</v>
      </c>
      <c r="X1474" s="6" t="s">
        <v>81</v>
      </c>
      <c r="Y1474" s="21" t="s">
        <v>81</v>
      </c>
      <c r="Z1474" s="6" t="s">
        <v>81</v>
      </c>
      <c r="AA1474" s="6" t="s">
        <v>81</v>
      </c>
      <c r="AB1474" s="6" t="s">
        <v>81</v>
      </c>
      <c r="AC1474" s="6" t="s">
        <v>10886</v>
      </c>
      <c r="AD1474" s="16" t="n">
        <v>45419</v>
      </c>
      <c r="AE1474" s="6" t="s">
        <v>14275</v>
      </c>
      <c r="AF1474" s="6" t="s">
        <v>81</v>
      </c>
      <c r="AG1474" s="6" t="s">
        <v>81</v>
      </c>
      <c r="AH1474" s="6" t="s">
        <v>16042</v>
      </c>
      <c r="AI1474" s="6" t="s">
        <v>81</v>
      </c>
      <c r="AJ1474" s="6" t="s">
        <v>18016</v>
      </c>
      <c r="AK1474" s="6" t="s">
        <v>18378</v>
      </c>
      <c r="AL1474" s="6" t="s">
        <v>18444</v>
      </c>
      <c r="AM1474" s="6" t="s">
        <v>19207</v>
      </c>
      <c r="AN1474" s="6" t="s">
        <v>81</v>
      </c>
      <c r="AO1474" s="6" t="s">
        <v>81</v>
      </c>
      <c r="AP1474" s="6" t="s">
        <v>20290</v>
      </c>
      <c r="AQ1474" s="6" t="s">
        <v>81</v>
      </c>
      <c r="AR1474" s="6" t="s">
        <v>18016</v>
      </c>
      <c r="AS1474" s="6" t="s">
        <v>18378</v>
      </c>
      <c r="AT1474" s="6" t="s">
        <v>18444</v>
      </c>
      <c r="AU1474" s="6" t="s">
        <v>19207</v>
      </c>
      <c r="AV1474" s="6" t="s">
        <v>81</v>
      </c>
      <c r="AW1474" s="6" t="s">
        <v>81</v>
      </c>
      <c r="AX1474" s="6" t="s">
        <v>21673</v>
      </c>
      <c r="AY1474" s="6" t="s">
        <v>23091</v>
      </c>
      <c r="AZ1474" s="6" t="s">
        <v>23699</v>
      </c>
      <c r="BA1474" s="6" t="s">
        <v>81</v>
      </c>
      <c r="BB1474" s="6" t="s">
        <v>81</v>
      </c>
      <c r="BC1474" s="26"/>
      <c r="BD1474" s="26"/>
      <c r="BE1474" s="26"/>
      <c r="BF1474" s="26"/>
      <c r="BG1474" s="26"/>
      <c r="BH1474" s="26"/>
      <c r="BI1474" s="26"/>
      <c r="BJ1474" s="26"/>
      <c r="BK1474" s="26"/>
      <c r="BL1474" s="26"/>
      <c r="BM1474" s="26"/>
      <c r="BN1474" s="26"/>
      <c r="BO1474" s="26"/>
      <c r="BP1474" s="16" t="n">
        <v>45667</v>
      </c>
      <c r="BQ1474" s="28" t="str">
        <f>HYPERLINK("https://organic.ams.usda.gov/Integrity/Certificate.aspx?cid=15&amp;nopid=5561008307")</f>
        <v>https://organic.ams.usda.gov/Integrity/Certificate.aspx?cid=15&amp;nopid=5561008307</v>
      </c>
    </row>
    <row r="1475">
      <c r="A1475" t="s">
        <v>3</v>
      </c>
      <c r="B1475" s="6" t="s">
        <v>9</v>
      </c>
      <c r="C1475" s="6" t="s">
        <v>56</v>
      </c>
      <c r="D1475" s="6" t="s">
        <v>102</v>
      </c>
      <c r="E1475" s="10" t="s">
        <v>1616</v>
      </c>
      <c r="F1475" s="6" t="s">
        <v>4340</v>
      </c>
      <c r="G1475" s="6" t="s">
        <v>81</v>
      </c>
      <c r="H1475" s="6" t="s">
        <v>7243</v>
      </c>
      <c r="I1475" s="6" t="s">
        <v>9152</v>
      </c>
      <c r="J1475" s="6" t="s">
        <v>9666</v>
      </c>
      <c r="K1475" s="6" t="s">
        <v>10886</v>
      </c>
      <c r="L1475" s="16" t="n">
        <v>45100</v>
      </c>
      <c r="M1475" s="16" t="n">
        <v>46113</v>
      </c>
      <c r="N1475" s="6" t="s">
        <v>10886</v>
      </c>
      <c r="O1475" s="16" t="n">
        <v>45100</v>
      </c>
      <c r="P1475" s="6" t="s">
        <v>11001</v>
      </c>
      <c r="Q1475" s="6" t="s">
        <v>81</v>
      </c>
      <c r="R1475" s="6" t="s">
        <v>12822</v>
      </c>
      <c r="S1475" s="6" t="s">
        <v>10886</v>
      </c>
      <c r="T1475" s="16" t="n">
        <v>45100</v>
      </c>
      <c r="U1475" s="6" t="s">
        <v>13162</v>
      </c>
      <c r="V1475" s="6" t="s">
        <v>81</v>
      </c>
      <c r="W1475" s="6" t="s">
        <v>12822</v>
      </c>
      <c r="X1475" s="6" t="s">
        <v>81</v>
      </c>
      <c r="Y1475" s="21" t="s">
        <v>81</v>
      </c>
      <c r="Z1475" s="6" t="s">
        <v>81</v>
      </c>
      <c r="AA1475" s="6" t="s">
        <v>81</v>
      </c>
      <c r="AB1475" s="6" t="s">
        <v>81</v>
      </c>
      <c r="AC1475" s="6" t="s">
        <v>81</v>
      </c>
      <c r="AD1475" s="21" t="s">
        <v>81</v>
      </c>
      <c r="AE1475" s="6" t="s">
        <v>81</v>
      </c>
      <c r="AF1475" s="6" t="s">
        <v>81</v>
      </c>
      <c r="AG1475" s="6" t="s">
        <v>81</v>
      </c>
      <c r="AH1475" s="6" t="s">
        <v>16043</v>
      </c>
      <c r="AI1475" s="6" t="s">
        <v>81</v>
      </c>
      <c r="AJ1475" s="6" t="s">
        <v>17400</v>
      </c>
      <c r="AK1475" s="6" t="s">
        <v>18377</v>
      </c>
      <c r="AL1475" s="6" t="s">
        <v>18444</v>
      </c>
      <c r="AM1475" s="6" t="s">
        <v>18556</v>
      </c>
      <c r="AN1475" s="6" t="s">
        <v>19645</v>
      </c>
      <c r="AO1475" s="6" t="s">
        <v>19732</v>
      </c>
      <c r="AP1475" s="6" t="s">
        <v>81</v>
      </c>
      <c r="AQ1475" s="6" t="s">
        <v>81</v>
      </c>
      <c r="AR1475" s="6" t="s">
        <v>81</v>
      </c>
      <c r="AS1475" s="6" t="s">
        <v>81</v>
      </c>
      <c r="AT1475" s="6" t="s">
        <v>81</v>
      </c>
      <c r="AU1475" s="6" t="s">
        <v>81</v>
      </c>
      <c r="AV1475" s="6" t="s">
        <v>81</v>
      </c>
      <c r="AW1475" s="6" t="s">
        <v>81</v>
      </c>
      <c r="AX1475" s="6" t="s">
        <v>21674</v>
      </c>
      <c r="AY1475" s="6" t="s">
        <v>81</v>
      </c>
      <c r="AZ1475" s="6" t="s">
        <v>81</v>
      </c>
      <c r="BA1475" s="6" t="s">
        <v>81</v>
      </c>
      <c r="BB1475" s="24" t="n">
        <v>123</v>
      </c>
      <c r="BC1475" s="26"/>
      <c r="BD1475" s="26"/>
      <c r="BE1475" s="26"/>
      <c r="BF1475" s="26"/>
      <c r="BG1475" s="26"/>
      <c r="BH1475" s="26"/>
      <c r="BI1475" s="26"/>
      <c r="BJ1475" s="26"/>
      <c r="BK1475" s="26"/>
      <c r="BL1475" s="26"/>
      <c r="BM1475" s="26"/>
      <c r="BN1475" s="26"/>
      <c r="BO1475" s="26"/>
      <c r="BP1475" s="16" t="n">
        <v>45738</v>
      </c>
      <c r="BQ1475" s="28" t="str">
        <f>HYPERLINK("https://organic.ams.usda.gov/Integrity/Certificate.aspx?cid=52&amp;nopid=8432302115")</f>
        <v>https://organic.ams.usda.gov/Integrity/Certificate.aspx?cid=52&amp;nopid=8432302115</v>
      </c>
    </row>
    <row r="1476">
      <c r="A1476" t="s">
        <v>3</v>
      </c>
      <c r="B1476" s="6" t="s">
        <v>10</v>
      </c>
      <c r="C1476" s="6" t="s">
        <v>57</v>
      </c>
      <c r="D1476" s="6" t="s">
        <v>103</v>
      </c>
      <c r="E1476" s="10" t="s">
        <v>1617</v>
      </c>
      <c r="F1476" s="6" t="s">
        <v>4341</v>
      </c>
      <c r="G1476" s="6" t="s">
        <v>81</v>
      </c>
      <c r="H1476" s="6" t="s">
        <v>7244</v>
      </c>
      <c r="I1476" s="6" t="s">
        <v>9153</v>
      </c>
      <c r="J1476" s="6" t="s">
        <v>9740</v>
      </c>
      <c r="K1476" s="6" t="s">
        <v>10886</v>
      </c>
      <c r="L1476" s="16" t="n">
        <v>43738</v>
      </c>
      <c r="M1476" s="16" t="n">
        <v>45748</v>
      </c>
      <c r="N1476" s="6" t="s">
        <v>10886</v>
      </c>
      <c r="O1476" s="16" t="n">
        <v>43738</v>
      </c>
      <c r="P1476" s="6" t="s">
        <v>11774</v>
      </c>
      <c r="Q1476" s="6" t="s">
        <v>81</v>
      </c>
      <c r="R1476" s="6" t="s">
        <v>12823</v>
      </c>
      <c r="S1476" s="6" t="s">
        <v>10886</v>
      </c>
      <c r="T1476" s="16" t="n">
        <v>43993</v>
      </c>
      <c r="U1476" s="6" t="s">
        <v>13164</v>
      </c>
      <c r="V1476" s="6" t="s">
        <v>81</v>
      </c>
      <c r="W1476" s="6" t="s">
        <v>81</v>
      </c>
      <c r="X1476" s="6" t="s">
        <v>81</v>
      </c>
      <c r="Y1476" s="21" t="s">
        <v>81</v>
      </c>
      <c r="Z1476" s="6" t="s">
        <v>81</v>
      </c>
      <c r="AA1476" s="6" t="s">
        <v>81</v>
      </c>
      <c r="AB1476" s="6" t="s">
        <v>81</v>
      </c>
      <c r="AC1476" s="6" t="s">
        <v>81</v>
      </c>
      <c r="AD1476" s="21" t="s">
        <v>81</v>
      </c>
      <c r="AE1476" s="6" t="s">
        <v>81</v>
      </c>
      <c r="AF1476" s="6" t="s">
        <v>81</v>
      </c>
      <c r="AG1476" s="6" t="s">
        <v>81</v>
      </c>
      <c r="AH1476" s="6" t="s">
        <v>16044</v>
      </c>
      <c r="AI1476" s="6" t="s">
        <v>81</v>
      </c>
      <c r="AJ1476" s="6" t="s">
        <v>17315</v>
      </c>
      <c r="AK1476" s="6" t="s">
        <v>18379</v>
      </c>
      <c r="AL1476" s="6" t="s">
        <v>18444</v>
      </c>
      <c r="AM1476" s="6" t="s">
        <v>18467</v>
      </c>
      <c r="AN1476" s="6" t="s">
        <v>19637</v>
      </c>
      <c r="AO1476" s="6" t="s">
        <v>19723</v>
      </c>
      <c r="AP1476" s="6" t="s">
        <v>16044</v>
      </c>
      <c r="AQ1476" s="6" t="s">
        <v>81</v>
      </c>
      <c r="AR1476" s="6" t="s">
        <v>17315</v>
      </c>
      <c r="AS1476" s="6" t="s">
        <v>18379</v>
      </c>
      <c r="AT1476" s="6" t="s">
        <v>18444</v>
      </c>
      <c r="AU1476" s="6" t="s">
        <v>18467</v>
      </c>
      <c r="AV1476" s="6" t="s">
        <v>81</v>
      </c>
      <c r="AW1476" s="6" t="s">
        <v>81</v>
      </c>
      <c r="AX1476" s="6" t="s">
        <v>21675</v>
      </c>
      <c r="AY1476" s="6" t="s">
        <v>81</v>
      </c>
      <c r="AZ1476" s="6" t="s">
        <v>81</v>
      </c>
      <c r="BA1476" s="6" t="s">
        <v>81</v>
      </c>
      <c r="BB1476" s="24" t="n">
        <v>111</v>
      </c>
      <c r="BC1476" s="26"/>
      <c r="BD1476" s="26"/>
      <c r="BE1476" s="26"/>
      <c r="BF1476" s="26"/>
      <c r="BG1476" s="26"/>
      <c r="BH1476" s="26"/>
      <c r="BI1476" s="26"/>
      <c r="BJ1476" s="26"/>
      <c r="BK1476" s="26"/>
      <c r="BL1476" s="26"/>
      <c r="BM1476" s="26"/>
      <c r="BN1476" s="26"/>
      <c r="BO1476" s="26"/>
      <c r="BP1476" s="16" t="n">
        <v>45730</v>
      </c>
      <c r="BQ1476" s="28" t="str">
        <f>HYPERLINK("https://organic.ams.usda.gov/Integrity/Certificate.aspx?cid=90&amp;nopid=7170019030")</f>
        <v>https://organic.ams.usda.gov/Integrity/Certificate.aspx?cid=90&amp;nopid=7170019030</v>
      </c>
    </row>
    <row r="1477">
      <c r="A1477" t="s">
        <v>3</v>
      </c>
      <c r="B1477" s="6" t="s">
        <v>7</v>
      </c>
      <c r="C1477" s="6" t="s">
        <v>54</v>
      </c>
      <c r="D1477" s="6" t="s">
        <v>100</v>
      </c>
      <c r="E1477" s="10" t="s">
        <v>1618</v>
      </c>
      <c r="F1477" s="6" t="s">
        <v>4342</v>
      </c>
      <c r="G1477" s="6" t="s">
        <v>81</v>
      </c>
      <c r="H1477" s="6" t="s">
        <v>7245</v>
      </c>
      <c r="I1477" s="6" t="s">
        <v>9154</v>
      </c>
      <c r="J1477" s="6" t="s">
        <v>9997</v>
      </c>
      <c r="K1477" s="6" t="s">
        <v>10886</v>
      </c>
      <c r="L1477" s="16" t="n">
        <v>43360</v>
      </c>
      <c r="M1477" s="16" t="n">
        <v>45716</v>
      </c>
      <c r="N1477" s="6" t="s">
        <v>10886</v>
      </c>
      <c r="O1477" s="16" t="n">
        <v>43360</v>
      </c>
      <c r="P1477" s="6" t="s">
        <v>11775</v>
      </c>
      <c r="Q1477" s="6" t="s">
        <v>81</v>
      </c>
      <c r="R1477" s="6" t="s">
        <v>81</v>
      </c>
      <c r="S1477" s="6" t="s">
        <v>10886</v>
      </c>
      <c r="T1477" s="16" t="n">
        <v>43446</v>
      </c>
      <c r="U1477" s="6" t="s">
        <v>13160</v>
      </c>
      <c r="V1477" s="6" t="s">
        <v>81</v>
      </c>
      <c r="W1477" s="6" t="s">
        <v>81</v>
      </c>
      <c r="X1477" s="6" t="s">
        <v>81</v>
      </c>
      <c r="Y1477" s="21" t="s">
        <v>81</v>
      </c>
      <c r="Z1477" s="6" t="s">
        <v>81</v>
      </c>
      <c r="AA1477" s="6" t="s">
        <v>81</v>
      </c>
      <c r="AB1477" s="6" t="s">
        <v>81</v>
      </c>
      <c r="AC1477" s="6" t="s">
        <v>81</v>
      </c>
      <c r="AD1477" s="21" t="s">
        <v>81</v>
      </c>
      <c r="AE1477" s="6" t="s">
        <v>81</v>
      </c>
      <c r="AF1477" s="6" t="s">
        <v>81</v>
      </c>
      <c r="AG1477" s="6" t="s">
        <v>81</v>
      </c>
      <c r="AH1477" s="6" t="s">
        <v>16045</v>
      </c>
      <c r="AI1477" s="6" t="s">
        <v>81</v>
      </c>
      <c r="AJ1477" s="6" t="s">
        <v>17363</v>
      </c>
      <c r="AK1477" s="6" t="s">
        <v>17712</v>
      </c>
      <c r="AL1477" s="6" t="s">
        <v>18444</v>
      </c>
      <c r="AM1477" s="6" t="s">
        <v>18515</v>
      </c>
      <c r="AN1477" s="6" t="s">
        <v>19657</v>
      </c>
      <c r="AO1477" s="6" t="s">
        <v>19751</v>
      </c>
      <c r="AP1477" s="6" t="s">
        <v>16045</v>
      </c>
      <c r="AQ1477" s="6" t="s">
        <v>81</v>
      </c>
      <c r="AR1477" s="6" t="s">
        <v>17363</v>
      </c>
      <c r="AS1477" s="6" t="s">
        <v>17712</v>
      </c>
      <c r="AT1477" s="6" t="s">
        <v>18444</v>
      </c>
      <c r="AU1477" s="6" t="s">
        <v>18515</v>
      </c>
      <c r="AV1477" s="6" t="s">
        <v>81</v>
      </c>
      <c r="AW1477" s="6" t="s">
        <v>81</v>
      </c>
      <c r="AX1477" s="6" t="s">
        <v>21676</v>
      </c>
      <c r="AY1477" s="6" t="s">
        <v>81</v>
      </c>
      <c r="AZ1477" s="6" t="s">
        <v>81</v>
      </c>
      <c r="BA1477" s="6" t="s">
        <v>81</v>
      </c>
      <c r="BB1477" s="24" t="n">
        <v>205</v>
      </c>
      <c r="BC1477" s="26"/>
      <c r="BD1477" s="26"/>
      <c r="BE1477" s="26"/>
      <c r="BF1477" s="26" t="s">
        <v>23900</v>
      </c>
      <c r="BG1477" s="26"/>
      <c r="BH1477" s="26"/>
      <c r="BI1477" s="26"/>
      <c r="BJ1477" s="26"/>
      <c r="BK1477" s="26"/>
      <c r="BL1477" s="26"/>
      <c r="BM1477" s="26"/>
      <c r="BN1477" s="26"/>
      <c r="BO1477" s="26"/>
      <c r="BP1477" s="16" t="n">
        <v>45595</v>
      </c>
      <c r="BQ1477" s="28" t="str">
        <f>HYPERLINK("https://organic.ams.usda.gov/Integrity/Certificate.aspx?cid=57&amp;nopid=3252018060")</f>
        <v>https://organic.ams.usda.gov/Integrity/Certificate.aspx?cid=57&amp;nopid=3252018060</v>
      </c>
    </row>
    <row r="1478">
      <c r="A1478" t="s">
        <v>3</v>
      </c>
      <c r="B1478" s="6" t="s">
        <v>12</v>
      </c>
      <c r="C1478" s="6" t="s">
        <v>59</v>
      </c>
      <c r="D1478" s="6" t="s">
        <v>105</v>
      </c>
      <c r="E1478" s="10" t="s">
        <v>1619</v>
      </c>
      <c r="F1478" s="6" t="s">
        <v>4343</v>
      </c>
      <c r="G1478" s="6" t="s">
        <v>81</v>
      </c>
      <c r="H1478" s="6" t="s">
        <v>7246</v>
      </c>
      <c r="I1478" s="6" t="s">
        <v>9154</v>
      </c>
      <c r="J1478" s="6" t="s">
        <v>9906</v>
      </c>
      <c r="K1478" s="6" t="s">
        <v>10886</v>
      </c>
      <c r="L1478" s="16" t="n">
        <v>39473</v>
      </c>
      <c r="M1478" s="16" t="n">
        <v>45717</v>
      </c>
      <c r="N1478" s="6" t="s">
        <v>10886</v>
      </c>
      <c r="O1478" s="16" t="n">
        <v>39473</v>
      </c>
      <c r="P1478" s="6" t="s">
        <v>11776</v>
      </c>
      <c r="Q1478" s="6" t="s">
        <v>81</v>
      </c>
      <c r="R1478" s="6" t="s">
        <v>81</v>
      </c>
      <c r="S1478" s="6" t="s">
        <v>10886</v>
      </c>
      <c r="T1478" s="16" t="n">
        <v>39473</v>
      </c>
      <c r="U1478" s="6" t="s">
        <v>13166</v>
      </c>
      <c r="V1478" s="6" t="s">
        <v>81</v>
      </c>
      <c r="W1478" s="6" t="s">
        <v>81</v>
      </c>
      <c r="X1478" s="6" t="s">
        <v>81</v>
      </c>
      <c r="Y1478" s="21" t="s">
        <v>81</v>
      </c>
      <c r="Z1478" s="6" t="s">
        <v>81</v>
      </c>
      <c r="AA1478" s="6" t="s">
        <v>81</v>
      </c>
      <c r="AB1478" s="6" t="s">
        <v>81</v>
      </c>
      <c r="AC1478" s="6" t="s">
        <v>81</v>
      </c>
      <c r="AD1478" s="21" t="s">
        <v>81</v>
      </c>
      <c r="AE1478" s="6" t="s">
        <v>81</v>
      </c>
      <c r="AF1478" s="6" t="s">
        <v>81</v>
      </c>
      <c r="AG1478" s="6" t="s">
        <v>81</v>
      </c>
      <c r="AH1478" s="6" t="s">
        <v>16046</v>
      </c>
      <c r="AI1478" s="6" t="s">
        <v>81</v>
      </c>
      <c r="AJ1478" s="6" t="s">
        <v>17311</v>
      </c>
      <c r="AK1478" s="6" t="s">
        <v>17712</v>
      </c>
      <c r="AL1478" s="6" t="s">
        <v>18444</v>
      </c>
      <c r="AM1478" s="6" t="s">
        <v>18463</v>
      </c>
      <c r="AN1478" s="6" t="s">
        <v>19634</v>
      </c>
      <c r="AO1478" s="6" t="s">
        <v>19719</v>
      </c>
      <c r="AP1478" s="6" t="s">
        <v>16046</v>
      </c>
      <c r="AQ1478" s="6" t="s">
        <v>81</v>
      </c>
      <c r="AR1478" s="6" t="s">
        <v>17311</v>
      </c>
      <c r="AS1478" s="6" t="s">
        <v>17712</v>
      </c>
      <c r="AT1478" s="6" t="s">
        <v>18444</v>
      </c>
      <c r="AU1478" s="6" t="s">
        <v>18463</v>
      </c>
      <c r="AV1478" s="6" t="s">
        <v>81</v>
      </c>
      <c r="AW1478" s="6" t="s">
        <v>81</v>
      </c>
      <c r="AX1478" s="6" t="s">
        <v>21677</v>
      </c>
      <c r="AY1478" s="6" t="s">
        <v>81</v>
      </c>
      <c r="AZ1478" s="6" t="s">
        <v>81</v>
      </c>
      <c r="BA1478" s="6" t="s">
        <v>81</v>
      </c>
      <c r="BB1478" s="24" t="n">
        <v>138</v>
      </c>
      <c r="BC1478" s="26"/>
      <c r="BD1478" s="26"/>
      <c r="BE1478" s="26"/>
      <c r="BF1478" s="26"/>
      <c r="BG1478" s="26"/>
      <c r="BH1478" s="26"/>
      <c r="BI1478" s="26"/>
      <c r="BJ1478" s="26"/>
      <c r="BK1478" s="26"/>
      <c r="BL1478" s="26"/>
      <c r="BM1478" s="26"/>
      <c r="BN1478" s="26"/>
      <c r="BO1478" s="26"/>
      <c r="BP1478" s="16" t="n">
        <v>45684</v>
      </c>
      <c r="BQ1478" s="28" t="str">
        <f>HYPERLINK("https://organic.ams.usda.gov/Integrity/Certificate.aspx?cid=68&amp;nopid=8210002079")</f>
        <v>https://organic.ams.usda.gov/Integrity/Certificate.aspx?cid=68&amp;nopid=8210002079</v>
      </c>
    </row>
    <row r="1479">
      <c r="A1479" t="s">
        <v>3</v>
      </c>
      <c r="B1479" s="6" t="s">
        <v>8</v>
      </c>
      <c r="C1479" s="6" t="s">
        <v>55</v>
      </c>
      <c r="D1479" s="6" t="s">
        <v>101</v>
      </c>
      <c r="E1479" s="10" t="s">
        <v>1620</v>
      </c>
      <c r="F1479" s="6" t="s">
        <v>4344</v>
      </c>
      <c r="G1479" s="6" t="s">
        <v>81</v>
      </c>
      <c r="H1479" s="6" t="s">
        <v>7247</v>
      </c>
      <c r="I1479" s="6" t="s">
        <v>9154</v>
      </c>
      <c r="J1479" s="6" t="s">
        <v>9963</v>
      </c>
      <c r="K1479" s="6" t="s">
        <v>10886</v>
      </c>
      <c r="L1479" s="16" t="n">
        <v>37550</v>
      </c>
      <c r="M1479" s="16" t="n">
        <v>45689</v>
      </c>
      <c r="N1479" s="6" t="s">
        <v>10886</v>
      </c>
      <c r="O1479" s="16" t="n">
        <v>37550</v>
      </c>
      <c r="P1479" s="6" t="s">
        <v>11777</v>
      </c>
      <c r="Q1479" s="6" t="s">
        <v>81</v>
      </c>
      <c r="R1479" s="6" t="s">
        <v>7247</v>
      </c>
      <c r="S1479" s="6" t="s">
        <v>10886</v>
      </c>
      <c r="T1479" s="16" t="n">
        <v>37550</v>
      </c>
      <c r="U1479" s="6" t="s">
        <v>13179</v>
      </c>
      <c r="V1479" s="6" t="s">
        <v>81</v>
      </c>
      <c r="W1479" s="6" t="s">
        <v>7247</v>
      </c>
      <c r="X1479" s="6" t="s">
        <v>81</v>
      </c>
      <c r="Y1479" s="21" t="s">
        <v>81</v>
      </c>
      <c r="Z1479" s="6" t="s">
        <v>81</v>
      </c>
      <c r="AA1479" s="6" t="s">
        <v>81</v>
      </c>
      <c r="AB1479" s="6" t="s">
        <v>81</v>
      </c>
      <c r="AC1479" s="6" t="s">
        <v>81</v>
      </c>
      <c r="AD1479" s="21" t="s">
        <v>81</v>
      </c>
      <c r="AE1479" s="6" t="s">
        <v>81</v>
      </c>
      <c r="AF1479" s="6" t="s">
        <v>81</v>
      </c>
      <c r="AG1479" s="6" t="s">
        <v>81</v>
      </c>
      <c r="AH1479" s="6" t="s">
        <v>16047</v>
      </c>
      <c r="AI1479" s="6" t="s">
        <v>81</v>
      </c>
      <c r="AJ1479" s="6" t="s">
        <v>17708</v>
      </c>
      <c r="AK1479" s="6" t="s">
        <v>18377</v>
      </c>
      <c r="AL1479" s="6" t="s">
        <v>18444</v>
      </c>
      <c r="AM1479" s="6" t="s">
        <v>18875</v>
      </c>
      <c r="AN1479" s="6" t="s">
        <v>19646</v>
      </c>
      <c r="AO1479" s="6" t="s">
        <v>19733</v>
      </c>
      <c r="AP1479" s="6" t="s">
        <v>81</v>
      </c>
      <c r="AQ1479" s="6" t="s">
        <v>81</v>
      </c>
      <c r="AR1479" s="6" t="s">
        <v>81</v>
      </c>
      <c r="AS1479" s="6" t="s">
        <v>81</v>
      </c>
      <c r="AT1479" s="6" t="s">
        <v>81</v>
      </c>
      <c r="AU1479" s="6" t="s">
        <v>81</v>
      </c>
      <c r="AV1479" s="6" t="s">
        <v>81</v>
      </c>
      <c r="AW1479" s="6" t="s">
        <v>81</v>
      </c>
      <c r="AX1479" s="6" t="s">
        <v>21678</v>
      </c>
      <c r="AY1479" s="6" t="s">
        <v>81</v>
      </c>
      <c r="AZ1479" s="6" t="s">
        <v>81</v>
      </c>
      <c r="BA1479" s="6" t="s">
        <v>23819</v>
      </c>
      <c r="BB1479" s="24" t="n">
        <v>198</v>
      </c>
      <c r="BC1479" s="26"/>
      <c r="BD1479" s="26"/>
      <c r="BE1479" s="26"/>
      <c r="BF1479" s="26" t="s">
        <v>23900</v>
      </c>
      <c r="BG1479" s="26"/>
      <c r="BH1479" s="26"/>
      <c r="BI1479" s="26"/>
      <c r="BJ1479" s="26"/>
      <c r="BK1479" s="26"/>
      <c r="BL1479" s="26"/>
      <c r="BM1479" s="26"/>
      <c r="BN1479" s="26"/>
      <c r="BO1479" s="26"/>
      <c r="BP1479" s="16" t="n">
        <v>45694</v>
      </c>
      <c r="BQ1479" s="28" t="str">
        <f>HYPERLINK("https://organic.ams.usda.gov/Integrity/Certificate.aspx?cid=45&amp;nopid=9950000941")</f>
        <v>https://organic.ams.usda.gov/Integrity/Certificate.aspx?cid=45&amp;nopid=9950000941</v>
      </c>
    </row>
    <row r="1480">
      <c r="A1480" t="s">
        <v>3</v>
      </c>
      <c r="B1480" s="6" t="s">
        <v>8</v>
      </c>
      <c r="C1480" s="6" t="s">
        <v>55</v>
      </c>
      <c r="D1480" s="6" t="s">
        <v>101</v>
      </c>
      <c r="E1480" s="10" t="s">
        <v>1621</v>
      </c>
      <c r="F1480" s="6" t="s">
        <v>4345</v>
      </c>
      <c r="G1480" s="6" t="s">
        <v>81</v>
      </c>
      <c r="H1480" s="6" t="s">
        <v>6060</v>
      </c>
      <c r="I1480" s="6" t="s">
        <v>8626</v>
      </c>
      <c r="J1480" s="6" t="s">
        <v>10357</v>
      </c>
      <c r="K1480" s="6" t="s">
        <v>10886</v>
      </c>
      <c r="L1480" s="16" t="n">
        <v>42502</v>
      </c>
      <c r="M1480" s="16" t="n">
        <v>45689</v>
      </c>
      <c r="N1480" s="6" t="s">
        <v>81</v>
      </c>
      <c r="O1480" s="21" t="s">
        <v>81</v>
      </c>
      <c r="P1480" s="6" t="s">
        <v>81</v>
      </c>
      <c r="Q1480" s="6" t="s">
        <v>81</v>
      </c>
      <c r="R1480" s="6" t="s">
        <v>81</v>
      </c>
      <c r="S1480" s="6" t="s">
        <v>81</v>
      </c>
      <c r="T1480" s="21" t="s">
        <v>81</v>
      </c>
      <c r="U1480" s="6" t="s">
        <v>81</v>
      </c>
      <c r="V1480" s="6" t="s">
        <v>81</v>
      </c>
      <c r="W1480" s="6" t="s">
        <v>81</v>
      </c>
      <c r="X1480" s="6" t="s">
        <v>81</v>
      </c>
      <c r="Y1480" s="21" t="s">
        <v>81</v>
      </c>
      <c r="Z1480" s="6" t="s">
        <v>81</v>
      </c>
      <c r="AA1480" s="6" t="s">
        <v>81</v>
      </c>
      <c r="AB1480" s="6" t="s">
        <v>81</v>
      </c>
      <c r="AC1480" s="6" t="s">
        <v>10886</v>
      </c>
      <c r="AD1480" s="16" t="n">
        <v>42502</v>
      </c>
      <c r="AE1480" s="6" t="s">
        <v>14276</v>
      </c>
      <c r="AF1480" s="6" t="s">
        <v>81</v>
      </c>
      <c r="AG1480" s="6" t="s">
        <v>6060</v>
      </c>
      <c r="AH1480" s="6" t="s">
        <v>16048</v>
      </c>
      <c r="AI1480" s="6" t="s">
        <v>81</v>
      </c>
      <c r="AJ1480" s="6" t="s">
        <v>17926</v>
      </c>
      <c r="AK1480" s="6" t="s">
        <v>18380</v>
      </c>
      <c r="AL1480" s="6" t="s">
        <v>18444</v>
      </c>
      <c r="AM1480" s="6" t="s">
        <v>19208</v>
      </c>
      <c r="AN1480" s="6" t="s">
        <v>19639</v>
      </c>
      <c r="AO1480" s="6" t="s">
        <v>19725</v>
      </c>
      <c r="AP1480" s="6" t="s">
        <v>20291</v>
      </c>
      <c r="AQ1480" s="6" t="s">
        <v>81</v>
      </c>
      <c r="AR1480" s="6" t="s">
        <v>17926</v>
      </c>
      <c r="AS1480" s="6" t="s">
        <v>18380</v>
      </c>
      <c r="AT1480" s="6" t="s">
        <v>18444</v>
      </c>
      <c r="AU1480" s="6" t="s">
        <v>19208</v>
      </c>
      <c r="AV1480" s="6" t="s">
        <v>81</v>
      </c>
      <c r="AW1480" s="6" t="s">
        <v>81</v>
      </c>
      <c r="AX1480" s="6" t="s">
        <v>21679</v>
      </c>
      <c r="AY1480" s="6" t="s">
        <v>23092</v>
      </c>
      <c r="AZ1480" s="6" t="s">
        <v>23700</v>
      </c>
      <c r="BA1480" s="6" t="s">
        <v>81</v>
      </c>
      <c r="BB1480" s="24" t="n">
        <v>0</v>
      </c>
      <c r="BC1480" s="26"/>
      <c r="BD1480" s="26"/>
      <c r="BE1480" s="26"/>
      <c r="BF1480" s="26"/>
      <c r="BG1480" s="26" t="s">
        <v>23900</v>
      </c>
      <c r="BH1480" s="26"/>
      <c r="BI1480" s="26"/>
      <c r="BJ1480" s="26"/>
      <c r="BK1480" s="26"/>
      <c r="BL1480" s="26"/>
      <c r="BM1480" s="26"/>
      <c r="BN1480" s="26"/>
      <c r="BO1480" s="26"/>
      <c r="BP1480" s="16" t="n">
        <v>45733</v>
      </c>
      <c r="BQ1480" s="28" t="str">
        <f>HYPERLINK("https://organic.ams.usda.gov/Integrity/Certificate.aspx?cid=45&amp;nopid=9950009164")</f>
        <v>https://organic.ams.usda.gov/Integrity/Certificate.aspx?cid=45&amp;nopid=9950009164</v>
      </c>
    </row>
    <row r="1481">
      <c r="A1481" t="s">
        <v>3</v>
      </c>
      <c r="B1481" s="6" t="s">
        <v>8</v>
      </c>
      <c r="C1481" s="6" t="s">
        <v>55</v>
      </c>
      <c r="D1481" s="6" t="s">
        <v>101</v>
      </c>
      <c r="E1481" s="10" t="s">
        <v>1622</v>
      </c>
      <c r="F1481" s="6" t="s">
        <v>4346</v>
      </c>
      <c r="G1481" s="6" t="s">
        <v>81</v>
      </c>
      <c r="H1481" s="6" t="s">
        <v>7248</v>
      </c>
      <c r="I1481" s="6" t="s">
        <v>9155</v>
      </c>
      <c r="J1481" s="6" t="s">
        <v>10358</v>
      </c>
      <c r="K1481" s="6" t="s">
        <v>10886</v>
      </c>
      <c r="L1481" s="16" t="n">
        <v>42537</v>
      </c>
      <c r="M1481" s="16" t="n">
        <v>46054</v>
      </c>
      <c r="N1481" s="6" t="s">
        <v>81</v>
      </c>
      <c r="O1481" s="21" t="s">
        <v>81</v>
      </c>
      <c r="P1481" s="6" t="s">
        <v>81</v>
      </c>
      <c r="Q1481" s="6" t="s">
        <v>81</v>
      </c>
      <c r="R1481" s="6" t="s">
        <v>81</v>
      </c>
      <c r="S1481" s="6" t="s">
        <v>81</v>
      </c>
      <c r="T1481" s="21" t="s">
        <v>81</v>
      </c>
      <c r="U1481" s="6" t="s">
        <v>81</v>
      </c>
      <c r="V1481" s="6" t="s">
        <v>81</v>
      </c>
      <c r="W1481" s="6" t="s">
        <v>81</v>
      </c>
      <c r="X1481" s="6" t="s">
        <v>81</v>
      </c>
      <c r="Y1481" s="21" t="s">
        <v>81</v>
      </c>
      <c r="Z1481" s="6" t="s">
        <v>81</v>
      </c>
      <c r="AA1481" s="6" t="s">
        <v>81</v>
      </c>
      <c r="AB1481" s="6" t="s">
        <v>81</v>
      </c>
      <c r="AC1481" s="6" t="s">
        <v>10886</v>
      </c>
      <c r="AD1481" s="16" t="n">
        <v>42537</v>
      </c>
      <c r="AE1481" s="6" t="s">
        <v>14277</v>
      </c>
      <c r="AF1481" s="6" t="s">
        <v>81</v>
      </c>
      <c r="AG1481" s="6" t="s">
        <v>7248</v>
      </c>
      <c r="AH1481" s="6" t="s">
        <v>16049</v>
      </c>
      <c r="AI1481" s="6" t="s">
        <v>81</v>
      </c>
      <c r="AJ1481" s="6" t="s">
        <v>17385</v>
      </c>
      <c r="AK1481" s="6" t="s">
        <v>18377</v>
      </c>
      <c r="AL1481" s="6" t="s">
        <v>18444</v>
      </c>
      <c r="AM1481" s="6" t="s">
        <v>18539</v>
      </c>
      <c r="AN1481" s="6" t="s">
        <v>19634</v>
      </c>
      <c r="AO1481" s="6" t="s">
        <v>19764</v>
      </c>
      <c r="AP1481" s="6" t="s">
        <v>20292</v>
      </c>
      <c r="AQ1481" s="6" t="s">
        <v>81</v>
      </c>
      <c r="AR1481" s="6" t="s">
        <v>20543</v>
      </c>
      <c r="AS1481" s="6" t="s">
        <v>18381</v>
      </c>
      <c r="AT1481" s="6" t="s">
        <v>18444</v>
      </c>
      <c r="AU1481" s="6" t="s">
        <v>20668</v>
      </c>
      <c r="AV1481" s="6" t="s">
        <v>81</v>
      </c>
      <c r="AW1481" s="6" t="s">
        <v>81</v>
      </c>
      <c r="AX1481" s="6" t="s">
        <v>21680</v>
      </c>
      <c r="AY1481" s="6" t="s">
        <v>23093</v>
      </c>
      <c r="AZ1481" s="6" t="s">
        <v>23701</v>
      </c>
      <c r="BA1481" s="6" t="s">
        <v>23824</v>
      </c>
      <c r="BB1481" s="24" t="n">
        <v>0</v>
      </c>
      <c r="BC1481" s="26"/>
      <c r="BD1481" s="26"/>
      <c r="BE1481" s="26"/>
      <c r="BF1481" s="26"/>
      <c r="BG1481" s="26"/>
      <c r="BH1481" s="26"/>
      <c r="BI1481" s="26"/>
      <c r="BJ1481" s="26"/>
      <c r="BK1481" s="26"/>
      <c r="BL1481" s="26" t="s">
        <v>23900</v>
      </c>
      <c r="BM1481" s="26"/>
      <c r="BN1481" s="26"/>
      <c r="BO1481" s="26"/>
      <c r="BP1481" s="16" t="n">
        <v>45708</v>
      </c>
      <c r="BQ1481" s="28" t="str">
        <f>HYPERLINK("https://organic.ams.usda.gov/Integrity/Certificate.aspx?cid=45&amp;nopid=9950009549")</f>
        <v>https://organic.ams.usda.gov/Integrity/Certificate.aspx?cid=45&amp;nopid=9950009549</v>
      </c>
    </row>
    <row r="1482">
      <c r="A1482" t="s">
        <v>3</v>
      </c>
      <c r="B1482" s="6" t="s">
        <v>8</v>
      </c>
      <c r="C1482" s="6" t="s">
        <v>55</v>
      </c>
      <c r="D1482" s="6" t="s">
        <v>101</v>
      </c>
      <c r="E1482" s="10" t="s">
        <v>1623</v>
      </c>
      <c r="F1482" s="6" t="s">
        <v>4347</v>
      </c>
      <c r="G1482" s="6" t="s">
        <v>81</v>
      </c>
      <c r="H1482" s="6" t="s">
        <v>7249</v>
      </c>
      <c r="I1482" s="6" t="s">
        <v>8851</v>
      </c>
      <c r="J1482" s="6" t="s">
        <v>10359</v>
      </c>
      <c r="K1482" s="6" t="s">
        <v>10886</v>
      </c>
      <c r="L1482" s="16" t="n">
        <v>37628</v>
      </c>
      <c r="M1482" s="16" t="n">
        <v>45689</v>
      </c>
      <c r="N1482" s="6" t="s">
        <v>10886</v>
      </c>
      <c r="O1482" s="16" t="n">
        <v>37628</v>
      </c>
      <c r="P1482" s="6" t="s">
        <v>11778</v>
      </c>
      <c r="Q1482" s="6" t="s">
        <v>81</v>
      </c>
      <c r="R1482" s="6" t="s">
        <v>7249</v>
      </c>
      <c r="S1482" s="6" t="s">
        <v>10886</v>
      </c>
      <c r="T1482" s="16" t="n">
        <v>37628</v>
      </c>
      <c r="U1482" s="6" t="s">
        <v>13179</v>
      </c>
      <c r="V1482" s="6" t="s">
        <v>81</v>
      </c>
      <c r="W1482" s="6" t="s">
        <v>7249</v>
      </c>
      <c r="X1482" s="6" t="s">
        <v>81</v>
      </c>
      <c r="Y1482" s="21" t="s">
        <v>81</v>
      </c>
      <c r="Z1482" s="6" t="s">
        <v>81</v>
      </c>
      <c r="AA1482" s="6" t="s">
        <v>81</v>
      </c>
      <c r="AB1482" s="6" t="s">
        <v>81</v>
      </c>
      <c r="AC1482" s="6" t="s">
        <v>81</v>
      </c>
      <c r="AD1482" s="21" t="s">
        <v>81</v>
      </c>
      <c r="AE1482" s="6" t="s">
        <v>81</v>
      </c>
      <c r="AF1482" s="6" t="s">
        <v>81</v>
      </c>
      <c r="AG1482" s="6" t="s">
        <v>81</v>
      </c>
      <c r="AH1482" s="6" t="s">
        <v>16050</v>
      </c>
      <c r="AI1482" s="6" t="s">
        <v>81</v>
      </c>
      <c r="AJ1482" s="6" t="s">
        <v>18017</v>
      </c>
      <c r="AK1482" s="6" t="s">
        <v>18377</v>
      </c>
      <c r="AL1482" s="6" t="s">
        <v>18444</v>
      </c>
      <c r="AM1482" s="6" t="s">
        <v>19209</v>
      </c>
      <c r="AN1482" s="6" t="s">
        <v>7195</v>
      </c>
      <c r="AO1482" s="6" t="s">
        <v>19737</v>
      </c>
      <c r="AP1482" s="6" t="s">
        <v>81</v>
      </c>
      <c r="AQ1482" s="6" t="s">
        <v>81</v>
      </c>
      <c r="AR1482" s="6" t="s">
        <v>81</v>
      </c>
      <c r="AS1482" s="6" t="s">
        <v>81</v>
      </c>
      <c r="AT1482" s="6" t="s">
        <v>81</v>
      </c>
      <c r="AU1482" s="6" t="s">
        <v>81</v>
      </c>
      <c r="AV1482" s="6" t="s">
        <v>81</v>
      </c>
      <c r="AW1482" s="6" t="s">
        <v>81</v>
      </c>
      <c r="AX1482" s="6" t="s">
        <v>21681</v>
      </c>
      <c r="AY1482" s="6" t="s">
        <v>23094</v>
      </c>
      <c r="AZ1482" s="6" t="s">
        <v>81</v>
      </c>
      <c r="BA1482" s="6" t="s">
        <v>23819</v>
      </c>
      <c r="BB1482" s="24" t="n">
        <v>727</v>
      </c>
      <c r="BC1482" s="26"/>
      <c r="BD1482" s="26"/>
      <c r="BE1482" s="26"/>
      <c r="BF1482" s="26" t="s">
        <v>23900</v>
      </c>
      <c r="BG1482" s="26"/>
      <c r="BH1482" s="26"/>
      <c r="BI1482" s="26"/>
      <c r="BJ1482" s="26"/>
      <c r="BK1482" s="26"/>
      <c r="BL1482" s="26"/>
      <c r="BM1482" s="26"/>
      <c r="BN1482" s="26"/>
      <c r="BO1482" s="26"/>
      <c r="BP1482" s="16" t="n">
        <v>45680</v>
      </c>
      <c r="BQ1482" s="28" t="str">
        <f>HYPERLINK("https://organic.ams.usda.gov/Integrity/Certificate.aspx?cid=45&amp;nopid=9950001143")</f>
        <v>https://organic.ams.usda.gov/Integrity/Certificate.aspx?cid=45&amp;nopid=9950001143</v>
      </c>
    </row>
    <row r="1483">
      <c r="A1483" t="s">
        <v>3</v>
      </c>
      <c r="B1483" s="6" t="s">
        <v>12</v>
      </c>
      <c r="C1483" s="6" t="s">
        <v>59</v>
      </c>
      <c r="D1483" s="6" t="s">
        <v>105</v>
      </c>
      <c r="E1483" s="10" t="s">
        <v>1624</v>
      </c>
      <c r="F1483" s="6" t="s">
        <v>4348</v>
      </c>
      <c r="G1483" s="6" t="s">
        <v>81</v>
      </c>
      <c r="H1483" s="6" t="s">
        <v>7250</v>
      </c>
      <c r="I1483" s="6" t="s">
        <v>8590</v>
      </c>
      <c r="J1483" s="6" t="s">
        <v>10360</v>
      </c>
      <c r="K1483" s="6" t="s">
        <v>10886</v>
      </c>
      <c r="L1483" s="16" t="n">
        <v>42958</v>
      </c>
      <c r="M1483" s="16" t="n">
        <v>45717</v>
      </c>
      <c r="N1483" s="6" t="s">
        <v>10886</v>
      </c>
      <c r="O1483" s="16" t="n">
        <v>42958</v>
      </c>
      <c r="P1483" s="6" t="s">
        <v>10910</v>
      </c>
      <c r="Q1483" s="6" t="s">
        <v>81</v>
      </c>
      <c r="R1483" s="6" t="s">
        <v>81</v>
      </c>
      <c r="S1483" s="6" t="s">
        <v>10886</v>
      </c>
      <c r="T1483" s="16" t="n">
        <v>42958</v>
      </c>
      <c r="U1483" s="6" t="s">
        <v>13559</v>
      </c>
      <c r="V1483" s="6" t="s">
        <v>81</v>
      </c>
      <c r="W1483" s="6" t="s">
        <v>81</v>
      </c>
      <c r="X1483" s="6" t="s">
        <v>81</v>
      </c>
      <c r="Y1483" s="21" t="s">
        <v>81</v>
      </c>
      <c r="Z1483" s="6" t="s">
        <v>81</v>
      </c>
      <c r="AA1483" s="6" t="s">
        <v>81</v>
      </c>
      <c r="AB1483" s="6" t="s">
        <v>81</v>
      </c>
      <c r="AC1483" s="6" t="s">
        <v>81</v>
      </c>
      <c r="AD1483" s="21" t="s">
        <v>81</v>
      </c>
      <c r="AE1483" s="6" t="s">
        <v>81</v>
      </c>
      <c r="AF1483" s="6" t="s">
        <v>81</v>
      </c>
      <c r="AG1483" s="6" t="s">
        <v>81</v>
      </c>
      <c r="AH1483" s="6" t="s">
        <v>16051</v>
      </c>
      <c r="AI1483" s="6" t="s">
        <v>81</v>
      </c>
      <c r="AJ1483" s="6" t="s">
        <v>18018</v>
      </c>
      <c r="AK1483" s="6" t="s">
        <v>17712</v>
      </c>
      <c r="AL1483" s="6" t="s">
        <v>18444</v>
      </c>
      <c r="AM1483" s="6" t="s">
        <v>7032</v>
      </c>
      <c r="AN1483" s="6" t="s">
        <v>19643</v>
      </c>
      <c r="AO1483" s="6" t="s">
        <v>19766</v>
      </c>
      <c r="AP1483" s="6" t="s">
        <v>16051</v>
      </c>
      <c r="AQ1483" s="6" t="s">
        <v>81</v>
      </c>
      <c r="AR1483" s="6" t="s">
        <v>18018</v>
      </c>
      <c r="AS1483" s="6" t="s">
        <v>17712</v>
      </c>
      <c r="AT1483" s="6" t="s">
        <v>18444</v>
      </c>
      <c r="AU1483" s="6" t="s">
        <v>7032</v>
      </c>
      <c r="AV1483" s="6" t="s">
        <v>81</v>
      </c>
      <c r="AW1483" s="6" t="s">
        <v>81</v>
      </c>
      <c r="AX1483" s="6" t="s">
        <v>21682</v>
      </c>
      <c r="AY1483" s="6" t="s">
        <v>23095</v>
      </c>
      <c r="AZ1483" s="6" t="s">
        <v>81</v>
      </c>
      <c r="BA1483" s="6" t="s">
        <v>81</v>
      </c>
      <c r="BB1483" s="24" t="n">
        <v>383</v>
      </c>
      <c r="BC1483" s="26"/>
      <c r="BD1483" s="26"/>
      <c r="BE1483" s="26"/>
      <c r="BF1483" s="26"/>
      <c r="BG1483" s="26"/>
      <c r="BH1483" s="26"/>
      <c r="BI1483" s="26"/>
      <c r="BJ1483" s="26"/>
      <c r="BK1483" s="26"/>
      <c r="BL1483" s="26"/>
      <c r="BM1483" s="26"/>
      <c r="BN1483" s="26"/>
      <c r="BO1483" s="26"/>
      <c r="BP1483" s="16" t="n">
        <v>45684</v>
      </c>
      <c r="BQ1483" s="28" t="str">
        <f>HYPERLINK("https://organic.ams.usda.gov/Integrity/Certificate.aspx?cid=68&amp;nopid=8210001961")</f>
        <v>https://organic.ams.usda.gov/Integrity/Certificate.aspx?cid=68&amp;nopid=8210001961</v>
      </c>
    </row>
    <row r="1484">
      <c r="A1484" t="s">
        <v>3</v>
      </c>
      <c r="B1484" s="6" t="s">
        <v>12</v>
      </c>
      <c r="C1484" s="6" t="s">
        <v>59</v>
      </c>
      <c r="D1484" s="6" t="s">
        <v>105</v>
      </c>
      <c r="E1484" s="10" t="s">
        <v>1625</v>
      </c>
      <c r="F1484" s="6" t="s">
        <v>4349</v>
      </c>
      <c r="G1484" s="6" t="s">
        <v>81</v>
      </c>
      <c r="H1484" s="6" t="s">
        <v>7251</v>
      </c>
      <c r="I1484" s="6" t="s">
        <v>9156</v>
      </c>
      <c r="J1484" s="6" t="s">
        <v>10361</v>
      </c>
      <c r="K1484" s="6" t="s">
        <v>10886</v>
      </c>
      <c r="L1484" s="16" t="n">
        <v>43593</v>
      </c>
      <c r="M1484" s="16" t="n">
        <v>45717</v>
      </c>
      <c r="N1484" s="6" t="s">
        <v>10886</v>
      </c>
      <c r="O1484" s="16" t="n">
        <v>43593</v>
      </c>
      <c r="P1484" s="6" t="s">
        <v>10910</v>
      </c>
      <c r="Q1484" s="6" t="s">
        <v>81</v>
      </c>
      <c r="R1484" s="6" t="s">
        <v>81</v>
      </c>
      <c r="S1484" s="6" t="s">
        <v>10886</v>
      </c>
      <c r="T1484" s="16" t="n">
        <v>43593</v>
      </c>
      <c r="U1484" s="6" t="s">
        <v>13241</v>
      </c>
      <c r="V1484" s="6" t="s">
        <v>81</v>
      </c>
      <c r="W1484" s="6" t="s">
        <v>81</v>
      </c>
      <c r="X1484" s="6" t="s">
        <v>81</v>
      </c>
      <c r="Y1484" s="21" t="s">
        <v>81</v>
      </c>
      <c r="Z1484" s="6" t="s">
        <v>81</v>
      </c>
      <c r="AA1484" s="6" t="s">
        <v>81</v>
      </c>
      <c r="AB1484" s="6" t="s">
        <v>81</v>
      </c>
      <c r="AC1484" s="6" t="s">
        <v>81</v>
      </c>
      <c r="AD1484" s="21" t="s">
        <v>81</v>
      </c>
      <c r="AE1484" s="6" t="s">
        <v>81</v>
      </c>
      <c r="AF1484" s="6" t="s">
        <v>81</v>
      </c>
      <c r="AG1484" s="6" t="s">
        <v>81</v>
      </c>
      <c r="AH1484" s="6" t="s">
        <v>16052</v>
      </c>
      <c r="AI1484" s="6" t="s">
        <v>81</v>
      </c>
      <c r="AJ1484" s="6" t="s">
        <v>17453</v>
      </c>
      <c r="AK1484" s="6" t="s">
        <v>17712</v>
      </c>
      <c r="AL1484" s="6" t="s">
        <v>18444</v>
      </c>
      <c r="AM1484" s="6" t="s">
        <v>18612</v>
      </c>
      <c r="AN1484" s="6" t="s">
        <v>19670</v>
      </c>
      <c r="AO1484" s="6" t="s">
        <v>19782</v>
      </c>
      <c r="AP1484" s="6" t="s">
        <v>16052</v>
      </c>
      <c r="AQ1484" s="6" t="s">
        <v>81</v>
      </c>
      <c r="AR1484" s="6" t="s">
        <v>17453</v>
      </c>
      <c r="AS1484" s="6" t="s">
        <v>17712</v>
      </c>
      <c r="AT1484" s="6" t="s">
        <v>18444</v>
      </c>
      <c r="AU1484" s="6" t="s">
        <v>18612</v>
      </c>
      <c r="AV1484" s="6" t="s">
        <v>81</v>
      </c>
      <c r="AW1484" s="6" t="s">
        <v>81</v>
      </c>
      <c r="AX1484" s="6" t="s">
        <v>21683</v>
      </c>
      <c r="AY1484" s="6" t="s">
        <v>23096</v>
      </c>
      <c r="AZ1484" s="6" t="s">
        <v>81</v>
      </c>
      <c r="BA1484" s="6" t="s">
        <v>81</v>
      </c>
      <c r="BB1484" s="24" t="n">
        <v>432</v>
      </c>
      <c r="BC1484" s="26"/>
      <c r="BD1484" s="26"/>
      <c r="BE1484" s="26"/>
      <c r="BF1484" s="26"/>
      <c r="BG1484" s="26"/>
      <c r="BH1484" s="26"/>
      <c r="BI1484" s="26"/>
      <c r="BJ1484" s="26"/>
      <c r="BK1484" s="26"/>
      <c r="BL1484" s="26"/>
      <c r="BM1484" s="26"/>
      <c r="BN1484" s="26"/>
      <c r="BO1484" s="26"/>
      <c r="BP1484" s="16" t="n">
        <v>45684</v>
      </c>
      <c r="BQ1484" s="28" t="str">
        <f>HYPERLINK("https://organic.ams.usda.gov/Integrity/Certificate.aspx?cid=68&amp;nopid=8210001580")</f>
        <v>https://organic.ams.usda.gov/Integrity/Certificate.aspx?cid=68&amp;nopid=8210001580</v>
      </c>
    </row>
    <row r="1485">
      <c r="A1485" t="s">
        <v>3</v>
      </c>
      <c r="B1485" s="6" t="s">
        <v>9</v>
      </c>
      <c r="C1485" s="6" t="s">
        <v>56</v>
      </c>
      <c r="D1485" s="6" t="s">
        <v>102</v>
      </c>
      <c r="E1485" s="10" t="s">
        <v>1626</v>
      </c>
      <c r="F1485" s="6" t="s">
        <v>4350</v>
      </c>
      <c r="G1485" s="6" t="s">
        <v>81</v>
      </c>
      <c r="H1485" s="6" t="s">
        <v>7252</v>
      </c>
      <c r="I1485" s="6" t="s">
        <v>8568</v>
      </c>
      <c r="J1485" s="6" t="s">
        <v>10092</v>
      </c>
      <c r="K1485" s="6" t="s">
        <v>10886</v>
      </c>
      <c r="L1485" s="16" t="n">
        <v>41947</v>
      </c>
      <c r="M1485" s="16" t="n">
        <v>45748</v>
      </c>
      <c r="N1485" s="6" t="s">
        <v>10886</v>
      </c>
      <c r="O1485" s="16" t="n">
        <v>41947</v>
      </c>
      <c r="P1485" s="6" t="s">
        <v>10907</v>
      </c>
      <c r="Q1485" s="6" t="s">
        <v>81</v>
      </c>
      <c r="R1485" s="6" t="s">
        <v>12824</v>
      </c>
      <c r="S1485" s="6" t="s">
        <v>10886</v>
      </c>
      <c r="T1485" s="16" t="n">
        <v>41947</v>
      </c>
      <c r="U1485" s="6" t="s">
        <v>13168</v>
      </c>
      <c r="V1485" s="6" t="s">
        <v>81</v>
      </c>
      <c r="W1485" s="6" t="s">
        <v>12824</v>
      </c>
      <c r="X1485" s="6" t="s">
        <v>81</v>
      </c>
      <c r="Y1485" s="21" t="s">
        <v>81</v>
      </c>
      <c r="Z1485" s="6" t="s">
        <v>81</v>
      </c>
      <c r="AA1485" s="6" t="s">
        <v>81</v>
      </c>
      <c r="AB1485" s="6" t="s">
        <v>81</v>
      </c>
      <c r="AC1485" s="6" t="s">
        <v>81</v>
      </c>
      <c r="AD1485" s="21" t="s">
        <v>81</v>
      </c>
      <c r="AE1485" s="6" t="s">
        <v>81</v>
      </c>
      <c r="AF1485" s="6" t="s">
        <v>81</v>
      </c>
      <c r="AG1485" s="6" t="s">
        <v>81</v>
      </c>
      <c r="AH1485" s="6" t="s">
        <v>16053</v>
      </c>
      <c r="AI1485" s="6" t="s">
        <v>81</v>
      </c>
      <c r="AJ1485" s="6" t="s">
        <v>17315</v>
      </c>
      <c r="AK1485" s="6" t="s">
        <v>18379</v>
      </c>
      <c r="AL1485" s="6" t="s">
        <v>18444</v>
      </c>
      <c r="AM1485" s="6" t="s">
        <v>18467</v>
      </c>
      <c r="AN1485" s="6" t="s">
        <v>19637</v>
      </c>
      <c r="AO1485" s="6" t="s">
        <v>19723</v>
      </c>
      <c r="AP1485" s="6" t="s">
        <v>81</v>
      </c>
      <c r="AQ1485" s="6" t="s">
        <v>81</v>
      </c>
      <c r="AR1485" s="6" t="s">
        <v>81</v>
      </c>
      <c r="AS1485" s="6" t="s">
        <v>81</v>
      </c>
      <c r="AT1485" s="6" t="s">
        <v>81</v>
      </c>
      <c r="AU1485" s="6" t="s">
        <v>81</v>
      </c>
      <c r="AV1485" s="6" t="s">
        <v>81</v>
      </c>
      <c r="AW1485" s="6" t="s">
        <v>81</v>
      </c>
      <c r="AX1485" s="6" t="s">
        <v>81</v>
      </c>
      <c r="AY1485" s="6" t="s">
        <v>81</v>
      </c>
      <c r="AZ1485" s="6" t="s">
        <v>81</v>
      </c>
      <c r="BA1485" s="6" t="s">
        <v>81</v>
      </c>
      <c r="BB1485" s="24" t="n">
        <v>87</v>
      </c>
      <c r="BC1485" s="26"/>
      <c r="BD1485" s="26"/>
      <c r="BE1485" s="26"/>
      <c r="BF1485" s="26"/>
      <c r="BG1485" s="26"/>
      <c r="BH1485" s="26"/>
      <c r="BI1485" s="26"/>
      <c r="BJ1485" s="26"/>
      <c r="BK1485" s="26"/>
      <c r="BL1485" s="26"/>
      <c r="BM1485" s="26"/>
      <c r="BN1485" s="26"/>
      <c r="BO1485" s="26"/>
      <c r="BP1485" s="16" t="n">
        <v>45738</v>
      </c>
      <c r="BQ1485" s="28" t="str">
        <f>HYPERLINK("https://organic.ams.usda.gov/Integrity/Certificate.aspx?cid=52&amp;nopid=8431400870")</f>
        <v>https://organic.ams.usda.gov/Integrity/Certificate.aspx?cid=52&amp;nopid=8431400870</v>
      </c>
    </row>
    <row r="1486">
      <c r="A1486" t="s">
        <v>3</v>
      </c>
      <c r="B1486" s="6" t="s">
        <v>10</v>
      </c>
      <c r="C1486" s="6" t="s">
        <v>57</v>
      </c>
      <c r="D1486" s="6" t="s">
        <v>103</v>
      </c>
      <c r="E1486" s="10" t="s">
        <v>1627</v>
      </c>
      <c r="F1486" s="6" t="s">
        <v>4351</v>
      </c>
      <c r="G1486" s="6" t="s">
        <v>81</v>
      </c>
      <c r="H1486" s="6" t="s">
        <v>7253</v>
      </c>
      <c r="I1486" s="6" t="s">
        <v>8568</v>
      </c>
      <c r="J1486" s="6" t="s">
        <v>10362</v>
      </c>
      <c r="K1486" s="6" t="s">
        <v>10886</v>
      </c>
      <c r="L1486" s="16" t="n">
        <v>42326</v>
      </c>
      <c r="M1486" s="16" t="n">
        <v>45748</v>
      </c>
      <c r="N1486" s="6" t="s">
        <v>10886</v>
      </c>
      <c r="O1486" s="16" t="n">
        <v>42326</v>
      </c>
      <c r="P1486" s="6" t="s">
        <v>11400</v>
      </c>
      <c r="Q1486" s="6" t="s">
        <v>81</v>
      </c>
      <c r="R1486" s="6" t="s">
        <v>12825</v>
      </c>
      <c r="S1486" s="6" t="s">
        <v>10886</v>
      </c>
      <c r="T1486" s="16" t="n">
        <v>44670</v>
      </c>
      <c r="U1486" s="6" t="s">
        <v>13163</v>
      </c>
      <c r="V1486" s="6" t="s">
        <v>81</v>
      </c>
      <c r="W1486" s="6" t="s">
        <v>81</v>
      </c>
      <c r="X1486" s="6" t="s">
        <v>81</v>
      </c>
      <c r="Y1486" s="21" t="s">
        <v>81</v>
      </c>
      <c r="Z1486" s="6" t="s">
        <v>81</v>
      </c>
      <c r="AA1486" s="6" t="s">
        <v>81</v>
      </c>
      <c r="AB1486" s="6" t="s">
        <v>81</v>
      </c>
      <c r="AC1486" s="6" t="s">
        <v>81</v>
      </c>
      <c r="AD1486" s="21" t="s">
        <v>81</v>
      </c>
      <c r="AE1486" s="6" t="s">
        <v>81</v>
      </c>
      <c r="AF1486" s="6" t="s">
        <v>81</v>
      </c>
      <c r="AG1486" s="6" t="s">
        <v>81</v>
      </c>
      <c r="AH1486" s="6" t="s">
        <v>16054</v>
      </c>
      <c r="AI1486" s="6" t="s">
        <v>81</v>
      </c>
      <c r="AJ1486" s="6" t="s">
        <v>18019</v>
      </c>
      <c r="AK1486" s="6" t="s">
        <v>18380</v>
      </c>
      <c r="AL1486" s="6" t="s">
        <v>18444</v>
      </c>
      <c r="AM1486" s="6" t="s">
        <v>19210</v>
      </c>
      <c r="AN1486" s="6" t="s">
        <v>19698</v>
      </c>
      <c r="AO1486" s="6" t="s">
        <v>19920</v>
      </c>
      <c r="AP1486" s="6" t="s">
        <v>16054</v>
      </c>
      <c r="AQ1486" s="6" t="s">
        <v>81</v>
      </c>
      <c r="AR1486" s="6" t="s">
        <v>18019</v>
      </c>
      <c r="AS1486" s="6" t="s">
        <v>18380</v>
      </c>
      <c r="AT1486" s="6" t="s">
        <v>18444</v>
      </c>
      <c r="AU1486" s="6" t="s">
        <v>19210</v>
      </c>
      <c r="AV1486" s="6" t="s">
        <v>81</v>
      </c>
      <c r="AW1486" s="6" t="s">
        <v>81</v>
      </c>
      <c r="AX1486" s="6" t="s">
        <v>21684</v>
      </c>
      <c r="AY1486" s="6" t="s">
        <v>81</v>
      </c>
      <c r="AZ1486" s="6" t="s">
        <v>81</v>
      </c>
      <c r="BA1486" s="6" t="s">
        <v>81</v>
      </c>
      <c r="BB1486" s="24" t="n">
        <v>378</v>
      </c>
      <c r="BC1486" s="26"/>
      <c r="BD1486" s="26"/>
      <c r="BE1486" s="26"/>
      <c r="BF1486" s="26"/>
      <c r="BG1486" s="26"/>
      <c r="BH1486" s="26"/>
      <c r="BI1486" s="26"/>
      <c r="BJ1486" s="26"/>
      <c r="BK1486" s="26"/>
      <c r="BL1486" s="26"/>
      <c r="BM1486" s="26"/>
      <c r="BN1486" s="26"/>
      <c r="BO1486" s="26"/>
      <c r="BP1486" s="16" t="n">
        <v>45730</v>
      </c>
      <c r="BQ1486" s="28" t="str">
        <f>HYPERLINK("https://organic.ams.usda.gov/Integrity/Certificate.aspx?cid=90&amp;nopid=7170220497")</f>
        <v>https://organic.ams.usda.gov/Integrity/Certificate.aspx?cid=90&amp;nopid=7170220497</v>
      </c>
    </row>
    <row r="1487">
      <c r="A1487" t="s">
        <v>3</v>
      </c>
      <c r="B1487" s="6" t="s">
        <v>8</v>
      </c>
      <c r="C1487" s="6" t="s">
        <v>55</v>
      </c>
      <c r="D1487" s="6" t="s">
        <v>101</v>
      </c>
      <c r="E1487" s="10" t="s">
        <v>1628</v>
      </c>
      <c r="F1487" s="6" t="s">
        <v>4352</v>
      </c>
      <c r="G1487" s="6" t="s">
        <v>81</v>
      </c>
      <c r="H1487" s="6" t="s">
        <v>7254</v>
      </c>
      <c r="I1487" s="6" t="s">
        <v>9157</v>
      </c>
      <c r="J1487" s="6" t="s">
        <v>10363</v>
      </c>
      <c r="K1487" s="6" t="s">
        <v>10886</v>
      </c>
      <c r="L1487" s="16" t="n">
        <v>36402</v>
      </c>
      <c r="M1487" s="16" t="n">
        <v>45748</v>
      </c>
      <c r="N1487" s="6" t="s">
        <v>10886</v>
      </c>
      <c r="O1487" s="16" t="n">
        <v>36402</v>
      </c>
      <c r="P1487" s="6" t="s">
        <v>11779</v>
      </c>
      <c r="Q1487" s="6" t="s">
        <v>81</v>
      </c>
      <c r="R1487" s="6" t="s">
        <v>7254</v>
      </c>
      <c r="S1487" s="6" t="s">
        <v>10886</v>
      </c>
      <c r="T1487" s="16" t="n">
        <v>36402</v>
      </c>
      <c r="U1487" s="6" t="s">
        <v>13179</v>
      </c>
      <c r="V1487" s="6" t="s">
        <v>81</v>
      </c>
      <c r="W1487" s="6" t="s">
        <v>7254</v>
      </c>
      <c r="X1487" s="6" t="s">
        <v>81</v>
      </c>
      <c r="Y1487" s="21" t="s">
        <v>81</v>
      </c>
      <c r="Z1487" s="6" t="s">
        <v>81</v>
      </c>
      <c r="AA1487" s="6" t="s">
        <v>81</v>
      </c>
      <c r="AB1487" s="6" t="s">
        <v>81</v>
      </c>
      <c r="AC1487" s="6" t="s">
        <v>81</v>
      </c>
      <c r="AD1487" s="21" t="s">
        <v>81</v>
      </c>
      <c r="AE1487" s="6" t="s">
        <v>81</v>
      </c>
      <c r="AF1487" s="6" t="s">
        <v>81</v>
      </c>
      <c r="AG1487" s="6" t="s">
        <v>81</v>
      </c>
      <c r="AH1487" s="6" t="s">
        <v>16055</v>
      </c>
      <c r="AI1487" s="6" t="s">
        <v>81</v>
      </c>
      <c r="AJ1487" s="6" t="s">
        <v>17427</v>
      </c>
      <c r="AK1487" s="6" t="s">
        <v>18377</v>
      </c>
      <c r="AL1487" s="6" t="s">
        <v>18444</v>
      </c>
      <c r="AM1487" s="6" t="s">
        <v>18584</v>
      </c>
      <c r="AN1487" s="6" t="s">
        <v>19634</v>
      </c>
      <c r="AO1487" s="6" t="s">
        <v>19764</v>
      </c>
      <c r="AP1487" s="6" t="s">
        <v>81</v>
      </c>
      <c r="AQ1487" s="6" t="s">
        <v>81</v>
      </c>
      <c r="AR1487" s="6" t="s">
        <v>81</v>
      </c>
      <c r="AS1487" s="6" t="s">
        <v>81</v>
      </c>
      <c r="AT1487" s="6" t="s">
        <v>81</v>
      </c>
      <c r="AU1487" s="6" t="s">
        <v>81</v>
      </c>
      <c r="AV1487" s="6" t="s">
        <v>81</v>
      </c>
      <c r="AW1487" s="6" t="s">
        <v>81</v>
      </c>
      <c r="AX1487" s="6" t="s">
        <v>81</v>
      </c>
      <c r="AY1487" s="6" t="s">
        <v>81</v>
      </c>
      <c r="AZ1487" s="6" t="s">
        <v>81</v>
      </c>
      <c r="BA1487" s="6" t="s">
        <v>23819</v>
      </c>
      <c r="BB1487" s="24" t="n">
        <v>181</v>
      </c>
      <c r="BC1487" s="26"/>
      <c r="BD1487" s="26"/>
      <c r="BE1487" s="26"/>
      <c r="BF1487" s="26" t="s">
        <v>23900</v>
      </c>
      <c r="BG1487" s="26"/>
      <c r="BH1487" s="26"/>
      <c r="BI1487" s="26"/>
      <c r="BJ1487" s="26"/>
      <c r="BK1487" s="26"/>
      <c r="BL1487" s="26"/>
      <c r="BM1487" s="26"/>
      <c r="BN1487" s="26"/>
      <c r="BO1487" s="26"/>
      <c r="BP1487" s="16" t="n">
        <v>45667</v>
      </c>
      <c r="BQ1487" s="28" t="str">
        <f>HYPERLINK("https://organic.ams.usda.gov/Integrity/Certificate.aspx?cid=45&amp;nopid=9950000178")</f>
        <v>https://organic.ams.usda.gov/Integrity/Certificate.aspx?cid=45&amp;nopid=9950000178</v>
      </c>
    </row>
    <row r="1488">
      <c r="A1488" t="s">
        <v>3</v>
      </c>
      <c r="B1488" s="6" t="s">
        <v>9</v>
      </c>
      <c r="C1488" s="6" t="s">
        <v>56</v>
      </c>
      <c r="D1488" s="6" t="s">
        <v>102</v>
      </c>
      <c r="E1488" s="10" t="s">
        <v>1629</v>
      </c>
      <c r="F1488" s="6" t="s">
        <v>4353</v>
      </c>
      <c r="G1488" s="6" t="s">
        <v>81</v>
      </c>
      <c r="H1488" s="6" t="s">
        <v>7255</v>
      </c>
      <c r="I1488" s="6" t="s">
        <v>9158</v>
      </c>
      <c r="J1488" s="6" t="s">
        <v>10364</v>
      </c>
      <c r="K1488" s="6" t="s">
        <v>10886</v>
      </c>
      <c r="L1488" s="16" t="n">
        <v>43294</v>
      </c>
      <c r="M1488" s="16" t="n">
        <v>46113</v>
      </c>
      <c r="N1488" s="6" t="s">
        <v>10886</v>
      </c>
      <c r="O1488" s="16" t="n">
        <v>43294</v>
      </c>
      <c r="P1488" s="6" t="s">
        <v>11052</v>
      </c>
      <c r="Q1488" s="6" t="s">
        <v>81</v>
      </c>
      <c r="R1488" s="6" t="s">
        <v>12826</v>
      </c>
      <c r="S1488" s="6" t="s">
        <v>10886</v>
      </c>
      <c r="T1488" s="16" t="n">
        <v>43294</v>
      </c>
      <c r="U1488" s="6" t="s">
        <v>13637</v>
      </c>
      <c r="V1488" s="6" t="s">
        <v>81</v>
      </c>
      <c r="W1488" s="6" t="s">
        <v>12826</v>
      </c>
      <c r="X1488" s="6" t="s">
        <v>81</v>
      </c>
      <c r="Y1488" s="21" t="s">
        <v>81</v>
      </c>
      <c r="Z1488" s="6" t="s">
        <v>81</v>
      </c>
      <c r="AA1488" s="6" t="s">
        <v>81</v>
      </c>
      <c r="AB1488" s="6" t="s">
        <v>81</v>
      </c>
      <c r="AC1488" s="6" t="s">
        <v>81</v>
      </c>
      <c r="AD1488" s="21" t="s">
        <v>81</v>
      </c>
      <c r="AE1488" s="6" t="s">
        <v>81</v>
      </c>
      <c r="AF1488" s="6" t="s">
        <v>81</v>
      </c>
      <c r="AG1488" s="6" t="s">
        <v>81</v>
      </c>
      <c r="AH1488" s="6" t="s">
        <v>16056</v>
      </c>
      <c r="AI1488" s="6" t="s">
        <v>81</v>
      </c>
      <c r="AJ1488" s="6" t="s">
        <v>17426</v>
      </c>
      <c r="AK1488" s="6" t="s">
        <v>18384</v>
      </c>
      <c r="AL1488" s="6" t="s">
        <v>18444</v>
      </c>
      <c r="AM1488" s="6" t="s">
        <v>18583</v>
      </c>
      <c r="AN1488" s="6" t="s">
        <v>19690</v>
      </c>
      <c r="AO1488" s="6" t="s">
        <v>19852</v>
      </c>
      <c r="AP1488" s="6" t="s">
        <v>81</v>
      </c>
      <c r="AQ1488" s="6" t="s">
        <v>81</v>
      </c>
      <c r="AR1488" s="6" t="s">
        <v>81</v>
      </c>
      <c r="AS1488" s="6" t="s">
        <v>81</v>
      </c>
      <c r="AT1488" s="6" t="s">
        <v>81</v>
      </c>
      <c r="AU1488" s="6" t="s">
        <v>81</v>
      </c>
      <c r="AV1488" s="6" t="s">
        <v>81</v>
      </c>
      <c r="AW1488" s="6" t="s">
        <v>81</v>
      </c>
      <c r="AX1488" s="6" t="s">
        <v>21685</v>
      </c>
      <c r="AY1488" s="6" t="s">
        <v>81</v>
      </c>
      <c r="AZ1488" s="6" t="s">
        <v>81</v>
      </c>
      <c r="BA1488" s="6" t="s">
        <v>81</v>
      </c>
      <c r="BB1488" s="24" t="n">
        <v>64</v>
      </c>
      <c r="BC1488" s="26"/>
      <c r="BD1488" s="26"/>
      <c r="BE1488" s="26"/>
      <c r="BF1488" s="26"/>
      <c r="BG1488" s="26"/>
      <c r="BH1488" s="26"/>
      <c r="BI1488" s="26"/>
      <c r="BJ1488" s="26"/>
      <c r="BK1488" s="26"/>
      <c r="BL1488" s="26"/>
      <c r="BM1488" s="26"/>
      <c r="BN1488" s="26"/>
      <c r="BO1488" s="26"/>
      <c r="BP1488" s="16" t="n">
        <v>45738</v>
      </c>
      <c r="BQ1488" s="28" t="str">
        <f>HYPERLINK("https://organic.ams.usda.gov/Integrity/Certificate.aspx?cid=52&amp;nopid=8431801443")</f>
        <v>https://organic.ams.usda.gov/Integrity/Certificate.aspx?cid=52&amp;nopid=8431801443</v>
      </c>
    </row>
    <row r="1489">
      <c r="A1489" t="s">
        <v>3</v>
      </c>
      <c r="B1489" s="6" t="s">
        <v>10</v>
      </c>
      <c r="C1489" s="6" t="s">
        <v>57</v>
      </c>
      <c r="D1489" s="6" t="s">
        <v>103</v>
      </c>
      <c r="E1489" s="10" t="s">
        <v>1630</v>
      </c>
      <c r="F1489" s="6" t="s">
        <v>4354</v>
      </c>
      <c r="G1489" s="6" t="s">
        <v>81</v>
      </c>
      <c r="H1489" s="6" t="s">
        <v>7256</v>
      </c>
      <c r="I1489" s="6" t="s">
        <v>9159</v>
      </c>
      <c r="J1489" s="6" t="s">
        <v>9960</v>
      </c>
      <c r="K1489" s="6" t="s">
        <v>10886</v>
      </c>
      <c r="L1489" s="16" t="n">
        <v>41984</v>
      </c>
      <c r="M1489" s="16" t="n">
        <v>45748</v>
      </c>
      <c r="N1489" s="6" t="s">
        <v>10886</v>
      </c>
      <c r="O1489" s="16" t="n">
        <v>41984</v>
      </c>
      <c r="P1489" s="6" t="s">
        <v>11780</v>
      </c>
      <c r="Q1489" s="6" t="s">
        <v>81</v>
      </c>
      <c r="R1489" s="6" t="s">
        <v>12827</v>
      </c>
      <c r="S1489" s="6" t="s">
        <v>10886</v>
      </c>
      <c r="T1489" s="16" t="n">
        <v>41984</v>
      </c>
      <c r="U1489" s="6" t="s">
        <v>13163</v>
      </c>
      <c r="V1489" s="6" t="s">
        <v>81</v>
      </c>
      <c r="W1489" s="6" t="s">
        <v>81</v>
      </c>
      <c r="X1489" s="6" t="s">
        <v>81</v>
      </c>
      <c r="Y1489" s="21" t="s">
        <v>81</v>
      </c>
      <c r="Z1489" s="6" t="s">
        <v>81</v>
      </c>
      <c r="AA1489" s="6" t="s">
        <v>81</v>
      </c>
      <c r="AB1489" s="6" t="s">
        <v>81</v>
      </c>
      <c r="AC1489" s="6" t="s">
        <v>81</v>
      </c>
      <c r="AD1489" s="21" t="s">
        <v>81</v>
      </c>
      <c r="AE1489" s="6" t="s">
        <v>81</v>
      </c>
      <c r="AF1489" s="6" t="s">
        <v>81</v>
      </c>
      <c r="AG1489" s="6" t="s">
        <v>81</v>
      </c>
      <c r="AH1489" s="6" t="s">
        <v>16057</v>
      </c>
      <c r="AI1489" s="6" t="s">
        <v>81</v>
      </c>
      <c r="AJ1489" s="6" t="s">
        <v>17324</v>
      </c>
      <c r="AK1489" s="6" t="s">
        <v>18379</v>
      </c>
      <c r="AL1489" s="6" t="s">
        <v>18444</v>
      </c>
      <c r="AM1489" s="6" t="s">
        <v>18754</v>
      </c>
      <c r="AN1489" s="6" t="s">
        <v>19637</v>
      </c>
      <c r="AO1489" s="6" t="s">
        <v>19723</v>
      </c>
      <c r="AP1489" s="6" t="s">
        <v>16057</v>
      </c>
      <c r="AQ1489" s="6" t="s">
        <v>81</v>
      </c>
      <c r="AR1489" s="6" t="s">
        <v>17324</v>
      </c>
      <c r="AS1489" s="6" t="s">
        <v>18379</v>
      </c>
      <c r="AT1489" s="6" t="s">
        <v>18444</v>
      </c>
      <c r="AU1489" s="6" t="s">
        <v>18754</v>
      </c>
      <c r="AV1489" s="6" t="s">
        <v>81</v>
      </c>
      <c r="AW1489" s="6" t="s">
        <v>81</v>
      </c>
      <c r="AX1489" s="6" t="s">
        <v>21686</v>
      </c>
      <c r="AY1489" s="6" t="s">
        <v>81</v>
      </c>
      <c r="AZ1489" s="6" t="s">
        <v>81</v>
      </c>
      <c r="BA1489" s="6" t="s">
        <v>81</v>
      </c>
      <c r="BB1489" s="24" t="n">
        <v>144</v>
      </c>
      <c r="BC1489" s="26"/>
      <c r="BD1489" s="26"/>
      <c r="BE1489" s="26"/>
      <c r="BF1489" s="26"/>
      <c r="BG1489" s="26"/>
      <c r="BH1489" s="26"/>
      <c r="BI1489" s="26"/>
      <c r="BJ1489" s="26"/>
      <c r="BK1489" s="26"/>
      <c r="BL1489" s="26"/>
      <c r="BM1489" s="26"/>
      <c r="BN1489" s="26"/>
      <c r="BO1489" s="26"/>
      <c r="BP1489" s="16" t="n">
        <v>45730</v>
      </c>
      <c r="BQ1489" s="28" t="str">
        <f>HYPERLINK("https://organic.ams.usda.gov/Integrity/Certificate.aspx?cid=90&amp;nopid=7170020165")</f>
        <v>https://organic.ams.usda.gov/Integrity/Certificate.aspx?cid=90&amp;nopid=7170020165</v>
      </c>
    </row>
    <row r="1490">
      <c r="A1490" t="s">
        <v>3</v>
      </c>
      <c r="B1490" s="6" t="s">
        <v>9</v>
      </c>
      <c r="C1490" s="6" t="s">
        <v>56</v>
      </c>
      <c r="D1490" s="6" t="s">
        <v>102</v>
      </c>
      <c r="E1490" s="10" t="s">
        <v>1631</v>
      </c>
      <c r="F1490" s="6" t="s">
        <v>4355</v>
      </c>
      <c r="G1490" s="6" t="s">
        <v>81</v>
      </c>
      <c r="H1490" s="6" t="s">
        <v>7257</v>
      </c>
      <c r="I1490" s="6" t="s">
        <v>9160</v>
      </c>
      <c r="J1490" s="6" t="s">
        <v>9665</v>
      </c>
      <c r="K1490" s="6" t="s">
        <v>10886</v>
      </c>
      <c r="L1490" s="16" t="n">
        <v>41443</v>
      </c>
      <c r="M1490" s="16" t="n">
        <v>45748</v>
      </c>
      <c r="N1490" s="6" t="s">
        <v>10886</v>
      </c>
      <c r="O1490" s="16" t="n">
        <v>41443</v>
      </c>
      <c r="P1490" s="6" t="s">
        <v>10922</v>
      </c>
      <c r="Q1490" s="6" t="s">
        <v>81</v>
      </c>
      <c r="R1490" s="6" t="s">
        <v>12828</v>
      </c>
      <c r="S1490" s="6" t="s">
        <v>10886</v>
      </c>
      <c r="T1490" s="16" t="n">
        <v>41443</v>
      </c>
      <c r="U1490" s="6" t="s">
        <v>13168</v>
      </c>
      <c r="V1490" s="6" t="s">
        <v>81</v>
      </c>
      <c r="W1490" s="6" t="s">
        <v>12828</v>
      </c>
      <c r="X1490" s="6" t="s">
        <v>81</v>
      </c>
      <c r="Y1490" s="21" t="s">
        <v>81</v>
      </c>
      <c r="Z1490" s="6" t="s">
        <v>81</v>
      </c>
      <c r="AA1490" s="6" t="s">
        <v>81</v>
      </c>
      <c r="AB1490" s="6" t="s">
        <v>81</v>
      </c>
      <c r="AC1490" s="6" t="s">
        <v>81</v>
      </c>
      <c r="AD1490" s="21" t="s">
        <v>81</v>
      </c>
      <c r="AE1490" s="6" t="s">
        <v>81</v>
      </c>
      <c r="AF1490" s="6" t="s">
        <v>81</v>
      </c>
      <c r="AG1490" s="6" t="s">
        <v>81</v>
      </c>
      <c r="AH1490" s="6" t="s">
        <v>16058</v>
      </c>
      <c r="AI1490" s="6" t="s">
        <v>81</v>
      </c>
      <c r="AJ1490" s="6" t="s">
        <v>17392</v>
      </c>
      <c r="AK1490" s="6" t="s">
        <v>18379</v>
      </c>
      <c r="AL1490" s="6" t="s">
        <v>18444</v>
      </c>
      <c r="AM1490" s="6" t="s">
        <v>18548</v>
      </c>
      <c r="AN1490" s="6" t="s">
        <v>19637</v>
      </c>
      <c r="AO1490" s="6" t="s">
        <v>19723</v>
      </c>
      <c r="AP1490" s="6" t="s">
        <v>81</v>
      </c>
      <c r="AQ1490" s="6" t="s">
        <v>81</v>
      </c>
      <c r="AR1490" s="6" t="s">
        <v>81</v>
      </c>
      <c r="AS1490" s="6" t="s">
        <v>81</v>
      </c>
      <c r="AT1490" s="6" t="s">
        <v>81</v>
      </c>
      <c r="AU1490" s="6" t="s">
        <v>81</v>
      </c>
      <c r="AV1490" s="6" t="s">
        <v>81</v>
      </c>
      <c r="AW1490" s="6" t="s">
        <v>81</v>
      </c>
      <c r="AX1490" s="6" t="s">
        <v>21687</v>
      </c>
      <c r="AY1490" s="6" t="s">
        <v>81</v>
      </c>
      <c r="AZ1490" s="6" t="s">
        <v>81</v>
      </c>
      <c r="BA1490" s="6" t="s">
        <v>81</v>
      </c>
      <c r="BB1490" s="24" t="n">
        <v>130</v>
      </c>
      <c r="BC1490" s="26"/>
      <c r="BD1490" s="26"/>
      <c r="BE1490" s="26"/>
      <c r="BF1490" s="26"/>
      <c r="BG1490" s="26"/>
      <c r="BH1490" s="26"/>
      <c r="BI1490" s="26"/>
      <c r="BJ1490" s="26"/>
      <c r="BK1490" s="26"/>
      <c r="BL1490" s="26"/>
      <c r="BM1490" s="26"/>
      <c r="BN1490" s="26"/>
      <c r="BO1490" s="26"/>
      <c r="BP1490" s="16" t="n">
        <v>45738</v>
      </c>
      <c r="BQ1490" s="28" t="str">
        <f>HYPERLINK("https://organic.ams.usda.gov/Integrity/Certificate.aspx?cid=52&amp;nopid=8431300477")</f>
        <v>https://organic.ams.usda.gov/Integrity/Certificate.aspx?cid=52&amp;nopid=8431300477</v>
      </c>
    </row>
    <row r="1491">
      <c r="A1491" t="s">
        <v>3</v>
      </c>
      <c r="B1491" s="6" t="s">
        <v>9</v>
      </c>
      <c r="C1491" s="6" t="s">
        <v>56</v>
      </c>
      <c r="D1491" s="6" t="s">
        <v>102</v>
      </c>
      <c r="E1491" s="10" t="s">
        <v>1632</v>
      </c>
      <c r="F1491" s="6" t="s">
        <v>4356</v>
      </c>
      <c r="G1491" s="6" t="s">
        <v>81</v>
      </c>
      <c r="H1491" s="6" t="s">
        <v>7258</v>
      </c>
      <c r="I1491" s="6" t="s">
        <v>9161</v>
      </c>
      <c r="J1491" s="6" t="s">
        <v>9665</v>
      </c>
      <c r="K1491" s="6" t="s">
        <v>10886</v>
      </c>
      <c r="L1491" s="16" t="n">
        <v>43046</v>
      </c>
      <c r="M1491" s="16" t="n">
        <v>46113</v>
      </c>
      <c r="N1491" s="6" t="s">
        <v>10886</v>
      </c>
      <c r="O1491" s="16" t="n">
        <v>43046</v>
      </c>
      <c r="P1491" s="6" t="s">
        <v>11781</v>
      </c>
      <c r="Q1491" s="6" t="s">
        <v>81</v>
      </c>
      <c r="R1491" s="6" t="s">
        <v>12829</v>
      </c>
      <c r="S1491" s="6" t="s">
        <v>10886</v>
      </c>
      <c r="T1491" s="16" t="n">
        <v>43046</v>
      </c>
      <c r="U1491" s="6" t="s">
        <v>13168</v>
      </c>
      <c r="V1491" s="6" t="s">
        <v>81</v>
      </c>
      <c r="W1491" s="6" t="s">
        <v>12829</v>
      </c>
      <c r="X1491" s="6" t="s">
        <v>81</v>
      </c>
      <c r="Y1491" s="21" t="s">
        <v>81</v>
      </c>
      <c r="Z1491" s="6" t="s">
        <v>81</v>
      </c>
      <c r="AA1491" s="6" t="s">
        <v>81</v>
      </c>
      <c r="AB1491" s="6" t="s">
        <v>81</v>
      </c>
      <c r="AC1491" s="6" t="s">
        <v>81</v>
      </c>
      <c r="AD1491" s="21" t="s">
        <v>81</v>
      </c>
      <c r="AE1491" s="6" t="s">
        <v>81</v>
      </c>
      <c r="AF1491" s="6" t="s">
        <v>81</v>
      </c>
      <c r="AG1491" s="6" t="s">
        <v>81</v>
      </c>
      <c r="AH1491" s="6" t="s">
        <v>16059</v>
      </c>
      <c r="AI1491" s="6" t="s">
        <v>81</v>
      </c>
      <c r="AJ1491" s="6" t="s">
        <v>17381</v>
      </c>
      <c r="AK1491" s="6" t="s">
        <v>18379</v>
      </c>
      <c r="AL1491" s="6" t="s">
        <v>18444</v>
      </c>
      <c r="AM1491" s="6" t="s">
        <v>18534</v>
      </c>
      <c r="AN1491" s="6" t="s">
        <v>19654</v>
      </c>
      <c r="AO1491" s="6" t="s">
        <v>19765</v>
      </c>
      <c r="AP1491" s="6" t="s">
        <v>81</v>
      </c>
      <c r="AQ1491" s="6" t="s">
        <v>81</v>
      </c>
      <c r="AR1491" s="6" t="s">
        <v>81</v>
      </c>
      <c r="AS1491" s="6" t="s">
        <v>81</v>
      </c>
      <c r="AT1491" s="6" t="s">
        <v>81</v>
      </c>
      <c r="AU1491" s="6" t="s">
        <v>81</v>
      </c>
      <c r="AV1491" s="6" t="s">
        <v>81</v>
      </c>
      <c r="AW1491" s="6" t="s">
        <v>81</v>
      </c>
      <c r="AX1491" s="6" t="s">
        <v>21688</v>
      </c>
      <c r="AY1491" s="6" t="s">
        <v>81</v>
      </c>
      <c r="AZ1491" s="6" t="s">
        <v>81</v>
      </c>
      <c r="BA1491" s="6" t="s">
        <v>81</v>
      </c>
      <c r="BB1491" s="24" t="n">
        <v>137</v>
      </c>
      <c r="BC1491" s="26"/>
      <c r="BD1491" s="26"/>
      <c r="BE1491" s="26"/>
      <c r="BF1491" s="26"/>
      <c r="BG1491" s="26"/>
      <c r="BH1491" s="26"/>
      <c r="BI1491" s="26"/>
      <c r="BJ1491" s="26"/>
      <c r="BK1491" s="26"/>
      <c r="BL1491" s="26"/>
      <c r="BM1491" s="26"/>
      <c r="BN1491" s="26"/>
      <c r="BO1491" s="26"/>
      <c r="BP1491" s="16" t="n">
        <v>45738</v>
      </c>
      <c r="BQ1491" s="28" t="str">
        <f>HYPERLINK("https://organic.ams.usda.gov/Integrity/Certificate.aspx?cid=52&amp;nopid=8431701369")</f>
        <v>https://organic.ams.usda.gov/Integrity/Certificate.aspx?cid=52&amp;nopid=8431701369</v>
      </c>
    </row>
    <row r="1492">
      <c r="A1492" t="s">
        <v>3</v>
      </c>
      <c r="B1492" s="6" t="s">
        <v>29</v>
      </c>
      <c r="C1492" s="6" t="s">
        <v>76</v>
      </c>
      <c r="D1492" s="6" t="s">
        <v>122</v>
      </c>
      <c r="E1492" s="10" t="s">
        <v>1633</v>
      </c>
      <c r="F1492" s="6" t="s">
        <v>4357</v>
      </c>
      <c r="G1492" s="6" t="s">
        <v>81</v>
      </c>
      <c r="H1492" s="6" t="s">
        <v>7259</v>
      </c>
      <c r="I1492" s="6" t="s">
        <v>9162</v>
      </c>
      <c r="J1492" s="6" t="s">
        <v>9827</v>
      </c>
      <c r="K1492" s="6" t="s">
        <v>10886</v>
      </c>
      <c r="L1492" s="16" t="n">
        <v>42991</v>
      </c>
      <c r="M1492" s="16" t="n">
        <v>45870</v>
      </c>
      <c r="N1492" s="6" t="s">
        <v>10886</v>
      </c>
      <c r="O1492" s="16" t="n">
        <v>42991</v>
      </c>
      <c r="P1492" s="6" t="s">
        <v>11223</v>
      </c>
      <c r="Q1492" s="6" t="s">
        <v>81</v>
      </c>
      <c r="R1492" s="6" t="s">
        <v>12830</v>
      </c>
      <c r="S1492" s="6" t="s">
        <v>10886</v>
      </c>
      <c r="T1492" s="16" t="n">
        <v>42991</v>
      </c>
      <c r="U1492" s="6" t="s">
        <v>13222</v>
      </c>
      <c r="V1492" s="6" t="s">
        <v>81</v>
      </c>
      <c r="W1492" s="6" t="s">
        <v>12830</v>
      </c>
      <c r="X1492" s="6" t="s">
        <v>81</v>
      </c>
      <c r="Y1492" s="21" t="s">
        <v>81</v>
      </c>
      <c r="Z1492" s="6" t="s">
        <v>81</v>
      </c>
      <c r="AA1492" s="6" t="s">
        <v>81</v>
      </c>
      <c r="AB1492" s="6" t="s">
        <v>81</v>
      </c>
      <c r="AC1492" s="6" t="s">
        <v>81</v>
      </c>
      <c r="AD1492" s="21" t="s">
        <v>81</v>
      </c>
      <c r="AE1492" s="6" t="s">
        <v>81</v>
      </c>
      <c r="AF1492" s="6" t="s">
        <v>81</v>
      </c>
      <c r="AG1492" s="6" t="s">
        <v>81</v>
      </c>
      <c r="AH1492" s="6" t="s">
        <v>16060</v>
      </c>
      <c r="AI1492" s="6" t="s">
        <v>81</v>
      </c>
      <c r="AJ1492" s="6" t="s">
        <v>18020</v>
      </c>
      <c r="AK1492" s="6" t="s">
        <v>18384</v>
      </c>
      <c r="AL1492" s="6" t="s">
        <v>18444</v>
      </c>
      <c r="AM1492" s="6" t="s">
        <v>19211</v>
      </c>
      <c r="AN1492" s="6" t="s">
        <v>7926</v>
      </c>
      <c r="AO1492" s="6" t="s">
        <v>19790</v>
      </c>
      <c r="AP1492" s="6" t="s">
        <v>81</v>
      </c>
      <c r="AQ1492" s="6" t="s">
        <v>81</v>
      </c>
      <c r="AR1492" s="6" t="s">
        <v>81</v>
      </c>
      <c r="AS1492" s="6" t="s">
        <v>81</v>
      </c>
      <c r="AT1492" s="6" t="s">
        <v>81</v>
      </c>
      <c r="AU1492" s="6" t="s">
        <v>81</v>
      </c>
      <c r="AV1492" s="6" t="s">
        <v>81</v>
      </c>
      <c r="AW1492" s="6" t="s">
        <v>81</v>
      </c>
      <c r="AX1492" s="6" t="s">
        <v>81</v>
      </c>
      <c r="AY1492" s="6" t="s">
        <v>81</v>
      </c>
      <c r="AZ1492" s="6" t="s">
        <v>81</v>
      </c>
      <c r="BA1492" s="6" t="s">
        <v>81</v>
      </c>
      <c r="BB1492" s="24" t="n">
        <v>93</v>
      </c>
      <c r="BC1492" s="26"/>
      <c r="BD1492" s="26"/>
      <c r="BE1492" s="26"/>
      <c r="BF1492" s="26" t="s">
        <v>23900</v>
      </c>
      <c r="BG1492" s="26"/>
      <c r="BH1492" s="26"/>
      <c r="BI1492" s="26"/>
      <c r="BJ1492" s="26"/>
      <c r="BK1492" s="26"/>
      <c r="BL1492" s="26"/>
      <c r="BM1492" s="26"/>
      <c r="BN1492" s="26"/>
      <c r="BO1492" s="26"/>
      <c r="BP1492" s="16" t="n">
        <v>45737</v>
      </c>
      <c r="BQ1492" s="28" t="str">
        <f>HYPERLINK("https://organic.ams.usda.gov/Integrity/Certificate.aspx?cid=31&amp;nopid=3928971848")</f>
        <v>https://organic.ams.usda.gov/Integrity/Certificate.aspx?cid=31&amp;nopid=3928971848</v>
      </c>
    </row>
    <row r="1493">
      <c r="A1493" t="s">
        <v>3</v>
      </c>
      <c r="B1493" s="6" t="s">
        <v>9</v>
      </c>
      <c r="C1493" s="6" t="s">
        <v>56</v>
      </c>
      <c r="D1493" s="6" t="s">
        <v>102</v>
      </c>
      <c r="E1493" s="10" t="s">
        <v>1634</v>
      </c>
      <c r="F1493" s="6" t="s">
        <v>4358</v>
      </c>
      <c r="G1493" s="6" t="s">
        <v>81</v>
      </c>
      <c r="H1493" s="6" t="s">
        <v>7260</v>
      </c>
      <c r="I1493" s="6" t="s">
        <v>9163</v>
      </c>
      <c r="J1493" s="6" t="s">
        <v>9827</v>
      </c>
      <c r="K1493" s="6" t="s">
        <v>10886</v>
      </c>
      <c r="L1493" s="16" t="n">
        <v>42367</v>
      </c>
      <c r="M1493" s="16" t="n">
        <v>46113</v>
      </c>
      <c r="N1493" s="6" t="s">
        <v>10886</v>
      </c>
      <c r="O1493" s="16" t="n">
        <v>42367</v>
      </c>
      <c r="P1493" s="6" t="s">
        <v>10907</v>
      </c>
      <c r="Q1493" s="6" t="s">
        <v>81</v>
      </c>
      <c r="R1493" s="6" t="s">
        <v>12831</v>
      </c>
      <c r="S1493" s="6" t="s">
        <v>10886</v>
      </c>
      <c r="T1493" s="16" t="n">
        <v>42367</v>
      </c>
      <c r="U1493" s="6" t="s">
        <v>13168</v>
      </c>
      <c r="V1493" s="6" t="s">
        <v>81</v>
      </c>
      <c r="W1493" s="6" t="s">
        <v>12831</v>
      </c>
      <c r="X1493" s="6" t="s">
        <v>81</v>
      </c>
      <c r="Y1493" s="21" t="s">
        <v>81</v>
      </c>
      <c r="Z1493" s="6" t="s">
        <v>81</v>
      </c>
      <c r="AA1493" s="6" t="s">
        <v>81</v>
      </c>
      <c r="AB1493" s="6" t="s">
        <v>81</v>
      </c>
      <c r="AC1493" s="6" t="s">
        <v>81</v>
      </c>
      <c r="AD1493" s="21" t="s">
        <v>81</v>
      </c>
      <c r="AE1493" s="6" t="s">
        <v>81</v>
      </c>
      <c r="AF1493" s="6" t="s">
        <v>81</v>
      </c>
      <c r="AG1493" s="6" t="s">
        <v>81</v>
      </c>
      <c r="AH1493" s="6" t="s">
        <v>16061</v>
      </c>
      <c r="AI1493" s="6" t="s">
        <v>81</v>
      </c>
      <c r="AJ1493" s="6" t="s">
        <v>18021</v>
      </c>
      <c r="AK1493" s="6" t="s">
        <v>18391</v>
      </c>
      <c r="AL1493" s="6" t="s">
        <v>18444</v>
      </c>
      <c r="AM1493" s="6" t="s">
        <v>19212</v>
      </c>
      <c r="AN1493" s="6" t="s">
        <v>6102</v>
      </c>
      <c r="AO1493" s="6" t="s">
        <v>19924</v>
      </c>
      <c r="AP1493" s="6" t="s">
        <v>81</v>
      </c>
      <c r="AQ1493" s="6" t="s">
        <v>81</v>
      </c>
      <c r="AR1493" s="6" t="s">
        <v>81</v>
      </c>
      <c r="AS1493" s="6" t="s">
        <v>81</v>
      </c>
      <c r="AT1493" s="6" t="s">
        <v>81</v>
      </c>
      <c r="AU1493" s="6" t="s">
        <v>81</v>
      </c>
      <c r="AV1493" s="6" t="s">
        <v>81</v>
      </c>
      <c r="AW1493" s="6" t="s">
        <v>81</v>
      </c>
      <c r="AX1493" s="6" t="s">
        <v>21689</v>
      </c>
      <c r="AY1493" s="6" t="s">
        <v>81</v>
      </c>
      <c r="AZ1493" s="6" t="s">
        <v>81</v>
      </c>
      <c r="BA1493" s="6" t="s">
        <v>81</v>
      </c>
      <c r="BB1493" s="24" t="n">
        <v>72</v>
      </c>
      <c r="BC1493" s="26"/>
      <c r="BD1493" s="26"/>
      <c r="BE1493" s="26"/>
      <c r="BF1493" s="26"/>
      <c r="BG1493" s="26"/>
      <c r="BH1493" s="26"/>
      <c r="BI1493" s="26"/>
      <c r="BJ1493" s="26"/>
      <c r="BK1493" s="26"/>
      <c r="BL1493" s="26"/>
      <c r="BM1493" s="26"/>
      <c r="BN1493" s="26"/>
      <c r="BO1493" s="26"/>
      <c r="BP1493" s="16" t="n">
        <v>45738</v>
      </c>
      <c r="BQ1493" s="28" t="str">
        <f>HYPERLINK("https://organic.ams.usda.gov/Integrity/Certificate.aspx?cid=52&amp;nopid=8431501137")</f>
        <v>https://organic.ams.usda.gov/Integrity/Certificate.aspx?cid=52&amp;nopid=8431501137</v>
      </c>
    </row>
    <row r="1494">
      <c r="A1494" t="s">
        <v>3</v>
      </c>
      <c r="B1494" s="6" t="s">
        <v>10</v>
      </c>
      <c r="C1494" s="6" t="s">
        <v>57</v>
      </c>
      <c r="D1494" s="6" t="s">
        <v>103</v>
      </c>
      <c r="E1494" s="10" t="s">
        <v>1635</v>
      </c>
      <c r="F1494" s="6" t="s">
        <v>4359</v>
      </c>
      <c r="G1494" s="6" t="s">
        <v>81</v>
      </c>
      <c r="H1494" s="6" t="s">
        <v>7261</v>
      </c>
      <c r="I1494" s="6" t="s">
        <v>9164</v>
      </c>
      <c r="J1494" s="6" t="s">
        <v>9812</v>
      </c>
      <c r="K1494" s="6" t="s">
        <v>10886</v>
      </c>
      <c r="L1494" s="16" t="n">
        <v>44806</v>
      </c>
      <c r="M1494" s="16" t="n">
        <v>45748</v>
      </c>
      <c r="N1494" s="6" t="s">
        <v>10886</v>
      </c>
      <c r="O1494" s="16" t="n">
        <v>44806</v>
      </c>
      <c r="P1494" s="6" t="s">
        <v>11782</v>
      </c>
      <c r="Q1494" s="6" t="s">
        <v>81</v>
      </c>
      <c r="R1494" s="6" t="s">
        <v>12832</v>
      </c>
      <c r="S1494" s="6" t="s">
        <v>10886</v>
      </c>
      <c r="T1494" s="16" t="n">
        <v>45024</v>
      </c>
      <c r="U1494" s="6" t="s">
        <v>13163</v>
      </c>
      <c r="V1494" s="6" t="s">
        <v>81</v>
      </c>
      <c r="W1494" s="6" t="s">
        <v>81</v>
      </c>
      <c r="X1494" s="6" t="s">
        <v>81</v>
      </c>
      <c r="Y1494" s="21" t="s">
        <v>81</v>
      </c>
      <c r="Z1494" s="6" t="s">
        <v>81</v>
      </c>
      <c r="AA1494" s="6" t="s">
        <v>81</v>
      </c>
      <c r="AB1494" s="6" t="s">
        <v>81</v>
      </c>
      <c r="AC1494" s="6" t="s">
        <v>81</v>
      </c>
      <c r="AD1494" s="21" t="s">
        <v>81</v>
      </c>
      <c r="AE1494" s="6" t="s">
        <v>81</v>
      </c>
      <c r="AF1494" s="6" t="s">
        <v>81</v>
      </c>
      <c r="AG1494" s="6" t="s">
        <v>81</v>
      </c>
      <c r="AH1494" s="6" t="s">
        <v>16062</v>
      </c>
      <c r="AI1494" s="6" t="s">
        <v>81</v>
      </c>
      <c r="AJ1494" s="6" t="s">
        <v>17635</v>
      </c>
      <c r="AK1494" s="6" t="s">
        <v>18379</v>
      </c>
      <c r="AL1494" s="6" t="s">
        <v>18444</v>
      </c>
      <c r="AM1494" s="6" t="s">
        <v>18804</v>
      </c>
      <c r="AN1494" s="6" t="s">
        <v>19637</v>
      </c>
      <c r="AO1494" s="6" t="s">
        <v>19723</v>
      </c>
      <c r="AP1494" s="6" t="s">
        <v>16062</v>
      </c>
      <c r="AQ1494" s="6" t="s">
        <v>81</v>
      </c>
      <c r="AR1494" s="6" t="s">
        <v>17635</v>
      </c>
      <c r="AS1494" s="6" t="s">
        <v>18379</v>
      </c>
      <c r="AT1494" s="6" t="s">
        <v>18444</v>
      </c>
      <c r="AU1494" s="6" t="s">
        <v>18804</v>
      </c>
      <c r="AV1494" s="6" t="s">
        <v>81</v>
      </c>
      <c r="AW1494" s="6" t="s">
        <v>81</v>
      </c>
      <c r="AX1494" s="6" t="s">
        <v>21690</v>
      </c>
      <c r="AY1494" s="6" t="s">
        <v>81</v>
      </c>
      <c r="AZ1494" s="6" t="s">
        <v>81</v>
      </c>
      <c r="BA1494" s="6" t="s">
        <v>81</v>
      </c>
      <c r="BB1494" s="24" t="n">
        <v>174</v>
      </c>
      <c r="BC1494" s="26"/>
      <c r="BD1494" s="26"/>
      <c r="BE1494" s="26"/>
      <c r="BF1494" s="26"/>
      <c r="BG1494" s="26"/>
      <c r="BH1494" s="26"/>
      <c r="BI1494" s="26"/>
      <c r="BJ1494" s="26"/>
      <c r="BK1494" s="26"/>
      <c r="BL1494" s="26"/>
      <c r="BM1494" s="26"/>
      <c r="BN1494" s="26"/>
      <c r="BO1494" s="26"/>
      <c r="BP1494" s="16" t="n">
        <v>45730</v>
      </c>
      <c r="BQ1494" s="28" t="str">
        <f>HYPERLINK("https://organic.ams.usda.gov/Integrity/Certificate.aspx?cid=90&amp;nopid=7170220577")</f>
        <v>https://organic.ams.usda.gov/Integrity/Certificate.aspx?cid=90&amp;nopid=7170220577</v>
      </c>
    </row>
    <row r="1495">
      <c r="A1495" t="s">
        <v>3</v>
      </c>
      <c r="B1495" s="6" t="s">
        <v>10</v>
      </c>
      <c r="C1495" s="6" t="s">
        <v>57</v>
      </c>
      <c r="D1495" s="6" t="s">
        <v>103</v>
      </c>
      <c r="E1495" s="10" t="s">
        <v>1636</v>
      </c>
      <c r="F1495" s="6" t="s">
        <v>4360</v>
      </c>
      <c r="G1495" s="6" t="s">
        <v>81</v>
      </c>
      <c r="H1495" s="6" t="s">
        <v>7262</v>
      </c>
      <c r="I1495" s="6" t="s">
        <v>9165</v>
      </c>
      <c r="J1495" s="6" t="s">
        <v>9740</v>
      </c>
      <c r="K1495" s="6" t="s">
        <v>10886</v>
      </c>
      <c r="L1495" s="16" t="n">
        <v>39682</v>
      </c>
      <c r="M1495" s="16" t="n">
        <v>45748</v>
      </c>
      <c r="N1495" s="6" t="s">
        <v>10886</v>
      </c>
      <c r="O1495" s="16" t="n">
        <v>39682</v>
      </c>
      <c r="P1495" s="6" t="s">
        <v>10925</v>
      </c>
      <c r="Q1495" s="6" t="s">
        <v>81</v>
      </c>
      <c r="R1495" s="6" t="s">
        <v>12833</v>
      </c>
      <c r="S1495" s="6" t="s">
        <v>10886</v>
      </c>
      <c r="T1495" s="16" t="n">
        <v>39682</v>
      </c>
      <c r="U1495" s="6" t="s">
        <v>13163</v>
      </c>
      <c r="V1495" s="6" t="s">
        <v>81</v>
      </c>
      <c r="W1495" s="6" t="s">
        <v>81</v>
      </c>
      <c r="X1495" s="6" t="s">
        <v>81</v>
      </c>
      <c r="Y1495" s="21" t="s">
        <v>81</v>
      </c>
      <c r="Z1495" s="6" t="s">
        <v>81</v>
      </c>
      <c r="AA1495" s="6" t="s">
        <v>81</v>
      </c>
      <c r="AB1495" s="6" t="s">
        <v>81</v>
      </c>
      <c r="AC1495" s="6" t="s">
        <v>81</v>
      </c>
      <c r="AD1495" s="21" t="s">
        <v>81</v>
      </c>
      <c r="AE1495" s="6" t="s">
        <v>81</v>
      </c>
      <c r="AF1495" s="6" t="s">
        <v>81</v>
      </c>
      <c r="AG1495" s="6" t="s">
        <v>81</v>
      </c>
      <c r="AH1495" s="6" t="s">
        <v>16063</v>
      </c>
      <c r="AI1495" s="6" t="s">
        <v>81</v>
      </c>
      <c r="AJ1495" s="6" t="s">
        <v>17315</v>
      </c>
      <c r="AK1495" s="6" t="s">
        <v>18379</v>
      </c>
      <c r="AL1495" s="6" t="s">
        <v>18444</v>
      </c>
      <c r="AM1495" s="6" t="s">
        <v>18467</v>
      </c>
      <c r="AN1495" s="6" t="s">
        <v>19637</v>
      </c>
      <c r="AO1495" s="6" t="s">
        <v>19723</v>
      </c>
      <c r="AP1495" s="6" t="s">
        <v>16063</v>
      </c>
      <c r="AQ1495" s="6" t="s">
        <v>81</v>
      </c>
      <c r="AR1495" s="6" t="s">
        <v>17315</v>
      </c>
      <c r="AS1495" s="6" t="s">
        <v>18379</v>
      </c>
      <c r="AT1495" s="6" t="s">
        <v>18444</v>
      </c>
      <c r="AU1495" s="6" t="s">
        <v>18467</v>
      </c>
      <c r="AV1495" s="6" t="s">
        <v>81</v>
      </c>
      <c r="AW1495" s="6" t="s">
        <v>81</v>
      </c>
      <c r="AX1495" s="6" t="s">
        <v>21691</v>
      </c>
      <c r="AY1495" s="6" t="s">
        <v>81</v>
      </c>
      <c r="AZ1495" s="6" t="s">
        <v>81</v>
      </c>
      <c r="BA1495" s="6" t="s">
        <v>81</v>
      </c>
      <c r="BB1495" s="24" t="n">
        <v>136</v>
      </c>
      <c r="BC1495" s="26"/>
      <c r="BD1495" s="26"/>
      <c r="BE1495" s="26"/>
      <c r="BF1495" s="26"/>
      <c r="BG1495" s="26"/>
      <c r="BH1495" s="26"/>
      <c r="BI1495" s="26"/>
      <c r="BJ1495" s="26"/>
      <c r="BK1495" s="26"/>
      <c r="BL1495" s="26"/>
      <c r="BM1495" s="26"/>
      <c r="BN1495" s="26"/>
      <c r="BO1495" s="26"/>
      <c r="BP1495" s="16" t="n">
        <v>45730</v>
      </c>
      <c r="BQ1495" s="28" t="str">
        <f>HYPERLINK("https://organic.ams.usda.gov/Integrity/Certificate.aspx?cid=90&amp;nopid=7170210291")</f>
        <v>https://organic.ams.usda.gov/Integrity/Certificate.aspx?cid=90&amp;nopid=7170210291</v>
      </c>
    </row>
    <row r="1496">
      <c r="A1496" t="s">
        <v>3</v>
      </c>
      <c r="B1496" s="6" t="s">
        <v>30</v>
      </c>
      <c r="C1496" s="6" t="s">
        <v>77</v>
      </c>
      <c r="D1496" s="6" t="s">
        <v>123</v>
      </c>
      <c r="E1496" s="10" t="s">
        <v>1637</v>
      </c>
      <c r="F1496" s="6" t="s">
        <v>4361</v>
      </c>
      <c r="G1496" s="6" t="s">
        <v>81</v>
      </c>
      <c r="H1496" s="6" t="s">
        <v>7263</v>
      </c>
      <c r="I1496" s="6" t="s">
        <v>9165</v>
      </c>
      <c r="J1496" s="6" t="s">
        <v>9759</v>
      </c>
      <c r="K1496" s="6" t="s">
        <v>10886</v>
      </c>
      <c r="L1496" s="16" t="n">
        <v>45426</v>
      </c>
      <c r="M1496" s="16" t="n">
        <v>45747</v>
      </c>
      <c r="N1496" s="6" t="s">
        <v>10886</v>
      </c>
      <c r="O1496" s="16" t="n">
        <v>45426</v>
      </c>
      <c r="P1496" s="6" t="s">
        <v>11783</v>
      </c>
      <c r="Q1496" s="6" t="s">
        <v>81</v>
      </c>
      <c r="R1496" s="6" t="s">
        <v>81</v>
      </c>
      <c r="S1496" s="6" t="s">
        <v>10886</v>
      </c>
      <c r="T1496" s="16" t="n">
        <v>45426</v>
      </c>
      <c r="U1496" s="6" t="s">
        <v>13638</v>
      </c>
      <c r="V1496" s="6" t="s">
        <v>81</v>
      </c>
      <c r="W1496" s="6" t="s">
        <v>81</v>
      </c>
      <c r="X1496" s="6" t="s">
        <v>81</v>
      </c>
      <c r="Y1496" s="21" t="s">
        <v>81</v>
      </c>
      <c r="Z1496" s="6" t="s">
        <v>81</v>
      </c>
      <c r="AA1496" s="6" t="s">
        <v>81</v>
      </c>
      <c r="AB1496" s="6" t="s">
        <v>81</v>
      </c>
      <c r="AC1496" s="6" t="s">
        <v>81</v>
      </c>
      <c r="AD1496" s="21" t="s">
        <v>81</v>
      </c>
      <c r="AE1496" s="6" t="s">
        <v>81</v>
      </c>
      <c r="AF1496" s="6" t="s">
        <v>81</v>
      </c>
      <c r="AG1496" s="6" t="s">
        <v>81</v>
      </c>
      <c r="AH1496" s="6" t="s">
        <v>16064</v>
      </c>
      <c r="AI1496" s="6" t="s">
        <v>81</v>
      </c>
      <c r="AJ1496" s="6" t="s">
        <v>18022</v>
      </c>
      <c r="AK1496" s="6" t="s">
        <v>17712</v>
      </c>
      <c r="AL1496" s="6" t="s">
        <v>18444</v>
      </c>
      <c r="AM1496" s="6" t="s">
        <v>18463</v>
      </c>
      <c r="AN1496" s="6" t="s">
        <v>81</v>
      </c>
      <c r="AO1496" s="6" t="s">
        <v>81</v>
      </c>
      <c r="AP1496" s="6" t="s">
        <v>16064</v>
      </c>
      <c r="AQ1496" s="6" t="s">
        <v>81</v>
      </c>
      <c r="AR1496" s="6" t="s">
        <v>18022</v>
      </c>
      <c r="AS1496" s="6" t="s">
        <v>17712</v>
      </c>
      <c r="AT1496" s="6" t="s">
        <v>18444</v>
      </c>
      <c r="AU1496" s="6" t="s">
        <v>18463</v>
      </c>
      <c r="AV1496" s="6" t="s">
        <v>81</v>
      </c>
      <c r="AW1496" s="6" t="s">
        <v>81</v>
      </c>
      <c r="AX1496" s="6" t="s">
        <v>21692</v>
      </c>
      <c r="AY1496" s="6" t="s">
        <v>81</v>
      </c>
      <c r="AZ1496" s="6" t="s">
        <v>81</v>
      </c>
      <c r="BA1496" s="6" t="s">
        <v>81</v>
      </c>
      <c r="BB1496" s="24" t="n">
        <v>57</v>
      </c>
      <c r="BC1496" s="26"/>
      <c r="BD1496" s="26"/>
      <c r="BE1496" s="26"/>
      <c r="BF1496" s="26"/>
      <c r="BG1496" s="26"/>
      <c r="BH1496" s="26"/>
      <c r="BI1496" s="26"/>
      <c r="BJ1496" s="26"/>
      <c r="BK1496" s="26"/>
      <c r="BL1496" s="26"/>
      <c r="BM1496" s="26"/>
      <c r="BN1496" s="26"/>
      <c r="BO1496" s="26"/>
      <c r="BP1496" s="16" t="n">
        <v>45426</v>
      </c>
      <c r="BQ1496" s="28" t="str">
        <f>HYPERLINK("https://organic.ams.usda.gov/Integrity/Certificate.aspx?cid=70&amp;nopid=6432420450")</f>
        <v>https://organic.ams.usda.gov/Integrity/Certificate.aspx?cid=70&amp;nopid=6432420450</v>
      </c>
    </row>
    <row r="1497">
      <c r="A1497" t="s">
        <v>3</v>
      </c>
      <c r="B1497" s="6" t="s">
        <v>30</v>
      </c>
      <c r="C1497" s="6" t="s">
        <v>77</v>
      </c>
      <c r="D1497" s="6" t="s">
        <v>123</v>
      </c>
      <c r="E1497" s="10" t="s">
        <v>1638</v>
      </c>
      <c r="F1497" s="6" t="s">
        <v>4362</v>
      </c>
      <c r="G1497" s="6" t="s">
        <v>81</v>
      </c>
      <c r="H1497" s="6" t="s">
        <v>7264</v>
      </c>
      <c r="I1497" s="6" t="s">
        <v>9166</v>
      </c>
      <c r="J1497" s="6" t="s">
        <v>9906</v>
      </c>
      <c r="K1497" s="6" t="s">
        <v>10886</v>
      </c>
      <c r="L1497" s="16" t="n">
        <v>41438</v>
      </c>
      <c r="M1497" s="16" t="n">
        <v>45747</v>
      </c>
      <c r="N1497" s="6" t="s">
        <v>10886</v>
      </c>
      <c r="O1497" s="16" t="n">
        <v>41438</v>
      </c>
      <c r="P1497" s="6" t="s">
        <v>11784</v>
      </c>
      <c r="Q1497" s="6" t="s">
        <v>81</v>
      </c>
      <c r="R1497" s="6" t="s">
        <v>12834</v>
      </c>
      <c r="S1497" s="6" t="s">
        <v>10886</v>
      </c>
      <c r="T1497" s="16" t="n">
        <v>41438</v>
      </c>
      <c r="U1497" s="6" t="s">
        <v>13216</v>
      </c>
      <c r="V1497" s="6" t="s">
        <v>81</v>
      </c>
      <c r="W1497" s="6" t="s">
        <v>7264</v>
      </c>
      <c r="X1497" s="6" t="s">
        <v>81</v>
      </c>
      <c r="Y1497" s="21" t="s">
        <v>81</v>
      </c>
      <c r="Z1497" s="6" t="s">
        <v>81</v>
      </c>
      <c r="AA1497" s="6" t="s">
        <v>81</v>
      </c>
      <c r="AB1497" s="6" t="s">
        <v>81</v>
      </c>
      <c r="AC1497" s="6" t="s">
        <v>81</v>
      </c>
      <c r="AD1497" s="21" t="s">
        <v>81</v>
      </c>
      <c r="AE1497" s="6" t="s">
        <v>81</v>
      </c>
      <c r="AF1497" s="6" t="s">
        <v>81</v>
      </c>
      <c r="AG1497" s="6" t="s">
        <v>81</v>
      </c>
      <c r="AH1497" s="6" t="s">
        <v>16065</v>
      </c>
      <c r="AI1497" s="6" t="s">
        <v>81</v>
      </c>
      <c r="AJ1497" s="6" t="s">
        <v>17507</v>
      </c>
      <c r="AK1497" s="6" t="s">
        <v>17712</v>
      </c>
      <c r="AL1497" s="6" t="s">
        <v>18444</v>
      </c>
      <c r="AM1497" s="6" t="s">
        <v>18668</v>
      </c>
      <c r="AN1497" s="6" t="s">
        <v>19657</v>
      </c>
      <c r="AO1497" s="6" t="s">
        <v>19751</v>
      </c>
      <c r="AP1497" s="6" t="s">
        <v>16065</v>
      </c>
      <c r="AQ1497" s="6" t="s">
        <v>81</v>
      </c>
      <c r="AR1497" s="6" t="s">
        <v>17507</v>
      </c>
      <c r="AS1497" s="6" t="s">
        <v>17712</v>
      </c>
      <c r="AT1497" s="6" t="s">
        <v>18444</v>
      </c>
      <c r="AU1497" s="6" t="s">
        <v>18668</v>
      </c>
      <c r="AV1497" s="6" t="s">
        <v>81</v>
      </c>
      <c r="AW1497" s="6" t="s">
        <v>81</v>
      </c>
      <c r="AX1497" s="6" t="s">
        <v>21693</v>
      </c>
      <c r="AY1497" s="6" t="s">
        <v>81</v>
      </c>
      <c r="AZ1497" s="6" t="s">
        <v>81</v>
      </c>
      <c r="BA1497" s="6" t="s">
        <v>81</v>
      </c>
      <c r="BB1497" s="24" t="n">
        <v>290</v>
      </c>
      <c r="BC1497" s="26"/>
      <c r="BD1497" s="26"/>
      <c r="BE1497" s="26"/>
      <c r="BF1497" s="26"/>
      <c r="BG1497" s="26"/>
      <c r="BH1497" s="26"/>
      <c r="BI1497" s="26"/>
      <c r="BJ1497" s="26"/>
      <c r="BK1497" s="26"/>
      <c r="BL1497" s="26"/>
      <c r="BM1497" s="26"/>
      <c r="BN1497" s="26"/>
      <c r="BO1497" s="26"/>
      <c r="BP1497" s="16" t="n">
        <v>45639</v>
      </c>
      <c r="BQ1497" s="28" t="str">
        <f>HYPERLINK("https://organic.ams.usda.gov/Integrity/Certificate.aspx?cid=70&amp;nopid=6431361700")</f>
        <v>https://organic.ams.usda.gov/Integrity/Certificate.aspx?cid=70&amp;nopid=6431361700</v>
      </c>
    </row>
    <row r="1498">
      <c r="A1498" t="s">
        <v>3</v>
      </c>
      <c r="B1498" s="6" t="s">
        <v>8</v>
      </c>
      <c r="C1498" s="6" t="s">
        <v>55</v>
      </c>
      <c r="D1498" s="6" t="s">
        <v>101</v>
      </c>
      <c r="E1498" s="10" t="s">
        <v>1639</v>
      </c>
      <c r="F1498" s="6" t="s">
        <v>4363</v>
      </c>
      <c r="G1498" s="6" t="s">
        <v>5729</v>
      </c>
      <c r="H1498" s="6" t="s">
        <v>7265</v>
      </c>
      <c r="I1498" s="6" t="s">
        <v>8686</v>
      </c>
      <c r="J1498" s="6" t="s">
        <v>10365</v>
      </c>
      <c r="K1498" s="6" t="s">
        <v>10886</v>
      </c>
      <c r="L1498" s="16" t="n">
        <v>42921</v>
      </c>
      <c r="M1498" s="16" t="n">
        <v>45748</v>
      </c>
      <c r="N1498" s="6" t="s">
        <v>10886</v>
      </c>
      <c r="O1498" s="16" t="n">
        <v>42921</v>
      </c>
      <c r="P1498" s="6" t="s">
        <v>11785</v>
      </c>
      <c r="Q1498" s="6" t="s">
        <v>81</v>
      </c>
      <c r="R1498" s="6" t="s">
        <v>7265</v>
      </c>
      <c r="S1498" s="6" t="s">
        <v>10886</v>
      </c>
      <c r="T1498" s="16" t="n">
        <v>42921</v>
      </c>
      <c r="U1498" s="6" t="s">
        <v>13639</v>
      </c>
      <c r="V1498" s="6" t="s">
        <v>81</v>
      </c>
      <c r="W1498" s="6" t="s">
        <v>7265</v>
      </c>
      <c r="X1498" s="6" t="s">
        <v>81</v>
      </c>
      <c r="Y1498" s="21" t="s">
        <v>81</v>
      </c>
      <c r="Z1498" s="6" t="s">
        <v>81</v>
      </c>
      <c r="AA1498" s="6" t="s">
        <v>81</v>
      </c>
      <c r="AB1498" s="6" t="s">
        <v>81</v>
      </c>
      <c r="AC1498" s="6" t="s">
        <v>81</v>
      </c>
      <c r="AD1498" s="21" t="s">
        <v>81</v>
      </c>
      <c r="AE1498" s="6" t="s">
        <v>81</v>
      </c>
      <c r="AF1498" s="6" t="s">
        <v>81</v>
      </c>
      <c r="AG1498" s="6" t="s">
        <v>81</v>
      </c>
      <c r="AH1498" s="6" t="s">
        <v>16066</v>
      </c>
      <c r="AI1498" s="6" t="s">
        <v>81</v>
      </c>
      <c r="AJ1498" s="6" t="s">
        <v>17749</v>
      </c>
      <c r="AK1498" s="6" t="s">
        <v>18377</v>
      </c>
      <c r="AL1498" s="6" t="s">
        <v>18444</v>
      </c>
      <c r="AM1498" s="6" t="s">
        <v>18917</v>
      </c>
      <c r="AN1498" s="6" t="s">
        <v>19634</v>
      </c>
      <c r="AO1498" s="6" t="s">
        <v>19764</v>
      </c>
      <c r="AP1498" s="6" t="s">
        <v>16066</v>
      </c>
      <c r="AQ1498" s="6" t="s">
        <v>81</v>
      </c>
      <c r="AR1498" s="6" t="s">
        <v>17749</v>
      </c>
      <c r="AS1498" s="6" t="s">
        <v>18377</v>
      </c>
      <c r="AT1498" s="6" t="s">
        <v>18444</v>
      </c>
      <c r="AU1498" s="6" t="s">
        <v>18917</v>
      </c>
      <c r="AV1498" s="6" t="s">
        <v>81</v>
      </c>
      <c r="AW1498" s="6" t="s">
        <v>81</v>
      </c>
      <c r="AX1498" s="6" t="s">
        <v>81</v>
      </c>
      <c r="AY1498" s="6" t="s">
        <v>23097</v>
      </c>
      <c r="AZ1498" s="6" t="s">
        <v>81</v>
      </c>
      <c r="BA1498" s="6" t="s">
        <v>23819</v>
      </c>
      <c r="BB1498" s="24" t="n">
        <v>487</v>
      </c>
      <c r="BC1498" s="26"/>
      <c r="BD1498" s="26"/>
      <c r="BE1498" s="26"/>
      <c r="BF1498" s="26" t="s">
        <v>23900</v>
      </c>
      <c r="BG1498" s="26"/>
      <c r="BH1498" s="26"/>
      <c r="BI1498" s="26"/>
      <c r="BJ1498" s="26"/>
      <c r="BK1498" s="26"/>
      <c r="BL1498" s="26"/>
      <c r="BM1498" s="26"/>
      <c r="BN1498" s="26"/>
      <c r="BO1498" s="26"/>
      <c r="BP1498" s="16" t="n">
        <v>45594</v>
      </c>
      <c r="BQ1498" s="28" t="str">
        <f>HYPERLINK("https://organic.ams.usda.gov/Integrity/Certificate.aspx?cid=45&amp;nopid=9950010280")</f>
        <v>https://organic.ams.usda.gov/Integrity/Certificate.aspx?cid=45&amp;nopid=9950010280</v>
      </c>
    </row>
    <row r="1499">
      <c r="A1499" t="s">
        <v>3</v>
      </c>
      <c r="B1499" s="6" t="s">
        <v>16</v>
      </c>
      <c r="C1499" s="6" t="s">
        <v>63</v>
      </c>
      <c r="D1499" s="6" t="s">
        <v>109</v>
      </c>
      <c r="E1499" s="10" t="s">
        <v>1640</v>
      </c>
      <c r="F1499" s="6" t="s">
        <v>4364</v>
      </c>
      <c r="G1499" s="6" t="s">
        <v>81</v>
      </c>
      <c r="H1499" s="6" t="s">
        <v>7266</v>
      </c>
      <c r="I1499" s="6" t="s">
        <v>8964</v>
      </c>
      <c r="J1499" s="6" t="s">
        <v>9638</v>
      </c>
      <c r="K1499" s="6" t="s">
        <v>10886</v>
      </c>
      <c r="L1499" s="16" t="n">
        <v>40807</v>
      </c>
      <c r="M1499" s="16" t="n">
        <v>45731</v>
      </c>
      <c r="N1499" s="6" t="s">
        <v>10886</v>
      </c>
      <c r="O1499" s="16" t="n">
        <v>40807</v>
      </c>
      <c r="P1499" s="6" t="s">
        <v>11085</v>
      </c>
      <c r="Q1499" s="6" t="s">
        <v>81</v>
      </c>
      <c r="R1499" s="6" t="s">
        <v>81</v>
      </c>
      <c r="S1499" s="6" t="s">
        <v>10886</v>
      </c>
      <c r="T1499" s="16" t="n">
        <v>40807</v>
      </c>
      <c r="U1499" s="6" t="s">
        <v>13281</v>
      </c>
      <c r="V1499" s="6" t="s">
        <v>81</v>
      </c>
      <c r="W1499" s="6" t="s">
        <v>81</v>
      </c>
      <c r="X1499" s="6" t="s">
        <v>81</v>
      </c>
      <c r="Y1499" s="21" t="s">
        <v>81</v>
      </c>
      <c r="Z1499" s="6" t="s">
        <v>81</v>
      </c>
      <c r="AA1499" s="6" t="s">
        <v>81</v>
      </c>
      <c r="AB1499" s="6" t="s">
        <v>81</v>
      </c>
      <c r="AC1499" s="6" t="s">
        <v>10886</v>
      </c>
      <c r="AD1499" s="16" t="n">
        <v>40807</v>
      </c>
      <c r="AE1499" s="6" t="s">
        <v>81</v>
      </c>
      <c r="AF1499" s="6" t="s">
        <v>81</v>
      </c>
      <c r="AG1499" s="6" t="s">
        <v>81</v>
      </c>
      <c r="AH1499" s="6" t="s">
        <v>16067</v>
      </c>
      <c r="AI1499" s="6" t="s">
        <v>81</v>
      </c>
      <c r="AJ1499" s="6" t="s">
        <v>18023</v>
      </c>
      <c r="AK1499" s="6" t="s">
        <v>18383</v>
      </c>
      <c r="AL1499" s="6" t="s">
        <v>18444</v>
      </c>
      <c r="AM1499" s="6" t="s">
        <v>19213</v>
      </c>
      <c r="AN1499" s="6" t="s">
        <v>19655</v>
      </c>
      <c r="AO1499" s="6" t="s">
        <v>19886</v>
      </c>
      <c r="AP1499" s="6" t="s">
        <v>81</v>
      </c>
      <c r="AQ1499" s="6" t="s">
        <v>81</v>
      </c>
      <c r="AR1499" s="6" t="s">
        <v>81</v>
      </c>
      <c r="AS1499" s="6" t="s">
        <v>81</v>
      </c>
      <c r="AT1499" s="6" t="s">
        <v>81</v>
      </c>
      <c r="AU1499" s="6" t="s">
        <v>81</v>
      </c>
      <c r="AV1499" s="6" t="s">
        <v>81</v>
      </c>
      <c r="AW1499" s="6" t="s">
        <v>81</v>
      </c>
      <c r="AX1499" s="6" t="s">
        <v>21694</v>
      </c>
      <c r="AY1499" s="6" t="s">
        <v>81</v>
      </c>
      <c r="AZ1499" s="6" t="s">
        <v>81</v>
      </c>
      <c r="BA1499" s="6" t="s">
        <v>81</v>
      </c>
      <c r="BB1499" s="24" t="n">
        <v>190</v>
      </c>
      <c r="BC1499" s="26"/>
      <c r="BD1499" s="26"/>
      <c r="BE1499" s="26"/>
      <c r="BF1499" s="26"/>
      <c r="BG1499" s="26"/>
      <c r="BH1499" s="26"/>
      <c r="BI1499" s="26"/>
      <c r="BJ1499" s="26"/>
      <c r="BK1499" s="26"/>
      <c r="BL1499" s="26"/>
      <c r="BM1499" s="26"/>
      <c r="BN1499" s="26"/>
      <c r="BO1499" s="26"/>
      <c r="BP1499" s="16" t="n">
        <v>45701</v>
      </c>
      <c r="BQ1499" s="28" t="str">
        <f>HYPERLINK("https://organic.ams.usda.gov/Integrity/Certificate.aspx?cid=81&amp;nopid=4210011037")</f>
        <v>https://organic.ams.usda.gov/Integrity/Certificate.aspx?cid=81&amp;nopid=4210011037</v>
      </c>
    </row>
    <row r="1500">
      <c r="A1500" t="s">
        <v>3</v>
      </c>
      <c r="B1500" s="6" t="s">
        <v>7</v>
      </c>
      <c r="C1500" s="6" t="s">
        <v>54</v>
      </c>
      <c r="D1500" s="6" t="s">
        <v>100</v>
      </c>
      <c r="E1500" s="10" t="s">
        <v>1641</v>
      </c>
      <c r="F1500" s="6" t="s">
        <v>4365</v>
      </c>
      <c r="G1500" s="6" t="s">
        <v>81</v>
      </c>
      <c r="H1500" s="6" t="s">
        <v>7267</v>
      </c>
      <c r="I1500" s="6" t="s">
        <v>9167</v>
      </c>
      <c r="J1500" s="6" t="s">
        <v>10366</v>
      </c>
      <c r="K1500" s="6" t="s">
        <v>10886</v>
      </c>
      <c r="L1500" s="16" t="n">
        <v>42633</v>
      </c>
      <c r="M1500" s="16" t="n">
        <v>45716</v>
      </c>
      <c r="N1500" s="6" t="s">
        <v>10886</v>
      </c>
      <c r="O1500" s="16" t="n">
        <v>42633</v>
      </c>
      <c r="P1500" s="6" t="s">
        <v>10910</v>
      </c>
      <c r="Q1500" s="6" t="s">
        <v>81</v>
      </c>
      <c r="R1500" s="6" t="s">
        <v>81</v>
      </c>
      <c r="S1500" s="6" t="s">
        <v>10886</v>
      </c>
      <c r="T1500" s="16" t="n">
        <v>42856</v>
      </c>
      <c r="U1500" s="6" t="s">
        <v>13169</v>
      </c>
      <c r="V1500" s="6" t="s">
        <v>81</v>
      </c>
      <c r="W1500" s="6" t="s">
        <v>81</v>
      </c>
      <c r="X1500" s="6" t="s">
        <v>81</v>
      </c>
      <c r="Y1500" s="21" t="s">
        <v>81</v>
      </c>
      <c r="Z1500" s="6" t="s">
        <v>81</v>
      </c>
      <c r="AA1500" s="6" t="s">
        <v>81</v>
      </c>
      <c r="AB1500" s="6" t="s">
        <v>81</v>
      </c>
      <c r="AC1500" s="6" t="s">
        <v>81</v>
      </c>
      <c r="AD1500" s="21" t="s">
        <v>81</v>
      </c>
      <c r="AE1500" s="6" t="s">
        <v>81</v>
      </c>
      <c r="AF1500" s="6" t="s">
        <v>81</v>
      </c>
      <c r="AG1500" s="6" t="s">
        <v>81</v>
      </c>
      <c r="AH1500" s="6" t="s">
        <v>16068</v>
      </c>
      <c r="AI1500" s="6" t="s">
        <v>81</v>
      </c>
      <c r="AJ1500" s="6" t="s">
        <v>17363</v>
      </c>
      <c r="AK1500" s="6" t="s">
        <v>17712</v>
      </c>
      <c r="AL1500" s="6" t="s">
        <v>18444</v>
      </c>
      <c r="AM1500" s="6" t="s">
        <v>18515</v>
      </c>
      <c r="AN1500" s="6" t="s">
        <v>19657</v>
      </c>
      <c r="AO1500" s="6" t="s">
        <v>19751</v>
      </c>
      <c r="AP1500" s="6" t="s">
        <v>16068</v>
      </c>
      <c r="AQ1500" s="6" t="s">
        <v>81</v>
      </c>
      <c r="AR1500" s="6" t="s">
        <v>17363</v>
      </c>
      <c r="AS1500" s="6" t="s">
        <v>17712</v>
      </c>
      <c r="AT1500" s="6" t="s">
        <v>18444</v>
      </c>
      <c r="AU1500" s="6" t="s">
        <v>18515</v>
      </c>
      <c r="AV1500" s="6" t="s">
        <v>81</v>
      </c>
      <c r="AW1500" s="6" t="s">
        <v>81</v>
      </c>
      <c r="AX1500" s="6" t="s">
        <v>21695</v>
      </c>
      <c r="AY1500" s="6" t="s">
        <v>81</v>
      </c>
      <c r="AZ1500" s="6" t="s">
        <v>81</v>
      </c>
      <c r="BA1500" s="6" t="s">
        <v>81</v>
      </c>
      <c r="BB1500" s="24" t="n">
        <v>208</v>
      </c>
      <c r="BC1500" s="26"/>
      <c r="BD1500" s="26"/>
      <c r="BE1500" s="26"/>
      <c r="BF1500" s="26" t="s">
        <v>23900</v>
      </c>
      <c r="BG1500" s="26"/>
      <c r="BH1500" s="26"/>
      <c r="BI1500" s="26"/>
      <c r="BJ1500" s="26"/>
      <c r="BK1500" s="26"/>
      <c r="BL1500" s="26"/>
      <c r="BM1500" s="26"/>
      <c r="BN1500" s="26"/>
      <c r="BO1500" s="26"/>
      <c r="BP1500" s="16" t="n">
        <v>45595</v>
      </c>
      <c r="BQ1500" s="28" t="str">
        <f>HYPERLINK("https://organic.ams.usda.gov/Integrity/Certificate.aspx?cid=57&amp;nopid=3252016115")</f>
        <v>https://organic.ams.usda.gov/Integrity/Certificate.aspx?cid=57&amp;nopid=3252016115</v>
      </c>
    </row>
    <row r="1501">
      <c r="A1501" t="s">
        <v>3</v>
      </c>
      <c r="B1501" s="6" t="s">
        <v>8</v>
      </c>
      <c r="C1501" s="6" t="s">
        <v>55</v>
      </c>
      <c r="D1501" s="6" t="s">
        <v>101</v>
      </c>
      <c r="E1501" s="10" t="s">
        <v>1642</v>
      </c>
      <c r="F1501" s="6" t="s">
        <v>4366</v>
      </c>
      <c r="G1501" s="6" t="s">
        <v>81</v>
      </c>
      <c r="H1501" s="6" t="s">
        <v>7268</v>
      </c>
      <c r="I1501" s="6" t="s">
        <v>9100</v>
      </c>
      <c r="J1501" s="6" t="s">
        <v>10367</v>
      </c>
      <c r="K1501" s="6" t="s">
        <v>10886</v>
      </c>
      <c r="L1501" s="16" t="n">
        <v>37589</v>
      </c>
      <c r="M1501" s="16" t="n">
        <v>45748</v>
      </c>
      <c r="N1501" s="6" t="s">
        <v>10886</v>
      </c>
      <c r="O1501" s="16" t="n">
        <v>37589</v>
      </c>
      <c r="P1501" s="6" t="s">
        <v>11786</v>
      </c>
      <c r="Q1501" s="6" t="s">
        <v>81</v>
      </c>
      <c r="R1501" s="6" t="s">
        <v>7268</v>
      </c>
      <c r="S1501" s="6" t="s">
        <v>10886</v>
      </c>
      <c r="T1501" s="16" t="n">
        <v>37589</v>
      </c>
      <c r="U1501" s="6" t="s">
        <v>13179</v>
      </c>
      <c r="V1501" s="6" t="s">
        <v>81</v>
      </c>
      <c r="W1501" s="6" t="s">
        <v>7268</v>
      </c>
      <c r="X1501" s="6" t="s">
        <v>81</v>
      </c>
      <c r="Y1501" s="21" t="s">
        <v>81</v>
      </c>
      <c r="Z1501" s="6" t="s">
        <v>81</v>
      </c>
      <c r="AA1501" s="6" t="s">
        <v>81</v>
      </c>
      <c r="AB1501" s="6" t="s">
        <v>81</v>
      </c>
      <c r="AC1501" s="6" t="s">
        <v>81</v>
      </c>
      <c r="AD1501" s="21" t="s">
        <v>81</v>
      </c>
      <c r="AE1501" s="6" t="s">
        <v>81</v>
      </c>
      <c r="AF1501" s="6" t="s">
        <v>81</v>
      </c>
      <c r="AG1501" s="6" t="s">
        <v>81</v>
      </c>
      <c r="AH1501" s="6" t="s">
        <v>16069</v>
      </c>
      <c r="AI1501" s="6" t="s">
        <v>81</v>
      </c>
      <c r="AJ1501" s="6" t="s">
        <v>18024</v>
      </c>
      <c r="AK1501" s="6" t="s">
        <v>18377</v>
      </c>
      <c r="AL1501" s="6" t="s">
        <v>18444</v>
      </c>
      <c r="AM1501" s="6" t="s">
        <v>19214</v>
      </c>
      <c r="AN1501" s="6" t="s">
        <v>19634</v>
      </c>
      <c r="AO1501" s="6" t="s">
        <v>19764</v>
      </c>
      <c r="AP1501" s="6" t="s">
        <v>81</v>
      </c>
      <c r="AQ1501" s="6" t="s">
        <v>81</v>
      </c>
      <c r="AR1501" s="6" t="s">
        <v>81</v>
      </c>
      <c r="AS1501" s="6" t="s">
        <v>81</v>
      </c>
      <c r="AT1501" s="6" t="s">
        <v>81</v>
      </c>
      <c r="AU1501" s="6" t="s">
        <v>81</v>
      </c>
      <c r="AV1501" s="6" t="s">
        <v>81</v>
      </c>
      <c r="AW1501" s="6" t="s">
        <v>81</v>
      </c>
      <c r="AX1501" s="6" t="s">
        <v>81</v>
      </c>
      <c r="AY1501" s="6" t="s">
        <v>23098</v>
      </c>
      <c r="AZ1501" s="6" t="s">
        <v>81</v>
      </c>
      <c r="BA1501" s="6" t="s">
        <v>23819</v>
      </c>
      <c r="BB1501" s="24" t="n">
        <v>417</v>
      </c>
      <c r="BC1501" s="26"/>
      <c r="BD1501" s="26"/>
      <c r="BE1501" s="26"/>
      <c r="BF1501" s="26" t="s">
        <v>23900</v>
      </c>
      <c r="BG1501" s="26"/>
      <c r="BH1501" s="26"/>
      <c r="BI1501" s="26"/>
      <c r="BJ1501" s="26"/>
      <c r="BK1501" s="26"/>
      <c r="BL1501" s="26"/>
      <c r="BM1501" s="26"/>
      <c r="BN1501" s="26"/>
      <c r="BO1501" s="26"/>
      <c r="BP1501" s="16" t="n">
        <v>45579</v>
      </c>
      <c r="BQ1501" s="28" t="str">
        <f>HYPERLINK("https://organic.ams.usda.gov/Integrity/Certificate.aspx?cid=45&amp;nopid=9950001130")</f>
        <v>https://organic.ams.usda.gov/Integrity/Certificate.aspx?cid=45&amp;nopid=9950001130</v>
      </c>
    </row>
    <row r="1502">
      <c r="A1502" t="s">
        <v>3</v>
      </c>
      <c r="B1502" s="6" t="s">
        <v>8</v>
      </c>
      <c r="C1502" s="6" t="s">
        <v>55</v>
      </c>
      <c r="D1502" s="6" t="s">
        <v>101</v>
      </c>
      <c r="E1502" s="10" t="s">
        <v>1643</v>
      </c>
      <c r="F1502" s="6" t="s">
        <v>4367</v>
      </c>
      <c r="G1502" s="6" t="s">
        <v>81</v>
      </c>
      <c r="H1502" s="6" t="s">
        <v>7269</v>
      </c>
      <c r="I1502" s="6" t="s">
        <v>8409</v>
      </c>
      <c r="J1502" s="6" t="s">
        <v>9665</v>
      </c>
      <c r="K1502" s="6" t="s">
        <v>10886</v>
      </c>
      <c r="L1502" s="16" t="n">
        <v>40721</v>
      </c>
      <c r="M1502" s="16" t="n">
        <v>45748</v>
      </c>
      <c r="N1502" s="6" t="s">
        <v>10886</v>
      </c>
      <c r="O1502" s="16" t="n">
        <v>40721</v>
      </c>
      <c r="P1502" s="6" t="s">
        <v>11787</v>
      </c>
      <c r="Q1502" s="6" t="s">
        <v>81</v>
      </c>
      <c r="R1502" s="6" t="s">
        <v>7269</v>
      </c>
      <c r="S1502" s="6" t="s">
        <v>10886</v>
      </c>
      <c r="T1502" s="16" t="n">
        <v>40721</v>
      </c>
      <c r="U1502" s="6" t="s">
        <v>13173</v>
      </c>
      <c r="V1502" s="6" t="s">
        <v>81</v>
      </c>
      <c r="W1502" s="6" t="s">
        <v>7269</v>
      </c>
      <c r="X1502" s="6" t="s">
        <v>81</v>
      </c>
      <c r="Y1502" s="21" t="s">
        <v>81</v>
      </c>
      <c r="Z1502" s="6" t="s">
        <v>81</v>
      </c>
      <c r="AA1502" s="6" t="s">
        <v>81</v>
      </c>
      <c r="AB1502" s="6" t="s">
        <v>81</v>
      </c>
      <c r="AC1502" s="6" t="s">
        <v>81</v>
      </c>
      <c r="AD1502" s="21" t="s">
        <v>81</v>
      </c>
      <c r="AE1502" s="6" t="s">
        <v>81</v>
      </c>
      <c r="AF1502" s="6" t="s">
        <v>81</v>
      </c>
      <c r="AG1502" s="6" t="s">
        <v>81</v>
      </c>
      <c r="AH1502" s="6" t="s">
        <v>16070</v>
      </c>
      <c r="AI1502" s="6" t="s">
        <v>81</v>
      </c>
      <c r="AJ1502" s="6" t="s">
        <v>17319</v>
      </c>
      <c r="AK1502" s="6" t="s">
        <v>18378</v>
      </c>
      <c r="AL1502" s="6" t="s">
        <v>18444</v>
      </c>
      <c r="AM1502" s="6" t="s">
        <v>18471</v>
      </c>
      <c r="AN1502" s="6" t="s">
        <v>19640</v>
      </c>
      <c r="AO1502" s="6" t="s">
        <v>19726</v>
      </c>
      <c r="AP1502" s="6" t="s">
        <v>81</v>
      </c>
      <c r="AQ1502" s="6" t="s">
        <v>81</v>
      </c>
      <c r="AR1502" s="6" t="s">
        <v>81</v>
      </c>
      <c r="AS1502" s="6" t="s">
        <v>81</v>
      </c>
      <c r="AT1502" s="6" t="s">
        <v>81</v>
      </c>
      <c r="AU1502" s="6" t="s">
        <v>81</v>
      </c>
      <c r="AV1502" s="6" t="s">
        <v>81</v>
      </c>
      <c r="AW1502" s="6" t="s">
        <v>81</v>
      </c>
      <c r="AX1502" s="6" t="s">
        <v>81</v>
      </c>
      <c r="AY1502" s="6" t="s">
        <v>81</v>
      </c>
      <c r="AZ1502" s="6" t="s">
        <v>81</v>
      </c>
      <c r="BA1502" s="6" t="s">
        <v>23819</v>
      </c>
      <c r="BB1502" s="24" t="n">
        <v>97</v>
      </c>
      <c r="BC1502" s="26"/>
      <c r="BD1502" s="26"/>
      <c r="BE1502" s="26"/>
      <c r="BF1502" s="26" t="s">
        <v>23900</v>
      </c>
      <c r="BG1502" s="26"/>
      <c r="BH1502" s="26"/>
      <c r="BI1502" s="26"/>
      <c r="BJ1502" s="26"/>
      <c r="BK1502" s="26"/>
      <c r="BL1502" s="26"/>
      <c r="BM1502" s="26"/>
      <c r="BN1502" s="26"/>
      <c r="BO1502" s="26"/>
      <c r="BP1502" s="16" t="n">
        <v>45621</v>
      </c>
      <c r="BQ1502" s="28" t="str">
        <f>HYPERLINK("https://organic.ams.usda.gov/Integrity/Certificate.aspx?cid=45&amp;nopid=9950004490")</f>
        <v>https://organic.ams.usda.gov/Integrity/Certificate.aspx?cid=45&amp;nopid=9950004490</v>
      </c>
    </row>
    <row r="1503">
      <c r="A1503" t="s">
        <v>3</v>
      </c>
      <c r="B1503" s="6" t="s">
        <v>9</v>
      </c>
      <c r="C1503" s="6" t="s">
        <v>56</v>
      </c>
      <c r="D1503" s="6" t="s">
        <v>102</v>
      </c>
      <c r="E1503" s="10" t="s">
        <v>1644</v>
      </c>
      <c r="F1503" s="6" t="s">
        <v>4368</v>
      </c>
      <c r="G1503" s="6" t="s">
        <v>81</v>
      </c>
      <c r="H1503" s="6" t="s">
        <v>7270</v>
      </c>
      <c r="I1503" s="6" t="s">
        <v>81</v>
      </c>
      <c r="J1503" s="6" t="s">
        <v>81</v>
      </c>
      <c r="K1503" s="6" t="s">
        <v>10886</v>
      </c>
      <c r="L1503" s="16" t="n">
        <v>42860</v>
      </c>
      <c r="M1503" s="16" t="n">
        <v>45748</v>
      </c>
      <c r="N1503" s="6" t="s">
        <v>10886</v>
      </c>
      <c r="O1503" s="16" t="n">
        <v>42860</v>
      </c>
      <c r="P1503" s="6" t="s">
        <v>10922</v>
      </c>
      <c r="Q1503" s="6" t="s">
        <v>81</v>
      </c>
      <c r="R1503" s="6" t="s">
        <v>12835</v>
      </c>
      <c r="S1503" s="6" t="s">
        <v>10886</v>
      </c>
      <c r="T1503" s="16" t="n">
        <v>42860</v>
      </c>
      <c r="U1503" s="6" t="s">
        <v>13640</v>
      </c>
      <c r="V1503" s="6" t="s">
        <v>81</v>
      </c>
      <c r="W1503" s="6" t="s">
        <v>12835</v>
      </c>
      <c r="X1503" s="6" t="s">
        <v>81</v>
      </c>
      <c r="Y1503" s="21" t="s">
        <v>81</v>
      </c>
      <c r="Z1503" s="6" t="s">
        <v>81</v>
      </c>
      <c r="AA1503" s="6" t="s">
        <v>81</v>
      </c>
      <c r="AB1503" s="6" t="s">
        <v>81</v>
      </c>
      <c r="AC1503" s="6" t="s">
        <v>81</v>
      </c>
      <c r="AD1503" s="21" t="s">
        <v>81</v>
      </c>
      <c r="AE1503" s="6" t="s">
        <v>81</v>
      </c>
      <c r="AF1503" s="6" t="s">
        <v>81</v>
      </c>
      <c r="AG1503" s="6" t="s">
        <v>81</v>
      </c>
      <c r="AH1503" s="6" t="s">
        <v>16071</v>
      </c>
      <c r="AI1503" s="6" t="s">
        <v>81</v>
      </c>
      <c r="AJ1503" s="6" t="s">
        <v>17916</v>
      </c>
      <c r="AK1503" s="6" t="s">
        <v>18377</v>
      </c>
      <c r="AL1503" s="6" t="s">
        <v>18444</v>
      </c>
      <c r="AM1503" s="6" t="s">
        <v>19105</v>
      </c>
      <c r="AN1503" s="6" t="s">
        <v>6332</v>
      </c>
      <c r="AO1503" s="6" t="s">
        <v>19885</v>
      </c>
      <c r="AP1503" s="6" t="s">
        <v>15840</v>
      </c>
      <c r="AQ1503" s="6" t="s">
        <v>81</v>
      </c>
      <c r="AR1503" s="6" t="s">
        <v>17956</v>
      </c>
      <c r="AS1503" s="6" t="s">
        <v>18377</v>
      </c>
      <c r="AT1503" s="6" t="s">
        <v>18444</v>
      </c>
      <c r="AU1503" s="6" t="s">
        <v>19143</v>
      </c>
      <c r="AV1503" s="6" t="s">
        <v>81</v>
      </c>
      <c r="AW1503" s="6" t="s">
        <v>81</v>
      </c>
      <c r="AX1503" s="6" t="s">
        <v>21540</v>
      </c>
      <c r="AY1503" s="6" t="s">
        <v>23032</v>
      </c>
      <c r="AZ1503" s="6" t="s">
        <v>81</v>
      </c>
      <c r="BA1503" s="6" t="s">
        <v>81</v>
      </c>
      <c r="BB1503" s="24" t="n">
        <v>437</v>
      </c>
      <c r="BC1503" s="26"/>
      <c r="BD1503" s="26"/>
      <c r="BE1503" s="26"/>
      <c r="BF1503" s="26"/>
      <c r="BG1503" s="26"/>
      <c r="BH1503" s="26"/>
      <c r="BI1503" s="26"/>
      <c r="BJ1503" s="26"/>
      <c r="BK1503" s="26"/>
      <c r="BL1503" s="26"/>
      <c r="BM1503" s="26"/>
      <c r="BN1503" s="26"/>
      <c r="BO1503" s="26"/>
      <c r="BP1503" s="16" t="n">
        <v>45738</v>
      </c>
      <c r="BQ1503" s="28" t="str">
        <f>HYPERLINK("https://organic.ams.usda.gov/Integrity/Certificate.aspx?cid=52&amp;nopid=8431701167")</f>
        <v>https://organic.ams.usda.gov/Integrity/Certificate.aspx?cid=52&amp;nopid=8431701167</v>
      </c>
    </row>
    <row r="1504">
      <c r="A1504" t="s">
        <v>3</v>
      </c>
      <c r="B1504" s="6" t="s">
        <v>8</v>
      </c>
      <c r="C1504" s="6" t="s">
        <v>55</v>
      </c>
      <c r="D1504" s="6" t="s">
        <v>101</v>
      </c>
      <c r="E1504" s="10" t="s">
        <v>1645</v>
      </c>
      <c r="F1504" s="6" t="s">
        <v>4369</v>
      </c>
      <c r="G1504" s="6" t="s">
        <v>81</v>
      </c>
      <c r="H1504" s="6" t="s">
        <v>7271</v>
      </c>
      <c r="I1504" s="6" t="s">
        <v>8962</v>
      </c>
      <c r="J1504" s="6" t="s">
        <v>10368</v>
      </c>
      <c r="K1504" s="6" t="s">
        <v>10886</v>
      </c>
      <c r="L1504" s="16" t="n">
        <v>42173</v>
      </c>
      <c r="M1504" s="16" t="n">
        <v>45689</v>
      </c>
      <c r="N1504" s="6" t="s">
        <v>10886</v>
      </c>
      <c r="O1504" s="16" t="n">
        <v>42173</v>
      </c>
      <c r="P1504" s="6" t="s">
        <v>11788</v>
      </c>
      <c r="Q1504" s="6" t="s">
        <v>81</v>
      </c>
      <c r="R1504" s="6" t="s">
        <v>7271</v>
      </c>
      <c r="S1504" s="6" t="s">
        <v>10886</v>
      </c>
      <c r="T1504" s="16" t="n">
        <v>42173</v>
      </c>
      <c r="U1504" s="6" t="s">
        <v>13179</v>
      </c>
      <c r="V1504" s="6" t="s">
        <v>81</v>
      </c>
      <c r="W1504" s="6" t="s">
        <v>7271</v>
      </c>
      <c r="X1504" s="6" t="s">
        <v>81</v>
      </c>
      <c r="Y1504" s="21" t="s">
        <v>81</v>
      </c>
      <c r="Z1504" s="6" t="s">
        <v>81</v>
      </c>
      <c r="AA1504" s="6" t="s">
        <v>81</v>
      </c>
      <c r="AB1504" s="6" t="s">
        <v>81</v>
      </c>
      <c r="AC1504" s="6" t="s">
        <v>81</v>
      </c>
      <c r="AD1504" s="21" t="s">
        <v>81</v>
      </c>
      <c r="AE1504" s="6" t="s">
        <v>81</v>
      </c>
      <c r="AF1504" s="6" t="s">
        <v>81</v>
      </c>
      <c r="AG1504" s="6" t="s">
        <v>81</v>
      </c>
      <c r="AH1504" s="6" t="s">
        <v>16072</v>
      </c>
      <c r="AI1504" s="6" t="s">
        <v>81</v>
      </c>
      <c r="AJ1504" s="6" t="s">
        <v>17829</v>
      </c>
      <c r="AK1504" s="6" t="s">
        <v>18377</v>
      </c>
      <c r="AL1504" s="6" t="s">
        <v>18444</v>
      </c>
      <c r="AM1504" s="6" t="s">
        <v>19009</v>
      </c>
      <c r="AN1504" s="6" t="s">
        <v>19646</v>
      </c>
      <c r="AO1504" s="6" t="s">
        <v>19733</v>
      </c>
      <c r="AP1504" s="6" t="s">
        <v>20293</v>
      </c>
      <c r="AQ1504" s="6" t="s">
        <v>81</v>
      </c>
      <c r="AR1504" s="6" t="s">
        <v>17829</v>
      </c>
      <c r="AS1504" s="6" t="s">
        <v>18377</v>
      </c>
      <c r="AT1504" s="6" t="s">
        <v>18444</v>
      </c>
      <c r="AU1504" s="6" t="s">
        <v>19009</v>
      </c>
      <c r="AV1504" s="6" t="s">
        <v>81</v>
      </c>
      <c r="AW1504" s="6" t="s">
        <v>81</v>
      </c>
      <c r="AX1504" s="6" t="s">
        <v>81</v>
      </c>
      <c r="AY1504" s="6" t="s">
        <v>81</v>
      </c>
      <c r="AZ1504" s="6" t="s">
        <v>81</v>
      </c>
      <c r="BA1504" s="6" t="s">
        <v>23819</v>
      </c>
      <c r="BB1504" s="24" t="n">
        <v>129</v>
      </c>
      <c r="BC1504" s="26"/>
      <c r="BD1504" s="26"/>
      <c r="BE1504" s="26"/>
      <c r="BF1504" s="26" t="s">
        <v>23900</v>
      </c>
      <c r="BG1504" s="26"/>
      <c r="BH1504" s="26"/>
      <c r="BI1504" s="26"/>
      <c r="BJ1504" s="26"/>
      <c r="BK1504" s="26"/>
      <c r="BL1504" s="26"/>
      <c r="BM1504" s="26"/>
      <c r="BN1504" s="26"/>
      <c r="BO1504" s="26"/>
      <c r="BP1504" s="16" t="n">
        <v>45713</v>
      </c>
      <c r="BQ1504" s="28" t="str">
        <f>HYPERLINK("https://organic.ams.usda.gov/Integrity/Certificate.aspx?cid=45&amp;nopid=9950008296")</f>
        <v>https://organic.ams.usda.gov/Integrity/Certificate.aspx?cid=45&amp;nopid=9950008296</v>
      </c>
    </row>
    <row r="1505">
      <c r="A1505" t="s">
        <v>3</v>
      </c>
      <c r="B1505" s="6" t="s">
        <v>8</v>
      </c>
      <c r="C1505" s="6" t="s">
        <v>55</v>
      </c>
      <c r="D1505" s="6" t="s">
        <v>101</v>
      </c>
      <c r="E1505" s="10" t="s">
        <v>1646</v>
      </c>
      <c r="F1505" s="6" t="s">
        <v>4370</v>
      </c>
      <c r="G1505" s="6" t="s">
        <v>81</v>
      </c>
      <c r="H1505" s="6" t="s">
        <v>7272</v>
      </c>
      <c r="I1505" s="6" t="s">
        <v>8931</v>
      </c>
      <c r="J1505" s="6" t="s">
        <v>10369</v>
      </c>
      <c r="K1505" s="6" t="s">
        <v>10886</v>
      </c>
      <c r="L1505" s="16" t="n">
        <v>38671</v>
      </c>
      <c r="M1505" s="16" t="n">
        <v>45748</v>
      </c>
      <c r="N1505" s="6" t="s">
        <v>10886</v>
      </c>
      <c r="O1505" s="16" t="n">
        <v>38671</v>
      </c>
      <c r="P1505" s="6" t="s">
        <v>11789</v>
      </c>
      <c r="Q1505" s="6" t="s">
        <v>81</v>
      </c>
      <c r="R1505" s="6" t="s">
        <v>7272</v>
      </c>
      <c r="S1505" s="6" t="s">
        <v>10886</v>
      </c>
      <c r="T1505" s="16" t="n">
        <v>38671</v>
      </c>
      <c r="U1505" s="6" t="s">
        <v>13197</v>
      </c>
      <c r="V1505" s="6" t="s">
        <v>81</v>
      </c>
      <c r="W1505" s="6" t="s">
        <v>7272</v>
      </c>
      <c r="X1505" s="6" t="s">
        <v>81</v>
      </c>
      <c r="Y1505" s="21" t="s">
        <v>81</v>
      </c>
      <c r="Z1505" s="6" t="s">
        <v>81</v>
      </c>
      <c r="AA1505" s="6" t="s">
        <v>81</v>
      </c>
      <c r="AB1505" s="6" t="s">
        <v>81</v>
      </c>
      <c r="AC1505" s="6" t="s">
        <v>81</v>
      </c>
      <c r="AD1505" s="21" t="s">
        <v>81</v>
      </c>
      <c r="AE1505" s="6" t="s">
        <v>81</v>
      </c>
      <c r="AF1505" s="6" t="s">
        <v>81</v>
      </c>
      <c r="AG1505" s="6" t="s">
        <v>81</v>
      </c>
      <c r="AH1505" s="6" t="s">
        <v>16073</v>
      </c>
      <c r="AI1505" s="6" t="s">
        <v>81</v>
      </c>
      <c r="AJ1505" s="6" t="s">
        <v>17681</v>
      </c>
      <c r="AK1505" s="6" t="s">
        <v>18377</v>
      </c>
      <c r="AL1505" s="6" t="s">
        <v>18444</v>
      </c>
      <c r="AM1505" s="6" t="s">
        <v>18847</v>
      </c>
      <c r="AN1505" s="6" t="s">
        <v>19638</v>
      </c>
      <c r="AO1505" s="6" t="s">
        <v>19724</v>
      </c>
      <c r="AP1505" s="6" t="s">
        <v>81</v>
      </c>
      <c r="AQ1505" s="6" t="s">
        <v>81</v>
      </c>
      <c r="AR1505" s="6" t="s">
        <v>81</v>
      </c>
      <c r="AS1505" s="6" t="s">
        <v>81</v>
      </c>
      <c r="AT1505" s="6" t="s">
        <v>81</v>
      </c>
      <c r="AU1505" s="6" t="s">
        <v>81</v>
      </c>
      <c r="AV1505" s="6" t="s">
        <v>81</v>
      </c>
      <c r="AW1505" s="6" t="s">
        <v>81</v>
      </c>
      <c r="AX1505" s="6" t="s">
        <v>81</v>
      </c>
      <c r="AY1505" s="6" t="s">
        <v>23099</v>
      </c>
      <c r="AZ1505" s="6" t="s">
        <v>81</v>
      </c>
      <c r="BA1505" s="6" t="s">
        <v>23819</v>
      </c>
      <c r="BB1505" s="24" t="n">
        <v>220</v>
      </c>
      <c r="BC1505" s="26"/>
      <c r="BD1505" s="26"/>
      <c r="BE1505" s="26"/>
      <c r="BF1505" s="26"/>
      <c r="BG1505" s="26"/>
      <c r="BH1505" s="26"/>
      <c r="BI1505" s="26"/>
      <c r="BJ1505" s="26"/>
      <c r="BK1505" s="26"/>
      <c r="BL1505" s="26"/>
      <c r="BM1505" s="26"/>
      <c r="BN1505" s="26"/>
      <c r="BO1505" s="26"/>
      <c r="BP1505" s="16" t="n">
        <v>45579</v>
      </c>
      <c r="BQ1505" s="28" t="str">
        <f>HYPERLINK("https://organic.ams.usda.gov/Integrity/Certificate.aspx?cid=45&amp;nopid=9950001800")</f>
        <v>https://organic.ams.usda.gov/Integrity/Certificate.aspx?cid=45&amp;nopid=9950001800</v>
      </c>
    </row>
    <row r="1506">
      <c r="A1506" t="s">
        <v>3</v>
      </c>
      <c r="B1506" s="6" t="s">
        <v>8</v>
      </c>
      <c r="C1506" s="6" t="s">
        <v>55</v>
      </c>
      <c r="D1506" s="6" t="s">
        <v>101</v>
      </c>
      <c r="E1506" s="10" t="s">
        <v>1647</v>
      </c>
      <c r="F1506" s="6" t="s">
        <v>4371</v>
      </c>
      <c r="G1506" s="6" t="s">
        <v>81</v>
      </c>
      <c r="H1506" s="6" t="s">
        <v>7273</v>
      </c>
      <c r="I1506" s="6" t="s">
        <v>8850</v>
      </c>
      <c r="J1506" s="6" t="s">
        <v>10369</v>
      </c>
      <c r="K1506" s="6" t="s">
        <v>10886</v>
      </c>
      <c r="L1506" s="16" t="n">
        <v>37886</v>
      </c>
      <c r="M1506" s="16" t="n">
        <v>45689</v>
      </c>
      <c r="N1506" s="6" t="s">
        <v>10886</v>
      </c>
      <c r="O1506" s="16" t="n">
        <v>37886</v>
      </c>
      <c r="P1506" s="6" t="s">
        <v>11790</v>
      </c>
      <c r="Q1506" s="6" t="s">
        <v>81</v>
      </c>
      <c r="R1506" s="6" t="s">
        <v>7273</v>
      </c>
      <c r="S1506" s="6" t="s">
        <v>10886</v>
      </c>
      <c r="T1506" s="16" t="n">
        <v>44875</v>
      </c>
      <c r="U1506" s="6" t="s">
        <v>13641</v>
      </c>
      <c r="V1506" s="6" t="s">
        <v>81</v>
      </c>
      <c r="W1506" s="6" t="s">
        <v>7273</v>
      </c>
      <c r="X1506" s="6" t="s">
        <v>81</v>
      </c>
      <c r="Y1506" s="21" t="s">
        <v>81</v>
      </c>
      <c r="Z1506" s="6" t="s">
        <v>81</v>
      </c>
      <c r="AA1506" s="6" t="s">
        <v>81</v>
      </c>
      <c r="AB1506" s="6" t="s">
        <v>81</v>
      </c>
      <c r="AC1506" s="6" t="s">
        <v>81</v>
      </c>
      <c r="AD1506" s="21" t="s">
        <v>81</v>
      </c>
      <c r="AE1506" s="6" t="s">
        <v>81</v>
      </c>
      <c r="AF1506" s="6" t="s">
        <v>81</v>
      </c>
      <c r="AG1506" s="6" t="s">
        <v>81</v>
      </c>
      <c r="AH1506" s="6" t="s">
        <v>16074</v>
      </c>
      <c r="AI1506" s="6" t="s">
        <v>81</v>
      </c>
      <c r="AJ1506" s="6" t="s">
        <v>17681</v>
      </c>
      <c r="AK1506" s="6" t="s">
        <v>18377</v>
      </c>
      <c r="AL1506" s="6" t="s">
        <v>18444</v>
      </c>
      <c r="AM1506" s="6" t="s">
        <v>18847</v>
      </c>
      <c r="AN1506" s="6" t="s">
        <v>19638</v>
      </c>
      <c r="AO1506" s="6" t="s">
        <v>19724</v>
      </c>
      <c r="AP1506" s="6" t="s">
        <v>20294</v>
      </c>
      <c r="AQ1506" s="6" t="s">
        <v>81</v>
      </c>
      <c r="AR1506" s="6" t="s">
        <v>17316</v>
      </c>
      <c r="AS1506" s="6" t="s">
        <v>18377</v>
      </c>
      <c r="AT1506" s="6" t="s">
        <v>18444</v>
      </c>
      <c r="AU1506" s="6" t="s">
        <v>18468</v>
      </c>
      <c r="AV1506" s="6" t="s">
        <v>81</v>
      </c>
      <c r="AW1506" s="6" t="s">
        <v>81</v>
      </c>
      <c r="AX1506" s="6" t="s">
        <v>81</v>
      </c>
      <c r="AY1506" s="6" t="s">
        <v>81</v>
      </c>
      <c r="AZ1506" s="6" t="s">
        <v>81</v>
      </c>
      <c r="BA1506" s="6" t="s">
        <v>23819</v>
      </c>
      <c r="BB1506" s="24" t="n">
        <v>145</v>
      </c>
      <c r="BC1506" s="26"/>
      <c r="BD1506" s="26"/>
      <c r="BE1506" s="26"/>
      <c r="BF1506" s="26" t="s">
        <v>23900</v>
      </c>
      <c r="BG1506" s="26"/>
      <c r="BH1506" s="26"/>
      <c r="BI1506" s="26"/>
      <c r="BJ1506" s="26"/>
      <c r="BK1506" s="26"/>
      <c r="BL1506" s="26"/>
      <c r="BM1506" s="26"/>
      <c r="BN1506" s="26"/>
      <c r="BO1506" s="26"/>
      <c r="BP1506" s="16" t="n">
        <v>45699</v>
      </c>
      <c r="BQ1506" s="28" t="str">
        <f>HYPERLINK("https://organic.ams.usda.gov/Integrity/Certificate.aspx?cid=45&amp;nopid=9950001359")</f>
        <v>https://organic.ams.usda.gov/Integrity/Certificate.aspx?cid=45&amp;nopid=9950001359</v>
      </c>
    </row>
    <row r="1507">
      <c r="A1507" t="s">
        <v>3</v>
      </c>
      <c r="B1507" s="6" t="s">
        <v>8</v>
      </c>
      <c r="C1507" s="6" t="s">
        <v>55</v>
      </c>
      <c r="D1507" s="6" t="s">
        <v>101</v>
      </c>
      <c r="E1507" s="10" t="s">
        <v>1648</v>
      </c>
      <c r="F1507" s="6" t="s">
        <v>4372</v>
      </c>
      <c r="G1507" s="6" t="s">
        <v>5730</v>
      </c>
      <c r="H1507" s="6" t="s">
        <v>7274</v>
      </c>
      <c r="I1507" s="6" t="s">
        <v>8530</v>
      </c>
      <c r="J1507" s="6" t="s">
        <v>10369</v>
      </c>
      <c r="K1507" s="6" t="s">
        <v>10886</v>
      </c>
      <c r="L1507" s="16" t="n">
        <v>36746</v>
      </c>
      <c r="M1507" s="16" t="n">
        <v>45748</v>
      </c>
      <c r="N1507" s="6" t="s">
        <v>10886</v>
      </c>
      <c r="O1507" s="16" t="n">
        <v>36746</v>
      </c>
      <c r="P1507" s="6" t="s">
        <v>11791</v>
      </c>
      <c r="Q1507" s="6" t="s">
        <v>81</v>
      </c>
      <c r="R1507" s="6" t="s">
        <v>7274</v>
      </c>
      <c r="S1507" s="6" t="s">
        <v>10886</v>
      </c>
      <c r="T1507" s="16" t="n">
        <v>36746</v>
      </c>
      <c r="U1507" s="6" t="s">
        <v>13179</v>
      </c>
      <c r="V1507" s="6" t="s">
        <v>81</v>
      </c>
      <c r="W1507" s="6" t="s">
        <v>7274</v>
      </c>
      <c r="X1507" s="6" t="s">
        <v>81</v>
      </c>
      <c r="Y1507" s="21" t="s">
        <v>81</v>
      </c>
      <c r="Z1507" s="6" t="s">
        <v>81</v>
      </c>
      <c r="AA1507" s="6" t="s">
        <v>81</v>
      </c>
      <c r="AB1507" s="6" t="s">
        <v>81</v>
      </c>
      <c r="AC1507" s="6" t="s">
        <v>81</v>
      </c>
      <c r="AD1507" s="21" t="s">
        <v>81</v>
      </c>
      <c r="AE1507" s="6" t="s">
        <v>81</v>
      </c>
      <c r="AF1507" s="6" t="s">
        <v>81</v>
      </c>
      <c r="AG1507" s="6" t="s">
        <v>81</v>
      </c>
      <c r="AH1507" s="6" t="s">
        <v>16075</v>
      </c>
      <c r="AI1507" s="6" t="s">
        <v>81</v>
      </c>
      <c r="AJ1507" s="6" t="s">
        <v>17681</v>
      </c>
      <c r="AK1507" s="6" t="s">
        <v>18377</v>
      </c>
      <c r="AL1507" s="6" t="s">
        <v>18444</v>
      </c>
      <c r="AM1507" s="6" t="s">
        <v>18847</v>
      </c>
      <c r="AN1507" s="6" t="s">
        <v>19638</v>
      </c>
      <c r="AO1507" s="6" t="s">
        <v>19724</v>
      </c>
      <c r="AP1507" s="6" t="s">
        <v>81</v>
      </c>
      <c r="AQ1507" s="6" t="s">
        <v>81</v>
      </c>
      <c r="AR1507" s="6" t="s">
        <v>81</v>
      </c>
      <c r="AS1507" s="6" t="s">
        <v>81</v>
      </c>
      <c r="AT1507" s="6" t="s">
        <v>81</v>
      </c>
      <c r="AU1507" s="6" t="s">
        <v>81</v>
      </c>
      <c r="AV1507" s="6" t="s">
        <v>81</v>
      </c>
      <c r="AW1507" s="6" t="s">
        <v>81</v>
      </c>
      <c r="AX1507" s="6" t="s">
        <v>81</v>
      </c>
      <c r="AY1507" s="6" t="s">
        <v>23100</v>
      </c>
      <c r="AZ1507" s="6" t="s">
        <v>81</v>
      </c>
      <c r="BA1507" s="6" t="s">
        <v>23819</v>
      </c>
      <c r="BB1507" s="24" t="n">
        <v>370</v>
      </c>
      <c r="BC1507" s="26"/>
      <c r="BD1507" s="26"/>
      <c r="BE1507" s="26"/>
      <c r="BF1507" s="26" t="s">
        <v>23900</v>
      </c>
      <c r="BG1507" s="26"/>
      <c r="BH1507" s="26"/>
      <c r="BI1507" s="26"/>
      <c r="BJ1507" s="26"/>
      <c r="BK1507" s="26"/>
      <c r="BL1507" s="26"/>
      <c r="BM1507" s="26"/>
      <c r="BN1507" s="26"/>
      <c r="BO1507" s="26"/>
      <c r="BP1507" s="16" t="n">
        <v>45510</v>
      </c>
      <c r="BQ1507" s="28" t="str">
        <f>HYPERLINK("https://organic.ams.usda.gov/Integrity/Certificate.aspx?cid=45&amp;nopid=9950000433")</f>
        <v>https://organic.ams.usda.gov/Integrity/Certificate.aspx?cid=45&amp;nopid=9950000433</v>
      </c>
    </row>
    <row r="1508">
      <c r="A1508" t="s">
        <v>3</v>
      </c>
      <c r="B1508" s="6" t="s">
        <v>10</v>
      </c>
      <c r="C1508" s="6" t="s">
        <v>57</v>
      </c>
      <c r="D1508" s="6" t="s">
        <v>103</v>
      </c>
      <c r="E1508" s="10" t="s">
        <v>1649</v>
      </c>
      <c r="F1508" s="6" t="s">
        <v>4373</v>
      </c>
      <c r="G1508" s="6" t="s">
        <v>81</v>
      </c>
      <c r="H1508" s="6" t="s">
        <v>7275</v>
      </c>
      <c r="I1508" s="6" t="s">
        <v>9168</v>
      </c>
      <c r="J1508" s="6" t="s">
        <v>9669</v>
      </c>
      <c r="K1508" s="6" t="s">
        <v>10886</v>
      </c>
      <c r="L1508" s="16" t="n">
        <v>41366</v>
      </c>
      <c r="M1508" s="16" t="n">
        <v>45748</v>
      </c>
      <c r="N1508" s="6" t="s">
        <v>10886</v>
      </c>
      <c r="O1508" s="16" t="n">
        <v>41366</v>
      </c>
      <c r="P1508" s="6" t="s">
        <v>11792</v>
      </c>
      <c r="Q1508" s="6" t="s">
        <v>81</v>
      </c>
      <c r="R1508" s="6" t="s">
        <v>12836</v>
      </c>
      <c r="S1508" s="6" t="s">
        <v>10886</v>
      </c>
      <c r="T1508" s="16" t="n">
        <v>41366</v>
      </c>
      <c r="U1508" s="6" t="s">
        <v>13163</v>
      </c>
      <c r="V1508" s="6" t="s">
        <v>81</v>
      </c>
      <c r="W1508" s="6" t="s">
        <v>81</v>
      </c>
      <c r="X1508" s="6" t="s">
        <v>81</v>
      </c>
      <c r="Y1508" s="21" t="s">
        <v>81</v>
      </c>
      <c r="Z1508" s="6" t="s">
        <v>81</v>
      </c>
      <c r="AA1508" s="6" t="s">
        <v>81</v>
      </c>
      <c r="AB1508" s="6" t="s">
        <v>81</v>
      </c>
      <c r="AC1508" s="6" t="s">
        <v>81</v>
      </c>
      <c r="AD1508" s="21" t="s">
        <v>81</v>
      </c>
      <c r="AE1508" s="6" t="s">
        <v>81</v>
      </c>
      <c r="AF1508" s="6" t="s">
        <v>81</v>
      </c>
      <c r="AG1508" s="6" t="s">
        <v>81</v>
      </c>
      <c r="AH1508" s="6" t="s">
        <v>16076</v>
      </c>
      <c r="AI1508" s="6" t="s">
        <v>81</v>
      </c>
      <c r="AJ1508" s="6" t="s">
        <v>17315</v>
      </c>
      <c r="AK1508" s="6" t="s">
        <v>18379</v>
      </c>
      <c r="AL1508" s="6" t="s">
        <v>18444</v>
      </c>
      <c r="AM1508" s="6" t="s">
        <v>18467</v>
      </c>
      <c r="AN1508" s="6" t="s">
        <v>19637</v>
      </c>
      <c r="AO1508" s="6" t="s">
        <v>19723</v>
      </c>
      <c r="AP1508" s="6" t="s">
        <v>16076</v>
      </c>
      <c r="AQ1508" s="6" t="s">
        <v>81</v>
      </c>
      <c r="AR1508" s="6" t="s">
        <v>17315</v>
      </c>
      <c r="AS1508" s="6" t="s">
        <v>18379</v>
      </c>
      <c r="AT1508" s="6" t="s">
        <v>18444</v>
      </c>
      <c r="AU1508" s="6" t="s">
        <v>18467</v>
      </c>
      <c r="AV1508" s="6" t="s">
        <v>81</v>
      </c>
      <c r="AW1508" s="6" t="s">
        <v>81</v>
      </c>
      <c r="AX1508" s="6" t="s">
        <v>21696</v>
      </c>
      <c r="AY1508" s="6" t="s">
        <v>81</v>
      </c>
      <c r="AZ1508" s="6" t="s">
        <v>81</v>
      </c>
      <c r="BA1508" s="6" t="s">
        <v>81</v>
      </c>
      <c r="BB1508" s="24" t="n">
        <v>95</v>
      </c>
      <c r="BC1508" s="26"/>
      <c r="BD1508" s="26"/>
      <c r="BE1508" s="26"/>
      <c r="BF1508" s="26"/>
      <c r="BG1508" s="26"/>
      <c r="BH1508" s="26"/>
      <c r="BI1508" s="26"/>
      <c r="BJ1508" s="26"/>
      <c r="BK1508" s="26"/>
      <c r="BL1508" s="26"/>
      <c r="BM1508" s="26"/>
      <c r="BN1508" s="26"/>
      <c r="BO1508" s="26"/>
      <c r="BP1508" s="16" t="n">
        <v>45730</v>
      </c>
      <c r="BQ1508" s="28" t="str">
        <f>HYPERLINK("https://organic.ams.usda.gov/Integrity/Certificate.aspx?cid=90&amp;nopid=7170230642")</f>
        <v>https://organic.ams.usda.gov/Integrity/Certificate.aspx?cid=90&amp;nopid=7170230642</v>
      </c>
    </row>
    <row r="1509">
      <c r="A1509" t="s">
        <v>3</v>
      </c>
      <c r="B1509" s="6" t="s">
        <v>15</v>
      </c>
      <c r="C1509" s="6" t="s">
        <v>62</v>
      </c>
      <c r="D1509" s="6" t="s">
        <v>108</v>
      </c>
      <c r="E1509" s="10" t="s">
        <v>1650</v>
      </c>
      <c r="F1509" s="6" t="s">
        <v>4374</v>
      </c>
      <c r="G1509" s="6" t="s">
        <v>5731</v>
      </c>
      <c r="H1509" s="6" t="s">
        <v>7276</v>
      </c>
      <c r="I1509" s="6" t="s">
        <v>8968</v>
      </c>
      <c r="J1509" s="6" t="s">
        <v>9699</v>
      </c>
      <c r="K1509" s="6" t="s">
        <v>10886</v>
      </c>
      <c r="L1509" s="16" t="n">
        <v>42867</v>
      </c>
      <c r="M1509" s="16" t="n">
        <v>46157</v>
      </c>
      <c r="N1509" s="6" t="s">
        <v>10886</v>
      </c>
      <c r="O1509" s="16" t="n">
        <v>42867</v>
      </c>
      <c r="P1509" s="6" t="s">
        <v>11793</v>
      </c>
      <c r="Q1509" s="6" t="s">
        <v>81</v>
      </c>
      <c r="R1509" s="6" t="s">
        <v>81</v>
      </c>
      <c r="S1509" s="6" t="s">
        <v>10886</v>
      </c>
      <c r="T1509" s="16" t="n">
        <v>42867</v>
      </c>
      <c r="U1509" s="6" t="s">
        <v>13444</v>
      </c>
      <c r="V1509" s="6" t="s">
        <v>81</v>
      </c>
      <c r="W1509" s="6" t="s">
        <v>81</v>
      </c>
      <c r="X1509" s="6" t="s">
        <v>81</v>
      </c>
      <c r="Y1509" s="21" t="s">
        <v>81</v>
      </c>
      <c r="Z1509" s="6" t="s">
        <v>81</v>
      </c>
      <c r="AA1509" s="6" t="s">
        <v>81</v>
      </c>
      <c r="AB1509" s="6" t="s">
        <v>81</v>
      </c>
      <c r="AC1509" s="6" t="s">
        <v>81</v>
      </c>
      <c r="AD1509" s="21" t="s">
        <v>81</v>
      </c>
      <c r="AE1509" s="6" t="s">
        <v>81</v>
      </c>
      <c r="AF1509" s="6" t="s">
        <v>81</v>
      </c>
      <c r="AG1509" s="6" t="s">
        <v>81</v>
      </c>
      <c r="AH1509" s="6" t="s">
        <v>16077</v>
      </c>
      <c r="AI1509" s="6" t="s">
        <v>81</v>
      </c>
      <c r="AJ1509" s="6" t="s">
        <v>17315</v>
      </c>
      <c r="AK1509" s="6" t="s">
        <v>18379</v>
      </c>
      <c r="AL1509" s="6" t="s">
        <v>18444</v>
      </c>
      <c r="AM1509" s="6" t="s">
        <v>18467</v>
      </c>
      <c r="AN1509" s="6" t="s">
        <v>19637</v>
      </c>
      <c r="AO1509" s="6" t="s">
        <v>19723</v>
      </c>
      <c r="AP1509" s="6" t="s">
        <v>16077</v>
      </c>
      <c r="AQ1509" s="6" t="s">
        <v>81</v>
      </c>
      <c r="AR1509" s="6" t="s">
        <v>17315</v>
      </c>
      <c r="AS1509" s="6" t="s">
        <v>18379</v>
      </c>
      <c r="AT1509" s="6" t="s">
        <v>18444</v>
      </c>
      <c r="AU1509" s="6" t="s">
        <v>18467</v>
      </c>
      <c r="AV1509" s="6" t="s">
        <v>81</v>
      </c>
      <c r="AW1509" s="6" t="s">
        <v>81</v>
      </c>
      <c r="AX1509" s="6" t="s">
        <v>21697</v>
      </c>
      <c r="AY1509" s="6" t="s">
        <v>81</v>
      </c>
      <c r="AZ1509" s="6" t="s">
        <v>81</v>
      </c>
      <c r="BA1509" s="6" t="s">
        <v>81</v>
      </c>
      <c r="BB1509" s="24" t="n">
        <v>62</v>
      </c>
      <c r="BC1509" s="26"/>
      <c r="BD1509" s="26"/>
      <c r="BE1509" s="26"/>
      <c r="BF1509" s="26" t="s">
        <v>23900</v>
      </c>
      <c r="BG1509" s="26"/>
      <c r="BH1509" s="26"/>
      <c r="BI1509" s="26"/>
      <c r="BJ1509" s="26"/>
      <c r="BK1509" s="26"/>
      <c r="BL1509" s="26"/>
      <c r="BM1509" s="26"/>
      <c r="BN1509" s="26"/>
      <c r="BO1509" s="26"/>
      <c r="BP1509" s="16" t="n">
        <v>45737</v>
      </c>
      <c r="BQ1509" s="28" t="str">
        <f>HYPERLINK("https://organic.ams.usda.gov/Integrity/Certificate.aspx?cid=58&amp;nopid=1600002884")</f>
        <v>https://organic.ams.usda.gov/Integrity/Certificate.aspx?cid=58&amp;nopid=1600002884</v>
      </c>
    </row>
    <row r="1510">
      <c r="A1510" t="s">
        <v>3</v>
      </c>
      <c r="B1510" s="6" t="s">
        <v>7</v>
      </c>
      <c r="C1510" s="6" t="s">
        <v>54</v>
      </c>
      <c r="D1510" s="6" t="s">
        <v>100</v>
      </c>
      <c r="E1510" s="10" t="s">
        <v>1651</v>
      </c>
      <c r="F1510" s="6" t="s">
        <v>4375</v>
      </c>
      <c r="G1510" s="6" t="s">
        <v>81</v>
      </c>
      <c r="H1510" s="6" t="s">
        <v>7277</v>
      </c>
      <c r="I1510" s="6" t="s">
        <v>8992</v>
      </c>
      <c r="J1510" s="6" t="s">
        <v>9923</v>
      </c>
      <c r="K1510" s="6" t="s">
        <v>10886</v>
      </c>
      <c r="L1510" s="16" t="n">
        <v>45496</v>
      </c>
      <c r="M1510" s="16" t="n">
        <v>45716</v>
      </c>
      <c r="N1510" s="6" t="s">
        <v>10886</v>
      </c>
      <c r="O1510" s="16" t="n">
        <v>45497</v>
      </c>
      <c r="P1510" s="6" t="s">
        <v>11794</v>
      </c>
      <c r="Q1510" s="6" t="s">
        <v>81</v>
      </c>
      <c r="R1510" s="6" t="s">
        <v>81</v>
      </c>
      <c r="S1510" s="6" t="s">
        <v>10886</v>
      </c>
      <c r="T1510" s="16" t="n">
        <v>45575</v>
      </c>
      <c r="U1510" s="6" t="s">
        <v>13188</v>
      </c>
      <c r="V1510" s="6" t="s">
        <v>81</v>
      </c>
      <c r="W1510" s="6" t="s">
        <v>81</v>
      </c>
      <c r="X1510" s="6" t="s">
        <v>81</v>
      </c>
      <c r="Y1510" s="21" t="s">
        <v>81</v>
      </c>
      <c r="Z1510" s="6" t="s">
        <v>81</v>
      </c>
      <c r="AA1510" s="6" t="s">
        <v>81</v>
      </c>
      <c r="AB1510" s="6" t="s">
        <v>81</v>
      </c>
      <c r="AC1510" s="6" t="s">
        <v>81</v>
      </c>
      <c r="AD1510" s="21" t="s">
        <v>81</v>
      </c>
      <c r="AE1510" s="6" t="s">
        <v>81</v>
      </c>
      <c r="AF1510" s="6" t="s">
        <v>81</v>
      </c>
      <c r="AG1510" s="6" t="s">
        <v>81</v>
      </c>
      <c r="AH1510" s="6" t="s">
        <v>16078</v>
      </c>
      <c r="AI1510" s="6" t="s">
        <v>81</v>
      </c>
      <c r="AJ1510" s="6" t="s">
        <v>17608</v>
      </c>
      <c r="AK1510" s="6" t="s">
        <v>18380</v>
      </c>
      <c r="AL1510" s="6" t="s">
        <v>18444</v>
      </c>
      <c r="AM1510" s="6" t="s">
        <v>18774</v>
      </c>
      <c r="AN1510" s="6" t="s">
        <v>81</v>
      </c>
      <c r="AO1510" s="6" t="s">
        <v>81</v>
      </c>
      <c r="AP1510" s="6" t="s">
        <v>16078</v>
      </c>
      <c r="AQ1510" s="6" t="s">
        <v>81</v>
      </c>
      <c r="AR1510" s="6" t="s">
        <v>17608</v>
      </c>
      <c r="AS1510" s="6" t="s">
        <v>18380</v>
      </c>
      <c r="AT1510" s="6" t="s">
        <v>18444</v>
      </c>
      <c r="AU1510" s="6" t="s">
        <v>18774</v>
      </c>
      <c r="AV1510" s="6" t="s">
        <v>81</v>
      </c>
      <c r="AW1510" s="6" t="s">
        <v>81</v>
      </c>
      <c r="AX1510" s="6" t="s">
        <v>21698</v>
      </c>
      <c r="AY1510" s="6" t="s">
        <v>81</v>
      </c>
      <c r="AZ1510" s="6" t="s">
        <v>81</v>
      </c>
      <c r="BA1510" s="6" t="s">
        <v>81</v>
      </c>
      <c r="BB1510" s="24" t="n">
        <v>39</v>
      </c>
      <c r="BC1510" s="26"/>
      <c r="BD1510" s="26"/>
      <c r="BE1510" s="26"/>
      <c r="BF1510" s="26" t="s">
        <v>23900</v>
      </c>
      <c r="BG1510" s="26"/>
      <c r="BH1510" s="26"/>
      <c r="BI1510" s="26"/>
      <c r="BJ1510" s="26"/>
      <c r="BK1510" s="26"/>
      <c r="BL1510" s="26"/>
      <c r="BM1510" s="26"/>
      <c r="BN1510" s="26"/>
      <c r="BO1510" s="26"/>
      <c r="BP1510" s="16" t="n">
        <v>45595</v>
      </c>
      <c r="BQ1510" s="28" t="str">
        <f>HYPERLINK("https://organic.ams.usda.gov/Integrity/Certificate.aspx?cid=57&amp;nopid=3252024107")</f>
        <v>https://organic.ams.usda.gov/Integrity/Certificate.aspx?cid=57&amp;nopid=3252024107</v>
      </c>
    </row>
    <row r="1511">
      <c r="A1511" t="s">
        <v>3</v>
      </c>
      <c r="B1511" s="6" t="s">
        <v>7</v>
      </c>
      <c r="C1511" s="6" t="s">
        <v>54</v>
      </c>
      <c r="D1511" s="6" t="s">
        <v>100</v>
      </c>
      <c r="E1511" s="10" t="s">
        <v>1652</v>
      </c>
      <c r="F1511" s="6" t="s">
        <v>4376</v>
      </c>
      <c r="G1511" s="6" t="s">
        <v>81</v>
      </c>
      <c r="H1511" s="6" t="s">
        <v>7278</v>
      </c>
      <c r="I1511" s="6" t="s">
        <v>8992</v>
      </c>
      <c r="J1511" s="6" t="s">
        <v>9997</v>
      </c>
      <c r="K1511" s="6" t="s">
        <v>10886</v>
      </c>
      <c r="L1511" s="16" t="n">
        <v>41819</v>
      </c>
      <c r="M1511" s="16" t="n">
        <v>45716</v>
      </c>
      <c r="N1511" s="6" t="s">
        <v>10886</v>
      </c>
      <c r="O1511" s="16" t="n">
        <v>41819</v>
      </c>
      <c r="P1511" s="6" t="s">
        <v>11795</v>
      </c>
      <c r="Q1511" s="6" t="s">
        <v>81</v>
      </c>
      <c r="R1511" s="6" t="s">
        <v>81</v>
      </c>
      <c r="S1511" s="6" t="s">
        <v>10886</v>
      </c>
      <c r="T1511" s="16" t="n">
        <v>42112</v>
      </c>
      <c r="U1511" s="6" t="s">
        <v>13169</v>
      </c>
      <c r="V1511" s="6" t="s">
        <v>81</v>
      </c>
      <c r="W1511" s="6" t="s">
        <v>81</v>
      </c>
      <c r="X1511" s="6" t="s">
        <v>81</v>
      </c>
      <c r="Y1511" s="21" t="s">
        <v>81</v>
      </c>
      <c r="Z1511" s="6" t="s">
        <v>81</v>
      </c>
      <c r="AA1511" s="6" t="s">
        <v>81</v>
      </c>
      <c r="AB1511" s="6" t="s">
        <v>81</v>
      </c>
      <c r="AC1511" s="6" t="s">
        <v>81</v>
      </c>
      <c r="AD1511" s="21" t="s">
        <v>81</v>
      </c>
      <c r="AE1511" s="6" t="s">
        <v>81</v>
      </c>
      <c r="AF1511" s="6" t="s">
        <v>81</v>
      </c>
      <c r="AG1511" s="6" t="s">
        <v>81</v>
      </c>
      <c r="AH1511" s="6" t="s">
        <v>16079</v>
      </c>
      <c r="AI1511" s="6" t="s">
        <v>81</v>
      </c>
      <c r="AJ1511" s="6" t="s">
        <v>17363</v>
      </c>
      <c r="AK1511" s="6" t="s">
        <v>17712</v>
      </c>
      <c r="AL1511" s="6" t="s">
        <v>18444</v>
      </c>
      <c r="AM1511" s="6" t="s">
        <v>18515</v>
      </c>
      <c r="AN1511" s="6" t="s">
        <v>19657</v>
      </c>
      <c r="AO1511" s="6" t="s">
        <v>19751</v>
      </c>
      <c r="AP1511" s="6" t="s">
        <v>16079</v>
      </c>
      <c r="AQ1511" s="6" t="s">
        <v>81</v>
      </c>
      <c r="AR1511" s="6" t="s">
        <v>17363</v>
      </c>
      <c r="AS1511" s="6" t="s">
        <v>17712</v>
      </c>
      <c r="AT1511" s="6" t="s">
        <v>18444</v>
      </c>
      <c r="AU1511" s="6" t="s">
        <v>18515</v>
      </c>
      <c r="AV1511" s="6" t="s">
        <v>81</v>
      </c>
      <c r="AW1511" s="6" t="s">
        <v>81</v>
      </c>
      <c r="AX1511" s="6" t="s">
        <v>21699</v>
      </c>
      <c r="AY1511" s="6" t="s">
        <v>81</v>
      </c>
      <c r="AZ1511" s="6" t="s">
        <v>81</v>
      </c>
      <c r="BA1511" s="6" t="s">
        <v>81</v>
      </c>
      <c r="BB1511" s="24" t="n">
        <v>165</v>
      </c>
      <c r="BC1511" s="26"/>
      <c r="BD1511" s="26"/>
      <c r="BE1511" s="26"/>
      <c r="BF1511" s="26" t="s">
        <v>23900</v>
      </c>
      <c r="BG1511" s="26"/>
      <c r="BH1511" s="26"/>
      <c r="BI1511" s="26"/>
      <c r="BJ1511" s="26"/>
      <c r="BK1511" s="26"/>
      <c r="BL1511" s="26"/>
      <c r="BM1511" s="26"/>
      <c r="BN1511" s="26"/>
      <c r="BO1511" s="26"/>
      <c r="BP1511" s="16" t="n">
        <v>45595</v>
      </c>
      <c r="BQ1511" s="28" t="str">
        <f>HYPERLINK("https://organic.ams.usda.gov/Integrity/Certificate.aspx?cid=57&amp;nopid=3252014051")</f>
        <v>https://organic.ams.usda.gov/Integrity/Certificate.aspx?cid=57&amp;nopid=3252014051</v>
      </c>
    </row>
    <row r="1512">
      <c r="A1512" t="s">
        <v>3</v>
      </c>
      <c r="B1512" s="6" t="s">
        <v>10</v>
      </c>
      <c r="C1512" s="6" t="s">
        <v>57</v>
      </c>
      <c r="D1512" s="6" t="s">
        <v>103</v>
      </c>
      <c r="E1512" s="10" t="s">
        <v>1653</v>
      </c>
      <c r="F1512" s="6" t="s">
        <v>4377</v>
      </c>
      <c r="G1512" s="6" t="s">
        <v>81</v>
      </c>
      <c r="H1512" s="6" t="s">
        <v>7279</v>
      </c>
      <c r="I1512" s="6" t="s">
        <v>9169</v>
      </c>
      <c r="J1512" s="6" t="s">
        <v>9669</v>
      </c>
      <c r="K1512" s="6" t="s">
        <v>10886</v>
      </c>
      <c r="L1512" s="16" t="n">
        <v>41184</v>
      </c>
      <c r="M1512" s="16" t="n">
        <v>45748</v>
      </c>
      <c r="N1512" s="6" t="s">
        <v>10886</v>
      </c>
      <c r="O1512" s="16" t="n">
        <v>41184</v>
      </c>
      <c r="P1512" s="6" t="s">
        <v>11036</v>
      </c>
      <c r="Q1512" s="6" t="s">
        <v>81</v>
      </c>
      <c r="R1512" s="6" t="s">
        <v>12837</v>
      </c>
      <c r="S1512" s="6" t="s">
        <v>10886</v>
      </c>
      <c r="T1512" s="16" t="n">
        <v>41184</v>
      </c>
      <c r="U1512" s="6" t="s">
        <v>13163</v>
      </c>
      <c r="V1512" s="6" t="s">
        <v>81</v>
      </c>
      <c r="W1512" s="6" t="s">
        <v>81</v>
      </c>
      <c r="X1512" s="6" t="s">
        <v>81</v>
      </c>
      <c r="Y1512" s="21" t="s">
        <v>81</v>
      </c>
      <c r="Z1512" s="6" t="s">
        <v>81</v>
      </c>
      <c r="AA1512" s="6" t="s">
        <v>81</v>
      </c>
      <c r="AB1512" s="6" t="s">
        <v>81</v>
      </c>
      <c r="AC1512" s="6" t="s">
        <v>81</v>
      </c>
      <c r="AD1512" s="21" t="s">
        <v>81</v>
      </c>
      <c r="AE1512" s="6" t="s">
        <v>81</v>
      </c>
      <c r="AF1512" s="6" t="s">
        <v>81</v>
      </c>
      <c r="AG1512" s="6" t="s">
        <v>81</v>
      </c>
      <c r="AH1512" s="6" t="s">
        <v>16080</v>
      </c>
      <c r="AI1512" s="6" t="s">
        <v>81</v>
      </c>
      <c r="AJ1512" s="6" t="s">
        <v>17315</v>
      </c>
      <c r="AK1512" s="6" t="s">
        <v>18379</v>
      </c>
      <c r="AL1512" s="6" t="s">
        <v>18444</v>
      </c>
      <c r="AM1512" s="6" t="s">
        <v>18467</v>
      </c>
      <c r="AN1512" s="6" t="s">
        <v>19637</v>
      </c>
      <c r="AO1512" s="6" t="s">
        <v>19723</v>
      </c>
      <c r="AP1512" s="6" t="s">
        <v>16080</v>
      </c>
      <c r="AQ1512" s="6" t="s">
        <v>81</v>
      </c>
      <c r="AR1512" s="6" t="s">
        <v>17315</v>
      </c>
      <c r="AS1512" s="6" t="s">
        <v>18379</v>
      </c>
      <c r="AT1512" s="6" t="s">
        <v>18444</v>
      </c>
      <c r="AU1512" s="6" t="s">
        <v>18467</v>
      </c>
      <c r="AV1512" s="6" t="s">
        <v>81</v>
      </c>
      <c r="AW1512" s="6" t="s">
        <v>81</v>
      </c>
      <c r="AX1512" s="6" t="s">
        <v>21700</v>
      </c>
      <c r="AY1512" s="6" t="s">
        <v>81</v>
      </c>
      <c r="AZ1512" s="6" t="s">
        <v>81</v>
      </c>
      <c r="BA1512" s="6" t="s">
        <v>81</v>
      </c>
      <c r="BB1512" s="24" t="n">
        <v>169</v>
      </c>
      <c r="BC1512" s="26"/>
      <c r="BD1512" s="26"/>
      <c r="BE1512" s="26"/>
      <c r="BF1512" s="26"/>
      <c r="BG1512" s="26"/>
      <c r="BH1512" s="26"/>
      <c r="BI1512" s="26"/>
      <c r="BJ1512" s="26"/>
      <c r="BK1512" s="26"/>
      <c r="BL1512" s="26"/>
      <c r="BM1512" s="26"/>
      <c r="BN1512" s="26"/>
      <c r="BO1512" s="26"/>
      <c r="BP1512" s="16" t="n">
        <v>45730</v>
      </c>
      <c r="BQ1512" s="28" t="str">
        <f>HYPERLINK("https://organic.ams.usda.gov/Integrity/Certificate.aspx?cid=90&amp;nopid=7170020076")</f>
        <v>https://organic.ams.usda.gov/Integrity/Certificate.aspx?cid=90&amp;nopid=7170020076</v>
      </c>
    </row>
    <row r="1513">
      <c r="A1513" t="s">
        <v>3</v>
      </c>
      <c r="B1513" s="6" t="s">
        <v>12</v>
      </c>
      <c r="C1513" s="6" t="s">
        <v>59</v>
      </c>
      <c r="D1513" s="6" t="s">
        <v>105</v>
      </c>
      <c r="E1513" s="10" t="s">
        <v>1654</v>
      </c>
      <c r="F1513" s="6" t="s">
        <v>4378</v>
      </c>
      <c r="G1513" s="6" t="s">
        <v>81</v>
      </c>
      <c r="H1513" s="6" t="s">
        <v>7280</v>
      </c>
      <c r="I1513" s="6" t="s">
        <v>8992</v>
      </c>
      <c r="J1513" s="6" t="s">
        <v>9945</v>
      </c>
      <c r="K1513" s="6" t="s">
        <v>10886</v>
      </c>
      <c r="L1513" s="16" t="n">
        <v>43983</v>
      </c>
      <c r="M1513" s="16" t="n">
        <v>45717</v>
      </c>
      <c r="N1513" s="6" t="s">
        <v>10886</v>
      </c>
      <c r="O1513" s="16" t="n">
        <v>43983</v>
      </c>
      <c r="P1513" s="6" t="s">
        <v>11796</v>
      </c>
      <c r="Q1513" s="6" t="s">
        <v>81</v>
      </c>
      <c r="R1513" s="6" t="s">
        <v>81</v>
      </c>
      <c r="S1513" s="6" t="s">
        <v>10886</v>
      </c>
      <c r="T1513" s="16" t="n">
        <v>43983</v>
      </c>
      <c r="U1513" s="6" t="s">
        <v>13183</v>
      </c>
      <c r="V1513" s="6" t="s">
        <v>81</v>
      </c>
      <c r="W1513" s="6" t="s">
        <v>81</v>
      </c>
      <c r="X1513" s="6" t="s">
        <v>81</v>
      </c>
      <c r="Y1513" s="21" t="s">
        <v>81</v>
      </c>
      <c r="Z1513" s="6" t="s">
        <v>81</v>
      </c>
      <c r="AA1513" s="6" t="s">
        <v>81</v>
      </c>
      <c r="AB1513" s="6" t="s">
        <v>81</v>
      </c>
      <c r="AC1513" s="6" t="s">
        <v>81</v>
      </c>
      <c r="AD1513" s="21" t="s">
        <v>81</v>
      </c>
      <c r="AE1513" s="6" t="s">
        <v>81</v>
      </c>
      <c r="AF1513" s="6" t="s">
        <v>81</v>
      </c>
      <c r="AG1513" s="6" t="s">
        <v>81</v>
      </c>
      <c r="AH1513" s="6" t="s">
        <v>16081</v>
      </c>
      <c r="AI1513" s="6" t="s">
        <v>81</v>
      </c>
      <c r="AJ1513" s="6" t="s">
        <v>17584</v>
      </c>
      <c r="AK1513" s="6" t="s">
        <v>17712</v>
      </c>
      <c r="AL1513" s="6" t="s">
        <v>18444</v>
      </c>
      <c r="AM1513" s="6" t="s">
        <v>18747</v>
      </c>
      <c r="AN1513" s="6" t="s">
        <v>19669</v>
      </c>
      <c r="AO1513" s="6" t="s">
        <v>19790</v>
      </c>
      <c r="AP1513" s="6" t="s">
        <v>16081</v>
      </c>
      <c r="AQ1513" s="6" t="s">
        <v>81</v>
      </c>
      <c r="AR1513" s="6" t="s">
        <v>17584</v>
      </c>
      <c r="AS1513" s="6" t="s">
        <v>17712</v>
      </c>
      <c r="AT1513" s="6" t="s">
        <v>18444</v>
      </c>
      <c r="AU1513" s="6" t="s">
        <v>18747</v>
      </c>
      <c r="AV1513" s="6" t="s">
        <v>81</v>
      </c>
      <c r="AW1513" s="6" t="s">
        <v>81</v>
      </c>
      <c r="AX1513" s="6" t="s">
        <v>21701</v>
      </c>
      <c r="AY1513" s="6" t="s">
        <v>81</v>
      </c>
      <c r="AZ1513" s="6" t="s">
        <v>81</v>
      </c>
      <c r="BA1513" s="6" t="s">
        <v>81</v>
      </c>
      <c r="BB1513" s="24" t="n">
        <v>1307</v>
      </c>
      <c r="BC1513" s="26"/>
      <c r="BD1513" s="26"/>
      <c r="BE1513" s="26"/>
      <c r="BF1513" s="26"/>
      <c r="BG1513" s="26"/>
      <c r="BH1513" s="26"/>
      <c r="BI1513" s="26"/>
      <c r="BJ1513" s="26"/>
      <c r="BK1513" s="26"/>
      <c r="BL1513" s="26"/>
      <c r="BM1513" s="26"/>
      <c r="BN1513" s="26"/>
      <c r="BO1513" s="26"/>
      <c r="BP1513" s="16" t="n">
        <v>45684</v>
      </c>
      <c r="BQ1513" s="28" t="str">
        <f>HYPERLINK("https://organic.ams.usda.gov/Integrity/Certificate.aspx?cid=68&amp;nopid=8210006489")</f>
        <v>https://organic.ams.usda.gov/Integrity/Certificate.aspx?cid=68&amp;nopid=8210006489</v>
      </c>
    </row>
    <row r="1514">
      <c r="A1514" t="s">
        <v>3</v>
      </c>
      <c r="B1514" s="6" t="s">
        <v>29</v>
      </c>
      <c r="C1514" s="6" t="s">
        <v>76</v>
      </c>
      <c r="D1514" s="6" t="s">
        <v>122</v>
      </c>
      <c r="E1514" s="10" t="s">
        <v>1655</v>
      </c>
      <c r="F1514" s="6" t="s">
        <v>4379</v>
      </c>
      <c r="G1514" s="6" t="s">
        <v>81</v>
      </c>
      <c r="H1514" s="6" t="s">
        <v>7281</v>
      </c>
      <c r="I1514" s="6" t="s">
        <v>9170</v>
      </c>
      <c r="J1514" s="6" t="s">
        <v>9816</v>
      </c>
      <c r="K1514" s="6" t="s">
        <v>10886</v>
      </c>
      <c r="L1514" s="16" t="n">
        <v>38921</v>
      </c>
      <c r="M1514" s="16" t="n">
        <v>45870</v>
      </c>
      <c r="N1514" s="6" t="s">
        <v>10886</v>
      </c>
      <c r="O1514" s="16" t="n">
        <v>38921</v>
      </c>
      <c r="P1514" s="6" t="s">
        <v>11797</v>
      </c>
      <c r="Q1514" s="6" t="s">
        <v>81</v>
      </c>
      <c r="R1514" s="6" t="s">
        <v>12838</v>
      </c>
      <c r="S1514" s="6" t="s">
        <v>10886</v>
      </c>
      <c r="T1514" s="16" t="n">
        <v>38921</v>
      </c>
      <c r="U1514" s="6" t="s">
        <v>13222</v>
      </c>
      <c r="V1514" s="6" t="s">
        <v>81</v>
      </c>
      <c r="W1514" s="6" t="s">
        <v>12838</v>
      </c>
      <c r="X1514" s="6" t="s">
        <v>81</v>
      </c>
      <c r="Y1514" s="21" t="s">
        <v>81</v>
      </c>
      <c r="Z1514" s="6" t="s">
        <v>81</v>
      </c>
      <c r="AA1514" s="6" t="s">
        <v>81</v>
      </c>
      <c r="AB1514" s="6" t="s">
        <v>81</v>
      </c>
      <c r="AC1514" s="6" t="s">
        <v>10886</v>
      </c>
      <c r="AD1514" s="16" t="n">
        <v>41485</v>
      </c>
      <c r="AE1514" s="6" t="s">
        <v>14278</v>
      </c>
      <c r="AF1514" s="6" t="s">
        <v>81</v>
      </c>
      <c r="AG1514" s="6" t="s">
        <v>14567</v>
      </c>
      <c r="AH1514" s="6" t="s">
        <v>16082</v>
      </c>
      <c r="AI1514" s="6" t="s">
        <v>81</v>
      </c>
      <c r="AJ1514" s="6" t="s">
        <v>17746</v>
      </c>
      <c r="AK1514" s="6" t="s">
        <v>17712</v>
      </c>
      <c r="AL1514" s="6" t="s">
        <v>18444</v>
      </c>
      <c r="AM1514" s="6" t="s">
        <v>18914</v>
      </c>
      <c r="AN1514" s="6" t="s">
        <v>19634</v>
      </c>
      <c r="AO1514" s="6" t="s">
        <v>19719</v>
      </c>
      <c r="AP1514" s="6" t="s">
        <v>81</v>
      </c>
      <c r="AQ1514" s="6" t="s">
        <v>81</v>
      </c>
      <c r="AR1514" s="6" t="s">
        <v>81</v>
      </c>
      <c r="AS1514" s="6" t="s">
        <v>81</v>
      </c>
      <c r="AT1514" s="6" t="s">
        <v>81</v>
      </c>
      <c r="AU1514" s="6" t="s">
        <v>81</v>
      </c>
      <c r="AV1514" s="6" t="s">
        <v>81</v>
      </c>
      <c r="AW1514" s="6" t="s">
        <v>81</v>
      </c>
      <c r="AX1514" s="6" t="s">
        <v>21702</v>
      </c>
      <c r="AY1514" s="6" t="s">
        <v>81</v>
      </c>
      <c r="AZ1514" s="6" t="s">
        <v>81</v>
      </c>
      <c r="BA1514" s="6" t="s">
        <v>81</v>
      </c>
      <c r="BB1514" s="24" t="n">
        <v>92</v>
      </c>
      <c r="BC1514" s="26"/>
      <c r="BD1514" s="26"/>
      <c r="BE1514" s="26"/>
      <c r="BF1514" s="26" t="s">
        <v>23900</v>
      </c>
      <c r="BG1514" s="26"/>
      <c r="BH1514" s="26"/>
      <c r="BI1514" s="26"/>
      <c r="BJ1514" s="26"/>
      <c r="BK1514" s="26"/>
      <c r="BL1514" s="26"/>
      <c r="BM1514" s="26"/>
      <c r="BN1514" s="26"/>
      <c r="BO1514" s="26"/>
      <c r="BP1514" s="16" t="n">
        <v>45737</v>
      </c>
      <c r="BQ1514" s="28" t="str">
        <f>HYPERLINK("https://organic.ams.usda.gov/Integrity/Certificate.aspx?cid=31&amp;nopid=3920897571")</f>
        <v>https://organic.ams.usda.gov/Integrity/Certificate.aspx?cid=31&amp;nopid=3920897571</v>
      </c>
    </row>
    <row r="1515">
      <c r="A1515" t="s">
        <v>3</v>
      </c>
      <c r="B1515" s="6" t="s">
        <v>10</v>
      </c>
      <c r="C1515" s="6" t="s">
        <v>57</v>
      </c>
      <c r="D1515" s="6" t="s">
        <v>103</v>
      </c>
      <c r="E1515" s="10" t="s">
        <v>1656</v>
      </c>
      <c r="F1515" s="6" t="s">
        <v>4380</v>
      </c>
      <c r="G1515" s="6" t="s">
        <v>81</v>
      </c>
      <c r="H1515" s="6" t="s">
        <v>7282</v>
      </c>
      <c r="I1515" s="6" t="s">
        <v>8992</v>
      </c>
      <c r="J1515" s="6" t="s">
        <v>9936</v>
      </c>
      <c r="K1515" s="6" t="s">
        <v>10886</v>
      </c>
      <c r="L1515" s="16" t="n">
        <v>42466</v>
      </c>
      <c r="M1515" s="16" t="n">
        <v>45748</v>
      </c>
      <c r="N1515" s="6" t="s">
        <v>10886</v>
      </c>
      <c r="O1515" s="16" t="n">
        <v>42466</v>
      </c>
      <c r="P1515" s="6" t="s">
        <v>10910</v>
      </c>
      <c r="Q1515" s="6" t="s">
        <v>81</v>
      </c>
      <c r="R1515" s="6" t="s">
        <v>12839</v>
      </c>
      <c r="S1515" s="6" t="s">
        <v>10886</v>
      </c>
      <c r="T1515" s="16" t="n">
        <v>42466</v>
      </c>
      <c r="U1515" s="6" t="s">
        <v>13163</v>
      </c>
      <c r="V1515" s="6" t="s">
        <v>81</v>
      </c>
      <c r="W1515" s="6" t="s">
        <v>81</v>
      </c>
      <c r="X1515" s="6" t="s">
        <v>81</v>
      </c>
      <c r="Y1515" s="21" t="s">
        <v>81</v>
      </c>
      <c r="Z1515" s="6" t="s">
        <v>81</v>
      </c>
      <c r="AA1515" s="6" t="s">
        <v>81</v>
      </c>
      <c r="AB1515" s="6" t="s">
        <v>81</v>
      </c>
      <c r="AC1515" s="6" t="s">
        <v>81</v>
      </c>
      <c r="AD1515" s="21" t="s">
        <v>81</v>
      </c>
      <c r="AE1515" s="6" t="s">
        <v>81</v>
      </c>
      <c r="AF1515" s="6" t="s">
        <v>81</v>
      </c>
      <c r="AG1515" s="6" t="s">
        <v>81</v>
      </c>
      <c r="AH1515" s="6" t="s">
        <v>16083</v>
      </c>
      <c r="AI1515" s="6" t="s">
        <v>81</v>
      </c>
      <c r="AJ1515" s="6" t="s">
        <v>17335</v>
      </c>
      <c r="AK1515" s="6" t="s">
        <v>18378</v>
      </c>
      <c r="AL1515" s="6" t="s">
        <v>18444</v>
      </c>
      <c r="AM1515" s="6" t="s">
        <v>18489</v>
      </c>
      <c r="AN1515" s="6" t="s">
        <v>81</v>
      </c>
      <c r="AO1515" s="6" t="s">
        <v>81</v>
      </c>
      <c r="AP1515" s="6" t="s">
        <v>16083</v>
      </c>
      <c r="AQ1515" s="6" t="s">
        <v>81</v>
      </c>
      <c r="AR1515" s="6" t="s">
        <v>17335</v>
      </c>
      <c r="AS1515" s="6" t="s">
        <v>18378</v>
      </c>
      <c r="AT1515" s="6" t="s">
        <v>18444</v>
      </c>
      <c r="AU1515" s="6" t="s">
        <v>18489</v>
      </c>
      <c r="AV1515" s="6" t="s">
        <v>81</v>
      </c>
      <c r="AW1515" s="6" t="s">
        <v>81</v>
      </c>
      <c r="AX1515" s="6" t="s">
        <v>21703</v>
      </c>
      <c r="AY1515" s="6" t="s">
        <v>81</v>
      </c>
      <c r="AZ1515" s="6" t="s">
        <v>81</v>
      </c>
      <c r="BA1515" s="6" t="s">
        <v>81</v>
      </c>
      <c r="BB1515" s="24" t="n">
        <v>137</v>
      </c>
      <c r="BC1515" s="26"/>
      <c r="BD1515" s="26"/>
      <c r="BE1515" s="26"/>
      <c r="BF1515" s="26"/>
      <c r="BG1515" s="26"/>
      <c r="BH1515" s="26"/>
      <c r="BI1515" s="26"/>
      <c r="BJ1515" s="26"/>
      <c r="BK1515" s="26"/>
      <c r="BL1515" s="26"/>
      <c r="BM1515" s="26"/>
      <c r="BN1515" s="26"/>
      <c r="BO1515" s="26"/>
      <c r="BP1515" s="16" t="n">
        <v>45730</v>
      </c>
      <c r="BQ1515" s="28" t="str">
        <f>HYPERLINK("https://organic.ams.usda.gov/Integrity/Certificate.aspx?cid=90&amp;nopid=7170240744")</f>
        <v>https://organic.ams.usda.gov/Integrity/Certificate.aspx?cid=90&amp;nopid=7170240744</v>
      </c>
    </row>
    <row r="1516">
      <c r="A1516" t="s">
        <v>3</v>
      </c>
      <c r="B1516" s="6" t="s">
        <v>9</v>
      </c>
      <c r="C1516" s="6" t="s">
        <v>56</v>
      </c>
      <c r="D1516" s="6" t="s">
        <v>102</v>
      </c>
      <c r="E1516" s="10" t="s">
        <v>1657</v>
      </c>
      <c r="F1516" s="6" t="s">
        <v>4381</v>
      </c>
      <c r="G1516" s="6" t="s">
        <v>81</v>
      </c>
      <c r="H1516" s="6" t="s">
        <v>7283</v>
      </c>
      <c r="I1516" s="6" t="s">
        <v>8992</v>
      </c>
      <c r="J1516" s="6" t="s">
        <v>9666</v>
      </c>
      <c r="K1516" s="6" t="s">
        <v>10886</v>
      </c>
      <c r="L1516" s="16" t="n">
        <v>42983</v>
      </c>
      <c r="M1516" s="16" t="n">
        <v>46113</v>
      </c>
      <c r="N1516" s="6" t="s">
        <v>10886</v>
      </c>
      <c r="O1516" s="16" t="n">
        <v>42983</v>
      </c>
      <c r="P1516" s="6" t="s">
        <v>11798</v>
      </c>
      <c r="Q1516" s="6" t="s">
        <v>81</v>
      </c>
      <c r="R1516" s="6" t="s">
        <v>12840</v>
      </c>
      <c r="S1516" s="6" t="s">
        <v>10886</v>
      </c>
      <c r="T1516" s="16" t="n">
        <v>42983</v>
      </c>
      <c r="U1516" s="6" t="s">
        <v>13642</v>
      </c>
      <c r="V1516" s="6" t="s">
        <v>81</v>
      </c>
      <c r="W1516" s="6" t="s">
        <v>12840</v>
      </c>
      <c r="X1516" s="6" t="s">
        <v>81</v>
      </c>
      <c r="Y1516" s="21" t="s">
        <v>81</v>
      </c>
      <c r="Z1516" s="6" t="s">
        <v>81</v>
      </c>
      <c r="AA1516" s="6" t="s">
        <v>81</v>
      </c>
      <c r="AB1516" s="6" t="s">
        <v>81</v>
      </c>
      <c r="AC1516" s="6" t="s">
        <v>81</v>
      </c>
      <c r="AD1516" s="21" t="s">
        <v>81</v>
      </c>
      <c r="AE1516" s="6" t="s">
        <v>81</v>
      </c>
      <c r="AF1516" s="6" t="s">
        <v>81</v>
      </c>
      <c r="AG1516" s="6" t="s">
        <v>81</v>
      </c>
      <c r="AH1516" s="6" t="s">
        <v>16084</v>
      </c>
      <c r="AI1516" s="6" t="s">
        <v>81</v>
      </c>
      <c r="AJ1516" s="6" t="s">
        <v>17347</v>
      </c>
      <c r="AK1516" s="6" t="s">
        <v>18378</v>
      </c>
      <c r="AL1516" s="6" t="s">
        <v>18444</v>
      </c>
      <c r="AM1516" s="6" t="s">
        <v>18501</v>
      </c>
      <c r="AN1516" s="6" t="s">
        <v>19640</v>
      </c>
      <c r="AO1516" s="6" t="s">
        <v>19726</v>
      </c>
      <c r="AP1516" s="6" t="s">
        <v>81</v>
      </c>
      <c r="AQ1516" s="6" t="s">
        <v>81</v>
      </c>
      <c r="AR1516" s="6" t="s">
        <v>81</v>
      </c>
      <c r="AS1516" s="6" t="s">
        <v>81</v>
      </c>
      <c r="AT1516" s="6" t="s">
        <v>81</v>
      </c>
      <c r="AU1516" s="6" t="s">
        <v>81</v>
      </c>
      <c r="AV1516" s="6" t="s">
        <v>81</v>
      </c>
      <c r="AW1516" s="6" t="s">
        <v>81</v>
      </c>
      <c r="AX1516" s="6" t="s">
        <v>21704</v>
      </c>
      <c r="AY1516" s="6" t="s">
        <v>81</v>
      </c>
      <c r="AZ1516" s="6" t="s">
        <v>81</v>
      </c>
      <c r="BA1516" s="6" t="s">
        <v>81</v>
      </c>
      <c r="BB1516" s="24" t="n">
        <v>163</v>
      </c>
      <c r="BC1516" s="26"/>
      <c r="BD1516" s="26"/>
      <c r="BE1516" s="26"/>
      <c r="BF1516" s="26"/>
      <c r="BG1516" s="26"/>
      <c r="BH1516" s="26"/>
      <c r="BI1516" s="26"/>
      <c r="BJ1516" s="26"/>
      <c r="BK1516" s="26"/>
      <c r="BL1516" s="26"/>
      <c r="BM1516" s="26"/>
      <c r="BN1516" s="26"/>
      <c r="BO1516" s="26"/>
      <c r="BP1516" s="16" t="n">
        <v>45738</v>
      </c>
      <c r="BQ1516" s="28" t="str">
        <f>HYPERLINK("https://organic.ams.usda.gov/Integrity/Certificate.aspx?cid=52&amp;nopid=8431701286")</f>
        <v>https://organic.ams.usda.gov/Integrity/Certificate.aspx?cid=52&amp;nopid=8431701286</v>
      </c>
    </row>
    <row r="1517">
      <c r="A1517" t="s">
        <v>3</v>
      </c>
      <c r="B1517" s="6" t="s">
        <v>12</v>
      </c>
      <c r="C1517" s="6" t="s">
        <v>59</v>
      </c>
      <c r="D1517" s="6" t="s">
        <v>105</v>
      </c>
      <c r="E1517" s="10" t="s">
        <v>1658</v>
      </c>
      <c r="F1517" s="6" t="s">
        <v>4382</v>
      </c>
      <c r="G1517" s="6" t="s">
        <v>81</v>
      </c>
      <c r="H1517" s="6" t="s">
        <v>7284</v>
      </c>
      <c r="I1517" s="6" t="s">
        <v>9171</v>
      </c>
      <c r="J1517" s="6" t="s">
        <v>9233</v>
      </c>
      <c r="K1517" s="6" t="s">
        <v>10886</v>
      </c>
      <c r="L1517" s="16" t="n">
        <v>42993</v>
      </c>
      <c r="M1517" s="16" t="n">
        <v>45717</v>
      </c>
      <c r="N1517" s="6" t="s">
        <v>10886</v>
      </c>
      <c r="O1517" s="16" t="n">
        <v>42993</v>
      </c>
      <c r="P1517" s="6" t="s">
        <v>11066</v>
      </c>
      <c r="Q1517" s="6" t="s">
        <v>81</v>
      </c>
      <c r="R1517" s="6" t="s">
        <v>81</v>
      </c>
      <c r="S1517" s="6" t="s">
        <v>10886</v>
      </c>
      <c r="T1517" s="16" t="n">
        <v>42993</v>
      </c>
      <c r="U1517" s="6" t="s">
        <v>13643</v>
      </c>
      <c r="V1517" s="6" t="s">
        <v>81</v>
      </c>
      <c r="W1517" s="6" t="s">
        <v>81</v>
      </c>
      <c r="X1517" s="6" t="s">
        <v>81</v>
      </c>
      <c r="Y1517" s="21" t="s">
        <v>81</v>
      </c>
      <c r="Z1517" s="6" t="s">
        <v>81</v>
      </c>
      <c r="AA1517" s="6" t="s">
        <v>81</v>
      </c>
      <c r="AB1517" s="6" t="s">
        <v>81</v>
      </c>
      <c r="AC1517" s="6" t="s">
        <v>10886</v>
      </c>
      <c r="AD1517" s="16" t="n">
        <v>45341</v>
      </c>
      <c r="AE1517" s="6" t="s">
        <v>14279</v>
      </c>
      <c r="AF1517" s="6" t="s">
        <v>81</v>
      </c>
      <c r="AG1517" s="6" t="s">
        <v>81</v>
      </c>
      <c r="AH1517" s="6" t="s">
        <v>16085</v>
      </c>
      <c r="AI1517" s="6" t="s">
        <v>81</v>
      </c>
      <c r="AJ1517" s="6" t="s">
        <v>17838</v>
      </c>
      <c r="AK1517" s="6" t="s">
        <v>18380</v>
      </c>
      <c r="AL1517" s="6" t="s">
        <v>18444</v>
      </c>
      <c r="AM1517" s="6" t="s">
        <v>19215</v>
      </c>
      <c r="AN1517" s="6" t="s">
        <v>19683</v>
      </c>
      <c r="AO1517" s="6" t="s">
        <v>19867</v>
      </c>
      <c r="AP1517" s="6" t="s">
        <v>16085</v>
      </c>
      <c r="AQ1517" s="6" t="s">
        <v>81</v>
      </c>
      <c r="AR1517" s="6" t="s">
        <v>17838</v>
      </c>
      <c r="AS1517" s="6" t="s">
        <v>18380</v>
      </c>
      <c r="AT1517" s="6" t="s">
        <v>18444</v>
      </c>
      <c r="AU1517" s="6" t="s">
        <v>19215</v>
      </c>
      <c r="AV1517" s="6" t="s">
        <v>81</v>
      </c>
      <c r="AW1517" s="6" t="s">
        <v>81</v>
      </c>
      <c r="AX1517" s="6" t="s">
        <v>21705</v>
      </c>
      <c r="AY1517" s="6" t="s">
        <v>81</v>
      </c>
      <c r="AZ1517" s="6" t="s">
        <v>81</v>
      </c>
      <c r="BA1517" s="6" t="s">
        <v>81</v>
      </c>
      <c r="BB1517" s="24" t="n">
        <v>100</v>
      </c>
      <c r="BC1517" s="26"/>
      <c r="BD1517" s="26"/>
      <c r="BE1517" s="26"/>
      <c r="BF1517" s="26"/>
      <c r="BG1517" s="26"/>
      <c r="BH1517" s="26"/>
      <c r="BI1517" s="26"/>
      <c r="BJ1517" s="26"/>
      <c r="BK1517" s="26"/>
      <c r="BL1517" s="26"/>
      <c r="BM1517" s="26"/>
      <c r="BN1517" s="26"/>
      <c r="BO1517" s="26"/>
      <c r="BP1517" s="16" t="n">
        <v>45727</v>
      </c>
      <c r="BQ1517" s="28" t="str">
        <f>HYPERLINK("https://organic.ams.usda.gov/Integrity/Certificate.aspx?cid=68&amp;nopid=8210003016")</f>
        <v>https://organic.ams.usda.gov/Integrity/Certificate.aspx?cid=68&amp;nopid=8210003016</v>
      </c>
    </row>
    <row r="1518">
      <c r="A1518" t="s">
        <v>3</v>
      </c>
      <c r="B1518" s="6" t="s">
        <v>25</v>
      </c>
      <c r="C1518" s="6" t="s">
        <v>72</v>
      </c>
      <c r="D1518" s="6" t="s">
        <v>118</v>
      </c>
      <c r="E1518" s="10" t="s">
        <v>1659</v>
      </c>
      <c r="F1518" s="6" t="s">
        <v>4383</v>
      </c>
      <c r="G1518" s="6" t="s">
        <v>81</v>
      </c>
      <c r="H1518" s="6" t="s">
        <v>7285</v>
      </c>
      <c r="I1518" s="6" t="s">
        <v>8772</v>
      </c>
      <c r="J1518" s="6" t="s">
        <v>10370</v>
      </c>
      <c r="K1518" s="6" t="s">
        <v>10886</v>
      </c>
      <c r="L1518" s="16" t="n">
        <v>38887</v>
      </c>
      <c r="M1518" s="16" t="n">
        <v>46023</v>
      </c>
      <c r="N1518" s="6" t="s">
        <v>10886</v>
      </c>
      <c r="O1518" s="16" t="n">
        <v>38887</v>
      </c>
      <c r="P1518" s="6" t="s">
        <v>11693</v>
      </c>
      <c r="Q1518" s="6" t="s">
        <v>81</v>
      </c>
      <c r="R1518" s="6" t="s">
        <v>81</v>
      </c>
      <c r="S1518" s="6" t="s">
        <v>10886</v>
      </c>
      <c r="T1518" s="16" t="n">
        <v>38887</v>
      </c>
      <c r="U1518" s="6" t="s">
        <v>13644</v>
      </c>
      <c r="V1518" s="6" t="s">
        <v>81</v>
      </c>
      <c r="W1518" s="6" t="s">
        <v>81</v>
      </c>
      <c r="X1518" s="6" t="s">
        <v>81</v>
      </c>
      <c r="Y1518" s="21" t="s">
        <v>81</v>
      </c>
      <c r="Z1518" s="6" t="s">
        <v>81</v>
      </c>
      <c r="AA1518" s="6" t="s">
        <v>81</v>
      </c>
      <c r="AB1518" s="6" t="s">
        <v>81</v>
      </c>
      <c r="AC1518" s="6" t="s">
        <v>10886</v>
      </c>
      <c r="AD1518" s="16" t="n">
        <v>44733</v>
      </c>
      <c r="AE1518" s="6" t="s">
        <v>14081</v>
      </c>
      <c r="AF1518" s="6" t="s">
        <v>81</v>
      </c>
      <c r="AG1518" s="6" t="s">
        <v>81</v>
      </c>
      <c r="AH1518" s="6" t="s">
        <v>16086</v>
      </c>
      <c r="AI1518" s="6" t="s">
        <v>81</v>
      </c>
      <c r="AJ1518" s="6" t="s">
        <v>17506</v>
      </c>
      <c r="AK1518" s="6" t="s">
        <v>18386</v>
      </c>
      <c r="AL1518" s="6" t="s">
        <v>18444</v>
      </c>
      <c r="AM1518" s="6" t="s">
        <v>18667</v>
      </c>
      <c r="AN1518" s="6" t="s">
        <v>19651</v>
      </c>
      <c r="AO1518" s="6" t="s">
        <v>19864</v>
      </c>
      <c r="AP1518" s="6" t="s">
        <v>16086</v>
      </c>
      <c r="AQ1518" s="6" t="s">
        <v>81</v>
      </c>
      <c r="AR1518" s="6" t="s">
        <v>17506</v>
      </c>
      <c r="AS1518" s="6" t="s">
        <v>18386</v>
      </c>
      <c r="AT1518" s="6" t="s">
        <v>18444</v>
      </c>
      <c r="AU1518" s="6" t="s">
        <v>18667</v>
      </c>
      <c r="AV1518" s="6" t="s">
        <v>81</v>
      </c>
      <c r="AW1518" s="6" t="s">
        <v>81</v>
      </c>
      <c r="AX1518" s="6" t="s">
        <v>21706</v>
      </c>
      <c r="AY1518" s="6" t="s">
        <v>23101</v>
      </c>
      <c r="AZ1518" s="6" t="s">
        <v>81</v>
      </c>
      <c r="BA1518" s="6" t="s">
        <v>81</v>
      </c>
      <c r="BB1518" s="24" t="n">
        <v>291</v>
      </c>
      <c r="BC1518" s="26"/>
      <c r="BD1518" s="26"/>
      <c r="BE1518" s="26"/>
      <c r="BF1518" s="26"/>
      <c r="BG1518" s="26"/>
      <c r="BH1518" s="26"/>
      <c r="BI1518" s="26"/>
      <c r="BJ1518" s="26"/>
      <c r="BK1518" s="26"/>
      <c r="BL1518" s="26"/>
      <c r="BM1518" s="26"/>
      <c r="BN1518" s="26"/>
      <c r="BO1518" s="26"/>
      <c r="BP1518" s="16" t="n">
        <v>45667</v>
      </c>
      <c r="BQ1518" s="28" t="str">
        <f>HYPERLINK("https://organic.ams.usda.gov/Integrity/Certificate.aspx?cid=15&amp;nopid=5561000991")</f>
        <v>https://organic.ams.usda.gov/Integrity/Certificate.aspx?cid=15&amp;nopid=5561000991</v>
      </c>
    </row>
    <row r="1519">
      <c r="A1519" t="s">
        <v>3</v>
      </c>
      <c r="B1519" s="6" t="s">
        <v>22</v>
      </c>
      <c r="C1519" s="6" t="s">
        <v>69</v>
      </c>
      <c r="D1519" s="6" t="s">
        <v>115</v>
      </c>
      <c r="E1519" s="10" t="s">
        <v>1660</v>
      </c>
      <c r="F1519" s="6" t="s">
        <v>4384</v>
      </c>
      <c r="G1519" s="6" t="s">
        <v>5732</v>
      </c>
      <c r="H1519" s="6" t="s">
        <v>5732</v>
      </c>
      <c r="I1519" s="6" t="s">
        <v>9172</v>
      </c>
      <c r="J1519" s="6" t="s">
        <v>10371</v>
      </c>
      <c r="K1519" s="6" t="s">
        <v>10886</v>
      </c>
      <c r="L1519" s="16" t="n">
        <v>43908</v>
      </c>
      <c r="M1519" s="16" t="n">
        <v>45881</v>
      </c>
      <c r="N1519" s="6" t="s">
        <v>10886</v>
      </c>
      <c r="O1519" s="16" t="n">
        <v>43908</v>
      </c>
      <c r="P1519" s="6" t="s">
        <v>11799</v>
      </c>
      <c r="Q1519" s="6" t="s">
        <v>81</v>
      </c>
      <c r="R1519" s="6" t="s">
        <v>5732</v>
      </c>
      <c r="S1519" s="6" t="s">
        <v>81</v>
      </c>
      <c r="T1519" s="21" t="s">
        <v>81</v>
      </c>
      <c r="U1519" s="6" t="s">
        <v>81</v>
      </c>
      <c r="V1519" s="6" t="s">
        <v>81</v>
      </c>
      <c r="W1519" s="6" t="s">
        <v>81</v>
      </c>
      <c r="X1519" s="6" t="s">
        <v>81</v>
      </c>
      <c r="Y1519" s="21" t="s">
        <v>81</v>
      </c>
      <c r="Z1519" s="6" t="s">
        <v>81</v>
      </c>
      <c r="AA1519" s="6" t="s">
        <v>81</v>
      </c>
      <c r="AB1519" s="6" t="s">
        <v>81</v>
      </c>
      <c r="AC1519" s="6" t="s">
        <v>10886</v>
      </c>
      <c r="AD1519" s="16" t="n">
        <v>43908</v>
      </c>
      <c r="AE1519" s="6" t="s">
        <v>14280</v>
      </c>
      <c r="AF1519" s="6" t="s">
        <v>81</v>
      </c>
      <c r="AG1519" s="6" t="s">
        <v>5732</v>
      </c>
      <c r="AH1519" s="6" t="s">
        <v>16087</v>
      </c>
      <c r="AI1519" s="6" t="s">
        <v>81</v>
      </c>
      <c r="AJ1519" s="6" t="s">
        <v>18025</v>
      </c>
      <c r="AK1519" s="6" t="s">
        <v>81</v>
      </c>
      <c r="AL1519" s="6" t="s">
        <v>18445</v>
      </c>
      <c r="AM1519" s="6" t="s">
        <v>81</v>
      </c>
      <c r="AN1519" s="6" t="s">
        <v>81</v>
      </c>
      <c r="AO1519" s="6" t="s">
        <v>81</v>
      </c>
      <c r="AP1519" s="6" t="s">
        <v>16087</v>
      </c>
      <c r="AQ1519" s="6" t="s">
        <v>81</v>
      </c>
      <c r="AR1519" s="6" t="s">
        <v>18025</v>
      </c>
      <c r="AS1519" s="6" t="s">
        <v>81</v>
      </c>
      <c r="AT1519" s="6" t="s">
        <v>18445</v>
      </c>
      <c r="AU1519" s="6" t="s">
        <v>81</v>
      </c>
      <c r="AV1519" s="6" t="s">
        <v>81</v>
      </c>
      <c r="AW1519" s="6" t="s">
        <v>81</v>
      </c>
      <c r="AX1519" s="6" t="s">
        <v>21707</v>
      </c>
      <c r="AY1519" s="6" t="s">
        <v>23102</v>
      </c>
      <c r="AZ1519" s="6" t="s">
        <v>81</v>
      </c>
      <c r="BA1519" s="6" t="s">
        <v>81</v>
      </c>
      <c r="BB1519" s="24" t="n">
        <v>104</v>
      </c>
      <c r="BC1519" s="26"/>
      <c r="BD1519" s="26"/>
      <c r="BE1519" s="26"/>
      <c r="BF1519" s="26"/>
      <c r="BG1519" s="26"/>
      <c r="BH1519" s="26"/>
      <c r="BI1519" s="26"/>
      <c r="BJ1519" s="26"/>
      <c r="BK1519" s="26"/>
      <c r="BL1519" s="26"/>
      <c r="BM1519" s="26"/>
      <c r="BN1519" s="26"/>
      <c r="BO1519" s="26"/>
      <c r="BP1519" s="16" t="n">
        <v>45621</v>
      </c>
      <c r="BQ1519" s="28" t="str">
        <f>HYPERLINK("https://organic.ams.usda.gov/Integrity/Certificate.aspx?cid=21&amp;nopid=1780867067")</f>
        <v>https://organic.ams.usda.gov/Integrity/Certificate.aspx?cid=21&amp;nopid=1780867067</v>
      </c>
    </row>
    <row r="1520">
      <c r="A1520" t="s">
        <v>3</v>
      </c>
      <c r="B1520" s="6" t="s">
        <v>7</v>
      </c>
      <c r="C1520" s="6" t="s">
        <v>54</v>
      </c>
      <c r="D1520" s="6" t="s">
        <v>100</v>
      </c>
      <c r="E1520" s="10" t="s">
        <v>1661</v>
      </c>
      <c r="F1520" s="6" t="s">
        <v>4385</v>
      </c>
      <c r="G1520" s="6" t="s">
        <v>81</v>
      </c>
      <c r="H1520" s="6" t="s">
        <v>7286</v>
      </c>
      <c r="I1520" s="6" t="s">
        <v>8493</v>
      </c>
      <c r="J1520" s="6" t="s">
        <v>9759</v>
      </c>
      <c r="K1520" s="6" t="s">
        <v>10886</v>
      </c>
      <c r="L1520" s="16" t="n">
        <v>43761</v>
      </c>
      <c r="M1520" s="16" t="n">
        <v>45716</v>
      </c>
      <c r="N1520" s="6" t="s">
        <v>10886</v>
      </c>
      <c r="O1520" s="16" t="n">
        <v>43761</v>
      </c>
      <c r="P1520" s="6" t="s">
        <v>11800</v>
      </c>
      <c r="Q1520" s="6" t="s">
        <v>81</v>
      </c>
      <c r="R1520" s="6" t="s">
        <v>81</v>
      </c>
      <c r="S1520" s="6" t="s">
        <v>10886</v>
      </c>
      <c r="T1520" s="16" t="n">
        <v>44044</v>
      </c>
      <c r="U1520" s="6" t="s">
        <v>13169</v>
      </c>
      <c r="V1520" s="6" t="s">
        <v>81</v>
      </c>
      <c r="W1520" s="6" t="s">
        <v>81</v>
      </c>
      <c r="X1520" s="6" t="s">
        <v>81</v>
      </c>
      <c r="Y1520" s="21" t="s">
        <v>81</v>
      </c>
      <c r="Z1520" s="6" t="s">
        <v>81</v>
      </c>
      <c r="AA1520" s="6" t="s">
        <v>81</v>
      </c>
      <c r="AB1520" s="6" t="s">
        <v>81</v>
      </c>
      <c r="AC1520" s="6" t="s">
        <v>81</v>
      </c>
      <c r="AD1520" s="21" t="s">
        <v>81</v>
      </c>
      <c r="AE1520" s="6" t="s">
        <v>81</v>
      </c>
      <c r="AF1520" s="6" t="s">
        <v>81</v>
      </c>
      <c r="AG1520" s="6" t="s">
        <v>81</v>
      </c>
      <c r="AH1520" s="6" t="s">
        <v>16088</v>
      </c>
      <c r="AI1520" s="6" t="s">
        <v>81</v>
      </c>
      <c r="AJ1520" s="6" t="s">
        <v>17424</v>
      </c>
      <c r="AK1520" s="6" t="s">
        <v>17712</v>
      </c>
      <c r="AL1520" s="6" t="s">
        <v>18444</v>
      </c>
      <c r="AM1520" s="6" t="s">
        <v>18581</v>
      </c>
      <c r="AN1520" s="6" t="s">
        <v>19634</v>
      </c>
      <c r="AO1520" s="6" t="s">
        <v>19719</v>
      </c>
      <c r="AP1520" s="6" t="s">
        <v>16088</v>
      </c>
      <c r="AQ1520" s="6" t="s">
        <v>81</v>
      </c>
      <c r="AR1520" s="6" t="s">
        <v>17424</v>
      </c>
      <c r="AS1520" s="6" t="s">
        <v>17712</v>
      </c>
      <c r="AT1520" s="6" t="s">
        <v>18444</v>
      </c>
      <c r="AU1520" s="6" t="s">
        <v>18581</v>
      </c>
      <c r="AV1520" s="6" t="s">
        <v>81</v>
      </c>
      <c r="AW1520" s="6" t="s">
        <v>81</v>
      </c>
      <c r="AX1520" s="6" t="s">
        <v>21708</v>
      </c>
      <c r="AY1520" s="6" t="s">
        <v>81</v>
      </c>
      <c r="AZ1520" s="6" t="s">
        <v>81</v>
      </c>
      <c r="BA1520" s="6" t="s">
        <v>81</v>
      </c>
      <c r="BB1520" s="24" t="n">
        <v>292</v>
      </c>
      <c r="BC1520" s="26"/>
      <c r="BD1520" s="26"/>
      <c r="BE1520" s="26"/>
      <c r="BF1520" s="26" t="s">
        <v>23900</v>
      </c>
      <c r="BG1520" s="26"/>
      <c r="BH1520" s="26"/>
      <c r="BI1520" s="26"/>
      <c r="BJ1520" s="26"/>
      <c r="BK1520" s="26"/>
      <c r="BL1520" s="26"/>
      <c r="BM1520" s="26"/>
      <c r="BN1520" s="26"/>
      <c r="BO1520" s="26"/>
      <c r="BP1520" s="16" t="n">
        <v>45667</v>
      </c>
      <c r="BQ1520" s="28" t="str">
        <f>HYPERLINK("https://organic.ams.usda.gov/Integrity/Certificate.aspx?cid=57&amp;nopid=3252019091")</f>
        <v>https://organic.ams.usda.gov/Integrity/Certificate.aspx?cid=57&amp;nopid=3252019091</v>
      </c>
    </row>
    <row r="1521">
      <c r="A1521" t="s">
        <v>3</v>
      </c>
      <c r="B1521" s="6" t="s">
        <v>12</v>
      </c>
      <c r="C1521" s="6" t="s">
        <v>59</v>
      </c>
      <c r="D1521" s="6" t="s">
        <v>105</v>
      </c>
      <c r="E1521" s="10" t="s">
        <v>1662</v>
      </c>
      <c r="F1521" s="6" t="s">
        <v>4386</v>
      </c>
      <c r="G1521" s="6" t="s">
        <v>81</v>
      </c>
      <c r="H1521" s="6" t="s">
        <v>7287</v>
      </c>
      <c r="I1521" s="6" t="s">
        <v>9173</v>
      </c>
      <c r="J1521" s="6" t="s">
        <v>9671</v>
      </c>
      <c r="K1521" s="6" t="s">
        <v>10886</v>
      </c>
      <c r="L1521" s="16" t="n">
        <v>44908</v>
      </c>
      <c r="M1521" s="16" t="n">
        <v>45717</v>
      </c>
      <c r="N1521" s="6" t="s">
        <v>10886</v>
      </c>
      <c r="O1521" s="16" t="n">
        <v>44908</v>
      </c>
      <c r="P1521" s="6" t="s">
        <v>10925</v>
      </c>
      <c r="Q1521" s="6" t="s">
        <v>81</v>
      </c>
      <c r="R1521" s="6" t="s">
        <v>81</v>
      </c>
      <c r="S1521" s="6" t="s">
        <v>10886</v>
      </c>
      <c r="T1521" s="16" t="n">
        <v>44908</v>
      </c>
      <c r="U1521" s="6" t="s">
        <v>13209</v>
      </c>
      <c r="V1521" s="6" t="s">
        <v>81</v>
      </c>
      <c r="W1521" s="6" t="s">
        <v>81</v>
      </c>
      <c r="X1521" s="6" t="s">
        <v>81</v>
      </c>
      <c r="Y1521" s="21" t="s">
        <v>81</v>
      </c>
      <c r="Z1521" s="6" t="s">
        <v>81</v>
      </c>
      <c r="AA1521" s="6" t="s">
        <v>81</v>
      </c>
      <c r="AB1521" s="6" t="s">
        <v>81</v>
      </c>
      <c r="AC1521" s="6" t="s">
        <v>81</v>
      </c>
      <c r="AD1521" s="21" t="s">
        <v>81</v>
      </c>
      <c r="AE1521" s="6" t="s">
        <v>81</v>
      </c>
      <c r="AF1521" s="6" t="s">
        <v>81</v>
      </c>
      <c r="AG1521" s="6" t="s">
        <v>81</v>
      </c>
      <c r="AH1521" s="6" t="s">
        <v>16089</v>
      </c>
      <c r="AI1521" s="6" t="s">
        <v>81</v>
      </c>
      <c r="AJ1521" s="6" t="s">
        <v>17668</v>
      </c>
      <c r="AK1521" s="6" t="s">
        <v>18380</v>
      </c>
      <c r="AL1521" s="6" t="s">
        <v>18444</v>
      </c>
      <c r="AM1521" s="6" t="s">
        <v>18835</v>
      </c>
      <c r="AN1521" s="6" t="s">
        <v>19648</v>
      </c>
      <c r="AO1521" s="6" t="s">
        <v>19736</v>
      </c>
      <c r="AP1521" s="6" t="s">
        <v>16089</v>
      </c>
      <c r="AQ1521" s="6" t="s">
        <v>81</v>
      </c>
      <c r="AR1521" s="6" t="s">
        <v>17668</v>
      </c>
      <c r="AS1521" s="6" t="s">
        <v>18380</v>
      </c>
      <c r="AT1521" s="6" t="s">
        <v>18444</v>
      </c>
      <c r="AU1521" s="6" t="s">
        <v>18835</v>
      </c>
      <c r="AV1521" s="6" t="s">
        <v>81</v>
      </c>
      <c r="AW1521" s="6" t="s">
        <v>81</v>
      </c>
      <c r="AX1521" s="6" t="s">
        <v>81</v>
      </c>
      <c r="AY1521" s="6" t="s">
        <v>81</v>
      </c>
      <c r="AZ1521" s="6" t="s">
        <v>81</v>
      </c>
      <c r="BA1521" s="6" t="s">
        <v>81</v>
      </c>
      <c r="BB1521" s="24" t="n">
        <v>110</v>
      </c>
      <c r="BC1521" s="26"/>
      <c r="BD1521" s="26"/>
      <c r="BE1521" s="26"/>
      <c r="BF1521" s="26"/>
      <c r="BG1521" s="26"/>
      <c r="BH1521" s="26"/>
      <c r="BI1521" s="26"/>
      <c r="BJ1521" s="26"/>
      <c r="BK1521" s="26"/>
      <c r="BL1521" s="26"/>
      <c r="BM1521" s="26"/>
      <c r="BN1521" s="26"/>
      <c r="BO1521" s="26"/>
      <c r="BP1521" s="16" t="n">
        <v>45684</v>
      </c>
      <c r="BQ1521" s="28" t="str">
        <f>HYPERLINK("https://organic.ams.usda.gov/Integrity/Certificate.aspx?cid=68&amp;nopid=8210008510")</f>
        <v>https://organic.ams.usda.gov/Integrity/Certificate.aspx?cid=68&amp;nopid=8210008510</v>
      </c>
    </row>
    <row r="1522">
      <c r="A1522" t="s">
        <v>3</v>
      </c>
      <c r="B1522" s="6" t="s">
        <v>30</v>
      </c>
      <c r="C1522" s="6" t="s">
        <v>77</v>
      </c>
      <c r="D1522" s="6" t="s">
        <v>123</v>
      </c>
      <c r="E1522" s="10" t="s">
        <v>1663</v>
      </c>
      <c r="F1522" s="6" t="s">
        <v>4387</v>
      </c>
      <c r="G1522" s="6" t="s">
        <v>81</v>
      </c>
      <c r="H1522" s="6" t="s">
        <v>7288</v>
      </c>
      <c r="I1522" s="6" t="s">
        <v>8493</v>
      </c>
      <c r="J1522" s="6" t="s">
        <v>9679</v>
      </c>
      <c r="K1522" s="6" t="s">
        <v>10886</v>
      </c>
      <c r="L1522" s="16" t="n">
        <v>44070</v>
      </c>
      <c r="M1522" s="16" t="n">
        <v>45747</v>
      </c>
      <c r="N1522" s="6" t="s">
        <v>10886</v>
      </c>
      <c r="O1522" s="16" t="n">
        <v>44070</v>
      </c>
      <c r="P1522" s="6" t="s">
        <v>11798</v>
      </c>
      <c r="Q1522" s="6" t="s">
        <v>81</v>
      </c>
      <c r="R1522" s="6" t="s">
        <v>81</v>
      </c>
      <c r="S1522" s="6" t="s">
        <v>10886</v>
      </c>
      <c r="T1522" s="16" t="n">
        <v>44070</v>
      </c>
      <c r="U1522" s="6" t="s">
        <v>13564</v>
      </c>
      <c r="V1522" s="6" t="s">
        <v>81</v>
      </c>
      <c r="W1522" s="6" t="s">
        <v>81</v>
      </c>
      <c r="X1522" s="6" t="s">
        <v>81</v>
      </c>
      <c r="Y1522" s="21" t="s">
        <v>81</v>
      </c>
      <c r="Z1522" s="6" t="s">
        <v>81</v>
      </c>
      <c r="AA1522" s="6" t="s">
        <v>81</v>
      </c>
      <c r="AB1522" s="6" t="s">
        <v>81</v>
      </c>
      <c r="AC1522" s="6" t="s">
        <v>81</v>
      </c>
      <c r="AD1522" s="21" t="s">
        <v>81</v>
      </c>
      <c r="AE1522" s="6" t="s">
        <v>81</v>
      </c>
      <c r="AF1522" s="6" t="s">
        <v>81</v>
      </c>
      <c r="AG1522" s="6" t="s">
        <v>81</v>
      </c>
      <c r="AH1522" s="6" t="s">
        <v>16090</v>
      </c>
      <c r="AI1522" s="6" t="s">
        <v>81</v>
      </c>
      <c r="AJ1522" s="6" t="s">
        <v>17317</v>
      </c>
      <c r="AK1522" s="6" t="s">
        <v>18380</v>
      </c>
      <c r="AL1522" s="6" t="s">
        <v>18444</v>
      </c>
      <c r="AM1522" s="6" t="s">
        <v>18469</v>
      </c>
      <c r="AN1522" s="6" t="s">
        <v>19639</v>
      </c>
      <c r="AO1522" s="6" t="s">
        <v>19725</v>
      </c>
      <c r="AP1522" s="6" t="s">
        <v>16090</v>
      </c>
      <c r="AQ1522" s="6" t="s">
        <v>81</v>
      </c>
      <c r="AR1522" s="6" t="s">
        <v>17317</v>
      </c>
      <c r="AS1522" s="6" t="s">
        <v>18380</v>
      </c>
      <c r="AT1522" s="6" t="s">
        <v>18444</v>
      </c>
      <c r="AU1522" s="6" t="s">
        <v>18469</v>
      </c>
      <c r="AV1522" s="6" t="s">
        <v>81</v>
      </c>
      <c r="AW1522" s="6" t="s">
        <v>81</v>
      </c>
      <c r="AX1522" s="6" t="s">
        <v>81</v>
      </c>
      <c r="AY1522" s="6" t="s">
        <v>81</v>
      </c>
      <c r="AZ1522" s="6" t="s">
        <v>81</v>
      </c>
      <c r="BA1522" s="6" t="s">
        <v>81</v>
      </c>
      <c r="BB1522" s="24" t="n">
        <v>61</v>
      </c>
      <c r="BC1522" s="26"/>
      <c r="BD1522" s="26"/>
      <c r="BE1522" s="26"/>
      <c r="BF1522" s="26"/>
      <c r="BG1522" s="26"/>
      <c r="BH1522" s="26"/>
      <c r="BI1522" s="26"/>
      <c r="BJ1522" s="26"/>
      <c r="BK1522" s="26"/>
      <c r="BL1522" s="26"/>
      <c r="BM1522" s="26"/>
      <c r="BN1522" s="26"/>
      <c r="BO1522" s="26"/>
      <c r="BP1522" s="16" t="n">
        <v>45587</v>
      </c>
      <c r="BQ1522" s="28" t="str">
        <f>HYPERLINK("https://organic.ams.usda.gov/Integrity/Certificate.aspx?cid=70&amp;nopid=6432016560")</f>
        <v>https://organic.ams.usda.gov/Integrity/Certificate.aspx?cid=70&amp;nopid=6432016560</v>
      </c>
    </row>
    <row r="1523">
      <c r="A1523" t="s">
        <v>3</v>
      </c>
      <c r="B1523" s="6" t="s">
        <v>7</v>
      </c>
      <c r="C1523" s="6" t="s">
        <v>54</v>
      </c>
      <c r="D1523" s="6" t="s">
        <v>100</v>
      </c>
      <c r="E1523" s="10" t="s">
        <v>1664</v>
      </c>
      <c r="F1523" s="6" t="s">
        <v>4388</v>
      </c>
      <c r="G1523" s="6" t="s">
        <v>81</v>
      </c>
      <c r="H1523" s="6" t="s">
        <v>7289</v>
      </c>
      <c r="I1523" s="6" t="s">
        <v>8493</v>
      </c>
      <c r="J1523" s="6" t="s">
        <v>9665</v>
      </c>
      <c r="K1523" s="6" t="s">
        <v>10886</v>
      </c>
      <c r="L1523" s="16" t="n">
        <v>43609</v>
      </c>
      <c r="M1523" s="16" t="n">
        <v>45716</v>
      </c>
      <c r="N1523" s="6" t="s">
        <v>10886</v>
      </c>
      <c r="O1523" s="16" t="n">
        <v>43609</v>
      </c>
      <c r="P1523" s="6" t="s">
        <v>10910</v>
      </c>
      <c r="Q1523" s="6" t="s">
        <v>81</v>
      </c>
      <c r="R1523" s="6" t="s">
        <v>81</v>
      </c>
      <c r="S1523" s="6" t="s">
        <v>10886</v>
      </c>
      <c r="T1523" s="16" t="n">
        <v>43609</v>
      </c>
      <c r="U1523" s="6" t="s">
        <v>13169</v>
      </c>
      <c r="V1523" s="6" t="s">
        <v>81</v>
      </c>
      <c r="W1523" s="6" t="s">
        <v>81</v>
      </c>
      <c r="X1523" s="6" t="s">
        <v>81</v>
      </c>
      <c r="Y1523" s="21" t="s">
        <v>81</v>
      </c>
      <c r="Z1523" s="6" t="s">
        <v>81</v>
      </c>
      <c r="AA1523" s="6" t="s">
        <v>81</v>
      </c>
      <c r="AB1523" s="6" t="s">
        <v>81</v>
      </c>
      <c r="AC1523" s="6" t="s">
        <v>81</v>
      </c>
      <c r="AD1523" s="21" t="s">
        <v>81</v>
      </c>
      <c r="AE1523" s="6" t="s">
        <v>81</v>
      </c>
      <c r="AF1523" s="6" t="s">
        <v>81</v>
      </c>
      <c r="AG1523" s="6" t="s">
        <v>81</v>
      </c>
      <c r="AH1523" s="6" t="s">
        <v>16091</v>
      </c>
      <c r="AI1523" s="6" t="s">
        <v>81</v>
      </c>
      <c r="AJ1523" s="6" t="s">
        <v>17383</v>
      </c>
      <c r="AK1523" s="6" t="s">
        <v>17712</v>
      </c>
      <c r="AL1523" s="6" t="s">
        <v>18444</v>
      </c>
      <c r="AM1523" s="6" t="s">
        <v>18537</v>
      </c>
      <c r="AN1523" s="6" t="s">
        <v>19653</v>
      </c>
      <c r="AO1523" s="6" t="s">
        <v>19744</v>
      </c>
      <c r="AP1523" s="6" t="s">
        <v>16091</v>
      </c>
      <c r="AQ1523" s="6" t="s">
        <v>81</v>
      </c>
      <c r="AR1523" s="6" t="s">
        <v>17383</v>
      </c>
      <c r="AS1523" s="6" t="s">
        <v>17712</v>
      </c>
      <c r="AT1523" s="6" t="s">
        <v>18444</v>
      </c>
      <c r="AU1523" s="6" t="s">
        <v>18537</v>
      </c>
      <c r="AV1523" s="6" t="s">
        <v>81</v>
      </c>
      <c r="AW1523" s="6" t="s">
        <v>81</v>
      </c>
      <c r="AX1523" s="6" t="s">
        <v>21709</v>
      </c>
      <c r="AY1523" s="6" t="s">
        <v>81</v>
      </c>
      <c r="AZ1523" s="6" t="s">
        <v>81</v>
      </c>
      <c r="BA1523" s="6" t="s">
        <v>81</v>
      </c>
      <c r="BB1523" s="24" t="n">
        <v>259</v>
      </c>
      <c r="BC1523" s="26"/>
      <c r="BD1523" s="26"/>
      <c r="BE1523" s="26"/>
      <c r="BF1523" s="26" t="s">
        <v>23900</v>
      </c>
      <c r="BG1523" s="26"/>
      <c r="BH1523" s="26"/>
      <c r="BI1523" s="26"/>
      <c r="BJ1523" s="26"/>
      <c r="BK1523" s="26"/>
      <c r="BL1523" s="26"/>
      <c r="BM1523" s="26"/>
      <c r="BN1523" s="26"/>
      <c r="BO1523" s="26"/>
      <c r="BP1523" s="16" t="n">
        <v>45595</v>
      </c>
      <c r="BQ1523" s="28" t="str">
        <f>HYPERLINK("https://organic.ams.usda.gov/Integrity/Certificate.aspx?cid=57&amp;nopid=3252019020")</f>
        <v>https://organic.ams.usda.gov/Integrity/Certificate.aspx?cid=57&amp;nopid=3252019020</v>
      </c>
    </row>
    <row r="1524">
      <c r="A1524" t="s">
        <v>3</v>
      </c>
      <c r="B1524" s="6" t="s">
        <v>10</v>
      </c>
      <c r="C1524" s="6" t="s">
        <v>57</v>
      </c>
      <c r="D1524" s="6" t="s">
        <v>103</v>
      </c>
      <c r="E1524" s="10" t="s">
        <v>1665</v>
      </c>
      <c r="F1524" s="6" t="s">
        <v>4389</v>
      </c>
      <c r="G1524" s="6" t="s">
        <v>81</v>
      </c>
      <c r="H1524" s="6" t="s">
        <v>7290</v>
      </c>
      <c r="I1524" s="6" t="s">
        <v>9174</v>
      </c>
      <c r="J1524" s="6" t="s">
        <v>9666</v>
      </c>
      <c r="K1524" s="6" t="s">
        <v>10886</v>
      </c>
      <c r="L1524" s="16" t="n">
        <v>40017</v>
      </c>
      <c r="M1524" s="16" t="n">
        <v>45748</v>
      </c>
      <c r="N1524" s="6" t="s">
        <v>10886</v>
      </c>
      <c r="O1524" s="16" t="n">
        <v>40017</v>
      </c>
      <c r="P1524" s="6" t="s">
        <v>11801</v>
      </c>
      <c r="Q1524" s="6" t="s">
        <v>81</v>
      </c>
      <c r="R1524" s="6" t="s">
        <v>12841</v>
      </c>
      <c r="S1524" s="6" t="s">
        <v>10886</v>
      </c>
      <c r="T1524" s="16" t="n">
        <v>40017</v>
      </c>
      <c r="U1524" s="6" t="s">
        <v>13163</v>
      </c>
      <c r="V1524" s="6" t="s">
        <v>81</v>
      </c>
      <c r="W1524" s="6" t="s">
        <v>81</v>
      </c>
      <c r="X1524" s="6" t="s">
        <v>81</v>
      </c>
      <c r="Y1524" s="21" t="s">
        <v>81</v>
      </c>
      <c r="Z1524" s="6" t="s">
        <v>81</v>
      </c>
      <c r="AA1524" s="6" t="s">
        <v>81</v>
      </c>
      <c r="AB1524" s="6" t="s">
        <v>81</v>
      </c>
      <c r="AC1524" s="6" t="s">
        <v>81</v>
      </c>
      <c r="AD1524" s="21" t="s">
        <v>81</v>
      </c>
      <c r="AE1524" s="6" t="s">
        <v>81</v>
      </c>
      <c r="AF1524" s="6" t="s">
        <v>81</v>
      </c>
      <c r="AG1524" s="6" t="s">
        <v>81</v>
      </c>
      <c r="AH1524" s="6" t="s">
        <v>16092</v>
      </c>
      <c r="AI1524" s="6" t="s">
        <v>81</v>
      </c>
      <c r="AJ1524" s="6" t="s">
        <v>17392</v>
      </c>
      <c r="AK1524" s="6" t="s">
        <v>18379</v>
      </c>
      <c r="AL1524" s="6" t="s">
        <v>18444</v>
      </c>
      <c r="AM1524" s="6" t="s">
        <v>18548</v>
      </c>
      <c r="AN1524" s="6" t="s">
        <v>19637</v>
      </c>
      <c r="AO1524" s="6" t="s">
        <v>19723</v>
      </c>
      <c r="AP1524" s="6" t="s">
        <v>16092</v>
      </c>
      <c r="AQ1524" s="6" t="s">
        <v>81</v>
      </c>
      <c r="AR1524" s="6" t="s">
        <v>17392</v>
      </c>
      <c r="AS1524" s="6" t="s">
        <v>18379</v>
      </c>
      <c r="AT1524" s="6" t="s">
        <v>18444</v>
      </c>
      <c r="AU1524" s="6" t="s">
        <v>18548</v>
      </c>
      <c r="AV1524" s="6" t="s">
        <v>81</v>
      </c>
      <c r="AW1524" s="6" t="s">
        <v>81</v>
      </c>
      <c r="AX1524" s="6" t="s">
        <v>21710</v>
      </c>
      <c r="AY1524" s="6" t="s">
        <v>81</v>
      </c>
      <c r="AZ1524" s="6" t="s">
        <v>81</v>
      </c>
      <c r="BA1524" s="6" t="s">
        <v>81</v>
      </c>
      <c r="BB1524" s="24" t="n">
        <v>93</v>
      </c>
      <c r="BC1524" s="26"/>
      <c r="BD1524" s="26"/>
      <c r="BE1524" s="26"/>
      <c r="BF1524" s="26"/>
      <c r="BG1524" s="26"/>
      <c r="BH1524" s="26"/>
      <c r="BI1524" s="26"/>
      <c r="BJ1524" s="26"/>
      <c r="BK1524" s="26"/>
      <c r="BL1524" s="26"/>
      <c r="BM1524" s="26"/>
      <c r="BN1524" s="26"/>
      <c r="BO1524" s="26"/>
      <c r="BP1524" s="16" t="n">
        <v>45730</v>
      </c>
      <c r="BQ1524" s="28" t="str">
        <f>HYPERLINK("https://organic.ams.usda.gov/Integrity/Certificate.aspx?cid=90&amp;nopid=7170210287")</f>
        <v>https://organic.ams.usda.gov/Integrity/Certificate.aspx?cid=90&amp;nopid=7170210287</v>
      </c>
    </row>
    <row r="1525">
      <c r="A1525" t="s">
        <v>3</v>
      </c>
      <c r="B1525" s="6" t="s">
        <v>10</v>
      </c>
      <c r="C1525" s="6" t="s">
        <v>57</v>
      </c>
      <c r="D1525" s="6" t="s">
        <v>103</v>
      </c>
      <c r="E1525" s="10" t="s">
        <v>1666</v>
      </c>
      <c r="F1525" s="6" t="s">
        <v>4390</v>
      </c>
      <c r="G1525" s="6" t="s">
        <v>81</v>
      </c>
      <c r="H1525" s="6" t="s">
        <v>7291</v>
      </c>
      <c r="I1525" s="6" t="s">
        <v>8493</v>
      </c>
      <c r="J1525" s="6" t="s">
        <v>10331</v>
      </c>
      <c r="K1525" s="6" t="s">
        <v>10886</v>
      </c>
      <c r="L1525" s="16" t="n">
        <v>41978</v>
      </c>
      <c r="M1525" s="16" t="n">
        <v>45748</v>
      </c>
      <c r="N1525" s="6" t="s">
        <v>10886</v>
      </c>
      <c r="O1525" s="16" t="n">
        <v>44643</v>
      </c>
      <c r="P1525" s="6" t="s">
        <v>11802</v>
      </c>
      <c r="Q1525" s="6" t="s">
        <v>81</v>
      </c>
      <c r="R1525" s="6" t="s">
        <v>12842</v>
      </c>
      <c r="S1525" s="6" t="s">
        <v>10886</v>
      </c>
      <c r="T1525" s="16" t="n">
        <v>44643</v>
      </c>
      <c r="U1525" s="6" t="s">
        <v>13234</v>
      </c>
      <c r="V1525" s="6" t="s">
        <v>81</v>
      </c>
      <c r="W1525" s="6" t="s">
        <v>81</v>
      </c>
      <c r="X1525" s="6" t="s">
        <v>81</v>
      </c>
      <c r="Y1525" s="21" t="s">
        <v>81</v>
      </c>
      <c r="Z1525" s="6" t="s">
        <v>81</v>
      </c>
      <c r="AA1525" s="6" t="s">
        <v>81</v>
      </c>
      <c r="AB1525" s="6" t="s">
        <v>81</v>
      </c>
      <c r="AC1525" s="6" t="s">
        <v>81</v>
      </c>
      <c r="AD1525" s="21" t="s">
        <v>81</v>
      </c>
      <c r="AE1525" s="6" t="s">
        <v>81</v>
      </c>
      <c r="AF1525" s="6" t="s">
        <v>81</v>
      </c>
      <c r="AG1525" s="6" t="s">
        <v>81</v>
      </c>
      <c r="AH1525" s="6" t="s">
        <v>16093</v>
      </c>
      <c r="AI1525" s="6" t="s">
        <v>81</v>
      </c>
      <c r="AJ1525" s="6" t="s">
        <v>18026</v>
      </c>
      <c r="AK1525" s="6" t="s">
        <v>18378</v>
      </c>
      <c r="AL1525" s="6" t="s">
        <v>18444</v>
      </c>
      <c r="AM1525" s="6" t="s">
        <v>19216</v>
      </c>
      <c r="AN1525" s="6" t="s">
        <v>19645</v>
      </c>
      <c r="AO1525" s="6" t="s">
        <v>19987</v>
      </c>
      <c r="AP1525" s="6" t="s">
        <v>16093</v>
      </c>
      <c r="AQ1525" s="6" t="s">
        <v>81</v>
      </c>
      <c r="AR1525" s="6" t="s">
        <v>18026</v>
      </c>
      <c r="AS1525" s="6" t="s">
        <v>18378</v>
      </c>
      <c r="AT1525" s="6" t="s">
        <v>18444</v>
      </c>
      <c r="AU1525" s="6" t="s">
        <v>19216</v>
      </c>
      <c r="AV1525" s="6" t="s">
        <v>81</v>
      </c>
      <c r="AW1525" s="6" t="s">
        <v>81</v>
      </c>
      <c r="AX1525" s="6" t="s">
        <v>21711</v>
      </c>
      <c r="AY1525" s="6" t="s">
        <v>81</v>
      </c>
      <c r="AZ1525" s="6" t="s">
        <v>81</v>
      </c>
      <c r="BA1525" s="6" t="s">
        <v>81</v>
      </c>
      <c r="BB1525" s="24" t="n">
        <v>80</v>
      </c>
      <c r="BC1525" s="26"/>
      <c r="BD1525" s="26"/>
      <c r="BE1525" s="26"/>
      <c r="BF1525" s="26"/>
      <c r="BG1525" s="26"/>
      <c r="BH1525" s="26"/>
      <c r="BI1525" s="26"/>
      <c r="BJ1525" s="26"/>
      <c r="BK1525" s="26"/>
      <c r="BL1525" s="26"/>
      <c r="BM1525" s="26"/>
      <c r="BN1525" s="26"/>
      <c r="BO1525" s="26"/>
      <c r="BP1525" s="16" t="n">
        <v>45730</v>
      </c>
      <c r="BQ1525" s="28" t="str">
        <f>HYPERLINK("https://organic.ams.usda.gov/Integrity/Certificate.aspx?cid=90&amp;nopid=7170220485")</f>
        <v>https://organic.ams.usda.gov/Integrity/Certificate.aspx?cid=90&amp;nopid=7170220485</v>
      </c>
    </row>
    <row r="1526">
      <c r="A1526" t="s">
        <v>3</v>
      </c>
      <c r="B1526" s="6" t="s">
        <v>13</v>
      </c>
      <c r="C1526" s="6" t="s">
        <v>60</v>
      </c>
      <c r="D1526" s="6" t="s">
        <v>106</v>
      </c>
      <c r="E1526" s="10" t="s">
        <v>1667</v>
      </c>
      <c r="F1526" s="6" t="s">
        <v>4391</v>
      </c>
      <c r="G1526" s="6" t="s">
        <v>81</v>
      </c>
      <c r="H1526" s="6" t="s">
        <v>7292</v>
      </c>
      <c r="I1526" s="6" t="s">
        <v>9175</v>
      </c>
      <c r="J1526" s="6" t="s">
        <v>9665</v>
      </c>
      <c r="K1526" s="6" t="s">
        <v>10886</v>
      </c>
      <c r="L1526" s="16" t="n">
        <v>42206</v>
      </c>
      <c r="M1526" s="16" t="n">
        <v>45748</v>
      </c>
      <c r="N1526" s="6" t="s">
        <v>10886</v>
      </c>
      <c r="O1526" s="16" t="n">
        <v>42206</v>
      </c>
      <c r="P1526" s="6" t="s">
        <v>11803</v>
      </c>
      <c r="Q1526" s="6" t="s">
        <v>81</v>
      </c>
      <c r="R1526" s="6" t="s">
        <v>12843</v>
      </c>
      <c r="S1526" s="6" t="s">
        <v>10886</v>
      </c>
      <c r="T1526" s="16" t="n">
        <v>42206</v>
      </c>
      <c r="U1526" s="6" t="s">
        <v>13645</v>
      </c>
      <c r="V1526" s="6" t="s">
        <v>81</v>
      </c>
      <c r="W1526" s="6" t="s">
        <v>12843</v>
      </c>
      <c r="X1526" s="6" t="s">
        <v>81</v>
      </c>
      <c r="Y1526" s="21" t="s">
        <v>81</v>
      </c>
      <c r="Z1526" s="6" t="s">
        <v>81</v>
      </c>
      <c r="AA1526" s="6" t="s">
        <v>81</v>
      </c>
      <c r="AB1526" s="6" t="s">
        <v>81</v>
      </c>
      <c r="AC1526" s="6" t="s">
        <v>81</v>
      </c>
      <c r="AD1526" s="21" t="s">
        <v>81</v>
      </c>
      <c r="AE1526" s="6" t="s">
        <v>81</v>
      </c>
      <c r="AF1526" s="6" t="s">
        <v>81</v>
      </c>
      <c r="AG1526" s="6" t="s">
        <v>81</v>
      </c>
      <c r="AH1526" s="6" t="s">
        <v>16094</v>
      </c>
      <c r="AI1526" s="6" t="s">
        <v>81</v>
      </c>
      <c r="AJ1526" s="6" t="s">
        <v>17426</v>
      </c>
      <c r="AK1526" s="6" t="s">
        <v>18384</v>
      </c>
      <c r="AL1526" s="6" t="s">
        <v>18444</v>
      </c>
      <c r="AM1526" s="6" t="s">
        <v>18583</v>
      </c>
      <c r="AN1526" s="6" t="s">
        <v>19690</v>
      </c>
      <c r="AO1526" s="6" t="s">
        <v>19852</v>
      </c>
      <c r="AP1526" s="6" t="s">
        <v>16094</v>
      </c>
      <c r="AQ1526" s="6" t="s">
        <v>81</v>
      </c>
      <c r="AR1526" s="6" t="s">
        <v>17426</v>
      </c>
      <c r="AS1526" s="6" t="s">
        <v>18384</v>
      </c>
      <c r="AT1526" s="6" t="s">
        <v>18444</v>
      </c>
      <c r="AU1526" s="6" t="s">
        <v>18583</v>
      </c>
      <c r="AV1526" s="6" t="s">
        <v>81</v>
      </c>
      <c r="AW1526" s="6" t="s">
        <v>81</v>
      </c>
      <c r="AX1526" s="6" t="s">
        <v>81</v>
      </c>
      <c r="AY1526" s="6" t="s">
        <v>81</v>
      </c>
      <c r="AZ1526" s="6" t="s">
        <v>81</v>
      </c>
      <c r="BA1526" s="6" t="s">
        <v>81</v>
      </c>
      <c r="BB1526" s="24" t="n">
        <v>73</v>
      </c>
      <c r="BC1526" s="26"/>
      <c r="BD1526" s="26"/>
      <c r="BE1526" s="26"/>
      <c r="BF1526" s="26" t="s">
        <v>23900</v>
      </c>
      <c r="BG1526" s="26"/>
      <c r="BH1526" s="26"/>
      <c r="BI1526" s="26"/>
      <c r="BJ1526" s="26"/>
      <c r="BK1526" s="26"/>
      <c r="BL1526" s="26"/>
      <c r="BM1526" s="26"/>
      <c r="BN1526" s="26"/>
      <c r="BO1526" s="26"/>
      <c r="BP1526" s="16" t="n">
        <v>45663</v>
      </c>
      <c r="BQ1526" s="28" t="str">
        <f>HYPERLINK("https://organic.ams.usda.gov/Integrity/Certificate.aspx?cid=72&amp;nopid=5870002017")</f>
        <v>https://organic.ams.usda.gov/Integrity/Certificate.aspx?cid=72&amp;nopid=5870002017</v>
      </c>
    </row>
    <row r="1527">
      <c r="A1527" t="s">
        <v>3</v>
      </c>
      <c r="B1527" s="6" t="s">
        <v>10</v>
      </c>
      <c r="C1527" s="6" t="s">
        <v>57</v>
      </c>
      <c r="D1527" s="6" t="s">
        <v>103</v>
      </c>
      <c r="E1527" s="10" t="s">
        <v>1668</v>
      </c>
      <c r="F1527" s="6" t="s">
        <v>4392</v>
      </c>
      <c r="G1527" s="6" t="s">
        <v>81</v>
      </c>
      <c r="H1527" s="6" t="s">
        <v>7293</v>
      </c>
      <c r="I1527" s="6" t="s">
        <v>9175</v>
      </c>
      <c r="J1527" s="6" t="s">
        <v>9742</v>
      </c>
      <c r="K1527" s="6" t="s">
        <v>10886</v>
      </c>
      <c r="L1527" s="16" t="n">
        <v>43985</v>
      </c>
      <c r="M1527" s="16" t="n">
        <v>45748</v>
      </c>
      <c r="N1527" s="6" t="s">
        <v>10886</v>
      </c>
      <c r="O1527" s="16" t="n">
        <v>44623</v>
      </c>
      <c r="P1527" s="6" t="s">
        <v>11804</v>
      </c>
      <c r="Q1527" s="6" t="s">
        <v>81</v>
      </c>
      <c r="R1527" s="6" t="s">
        <v>12844</v>
      </c>
      <c r="S1527" s="6" t="s">
        <v>10886</v>
      </c>
      <c r="T1527" s="16" t="n">
        <v>44623</v>
      </c>
      <c r="U1527" s="6" t="s">
        <v>13163</v>
      </c>
      <c r="V1527" s="6" t="s">
        <v>81</v>
      </c>
      <c r="W1527" s="6" t="s">
        <v>81</v>
      </c>
      <c r="X1527" s="6" t="s">
        <v>81</v>
      </c>
      <c r="Y1527" s="21" t="s">
        <v>81</v>
      </c>
      <c r="Z1527" s="6" t="s">
        <v>81</v>
      </c>
      <c r="AA1527" s="6" t="s">
        <v>81</v>
      </c>
      <c r="AB1527" s="6" t="s">
        <v>81</v>
      </c>
      <c r="AC1527" s="6" t="s">
        <v>81</v>
      </c>
      <c r="AD1527" s="21" t="s">
        <v>81</v>
      </c>
      <c r="AE1527" s="6" t="s">
        <v>81</v>
      </c>
      <c r="AF1527" s="6" t="s">
        <v>81</v>
      </c>
      <c r="AG1527" s="6" t="s">
        <v>81</v>
      </c>
      <c r="AH1527" s="6" t="s">
        <v>16095</v>
      </c>
      <c r="AI1527" s="6" t="s">
        <v>81</v>
      </c>
      <c r="AJ1527" s="6" t="s">
        <v>17315</v>
      </c>
      <c r="AK1527" s="6" t="s">
        <v>18379</v>
      </c>
      <c r="AL1527" s="6" t="s">
        <v>18444</v>
      </c>
      <c r="AM1527" s="6" t="s">
        <v>18467</v>
      </c>
      <c r="AN1527" s="6" t="s">
        <v>19637</v>
      </c>
      <c r="AO1527" s="6" t="s">
        <v>19723</v>
      </c>
      <c r="AP1527" s="6" t="s">
        <v>16095</v>
      </c>
      <c r="AQ1527" s="6" t="s">
        <v>81</v>
      </c>
      <c r="AR1527" s="6" t="s">
        <v>17315</v>
      </c>
      <c r="AS1527" s="6" t="s">
        <v>18379</v>
      </c>
      <c r="AT1527" s="6" t="s">
        <v>18444</v>
      </c>
      <c r="AU1527" s="6" t="s">
        <v>18467</v>
      </c>
      <c r="AV1527" s="6" t="s">
        <v>81</v>
      </c>
      <c r="AW1527" s="6" t="s">
        <v>81</v>
      </c>
      <c r="AX1527" s="6" t="s">
        <v>21712</v>
      </c>
      <c r="AY1527" s="6" t="s">
        <v>81</v>
      </c>
      <c r="AZ1527" s="6" t="s">
        <v>81</v>
      </c>
      <c r="BA1527" s="6" t="s">
        <v>81</v>
      </c>
      <c r="BB1527" s="24" t="n">
        <v>137</v>
      </c>
      <c r="BC1527" s="26"/>
      <c r="BD1527" s="26"/>
      <c r="BE1527" s="26"/>
      <c r="BF1527" s="26"/>
      <c r="BG1527" s="26"/>
      <c r="BH1527" s="26"/>
      <c r="BI1527" s="26"/>
      <c r="BJ1527" s="26"/>
      <c r="BK1527" s="26"/>
      <c r="BL1527" s="26"/>
      <c r="BM1527" s="26"/>
      <c r="BN1527" s="26"/>
      <c r="BO1527" s="26"/>
      <c r="BP1527" s="16" t="n">
        <v>45730</v>
      </c>
      <c r="BQ1527" s="28" t="str">
        <f>HYPERLINK("https://organic.ams.usda.gov/Integrity/Certificate.aspx?cid=90&amp;nopid=7170220455")</f>
        <v>https://organic.ams.usda.gov/Integrity/Certificate.aspx?cid=90&amp;nopid=7170220455</v>
      </c>
    </row>
    <row r="1528">
      <c r="A1528" t="s">
        <v>3</v>
      </c>
      <c r="B1528" s="6" t="s">
        <v>18</v>
      </c>
      <c r="C1528" s="6" t="s">
        <v>65</v>
      </c>
      <c r="D1528" s="6" t="s">
        <v>111</v>
      </c>
      <c r="E1528" s="10" t="s">
        <v>1669</v>
      </c>
      <c r="F1528" s="6" t="s">
        <v>4393</v>
      </c>
      <c r="G1528" s="6" t="s">
        <v>81</v>
      </c>
      <c r="H1528" s="6" t="s">
        <v>1669</v>
      </c>
      <c r="I1528" s="6" t="s">
        <v>9175</v>
      </c>
      <c r="J1528" s="6" t="s">
        <v>9804</v>
      </c>
      <c r="K1528" s="6" t="s">
        <v>10886</v>
      </c>
      <c r="L1528" s="16" t="n">
        <v>45076</v>
      </c>
      <c r="M1528" s="16" t="n">
        <v>45748</v>
      </c>
      <c r="N1528" s="6" t="s">
        <v>10886</v>
      </c>
      <c r="O1528" s="16" t="n">
        <v>45076</v>
      </c>
      <c r="P1528" s="6" t="s">
        <v>11253</v>
      </c>
      <c r="Q1528" s="6" t="s">
        <v>81</v>
      </c>
      <c r="R1528" s="6" t="s">
        <v>4393</v>
      </c>
      <c r="S1528" s="6" t="s">
        <v>10886</v>
      </c>
      <c r="T1528" s="16" t="n">
        <v>45076</v>
      </c>
      <c r="U1528" s="6" t="s">
        <v>13646</v>
      </c>
      <c r="V1528" s="6" t="s">
        <v>81</v>
      </c>
      <c r="W1528" s="6" t="s">
        <v>4393</v>
      </c>
      <c r="X1528" s="6" t="s">
        <v>81</v>
      </c>
      <c r="Y1528" s="21" t="s">
        <v>81</v>
      </c>
      <c r="Z1528" s="6" t="s">
        <v>81</v>
      </c>
      <c r="AA1528" s="6" t="s">
        <v>81</v>
      </c>
      <c r="AB1528" s="6" t="s">
        <v>81</v>
      </c>
      <c r="AC1528" s="6" t="s">
        <v>81</v>
      </c>
      <c r="AD1528" s="21" t="s">
        <v>81</v>
      </c>
      <c r="AE1528" s="6" t="s">
        <v>81</v>
      </c>
      <c r="AF1528" s="6" t="s">
        <v>81</v>
      </c>
      <c r="AG1528" s="6" t="s">
        <v>81</v>
      </c>
      <c r="AH1528" s="6" t="s">
        <v>16096</v>
      </c>
      <c r="AI1528" s="6" t="s">
        <v>81</v>
      </c>
      <c r="AJ1528" s="6" t="s">
        <v>18027</v>
      </c>
      <c r="AK1528" s="6" t="s">
        <v>17712</v>
      </c>
      <c r="AL1528" s="6" t="s">
        <v>18444</v>
      </c>
      <c r="AM1528" s="6" t="s">
        <v>19217</v>
      </c>
      <c r="AN1528" s="6" t="s">
        <v>19635</v>
      </c>
      <c r="AO1528" s="6" t="s">
        <v>19795</v>
      </c>
      <c r="AP1528" s="6" t="s">
        <v>16096</v>
      </c>
      <c r="AQ1528" s="6" t="s">
        <v>81</v>
      </c>
      <c r="AR1528" s="6" t="s">
        <v>18027</v>
      </c>
      <c r="AS1528" s="6" t="s">
        <v>17712</v>
      </c>
      <c r="AT1528" s="6" t="s">
        <v>18444</v>
      </c>
      <c r="AU1528" s="6" t="s">
        <v>19217</v>
      </c>
      <c r="AV1528" s="6" t="s">
        <v>81</v>
      </c>
      <c r="AW1528" s="6" t="s">
        <v>81</v>
      </c>
      <c r="AX1528" s="6" t="s">
        <v>81</v>
      </c>
      <c r="AY1528" s="6" t="s">
        <v>81</v>
      </c>
      <c r="AZ1528" s="6" t="s">
        <v>81</v>
      </c>
      <c r="BA1528" s="6" t="s">
        <v>81</v>
      </c>
      <c r="BB1528" s="24" t="n">
        <v>262</v>
      </c>
      <c r="BC1528" s="26"/>
      <c r="BD1528" s="26"/>
      <c r="BE1528" s="26"/>
      <c r="BF1528" s="26" t="s">
        <v>23900</v>
      </c>
      <c r="BG1528" s="26"/>
      <c r="BH1528" s="26"/>
      <c r="BI1528" s="26"/>
      <c r="BJ1528" s="26"/>
      <c r="BK1528" s="26"/>
      <c r="BL1528" s="26"/>
      <c r="BM1528" s="26"/>
      <c r="BN1528" s="26"/>
      <c r="BO1528" s="26"/>
      <c r="BP1528" s="16" t="n">
        <v>45701</v>
      </c>
      <c r="BQ1528" s="28" t="str">
        <f>HYPERLINK("https://organic.ams.usda.gov/Integrity/Certificate.aspx?cid=8&amp;nopid=2202305200")</f>
        <v>https://organic.ams.usda.gov/Integrity/Certificate.aspx?cid=8&amp;nopid=2202305200</v>
      </c>
    </row>
    <row r="1529">
      <c r="A1529" t="s">
        <v>3</v>
      </c>
      <c r="B1529" s="6" t="s">
        <v>10</v>
      </c>
      <c r="C1529" s="6" t="s">
        <v>57</v>
      </c>
      <c r="D1529" s="6" t="s">
        <v>103</v>
      </c>
      <c r="E1529" s="10" t="s">
        <v>1670</v>
      </c>
      <c r="F1529" s="6" t="s">
        <v>4394</v>
      </c>
      <c r="G1529" s="6" t="s">
        <v>81</v>
      </c>
      <c r="H1529" s="6" t="s">
        <v>7294</v>
      </c>
      <c r="I1529" s="6" t="s">
        <v>9175</v>
      </c>
      <c r="J1529" s="6" t="s">
        <v>9675</v>
      </c>
      <c r="K1529" s="6" t="s">
        <v>10886</v>
      </c>
      <c r="L1529" s="16" t="n">
        <v>45444</v>
      </c>
      <c r="M1529" s="16" t="n">
        <v>45748</v>
      </c>
      <c r="N1529" s="6" t="s">
        <v>10886</v>
      </c>
      <c r="O1529" s="16" t="n">
        <v>45444</v>
      </c>
      <c r="P1529" s="6" t="s">
        <v>10925</v>
      </c>
      <c r="Q1529" s="6" t="s">
        <v>81</v>
      </c>
      <c r="R1529" s="6" t="s">
        <v>12845</v>
      </c>
      <c r="S1529" s="6" t="s">
        <v>10886</v>
      </c>
      <c r="T1529" s="16" t="n">
        <v>45444</v>
      </c>
      <c r="U1529" s="6" t="s">
        <v>13163</v>
      </c>
      <c r="V1529" s="6" t="s">
        <v>81</v>
      </c>
      <c r="W1529" s="6" t="s">
        <v>81</v>
      </c>
      <c r="X1529" s="6" t="s">
        <v>81</v>
      </c>
      <c r="Y1529" s="21" t="s">
        <v>81</v>
      </c>
      <c r="Z1529" s="6" t="s">
        <v>81</v>
      </c>
      <c r="AA1529" s="6" t="s">
        <v>81</v>
      </c>
      <c r="AB1529" s="6" t="s">
        <v>81</v>
      </c>
      <c r="AC1529" s="6" t="s">
        <v>81</v>
      </c>
      <c r="AD1529" s="21" t="s">
        <v>81</v>
      </c>
      <c r="AE1529" s="6" t="s">
        <v>81</v>
      </c>
      <c r="AF1529" s="6" t="s">
        <v>81</v>
      </c>
      <c r="AG1529" s="6" t="s">
        <v>81</v>
      </c>
      <c r="AH1529" s="6" t="s">
        <v>16097</v>
      </c>
      <c r="AI1529" s="6" t="s">
        <v>81</v>
      </c>
      <c r="AJ1529" s="6" t="s">
        <v>17347</v>
      </c>
      <c r="AK1529" s="6" t="s">
        <v>18378</v>
      </c>
      <c r="AL1529" s="6" t="s">
        <v>18444</v>
      </c>
      <c r="AM1529" s="6" t="s">
        <v>18501</v>
      </c>
      <c r="AN1529" s="6" t="s">
        <v>81</v>
      </c>
      <c r="AO1529" s="6" t="s">
        <v>81</v>
      </c>
      <c r="AP1529" s="6" t="s">
        <v>16097</v>
      </c>
      <c r="AQ1529" s="6" t="s">
        <v>81</v>
      </c>
      <c r="AR1529" s="6" t="s">
        <v>17347</v>
      </c>
      <c r="AS1529" s="6" t="s">
        <v>18378</v>
      </c>
      <c r="AT1529" s="6" t="s">
        <v>18444</v>
      </c>
      <c r="AU1529" s="6" t="s">
        <v>18501</v>
      </c>
      <c r="AV1529" s="6" t="s">
        <v>81</v>
      </c>
      <c r="AW1529" s="6" t="s">
        <v>81</v>
      </c>
      <c r="AX1529" s="6" t="s">
        <v>21713</v>
      </c>
      <c r="AY1529" s="6" t="s">
        <v>81</v>
      </c>
      <c r="AZ1529" s="6" t="s">
        <v>81</v>
      </c>
      <c r="BA1529" s="6" t="s">
        <v>81</v>
      </c>
      <c r="BB1529" s="24" t="n">
        <v>94</v>
      </c>
      <c r="BC1529" s="26"/>
      <c r="BD1529" s="26"/>
      <c r="BE1529" s="26"/>
      <c r="BF1529" s="26"/>
      <c r="BG1529" s="26"/>
      <c r="BH1529" s="26"/>
      <c r="BI1529" s="26"/>
      <c r="BJ1529" s="26"/>
      <c r="BK1529" s="26"/>
      <c r="BL1529" s="26"/>
      <c r="BM1529" s="26"/>
      <c r="BN1529" s="26"/>
      <c r="BO1529" s="26"/>
      <c r="BP1529" s="16" t="n">
        <v>45730</v>
      </c>
      <c r="BQ1529" s="28" t="str">
        <f>HYPERLINK("https://organic.ams.usda.gov/Integrity/Certificate.aspx?cid=90&amp;nopid=7170240779")</f>
        <v>https://organic.ams.usda.gov/Integrity/Certificate.aspx?cid=90&amp;nopid=7170240779</v>
      </c>
    </row>
    <row r="1530">
      <c r="A1530" t="s">
        <v>3</v>
      </c>
      <c r="B1530" s="6" t="s">
        <v>8</v>
      </c>
      <c r="C1530" s="6" t="s">
        <v>55</v>
      </c>
      <c r="D1530" s="6" t="s">
        <v>101</v>
      </c>
      <c r="E1530" s="10" t="s">
        <v>1671</v>
      </c>
      <c r="F1530" s="6" t="s">
        <v>4395</v>
      </c>
      <c r="G1530" s="6" t="s">
        <v>81</v>
      </c>
      <c r="H1530" s="6" t="s">
        <v>7295</v>
      </c>
      <c r="I1530" s="6" t="s">
        <v>9175</v>
      </c>
      <c r="J1530" s="6" t="s">
        <v>9233</v>
      </c>
      <c r="K1530" s="6" t="s">
        <v>10886</v>
      </c>
      <c r="L1530" s="16" t="n">
        <v>36542</v>
      </c>
      <c r="M1530" s="16" t="n">
        <v>45748</v>
      </c>
      <c r="N1530" s="6" t="s">
        <v>10886</v>
      </c>
      <c r="O1530" s="16" t="n">
        <v>36542</v>
      </c>
      <c r="P1530" s="6" t="s">
        <v>11805</v>
      </c>
      <c r="Q1530" s="6" t="s">
        <v>81</v>
      </c>
      <c r="R1530" s="6" t="s">
        <v>7295</v>
      </c>
      <c r="S1530" s="6" t="s">
        <v>10886</v>
      </c>
      <c r="T1530" s="16" t="n">
        <v>36542</v>
      </c>
      <c r="U1530" s="6" t="s">
        <v>13271</v>
      </c>
      <c r="V1530" s="6" t="s">
        <v>81</v>
      </c>
      <c r="W1530" s="6" t="s">
        <v>7295</v>
      </c>
      <c r="X1530" s="6" t="s">
        <v>81</v>
      </c>
      <c r="Y1530" s="21" t="s">
        <v>81</v>
      </c>
      <c r="Z1530" s="6" t="s">
        <v>81</v>
      </c>
      <c r="AA1530" s="6" t="s">
        <v>81</v>
      </c>
      <c r="AB1530" s="6" t="s">
        <v>81</v>
      </c>
      <c r="AC1530" s="6" t="s">
        <v>81</v>
      </c>
      <c r="AD1530" s="21" t="s">
        <v>81</v>
      </c>
      <c r="AE1530" s="6" t="s">
        <v>81</v>
      </c>
      <c r="AF1530" s="6" t="s">
        <v>81</v>
      </c>
      <c r="AG1530" s="6" t="s">
        <v>81</v>
      </c>
      <c r="AH1530" s="6" t="s">
        <v>16098</v>
      </c>
      <c r="AI1530" s="6" t="s">
        <v>81</v>
      </c>
      <c r="AJ1530" s="6" t="s">
        <v>17708</v>
      </c>
      <c r="AK1530" s="6" t="s">
        <v>18377</v>
      </c>
      <c r="AL1530" s="6" t="s">
        <v>18444</v>
      </c>
      <c r="AM1530" s="6" t="s">
        <v>18875</v>
      </c>
      <c r="AN1530" s="6" t="s">
        <v>19646</v>
      </c>
      <c r="AO1530" s="6" t="s">
        <v>19733</v>
      </c>
      <c r="AP1530" s="6" t="s">
        <v>81</v>
      </c>
      <c r="AQ1530" s="6" t="s">
        <v>81</v>
      </c>
      <c r="AR1530" s="6" t="s">
        <v>81</v>
      </c>
      <c r="AS1530" s="6" t="s">
        <v>81</v>
      </c>
      <c r="AT1530" s="6" t="s">
        <v>81</v>
      </c>
      <c r="AU1530" s="6" t="s">
        <v>81</v>
      </c>
      <c r="AV1530" s="6" t="s">
        <v>81</v>
      </c>
      <c r="AW1530" s="6" t="s">
        <v>81</v>
      </c>
      <c r="AX1530" s="6" t="s">
        <v>81</v>
      </c>
      <c r="AY1530" s="6" t="s">
        <v>81</v>
      </c>
      <c r="AZ1530" s="6" t="s">
        <v>81</v>
      </c>
      <c r="BA1530" s="6" t="s">
        <v>23819</v>
      </c>
      <c r="BB1530" s="24" t="n">
        <v>264</v>
      </c>
      <c r="BC1530" s="26"/>
      <c r="BD1530" s="26"/>
      <c r="BE1530" s="26"/>
      <c r="BF1530" s="26" t="s">
        <v>23900</v>
      </c>
      <c r="BG1530" s="26"/>
      <c r="BH1530" s="26"/>
      <c r="BI1530" s="26"/>
      <c r="BJ1530" s="26"/>
      <c r="BK1530" s="26"/>
      <c r="BL1530" s="26"/>
      <c r="BM1530" s="26"/>
      <c r="BN1530" s="26"/>
      <c r="BO1530" s="26"/>
      <c r="BP1530" s="16" t="n">
        <v>45524</v>
      </c>
      <c r="BQ1530" s="28" t="str">
        <f>HYPERLINK("https://organic.ams.usda.gov/Integrity/Certificate.aspx?cid=45&amp;nopid=9950000189")</f>
        <v>https://organic.ams.usda.gov/Integrity/Certificate.aspx?cid=45&amp;nopid=9950000189</v>
      </c>
    </row>
    <row r="1531">
      <c r="A1531" t="s">
        <v>3</v>
      </c>
      <c r="B1531" s="6" t="s">
        <v>29</v>
      </c>
      <c r="C1531" s="6" t="s">
        <v>76</v>
      </c>
      <c r="D1531" s="6" t="s">
        <v>122</v>
      </c>
      <c r="E1531" s="10" t="s">
        <v>1672</v>
      </c>
      <c r="F1531" s="6" t="s">
        <v>4396</v>
      </c>
      <c r="G1531" s="6" t="s">
        <v>81</v>
      </c>
      <c r="H1531" s="6" t="s">
        <v>7296</v>
      </c>
      <c r="I1531" s="6" t="s">
        <v>9176</v>
      </c>
      <c r="J1531" s="6" t="s">
        <v>9750</v>
      </c>
      <c r="K1531" s="6" t="s">
        <v>10886</v>
      </c>
      <c r="L1531" s="16" t="n">
        <v>41086</v>
      </c>
      <c r="M1531" s="16" t="n">
        <v>45870</v>
      </c>
      <c r="N1531" s="6" t="s">
        <v>10886</v>
      </c>
      <c r="O1531" s="16" t="n">
        <v>41086</v>
      </c>
      <c r="P1531" s="6" t="s">
        <v>10910</v>
      </c>
      <c r="Q1531" s="6" t="s">
        <v>81</v>
      </c>
      <c r="R1531" s="6" t="s">
        <v>12846</v>
      </c>
      <c r="S1531" s="6" t="s">
        <v>10886</v>
      </c>
      <c r="T1531" s="16" t="n">
        <v>41086</v>
      </c>
      <c r="U1531" s="6" t="s">
        <v>13222</v>
      </c>
      <c r="V1531" s="6" t="s">
        <v>81</v>
      </c>
      <c r="W1531" s="6" t="s">
        <v>12846</v>
      </c>
      <c r="X1531" s="6" t="s">
        <v>81</v>
      </c>
      <c r="Y1531" s="21" t="s">
        <v>81</v>
      </c>
      <c r="Z1531" s="6" t="s">
        <v>81</v>
      </c>
      <c r="AA1531" s="6" t="s">
        <v>81</v>
      </c>
      <c r="AB1531" s="6" t="s">
        <v>81</v>
      </c>
      <c r="AC1531" s="6" t="s">
        <v>81</v>
      </c>
      <c r="AD1531" s="21" t="s">
        <v>81</v>
      </c>
      <c r="AE1531" s="6" t="s">
        <v>81</v>
      </c>
      <c r="AF1531" s="6" t="s">
        <v>81</v>
      </c>
      <c r="AG1531" s="6" t="s">
        <v>81</v>
      </c>
      <c r="AH1531" s="6" t="s">
        <v>16099</v>
      </c>
      <c r="AI1531" s="6" t="s">
        <v>81</v>
      </c>
      <c r="AJ1531" s="6" t="s">
        <v>17595</v>
      </c>
      <c r="AK1531" s="6" t="s">
        <v>17712</v>
      </c>
      <c r="AL1531" s="6" t="s">
        <v>18444</v>
      </c>
      <c r="AM1531" s="6" t="s">
        <v>18761</v>
      </c>
      <c r="AN1531" s="6" t="s">
        <v>19634</v>
      </c>
      <c r="AO1531" s="6" t="s">
        <v>19719</v>
      </c>
      <c r="AP1531" s="6" t="s">
        <v>81</v>
      </c>
      <c r="AQ1531" s="6" t="s">
        <v>81</v>
      </c>
      <c r="AR1531" s="6" t="s">
        <v>81</v>
      </c>
      <c r="AS1531" s="6" t="s">
        <v>81</v>
      </c>
      <c r="AT1531" s="6" t="s">
        <v>81</v>
      </c>
      <c r="AU1531" s="6" t="s">
        <v>81</v>
      </c>
      <c r="AV1531" s="6" t="s">
        <v>81</v>
      </c>
      <c r="AW1531" s="6" t="s">
        <v>81</v>
      </c>
      <c r="AX1531" s="6" t="s">
        <v>81</v>
      </c>
      <c r="AY1531" s="6" t="s">
        <v>81</v>
      </c>
      <c r="AZ1531" s="6" t="s">
        <v>81</v>
      </c>
      <c r="BA1531" s="6" t="s">
        <v>81</v>
      </c>
      <c r="BB1531" s="24" t="n">
        <v>72</v>
      </c>
      <c r="BC1531" s="26"/>
      <c r="BD1531" s="26"/>
      <c r="BE1531" s="26"/>
      <c r="BF1531" s="26" t="s">
        <v>23900</v>
      </c>
      <c r="BG1531" s="26"/>
      <c r="BH1531" s="26"/>
      <c r="BI1531" s="26"/>
      <c r="BJ1531" s="26"/>
      <c r="BK1531" s="26"/>
      <c r="BL1531" s="26"/>
      <c r="BM1531" s="26"/>
      <c r="BN1531" s="26"/>
      <c r="BO1531" s="26"/>
      <c r="BP1531" s="16" t="n">
        <v>45737</v>
      </c>
      <c r="BQ1531" s="28" t="str">
        <f>HYPERLINK("https://organic.ams.usda.gov/Integrity/Certificate.aspx?cid=31&amp;nopid=3928971130")</f>
        <v>https://organic.ams.usda.gov/Integrity/Certificate.aspx?cid=31&amp;nopid=3928971130</v>
      </c>
    </row>
    <row r="1532">
      <c r="A1532" t="s">
        <v>3</v>
      </c>
      <c r="B1532" s="6" t="s">
        <v>9</v>
      </c>
      <c r="C1532" s="6" t="s">
        <v>56</v>
      </c>
      <c r="D1532" s="6" t="s">
        <v>102</v>
      </c>
      <c r="E1532" s="10" t="s">
        <v>1673</v>
      </c>
      <c r="F1532" s="6" t="s">
        <v>4397</v>
      </c>
      <c r="G1532" s="6" t="s">
        <v>81</v>
      </c>
      <c r="H1532" s="6" t="s">
        <v>7297</v>
      </c>
      <c r="I1532" s="6" t="s">
        <v>9177</v>
      </c>
      <c r="J1532" s="6" t="s">
        <v>10372</v>
      </c>
      <c r="K1532" s="6" t="s">
        <v>10886</v>
      </c>
      <c r="L1532" s="16" t="n">
        <v>42944</v>
      </c>
      <c r="M1532" s="16" t="n">
        <v>45748</v>
      </c>
      <c r="N1532" s="6" t="s">
        <v>10886</v>
      </c>
      <c r="O1532" s="16" t="n">
        <v>42944</v>
      </c>
      <c r="P1532" s="6" t="s">
        <v>10907</v>
      </c>
      <c r="Q1532" s="6" t="s">
        <v>81</v>
      </c>
      <c r="R1532" s="6" t="s">
        <v>12847</v>
      </c>
      <c r="S1532" s="6" t="s">
        <v>10886</v>
      </c>
      <c r="T1532" s="16" t="n">
        <v>42944</v>
      </c>
      <c r="U1532" s="6" t="s">
        <v>13168</v>
      </c>
      <c r="V1532" s="6" t="s">
        <v>81</v>
      </c>
      <c r="W1532" s="6" t="s">
        <v>12847</v>
      </c>
      <c r="X1532" s="6" t="s">
        <v>81</v>
      </c>
      <c r="Y1532" s="21" t="s">
        <v>81</v>
      </c>
      <c r="Z1532" s="6" t="s">
        <v>81</v>
      </c>
      <c r="AA1532" s="6" t="s">
        <v>81</v>
      </c>
      <c r="AB1532" s="6" t="s">
        <v>81</v>
      </c>
      <c r="AC1532" s="6" t="s">
        <v>81</v>
      </c>
      <c r="AD1532" s="21" t="s">
        <v>81</v>
      </c>
      <c r="AE1532" s="6" t="s">
        <v>81</v>
      </c>
      <c r="AF1532" s="6" t="s">
        <v>81</v>
      </c>
      <c r="AG1532" s="6" t="s">
        <v>81</v>
      </c>
      <c r="AH1532" s="6" t="s">
        <v>16100</v>
      </c>
      <c r="AI1532" s="6" t="s">
        <v>81</v>
      </c>
      <c r="AJ1532" s="6" t="s">
        <v>17324</v>
      </c>
      <c r="AK1532" s="6" t="s">
        <v>18378</v>
      </c>
      <c r="AL1532" s="6" t="s">
        <v>18444</v>
      </c>
      <c r="AM1532" s="6" t="s">
        <v>18476</v>
      </c>
      <c r="AN1532" s="6" t="s">
        <v>19640</v>
      </c>
      <c r="AO1532" s="6" t="s">
        <v>19726</v>
      </c>
      <c r="AP1532" s="6" t="s">
        <v>81</v>
      </c>
      <c r="AQ1532" s="6" t="s">
        <v>81</v>
      </c>
      <c r="AR1532" s="6" t="s">
        <v>81</v>
      </c>
      <c r="AS1532" s="6" t="s">
        <v>81</v>
      </c>
      <c r="AT1532" s="6" t="s">
        <v>81</v>
      </c>
      <c r="AU1532" s="6" t="s">
        <v>81</v>
      </c>
      <c r="AV1532" s="6" t="s">
        <v>81</v>
      </c>
      <c r="AW1532" s="6" t="s">
        <v>81</v>
      </c>
      <c r="AX1532" s="6" t="s">
        <v>21714</v>
      </c>
      <c r="AY1532" s="6" t="s">
        <v>81</v>
      </c>
      <c r="AZ1532" s="6" t="s">
        <v>81</v>
      </c>
      <c r="BA1532" s="6" t="s">
        <v>81</v>
      </c>
      <c r="BB1532" s="24" t="n">
        <v>95</v>
      </c>
      <c r="BC1532" s="26"/>
      <c r="BD1532" s="26"/>
      <c r="BE1532" s="26"/>
      <c r="BF1532" s="26"/>
      <c r="BG1532" s="26"/>
      <c r="BH1532" s="26"/>
      <c r="BI1532" s="26"/>
      <c r="BJ1532" s="26"/>
      <c r="BK1532" s="26"/>
      <c r="BL1532" s="26"/>
      <c r="BM1532" s="26"/>
      <c r="BN1532" s="26"/>
      <c r="BO1532" s="26"/>
      <c r="BP1532" s="16" t="n">
        <v>45738</v>
      </c>
      <c r="BQ1532" s="28" t="str">
        <f>HYPERLINK("https://organic.ams.usda.gov/Integrity/Certificate.aspx?cid=52&amp;nopid=8431701243")</f>
        <v>https://organic.ams.usda.gov/Integrity/Certificate.aspx?cid=52&amp;nopid=8431701243</v>
      </c>
    </row>
    <row r="1533">
      <c r="A1533" t="s">
        <v>3</v>
      </c>
      <c r="B1533" s="6" t="s">
        <v>7</v>
      </c>
      <c r="C1533" s="6" t="s">
        <v>54</v>
      </c>
      <c r="D1533" s="6" t="s">
        <v>100</v>
      </c>
      <c r="E1533" s="10" t="s">
        <v>1674</v>
      </c>
      <c r="F1533" s="6" t="s">
        <v>4398</v>
      </c>
      <c r="G1533" s="6" t="s">
        <v>81</v>
      </c>
      <c r="H1533" s="6" t="s">
        <v>7298</v>
      </c>
      <c r="I1533" s="6" t="s">
        <v>8685</v>
      </c>
      <c r="J1533" s="6" t="s">
        <v>10197</v>
      </c>
      <c r="K1533" s="6" t="s">
        <v>10886</v>
      </c>
      <c r="L1533" s="16" t="n">
        <v>44476</v>
      </c>
      <c r="M1533" s="16" t="n">
        <v>45716</v>
      </c>
      <c r="N1533" s="6" t="s">
        <v>10886</v>
      </c>
      <c r="O1533" s="16" t="n">
        <v>44476</v>
      </c>
      <c r="P1533" s="6" t="s">
        <v>11806</v>
      </c>
      <c r="Q1533" s="6" t="s">
        <v>81</v>
      </c>
      <c r="R1533" s="6" t="s">
        <v>81</v>
      </c>
      <c r="S1533" s="6" t="s">
        <v>10886</v>
      </c>
      <c r="T1533" s="16" t="n">
        <v>44749</v>
      </c>
      <c r="U1533" s="6" t="s">
        <v>13169</v>
      </c>
      <c r="V1533" s="6" t="s">
        <v>81</v>
      </c>
      <c r="W1533" s="6" t="s">
        <v>81</v>
      </c>
      <c r="X1533" s="6" t="s">
        <v>81</v>
      </c>
      <c r="Y1533" s="21" t="s">
        <v>81</v>
      </c>
      <c r="Z1533" s="6" t="s">
        <v>81</v>
      </c>
      <c r="AA1533" s="6" t="s">
        <v>81</v>
      </c>
      <c r="AB1533" s="6" t="s">
        <v>81</v>
      </c>
      <c r="AC1533" s="6" t="s">
        <v>81</v>
      </c>
      <c r="AD1533" s="21" t="s">
        <v>81</v>
      </c>
      <c r="AE1533" s="6" t="s">
        <v>81</v>
      </c>
      <c r="AF1533" s="6" t="s">
        <v>81</v>
      </c>
      <c r="AG1533" s="6" t="s">
        <v>81</v>
      </c>
      <c r="AH1533" s="6" t="s">
        <v>16101</v>
      </c>
      <c r="AI1533" s="6" t="s">
        <v>81</v>
      </c>
      <c r="AJ1533" s="6" t="s">
        <v>17490</v>
      </c>
      <c r="AK1533" s="6" t="s">
        <v>17712</v>
      </c>
      <c r="AL1533" s="6" t="s">
        <v>18444</v>
      </c>
      <c r="AM1533" s="6" t="s">
        <v>18650</v>
      </c>
      <c r="AN1533" s="6" t="s">
        <v>19635</v>
      </c>
      <c r="AO1533" s="6" t="s">
        <v>19795</v>
      </c>
      <c r="AP1533" s="6" t="s">
        <v>16101</v>
      </c>
      <c r="AQ1533" s="6" t="s">
        <v>81</v>
      </c>
      <c r="AR1533" s="6" t="s">
        <v>17490</v>
      </c>
      <c r="AS1533" s="6" t="s">
        <v>17712</v>
      </c>
      <c r="AT1533" s="6" t="s">
        <v>18444</v>
      </c>
      <c r="AU1533" s="6" t="s">
        <v>18650</v>
      </c>
      <c r="AV1533" s="6" t="s">
        <v>81</v>
      </c>
      <c r="AW1533" s="6" t="s">
        <v>81</v>
      </c>
      <c r="AX1533" s="6" t="s">
        <v>81</v>
      </c>
      <c r="AY1533" s="6" t="s">
        <v>81</v>
      </c>
      <c r="AZ1533" s="6" t="s">
        <v>81</v>
      </c>
      <c r="BA1533" s="6" t="s">
        <v>81</v>
      </c>
      <c r="BB1533" s="24" t="n">
        <v>162</v>
      </c>
      <c r="BC1533" s="26"/>
      <c r="BD1533" s="26"/>
      <c r="BE1533" s="26"/>
      <c r="BF1533" s="26" t="s">
        <v>23900</v>
      </c>
      <c r="BG1533" s="26"/>
      <c r="BH1533" s="26"/>
      <c r="BI1533" s="26"/>
      <c r="BJ1533" s="26"/>
      <c r="BK1533" s="26"/>
      <c r="BL1533" s="26"/>
      <c r="BM1533" s="26"/>
      <c r="BN1533" s="26"/>
      <c r="BO1533" s="26"/>
      <c r="BP1533" s="16" t="n">
        <v>45595</v>
      </c>
      <c r="BQ1533" s="28" t="str">
        <f>HYPERLINK("https://organic.ams.usda.gov/Integrity/Certificate.aspx?cid=57&amp;nopid=3252021095")</f>
        <v>https://organic.ams.usda.gov/Integrity/Certificate.aspx?cid=57&amp;nopid=3252021095</v>
      </c>
    </row>
    <row r="1534">
      <c r="A1534" t="s">
        <v>3</v>
      </c>
      <c r="B1534" s="6" t="s">
        <v>13</v>
      </c>
      <c r="C1534" s="6" t="s">
        <v>60</v>
      </c>
      <c r="D1534" s="6" t="s">
        <v>106</v>
      </c>
      <c r="E1534" s="10" t="s">
        <v>1675</v>
      </c>
      <c r="F1534" s="6" t="s">
        <v>4399</v>
      </c>
      <c r="G1534" s="6" t="s">
        <v>81</v>
      </c>
      <c r="H1534" s="6" t="s">
        <v>7299</v>
      </c>
      <c r="I1534" s="6" t="s">
        <v>8685</v>
      </c>
      <c r="J1534" s="6" t="s">
        <v>9731</v>
      </c>
      <c r="K1534" s="6" t="s">
        <v>10886</v>
      </c>
      <c r="L1534" s="16" t="n">
        <v>41988</v>
      </c>
      <c r="M1534" s="16" t="n">
        <v>45748</v>
      </c>
      <c r="N1534" s="6" t="s">
        <v>10886</v>
      </c>
      <c r="O1534" s="16" t="n">
        <v>41988</v>
      </c>
      <c r="P1534" s="6" t="s">
        <v>11807</v>
      </c>
      <c r="Q1534" s="6" t="s">
        <v>81</v>
      </c>
      <c r="R1534" s="6" t="s">
        <v>12848</v>
      </c>
      <c r="S1534" s="6" t="s">
        <v>10886</v>
      </c>
      <c r="T1534" s="16" t="n">
        <v>41988</v>
      </c>
      <c r="U1534" s="6" t="s">
        <v>13647</v>
      </c>
      <c r="V1534" s="6" t="s">
        <v>81</v>
      </c>
      <c r="W1534" s="6" t="s">
        <v>12848</v>
      </c>
      <c r="X1534" s="6" t="s">
        <v>81</v>
      </c>
      <c r="Y1534" s="21" t="s">
        <v>81</v>
      </c>
      <c r="Z1534" s="6" t="s">
        <v>81</v>
      </c>
      <c r="AA1534" s="6" t="s">
        <v>81</v>
      </c>
      <c r="AB1534" s="6" t="s">
        <v>81</v>
      </c>
      <c r="AC1534" s="6" t="s">
        <v>81</v>
      </c>
      <c r="AD1534" s="21" t="s">
        <v>81</v>
      </c>
      <c r="AE1534" s="6" t="s">
        <v>81</v>
      </c>
      <c r="AF1534" s="6" t="s">
        <v>81</v>
      </c>
      <c r="AG1534" s="6" t="s">
        <v>81</v>
      </c>
      <c r="AH1534" s="6" t="s">
        <v>16102</v>
      </c>
      <c r="AI1534" s="6" t="s">
        <v>81</v>
      </c>
      <c r="AJ1534" s="6" t="s">
        <v>17391</v>
      </c>
      <c r="AK1534" s="6" t="s">
        <v>18379</v>
      </c>
      <c r="AL1534" s="6" t="s">
        <v>18444</v>
      </c>
      <c r="AM1534" s="6" t="s">
        <v>18467</v>
      </c>
      <c r="AN1534" s="6" t="s">
        <v>19637</v>
      </c>
      <c r="AO1534" s="6" t="s">
        <v>19723</v>
      </c>
      <c r="AP1534" s="6" t="s">
        <v>16102</v>
      </c>
      <c r="AQ1534" s="6" t="s">
        <v>81</v>
      </c>
      <c r="AR1534" s="6" t="s">
        <v>17391</v>
      </c>
      <c r="AS1534" s="6" t="s">
        <v>18379</v>
      </c>
      <c r="AT1534" s="6" t="s">
        <v>18444</v>
      </c>
      <c r="AU1534" s="6" t="s">
        <v>18467</v>
      </c>
      <c r="AV1534" s="6" t="s">
        <v>81</v>
      </c>
      <c r="AW1534" s="6" t="s">
        <v>81</v>
      </c>
      <c r="AX1534" s="6" t="s">
        <v>21715</v>
      </c>
      <c r="AY1534" s="6" t="s">
        <v>81</v>
      </c>
      <c r="AZ1534" s="6" t="s">
        <v>81</v>
      </c>
      <c r="BA1534" s="6" t="s">
        <v>81</v>
      </c>
      <c r="BB1534" s="24" t="n">
        <v>90</v>
      </c>
      <c r="BC1534" s="26"/>
      <c r="BD1534" s="26"/>
      <c r="BE1534" s="26"/>
      <c r="BF1534" s="26" t="s">
        <v>23900</v>
      </c>
      <c r="BG1534" s="26"/>
      <c r="BH1534" s="26"/>
      <c r="BI1534" s="26"/>
      <c r="BJ1534" s="26"/>
      <c r="BK1534" s="26"/>
      <c r="BL1534" s="26"/>
      <c r="BM1534" s="26"/>
      <c r="BN1534" s="26"/>
      <c r="BO1534" s="26"/>
      <c r="BP1534" s="16" t="n">
        <v>45663</v>
      </c>
      <c r="BQ1534" s="28" t="str">
        <f>HYPERLINK("https://organic.ams.usda.gov/Integrity/Certificate.aspx?cid=72&amp;nopid=5870001897")</f>
        <v>https://organic.ams.usda.gov/Integrity/Certificate.aspx?cid=72&amp;nopid=5870001897</v>
      </c>
    </row>
    <row r="1535">
      <c r="A1535" t="s">
        <v>3</v>
      </c>
      <c r="B1535" s="6" t="s">
        <v>15</v>
      </c>
      <c r="C1535" s="6" t="s">
        <v>62</v>
      </c>
      <c r="D1535" s="6" t="s">
        <v>108</v>
      </c>
      <c r="E1535" s="10" t="s">
        <v>1676</v>
      </c>
      <c r="F1535" s="6" t="s">
        <v>4400</v>
      </c>
      <c r="G1535" s="6" t="s">
        <v>5733</v>
      </c>
      <c r="H1535" s="6" t="s">
        <v>7300</v>
      </c>
      <c r="I1535" s="6" t="s">
        <v>8685</v>
      </c>
      <c r="J1535" s="6" t="s">
        <v>9675</v>
      </c>
      <c r="K1535" s="6" t="s">
        <v>10886</v>
      </c>
      <c r="L1535" s="16" t="n">
        <v>41698</v>
      </c>
      <c r="M1535" s="16" t="n">
        <v>45792</v>
      </c>
      <c r="N1535" s="6" t="s">
        <v>10886</v>
      </c>
      <c r="O1535" s="16" t="n">
        <v>41698</v>
      </c>
      <c r="P1535" s="6" t="s">
        <v>11808</v>
      </c>
      <c r="Q1535" s="6" t="s">
        <v>81</v>
      </c>
      <c r="R1535" s="6" t="s">
        <v>81</v>
      </c>
      <c r="S1535" s="6" t="s">
        <v>10886</v>
      </c>
      <c r="T1535" s="16" t="n">
        <v>41698</v>
      </c>
      <c r="U1535" s="6" t="s">
        <v>13196</v>
      </c>
      <c r="V1535" s="6" t="s">
        <v>81</v>
      </c>
      <c r="W1535" s="6" t="s">
        <v>81</v>
      </c>
      <c r="X1535" s="6" t="s">
        <v>81</v>
      </c>
      <c r="Y1535" s="21" t="s">
        <v>81</v>
      </c>
      <c r="Z1535" s="6" t="s">
        <v>81</v>
      </c>
      <c r="AA1535" s="6" t="s">
        <v>81</v>
      </c>
      <c r="AB1535" s="6" t="s">
        <v>81</v>
      </c>
      <c r="AC1535" s="6" t="s">
        <v>81</v>
      </c>
      <c r="AD1535" s="21" t="s">
        <v>81</v>
      </c>
      <c r="AE1535" s="6" t="s">
        <v>81</v>
      </c>
      <c r="AF1535" s="6" t="s">
        <v>81</v>
      </c>
      <c r="AG1535" s="6" t="s">
        <v>81</v>
      </c>
      <c r="AH1535" s="6" t="s">
        <v>16103</v>
      </c>
      <c r="AI1535" s="6" t="s">
        <v>81</v>
      </c>
      <c r="AJ1535" s="6" t="s">
        <v>17324</v>
      </c>
      <c r="AK1535" s="6" t="s">
        <v>18378</v>
      </c>
      <c r="AL1535" s="6" t="s">
        <v>18444</v>
      </c>
      <c r="AM1535" s="6" t="s">
        <v>18476</v>
      </c>
      <c r="AN1535" s="6" t="s">
        <v>19640</v>
      </c>
      <c r="AO1535" s="6" t="s">
        <v>19726</v>
      </c>
      <c r="AP1535" s="6" t="s">
        <v>20295</v>
      </c>
      <c r="AQ1535" s="6" t="s">
        <v>81</v>
      </c>
      <c r="AR1535" s="6" t="s">
        <v>17324</v>
      </c>
      <c r="AS1535" s="6" t="s">
        <v>18378</v>
      </c>
      <c r="AT1535" s="6" t="s">
        <v>18444</v>
      </c>
      <c r="AU1535" s="6" t="s">
        <v>18476</v>
      </c>
      <c r="AV1535" s="6" t="s">
        <v>81</v>
      </c>
      <c r="AW1535" s="6" t="s">
        <v>81</v>
      </c>
      <c r="AX1535" s="6" t="s">
        <v>21716</v>
      </c>
      <c r="AY1535" s="6" t="s">
        <v>81</v>
      </c>
      <c r="AZ1535" s="6" t="s">
        <v>81</v>
      </c>
      <c r="BA1535" s="6" t="s">
        <v>81</v>
      </c>
      <c r="BB1535" s="24" t="n">
        <v>72</v>
      </c>
      <c r="BC1535" s="26"/>
      <c r="BD1535" s="26"/>
      <c r="BE1535" s="26"/>
      <c r="BF1535" s="26" t="s">
        <v>23900</v>
      </c>
      <c r="BG1535" s="26"/>
      <c r="BH1535" s="26"/>
      <c r="BI1535" s="26"/>
      <c r="BJ1535" s="26"/>
      <c r="BK1535" s="26"/>
      <c r="BL1535" s="26"/>
      <c r="BM1535" s="26"/>
      <c r="BN1535" s="26"/>
      <c r="BO1535" s="26"/>
      <c r="BP1535" s="16" t="n">
        <v>45737</v>
      </c>
      <c r="BQ1535" s="28" t="str">
        <f>HYPERLINK("https://organic.ams.usda.gov/Integrity/Certificate.aspx?cid=58&amp;nopid=1600001442")</f>
        <v>https://organic.ams.usda.gov/Integrity/Certificate.aspx?cid=58&amp;nopid=1600001442</v>
      </c>
    </row>
    <row r="1536">
      <c r="A1536" t="s">
        <v>3</v>
      </c>
      <c r="B1536" s="6" t="s">
        <v>15</v>
      </c>
      <c r="C1536" s="6" t="s">
        <v>62</v>
      </c>
      <c r="D1536" s="6" t="s">
        <v>108</v>
      </c>
      <c r="E1536" s="10" t="s">
        <v>1677</v>
      </c>
      <c r="F1536" s="6" t="s">
        <v>4401</v>
      </c>
      <c r="G1536" s="6" t="s">
        <v>5734</v>
      </c>
      <c r="H1536" s="6" t="s">
        <v>7301</v>
      </c>
      <c r="I1536" s="6" t="s">
        <v>9178</v>
      </c>
      <c r="J1536" s="6" t="s">
        <v>9667</v>
      </c>
      <c r="K1536" s="6" t="s">
        <v>10886</v>
      </c>
      <c r="L1536" s="16" t="n">
        <v>43640</v>
      </c>
      <c r="M1536" s="16" t="n">
        <v>45792</v>
      </c>
      <c r="N1536" s="6" t="s">
        <v>10886</v>
      </c>
      <c r="O1536" s="16" t="n">
        <v>43640</v>
      </c>
      <c r="P1536" s="6" t="s">
        <v>11809</v>
      </c>
      <c r="Q1536" s="6" t="s">
        <v>81</v>
      </c>
      <c r="R1536" s="6" t="s">
        <v>81</v>
      </c>
      <c r="S1536" s="6" t="s">
        <v>10886</v>
      </c>
      <c r="T1536" s="16" t="n">
        <v>43640</v>
      </c>
      <c r="U1536" s="6" t="s">
        <v>13380</v>
      </c>
      <c r="V1536" s="6" t="s">
        <v>81</v>
      </c>
      <c r="W1536" s="6" t="s">
        <v>81</v>
      </c>
      <c r="X1536" s="6" t="s">
        <v>81</v>
      </c>
      <c r="Y1536" s="21" t="s">
        <v>81</v>
      </c>
      <c r="Z1536" s="6" t="s">
        <v>81</v>
      </c>
      <c r="AA1536" s="6" t="s">
        <v>81</v>
      </c>
      <c r="AB1536" s="6" t="s">
        <v>81</v>
      </c>
      <c r="AC1536" s="6" t="s">
        <v>81</v>
      </c>
      <c r="AD1536" s="21" t="s">
        <v>81</v>
      </c>
      <c r="AE1536" s="6" t="s">
        <v>81</v>
      </c>
      <c r="AF1536" s="6" t="s">
        <v>81</v>
      </c>
      <c r="AG1536" s="6" t="s">
        <v>81</v>
      </c>
      <c r="AH1536" s="6" t="s">
        <v>16104</v>
      </c>
      <c r="AI1536" s="6" t="s">
        <v>81</v>
      </c>
      <c r="AJ1536" s="6" t="s">
        <v>17387</v>
      </c>
      <c r="AK1536" s="6" t="s">
        <v>18380</v>
      </c>
      <c r="AL1536" s="6" t="s">
        <v>18444</v>
      </c>
      <c r="AM1536" s="6" t="s">
        <v>18541</v>
      </c>
      <c r="AN1536" s="6" t="s">
        <v>19639</v>
      </c>
      <c r="AO1536" s="6" t="s">
        <v>19725</v>
      </c>
      <c r="AP1536" s="6" t="s">
        <v>16104</v>
      </c>
      <c r="AQ1536" s="6" t="s">
        <v>81</v>
      </c>
      <c r="AR1536" s="6" t="s">
        <v>17387</v>
      </c>
      <c r="AS1536" s="6" t="s">
        <v>18380</v>
      </c>
      <c r="AT1536" s="6" t="s">
        <v>18444</v>
      </c>
      <c r="AU1536" s="6" t="s">
        <v>18541</v>
      </c>
      <c r="AV1536" s="6" t="s">
        <v>81</v>
      </c>
      <c r="AW1536" s="6" t="s">
        <v>81</v>
      </c>
      <c r="AX1536" s="6" t="s">
        <v>21717</v>
      </c>
      <c r="AY1536" s="6" t="s">
        <v>81</v>
      </c>
      <c r="AZ1536" s="6" t="s">
        <v>81</v>
      </c>
      <c r="BA1536" s="6" t="s">
        <v>81</v>
      </c>
      <c r="BB1536" s="24" t="n">
        <v>43</v>
      </c>
      <c r="BC1536" s="26"/>
      <c r="BD1536" s="26"/>
      <c r="BE1536" s="26"/>
      <c r="BF1536" s="26" t="s">
        <v>23900</v>
      </c>
      <c r="BG1536" s="26"/>
      <c r="BH1536" s="26"/>
      <c r="BI1536" s="26"/>
      <c r="BJ1536" s="26"/>
      <c r="BK1536" s="26"/>
      <c r="BL1536" s="26"/>
      <c r="BM1536" s="26"/>
      <c r="BN1536" s="26"/>
      <c r="BO1536" s="26"/>
      <c r="BP1536" s="16" t="n">
        <v>45737</v>
      </c>
      <c r="BQ1536" s="28" t="str">
        <f>HYPERLINK("https://organic.ams.usda.gov/Integrity/Certificate.aspx?cid=58&amp;nopid=1600003308")</f>
        <v>https://organic.ams.usda.gov/Integrity/Certificate.aspx?cid=58&amp;nopid=1600003308</v>
      </c>
    </row>
    <row r="1537">
      <c r="A1537" t="s">
        <v>3</v>
      </c>
      <c r="B1537" s="6" t="s">
        <v>12</v>
      </c>
      <c r="C1537" s="6" t="s">
        <v>59</v>
      </c>
      <c r="D1537" s="6" t="s">
        <v>105</v>
      </c>
      <c r="E1537" s="10" t="s">
        <v>1678</v>
      </c>
      <c r="F1537" s="6" t="s">
        <v>4402</v>
      </c>
      <c r="G1537" s="6" t="s">
        <v>81</v>
      </c>
      <c r="H1537" s="6" t="s">
        <v>7302</v>
      </c>
      <c r="I1537" s="6" t="s">
        <v>9178</v>
      </c>
      <c r="J1537" s="6" t="s">
        <v>9666</v>
      </c>
      <c r="K1537" s="6" t="s">
        <v>10886</v>
      </c>
      <c r="L1537" s="16" t="n">
        <v>40787</v>
      </c>
      <c r="M1537" s="16" t="n">
        <v>45717</v>
      </c>
      <c r="N1537" s="6" t="s">
        <v>10886</v>
      </c>
      <c r="O1537" s="16" t="n">
        <v>40787</v>
      </c>
      <c r="P1537" s="6" t="s">
        <v>11810</v>
      </c>
      <c r="Q1537" s="6" t="s">
        <v>81</v>
      </c>
      <c r="R1537" s="6" t="s">
        <v>81</v>
      </c>
      <c r="S1537" s="6" t="s">
        <v>10886</v>
      </c>
      <c r="T1537" s="16" t="n">
        <v>40787</v>
      </c>
      <c r="U1537" s="6" t="s">
        <v>13166</v>
      </c>
      <c r="V1537" s="6" t="s">
        <v>81</v>
      </c>
      <c r="W1537" s="6" t="s">
        <v>81</v>
      </c>
      <c r="X1537" s="6" t="s">
        <v>81</v>
      </c>
      <c r="Y1537" s="21" t="s">
        <v>81</v>
      </c>
      <c r="Z1537" s="6" t="s">
        <v>81</v>
      </c>
      <c r="AA1537" s="6" t="s">
        <v>81</v>
      </c>
      <c r="AB1537" s="6" t="s">
        <v>81</v>
      </c>
      <c r="AC1537" s="6" t="s">
        <v>81</v>
      </c>
      <c r="AD1537" s="21" t="s">
        <v>81</v>
      </c>
      <c r="AE1537" s="6" t="s">
        <v>81</v>
      </c>
      <c r="AF1537" s="6" t="s">
        <v>81</v>
      </c>
      <c r="AG1537" s="6" t="s">
        <v>81</v>
      </c>
      <c r="AH1537" s="6" t="s">
        <v>16105</v>
      </c>
      <c r="AI1537" s="6" t="s">
        <v>81</v>
      </c>
      <c r="AJ1537" s="6" t="s">
        <v>17758</v>
      </c>
      <c r="AK1537" s="6" t="s">
        <v>18380</v>
      </c>
      <c r="AL1537" s="6" t="s">
        <v>18444</v>
      </c>
      <c r="AM1537" s="6" t="s">
        <v>18930</v>
      </c>
      <c r="AN1537" s="6" t="s">
        <v>19681</v>
      </c>
      <c r="AO1537" s="6" t="s">
        <v>19805</v>
      </c>
      <c r="AP1537" s="6" t="s">
        <v>16105</v>
      </c>
      <c r="AQ1537" s="6" t="s">
        <v>81</v>
      </c>
      <c r="AR1537" s="6" t="s">
        <v>17758</v>
      </c>
      <c r="AS1537" s="6" t="s">
        <v>18380</v>
      </c>
      <c r="AT1537" s="6" t="s">
        <v>18444</v>
      </c>
      <c r="AU1537" s="6" t="s">
        <v>18930</v>
      </c>
      <c r="AV1537" s="6" t="s">
        <v>81</v>
      </c>
      <c r="AW1537" s="6" t="s">
        <v>81</v>
      </c>
      <c r="AX1537" s="6" t="s">
        <v>21248</v>
      </c>
      <c r="AY1537" s="6" t="s">
        <v>81</v>
      </c>
      <c r="AZ1537" s="6" t="s">
        <v>81</v>
      </c>
      <c r="BA1537" s="6" t="s">
        <v>81</v>
      </c>
      <c r="BB1537" s="24" t="n">
        <v>159</v>
      </c>
      <c r="BC1537" s="26"/>
      <c r="BD1537" s="26"/>
      <c r="BE1537" s="26"/>
      <c r="BF1537" s="26"/>
      <c r="BG1537" s="26"/>
      <c r="BH1537" s="26"/>
      <c r="BI1537" s="26"/>
      <c r="BJ1537" s="26"/>
      <c r="BK1537" s="26"/>
      <c r="BL1537" s="26"/>
      <c r="BM1537" s="26"/>
      <c r="BN1537" s="26"/>
      <c r="BO1537" s="26"/>
      <c r="BP1537" s="16" t="n">
        <v>45684</v>
      </c>
      <c r="BQ1537" s="28" t="str">
        <f>HYPERLINK("https://organic.ams.usda.gov/Integrity/Certificate.aspx?cid=68&amp;nopid=8210001604")</f>
        <v>https://organic.ams.usda.gov/Integrity/Certificate.aspx?cid=68&amp;nopid=8210001604</v>
      </c>
    </row>
    <row r="1538">
      <c r="A1538" t="s">
        <v>3</v>
      </c>
      <c r="B1538" s="6" t="s">
        <v>30</v>
      </c>
      <c r="C1538" s="6" t="s">
        <v>77</v>
      </c>
      <c r="D1538" s="6" t="s">
        <v>123</v>
      </c>
      <c r="E1538" s="10" t="s">
        <v>1679</v>
      </c>
      <c r="F1538" s="6" t="s">
        <v>4403</v>
      </c>
      <c r="G1538" s="6" t="s">
        <v>81</v>
      </c>
      <c r="H1538" s="6" t="s">
        <v>7303</v>
      </c>
      <c r="I1538" s="6" t="s">
        <v>9178</v>
      </c>
      <c r="J1538" s="6" t="s">
        <v>9960</v>
      </c>
      <c r="K1538" s="6" t="s">
        <v>10886</v>
      </c>
      <c r="L1538" s="16" t="n">
        <v>40774</v>
      </c>
      <c r="M1538" s="16" t="n">
        <v>45747</v>
      </c>
      <c r="N1538" s="6" t="s">
        <v>10886</v>
      </c>
      <c r="O1538" s="16" t="n">
        <v>40774</v>
      </c>
      <c r="P1538" s="6" t="s">
        <v>10900</v>
      </c>
      <c r="Q1538" s="6" t="s">
        <v>81</v>
      </c>
      <c r="R1538" s="6" t="s">
        <v>7303</v>
      </c>
      <c r="S1538" s="6" t="s">
        <v>10886</v>
      </c>
      <c r="T1538" s="16" t="n">
        <v>40774</v>
      </c>
      <c r="U1538" s="6" t="s">
        <v>13453</v>
      </c>
      <c r="V1538" s="6" t="s">
        <v>81</v>
      </c>
      <c r="W1538" s="6" t="s">
        <v>7303</v>
      </c>
      <c r="X1538" s="6" t="s">
        <v>81</v>
      </c>
      <c r="Y1538" s="21" t="s">
        <v>81</v>
      </c>
      <c r="Z1538" s="6" t="s">
        <v>81</v>
      </c>
      <c r="AA1538" s="6" t="s">
        <v>81</v>
      </c>
      <c r="AB1538" s="6" t="s">
        <v>81</v>
      </c>
      <c r="AC1538" s="6" t="s">
        <v>81</v>
      </c>
      <c r="AD1538" s="21" t="s">
        <v>81</v>
      </c>
      <c r="AE1538" s="6" t="s">
        <v>81</v>
      </c>
      <c r="AF1538" s="6" t="s">
        <v>81</v>
      </c>
      <c r="AG1538" s="6" t="s">
        <v>81</v>
      </c>
      <c r="AH1538" s="6" t="s">
        <v>16106</v>
      </c>
      <c r="AI1538" s="6" t="s">
        <v>81</v>
      </c>
      <c r="AJ1538" s="6" t="s">
        <v>17406</v>
      </c>
      <c r="AK1538" s="6" t="s">
        <v>17712</v>
      </c>
      <c r="AL1538" s="6" t="s">
        <v>18444</v>
      </c>
      <c r="AM1538" s="6" t="s">
        <v>18562</v>
      </c>
      <c r="AN1538" s="6" t="s">
        <v>19657</v>
      </c>
      <c r="AO1538" s="6" t="s">
        <v>19751</v>
      </c>
      <c r="AP1538" s="6" t="s">
        <v>16106</v>
      </c>
      <c r="AQ1538" s="6" t="s">
        <v>81</v>
      </c>
      <c r="AR1538" s="6" t="s">
        <v>17406</v>
      </c>
      <c r="AS1538" s="6" t="s">
        <v>17712</v>
      </c>
      <c r="AT1538" s="6" t="s">
        <v>18444</v>
      </c>
      <c r="AU1538" s="6" t="s">
        <v>18562</v>
      </c>
      <c r="AV1538" s="6" t="s">
        <v>81</v>
      </c>
      <c r="AW1538" s="6" t="s">
        <v>81</v>
      </c>
      <c r="AX1538" s="6" t="s">
        <v>81</v>
      </c>
      <c r="AY1538" s="6" t="s">
        <v>81</v>
      </c>
      <c r="AZ1538" s="6" t="s">
        <v>81</v>
      </c>
      <c r="BA1538" s="6" t="s">
        <v>81</v>
      </c>
      <c r="BB1538" s="24" t="n">
        <v>80</v>
      </c>
      <c r="BC1538" s="26"/>
      <c r="BD1538" s="26"/>
      <c r="BE1538" s="26"/>
      <c r="BF1538" s="26"/>
      <c r="BG1538" s="26"/>
      <c r="BH1538" s="26"/>
      <c r="BI1538" s="26"/>
      <c r="BJ1538" s="26"/>
      <c r="BK1538" s="26"/>
      <c r="BL1538" s="26"/>
      <c r="BM1538" s="26"/>
      <c r="BN1538" s="26"/>
      <c r="BO1538" s="26"/>
      <c r="BP1538" s="16" t="n">
        <v>45559</v>
      </c>
      <c r="BQ1538" s="28" t="str">
        <f>HYPERLINK("https://organic.ams.usda.gov/Integrity/Certificate.aspx?cid=70&amp;nopid=6431141600")</f>
        <v>https://organic.ams.usda.gov/Integrity/Certificate.aspx?cid=70&amp;nopid=6431141600</v>
      </c>
    </row>
    <row r="1539">
      <c r="A1539" t="s">
        <v>3</v>
      </c>
      <c r="B1539" s="6" t="s">
        <v>7</v>
      </c>
      <c r="C1539" s="6" t="s">
        <v>54</v>
      </c>
      <c r="D1539" s="6" t="s">
        <v>100</v>
      </c>
      <c r="E1539" s="10" t="s">
        <v>1680</v>
      </c>
      <c r="F1539" s="6" t="s">
        <v>4404</v>
      </c>
      <c r="G1539" s="6" t="s">
        <v>81</v>
      </c>
      <c r="H1539" s="6" t="s">
        <v>7304</v>
      </c>
      <c r="I1539" s="6" t="s">
        <v>8685</v>
      </c>
      <c r="J1539" s="6" t="s">
        <v>9669</v>
      </c>
      <c r="K1539" s="6" t="s">
        <v>10886</v>
      </c>
      <c r="L1539" s="16" t="n">
        <v>44498</v>
      </c>
      <c r="M1539" s="16" t="n">
        <v>45716</v>
      </c>
      <c r="N1539" s="6" t="s">
        <v>10886</v>
      </c>
      <c r="O1539" s="16" t="n">
        <v>44498</v>
      </c>
      <c r="P1539" s="6" t="s">
        <v>11017</v>
      </c>
      <c r="Q1539" s="6" t="s">
        <v>81</v>
      </c>
      <c r="R1539" s="6" t="s">
        <v>81</v>
      </c>
      <c r="S1539" s="6" t="s">
        <v>10886</v>
      </c>
      <c r="T1539" s="16" t="n">
        <v>44498</v>
      </c>
      <c r="U1539" s="6" t="s">
        <v>13169</v>
      </c>
      <c r="V1539" s="6" t="s">
        <v>81</v>
      </c>
      <c r="W1539" s="6" t="s">
        <v>81</v>
      </c>
      <c r="X1539" s="6" t="s">
        <v>81</v>
      </c>
      <c r="Y1539" s="21" t="s">
        <v>81</v>
      </c>
      <c r="Z1539" s="6" t="s">
        <v>81</v>
      </c>
      <c r="AA1539" s="6" t="s">
        <v>81</v>
      </c>
      <c r="AB1539" s="6" t="s">
        <v>81</v>
      </c>
      <c r="AC1539" s="6" t="s">
        <v>81</v>
      </c>
      <c r="AD1539" s="21" t="s">
        <v>81</v>
      </c>
      <c r="AE1539" s="6" t="s">
        <v>81</v>
      </c>
      <c r="AF1539" s="6" t="s">
        <v>81</v>
      </c>
      <c r="AG1539" s="6" t="s">
        <v>81</v>
      </c>
      <c r="AH1539" s="6" t="s">
        <v>16107</v>
      </c>
      <c r="AI1539" s="6" t="s">
        <v>81</v>
      </c>
      <c r="AJ1539" s="6" t="s">
        <v>17431</v>
      </c>
      <c r="AK1539" s="6" t="s">
        <v>17712</v>
      </c>
      <c r="AL1539" s="6" t="s">
        <v>18444</v>
      </c>
      <c r="AM1539" s="6" t="s">
        <v>18588</v>
      </c>
      <c r="AN1539" s="6" t="s">
        <v>19646</v>
      </c>
      <c r="AO1539" s="6" t="s">
        <v>19729</v>
      </c>
      <c r="AP1539" s="6" t="s">
        <v>16107</v>
      </c>
      <c r="AQ1539" s="6" t="s">
        <v>81</v>
      </c>
      <c r="AR1539" s="6" t="s">
        <v>17431</v>
      </c>
      <c r="AS1539" s="6" t="s">
        <v>17712</v>
      </c>
      <c r="AT1539" s="6" t="s">
        <v>18444</v>
      </c>
      <c r="AU1539" s="6" t="s">
        <v>18588</v>
      </c>
      <c r="AV1539" s="6" t="s">
        <v>81</v>
      </c>
      <c r="AW1539" s="6" t="s">
        <v>81</v>
      </c>
      <c r="AX1539" s="6" t="s">
        <v>81</v>
      </c>
      <c r="AY1539" s="6" t="s">
        <v>81</v>
      </c>
      <c r="AZ1539" s="6" t="s">
        <v>81</v>
      </c>
      <c r="BA1539" s="6" t="s">
        <v>81</v>
      </c>
      <c r="BB1539" s="24" t="n">
        <v>85</v>
      </c>
      <c r="BC1539" s="26"/>
      <c r="BD1539" s="26"/>
      <c r="BE1539" s="26"/>
      <c r="BF1539" s="26" t="s">
        <v>23900</v>
      </c>
      <c r="BG1539" s="26"/>
      <c r="BH1539" s="26"/>
      <c r="BI1539" s="26"/>
      <c r="BJ1539" s="26"/>
      <c r="BK1539" s="26"/>
      <c r="BL1539" s="26"/>
      <c r="BM1539" s="26"/>
      <c r="BN1539" s="26"/>
      <c r="BO1539" s="26"/>
      <c r="BP1539" s="16" t="n">
        <v>45688</v>
      </c>
      <c r="BQ1539" s="28" t="str">
        <f>HYPERLINK("https://organic.ams.usda.gov/Integrity/Certificate.aspx?cid=57&amp;nopid=3252021069")</f>
        <v>https://organic.ams.usda.gov/Integrity/Certificate.aspx?cid=57&amp;nopid=3252021069</v>
      </c>
    </row>
    <row r="1540">
      <c r="A1540" t="s">
        <v>3</v>
      </c>
      <c r="B1540" s="6" t="s">
        <v>12</v>
      </c>
      <c r="C1540" s="6" t="s">
        <v>59</v>
      </c>
      <c r="D1540" s="6" t="s">
        <v>105</v>
      </c>
      <c r="E1540" s="10" t="s">
        <v>1681</v>
      </c>
      <c r="F1540" s="6" t="s">
        <v>4405</v>
      </c>
      <c r="G1540" s="6" t="s">
        <v>81</v>
      </c>
      <c r="H1540" s="6" t="s">
        <v>7305</v>
      </c>
      <c r="I1540" s="6" t="s">
        <v>8685</v>
      </c>
      <c r="J1540" s="6" t="s">
        <v>9672</v>
      </c>
      <c r="K1540" s="6" t="s">
        <v>10886</v>
      </c>
      <c r="L1540" s="16" t="n">
        <v>44844</v>
      </c>
      <c r="M1540" s="16" t="n">
        <v>45717</v>
      </c>
      <c r="N1540" s="6" t="s">
        <v>10886</v>
      </c>
      <c r="O1540" s="16" t="n">
        <v>44844</v>
      </c>
      <c r="P1540" s="6" t="s">
        <v>11811</v>
      </c>
      <c r="Q1540" s="6" t="s">
        <v>81</v>
      </c>
      <c r="R1540" s="6" t="s">
        <v>81</v>
      </c>
      <c r="S1540" s="6" t="s">
        <v>10886</v>
      </c>
      <c r="T1540" s="16" t="n">
        <v>44844</v>
      </c>
      <c r="U1540" s="6" t="s">
        <v>13183</v>
      </c>
      <c r="V1540" s="6" t="s">
        <v>81</v>
      </c>
      <c r="W1540" s="6" t="s">
        <v>81</v>
      </c>
      <c r="X1540" s="6" t="s">
        <v>81</v>
      </c>
      <c r="Y1540" s="21" t="s">
        <v>81</v>
      </c>
      <c r="Z1540" s="6" t="s">
        <v>81</v>
      </c>
      <c r="AA1540" s="6" t="s">
        <v>81</v>
      </c>
      <c r="AB1540" s="6" t="s">
        <v>81</v>
      </c>
      <c r="AC1540" s="6" t="s">
        <v>81</v>
      </c>
      <c r="AD1540" s="21" t="s">
        <v>81</v>
      </c>
      <c r="AE1540" s="6" t="s">
        <v>81</v>
      </c>
      <c r="AF1540" s="6" t="s">
        <v>81</v>
      </c>
      <c r="AG1540" s="6" t="s">
        <v>81</v>
      </c>
      <c r="AH1540" s="6" t="s">
        <v>16108</v>
      </c>
      <c r="AI1540" s="6" t="s">
        <v>81</v>
      </c>
      <c r="AJ1540" s="6" t="s">
        <v>17322</v>
      </c>
      <c r="AK1540" s="6" t="s">
        <v>18380</v>
      </c>
      <c r="AL1540" s="6" t="s">
        <v>18444</v>
      </c>
      <c r="AM1540" s="6" t="s">
        <v>18474</v>
      </c>
      <c r="AN1540" s="6" t="s">
        <v>6139</v>
      </c>
      <c r="AO1540" s="6" t="s">
        <v>19729</v>
      </c>
      <c r="AP1540" s="6" t="s">
        <v>16108</v>
      </c>
      <c r="AQ1540" s="6" t="s">
        <v>81</v>
      </c>
      <c r="AR1540" s="6" t="s">
        <v>17322</v>
      </c>
      <c r="AS1540" s="6" t="s">
        <v>18380</v>
      </c>
      <c r="AT1540" s="6" t="s">
        <v>18444</v>
      </c>
      <c r="AU1540" s="6" t="s">
        <v>18474</v>
      </c>
      <c r="AV1540" s="6" t="s">
        <v>81</v>
      </c>
      <c r="AW1540" s="6" t="s">
        <v>81</v>
      </c>
      <c r="AX1540" s="6" t="s">
        <v>81</v>
      </c>
      <c r="AY1540" s="6" t="s">
        <v>81</v>
      </c>
      <c r="AZ1540" s="6" t="s">
        <v>81</v>
      </c>
      <c r="BA1540" s="6" t="s">
        <v>81</v>
      </c>
      <c r="BB1540" s="24" t="n">
        <v>74</v>
      </c>
      <c r="BC1540" s="26"/>
      <c r="BD1540" s="26"/>
      <c r="BE1540" s="26"/>
      <c r="BF1540" s="26"/>
      <c r="BG1540" s="26"/>
      <c r="BH1540" s="26"/>
      <c r="BI1540" s="26"/>
      <c r="BJ1540" s="26"/>
      <c r="BK1540" s="26"/>
      <c r="BL1540" s="26"/>
      <c r="BM1540" s="26"/>
      <c r="BN1540" s="26"/>
      <c r="BO1540" s="26"/>
      <c r="BP1540" s="16" t="n">
        <v>45684</v>
      </c>
      <c r="BQ1540" s="28" t="str">
        <f>HYPERLINK("https://organic.ams.usda.gov/Integrity/Certificate.aspx?cid=68&amp;nopid=8210008645")</f>
        <v>https://organic.ams.usda.gov/Integrity/Certificate.aspx?cid=68&amp;nopid=8210008645</v>
      </c>
    </row>
    <row r="1541">
      <c r="A1541" t="s">
        <v>3</v>
      </c>
      <c r="B1541" s="6" t="s">
        <v>7</v>
      </c>
      <c r="C1541" s="6" t="s">
        <v>54</v>
      </c>
      <c r="D1541" s="6" t="s">
        <v>100</v>
      </c>
      <c r="E1541" s="10" t="s">
        <v>1682</v>
      </c>
      <c r="F1541" s="6" t="s">
        <v>4406</v>
      </c>
      <c r="G1541" s="6" t="s">
        <v>81</v>
      </c>
      <c r="H1541" s="6" t="s">
        <v>7306</v>
      </c>
      <c r="I1541" s="6" t="s">
        <v>8685</v>
      </c>
      <c r="J1541" s="6" t="s">
        <v>9665</v>
      </c>
      <c r="K1541" s="6" t="s">
        <v>10886</v>
      </c>
      <c r="L1541" s="16" t="n">
        <v>42150</v>
      </c>
      <c r="M1541" s="16" t="n">
        <v>45716</v>
      </c>
      <c r="N1541" s="6" t="s">
        <v>10886</v>
      </c>
      <c r="O1541" s="16" t="n">
        <v>42150</v>
      </c>
      <c r="P1541" s="6" t="s">
        <v>10944</v>
      </c>
      <c r="Q1541" s="6" t="s">
        <v>81</v>
      </c>
      <c r="R1541" s="6" t="s">
        <v>81</v>
      </c>
      <c r="S1541" s="6" t="s">
        <v>10886</v>
      </c>
      <c r="T1541" s="16" t="n">
        <v>42150</v>
      </c>
      <c r="U1541" s="6" t="s">
        <v>13169</v>
      </c>
      <c r="V1541" s="6" t="s">
        <v>81</v>
      </c>
      <c r="W1541" s="6" t="s">
        <v>81</v>
      </c>
      <c r="X1541" s="6" t="s">
        <v>81</v>
      </c>
      <c r="Y1541" s="21" t="s">
        <v>81</v>
      </c>
      <c r="Z1541" s="6" t="s">
        <v>81</v>
      </c>
      <c r="AA1541" s="6" t="s">
        <v>81</v>
      </c>
      <c r="AB1541" s="6" t="s">
        <v>81</v>
      </c>
      <c r="AC1541" s="6" t="s">
        <v>81</v>
      </c>
      <c r="AD1541" s="21" t="s">
        <v>81</v>
      </c>
      <c r="AE1541" s="6" t="s">
        <v>81</v>
      </c>
      <c r="AF1541" s="6" t="s">
        <v>81</v>
      </c>
      <c r="AG1541" s="6" t="s">
        <v>81</v>
      </c>
      <c r="AH1541" s="6" t="s">
        <v>16109</v>
      </c>
      <c r="AI1541" s="6" t="s">
        <v>81</v>
      </c>
      <c r="AJ1541" s="6" t="s">
        <v>18028</v>
      </c>
      <c r="AK1541" s="6" t="s">
        <v>17712</v>
      </c>
      <c r="AL1541" s="6" t="s">
        <v>18444</v>
      </c>
      <c r="AM1541" s="6" t="s">
        <v>19218</v>
      </c>
      <c r="AN1541" s="6" t="s">
        <v>19645</v>
      </c>
      <c r="AO1541" s="6" t="s">
        <v>19770</v>
      </c>
      <c r="AP1541" s="6" t="s">
        <v>16109</v>
      </c>
      <c r="AQ1541" s="6" t="s">
        <v>81</v>
      </c>
      <c r="AR1541" s="6" t="s">
        <v>18028</v>
      </c>
      <c r="AS1541" s="6" t="s">
        <v>17712</v>
      </c>
      <c r="AT1541" s="6" t="s">
        <v>18444</v>
      </c>
      <c r="AU1541" s="6" t="s">
        <v>19218</v>
      </c>
      <c r="AV1541" s="6" t="s">
        <v>81</v>
      </c>
      <c r="AW1541" s="6" t="s">
        <v>81</v>
      </c>
      <c r="AX1541" s="6" t="s">
        <v>81</v>
      </c>
      <c r="AY1541" s="6" t="s">
        <v>81</v>
      </c>
      <c r="AZ1541" s="6" t="s">
        <v>81</v>
      </c>
      <c r="BA1541" s="6" t="s">
        <v>81</v>
      </c>
      <c r="BB1541" s="24" t="n">
        <v>94</v>
      </c>
      <c r="BC1541" s="26"/>
      <c r="BD1541" s="26"/>
      <c r="BE1541" s="26"/>
      <c r="BF1541" s="26" t="s">
        <v>23900</v>
      </c>
      <c r="BG1541" s="26"/>
      <c r="BH1541" s="26"/>
      <c r="BI1541" s="26"/>
      <c r="BJ1541" s="26"/>
      <c r="BK1541" s="26"/>
      <c r="BL1541" s="26"/>
      <c r="BM1541" s="26"/>
      <c r="BN1541" s="26"/>
      <c r="BO1541" s="26"/>
      <c r="BP1541" s="16" t="n">
        <v>45595</v>
      </c>
      <c r="BQ1541" s="28" t="str">
        <f>HYPERLINK("https://organic.ams.usda.gov/Integrity/Certificate.aspx?cid=57&amp;nopid=3252015028")</f>
        <v>https://organic.ams.usda.gov/Integrity/Certificate.aspx?cid=57&amp;nopid=3252015028</v>
      </c>
    </row>
    <row r="1542">
      <c r="A1542" t="s">
        <v>3</v>
      </c>
      <c r="B1542" s="6" t="s">
        <v>8</v>
      </c>
      <c r="C1542" s="6" t="s">
        <v>55</v>
      </c>
      <c r="D1542" s="6" t="s">
        <v>101</v>
      </c>
      <c r="E1542" s="10" t="s">
        <v>1683</v>
      </c>
      <c r="F1542" s="6" t="s">
        <v>4407</v>
      </c>
      <c r="G1542" s="6" t="s">
        <v>81</v>
      </c>
      <c r="H1542" s="6" t="s">
        <v>7307</v>
      </c>
      <c r="I1542" s="6" t="s">
        <v>8685</v>
      </c>
      <c r="J1542" s="6" t="s">
        <v>9671</v>
      </c>
      <c r="K1542" s="6" t="s">
        <v>10886</v>
      </c>
      <c r="L1542" s="16" t="n">
        <v>40042</v>
      </c>
      <c r="M1542" s="16" t="n">
        <v>45383</v>
      </c>
      <c r="N1542" s="6" t="s">
        <v>10886</v>
      </c>
      <c r="O1542" s="16" t="n">
        <v>40042</v>
      </c>
      <c r="P1542" s="6" t="s">
        <v>11812</v>
      </c>
      <c r="Q1542" s="6" t="s">
        <v>81</v>
      </c>
      <c r="R1542" s="6" t="s">
        <v>7307</v>
      </c>
      <c r="S1542" s="6" t="s">
        <v>10886</v>
      </c>
      <c r="T1542" s="16" t="n">
        <v>40042</v>
      </c>
      <c r="U1542" s="6" t="s">
        <v>13229</v>
      </c>
      <c r="V1542" s="6" t="s">
        <v>81</v>
      </c>
      <c r="W1542" s="6" t="s">
        <v>7307</v>
      </c>
      <c r="X1542" s="6" t="s">
        <v>81</v>
      </c>
      <c r="Y1542" s="21" t="s">
        <v>81</v>
      </c>
      <c r="Z1542" s="6" t="s">
        <v>81</v>
      </c>
      <c r="AA1542" s="6" t="s">
        <v>81</v>
      </c>
      <c r="AB1542" s="6" t="s">
        <v>81</v>
      </c>
      <c r="AC1542" s="6" t="s">
        <v>81</v>
      </c>
      <c r="AD1542" s="21" t="s">
        <v>81</v>
      </c>
      <c r="AE1542" s="6" t="s">
        <v>81</v>
      </c>
      <c r="AF1542" s="6" t="s">
        <v>81</v>
      </c>
      <c r="AG1542" s="6" t="s">
        <v>81</v>
      </c>
      <c r="AH1542" s="6" t="s">
        <v>16110</v>
      </c>
      <c r="AI1542" s="6" t="s">
        <v>81</v>
      </c>
      <c r="AJ1542" s="6" t="s">
        <v>17418</v>
      </c>
      <c r="AK1542" s="6" t="s">
        <v>18379</v>
      </c>
      <c r="AL1542" s="6" t="s">
        <v>18444</v>
      </c>
      <c r="AM1542" s="6" t="s">
        <v>18575</v>
      </c>
      <c r="AN1542" s="6" t="s">
        <v>19671</v>
      </c>
      <c r="AO1542" s="6" t="s">
        <v>19784</v>
      </c>
      <c r="AP1542" s="6" t="s">
        <v>81</v>
      </c>
      <c r="AQ1542" s="6" t="s">
        <v>81</v>
      </c>
      <c r="AR1542" s="6" t="s">
        <v>81</v>
      </c>
      <c r="AS1542" s="6" t="s">
        <v>81</v>
      </c>
      <c r="AT1542" s="6" t="s">
        <v>81</v>
      </c>
      <c r="AU1542" s="6" t="s">
        <v>81</v>
      </c>
      <c r="AV1542" s="6" t="s">
        <v>81</v>
      </c>
      <c r="AW1542" s="6" t="s">
        <v>81</v>
      </c>
      <c r="AX1542" s="6" t="s">
        <v>81</v>
      </c>
      <c r="AY1542" s="6" t="s">
        <v>81</v>
      </c>
      <c r="AZ1542" s="6" t="s">
        <v>81</v>
      </c>
      <c r="BA1542" s="6" t="s">
        <v>7307</v>
      </c>
      <c r="BB1542" s="24" t="n">
        <v>233</v>
      </c>
      <c r="BC1542" s="26"/>
      <c r="BD1542" s="26"/>
      <c r="BE1542" s="26"/>
      <c r="BF1542" s="26"/>
      <c r="BG1542" s="26"/>
      <c r="BH1542" s="26"/>
      <c r="BI1542" s="26"/>
      <c r="BJ1542" s="26"/>
      <c r="BK1542" s="26"/>
      <c r="BL1542" s="26"/>
      <c r="BM1542" s="26"/>
      <c r="BN1542" s="26"/>
      <c r="BO1542" s="26"/>
      <c r="BP1542" s="16" t="n">
        <v>45425</v>
      </c>
      <c r="BQ1542" s="28" t="str">
        <f>HYPERLINK("https://organic.ams.usda.gov/Integrity/Certificate.aspx?cid=45&amp;nopid=9950003419")</f>
        <v>https://organic.ams.usda.gov/Integrity/Certificate.aspx?cid=45&amp;nopid=9950003419</v>
      </c>
    </row>
    <row r="1543">
      <c r="A1543" t="s">
        <v>3</v>
      </c>
      <c r="B1543" s="6" t="s">
        <v>29</v>
      </c>
      <c r="C1543" s="6" t="s">
        <v>76</v>
      </c>
      <c r="D1543" s="6" t="s">
        <v>122</v>
      </c>
      <c r="E1543" s="10" t="s">
        <v>1684</v>
      </c>
      <c r="F1543" s="6" t="s">
        <v>4408</v>
      </c>
      <c r="G1543" s="6" t="s">
        <v>81</v>
      </c>
      <c r="H1543" s="6" t="s">
        <v>7308</v>
      </c>
      <c r="I1543" s="6" t="s">
        <v>9179</v>
      </c>
      <c r="J1543" s="6" t="s">
        <v>9672</v>
      </c>
      <c r="K1543" s="6" t="s">
        <v>10886</v>
      </c>
      <c r="L1543" s="16" t="n">
        <v>42528</v>
      </c>
      <c r="M1543" s="16" t="n">
        <v>45870</v>
      </c>
      <c r="N1543" s="6" t="s">
        <v>10886</v>
      </c>
      <c r="O1543" s="16" t="n">
        <v>42528</v>
      </c>
      <c r="P1543" s="6" t="s">
        <v>11813</v>
      </c>
      <c r="Q1543" s="6" t="s">
        <v>81</v>
      </c>
      <c r="R1543" s="6" t="s">
        <v>12849</v>
      </c>
      <c r="S1543" s="6" t="s">
        <v>10886</v>
      </c>
      <c r="T1543" s="16" t="n">
        <v>42528</v>
      </c>
      <c r="U1543" s="6" t="s">
        <v>13212</v>
      </c>
      <c r="V1543" s="6" t="s">
        <v>81</v>
      </c>
      <c r="W1543" s="6" t="s">
        <v>12849</v>
      </c>
      <c r="X1543" s="6" t="s">
        <v>81</v>
      </c>
      <c r="Y1543" s="21" t="s">
        <v>81</v>
      </c>
      <c r="Z1543" s="6" t="s">
        <v>81</v>
      </c>
      <c r="AA1543" s="6" t="s">
        <v>81</v>
      </c>
      <c r="AB1543" s="6" t="s">
        <v>81</v>
      </c>
      <c r="AC1543" s="6" t="s">
        <v>81</v>
      </c>
      <c r="AD1543" s="21" t="s">
        <v>81</v>
      </c>
      <c r="AE1543" s="6" t="s">
        <v>81</v>
      </c>
      <c r="AF1543" s="6" t="s">
        <v>81</v>
      </c>
      <c r="AG1543" s="6" t="s">
        <v>81</v>
      </c>
      <c r="AH1543" s="6" t="s">
        <v>16111</v>
      </c>
      <c r="AI1543" s="6" t="s">
        <v>81</v>
      </c>
      <c r="AJ1543" s="6" t="s">
        <v>18029</v>
      </c>
      <c r="AK1543" s="6" t="s">
        <v>18380</v>
      </c>
      <c r="AL1543" s="6" t="s">
        <v>18444</v>
      </c>
      <c r="AM1543" s="6" t="s">
        <v>19219</v>
      </c>
      <c r="AN1543" s="6" t="s">
        <v>6139</v>
      </c>
      <c r="AO1543" s="6" t="s">
        <v>19729</v>
      </c>
      <c r="AP1543" s="6" t="s">
        <v>81</v>
      </c>
      <c r="AQ1543" s="6" t="s">
        <v>81</v>
      </c>
      <c r="AR1543" s="6" t="s">
        <v>81</v>
      </c>
      <c r="AS1543" s="6" t="s">
        <v>81</v>
      </c>
      <c r="AT1543" s="6" t="s">
        <v>81</v>
      </c>
      <c r="AU1543" s="6" t="s">
        <v>81</v>
      </c>
      <c r="AV1543" s="6" t="s">
        <v>81</v>
      </c>
      <c r="AW1543" s="6" t="s">
        <v>81</v>
      </c>
      <c r="AX1543" s="6" t="s">
        <v>21718</v>
      </c>
      <c r="AY1543" s="6" t="s">
        <v>81</v>
      </c>
      <c r="AZ1543" s="6" t="s">
        <v>81</v>
      </c>
      <c r="BA1543" s="6" t="s">
        <v>81</v>
      </c>
      <c r="BB1543" s="24" t="n">
        <v>91</v>
      </c>
      <c r="BC1543" s="26"/>
      <c r="BD1543" s="26"/>
      <c r="BE1543" s="26"/>
      <c r="BF1543" s="26" t="s">
        <v>23900</v>
      </c>
      <c r="BG1543" s="26"/>
      <c r="BH1543" s="26"/>
      <c r="BI1543" s="26"/>
      <c r="BJ1543" s="26"/>
      <c r="BK1543" s="26"/>
      <c r="BL1543" s="26"/>
      <c r="BM1543" s="26"/>
      <c r="BN1543" s="26"/>
      <c r="BO1543" s="26"/>
      <c r="BP1543" s="16" t="n">
        <v>45737</v>
      </c>
      <c r="BQ1543" s="28" t="str">
        <f>HYPERLINK("https://organic.ams.usda.gov/Integrity/Certificate.aspx?cid=31&amp;nopid=3928971620")</f>
        <v>https://organic.ams.usda.gov/Integrity/Certificate.aspx?cid=31&amp;nopid=3928971620</v>
      </c>
    </row>
    <row r="1544">
      <c r="A1544" t="s">
        <v>3</v>
      </c>
      <c r="B1544" s="6" t="s">
        <v>30</v>
      </c>
      <c r="C1544" s="6" t="s">
        <v>77</v>
      </c>
      <c r="D1544" s="6" t="s">
        <v>123</v>
      </c>
      <c r="E1544" s="10" t="s">
        <v>1685</v>
      </c>
      <c r="F1544" s="6" t="s">
        <v>4409</v>
      </c>
      <c r="G1544" s="6" t="s">
        <v>81</v>
      </c>
      <c r="H1544" s="6" t="s">
        <v>7309</v>
      </c>
      <c r="I1544" s="6" t="s">
        <v>8685</v>
      </c>
      <c r="J1544" s="6" t="s">
        <v>9671</v>
      </c>
      <c r="K1544" s="6" t="s">
        <v>10886</v>
      </c>
      <c r="L1544" s="16" t="n">
        <v>44624</v>
      </c>
      <c r="M1544" s="16" t="n">
        <v>45382</v>
      </c>
      <c r="N1544" s="6" t="s">
        <v>10886</v>
      </c>
      <c r="O1544" s="16" t="n">
        <v>44624</v>
      </c>
      <c r="P1544" s="6" t="s">
        <v>11814</v>
      </c>
      <c r="Q1544" s="6" t="s">
        <v>81</v>
      </c>
      <c r="R1544" s="6" t="s">
        <v>81</v>
      </c>
      <c r="S1544" s="6" t="s">
        <v>10886</v>
      </c>
      <c r="T1544" s="16" t="n">
        <v>45428</v>
      </c>
      <c r="U1544" s="6" t="s">
        <v>13218</v>
      </c>
      <c r="V1544" s="6" t="s">
        <v>81</v>
      </c>
      <c r="W1544" s="6" t="s">
        <v>81</v>
      </c>
      <c r="X1544" s="6" t="s">
        <v>81</v>
      </c>
      <c r="Y1544" s="21" t="s">
        <v>81</v>
      </c>
      <c r="Z1544" s="6" t="s">
        <v>81</v>
      </c>
      <c r="AA1544" s="6" t="s">
        <v>81</v>
      </c>
      <c r="AB1544" s="6" t="s">
        <v>81</v>
      </c>
      <c r="AC1544" s="6" t="s">
        <v>81</v>
      </c>
      <c r="AD1544" s="21" t="s">
        <v>81</v>
      </c>
      <c r="AE1544" s="6" t="s">
        <v>81</v>
      </c>
      <c r="AF1544" s="6" t="s">
        <v>81</v>
      </c>
      <c r="AG1544" s="6" t="s">
        <v>81</v>
      </c>
      <c r="AH1544" s="6" t="s">
        <v>16112</v>
      </c>
      <c r="AI1544" s="6" t="s">
        <v>81</v>
      </c>
      <c r="AJ1544" s="6" t="s">
        <v>17341</v>
      </c>
      <c r="AK1544" s="6" t="s">
        <v>17712</v>
      </c>
      <c r="AL1544" s="6" t="s">
        <v>18444</v>
      </c>
      <c r="AM1544" s="6" t="s">
        <v>18495</v>
      </c>
      <c r="AN1544" s="6" t="s">
        <v>19649</v>
      </c>
      <c r="AO1544" s="6" t="s">
        <v>19738</v>
      </c>
      <c r="AP1544" s="6" t="s">
        <v>16112</v>
      </c>
      <c r="AQ1544" s="6" t="s">
        <v>81</v>
      </c>
      <c r="AR1544" s="6" t="s">
        <v>17341</v>
      </c>
      <c r="AS1544" s="6" t="s">
        <v>17712</v>
      </c>
      <c r="AT1544" s="6" t="s">
        <v>18444</v>
      </c>
      <c r="AU1544" s="6" t="s">
        <v>18495</v>
      </c>
      <c r="AV1544" s="6" t="s">
        <v>81</v>
      </c>
      <c r="AW1544" s="6" t="s">
        <v>81</v>
      </c>
      <c r="AX1544" s="6" t="s">
        <v>81</v>
      </c>
      <c r="AY1544" s="6" t="s">
        <v>81</v>
      </c>
      <c r="AZ1544" s="6" t="s">
        <v>81</v>
      </c>
      <c r="BA1544" s="6" t="s">
        <v>81</v>
      </c>
      <c r="BB1544" s="24" t="n">
        <v>238</v>
      </c>
      <c r="BC1544" s="26"/>
      <c r="BD1544" s="26"/>
      <c r="BE1544" s="26"/>
      <c r="BF1544" s="26"/>
      <c r="BG1544" s="26"/>
      <c r="BH1544" s="26"/>
      <c r="BI1544" s="26"/>
      <c r="BJ1544" s="26"/>
      <c r="BK1544" s="26"/>
      <c r="BL1544" s="26"/>
      <c r="BM1544" s="26"/>
      <c r="BN1544" s="26"/>
      <c r="BO1544" s="26"/>
      <c r="BP1544" s="16" t="n">
        <v>45428</v>
      </c>
      <c r="BQ1544" s="28" t="str">
        <f>HYPERLINK("https://organic.ams.usda.gov/Integrity/Certificate.aspx?cid=70&amp;nopid=6432117850")</f>
        <v>https://organic.ams.usda.gov/Integrity/Certificate.aspx?cid=70&amp;nopid=6432117850</v>
      </c>
    </row>
    <row r="1545">
      <c r="A1545" t="s">
        <v>3</v>
      </c>
      <c r="B1545" s="6" t="s">
        <v>30</v>
      </c>
      <c r="C1545" s="6" t="s">
        <v>77</v>
      </c>
      <c r="D1545" s="6" t="s">
        <v>123</v>
      </c>
      <c r="E1545" s="10" t="s">
        <v>1686</v>
      </c>
      <c r="F1545" s="6" t="s">
        <v>4410</v>
      </c>
      <c r="G1545" s="6" t="s">
        <v>81</v>
      </c>
      <c r="H1545" s="6" t="s">
        <v>7310</v>
      </c>
      <c r="I1545" s="6" t="s">
        <v>8685</v>
      </c>
      <c r="J1545" s="6" t="s">
        <v>9679</v>
      </c>
      <c r="K1545" s="6" t="s">
        <v>10886</v>
      </c>
      <c r="L1545" s="16" t="n">
        <v>43705</v>
      </c>
      <c r="M1545" s="16" t="n">
        <v>45382</v>
      </c>
      <c r="N1545" s="6" t="s">
        <v>10886</v>
      </c>
      <c r="O1545" s="16" t="n">
        <v>43705</v>
      </c>
      <c r="P1545" s="6" t="s">
        <v>11815</v>
      </c>
      <c r="Q1545" s="6" t="s">
        <v>81</v>
      </c>
      <c r="R1545" s="6" t="s">
        <v>7310</v>
      </c>
      <c r="S1545" s="6" t="s">
        <v>10886</v>
      </c>
      <c r="T1545" s="16" t="n">
        <v>43720</v>
      </c>
      <c r="U1545" s="6" t="s">
        <v>13216</v>
      </c>
      <c r="V1545" s="6" t="s">
        <v>81</v>
      </c>
      <c r="W1545" s="6" t="s">
        <v>81</v>
      </c>
      <c r="X1545" s="6" t="s">
        <v>81</v>
      </c>
      <c r="Y1545" s="21" t="s">
        <v>81</v>
      </c>
      <c r="Z1545" s="6" t="s">
        <v>81</v>
      </c>
      <c r="AA1545" s="6" t="s">
        <v>81</v>
      </c>
      <c r="AB1545" s="6" t="s">
        <v>81</v>
      </c>
      <c r="AC1545" s="6" t="s">
        <v>81</v>
      </c>
      <c r="AD1545" s="21" t="s">
        <v>81</v>
      </c>
      <c r="AE1545" s="6" t="s">
        <v>81</v>
      </c>
      <c r="AF1545" s="6" t="s">
        <v>81</v>
      </c>
      <c r="AG1545" s="6" t="s">
        <v>81</v>
      </c>
      <c r="AH1545" s="6" t="s">
        <v>16113</v>
      </c>
      <c r="AI1545" s="6" t="s">
        <v>81</v>
      </c>
      <c r="AJ1545" s="6" t="s">
        <v>17762</v>
      </c>
      <c r="AK1545" s="6" t="s">
        <v>18380</v>
      </c>
      <c r="AL1545" s="6" t="s">
        <v>18444</v>
      </c>
      <c r="AM1545" s="6" t="s">
        <v>18935</v>
      </c>
      <c r="AN1545" s="6" t="s">
        <v>19639</v>
      </c>
      <c r="AO1545" s="6" t="s">
        <v>19725</v>
      </c>
      <c r="AP1545" s="6" t="s">
        <v>16113</v>
      </c>
      <c r="AQ1545" s="6" t="s">
        <v>81</v>
      </c>
      <c r="AR1545" s="6" t="s">
        <v>17762</v>
      </c>
      <c r="AS1545" s="6" t="s">
        <v>18380</v>
      </c>
      <c r="AT1545" s="6" t="s">
        <v>18444</v>
      </c>
      <c r="AU1545" s="6" t="s">
        <v>18935</v>
      </c>
      <c r="AV1545" s="6" t="s">
        <v>81</v>
      </c>
      <c r="AW1545" s="6" t="s">
        <v>81</v>
      </c>
      <c r="AX1545" s="6" t="s">
        <v>81</v>
      </c>
      <c r="AY1545" s="6" t="s">
        <v>81</v>
      </c>
      <c r="AZ1545" s="6" t="s">
        <v>81</v>
      </c>
      <c r="BA1545" s="6" t="s">
        <v>81</v>
      </c>
      <c r="BB1545" s="24" t="n">
        <v>77</v>
      </c>
      <c r="BC1545" s="26"/>
      <c r="BD1545" s="26"/>
      <c r="BE1545" s="26"/>
      <c r="BF1545" s="26"/>
      <c r="BG1545" s="26"/>
      <c r="BH1545" s="26"/>
      <c r="BI1545" s="26"/>
      <c r="BJ1545" s="26"/>
      <c r="BK1545" s="26"/>
      <c r="BL1545" s="26"/>
      <c r="BM1545" s="26"/>
      <c r="BN1545" s="26"/>
      <c r="BO1545" s="26"/>
      <c r="BP1545" s="16" t="n">
        <v>45405</v>
      </c>
      <c r="BQ1545" s="28" t="str">
        <f>HYPERLINK("https://organic.ams.usda.gov/Integrity/Certificate.aspx?cid=70&amp;nopid=6431915390")</f>
        <v>https://organic.ams.usda.gov/Integrity/Certificate.aspx?cid=70&amp;nopid=6431915390</v>
      </c>
    </row>
    <row r="1546">
      <c r="A1546" t="s">
        <v>3</v>
      </c>
      <c r="B1546" s="6" t="s">
        <v>30</v>
      </c>
      <c r="C1546" s="6" t="s">
        <v>77</v>
      </c>
      <c r="D1546" s="6" t="s">
        <v>123</v>
      </c>
      <c r="E1546" s="10" t="s">
        <v>1687</v>
      </c>
      <c r="F1546" s="6" t="s">
        <v>4411</v>
      </c>
      <c r="G1546" s="6" t="s">
        <v>81</v>
      </c>
      <c r="H1546" s="6" t="s">
        <v>7311</v>
      </c>
      <c r="I1546" s="6" t="s">
        <v>8685</v>
      </c>
      <c r="J1546" s="6" t="s">
        <v>9960</v>
      </c>
      <c r="K1546" s="6" t="s">
        <v>10886</v>
      </c>
      <c r="L1546" s="16" t="n">
        <v>44343</v>
      </c>
      <c r="M1546" s="16" t="n">
        <v>45747</v>
      </c>
      <c r="N1546" s="6" t="s">
        <v>10886</v>
      </c>
      <c r="O1546" s="16" t="n">
        <v>44343</v>
      </c>
      <c r="P1546" s="6" t="s">
        <v>11816</v>
      </c>
      <c r="Q1546" s="6" t="s">
        <v>81</v>
      </c>
      <c r="R1546" s="6" t="s">
        <v>12850</v>
      </c>
      <c r="S1546" s="6" t="s">
        <v>10886</v>
      </c>
      <c r="T1546" s="16" t="n">
        <v>44343</v>
      </c>
      <c r="U1546" s="6" t="s">
        <v>13571</v>
      </c>
      <c r="V1546" s="6" t="s">
        <v>81</v>
      </c>
      <c r="W1546" s="6" t="s">
        <v>81</v>
      </c>
      <c r="X1546" s="6" t="s">
        <v>81</v>
      </c>
      <c r="Y1546" s="21" t="s">
        <v>81</v>
      </c>
      <c r="Z1546" s="6" t="s">
        <v>81</v>
      </c>
      <c r="AA1546" s="6" t="s">
        <v>81</v>
      </c>
      <c r="AB1546" s="6" t="s">
        <v>81</v>
      </c>
      <c r="AC1546" s="6" t="s">
        <v>81</v>
      </c>
      <c r="AD1546" s="21" t="s">
        <v>81</v>
      </c>
      <c r="AE1546" s="6" t="s">
        <v>81</v>
      </c>
      <c r="AF1546" s="6" t="s">
        <v>81</v>
      </c>
      <c r="AG1546" s="6" t="s">
        <v>81</v>
      </c>
      <c r="AH1546" s="6" t="s">
        <v>16114</v>
      </c>
      <c r="AI1546" s="6" t="s">
        <v>81</v>
      </c>
      <c r="AJ1546" s="6" t="s">
        <v>17410</v>
      </c>
      <c r="AK1546" s="6" t="s">
        <v>17712</v>
      </c>
      <c r="AL1546" s="6" t="s">
        <v>18444</v>
      </c>
      <c r="AM1546" s="6" t="s">
        <v>18566</v>
      </c>
      <c r="AN1546" s="6" t="s">
        <v>19670</v>
      </c>
      <c r="AO1546" s="6" t="s">
        <v>19782</v>
      </c>
      <c r="AP1546" s="6" t="s">
        <v>20296</v>
      </c>
      <c r="AQ1546" s="6" t="s">
        <v>81</v>
      </c>
      <c r="AR1546" s="6" t="s">
        <v>17406</v>
      </c>
      <c r="AS1546" s="6" t="s">
        <v>17712</v>
      </c>
      <c r="AT1546" s="6" t="s">
        <v>18444</v>
      </c>
      <c r="AU1546" s="6" t="s">
        <v>18562</v>
      </c>
      <c r="AV1546" s="6" t="s">
        <v>81</v>
      </c>
      <c r="AW1546" s="6" t="s">
        <v>81</v>
      </c>
      <c r="AX1546" s="6" t="s">
        <v>81</v>
      </c>
      <c r="AY1546" s="6" t="s">
        <v>81</v>
      </c>
      <c r="AZ1546" s="6" t="s">
        <v>81</v>
      </c>
      <c r="BA1546" s="6" t="s">
        <v>81</v>
      </c>
      <c r="BB1546" s="24" t="n">
        <v>88</v>
      </c>
      <c r="BC1546" s="26"/>
      <c r="BD1546" s="26"/>
      <c r="BE1546" s="26"/>
      <c r="BF1546" s="26"/>
      <c r="BG1546" s="26"/>
      <c r="BH1546" s="26"/>
      <c r="BI1546" s="26"/>
      <c r="BJ1546" s="26"/>
      <c r="BK1546" s="26"/>
      <c r="BL1546" s="26"/>
      <c r="BM1546" s="26"/>
      <c r="BN1546" s="26"/>
      <c r="BO1546" s="26"/>
      <c r="BP1546" s="16" t="n">
        <v>45610</v>
      </c>
      <c r="BQ1546" s="28" t="str">
        <f>HYPERLINK("https://organic.ams.usda.gov/Integrity/Certificate.aspx?cid=70&amp;nopid=6432117460")</f>
        <v>https://organic.ams.usda.gov/Integrity/Certificate.aspx?cid=70&amp;nopid=6432117460</v>
      </c>
    </row>
    <row r="1547">
      <c r="A1547" t="s">
        <v>3</v>
      </c>
      <c r="B1547" s="6" t="s">
        <v>7</v>
      </c>
      <c r="C1547" s="6" t="s">
        <v>54</v>
      </c>
      <c r="D1547" s="6" t="s">
        <v>100</v>
      </c>
      <c r="E1547" s="10" t="s">
        <v>1688</v>
      </c>
      <c r="F1547" s="6" t="s">
        <v>4412</v>
      </c>
      <c r="G1547" s="6" t="s">
        <v>81</v>
      </c>
      <c r="H1547" s="6" t="s">
        <v>7312</v>
      </c>
      <c r="I1547" s="6" t="s">
        <v>8685</v>
      </c>
      <c r="J1547" s="6" t="s">
        <v>9666</v>
      </c>
      <c r="K1547" s="6" t="s">
        <v>10886</v>
      </c>
      <c r="L1547" s="16" t="n">
        <v>45572</v>
      </c>
      <c r="M1547" s="16" t="n">
        <v>45716</v>
      </c>
      <c r="N1547" s="6" t="s">
        <v>10886</v>
      </c>
      <c r="O1547" s="16" t="n">
        <v>45572</v>
      </c>
      <c r="P1547" s="6" t="s">
        <v>11015</v>
      </c>
      <c r="Q1547" s="6" t="s">
        <v>81</v>
      </c>
      <c r="R1547" s="6" t="s">
        <v>81</v>
      </c>
      <c r="S1547" s="6" t="s">
        <v>10886</v>
      </c>
      <c r="T1547" s="16" t="n">
        <v>45603</v>
      </c>
      <c r="U1547" s="6" t="s">
        <v>13188</v>
      </c>
      <c r="V1547" s="6" t="s">
        <v>81</v>
      </c>
      <c r="W1547" s="6" t="s">
        <v>81</v>
      </c>
      <c r="X1547" s="6" t="s">
        <v>81</v>
      </c>
      <c r="Y1547" s="21" t="s">
        <v>81</v>
      </c>
      <c r="Z1547" s="6" t="s">
        <v>81</v>
      </c>
      <c r="AA1547" s="6" t="s">
        <v>81</v>
      </c>
      <c r="AB1547" s="6" t="s">
        <v>81</v>
      </c>
      <c r="AC1547" s="6" t="s">
        <v>81</v>
      </c>
      <c r="AD1547" s="21" t="s">
        <v>81</v>
      </c>
      <c r="AE1547" s="6" t="s">
        <v>81</v>
      </c>
      <c r="AF1547" s="6" t="s">
        <v>81</v>
      </c>
      <c r="AG1547" s="6" t="s">
        <v>81</v>
      </c>
      <c r="AH1547" s="6" t="s">
        <v>16115</v>
      </c>
      <c r="AI1547" s="6" t="s">
        <v>81</v>
      </c>
      <c r="AJ1547" s="6" t="s">
        <v>10590</v>
      </c>
      <c r="AK1547" s="6" t="s">
        <v>17712</v>
      </c>
      <c r="AL1547" s="6" t="s">
        <v>18444</v>
      </c>
      <c r="AM1547" s="6" t="s">
        <v>18628</v>
      </c>
      <c r="AN1547" s="6" t="s">
        <v>81</v>
      </c>
      <c r="AO1547" s="6" t="s">
        <v>81</v>
      </c>
      <c r="AP1547" s="6" t="s">
        <v>16115</v>
      </c>
      <c r="AQ1547" s="6" t="s">
        <v>81</v>
      </c>
      <c r="AR1547" s="6" t="s">
        <v>10590</v>
      </c>
      <c r="AS1547" s="6" t="s">
        <v>17712</v>
      </c>
      <c r="AT1547" s="6" t="s">
        <v>18444</v>
      </c>
      <c r="AU1547" s="6" t="s">
        <v>18628</v>
      </c>
      <c r="AV1547" s="6" t="s">
        <v>81</v>
      </c>
      <c r="AW1547" s="6" t="s">
        <v>81</v>
      </c>
      <c r="AX1547" s="6" t="s">
        <v>81</v>
      </c>
      <c r="AY1547" s="6" t="s">
        <v>81</v>
      </c>
      <c r="AZ1547" s="6" t="s">
        <v>81</v>
      </c>
      <c r="BA1547" s="6" t="s">
        <v>81</v>
      </c>
      <c r="BB1547" s="24" t="n">
        <v>129</v>
      </c>
      <c r="BC1547" s="26"/>
      <c r="BD1547" s="26"/>
      <c r="BE1547" s="26"/>
      <c r="BF1547" s="26" t="s">
        <v>23900</v>
      </c>
      <c r="BG1547" s="26"/>
      <c r="BH1547" s="26"/>
      <c r="BI1547" s="26"/>
      <c r="BJ1547" s="26"/>
      <c r="BK1547" s="26"/>
      <c r="BL1547" s="26"/>
      <c r="BM1547" s="26"/>
      <c r="BN1547" s="26"/>
      <c r="BO1547" s="26"/>
      <c r="BP1547" s="16" t="n">
        <v>45604</v>
      </c>
      <c r="BQ1547" s="28" t="str">
        <f>HYPERLINK("https://organic.ams.usda.gov/Integrity/Certificate.aspx?cid=57&amp;nopid=3252024075")</f>
        <v>https://organic.ams.usda.gov/Integrity/Certificate.aspx?cid=57&amp;nopid=3252024075</v>
      </c>
    </row>
    <row r="1548">
      <c r="A1548" t="s">
        <v>3</v>
      </c>
      <c r="B1548" s="6" t="s">
        <v>8</v>
      </c>
      <c r="C1548" s="6" t="s">
        <v>55</v>
      </c>
      <c r="D1548" s="6" t="s">
        <v>101</v>
      </c>
      <c r="E1548" s="10" t="s">
        <v>1689</v>
      </c>
      <c r="F1548" s="6" t="s">
        <v>4413</v>
      </c>
      <c r="G1548" s="6" t="s">
        <v>81</v>
      </c>
      <c r="H1548" s="6" t="s">
        <v>7313</v>
      </c>
      <c r="I1548" s="6" t="s">
        <v>8685</v>
      </c>
      <c r="J1548" s="6" t="s">
        <v>9677</v>
      </c>
      <c r="K1548" s="6" t="s">
        <v>10886</v>
      </c>
      <c r="L1548" s="16" t="n">
        <v>45258</v>
      </c>
      <c r="M1548" s="16" t="n">
        <v>45748</v>
      </c>
      <c r="N1548" s="6" t="s">
        <v>10886</v>
      </c>
      <c r="O1548" s="16" t="n">
        <v>45258</v>
      </c>
      <c r="P1548" s="6" t="s">
        <v>11817</v>
      </c>
      <c r="Q1548" s="6" t="s">
        <v>81</v>
      </c>
      <c r="R1548" s="6" t="s">
        <v>7313</v>
      </c>
      <c r="S1548" s="6" t="s">
        <v>10886</v>
      </c>
      <c r="T1548" s="16" t="n">
        <v>45258</v>
      </c>
      <c r="U1548" s="6" t="s">
        <v>13173</v>
      </c>
      <c r="V1548" s="6" t="s">
        <v>81</v>
      </c>
      <c r="W1548" s="6" t="s">
        <v>7313</v>
      </c>
      <c r="X1548" s="6" t="s">
        <v>81</v>
      </c>
      <c r="Y1548" s="21" t="s">
        <v>81</v>
      </c>
      <c r="Z1548" s="6" t="s">
        <v>81</v>
      </c>
      <c r="AA1548" s="6" t="s">
        <v>81</v>
      </c>
      <c r="AB1548" s="6" t="s">
        <v>81</v>
      </c>
      <c r="AC1548" s="6" t="s">
        <v>81</v>
      </c>
      <c r="AD1548" s="21" t="s">
        <v>81</v>
      </c>
      <c r="AE1548" s="6" t="s">
        <v>81</v>
      </c>
      <c r="AF1548" s="6" t="s">
        <v>81</v>
      </c>
      <c r="AG1548" s="6" t="s">
        <v>81</v>
      </c>
      <c r="AH1548" s="6" t="s">
        <v>16116</v>
      </c>
      <c r="AI1548" s="6" t="s">
        <v>81</v>
      </c>
      <c r="AJ1548" s="6" t="s">
        <v>17390</v>
      </c>
      <c r="AK1548" s="6" t="s">
        <v>18380</v>
      </c>
      <c r="AL1548" s="6" t="s">
        <v>18444</v>
      </c>
      <c r="AM1548" s="6" t="s">
        <v>18545</v>
      </c>
      <c r="AN1548" s="6" t="s">
        <v>81</v>
      </c>
      <c r="AO1548" s="6" t="s">
        <v>81</v>
      </c>
      <c r="AP1548" s="6" t="s">
        <v>81</v>
      </c>
      <c r="AQ1548" s="6" t="s">
        <v>81</v>
      </c>
      <c r="AR1548" s="6" t="s">
        <v>81</v>
      </c>
      <c r="AS1548" s="6" t="s">
        <v>81</v>
      </c>
      <c r="AT1548" s="6" t="s">
        <v>81</v>
      </c>
      <c r="AU1548" s="6" t="s">
        <v>81</v>
      </c>
      <c r="AV1548" s="6" t="s">
        <v>81</v>
      </c>
      <c r="AW1548" s="6" t="s">
        <v>81</v>
      </c>
      <c r="AX1548" s="6" t="s">
        <v>21719</v>
      </c>
      <c r="AY1548" s="6" t="s">
        <v>81</v>
      </c>
      <c r="AZ1548" s="6" t="s">
        <v>81</v>
      </c>
      <c r="BA1548" s="6" t="s">
        <v>23819</v>
      </c>
      <c r="BB1548" s="24" t="n">
        <v>36</v>
      </c>
      <c r="BC1548" s="26"/>
      <c r="BD1548" s="26"/>
      <c r="BE1548" s="26"/>
      <c r="BF1548" s="26" t="s">
        <v>23900</v>
      </c>
      <c r="BG1548" s="26"/>
      <c r="BH1548" s="26"/>
      <c r="BI1548" s="26"/>
      <c r="BJ1548" s="26"/>
      <c r="BK1548" s="26"/>
      <c r="BL1548" s="26"/>
      <c r="BM1548" s="26"/>
      <c r="BN1548" s="26"/>
      <c r="BO1548" s="26"/>
      <c r="BP1548" s="16" t="n">
        <v>45483</v>
      </c>
      <c r="BQ1548" s="28" t="str">
        <f>HYPERLINK("https://organic.ams.usda.gov/Integrity/Certificate.aspx?cid=45&amp;nopid=9950013855")</f>
        <v>https://organic.ams.usda.gov/Integrity/Certificate.aspx?cid=45&amp;nopid=9950013855</v>
      </c>
    </row>
    <row r="1549">
      <c r="A1549" t="s">
        <v>3</v>
      </c>
      <c r="B1549" s="6" t="s">
        <v>12</v>
      </c>
      <c r="C1549" s="6" t="s">
        <v>59</v>
      </c>
      <c r="D1549" s="6" t="s">
        <v>105</v>
      </c>
      <c r="E1549" s="10" t="s">
        <v>1690</v>
      </c>
      <c r="F1549" s="6" t="s">
        <v>4414</v>
      </c>
      <c r="G1549" s="6" t="s">
        <v>81</v>
      </c>
      <c r="H1549" s="6" t="s">
        <v>7314</v>
      </c>
      <c r="I1549" s="6" t="s">
        <v>9180</v>
      </c>
      <c r="J1549" s="6" t="s">
        <v>9727</v>
      </c>
      <c r="K1549" s="6" t="s">
        <v>10886</v>
      </c>
      <c r="L1549" s="16" t="n">
        <v>42461</v>
      </c>
      <c r="M1549" s="16" t="n">
        <v>45717</v>
      </c>
      <c r="N1549" s="6" t="s">
        <v>10886</v>
      </c>
      <c r="O1549" s="16" t="n">
        <v>42461</v>
      </c>
      <c r="P1549" s="6" t="s">
        <v>11353</v>
      </c>
      <c r="Q1549" s="6" t="s">
        <v>81</v>
      </c>
      <c r="R1549" s="6" t="s">
        <v>81</v>
      </c>
      <c r="S1549" s="6" t="s">
        <v>10886</v>
      </c>
      <c r="T1549" s="16" t="n">
        <v>42461</v>
      </c>
      <c r="U1549" s="6" t="s">
        <v>13187</v>
      </c>
      <c r="V1549" s="6" t="s">
        <v>81</v>
      </c>
      <c r="W1549" s="6" t="s">
        <v>81</v>
      </c>
      <c r="X1549" s="6" t="s">
        <v>81</v>
      </c>
      <c r="Y1549" s="21" t="s">
        <v>81</v>
      </c>
      <c r="Z1549" s="6" t="s">
        <v>81</v>
      </c>
      <c r="AA1549" s="6" t="s">
        <v>81</v>
      </c>
      <c r="AB1549" s="6" t="s">
        <v>81</v>
      </c>
      <c r="AC1549" s="6" t="s">
        <v>81</v>
      </c>
      <c r="AD1549" s="21" t="s">
        <v>81</v>
      </c>
      <c r="AE1549" s="6" t="s">
        <v>81</v>
      </c>
      <c r="AF1549" s="6" t="s">
        <v>81</v>
      </c>
      <c r="AG1549" s="6" t="s">
        <v>81</v>
      </c>
      <c r="AH1549" s="6" t="s">
        <v>16117</v>
      </c>
      <c r="AI1549" s="6" t="s">
        <v>81</v>
      </c>
      <c r="AJ1549" s="6" t="s">
        <v>18030</v>
      </c>
      <c r="AK1549" s="6" t="s">
        <v>17712</v>
      </c>
      <c r="AL1549" s="6" t="s">
        <v>18444</v>
      </c>
      <c r="AM1549" s="6" t="s">
        <v>19220</v>
      </c>
      <c r="AN1549" s="6" t="s">
        <v>19693</v>
      </c>
      <c r="AO1549" s="6" t="s">
        <v>19858</v>
      </c>
      <c r="AP1549" s="6" t="s">
        <v>16117</v>
      </c>
      <c r="AQ1549" s="6" t="s">
        <v>81</v>
      </c>
      <c r="AR1549" s="6" t="s">
        <v>18030</v>
      </c>
      <c r="AS1549" s="6" t="s">
        <v>17712</v>
      </c>
      <c r="AT1549" s="6" t="s">
        <v>18444</v>
      </c>
      <c r="AU1549" s="6" t="s">
        <v>19220</v>
      </c>
      <c r="AV1549" s="6" t="s">
        <v>81</v>
      </c>
      <c r="AW1549" s="6" t="s">
        <v>81</v>
      </c>
      <c r="AX1549" s="6" t="s">
        <v>81</v>
      </c>
      <c r="AY1549" s="6" t="s">
        <v>81</v>
      </c>
      <c r="AZ1549" s="6" t="s">
        <v>81</v>
      </c>
      <c r="BA1549" s="6" t="s">
        <v>81</v>
      </c>
      <c r="BB1549" s="24" t="n">
        <v>84</v>
      </c>
      <c r="BC1549" s="26"/>
      <c r="BD1549" s="26"/>
      <c r="BE1549" s="26"/>
      <c r="BF1549" s="26"/>
      <c r="BG1549" s="26"/>
      <c r="BH1549" s="26"/>
      <c r="BI1549" s="26"/>
      <c r="BJ1549" s="26"/>
      <c r="BK1549" s="26"/>
      <c r="BL1549" s="26"/>
      <c r="BM1549" s="26"/>
      <c r="BN1549" s="26"/>
      <c r="BO1549" s="26"/>
      <c r="BP1549" s="16" t="n">
        <v>45710</v>
      </c>
      <c r="BQ1549" s="28" t="str">
        <f>HYPERLINK("https://organic.ams.usda.gov/Integrity/Certificate.aspx?cid=68&amp;nopid=8210003024")</f>
        <v>https://organic.ams.usda.gov/Integrity/Certificate.aspx?cid=68&amp;nopid=8210003024</v>
      </c>
    </row>
    <row r="1550">
      <c r="A1550" t="s">
        <v>3</v>
      </c>
      <c r="B1550" s="6" t="s">
        <v>8</v>
      </c>
      <c r="C1550" s="6" t="s">
        <v>55</v>
      </c>
      <c r="D1550" s="6" t="s">
        <v>101</v>
      </c>
      <c r="E1550" s="10" t="s">
        <v>1691</v>
      </c>
      <c r="F1550" s="6" t="s">
        <v>4415</v>
      </c>
      <c r="G1550" s="6" t="s">
        <v>81</v>
      </c>
      <c r="H1550" s="6" t="s">
        <v>7315</v>
      </c>
      <c r="I1550" s="6" t="s">
        <v>8685</v>
      </c>
      <c r="J1550" s="6" t="s">
        <v>9665</v>
      </c>
      <c r="K1550" s="6" t="s">
        <v>10886</v>
      </c>
      <c r="L1550" s="16" t="n">
        <v>42933</v>
      </c>
      <c r="M1550" s="16" t="n">
        <v>45383</v>
      </c>
      <c r="N1550" s="6" t="s">
        <v>10886</v>
      </c>
      <c r="O1550" s="16" t="n">
        <v>42933</v>
      </c>
      <c r="P1550" s="6" t="s">
        <v>11818</v>
      </c>
      <c r="Q1550" s="6" t="s">
        <v>81</v>
      </c>
      <c r="R1550" s="6" t="s">
        <v>7315</v>
      </c>
      <c r="S1550" s="6" t="s">
        <v>10886</v>
      </c>
      <c r="T1550" s="16" t="n">
        <v>42933</v>
      </c>
      <c r="U1550" s="6" t="s">
        <v>13173</v>
      </c>
      <c r="V1550" s="6" t="s">
        <v>81</v>
      </c>
      <c r="W1550" s="6" t="s">
        <v>7315</v>
      </c>
      <c r="X1550" s="6" t="s">
        <v>81</v>
      </c>
      <c r="Y1550" s="21" t="s">
        <v>81</v>
      </c>
      <c r="Z1550" s="6" t="s">
        <v>81</v>
      </c>
      <c r="AA1550" s="6" t="s">
        <v>81</v>
      </c>
      <c r="AB1550" s="6" t="s">
        <v>81</v>
      </c>
      <c r="AC1550" s="6" t="s">
        <v>81</v>
      </c>
      <c r="AD1550" s="21" t="s">
        <v>81</v>
      </c>
      <c r="AE1550" s="6" t="s">
        <v>81</v>
      </c>
      <c r="AF1550" s="6" t="s">
        <v>81</v>
      </c>
      <c r="AG1550" s="6" t="s">
        <v>81</v>
      </c>
      <c r="AH1550" s="6" t="s">
        <v>16118</v>
      </c>
      <c r="AI1550" s="6" t="s">
        <v>81</v>
      </c>
      <c r="AJ1550" s="6" t="s">
        <v>17965</v>
      </c>
      <c r="AK1550" s="6" t="s">
        <v>18391</v>
      </c>
      <c r="AL1550" s="6" t="s">
        <v>18444</v>
      </c>
      <c r="AM1550" s="6" t="s">
        <v>19152</v>
      </c>
      <c r="AN1550" s="6" t="s">
        <v>19685</v>
      </c>
      <c r="AO1550" s="6" t="s">
        <v>19987</v>
      </c>
      <c r="AP1550" s="6" t="s">
        <v>81</v>
      </c>
      <c r="AQ1550" s="6" t="s">
        <v>81</v>
      </c>
      <c r="AR1550" s="6" t="s">
        <v>81</v>
      </c>
      <c r="AS1550" s="6" t="s">
        <v>81</v>
      </c>
      <c r="AT1550" s="6" t="s">
        <v>81</v>
      </c>
      <c r="AU1550" s="6" t="s">
        <v>81</v>
      </c>
      <c r="AV1550" s="6" t="s">
        <v>81</v>
      </c>
      <c r="AW1550" s="6" t="s">
        <v>81</v>
      </c>
      <c r="AX1550" s="6" t="s">
        <v>81</v>
      </c>
      <c r="AY1550" s="6" t="s">
        <v>81</v>
      </c>
      <c r="AZ1550" s="6" t="s">
        <v>81</v>
      </c>
      <c r="BA1550" s="6" t="s">
        <v>23819</v>
      </c>
      <c r="BB1550" s="24" t="n">
        <v>92</v>
      </c>
      <c r="BC1550" s="26"/>
      <c r="BD1550" s="26"/>
      <c r="BE1550" s="26"/>
      <c r="BF1550" s="26" t="s">
        <v>23900</v>
      </c>
      <c r="BG1550" s="26"/>
      <c r="BH1550" s="26"/>
      <c r="BI1550" s="26"/>
      <c r="BJ1550" s="26"/>
      <c r="BK1550" s="26"/>
      <c r="BL1550" s="26"/>
      <c r="BM1550" s="26"/>
      <c r="BN1550" s="26"/>
      <c r="BO1550" s="26"/>
      <c r="BP1550" s="16" t="n">
        <v>45471</v>
      </c>
      <c r="BQ1550" s="28" t="str">
        <f>HYPERLINK("https://organic.ams.usda.gov/Integrity/Certificate.aspx?cid=45&amp;nopid=9950008172")</f>
        <v>https://organic.ams.usda.gov/Integrity/Certificate.aspx?cid=45&amp;nopid=9950008172</v>
      </c>
    </row>
    <row r="1551">
      <c r="A1551" t="s">
        <v>3</v>
      </c>
      <c r="B1551" s="6" t="s">
        <v>8</v>
      </c>
      <c r="C1551" s="6" t="s">
        <v>55</v>
      </c>
      <c r="D1551" s="6" t="s">
        <v>101</v>
      </c>
      <c r="E1551" s="10" t="s">
        <v>1692</v>
      </c>
      <c r="F1551" s="6" t="s">
        <v>4415</v>
      </c>
      <c r="G1551" s="6" t="s">
        <v>81</v>
      </c>
      <c r="H1551" s="6" t="s">
        <v>7316</v>
      </c>
      <c r="I1551" s="6" t="s">
        <v>8685</v>
      </c>
      <c r="J1551" s="6" t="s">
        <v>9665</v>
      </c>
      <c r="K1551" s="6" t="s">
        <v>10886</v>
      </c>
      <c r="L1551" s="16" t="n">
        <v>45356</v>
      </c>
      <c r="M1551" s="16" t="n">
        <v>45689</v>
      </c>
      <c r="N1551" s="6" t="s">
        <v>10886</v>
      </c>
      <c r="O1551" s="16" t="n">
        <v>45356</v>
      </c>
      <c r="P1551" s="6" t="s">
        <v>11819</v>
      </c>
      <c r="Q1551" s="6" t="s">
        <v>81</v>
      </c>
      <c r="R1551" s="6" t="s">
        <v>7316</v>
      </c>
      <c r="S1551" s="6" t="s">
        <v>10886</v>
      </c>
      <c r="T1551" s="16" t="n">
        <v>45356</v>
      </c>
      <c r="U1551" s="6" t="s">
        <v>13648</v>
      </c>
      <c r="V1551" s="6" t="s">
        <v>81</v>
      </c>
      <c r="W1551" s="6" t="s">
        <v>7316</v>
      </c>
      <c r="X1551" s="6" t="s">
        <v>81</v>
      </c>
      <c r="Y1551" s="21" t="s">
        <v>81</v>
      </c>
      <c r="Z1551" s="6" t="s">
        <v>81</v>
      </c>
      <c r="AA1551" s="6" t="s">
        <v>81</v>
      </c>
      <c r="AB1551" s="6" t="s">
        <v>81</v>
      </c>
      <c r="AC1551" s="6" t="s">
        <v>81</v>
      </c>
      <c r="AD1551" s="21" t="s">
        <v>81</v>
      </c>
      <c r="AE1551" s="6" t="s">
        <v>81</v>
      </c>
      <c r="AF1551" s="6" t="s">
        <v>81</v>
      </c>
      <c r="AG1551" s="6" t="s">
        <v>81</v>
      </c>
      <c r="AH1551" s="6" t="s">
        <v>16119</v>
      </c>
      <c r="AI1551" s="6" t="s">
        <v>81</v>
      </c>
      <c r="AJ1551" s="6" t="s">
        <v>17317</v>
      </c>
      <c r="AK1551" s="6" t="s">
        <v>18380</v>
      </c>
      <c r="AL1551" s="6" t="s">
        <v>18444</v>
      </c>
      <c r="AM1551" s="6" t="s">
        <v>18469</v>
      </c>
      <c r="AN1551" s="6" t="s">
        <v>81</v>
      </c>
      <c r="AO1551" s="6" t="s">
        <v>81</v>
      </c>
      <c r="AP1551" s="6" t="s">
        <v>81</v>
      </c>
      <c r="AQ1551" s="6" t="s">
        <v>81</v>
      </c>
      <c r="AR1551" s="6" t="s">
        <v>81</v>
      </c>
      <c r="AS1551" s="6" t="s">
        <v>81</v>
      </c>
      <c r="AT1551" s="6" t="s">
        <v>81</v>
      </c>
      <c r="AU1551" s="6" t="s">
        <v>81</v>
      </c>
      <c r="AV1551" s="6" t="s">
        <v>81</v>
      </c>
      <c r="AW1551" s="6" t="s">
        <v>81</v>
      </c>
      <c r="AX1551" s="6" t="s">
        <v>81</v>
      </c>
      <c r="AY1551" s="6" t="s">
        <v>81</v>
      </c>
      <c r="AZ1551" s="6" t="s">
        <v>81</v>
      </c>
      <c r="BA1551" s="6" t="s">
        <v>23819</v>
      </c>
      <c r="BB1551" s="24" t="n">
        <v>62</v>
      </c>
      <c r="BC1551" s="26"/>
      <c r="BD1551" s="26"/>
      <c r="BE1551" s="26"/>
      <c r="BF1551" s="26" t="s">
        <v>23900</v>
      </c>
      <c r="BG1551" s="26"/>
      <c r="BH1551" s="26"/>
      <c r="BI1551" s="26"/>
      <c r="BJ1551" s="26"/>
      <c r="BK1551" s="26"/>
      <c r="BL1551" s="26"/>
      <c r="BM1551" s="26"/>
      <c r="BN1551" s="26"/>
      <c r="BO1551" s="26"/>
      <c r="BP1551" s="16" t="n">
        <v>45674</v>
      </c>
      <c r="BQ1551" s="28" t="str">
        <f>HYPERLINK("https://organic.ams.usda.gov/Integrity/Certificate.aspx?cid=45&amp;nopid=9950013949")</f>
        <v>https://organic.ams.usda.gov/Integrity/Certificate.aspx?cid=45&amp;nopid=9950013949</v>
      </c>
    </row>
    <row r="1552">
      <c r="A1552" t="s">
        <v>3</v>
      </c>
      <c r="B1552" s="6" t="s">
        <v>10</v>
      </c>
      <c r="C1552" s="6" t="s">
        <v>57</v>
      </c>
      <c r="D1552" s="6" t="s">
        <v>103</v>
      </c>
      <c r="E1552" s="10" t="s">
        <v>1693</v>
      </c>
      <c r="F1552" s="6" t="s">
        <v>4416</v>
      </c>
      <c r="G1552" s="6" t="s">
        <v>81</v>
      </c>
      <c r="H1552" s="6" t="s">
        <v>7317</v>
      </c>
      <c r="I1552" s="6" t="s">
        <v>9181</v>
      </c>
      <c r="J1552" s="6" t="s">
        <v>9672</v>
      </c>
      <c r="K1552" s="6" t="s">
        <v>10886</v>
      </c>
      <c r="L1552" s="16" t="n">
        <v>43685</v>
      </c>
      <c r="M1552" s="16" t="n">
        <v>45748</v>
      </c>
      <c r="N1552" s="6" t="s">
        <v>10886</v>
      </c>
      <c r="O1552" s="16" t="n">
        <v>44634</v>
      </c>
      <c r="P1552" s="6" t="s">
        <v>10925</v>
      </c>
      <c r="Q1552" s="6" t="s">
        <v>81</v>
      </c>
      <c r="R1552" s="6" t="s">
        <v>12851</v>
      </c>
      <c r="S1552" s="6" t="s">
        <v>10886</v>
      </c>
      <c r="T1552" s="16" t="n">
        <v>44634</v>
      </c>
      <c r="U1552" s="6" t="s">
        <v>13163</v>
      </c>
      <c r="V1552" s="6" t="s">
        <v>81</v>
      </c>
      <c r="W1552" s="6" t="s">
        <v>81</v>
      </c>
      <c r="X1552" s="6" t="s">
        <v>81</v>
      </c>
      <c r="Y1552" s="21" t="s">
        <v>81</v>
      </c>
      <c r="Z1552" s="6" t="s">
        <v>81</v>
      </c>
      <c r="AA1552" s="6" t="s">
        <v>81</v>
      </c>
      <c r="AB1552" s="6" t="s">
        <v>81</v>
      </c>
      <c r="AC1552" s="6" t="s">
        <v>81</v>
      </c>
      <c r="AD1552" s="21" t="s">
        <v>81</v>
      </c>
      <c r="AE1552" s="6" t="s">
        <v>81</v>
      </c>
      <c r="AF1552" s="6" t="s">
        <v>81</v>
      </c>
      <c r="AG1552" s="6" t="s">
        <v>81</v>
      </c>
      <c r="AH1552" s="6" t="s">
        <v>16120</v>
      </c>
      <c r="AI1552" s="6" t="s">
        <v>81</v>
      </c>
      <c r="AJ1552" s="6" t="s">
        <v>17525</v>
      </c>
      <c r="AK1552" s="6" t="s">
        <v>18379</v>
      </c>
      <c r="AL1552" s="6" t="s">
        <v>18444</v>
      </c>
      <c r="AM1552" s="6" t="s">
        <v>19221</v>
      </c>
      <c r="AN1552" s="6" t="s">
        <v>19671</v>
      </c>
      <c r="AO1552" s="6" t="s">
        <v>19784</v>
      </c>
      <c r="AP1552" s="6" t="s">
        <v>16120</v>
      </c>
      <c r="AQ1552" s="6" t="s">
        <v>81</v>
      </c>
      <c r="AR1552" s="6" t="s">
        <v>17525</v>
      </c>
      <c r="AS1552" s="6" t="s">
        <v>18379</v>
      </c>
      <c r="AT1552" s="6" t="s">
        <v>18444</v>
      </c>
      <c r="AU1552" s="6" t="s">
        <v>19221</v>
      </c>
      <c r="AV1552" s="6" t="s">
        <v>81</v>
      </c>
      <c r="AW1552" s="6" t="s">
        <v>81</v>
      </c>
      <c r="AX1552" s="6" t="s">
        <v>21720</v>
      </c>
      <c r="AY1552" s="6" t="s">
        <v>81</v>
      </c>
      <c r="AZ1552" s="6" t="s">
        <v>81</v>
      </c>
      <c r="BA1552" s="6" t="s">
        <v>81</v>
      </c>
      <c r="BB1552" s="24" t="n">
        <v>122</v>
      </c>
      <c r="BC1552" s="26"/>
      <c r="BD1552" s="26"/>
      <c r="BE1552" s="26"/>
      <c r="BF1552" s="26"/>
      <c r="BG1552" s="26"/>
      <c r="BH1552" s="26"/>
      <c r="BI1552" s="26"/>
      <c r="BJ1552" s="26"/>
      <c r="BK1552" s="26"/>
      <c r="BL1552" s="26"/>
      <c r="BM1552" s="26"/>
      <c r="BN1552" s="26"/>
      <c r="BO1552" s="26"/>
      <c r="BP1552" s="16" t="n">
        <v>45730</v>
      </c>
      <c r="BQ1552" s="28" t="str">
        <f>HYPERLINK("https://organic.ams.usda.gov/Integrity/Certificate.aspx?cid=90&amp;nopid=7170220471")</f>
        <v>https://organic.ams.usda.gov/Integrity/Certificate.aspx?cid=90&amp;nopid=7170220471</v>
      </c>
    </row>
    <row r="1553">
      <c r="A1553" t="s">
        <v>3</v>
      </c>
      <c r="B1553" s="6" t="s">
        <v>8</v>
      </c>
      <c r="C1553" s="6" t="s">
        <v>55</v>
      </c>
      <c r="D1553" s="6" t="s">
        <v>101</v>
      </c>
      <c r="E1553" s="10" t="s">
        <v>1694</v>
      </c>
      <c r="F1553" s="6" t="s">
        <v>4417</v>
      </c>
      <c r="G1553" s="6" t="s">
        <v>81</v>
      </c>
      <c r="H1553" s="6" t="s">
        <v>7318</v>
      </c>
      <c r="I1553" s="6" t="s">
        <v>8685</v>
      </c>
      <c r="J1553" s="6" t="s">
        <v>9697</v>
      </c>
      <c r="K1553" s="6" t="s">
        <v>10886</v>
      </c>
      <c r="L1553" s="16" t="n">
        <v>44776</v>
      </c>
      <c r="M1553" s="16" t="n">
        <v>45748</v>
      </c>
      <c r="N1553" s="6" t="s">
        <v>10886</v>
      </c>
      <c r="O1553" s="16" t="n">
        <v>44776</v>
      </c>
      <c r="P1553" s="6" t="s">
        <v>11820</v>
      </c>
      <c r="Q1553" s="6" t="s">
        <v>81</v>
      </c>
      <c r="R1553" s="6" t="s">
        <v>7318</v>
      </c>
      <c r="S1553" s="6" t="s">
        <v>10886</v>
      </c>
      <c r="T1553" s="16" t="n">
        <v>44776</v>
      </c>
      <c r="U1553" s="6" t="s">
        <v>13649</v>
      </c>
      <c r="V1553" s="6" t="s">
        <v>81</v>
      </c>
      <c r="W1553" s="6" t="s">
        <v>7318</v>
      </c>
      <c r="X1553" s="6" t="s">
        <v>81</v>
      </c>
      <c r="Y1553" s="21" t="s">
        <v>81</v>
      </c>
      <c r="Z1553" s="6" t="s">
        <v>81</v>
      </c>
      <c r="AA1553" s="6" t="s">
        <v>81</v>
      </c>
      <c r="AB1553" s="6" t="s">
        <v>81</v>
      </c>
      <c r="AC1553" s="6" t="s">
        <v>81</v>
      </c>
      <c r="AD1553" s="21" t="s">
        <v>81</v>
      </c>
      <c r="AE1553" s="6" t="s">
        <v>81</v>
      </c>
      <c r="AF1553" s="6" t="s">
        <v>81</v>
      </c>
      <c r="AG1553" s="6" t="s">
        <v>81</v>
      </c>
      <c r="AH1553" s="6" t="s">
        <v>16121</v>
      </c>
      <c r="AI1553" s="6" t="s">
        <v>81</v>
      </c>
      <c r="AJ1553" s="6" t="s">
        <v>17795</v>
      </c>
      <c r="AK1553" s="6" t="s">
        <v>17712</v>
      </c>
      <c r="AL1553" s="6" t="s">
        <v>18444</v>
      </c>
      <c r="AM1553" s="6" t="s">
        <v>19222</v>
      </c>
      <c r="AN1553" s="6" t="s">
        <v>19653</v>
      </c>
      <c r="AO1553" s="6" t="s">
        <v>19744</v>
      </c>
      <c r="AP1553" s="6" t="s">
        <v>81</v>
      </c>
      <c r="AQ1553" s="6" t="s">
        <v>81</v>
      </c>
      <c r="AR1553" s="6" t="s">
        <v>81</v>
      </c>
      <c r="AS1553" s="6" t="s">
        <v>81</v>
      </c>
      <c r="AT1553" s="6" t="s">
        <v>81</v>
      </c>
      <c r="AU1553" s="6" t="s">
        <v>81</v>
      </c>
      <c r="AV1553" s="6" t="s">
        <v>81</v>
      </c>
      <c r="AW1553" s="6" t="s">
        <v>81</v>
      </c>
      <c r="AX1553" s="6" t="s">
        <v>21721</v>
      </c>
      <c r="AY1553" s="6" t="s">
        <v>81</v>
      </c>
      <c r="AZ1553" s="6" t="s">
        <v>81</v>
      </c>
      <c r="BA1553" s="6" t="s">
        <v>23819</v>
      </c>
      <c r="BB1553" s="24" t="n">
        <v>242</v>
      </c>
      <c r="BC1553" s="26"/>
      <c r="BD1553" s="26"/>
      <c r="BE1553" s="26"/>
      <c r="BF1553" s="26" t="s">
        <v>23900</v>
      </c>
      <c r="BG1553" s="26"/>
      <c r="BH1553" s="26"/>
      <c r="BI1553" s="26"/>
      <c r="BJ1553" s="26"/>
      <c r="BK1553" s="26"/>
      <c r="BL1553" s="26"/>
      <c r="BM1553" s="26"/>
      <c r="BN1553" s="26"/>
      <c r="BO1553" s="26"/>
      <c r="BP1553" s="16" t="n">
        <v>45608</v>
      </c>
      <c r="BQ1553" s="28" t="str">
        <f>HYPERLINK("https://organic.ams.usda.gov/Integrity/Certificate.aspx?cid=45&amp;nopid=9950013400")</f>
        <v>https://organic.ams.usda.gov/Integrity/Certificate.aspx?cid=45&amp;nopid=9950013400</v>
      </c>
    </row>
    <row r="1554">
      <c r="A1554" t="s">
        <v>3</v>
      </c>
      <c r="B1554" s="6" t="s">
        <v>15</v>
      </c>
      <c r="C1554" s="6" t="s">
        <v>62</v>
      </c>
      <c r="D1554" s="6" t="s">
        <v>108</v>
      </c>
      <c r="E1554" s="10" t="s">
        <v>1695</v>
      </c>
      <c r="F1554" s="6" t="s">
        <v>4418</v>
      </c>
      <c r="G1554" s="6" t="s">
        <v>81</v>
      </c>
      <c r="H1554" s="6" t="s">
        <v>7319</v>
      </c>
      <c r="I1554" s="6" t="s">
        <v>9182</v>
      </c>
      <c r="J1554" s="6" t="s">
        <v>9689</v>
      </c>
      <c r="K1554" s="6" t="s">
        <v>10886</v>
      </c>
      <c r="L1554" s="16" t="n">
        <v>41900</v>
      </c>
      <c r="M1554" s="16" t="n">
        <v>45792</v>
      </c>
      <c r="N1554" s="6" t="s">
        <v>10886</v>
      </c>
      <c r="O1554" s="16" t="n">
        <v>41900</v>
      </c>
      <c r="P1554" s="6" t="s">
        <v>11497</v>
      </c>
      <c r="Q1554" s="6" t="s">
        <v>81</v>
      </c>
      <c r="R1554" s="6" t="s">
        <v>81</v>
      </c>
      <c r="S1554" s="6" t="s">
        <v>10886</v>
      </c>
      <c r="T1554" s="16" t="n">
        <v>41900</v>
      </c>
      <c r="U1554" s="6" t="s">
        <v>13650</v>
      </c>
      <c r="V1554" s="6" t="s">
        <v>81</v>
      </c>
      <c r="W1554" s="6" t="s">
        <v>81</v>
      </c>
      <c r="X1554" s="6" t="s">
        <v>81</v>
      </c>
      <c r="Y1554" s="21" t="s">
        <v>81</v>
      </c>
      <c r="Z1554" s="6" t="s">
        <v>81</v>
      </c>
      <c r="AA1554" s="6" t="s">
        <v>81</v>
      </c>
      <c r="AB1554" s="6" t="s">
        <v>81</v>
      </c>
      <c r="AC1554" s="6" t="s">
        <v>81</v>
      </c>
      <c r="AD1554" s="21" t="s">
        <v>81</v>
      </c>
      <c r="AE1554" s="6" t="s">
        <v>81</v>
      </c>
      <c r="AF1554" s="6" t="s">
        <v>81</v>
      </c>
      <c r="AG1554" s="6" t="s">
        <v>81</v>
      </c>
      <c r="AH1554" s="6" t="s">
        <v>16122</v>
      </c>
      <c r="AI1554" s="6" t="s">
        <v>81</v>
      </c>
      <c r="AJ1554" s="6" t="s">
        <v>17913</v>
      </c>
      <c r="AK1554" s="6" t="s">
        <v>18380</v>
      </c>
      <c r="AL1554" s="6" t="s">
        <v>18444</v>
      </c>
      <c r="AM1554" s="6" t="s">
        <v>19102</v>
      </c>
      <c r="AN1554" s="6" t="s">
        <v>19640</v>
      </c>
      <c r="AO1554" s="6" t="s">
        <v>19958</v>
      </c>
      <c r="AP1554" s="6" t="s">
        <v>16122</v>
      </c>
      <c r="AQ1554" s="6" t="s">
        <v>81</v>
      </c>
      <c r="AR1554" s="6" t="s">
        <v>17913</v>
      </c>
      <c r="AS1554" s="6" t="s">
        <v>18380</v>
      </c>
      <c r="AT1554" s="6" t="s">
        <v>18444</v>
      </c>
      <c r="AU1554" s="6" t="s">
        <v>19102</v>
      </c>
      <c r="AV1554" s="6" t="s">
        <v>81</v>
      </c>
      <c r="AW1554" s="6" t="s">
        <v>81</v>
      </c>
      <c r="AX1554" s="6" t="s">
        <v>21722</v>
      </c>
      <c r="AY1554" s="6" t="s">
        <v>81</v>
      </c>
      <c r="AZ1554" s="6" t="s">
        <v>81</v>
      </c>
      <c r="BA1554" s="6" t="s">
        <v>81</v>
      </c>
      <c r="BB1554" s="24" t="n">
        <v>65</v>
      </c>
      <c r="BC1554" s="26"/>
      <c r="BD1554" s="26"/>
      <c r="BE1554" s="26"/>
      <c r="BF1554" s="26" t="s">
        <v>23900</v>
      </c>
      <c r="BG1554" s="26"/>
      <c r="BH1554" s="26"/>
      <c r="BI1554" s="26"/>
      <c r="BJ1554" s="26"/>
      <c r="BK1554" s="26"/>
      <c r="BL1554" s="26"/>
      <c r="BM1554" s="26"/>
      <c r="BN1554" s="26"/>
      <c r="BO1554" s="26"/>
      <c r="BP1554" s="16" t="n">
        <v>45737</v>
      </c>
      <c r="BQ1554" s="28" t="str">
        <f>HYPERLINK("https://organic.ams.usda.gov/Integrity/Certificate.aspx?cid=58&amp;nopid=1600002280")</f>
        <v>https://organic.ams.usda.gov/Integrity/Certificate.aspx?cid=58&amp;nopid=1600002280</v>
      </c>
    </row>
    <row r="1555">
      <c r="A1555" t="s">
        <v>3</v>
      </c>
      <c r="B1555" s="6" t="s">
        <v>10</v>
      </c>
      <c r="C1555" s="6" t="s">
        <v>57</v>
      </c>
      <c r="D1555" s="6" t="s">
        <v>103</v>
      </c>
      <c r="E1555" s="10" t="s">
        <v>1696</v>
      </c>
      <c r="F1555" s="6" t="s">
        <v>4419</v>
      </c>
      <c r="G1555" s="6" t="s">
        <v>81</v>
      </c>
      <c r="H1555" s="6" t="s">
        <v>7320</v>
      </c>
      <c r="I1555" s="6" t="s">
        <v>8685</v>
      </c>
      <c r="J1555" s="6" t="s">
        <v>9734</v>
      </c>
      <c r="K1555" s="6" t="s">
        <v>10886</v>
      </c>
      <c r="L1555" s="16" t="n">
        <v>41852</v>
      </c>
      <c r="M1555" s="16" t="n">
        <v>45748</v>
      </c>
      <c r="N1555" s="6" t="s">
        <v>10886</v>
      </c>
      <c r="O1555" s="16" t="n">
        <v>41852</v>
      </c>
      <c r="P1555" s="6" t="s">
        <v>11036</v>
      </c>
      <c r="Q1555" s="6" t="s">
        <v>81</v>
      </c>
      <c r="R1555" s="6" t="s">
        <v>12852</v>
      </c>
      <c r="S1555" s="6" t="s">
        <v>10886</v>
      </c>
      <c r="T1555" s="16" t="n">
        <v>41852</v>
      </c>
      <c r="U1555" s="6" t="s">
        <v>13234</v>
      </c>
      <c r="V1555" s="6" t="s">
        <v>81</v>
      </c>
      <c r="W1555" s="6" t="s">
        <v>81</v>
      </c>
      <c r="X1555" s="6" t="s">
        <v>81</v>
      </c>
      <c r="Y1555" s="21" t="s">
        <v>81</v>
      </c>
      <c r="Z1555" s="6" t="s">
        <v>81</v>
      </c>
      <c r="AA1555" s="6" t="s">
        <v>81</v>
      </c>
      <c r="AB1555" s="6" t="s">
        <v>81</v>
      </c>
      <c r="AC1555" s="6" t="s">
        <v>81</v>
      </c>
      <c r="AD1555" s="21" t="s">
        <v>81</v>
      </c>
      <c r="AE1555" s="6" t="s">
        <v>81</v>
      </c>
      <c r="AF1555" s="6" t="s">
        <v>81</v>
      </c>
      <c r="AG1555" s="6" t="s">
        <v>81</v>
      </c>
      <c r="AH1555" s="6" t="s">
        <v>16123</v>
      </c>
      <c r="AI1555" s="6" t="s">
        <v>81</v>
      </c>
      <c r="AJ1555" s="6" t="s">
        <v>17381</v>
      </c>
      <c r="AK1555" s="6" t="s">
        <v>18379</v>
      </c>
      <c r="AL1555" s="6" t="s">
        <v>18444</v>
      </c>
      <c r="AM1555" s="6" t="s">
        <v>18534</v>
      </c>
      <c r="AN1555" s="6" t="s">
        <v>19637</v>
      </c>
      <c r="AO1555" s="6" t="s">
        <v>19723</v>
      </c>
      <c r="AP1555" s="6" t="s">
        <v>16123</v>
      </c>
      <c r="AQ1555" s="6" t="s">
        <v>81</v>
      </c>
      <c r="AR1555" s="6" t="s">
        <v>17381</v>
      </c>
      <c r="AS1555" s="6" t="s">
        <v>18379</v>
      </c>
      <c r="AT1555" s="6" t="s">
        <v>18444</v>
      </c>
      <c r="AU1555" s="6" t="s">
        <v>18534</v>
      </c>
      <c r="AV1555" s="6" t="s">
        <v>81</v>
      </c>
      <c r="AW1555" s="6" t="s">
        <v>81</v>
      </c>
      <c r="AX1555" s="6" t="s">
        <v>21723</v>
      </c>
      <c r="AY1555" s="6" t="s">
        <v>81</v>
      </c>
      <c r="AZ1555" s="6" t="s">
        <v>81</v>
      </c>
      <c r="BA1555" s="6" t="s">
        <v>81</v>
      </c>
      <c r="BB1555" s="24" t="n">
        <v>104</v>
      </c>
      <c r="BC1555" s="26"/>
      <c r="BD1555" s="26"/>
      <c r="BE1555" s="26"/>
      <c r="BF1555" s="26"/>
      <c r="BG1555" s="26"/>
      <c r="BH1555" s="26"/>
      <c r="BI1555" s="26"/>
      <c r="BJ1555" s="26"/>
      <c r="BK1555" s="26"/>
      <c r="BL1555" s="26"/>
      <c r="BM1555" s="26"/>
      <c r="BN1555" s="26"/>
      <c r="BO1555" s="26"/>
      <c r="BP1555" s="16" t="n">
        <v>45730</v>
      </c>
      <c r="BQ1555" s="28" t="str">
        <f>HYPERLINK("https://organic.ams.usda.gov/Integrity/Certificate.aspx?cid=90&amp;nopid=7170020062")</f>
        <v>https://organic.ams.usda.gov/Integrity/Certificate.aspx?cid=90&amp;nopid=7170020062</v>
      </c>
    </row>
    <row r="1556">
      <c r="A1556" t="s">
        <v>3</v>
      </c>
      <c r="B1556" s="6" t="s">
        <v>7</v>
      </c>
      <c r="C1556" s="6" t="s">
        <v>54</v>
      </c>
      <c r="D1556" s="6" t="s">
        <v>100</v>
      </c>
      <c r="E1556" s="10" t="s">
        <v>1697</v>
      </c>
      <c r="F1556" s="6" t="s">
        <v>4420</v>
      </c>
      <c r="G1556" s="6" t="s">
        <v>81</v>
      </c>
      <c r="H1556" s="6" t="s">
        <v>7321</v>
      </c>
      <c r="I1556" s="6" t="s">
        <v>8685</v>
      </c>
      <c r="J1556" s="6" t="s">
        <v>9671</v>
      </c>
      <c r="K1556" s="6" t="s">
        <v>10886</v>
      </c>
      <c r="L1556" s="16" t="n">
        <v>45589</v>
      </c>
      <c r="M1556" s="16" t="n">
        <v>45716</v>
      </c>
      <c r="N1556" s="6" t="s">
        <v>10886</v>
      </c>
      <c r="O1556" s="16" t="n">
        <v>45589</v>
      </c>
      <c r="P1556" s="6" t="s">
        <v>11821</v>
      </c>
      <c r="Q1556" s="6" t="s">
        <v>81</v>
      </c>
      <c r="R1556" s="6" t="s">
        <v>81</v>
      </c>
      <c r="S1556" s="6" t="s">
        <v>10886</v>
      </c>
      <c r="T1556" s="16" t="n">
        <v>45589</v>
      </c>
      <c r="U1556" s="6" t="s">
        <v>13169</v>
      </c>
      <c r="V1556" s="6" t="s">
        <v>81</v>
      </c>
      <c r="W1556" s="6" t="s">
        <v>81</v>
      </c>
      <c r="X1556" s="6" t="s">
        <v>81</v>
      </c>
      <c r="Y1556" s="21" t="s">
        <v>81</v>
      </c>
      <c r="Z1556" s="6" t="s">
        <v>81</v>
      </c>
      <c r="AA1556" s="6" t="s">
        <v>81</v>
      </c>
      <c r="AB1556" s="6" t="s">
        <v>81</v>
      </c>
      <c r="AC1556" s="6" t="s">
        <v>81</v>
      </c>
      <c r="AD1556" s="21" t="s">
        <v>81</v>
      </c>
      <c r="AE1556" s="6" t="s">
        <v>81</v>
      </c>
      <c r="AF1556" s="6" t="s">
        <v>81</v>
      </c>
      <c r="AG1556" s="6" t="s">
        <v>81</v>
      </c>
      <c r="AH1556" s="6" t="s">
        <v>16124</v>
      </c>
      <c r="AI1556" s="6" t="s">
        <v>81</v>
      </c>
      <c r="AJ1556" s="6" t="s">
        <v>17490</v>
      </c>
      <c r="AK1556" s="6" t="s">
        <v>17712</v>
      </c>
      <c r="AL1556" s="6" t="s">
        <v>18444</v>
      </c>
      <c r="AM1556" s="6" t="s">
        <v>18650</v>
      </c>
      <c r="AN1556" s="6" t="s">
        <v>81</v>
      </c>
      <c r="AO1556" s="6" t="s">
        <v>81</v>
      </c>
      <c r="AP1556" s="6" t="s">
        <v>16124</v>
      </c>
      <c r="AQ1556" s="6" t="s">
        <v>81</v>
      </c>
      <c r="AR1556" s="6" t="s">
        <v>17490</v>
      </c>
      <c r="AS1556" s="6" t="s">
        <v>17712</v>
      </c>
      <c r="AT1556" s="6" t="s">
        <v>18444</v>
      </c>
      <c r="AU1556" s="6" t="s">
        <v>18650</v>
      </c>
      <c r="AV1556" s="6" t="s">
        <v>81</v>
      </c>
      <c r="AW1556" s="6" t="s">
        <v>81</v>
      </c>
      <c r="AX1556" s="6" t="s">
        <v>81</v>
      </c>
      <c r="AY1556" s="6" t="s">
        <v>81</v>
      </c>
      <c r="AZ1556" s="6" t="s">
        <v>81</v>
      </c>
      <c r="BA1556" s="6" t="s">
        <v>81</v>
      </c>
      <c r="BB1556" s="24" t="n">
        <v>160</v>
      </c>
      <c r="BC1556" s="26"/>
      <c r="BD1556" s="26"/>
      <c r="BE1556" s="26"/>
      <c r="BF1556" s="26" t="s">
        <v>23900</v>
      </c>
      <c r="BG1556" s="26"/>
      <c r="BH1556" s="26"/>
      <c r="BI1556" s="26"/>
      <c r="BJ1556" s="26"/>
      <c r="BK1556" s="26"/>
      <c r="BL1556" s="26"/>
      <c r="BM1556" s="26"/>
      <c r="BN1556" s="26"/>
      <c r="BO1556" s="26"/>
      <c r="BP1556" s="16" t="n">
        <v>45666</v>
      </c>
      <c r="BQ1556" s="28" t="str">
        <f>HYPERLINK("https://organic.ams.usda.gov/Integrity/Certificate.aspx?cid=57&amp;nopid=3252024062")</f>
        <v>https://organic.ams.usda.gov/Integrity/Certificate.aspx?cid=57&amp;nopid=3252024062</v>
      </c>
    </row>
    <row r="1557">
      <c r="A1557" t="s">
        <v>3</v>
      </c>
      <c r="B1557" s="6" t="s">
        <v>16</v>
      </c>
      <c r="C1557" s="6" t="s">
        <v>63</v>
      </c>
      <c r="D1557" s="6" t="s">
        <v>109</v>
      </c>
      <c r="E1557" s="10" t="s">
        <v>1698</v>
      </c>
      <c r="F1557" s="6" t="s">
        <v>4421</v>
      </c>
      <c r="G1557" s="6" t="s">
        <v>5735</v>
      </c>
      <c r="H1557" s="6" t="s">
        <v>7322</v>
      </c>
      <c r="I1557" s="6" t="s">
        <v>9183</v>
      </c>
      <c r="J1557" s="6" t="s">
        <v>10373</v>
      </c>
      <c r="K1557" s="6" t="s">
        <v>10886</v>
      </c>
      <c r="L1557" s="16" t="n">
        <v>37544</v>
      </c>
      <c r="M1557" s="16" t="n">
        <v>45731</v>
      </c>
      <c r="N1557" s="6" t="s">
        <v>10886</v>
      </c>
      <c r="O1557" s="16" t="n">
        <v>37544</v>
      </c>
      <c r="P1557" s="6" t="s">
        <v>11544</v>
      </c>
      <c r="Q1557" s="6" t="s">
        <v>81</v>
      </c>
      <c r="R1557" s="6" t="s">
        <v>81</v>
      </c>
      <c r="S1557" s="6" t="s">
        <v>10886</v>
      </c>
      <c r="T1557" s="16" t="n">
        <v>37544</v>
      </c>
      <c r="U1557" s="6" t="s">
        <v>13651</v>
      </c>
      <c r="V1557" s="6" t="s">
        <v>81</v>
      </c>
      <c r="W1557" s="6" t="s">
        <v>81</v>
      </c>
      <c r="X1557" s="6" t="s">
        <v>81</v>
      </c>
      <c r="Y1557" s="21" t="s">
        <v>81</v>
      </c>
      <c r="Z1557" s="6" t="s">
        <v>81</v>
      </c>
      <c r="AA1557" s="6" t="s">
        <v>81</v>
      </c>
      <c r="AB1557" s="6" t="s">
        <v>81</v>
      </c>
      <c r="AC1557" s="6" t="s">
        <v>10886</v>
      </c>
      <c r="AD1557" s="16" t="n">
        <v>45449</v>
      </c>
      <c r="AE1557" s="6" t="s">
        <v>14065</v>
      </c>
      <c r="AF1557" s="6" t="s">
        <v>81</v>
      </c>
      <c r="AG1557" s="6" t="s">
        <v>81</v>
      </c>
      <c r="AH1557" s="6" t="s">
        <v>16125</v>
      </c>
      <c r="AI1557" s="6" t="s">
        <v>81</v>
      </c>
      <c r="AJ1557" s="6" t="s">
        <v>17471</v>
      </c>
      <c r="AK1557" s="6" t="s">
        <v>18383</v>
      </c>
      <c r="AL1557" s="6" t="s">
        <v>18444</v>
      </c>
      <c r="AM1557" s="6" t="s">
        <v>19072</v>
      </c>
      <c r="AN1557" s="6" t="s">
        <v>19636</v>
      </c>
      <c r="AO1557" s="6" t="s">
        <v>19740</v>
      </c>
      <c r="AP1557" s="6" t="s">
        <v>81</v>
      </c>
      <c r="AQ1557" s="6" t="s">
        <v>81</v>
      </c>
      <c r="AR1557" s="6" t="s">
        <v>81</v>
      </c>
      <c r="AS1557" s="6" t="s">
        <v>81</v>
      </c>
      <c r="AT1557" s="6" t="s">
        <v>81</v>
      </c>
      <c r="AU1557" s="6" t="s">
        <v>81</v>
      </c>
      <c r="AV1557" s="6" t="s">
        <v>81</v>
      </c>
      <c r="AW1557" s="6" t="s">
        <v>81</v>
      </c>
      <c r="AX1557" s="6" t="s">
        <v>21724</v>
      </c>
      <c r="AY1557" s="6" t="s">
        <v>81</v>
      </c>
      <c r="AZ1557" s="6" t="s">
        <v>23702</v>
      </c>
      <c r="BA1557" s="6" t="s">
        <v>81</v>
      </c>
      <c r="BB1557" s="24" t="n">
        <v>276</v>
      </c>
      <c r="BC1557" s="26"/>
      <c r="BD1557" s="26"/>
      <c r="BE1557" s="26"/>
      <c r="BF1557" s="26"/>
      <c r="BG1557" s="26"/>
      <c r="BH1557" s="26"/>
      <c r="BI1557" s="26"/>
      <c r="BJ1557" s="26"/>
      <c r="BK1557" s="26"/>
      <c r="BL1557" s="26"/>
      <c r="BM1557" s="26"/>
      <c r="BN1557" s="26"/>
      <c r="BO1557" s="26"/>
      <c r="BP1557" s="16" t="n">
        <v>45701</v>
      </c>
      <c r="BQ1557" s="28" t="str">
        <f>HYPERLINK("https://organic.ams.usda.gov/Integrity/Certificate.aspx?cid=81&amp;nopid=4210099061")</f>
        <v>https://organic.ams.usda.gov/Integrity/Certificate.aspx?cid=81&amp;nopid=4210099061</v>
      </c>
    </row>
    <row r="1558">
      <c r="A1558" t="s">
        <v>3</v>
      </c>
      <c r="B1558" s="6" t="s">
        <v>24</v>
      </c>
      <c r="C1558" s="6" t="s">
        <v>71</v>
      </c>
      <c r="D1558" s="6" t="s">
        <v>117</v>
      </c>
      <c r="E1558" s="10" t="s">
        <v>1699</v>
      </c>
      <c r="F1558" s="6" t="s">
        <v>4422</v>
      </c>
      <c r="G1558" s="6" t="s">
        <v>81</v>
      </c>
      <c r="H1558" s="6" t="s">
        <v>81</v>
      </c>
      <c r="I1558" s="6" t="s">
        <v>8606</v>
      </c>
      <c r="J1558" s="6" t="s">
        <v>9233</v>
      </c>
      <c r="K1558" s="6" t="s">
        <v>10886</v>
      </c>
      <c r="L1558" s="16" t="n">
        <v>44538</v>
      </c>
      <c r="M1558" s="16" t="n">
        <v>45809</v>
      </c>
      <c r="N1558" s="6" t="s">
        <v>10886</v>
      </c>
      <c r="O1558" s="16" t="n">
        <v>44538</v>
      </c>
      <c r="P1558" s="6" t="s">
        <v>11822</v>
      </c>
      <c r="Q1558" s="6" t="s">
        <v>81</v>
      </c>
      <c r="R1558" s="6" t="s">
        <v>81</v>
      </c>
      <c r="S1558" s="6" t="s">
        <v>10886</v>
      </c>
      <c r="T1558" s="16" t="n">
        <v>43773</v>
      </c>
      <c r="U1558" s="6" t="s">
        <v>13652</v>
      </c>
      <c r="V1558" s="6" t="s">
        <v>81</v>
      </c>
      <c r="W1558" s="6" t="s">
        <v>81</v>
      </c>
      <c r="X1558" s="6" t="s">
        <v>81</v>
      </c>
      <c r="Y1558" s="21" t="s">
        <v>81</v>
      </c>
      <c r="Z1558" s="6" t="s">
        <v>81</v>
      </c>
      <c r="AA1558" s="6" t="s">
        <v>81</v>
      </c>
      <c r="AB1558" s="6" t="s">
        <v>81</v>
      </c>
      <c r="AC1558" s="6" t="s">
        <v>10886</v>
      </c>
      <c r="AD1558" s="16" t="n">
        <v>44538</v>
      </c>
      <c r="AE1558" s="6" t="s">
        <v>14147</v>
      </c>
      <c r="AF1558" s="6" t="s">
        <v>81</v>
      </c>
      <c r="AG1558" s="6" t="s">
        <v>81</v>
      </c>
      <c r="AH1558" s="6" t="s">
        <v>16126</v>
      </c>
      <c r="AI1558" s="6" t="s">
        <v>81</v>
      </c>
      <c r="AJ1558" s="6" t="s">
        <v>17311</v>
      </c>
      <c r="AK1558" s="6" t="s">
        <v>17712</v>
      </c>
      <c r="AL1558" s="6" t="s">
        <v>18444</v>
      </c>
      <c r="AM1558" s="6" t="s">
        <v>18463</v>
      </c>
      <c r="AN1558" s="6" t="s">
        <v>19634</v>
      </c>
      <c r="AO1558" s="6" t="s">
        <v>19719</v>
      </c>
      <c r="AP1558" s="6" t="s">
        <v>16126</v>
      </c>
      <c r="AQ1558" s="6" t="s">
        <v>81</v>
      </c>
      <c r="AR1558" s="6" t="s">
        <v>17311</v>
      </c>
      <c r="AS1558" s="6" t="s">
        <v>17712</v>
      </c>
      <c r="AT1558" s="6" t="s">
        <v>18444</v>
      </c>
      <c r="AU1558" s="6" t="s">
        <v>18463</v>
      </c>
      <c r="AV1558" s="6" t="s">
        <v>81</v>
      </c>
      <c r="AW1558" s="6" t="s">
        <v>81</v>
      </c>
      <c r="AX1558" s="6" t="s">
        <v>81</v>
      </c>
      <c r="AY1558" s="6" t="s">
        <v>23103</v>
      </c>
      <c r="AZ1558" s="6" t="s">
        <v>81</v>
      </c>
      <c r="BA1558" s="6" t="s">
        <v>81</v>
      </c>
      <c r="BB1558" s="24" t="n">
        <v>163</v>
      </c>
      <c r="BC1558" s="26"/>
      <c r="BD1558" s="26"/>
      <c r="BE1558" s="26"/>
      <c r="BF1558" s="26"/>
      <c r="BG1558" s="26"/>
      <c r="BH1558" s="26"/>
      <c r="BI1558" s="26"/>
      <c r="BJ1558" s="26"/>
      <c r="BK1558" s="26"/>
      <c r="BL1558" s="26"/>
      <c r="BM1558" s="26"/>
      <c r="BN1558" s="26"/>
      <c r="BO1558" s="26"/>
      <c r="BP1558" s="16" t="n">
        <v>45628</v>
      </c>
      <c r="BQ1558" s="28" t="str">
        <f>HYPERLINK("https://organic.ams.usda.gov/Integrity/Certificate.aspx?cid=1&amp;nopid=9092126006")</f>
        <v>https://organic.ams.usda.gov/Integrity/Certificate.aspx?cid=1&amp;nopid=9092126006</v>
      </c>
    </row>
    <row r="1559">
      <c r="A1559" t="s">
        <v>3</v>
      </c>
      <c r="B1559" s="6" t="s">
        <v>8</v>
      </c>
      <c r="C1559" s="6" t="s">
        <v>55</v>
      </c>
      <c r="D1559" s="6" t="s">
        <v>101</v>
      </c>
      <c r="E1559" s="10" t="s">
        <v>1700</v>
      </c>
      <c r="F1559" s="6" t="s">
        <v>4423</v>
      </c>
      <c r="G1559" s="6" t="s">
        <v>5736</v>
      </c>
      <c r="H1559" s="6" t="s">
        <v>7323</v>
      </c>
      <c r="I1559" s="6" t="s">
        <v>9184</v>
      </c>
      <c r="J1559" s="6" t="s">
        <v>10374</v>
      </c>
      <c r="K1559" s="6" t="s">
        <v>10886</v>
      </c>
      <c r="L1559" s="16" t="n">
        <v>43608</v>
      </c>
      <c r="M1559" s="16" t="n">
        <v>45748</v>
      </c>
      <c r="N1559" s="6" t="s">
        <v>81</v>
      </c>
      <c r="O1559" s="21" t="s">
        <v>81</v>
      </c>
      <c r="P1559" s="6" t="s">
        <v>81</v>
      </c>
      <c r="Q1559" s="6" t="s">
        <v>81</v>
      </c>
      <c r="R1559" s="6" t="s">
        <v>81</v>
      </c>
      <c r="S1559" s="6" t="s">
        <v>81</v>
      </c>
      <c r="T1559" s="21" t="s">
        <v>81</v>
      </c>
      <c r="U1559" s="6" t="s">
        <v>81</v>
      </c>
      <c r="V1559" s="6" t="s">
        <v>81</v>
      </c>
      <c r="W1559" s="6" t="s">
        <v>81</v>
      </c>
      <c r="X1559" s="6" t="s">
        <v>81</v>
      </c>
      <c r="Y1559" s="21" t="s">
        <v>81</v>
      </c>
      <c r="Z1559" s="6" t="s">
        <v>81</v>
      </c>
      <c r="AA1559" s="6" t="s">
        <v>81</v>
      </c>
      <c r="AB1559" s="6" t="s">
        <v>81</v>
      </c>
      <c r="AC1559" s="6" t="s">
        <v>10886</v>
      </c>
      <c r="AD1559" s="16" t="n">
        <v>43608</v>
      </c>
      <c r="AE1559" s="6" t="s">
        <v>14281</v>
      </c>
      <c r="AF1559" s="6" t="s">
        <v>81</v>
      </c>
      <c r="AG1559" s="6" t="s">
        <v>7323</v>
      </c>
      <c r="AH1559" s="6" t="s">
        <v>16127</v>
      </c>
      <c r="AI1559" s="6" t="s">
        <v>81</v>
      </c>
      <c r="AJ1559" s="6" t="s">
        <v>18031</v>
      </c>
      <c r="AK1559" s="6" t="s">
        <v>18381</v>
      </c>
      <c r="AL1559" s="6" t="s">
        <v>18444</v>
      </c>
      <c r="AM1559" s="6" t="s">
        <v>19223</v>
      </c>
      <c r="AN1559" s="6" t="s">
        <v>19676</v>
      </c>
      <c r="AO1559" s="6" t="s">
        <v>19797</v>
      </c>
      <c r="AP1559" s="6" t="s">
        <v>20297</v>
      </c>
      <c r="AQ1559" s="6" t="s">
        <v>81</v>
      </c>
      <c r="AR1559" s="6" t="s">
        <v>18031</v>
      </c>
      <c r="AS1559" s="6" t="s">
        <v>18381</v>
      </c>
      <c r="AT1559" s="6" t="s">
        <v>18444</v>
      </c>
      <c r="AU1559" s="6" t="s">
        <v>19223</v>
      </c>
      <c r="AV1559" s="6" t="s">
        <v>81</v>
      </c>
      <c r="AW1559" s="6" t="s">
        <v>81</v>
      </c>
      <c r="AX1559" s="6" t="s">
        <v>21725</v>
      </c>
      <c r="AY1559" s="6" t="s">
        <v>23104</v>
      </c>
      <c r="AZ1559" s="6" t="s">
        <v>23703</v>
      </c>
      <c r="BA1559" s="6" t="s">
        <v>23868</v>
      </c>
      <c r="BB1559" s="24" t="n">
        <v>0</v>
      </c>
      <c r="BC1559" s="26"/>
      <c r="BD1559" s="26"/>
      <c r="BE1559" s="26"/>
      <c r="BF1559" s="26"/>
      <c r="BG1559" s="26"/>
      <c r="BH1559" s="26"/>
      <c r="BI1559" s="26"/>
      <c r="BJ1559" s="26"/>
      <c r="BK1559" s="26"/>
      <c r="BL1559" s="26"/>
      <c r="BM1559" s="26"/>
      <c r="BN1559" s="26"/>
      <c r="BO1559" s="26"/>
      <c r="BP1559" s="16" t="n">
        <v>45495</v>
      </c>
      <c r="BQ1559" s="28" t="str">
        <f>HYPERLINK("https://organic.ams.usda.gov/Integrity/Certificate.aspx?cid=45&amp;nopid=9950011690")</f>
        <v>https://organic.ams.usda.gov/Integrity/Certificate.aspx?cid=45&amp;nopid=9950011690</v>
      </c>
    </row>
    <row r="1560">
      <c r="A1560" t="s">
        <v>3</v>
      </c>
      <c r="B1560" s="6" t="s">
        <v>29</v>
      </c>
      <c r="C1560" s="6" t="s">
        <v>76</v>
      </c>
      <c r="D1560" s="6" t="s">
        <v>122</v>
      </c>
      <c r="E1560" s="10" t="s">
        <v>1701</v>
      </c>
      <c r="F1560" s="6" t="s">
        <v>4424</v>
      </c>
      <c r="G1560" s="6" t="s">
        <v>5737</v>
      </c>
      <c r="H1560" s="6" t="s">
        <v>7324</v>
      </c>
      <c r="I1560" s="6" t="s">
        <v>9185</v>
      </c>
      <c r="J1560" s="6" t="s">
        <v>10375</v>
      </c>
      <c r="K1560" s="6" t="s">
        <v>10886</v>
      </c>
      <c r="L1560" s="16" t="n">
        <v>40814</v>
      </c>
      <c r="M1560" s="16" t="n">
        <v>45505</v>
      </c>
      <c r="N1560" s="6" t="s">
        <v>10886</v>
      </c>
      <c r="O1560" s="16" t="n">
        <v>40814</v>
      </c>
      <c r="P1560" s="6" t="s">
        <v>11823</v>
      </c>
      <c r="Q1560" s="6" t="s">
        <v>81</v>
      </c>
      <c r="R1560" s="6" t="s">
        <v>12853</v>
      </c>
      <c r="S1560" s="6" t="s">
        <v>10886</v>
      </c>
      <c r="T1560" s="16" t="n">
        <v>40814</v>
      </c>
      <c r="U1560" s="6" t="s">
        <v>13653</v>
      </c>
      <c r="V1560" s="6" t="s">
        <v>81</v>
      </c>
      <c r="W1560" s="6" t="s">
        <v>12853</v>
      </c>
      <c r="X1560" s="6" t="s">
        <v>81</v>
      </c>
      <c r="Y1560" s="21" t="s">
        <v>81</v>
      </c>
      <c r="Z1560" s="6" t="s">
        <v>81</v>
      </c>
      <c r="AA1560" s="6" t="s">
        <v>81</v>
      </c>
      <c r="AB1560" s="6" t="s">
        <v>81</v>
      </c>
      <c r="AC1560" s="6" t="s">
        <v>81</v>
      </c>
      <c r="AD1560" s="21" t="s">
        <v>81</v>
      </c>
      <c r="AE1560" s="6" t="s">
        <v>81</v>
      </c>
      <c r="AF1560" s="6" t="s">
        <v>81</v>
      </c>
      <c r="AG1560" s="6" t="s">
        <v>81</v>
      </c>
      <c r="AH1560" s="6" t="s">
        <v>16128</v>
      </c>
      <c r="AI1560" s="6" t="s">
        <v>81</v>
      </c>
      <c r="AJ1560" s="6" t="s">
        <v>18032</v>
      </c>
      <c r="AK1560" s="6" t="s">
        <v>18377</v>
      </c>
      <c r="AL1560" s="6" t="s">
        <v>18444</v>
      </c>
      <c r="AM1560" s="6" t="s">
        <v>19224</v>
      </c>
      <c r="AN1560" s="6" t="s">
        <v>19700</v>
      </c>
      <c r="AO1560" s="6" t="s">
        <v>19996</v>
      </c>
      <c r="AP1560" s="6" t="s">
        <v>81</v>
      </c>
      <c r="AQ1560" s="6" t="s">
        <v>81</v>
      </c>
      <c r="AR1560" s="6" t="s">
        <v>81</v>
      </c>
      <c r="AS1560" s="6" t="s">
        <v>81</v>
      </c>
      <c r="AT1560" s="6" t="s">
        <v>81</v>
      </c>
      <c r="AU1560" s="6" t="s">
        <v>81</v>
      </c>
      <c r="AV1560" s="6" t="s">
        <v>81</v>
      </c>
      <c r="AW1560" s="6" t="s">
        <v>81</v>
      </c>
      <c r="AX1560" s="6" t="s">
        <v>21726</v>
      </c>
      <c r="AY1560" s="6" t="s">
        <v>23105</v>
      </c>
      <c r="AZ1560" s="6" t="s">
        <v>81</v>
      </c>
      <c r="BA1560" s="6" t="s">
        <v>81</v>
      </c>
      <c r="BB1560" s="24" t="n">
        <v>92</v>
      </c>
      <c r="BC1560" s="26"/>
      <c r="BD1560" s="26"/>
      <c r="BE1560" s="26"/>
      <c r="BF1560" s="26" t="s">
        <v>23900</v>
      </c>
      <c r="BG1560" s="26"/>
      <c r="BH1560" s="26"/>
      <c r="BI1560" s="26"/>
      <c r="BJ1560" s="26"/>
      <c r="BK1560" s="26"/>
      <c r="BL1560" s="26"/>
      <c r="BM1560" s="26"/>
      <c r="BN1560" s="26"/>
      <c r="BO1560" s="26"/>
      <c r="BP1560" s="16" t="n">
        <v>45737</v>
      </c>
      <c r="BQ1560" s="28" t="str">
        <f>HYPERLINK("https://organic.ams.usda.gov/Integrity/Certificate.aspx?cid=31&amp;nopid=3928971062")</f>
        <v>https://organic.ams.usda.gov/Integrity/Certificate.aspx?cid=31&amp;nopid=3928971062</v>
      </c>
    </row>
    <row r="1561">
      <c r="A1561" t="s">
        <v>3</v>
      </c>
      <c r="B1561" s="6" t="s">
        <v>7</v>
      </c>
      <c r="C1561" s="6" t="s">
        <v>54</v>
      </c>
      <c r="D1561" s="6" t="s">
        <v>100</v>
      </c>
      <c r="E1561" s="10" t="s">
        <v>1702</v>
      </c>
      <c r="F1561" s="6" t="s">
        <v>4425</v>
      </c>
      <c r="G1561" s="6" t="s">
        <v>81</v>
      </c>
      <c r="H1561" s="6" t="s">
        <v>7325</v>
      </c>
      <c r="I1561" s="6" t="s">
        <v>8568</v>
      </c>
      <c r="J1561" s="6" t="s">
        <v>10376</v>
      </c>
      <c r="K1561" s="6" t="s">
        <v>10886</v>
      </c>
      <c r="L1561" s="16" t="n">
        <v>39107</v>
      </c>
      <c r="M1561" s="16" t="n">
        <v>45716</v>
      </c>
      <c r="N1561" s="6" t="s">
        <v>10886</v>
      </c>
      <c r="O1561" s="16" t="n">
        <v>39107</v>
      </c>
      <c r="P1561" s="6" t="s">
        <v>11824</v>
      </c>
      <c r="Q1561" s="6" t="s">
        <v>81</v>
      </c>
      <c r="R1561" s="6" t="s">
        <v>81</v>
      </c>
      <c r="S1561" s="6" t="s">
        <v>10886</v>
      </c>
      <c r="T1561" s="16" t="n">
        <v>39233</v>
      </c>
      <c r="U1561" s="6" t="s">
        <v>13169</v>
      </c>
      <c r="V1561" s="6" t="s">
        <v>81</v>
      </c>
      <c r="W1561" s="6" t="s">
        <v>81</v>
      </c>
      <c r="X1561" s="6" t="s">
        <v>81</v>
      </c>
      <c r="Y1561" s="21" t="s">
        <v>81</v>
      </c>
      <c r="Z1561" s="6" t="s">
        <v>81</v>
      </c>
      <c r="AA1561" s="6" t="s">
        <v>81</v>
      </c>
      <c r="AB1561" s="6" t="s">
        <v>81</v>
      </c>
      <c r="AC1561" s="6" t="s">
        <v>81</v>
      </c>
      <c r="AD1561" s="21" t="s">
        <v>81</v>
      </c>
      <c r="AE1561" s="6" t="s">
        <v>81</v>
      </c>
      <c r="AF1561" s="6" t="s">
        <v>81</v>
      </c>
      <c r="AG1561" s="6" t="s">
        <v>81</v>
      </c>
      <c r="AH1561" s="6" t="s">
        <v>16129</v>
      </c>
      <c r="AI1561" s="6" t="s">
        <v>81</v>
      </c>
      <c r="AJ1561" s="6" t="s">
        <v>17487</v>
      </c>
      <c r="AK1561" s="6" t="s">
        <v>17712</v>
      </c>
      <c r="AL1561" s="6" t="s">
        <v>18444</v>
      </c>
      <c r="AM1561" s="6" t="s">
        <v>18647</v>
      </c>
      <c r="AN1561" s="6" t="s">
        <v>7595</v>
      </c>
      <c r="AO1561" s="6" t="s">
        <v>19818</v>
      </c>
      <c r="AP1561" s="6" t="s">
        <v>16129</v>
      </c>
      <c r="AQ1561" s="6" t="s">
        <v>81</v>
      </c>
      <c r="AR1561" s="6" t="s">
        <v>17487</v>
      </c>
      <c r="AS1561" s="6" t="s">
        <v>17712</v>
      </c>
      <c r="AT1561" s="6" t="s">
        <v>18444</v>
      </c>
      <c r="AU1561" s="6" t="s">
        <v>18647</v>
      </c>
      <c r="AV1561" s="6" t="s">
        <v>81</v>
      </c>
      <c r="AW1561" s="6" t="s">
        <v>81</v>
      </c>
      <c r="AX1561" s="6" t="s">
        <v>21727</v>
      </c>
      <c r="AY1561" s="6" t="s">
        <v>23106</v>
      </c>
      <c r="AZ1561" s="6" t="s">
        <v>81</v>
      </c>
      <c r="BA1561" s="6" t="s">
        <v>81</v>
      </c>
      <c r="BB1561" s="24" t="n">
        <v>0</v>
      </c>
      <c r="BC1561" s="26"/>
      <c r="BD1561" s="26"/>
      <c r="BE1561" s="26"/>
      <c r="BF1561" s="26" t="s">
        <v>23900</v>
      </c>
      <c r="BG1561" s="26"/>
      <c r="BH1561" s="26"/>
      <c r="BI1561" s="26"/>
      <c r="BJ1561" s="26"/>
      <c r="BK1561" s="26"/>
      <c r="BL1561" s="26"/>
      <c r="BM1561" s="26"/>
      <c r="BN1561" s="26"/>
      <c r="BO1561" s="26"/>
      <c r="BP1561" s="16" t="n">
        <v>45723</v>
      </c>
      <c r="BQ1561" s="28" t="str">
        <f>HYPERLINK("https://organic.ams.usda.gov/Integrity/Certificate.aspx?cid=57&amp;nopid=3252006139")</f>
        <v>https://organic.ams.usda.gov/Integrity/Certificate.aspx?cid=57&amp;nopid=3252006139</v>
      </c>
    </row>
    <row r="1562">
      <c r="A1562" t="s">
        <v>3</v>
      </c>
      <c r="B1562" s="6" t="s">
        <v>7</v>
      </c>
      <c r="C1562" s="6" t="s">
        <v>54</v>
      </c>
      <c r="D1562" s="6" t="s">
        <v>100</v>
      </c>
      <c r="E1562" s="10" t="s">
        <v>1703</v>
      </c>
      <c r="F1562" s="6" t="s">
        <v>4426</v>
      </c>
      <c r="G1562" s="6" t="s">
        <v>81</v>
      </c>
      <c r="H1562" s="6" t="s">
        <v>7326</v>
      </c>
      <c r="I1562" s="6" t="s">
        <v>9010</v>
      </c>
      <c r="J1562" s="6" t="s">
        <v>10377</v>
      </c>
      <c r="K1562" s="6" t="s">
        <v>10886</v>
      </c>
      <c r="L1562" s="16" t="n">
        <v>45505</v>
      </c>
      <c r="M1562" s="16" t="n">
        <v>45716</v>
      </c>
      <c r="N1562" s="6" t="s">
        <v>10886</v>
      </c>
      <c r="O1562" s="16" t="n">
        <v>45505</v>
      </c>
      <c r="P1562" s="6" t="s">
        <v>10910</v>
      </c>
      <c r="Q1562" s="6" t="s">
        <v>81</v>
      </c>
      <c r="R1562" s="6" t="s">
        <v>81</v>
      </c>
      <c r="S1562" s="6" t="s">
        <v>10886</v>
      </c>
      <c r="T1562" s="16" t="n">
        <v>45505</v>
      </c>
      <c r="U1562" s="6" t="s">
        <v>13169</v>
      </c>
      <c r="V1562" s="6" t="s">
        <v>81</v>
      </c>
      <c r="W1562" s="6" t="s">
        <v>81</v>
      </c>
      <c r="X1562" s="6" t="s">
        <v>81</v>
      </c>
      <c r="Y1562" s="21" t="s">
        <v>81</v>
      </c>
      <c r="Z1562" s="6" t="s">
        <v>81</v>
      </c>
      <c r="AA1562" s="6" t="s">
        <v>81</v>
      </c>
      <c r="AB1562" s="6" t="s">
        <v>81</v>
      </c>
      <c r="AC1562" s="6" t="s">
        <v>81</v>
      </c>
      <c r="AD1562" s="21" t="s">
        <v>81</v>
      </c>
      <c r="AE1562" s="6" t="s">
        <v>81</v>
      </c>
      <c r="AF1562" s="6" t="s">
        <v>81</v>
      </c>
      <c r="AG1562" s="6" t="s">
        <v>81</v>
      </c>
      <c r="AH1562" s="6" t="s">
        <v>16130</v>
      </c>
      <c r="AI1562" s="6" t="s">
        <v>81</v>
      </c>
      <c r="AJ1562" s="6" t="s">
        <v>17616</v>
      </c>
      <c r="AK1562" s="6" t="s">
        <v>17712</v>
      </c>
      <c r="AL1562" s="6" t="s">
        <v>18444</v>
      </c>
      <c r="AM1562" s="6" t="s">
        <v>18784</v>
      </c>
      <c r="AN1562" s="6" t="s">
        <v>81</v>
      </c>
      <c r="AO1562" s="6" t="s">
        <v>81</v>
      </c>
      <c r="AP1562" s="6" t="s">
        <v>16130</v>
      </c>
      <c r="AQ1562" s="6" t="s">
        <v>81</v>
      </c>
      <c r="AR1562" s="6" t="s">
        <v>17616</v>
      </c>
      <c r="AS1562" s="6" t="s">
        <v>17712</v>
      </c>
      <c r="AT1562" s="6" t="s">
        <v>18444</v>
      </c>
      <c r="AU1562" s="6" t="s">
        <v>18784</v>
      </c>
      <c r="AV1562" s="6" t="s">
        <v>81</v>
      </c>
      <c r="AW1562" s="6" t="s">
        <v>81</v>
      </c>
      <c r="AX1562" s="6" t="s">
        <v>21728</v>
      </c>
      <c r="AY1562" s="6" t="s">
        <v>81</v>
      </c>
      <c r="AZ1562" s="6" t="s">
        <v>81</v>
      </c>
      <c r="BA1562" s="6" t="s">
        <v>81</v>
      </c>
      <c r="BB1562" s="24" t="n">
        <v>102</v>
      </c>
      <c r="BC1562" s="26"/>
      <c r="BD1562" s="26"/>
      <c r="BE1562" s="26"/>
      <c r="BF1562" s="26" t="s">
        <v>23900</v>
      </c>
      <c r="BG1562" s="26"/>
      <c r="BH1562" s="26"/>
      <c r="BI1562" s="26"/>
      <c r="BJ1562" s="26"/>
      <c r="BK1562" s="26"/>
      <c r="BL1562" s="26"/>
      <c r="BM1562" s="26"/>
      <c r="BN1562" s="26"/>
      <c r="BO1562" s="26"/>
      <c r="BP1562" s="16" t="n">
        <v>45595</v>
      </c>
      <c r="BQ1562" s="28" t="str">
        <f>HYPERLINK("https://organic.ams.usda.gov/Integrity/Certificate.aspx?cid=57&amp;nopid=3252024026")</f>
        <v>https://organic.ams.usda.gov/Integrity/Certificate.aspx?cid=57&amp;nopid=3252024026</v>
      </c>
    </row>
    <row r="1563">
      <c r="A1563" t="s">
        <v>3</v>
      </c>
      <c r="B1563" s="6" t="s">
        <v>25</v>
      </c>
      <c r="C1563" s="6" t="s">
        <v>72</v>
      </c>
      <c r="D1563" s="6" t="s">
        <v>118</v>
      </c>
      <c r="E1563" s="10" t="s">
        <v>1704</v>
      </c>
      <c r="F1563" s="6" t="s">
        <v>4427</v>
      </c>
      <c r="G1563" s="6" t="s">
        <v>81</v>
      </c>
      <c r="H1563" s="6" t="s">
        <v>7327</v>
      </c>
      <c r="I1563" s="6" t="s">
        <v>8671</v>
      </c>
      <c r="J1563" s="6" t="s">
        <v>10378</v>
      </c>
      <c r="K1563" s="6" t="s">
        <v>10886</v>
      </c>
      <c r="L1563" s="16" t="n">
        <v>37126</v>
      </c>
      <c r="M1563" s="16" t="n">
        <v>46023</v>
      </c>
      <c r="N1563" s="6" t="s">
        <v>81</v>
      </c>
      <c r="O1563" s="21" t="s">
        <v>81</v>
      </c>
      <c r="P1563" s="6" t="s">
        <v>81</v>
      </c>
      <c r="Q1563" s="6" t="s">
        <v>81</v>
      </c>
      <c r="R1563" s="6" t="s">
        <v>81</v>
      </c>
      <c r="S1563" s="6" t="s">
        <v>81</v>
      </c>
      <c r="T1563" s="21" t="s">
        <v>81</v>
      </c>
      <c r="U1563" s="6" t="s">
        <v>81</v>
      </c>
      <c r="V1563" s="6" t="s">
        <v>81</v>
      </c>
      <c r="W1563" s="6" t="s">
        <v>81</v>
      </c>
      <c r="X1563" s="6" t="s">
        <v>81</v>
      </c>
      <c r="Y1563" s="21" t="s">
        <v>81</v>
      </c>
      <c r="Z1563" s="6" t="s">
        <v>81</v>
      </c>
      <c r="AA1563" s="6" t="s">
        <v>81</v>
      </c>
      <c r="AB1563" s="6" t="s">
        <v>81</v>
      </c>
      <c r="AC1563" s="6" t="s">
        <v>10886</v>
      </c>
      <c r="AD1563" s="16" t="n">
        <v>37126</v>
      </c>
      <c r="AE1563" s="6" t="s">
        <v>14282</v>
      </c>
      <c r="AF1563" s="6" t="s">
        <v>81</v>
      </c>
      <c r="AG1563" s="6" t="s">
        <v>81</v>
      </c>
      <c r="AH1563" s="6" t="s">
        <v>16131</v>
      </c>
      <c r="AI1563" s="6" t="s">
        <v>81</v>
      </c>
      <c r="AJ1563" s="6" t="s">
        <v>18033</v>
      </c>
      <c r="AK1563" s="6" t="s">
        <v>17712</v>
      </c>
      <c r="AL1563" s="6" t="s">
        <v>18444</v>
      </c>
      <c r="AM1563" s="6" t="s">
        <v>19225</v>
      </c>
      <c r="AN1563" s="6" t="s">
        <v>6132</v>
      </c>
      <c r="AO1563" s="6" t="s">
        <v>19724</v>
      </c>
      <c r="AP1563" s="6" t="s">
        <v>16131</v>
      </c>
      <c r="AQ1563" s="6" t="s">
        <v>81</v>
      </c>
      <c r="AR1563" s="6" t="s">
        <v>18033</v>
      </c>
      <c r="AS1563" s="6" t="s">
        <v>17712</v>
      </c>
      <c r="AT1563" s="6" t="s">
        <v>18444</v>
      </c>
      <c r="AU1563" s="6" t="s">
        <v>19225</v>
      </c>
      <c r="AV1563" s="6" t="s">
        <v>81</v>
      </c>
      <c r="AW1563" s="6" t="s">
        <v>81</v>
      </c>
      <c r="AX1563" s="6" t="s">
        <v>21729</v>
      </c>
      <c r="AY1563" s="6" t="s">
        <v>23107</v>
      </c>
      <c r="AZ1563" s="6" t="s">
        <v>23704</v>
      </c>
      <c r="BA1563" s="6" t="s">
        <v>23869</v>
      </c>
      <c r="BB1563" s="6" t="s">
        <v>81</v>
      </c>
      <c r="BC1563" s="26"/>
      <c r="BD1563" s="26"/>
      <c r="BE1563" s="26" t="s">
        <v>23900</v>
      </c>
      <c r="BF1563" s="26"/>
      <c r="BG1563" s="26"/>
      <c r="BH1563" s="26"/>
      <c r="BI1563" s="26"/>
      <c r="BJ1563" s="26"/>
      <c r="BK1563" s="26"/>
      <c r="BL1563" s="26"/>
      <c r="BM1563" s="26"/>
      <c r="BN1563" s="26"/>
      <c r="BO1563" s="26"/>
      <c r="BP1563" s="16" t="n">
        <v>45727</v>
      </c>
      <c r="BQ1563" s="28" t="str">
        <f>HYPERLINK("https://organic.ams.usda.gov/Integrity/Certificate.aspx?cid=15&amp;nopid=5561002191")</f>
        <v>https://organic.ams.usda.gov/Integrity/Certificate.aspx?cid=15&amp;nopid=5561002191</v>
      </c>
    </row>
    <row r="1564">
      <c r="A1564" t="s">
        <v>3</v>
      </c>
      <c r="B1564" s="6" t="s">
        <v>26</v>
      </c>
      <c r="C1564" s="6" t="s">
        <v>73</v>
      </c>
      <c r="D1564" s="6" t="s">
        <v>119</v>
      </c>
      <c r="E1564" s="10" t="s">
        <v>1705</v>
      </c>
      <c r="F1564" s="6" t="s">
        <v>4428</v>
      </c>
      <c r="G1564" s="6" t="s">
        <v>5738</v>
      </c>
      <c r="H1564" s="6" t="s">
        <v>1705</v>
      </c>
      <c r="I1564" s="6" t="s">
        <v>8863</v>
      </c>
      <c r="J1564" s="6" t="s">
        <v>8919</v>
      </c>
      <c r="K1564" s="6" t="s">
        <v>10886</v>
      </c>
      <c r="L1564" s="16" t="n">
        <v>43445</v>
      </c>
      <c r="M1564" s="16" t="n">
        <v>45731</v>
      </c>
      <c r="N1564" s="6" t="s">
        <v>10886</v>
      </c>
      <c r="O1564" s="16" t="n">
        <v>43445</v>
      </c>
      <c r="P1564" s="6" t="s">
        <v>11825</v>
      </c>
      <c r="Q1564" s="6" t="s">
        <v>81</v>
      </c>
      <c r="R1564" s="6" t="s">
        <v>81</v>
      </c>
      <c r="S1564" s="6" t="s">
        <v>10886</v>
      </c>
      <c r="T1564" s="16" t="n">
        <v>43445</v>
      </c>
      <c r="U1564" s="6" t="s">
        <v>13654</v>
      </c>
      <c r="V1564" s="6" t="s">
        <v>81</v>
      </c>
      <c r="W1564" s="6" t="s">
        <v>81</v>
      </c>
      <c r="X1564" s="6" t="s">
        <v>81</v>
      </c>
      <c r="Y1564" s="21" t="s">
        <v>81</v>
      </c>
      <c r="Z1564" s="6" t="s">
        <v>81</v>
      </c>
      <c r="AA1564" s="6" t="s">
        <v>81</v>
      </c>
      <c r="AB1564" s="6" t="s">
        <v>81</v>
      </c>
      <c r="AC1564" s="6" t="s">
        <v>10886</v>
      </c>
      <c r="AD1564" s="16" t="n">
        <v>43445</v>
      </c>
      <c r="AE1564" s="6" t="s">
        <v>14283</v>
      </c>
      <c r="AF1564" s="6" t="s">
        <v>81</v>
      </c>
      <c r="AG1564" s="6" t="s">
        <v>81</v>
      </c>
      <c r="AH1564" s="6" t="s">
        <v>16132</v>
      </c>
      <c r="AI1564" s="6" t="s">
        <v>81</v>
      </c>
      <c r="AJ1564" s="6" t="s">
        <v>17606</v>
      </c>
      <c r="AK1564" s="6" t="s">
        <v>18390</v>
      </c>
      <c r="AL1564" s="6" t="s">
        <v>18444</v>
      </c>
      <c r="AM1564" s="6" t="s">
        <v>19226</v>
      </c>
      <c r="AN1564" s="6" t="s">
        <v>19638</v>
      </c>
      <c r="AO1564" s="6" t="s">
        <v>19997</v>
      </c>
      <c r="AP1564" s="6" t="s">
        <v>16132</v>
      </c>
      <c r="AQ1564" s="6" t="s">
        <v>81</v>
      </c>
      <c r="AR1564" s="6" t="s">
        <v>17606</v>
      </c>
      <c r="AS1564" s="6" t="s">
        <v>18390</v>
      </c>
      <c r="AT1564" s="6" t="s">
        <v>18444</v>
      </c>
      <c r="AU1564" s="6" t="s">
        <v>19226</v>
      </c>
      <c r="AV1564" s="6" t="s">
        <v>81</v>
      </c>
      <c r="AW1564" s="6" t="s">
        <v>81</v>
      </c>
      <c r="AX1564" s="6" t="s">
        <v>21730</v>
      </c>
      <c r="AY1564" s="6" t="s">
        <v>23108</v>
      </c>
      <c r="AZ1564" s="6" t="s">
        <v>23705</v>
      </c>
      <c r="BA1564" s="6" t="s">
        <v>81</v>
      </c>
      <c r="BB1564" s="24" t="n">
        <v>416</v>
      </c>
      <c r="BC1564" s="26"/>
      <c r="BD1564" s="26"/>
      <c r="BE1564" s="26"/>
      <c r="BF1564" s="26" t="s">
        <v>23900</v>
      </c>
      <c r="BG1564" s="26"/>
      <c r="BH1564" s="26"/>
      <c r="BI1564" s="26"/>
      <c r="BJ1564" s="26"/>
      <c r="BK1564" s="26"/>
      <c r="BL1564" s="26"/>
      <c r="BM1564" s="26"/>
      <c r="BN1564" s="26"/>
      <c r="BO1564" s="26"/>
      <c r="BP1564" s="16" t="n">
        <v>45714</v>
      </c>
      <c r="BQ1564" s="28" t="str">
        <f>HYPERLINK("https://organic.ams.usda.gov/Integrity/Certificate.aspx?cid=48&amp;nopid=1463880628")</f>
        <v>https://organic.ams.usda.gov/Integrity/Certificate.aspx?cid=48&amp;nopid=1463880628</v>
      </c>
    </row>
    <row r="1565">
      <c r="A1565" t="s">
        <v>3</v>
      </c>
      <c r="B1565" s="6" t="s">
        <v>16</v>
      </c>
      <c r="C1565" s="6" t="s">
        <v>63</v>
      </c>
      <c r="D1565" s="6" t="s">
        <v>109</v>
      </c>
      <c r="E1565" s="10" t="s">
        <v>1706</v>
      </c>
      <c r="F1565" s="6" t="s">
        <v>4429</v>
      </c>
      <c r="G1565" s="6" t="s">
        <v>81</v>
      </c>
      <c r="H1565" s="6" t="s">
        <v>7328</v>
      </c>
      <c r="I1565" s="6" t="s">
        <v>9186</v>
      </c>
      <c r="J1565" s="6" t="s">
        <v>10379</v>
      </c>
      <c r="K1565" s="6" t="s">
        <v>10886</v>
      </c>
      <c r="L1565" s="16" t="n">
        <v>39203</v>
      </c>
      <c r="M1565" s="16" t="n">
        <v>45731</v>
      </c>
      <c r="N1565" s="6" t="s">
        <v>10886</v>
      </c>
      <c r="O1565" s="16" t="n">
        <v>39203</v>
      </c>
      <c r="P1565" s="6" t="s">
        <v>11826</v>
      </c>
      <c r="Q1565" s="6" t="s">
        <v>81</v>
      </c>
      <c r="R1565" s="6" t="s">
        <v>81</v>
      </c>
      <c r="S1565" s="6" t="s">
        <v>10886</v>
      </c>
      <c r="T1565" s="16" t="n">
        <v>39203</v>
      </c>
      <c r="U1565" s="6" t="s">
        <v>13281</v>
      </c>
      <c r="V1565" s="6" t="s">
        <v>81</v>
      </c>
      <c r="W1565" s="6" t="s">
        <v>81</v>
      </c>
      <c r="X1565" s="6" t="s">
        <v>81</v>
      </c>
      <c r="Y1565" s="21" t="s">
        <v>81</v>
      </c>
      <c r="Z1565" s="6" t="s">
        <v>81</v>
      </c>
      <c r="AA1565" s="6" t="s">
        <v>81</v>
      </c>
      <c r="AB1565" s="6" t="s">
        <v>81</v>
      </c>
      <c r="AC1565" s="6" t="s">
        <v>10886</v>
      </c>
      <c r="AD1565" s="16" t="n">
        <v>39203</v>
      </c>
      <c r="AE1565" s="6" t="s">
        <v>14134</v>
      </c>
      <c r="AF1565" s="6" t="s">
        <v>81</v>
      </c>
      <c r="AG1565" s="6" t="s">
        <v>81</v>
      </c>
      <c r="AH1565" s="6" t="s">
        <v>16133</v>
      </c>
      <c r="AI1565" s="6" t="s">
        <v>81</v>
      </c>
      <c r="AJ1565" s="6" t="s">
        <v>18034</v>
      </c>
      <c r="AK1565" s="6" t="s">
        <v>18383</v>
      </c>
      <c r="AL1565" s="6" t="s">
        <v>18444</v>
      </c>
      <c r="AM1565" s="6" t="s">
        <v>18972</v>
      </c>
      <c r="AN1565" s="6" t="s">
        <v>19696</v>
      </c>
      <c r="AO1565" s="6" t="s">
        <v>19935</v>
      </c>
      <c r="AP1565" s="6" t="s">
        <v>81</v>
      </c>
      <c r="AQ1565" s="6" t="s">
        <v>81</v>
      </c>
      <c r="AR1565" s="6" t="s">
        <v>81</v>
      </c>
      <c r="AS1565" s="6" t="s">
        <v>81</v>
      </c>
      <c r="AT1565" s="6" t="s">
        <v>81</v>
      </c>
      <c r="AU1565" s="6" t="s">
        <v>81</v>
      </c>
      <c r="AV1565" s="6" t="s">
        <v>81</v>
      </c>
      <c r="AW1565" s="6" t="s">
        <v>81</v>
      </c>
      <c r="AX1565" s="6" t="s">
        <v>21731</v>
      </c>
      <c r="AY1565" s="6" t="s">
        <v>81</v>
      </c>
      <c r="AZ1565" s="6" t="s">
        <v>81</v>
      </c>
      <c r="BA1565" s="6" t="s">
        <v>81</v>
      </c>
      <c r="BB1565" s="24" t="n">
        <v>182</v>
      </c>
      <c r="BC1565" s="26"/>
      <c r="BD1565" s="26"/>
      <c r="BE1565" s="26"/>
      <c r="BF1565" s="26"/>
      <c r="BG1565" s="26"/>
      <c r="BH1565" s="26"/>
      <c r="BI1565" s="26"/>
      <c r="BJ1565" s="26"/>
      <c r="BK1565" s="26"/>
      <c r="BL1565" s="26"/>
      <c r="BM1565" s="26"/>
      <c r="BN1565" s="26"/>
      <c r="BO1565" s="26"/>
      <c r="BP1565" s="16" t="n">
        <v>45701</v>
      </c>
      <c r="BQ1565" s="28" t="str">
        <f>HYPERLINK("https://organic.ams.usda.gov/Integrity/Certificate.aspx?cid=81&amp;nopid=4210004039")</f>
        <v>https://organic.ams.usda.gov/Integrity/Certificate.aspx?cid=81&amp;nopid=4210004039</v>
      </c>
    </row>
    <row r="1566">
      <c r="A1566" t="s">
        <v>3</v>
      </c>
      <c r="B1566" s="6" t="s">
        <v>29</v>
      </c>
      <c r="C1566" s="6" t="s">
        <v>76</v>
      </c>
      <c r="D1566" s="6" t="s">
        <v>122</v>
      </c>
      <c r="E1566" s="10" t="s">
        <v>1707</v>
      </c>
      <c r="F1566" s="6" t="s">
        <v>4430</v>
      </c>
      <c r="G1566" s="6" t="s">
        <v>5739</v>
      </c>
      <c r="H1566" s="6" t="s">
        <v>7329</v>
      </c>
      <c r="I1566" s="6" t="s">
        <v>9187</v>
      </c>
      <c r="J1566" s="6" t="s">
        <v>9827</v>
      </c>
      <c r="K1566" s="6" t="s">
        <v>10886</v>
      </c>
      <c r="L1566" s="16" t="n">
        <v>41468</v>
      </c>
      <c r="M1566" s="16" t="n">
        <v>45870</v>
      </c>
      <c r="N1566" s="6" t="s">
        <v>10886</v>
      </c>
      <c r="O1566" s="16" t="n">
        <v>41442</v>
      </c>
      <c r="P1566" s="6" t="s">
        <v>11224</v>
      </c>
      <c r="Q1566" s="6" t="s">
        <v>81</v>
      </c>
      <c r="R1566" s="6" t="s">
        <v>12854</v>
      </c>
      <c r="S1566" s="6" t="s">
        <v>10886</v>
      </c>
      <c r="T1566" s="16" t="n">
        <v>42985</v>
      </c>
      <c r="U1566" s="6" t="s">
        <v>13384</v>
      </c>
      <c r="V1566" s="6" t="s">
        <v>81</v>
      </c>
      <c r="W1566" s="6" t="s">
        <v>12854</v>
      </c>
      <c r="X1566" s="6" t="s">
        <v>81</v>
      </c>
      <c r="Y1566" s="21" t="s">
        <v>81</v>
      </c>
      <c r="Z1566" s="6" t="s">
        <v>81</v>
      </c>
      <c r="AA1566" s="6" t="s">
        <v>81</v>
      </c>
      <c r="AB1566" s="6" t="s">
        <v>81</v>
      </c>
      <c r="AC1566" s="6" t="s">
        <v>10893</v>
      </c>
      <c r="AD1566" s="16" t="n">
        <v>42822</v>
      </c>
      <c r="AE1566" s="6" t="s">
        <v>81</v>
      </c>
      <c r="AF1566" s="6" t="s">
        <v>81</v>
      </c>
      <c r="AG1566" s="6" t="s">
        <v>81</v>
      </c>
      <c r="AH1566" s="6" t="s">
        <v>16134</v>
      </c>
      <c r="AI1566" s="6" t="s">
        <v>81</v>
      </c>
      <c r="AJ1566" s="6" t="s">
        <v>17776</v>
      </c>
      <c r="AK1566" s="6" t="s">
        <v>18384</v>
      </c>
      <c r="AL1566" s="6" t="s">
        <v>18444</v>
      </c>
      <c r="AM1566" s="6" t="s">
        <v>18948</v>
      </c>
      <c r="AN1566" s="6" t="s">
        <v>19675</v>
      </c>
      <c r="AO1566" s="6" t="s">
        <v>19721</v>
      </c>
      <c r="AP1566" s="6" t="s">
        <v>81</v>
      </c>
      <c r="AQ1566" s="6" t="s">
        <v>81</v>
      </c>
      <c r="AR1566" s="6" t="s">
        <v>81</v>
      </c>
      <c r="AS1566" s="6" t="s">
        <v>81</v>
      </c>
      <c r="AT1566" s="6" t="s">
        <v>81</v>
      </c>
      <c r="AU1566" s="6" t="s">
        <v>81</v>
      </c>
      <c r="AV1566" s="6" t="s">
        <v>81</v>
      </c>
      <c r="AW1566" s="6" t="s">
        <v>81</v>
      </c>
      <c r="AX1566" s="6" t="s">
        <v>81</v>
      </c>
      <c r="AY1566" s="6" t="s">
        <v>81</v>
      </c>
      <c r="AZ1566" s="6" t="s">
        <v>81</v>
      </c>
      <c r="BA1566" s="6" t="s">
        <v>81</v>
      </c>
      <c r="BB1566" s="24" t="n">
        <v>54</v>
      </c>
      <c r="BC1566" s="26"/>
      <c r="BD1566" s="26"/>
      <c r="BE1566" s="26"/>
      <c r="BF1566" s="26" t="s">
        <v>23900</v>
      </c>
      <c r="BG1566" s="26"/>
      <c r="BH1566" s="26"/>
      <c r="BI1566" s="26"/>
      <c r="BJ1566" s="26"/>
      <c r="BK1566" s="26"/>
      <c r="BL1566" s="26"/>
      <c r="BM1566" s="26"/>
      <c r="BN1566" s="26"/>
      <c r="BO1566" s="26"/>
      <c r="BP1566" s="16" t="n">
        <v>45737</v>
      </c>
      <c r="BQ1566" s="28" t="str">
        <f>HYPERLINK("https://organic.ams.usda.gov/Integrity/Certificate.aspx?cid=31&amp;nopid=3928971274")</f>
        <v>https://organic.ams.usda.gov/Integrity/Certificate.aspx?cid=31&amp;nopid=3928971274</v>
      </c>
    </row>
    <row r="1567">
      <c r="A1567" t="s">
        <v>3</v>
      </c>
      <c r="B1567" s="6" t="s">
        <v>9</v>
      </c>
      <c r="C1567" s="6" t="s">
        <v>56</v>
      </c>
      <c r="D1567" s="6" t="s">
        <v>102</v>
      </c>
      <c r="E1567" s="10" t="s">
        <v>1708</v>
      </c>
      <c r="F1567" s="6" t="s">
        <v>4431</v>
      </c>
      <c r="G1567" s="6" t="s">
        <v>81</v>
      </c>
      <c r="H1567" s="6" t="s">
        <v>7330</v>
      </c>
      <c r="I1567" s="6" t="s">
        <v>9009</v>
      </c>
      <c r="J1567" s="6" t="s">
        <v>10380</v>
      </c>
      <c r="K1567" s="6" t="s">
        <v>10886</v>
      </c>
      <c r="L1567" s="16" t="n">
        <v>41192</v>
      </c>
      <c r="M1567" s="16" t="n">
        <v>45748</v>
      </c>
      <c r="N1567" s="6" t="s">
        <v>10886</v>
      </c>
      <c r="O1567" s="16" t="n">
        <v>41192</v>
      </c>
      <c r="P1567" s="6" t="s">
        <v>11703</v>
      </c>
      <c r="Q1567" s="6" t="s">
        <v>81</v>
      </c>
      <c r="R1567" s="6" t="s">
        <v>12855</v>
      </c>
      <c r="S1567" s="6" t="s">
        <v>10886</v>
      </c>
      <c r="T1567" s="16" t="n">
        <v>41192</v>
      </c>
      <c r="U1567" s="6" t="s">
        <v>13176</v>
      </c>
      <c r="V1567" s="6" t="s">
        <v>81</v>
      </c>
      <c r="W1567" s="6" t="s">
        <v>12855</v>
      </c>
      <c r="X1567" s="6" t="s">
        <v>81</v>
      </c>
      <c r="Y1567" s="21" t="s">
        <v>81</v>
      </c>
      <c r="Z1567" s="6" t="s">
        <v>81</v>
      </c>
      <c r="AA1567" s="6" t="s">
        <v>81</v>
      </c>
      <c r="AB1567" s="6" t="s">
        <v>81</v>
      </c>
      <c r="AC1567" s="6" t="s">
        <v>81</v>
      </c>
      <c r="AD1567" s="21" t="s">
        <v>81</v>
      </c>
      <c r="AE1567" s="6" t="s">
        <v>81</v>
      </c>
      <c r="AF1567" s="6" t="s">
        <v>81</v>
      </c>
      <c r="AG1567" s="6" t="s">
        <v>81</v>
      </c>
      <c r="AH1567" s="6" t="s">
        <v>16135</v>
      </c>
      <c r="AI1567" s="6" t="s">
        <v>81</v>
      </c>
      <c r="AJ1567" s="6" t="s">
        <v>17427</v>
      </c>
      <c r="AK1567" s="6" t="s">
        <v>18377</v>
      </c>
      <c r="AL1567" s="6" t="s">
        <v>18444</v>
      </c>
      <c r="AM1567" s="6" t="s">
        <v>18584</v>
      </c>
      <c r="AN1567" s="6" t="s">
        <v>19634</v>
      </c>
      <c r="AO1567" s="6" t="s">
        <v>19764</v>
      </c>
      <c r="AP1567" s="6" t="s">
        <v>81</v>
      </c>
      <c r="AQ1567" s="6" t="s">
        <v>81</v>
      </c>
      <c r="AR1567" s="6" t="s">
        <v>81</v>
      </c>
      <c r="AS1567" s="6" t="s">
        <v>81</v>
      </c>
      <c r="AT1567" s="6" t="s">
        <v>81</v>
      </c>
      <c r="AU1567" s="6" t="s">
        <v>81</v>
      </c>
      <c r="AV1567" s="6" t="s">
        <v>81</v>
      </c>
      <c r="AW1567" s="6" t="s">
        <v>81</v>
      </c>
      <c r="AX1567" s="6" t="s">
        <v>21732</v>
      </c>
      <c r="AY1567" s="6" t="s">
        <v>23109</v>
      </c>
      <c r="AZ1567" s="6" t="s">
        <v>81</v>
      </c>
      <c r="BA1567" s="6" t="s">
        <v>81</v>
      </c>
      <c r="BB1567" s="24" t="n">
        <v>206</v>
      </c>
      <c r="BC1567" s="26"/>
      <c r="BD1567" s="26"/>
      <c r="BE1567" s="26"/>
      <c r="BF1567" s="26"/>
      <c r="BG1567" s="26"/>
      <c r="BH1567" s="26"/>
      <c r="BI1567" s="26"/>
      <c r="BJ1567" s="26"/>
      <c r="BK1567" s="26"/>
      <c r="BL1567" s="26"/>
      <c r="BM1567" s="26"/>
      <c r="BN1567" s="26"/>
      <c r="BO1567" s="26"/>
      <c r="BP1567" s="16" t="n">
        <v>45738</v>
      </c>
      <c r="BQ1567" s="28" t="str">
        <f>HYPERLINK("https://organic.ams.usda.gov/Integrity/Certificate.aspx?cid=52&amp;nopid=8431200376")</f>
        <v>https://organic.ams.usda.gov/Integrity/Certificate.aspx?cid=52&amp;nopid=8431200376</v>
      </c>
    </row>
    <row r="1568">
      <c r="A1568" t="s">
        <v>3</v>
      </c>
      <c r="B1568" s="6" t="s">
        <v>8</v>
      </c>
      <c r="C1568" s="6" t="s">
        <v>55</v>
      </c>
      <c r="D1568" s="6" t="s">
        <v>101</v>
      </c>
      <c r="E1568" s="10" t="s">
        <v>1709</v>
      </c>
      <c r="F1568" s="6" t="s">
        <v>4432</v>
      </c>
      <c r="G1568" s="6" t="s">
        <v>81</v>
      </c>
      <c r="H1568" s="6" t="s">
        <v>7331</v>
      </c>
      <c r="I1568" s="6" t="s">
        <v>9188</v>
      </c>
      <c r="J1568" s="6" t="s">
        <v>9963</v>
      </c>
      <c r="K1568" s="6" t="s">
        <v>10886</v>
      </c>
      <c r="L1568" s="16" t="n">
        <v>40522</v>
      </c>
      <c r="M1568" s="16" t="n">
        <v>45689</v>
      </c>
      <c r="N1568" s="6" t="s">
        <v>10886</v>
      </c>
      <c r="O1568" s="16" t="n">
        <v>40522</v>
      </c>
      <c r="P1568" s="6" t="s">
        <v>11827</v>
      </c>
      <c r="Q1568" s="6" t="s">
        <v>81</v>
      </c>
      <c r="R1568" s="6" t="s">
        <v>7331</v>
      </c>
      <c r="S1568" s="6" t="s">
        <v>10886</v>
      </c>
      <c r="T1568" s="16" t="n">
        <v>40522</v>
      </c>
      <c r="U1568" s="6" t="s">
        <v>13655</v>
      </c>
      <c r="V1568" s="6" t="s">
        <v>81</v>
      </c>
      <c r="W1568" s="6" t="s">
        <v>7331</v>
      </c>
      <c r="X1568" s="6" t="s">
        <v>81</v>
      </c>
      <c r="Y1568" s="21" t="s">
        <v>81</v>
      </c>
      <c r="Z1568" s="6" t="s">
        <v>81</v>
      </c>
      <c r="AA1568" s="6" t="s">
        <v>81</v>
      </c>
      <c r="AB1568" s="6" t="s">
        <v>81</v>
      </c>
      <c r="AC1568" s="6" t="s">
        <v>81</v>
      </c>
      <c r="AD1568" s="21" t="s">
        <v>81</v>
      </c>
      <c r="AE1568" s="6" t="s">
        <v>81</v>
      </c>
      <c r="AF1568" s="6" t="s">
        <v>81</v>
      </c>
      <c r="AG1568" s="6" t="s">
        <v>81</v>
      </c>
      <c r="AH1568" s="6" t="s">
        <v>16136</v>
      </c>
      <c r="AI1568" s="6" t="s">
        <v>81</v>
      </c>
      <c r="AJ1568" s="6" t="s">
        <v>17829</v>
      </c>
      <c r="AK1568" s="6" t="s">
        <v>18377</v>
      </c>
      <c r="AL1568" s="6" t="s">
        <v>18444</v>
      </c>
      <c r="AM1568" s="6" t="s">
        <v>19009</v>
      </c>
      <c r="AN1568" s="6" t="s">
        <v>19646</v>
      </c>
      <c r="AO1568" s="6" t="s">
        <v>19733</v>
      </c>
      <c r="AP1568" s="6" t="s">
        <v>81</v>
      </c>
      <c r="AQ1568" s="6" t="s">
        <v>81</v>
      </c>
      <c r="AR1568" s="6" t="s">
        <v>81</v>
      </c>
      <c r="AS1568" s="6" t="s">
        <v>81</v>
      </c>
      <c r="AT1568" s="6" t="s">
        <v>81</v>
      </c>
      <c r="AU1568" s="6" t="s">
        <v>81</v>
      </c>
      <c r="AV1568" s="6" t="s">
        <v>81</v>
      </c>
      <c r="AW1568" s="6" t="s">
        <v>81</v>
      </c>
      <c r="AX1568" s="6" t="s">
        <v>81</v>
      </c>
      <c r="AY1568" s="6" t="s">
        <v>23110</v>
      </c>
      <c r="AZ1568" s="6" t="s">
        <v>81</v>
      </c>
      <c r="BA1568" s="6" t="s">
        <v>23824</v>
      </c>
      <c r="BB1568" s="24" t="n">
        <v>496</v>
      </c>
      <c r="BC1568" s="26"/>
      <c r="BD1568" s="26"/>
      <c r="BE1568" s="26"/>
      <c r="BF1568" s="26" t="s">
        <v>23900</v>
      </c>
      <c r="BG1568" s="26"/>
      <c r="BH1568" s="26"/>
      <c r="BI1568" s="26"/>
      <c r="BJ1568" s="26"/>
      <c r="BK1568" s="26"/>
      <c r="BL1568" s="26"/>
      <c r="BM1568" s="26"/>
      <c r="BN1568" s="26"/>
      <c r="BO1568" s="26"/>
      <c r="BP1568" s="16" t="n">
        <v>45681</v>
      </c>
      <c r="BQ1568" s="28" t="str">
        <f>HYPERLINK("https://organic.ams.usda.gov/Integrity/Certificate.aspx?cid=45&amp;nopid=9950004234")</f>
        <v>https://organic.ams.usda.gov/Integrity/Certificate.aspx?cid=45&amp;nopid=9950004234</v>
      </c>
    </row>
    <row r="1569">
      <c r="A1569" t="s">
        <v>3</v>
      </c>
      <c r="B1569" s="6" t="s">
        <v>8</v>
      </c>
      <c r="C1569" s="6" t="s">
        <v>55</v>
      </c>
      <c r="D1569" s="6" t="s">
        <v>101</v>
      </c>
      <c r="E1569" s="10" t="s">
        <v>1710</v>
      </c>
      <c r="F1569" s="6" t="s">
        <v>4433</v>
      </c>
      <c r="G1569" s="6" t="s">
        <v>81</v>
      </c>
      <c r="H1569" s="6" t="s">
        <v>7332</v>
      </c>
      <c r="I1569" s="6" t="s">
        <v>8475</v>
      </c>
      <c r="J1569" s="6" t="s">
        <v>10381</v>
      </c>
      <c r="K1569" s="6" t="s">
        <v>10886</v>
      </c>
      <c r="L1569" s="16" t="n">
        <v>42646</v>
      </c>
      <c r="M1569" s="16" t="n">
        <v>45383</v>
      </c>
      <c r="N1569" s="6" t="s">
        <v>10886</v>
      </c>
      <c r="O1569" s="16" t="n">
        <v>42646</v>
      </c>
      <c r="P1569" s="6" t="s">
        <v>11828</v>
      </c>
      <c r="Q1569" s="6" t="s">
        <v>81</v>
      </c>
      <c r="R1569" s="6" t="s">
        <v>7332</v>
      </c>
      <c r="S1569" s="6" t="s">
        <v>10886</v>
      </c>
      <c r="T1569" s="16" t="n">
        <v>42646</v>
      </c>
      <c r="U1569" s="6" t="s">
        <v>13173</v>
      </c>
      <c r="V1569" s="6" t="s">
        <v>81</v>
      </c>
      <c r="W1569" s="6" t="s">
        <v>7332</v>
      </c>
      <c r="X1569" s="6" t="s">
        <v>81</v>
      </c>
      <c r="Y1569" s="21" t="s">
        <v>81</v>
      </c>
      <c r="Z1569" s="6" t="s">
        <v>81</v>
      </c>
      <c r="AA1569" s="6" t="s">
        <v>81</v>
      </c>
      <c r="AB1569" s="6" t="s">
        <v>81</v>
      </c>
      <c r="AC1569" s="6" t="s">
        <v>81</v>
      </c>
      <c r="AD1569" s="21" t="s">
        <v>81</v>
      </c>
      <c r="AE1569" s="6" t="s">
        <v>81</v>
      </c>
      <c r="AF1569" s="6" t="s">
        <v>81</v>
      </c>
      <c r="AG1569" s="6" t="s">
        <v>81</v>
      </c>
      <c r="AH1569" s="6" t="s">
        <v>16137</v>
      </c>
      <c r="AI1569" s="6" t="s">
        <v>81</v>
      </c>
      <c r="AJ1569" s="6" t="s">
        <v>17326</v>
      </c>
      <c r="AK1569" s="6" t="s">
        <v>18377</v>
      </c>
      <c r="AL1569" s="6" t="s">
        <v>18444</v>
      </c>
      <c r="AM1569" s="6" t="s">
        <v>18478</v>
      </c>
      <c r="AN1569" s="6" t="s">
        <v>19643</v>
      </c>
      <c r="AO1569" s="6" t="s">
        <v>19730</v>
      </c>
      <c r="AP1569" s="6" t="s">
        <v>81</v>
      </c>
      <c r="AQ1569" s="6" t="s">
        <v>81</v>
      </c>
      <c r="AR1569" s="6" t="s">
        <v>81</v>
      </c>
      <c r="AS1569" s="6" t="s">
        <v>81</v>
      </c>
      <c r="AT1569" s="6" t="s">
        <v>81</v>
      </c>
      <c r="AU1569" s="6" t="s">
        <v>81</v>
      </c>
      <c r="AV1569" s="6" t="s">
        <v>81</v>
      </c>
      <c r="AW1569" s="6" t="s">
        <v>81</v>
      </c>
      <c r="AX1569" s="6" t="s">
        <v>81</v>
      </c>
      <c r="AY1569" s="6" t="s">
        <v>23111</v>
      </c>
      <c r="AZ1569" s="6" t="s">
        <v>23706</v>
      </c>
      <c r="BA1569" s="6" t="s">
        <v>23819</v>
      </c>
      <c r="BB1569" s="24" t="n">
        <v>569</v>
      </c>
      <c r="BC1569" s="26"/>
      <c r="BD1569" s="26"/>
      <c r="BE1569" s="26"/>
      <c r="BF1569" s="26" t="s">
        <v>23900</v>
      </c>
      <c r="BG1569" s="26"/>
      <c r="BH1569" s="26"/>
      <c r="BI1569" s="26"/>
      <c r="BJ1569" s="26"/>
      <c r="BK1569" s="26"/>
      <c r="BL1569" s="26"/>
      <c r="BM1569" s="26"/>
      <c r="BN1569" s="26"/>
      <c r="BO1569" s="26"/>
      <c r="BP1569" s="16" t="n">
        <v>45554</v>
      </c>
      <c r="BQ1569" s="28" t="str">
        <f>HYPERLINK("https://organic.ams.usda.gov/Integrity/Certificate.aspx?cid=45&amp;nopid=9950009889")</f>
        <v>https://organic.ams.usda.gov/Integrity/Certificate.aspx?cid=45&amp;nopid=9950009889</v>
      </c>
    </row>
    <row r="1570">
      <c r="A1570" t="s">
        <v>3</v>
      </c>
      <c r="B1570" s="6" t="s">
        <v>10</v>
      </c>
      <c r="C1570" s="6" t="s">
        <v>57</v>
      </c>
      <c r="D1570" s="6" t="s">
        <v>103</v>
      </c>
      <c r="E1570" s="10" t="s">
        <v>1711</v>
      </c>
      <c r="F1570" s="6" t="s">
        <v>4434</v>
      </c>
      <c r="G1570" s="6" t="s">
        <v>81</v>
      </c>
      <c r="H1570" s="6" t="s">
        <v>7333</v>
      </c>
      <c r="I1570" s="6" t="s">
        <v>9189</v>
      </c>
      <c r="J1570" s="6" t="s">
        <v>10382</v>
      </c>
      <c r="K1570" s="6" t="s">
        <v>10886</v>
      </c>
      <c r="L1570" s="16" t="n">
        <v>44165</v>
      </c>
      <c r="M1570" s="16" t="n">
        <v>45748</v>
      </c>
      <c r="N1570" s="6" t="s">
        <v>10886</v>
      </c>
      <c r="O1570" s="16" t="n">
        <v>44165</v>
      </c>
      <c r="P1570" s="6" t="s">
        <v>11829</v>
      </c>
      <c r="Q1570" s="6" t="s">
        <v>81</v>
      </c>
      <c r="R1570" s="6" t="s">
        <v>12856</v>
      </c>
      <c r="S1570" s="6" t="s">
        <v>10886</v>
      </c>
      <c r="T1570" s="16" t="n">
        <v>44165</v>
      </c>
      <c r="U1570" s="6" t="s">
        <v>13163</v>
      </c>
      <c r="V1570" s="6" t="s">
        <v>81</v>
      </c>
      <c r="W1570" s="6" t="s">
        <v>81</v>
      </c>
      <c r="X1570" s="6" t="s">
        <v>81</v>
      </c>
      <c r="Y1570" s="21" t="s">
        <v>81</v>
      </c>
      <c r="Z1570" s="6" t="s">
        <v>81</v>
      </c>
      <c r="AA1570" s="6" t="s">
        <v>81</v>
      </c>
      <c r="AB1570" s="6" t="s">
        <v>81</v>
      </c>
      <c r="AC1570" s="6" t="s">
        <v>81</v>
      </c>
      <c r="AD1570" s="21" t="s">
        <v>81</v>
      </c>
      <c r="AE1570" s="6" t="s">
        <v>81</v>
      </c>
      <c r="AF1570" s="6" t="s">
        <v>81</v>
      </c>
      <c r="AG1570" s="6" t="s">
        <v>81</v>
      </c>
      <c r="AH1570" s="6" t="s">
        <v>16138</v>
      </c>
      <c r="AI1570" s="6" t="s">
        <v>81</v>
      </c>
      <c r="AJ1570" s="6" t="s">
        <v>18035</v>
      </c>
      <c r="AK1570" s="6" t="s">
        <v>18379</v>
      </c>
      <c r="AL1570" s="6" t="s">
        <v>18444</v>
      </c>
      <c r="AM1570" s="6" t="s">
        <v>19227</v>
      </c>
      <c r="AN1570" s="6" t="s">
        <v>19662</v>
      </c>
      <c r="AO1570" s="6" t="s">
        <v>19998</v>
      </c>
      <c r="AP1570" s="6" t="s">
        <v>16138</v>
      </c>
      <c r="AQ1570" s="6" t="s">
        <v>81</v>
      </c>
      <c r="AR1570" s="6" t="s">
        <v>18035</v>
      </c>
      <c r="AS1570" s="6" t="s">
        <v>18379</v>
      </c>
      <c r="AT1570" s="6" t="s">
        <v>18444</v>
      </c>
      <c r="AU1570" s="6" t="s">
        <v>19227</v>
      </c>
      <c r="AV1570" s="6" t="s">
        <v>81</v>
      </c>
      <c r="AW1570" s="6" t="s">
        <v>81</v>
      </c>
      <c r="AX1570" s="6" t="s">
        <v>21733</v>
      </c>
      <c r="AY1570" s="6" t="s">
        <v>23112</v>
      </c>
      <c r="AZ1570" s="6" t="s">
        <v>81</v>
      </c>
      <c r="BA1570" s="6" t="s">
        <v>81</v>
      </c>
      <c r="BB1570" s="24" t="n">
        <v>134</v>
      </c>
      <c r="BC1570" s="26"/>
      <c r="BD1570" s="26"/>
      <c r="BE1570" s="26"/>
      <c r="BF1570" s="26"/>
      <c r="BG1570" s="26"/>
      <c r="BH1570" s="26"/>
      <c r="BI1570" s="26"/>
      <c r="BJ1570" s="26"/>
      <c r="BK1570" s="26"/>
      <c r="BL1570" s="26"/>
      <c r="BM1570" s="26"/>
      <c r="BN1570" s="26"/>
      <c r="BO1570" s="26"/>
      <c r="BP1570" s="16" t="n">
        <v>45730</v>
      </c>
      <c r="BQ1570" s="28" t="str">
        <f>HYPERLINK("https://organic.ams.usda.gov/Integrity/Certificate.aspx?cid=90&amp;nopid=7170210367")</f>
        <v>https://organic.ams.usda.gov/Integrity/Certificate.aspx?cid=90&amp;nopid=7170210367</v>
      </c>
    </row>
    <row r="1571">
      <c r="A1571" t="s">
        <v>3</v>
      </c>
      <c r="B1571" s="6" t="s">
        <v>28</v>
      </c>
      <c r="C1571" s="6" t="s">
        <v>75</v>
      </c>
      <c r="D1571" s="6" t="s">
        <v>121</v>
      </c>
      <c r="E1571" s="10" t="s">
        <v>1712</v>
      </c>
      <c r="F1571" s="6" t="s">
        <v>4435</v>
      </c>
      <c r="G1571" s="6" t="s">
        <v>81</v>
      </c>
      <c r="H1571" s="6" t="s">
        <v>7334</v>
      </c>
      <c r="I1571" s="6" t="s">
        <v>9190</v>
      </c>
      <c r="J1571" s="6" t="s">
        <v>10383</v>
      </c>
      <c r="K1571" s="6" t="s">
        <v>10886</v>
      </c>
      <c r="L1571" s="16" t="n">
        <v>38685</v>
      </c>
      <c r="M1571" s="16" t="n">
        <v>45809</v>
      </c>
      <c r="N1571" s="6" t="s">
        <v>81</v>
      </c>
      <c r="O1571" s="21" t="s">
        <v>81</v>
      </c>
      <c r="P1571" s="6" t="s">
        <v>81</v>
      </c>
      <c r="Q1571" s="6" t="s">
        <v>81</v>
      </c>
      <c r="R1571" s="6" t="s">
        <v>81</v>
      </c>
      <c r="S1571" s="6" t="s">
        <v>81</v>
      </c>
      <c r="T1571" s="21" t="s">
        <v>81</v>
      </c>
      <c r="U1571" s="6" t="s">
        <v>81</v>
      </c>
      <c r="V1571" s="6" t="s">
        <v>81</v>
      </c>
      <c r="W1571" s="6" t="s">
        <v>81</v>
      </c>
      <c r="X1571" s="6" t="s">
        <v>81</v>
      </c>
      <c r="Y1571" s="21" t="s">
        <v>81</v>
      </c>
      <c r="Z1571" s="6" t="s">
        <v>81</v>
      </c>
      <c r="AA1571" s="6" t="s">
        <v>81</v>
      </c>
      <c r="AB1571" s="6" t="s">
        <v>81</v>
      </c>
      <c r="AC1571" s="6" t="s">
        <v>10886</v>
      </c>
      <c r="AD1571" s="16" t="n">
        <v>38685</v>
      </c>
      <c r="AE1571" s="6" t="s">
        <v>14284</v>
      </c>
      <c r="AF1571" s="6" t="s">
        <v>81</v>
      </c>
      <c r="AG1571" s="6" t="s">
        <v>81</v>
      </c>
      <c r="AH1571" s="6" t="s">
        <v>16139</v>
      </c>
      <c r="AI1571" s="6" t="s">
        <v>81</v>
      </c>
      <c r="AJ1571" s="6" t="s">
        <v>18036</v>
      </c>
      <c r="AK1571" s="6" t="s">
        <v>18377</v>
      </c>
      <c r="AL1571" s="6" t="s">
        <v>18444</v>
      </c>
      <c r="AM1571" s="6" t="s">
        <v>19228</v>
      </c>
      <c r="AN1571" s="6" t="s">
        <v>19672</v>
      </c>
      <c r="AO1571" s="6" t="s">
        <v>19923</v>
      </c>
      <c r="AP1571" s="6" t="s">
        <v>81</v>
      </c>
      <c r="AQ1571" s="6" t="s">
        <v>81</v>
      </c>
      <c r="AR1571" s="6" t="s">
        <v>81</v>
      </c>
      <c r="AS1571" s="6" t="s">
        <v>81</v>
      </c>
      <c r="AT1571" s="6" t="s">
        <v>81</v>
      </c>
      <c r="AU1571" s="6" t="s">
        <v>81</v>
      </c>
      <c r="AV1571" s="6" t="s">
        <v>81</v>
      </c>
      <c r="AW1571" s="6" t="s">
        <v>81</v>
      </c>
      <c r="AX1571" s="6" t="s">
        <v>21734</v>
      </c>
      <c r="AY1571" s="6" t="s">
        <v>23113</v>
      </c>
      <c r="AZ1571" s="6" t="s">
        <v>81</v>
      </c>
      <c r="BA1571" s="6" t="s">
        <v>81</v>
      </c>
      <c r="BB1571" s="6" t="s">
        <v>81</v>
      </c>
      <c r="BC1571" s="26"/>
      <c r="BD1571" s="26"/>
      <c r="BE1571" s="26"/>
      <c r="BF1571" s="26"/>
      <c r="BG1571" s="26"/>
      <c r="BH1571" s="26"/>
      <c r="BI1571" s="26"/>
      <c r="BJ1571" s="26"/>
      <c r="BK1571" s="26"/>
      <c r="BL1571" s="26" t="s">
        <v>23900</v>
      </c>
      <c r="BM1571" s="26"/>
      <c r="BN1571" s="26"/>
      <c r="BO1571" s="26"/>
      <c r="BP1571" s="16" t="n">
        <v>45468</v>
      </c>
      <c r="BQ1571" s="28" t="str">
        <f>HYPERLINK("https://organic.ams.usda.gov/Integrity/Certificate.aspx?cid=64&amp;nopid=8830000527")</f>
        <v>https://organic.ams.usda.gov/Integrity/Certificate.aspx?cid=64&amp;nopid=8830000527</v>
      </c>
    </row>
    <row r="1572">
      <c r="A1572" t="s">
        <v>3</v>
      </c>
      <c r="B1572" s="6" t="s">
        <v>20</v>
      </c>
      <c r="C1572" s="6" t="s">
        <v>67</v>
      </c>
      <c r="D1572" s="6" t="s">
        <v>113</v>
      </c>
      <c r="E1572" s="10" t="s">
        <v>1713</v>
      </c>
      <c r="F1572" s="6" t="s">
        <v>4436</v>
      </c>
      <c r="G1572" s="6" t="s">
        <v>81</v>
      </c>
      <c r="H1572" s="6" t="s">
        <v>7335</v>
      </c>
      <c r="I1572" s="6" t="s">
        <v>9191</v>
      </c>
      <c r="J1572" s="6" t="s">
        <v>10384</v>
      </c>
      <c r="K1572" s="6" t="s">
        <v>10886</v>
      </c>
      <c r="L1572" s="16" t="n">
        <v>38540</v>
      </c>
      <c r="M1572" s="16" t="n">
        <v>45763</v>
      </c>
      <c r="N1572" s="6" t="s">
        <v>81</v>
      </c>
      <c r="O1572" s="21" t="s">
        <v>81</v>
      </c>
      <c r="P1572" s="6" t="s">
        <v>81</v>
      </c>
      <c r="Q1572" s="6" t="s">
        <v>81</v>
      </c>
      <c r="R1572" s="6" t="s">
        <v>81</v>
      </c>
      <c r="S1572" s="6" t="s">
        <v>81</v>
      </c>
      <c r="T1572" s="21" t="s">
        <v>81</v>
      </c>
      <c r="U1572" s="6" t="s">
        <v>81</v>
      </c>
      <c r="V1572" s="6" t="s">
        <v>81</v>
      </c>
      <c r="W1572" s="6" t="s">
        <v>81</v>
      </c>
      <c r="X1572" s="6" t="s">
        <v>81</v>
      </c>
      <c r="Y1572" s="21" t="s">
        <v>81</v>
      </c>
      <c r="Z1572" s="6" t="s">
        <v>81</v>
      </c>
      <c r="AA1572" s="6" t="s">
        <v>81</v>
      </c>
      <c r="AB1572" s="6" t="s">
        <v>81</v>
      </c>
      <c r="AC1572" s="6" t="s">
        <v>10886</v>
      </c>
      <c r="AD1572" s="16" t="n">
        <v>38540</v>
      </c>
      <c r="AE1572" s="6" t="s">
        <v>14285</v>
      </c>
      <c r="AF1572" s="6" t="s">
        <v>81</v>
      </c>
      <c r="AG1572" s="6" t="s">
        <v>14568</v>
      </c>
      <c r="AH1572" s="6" t="s">
        <v>16140</v>
      </c>
      <c r="AI1572" s="6" t="s">
        <v>81</v>
      </c>
      <c r="AJ1572" s="6" t="s">
        <v>18037</v>
      </c>
      <c r="AK1572" s="6" t="s">
        <v>18412</v>
      </c>
      <c r="AL1572" s="6" t="s">
        <v>18444</v>
      </c>
      <c r="AM1572" s="6" t="s">
        <v>19229</v>
      </c>
      <c r="AN1572" s="6" t="s">
        <v>19653</v>
      </c>
      <c r="AO1572" s="6" t="s">
        <v>19999</v>
      </c>
      <c r="AP1572" s="6" t="s">
        <v>20298</v>
      </c>
      <c r="AQ1572" s="6" t="s">
        <v>81</v>
      </c>
      <c r="AR1572" s="6" t="s">
        <v>18037</v>
      </c>
      <c r="AS1572" s="6" t="s">
        <v>18412</v>
      </c>
      <c r="AT1572" s="6" t="s">
        <v>18444</v>
      </c>
      <c r="AU1572" s="6" t="s">
        <v>19229</v>
      </c>
      <c r="AV1572" s="6" t="s">
        <v>81</v>
      </c>
      <c r="AW1572" s="6" t="s">
        <v>81</v>
      </c>
      <c r="AX1572" s="6" t="s">
        <v>21735</v>
      </c>
      <c r="AY1572" s="6" t="s">
        <v>23114</v>
      </c>
      <c r="AZ1572" s="6" t="s">
        <v>81</v>
      </c>
      <c r="BA1572" s="6" t="s">
        <v>81</v>
      </c>
      <c r="BB1572" s="6" t="s">
        <v>81</v>
      </c>
      <c r="BC1572" s="26"/>
      <c r="BD1572" s="26"/>
      <c r="BE1572" s="26"/>
      <c r="BF1572" s="26"/>
      <c r="BG1572" s="26"/>
      <c r="BH1572" s="26"/>
      <c r="BI1572" s="26"/>
      <c r="BJ1572" s="26"/>
      <c r="BK1572" s="26"/>
      <c r="BL1572" s="26"/>
      <c r="BM1572" s="26"/>
      <c r="BN1572" s="26"/>
      <c r="BO1572" s="26"/>
      <c r="BP1572" s="16" t="n">
        <v>45737</v>
      </c>
      <c r="BQ1572" s="28" t="str">
        <f>HYPERLINK("https://organic.ams.usda.gov/Integrity/Certificate.aspx?cid=71&amp;nopid=5520030659")</f>
        <v>https://organic.ams.usda.gov/Integrity/Certificate.aspx?cid=71&amp;nopid=5520030659</v>
      </c>
    </row>
    <row r="1573">
      <c r="A1573" t="s">
        <v>3</v>
      </c>
      <c r="B1573" s="6" t="s">
        <v>20</v>
      </c>
      <c r="C1573" s="6" t="s">
        <v>67</v>
      </c>
      <c r="D1573" s="6" t="s">
        <v>113</v>
      </c>
      <c r="E1573" s="10" t="s">
        <v>1714</v>
      </c>
      <c r="F1573" s="6" t="s">
        <v>4436</v>
      </c>
      <c r="G1573" s="6" t="s">
        <v>81</v>
      </c>
      <c r="H1573" s="6" t="s">
        <v>7336</v>
      </c>
      <c r="I1573" s="6" t="s">
        <v>9191</v>
      </c>
      <c r="J1573" s="6" t="s">
        <v>10384</v>
      </c>
      <c r="K1573" s="6" t="s">
        <v>10886</v>
      </c>
      <c r="L1573" s="16" t="n">
        <v>38601</v>
      </c>
      <c r="M1573" s="16" t="n">
        <v>45701</v>
      </c>
      <c r="N1573" s="6" t="s">
        <v>81</v>
      </c>
      <c r="O1573" s="21" t="s">
        <v>81</v>
      </c>
      <c r="P1573" s="6" t="s">
        <v>81</v>
      </c>
      <c r="Q1573" s="6" t="s">
        <v>81</v>
      </c>
      <c r="R1573" s="6" t="s">
        <v>81</v>
      </c>
      <c r="S1573" s="6" t="s">
        <v>81</v>
      </c>
      <c r="T1573" s="21" t="s">
        <v>81</v>
      </c>
      <c r="U1573" s="6" t="s">
        <v>81</v>
      </c>
      <c r="V1573" s="6" t="s">
        <v>81</v>
      </c>
      <c r="W1573" s="6" t="s">
        <v>81</v>
      </c>
      <c r="X1573" s="6" t="s">
        <v>81</v>
      </c>
      <c r="Y1573" s="21" t="s">
        <v>81</v>
      </c>
      <c r="Z1573" s="6" t="s">
        <v>81</v>
      </c>
      <c r="AA1573" s="6" t="s">
        <v>81</v>
      </c>
      <c r="AB1573" s="6" t="s">
        <v>81</v>
      </c>
      <c r="AC1573" s="6" t="s">
        <v>10886</v>
      </c>
      <c r="AD1573" s="16" t="n">
        <v>38601</v>
      </c>
      <c r="AE1573" s="6" t="s">
        <v>14286</v>
      </c>
      <c r="AF1573" s="6" t="s">
        <v>81</v>
      </c>
      <c r="AG1573" s="6" t="s">
        <v>14569</v>
      </c>
      <c r="AH1573" s="6" t="s">
        <v>16141</v>
      </c>
      <c r="AI1573" s="6" t="s">
        <v>81</v>
      </c>
      <c r="AJ1573" s="6" t="s">
        <v>18038</v>
      </c>
      <c r="AK1573" s="6" t="s">
        <v>18391</v>
      </c>
      <c r="AL1573" s="6" t="s">
        <v>18444</v>
      </c>
      <c r="AM1573" s="6" t="s">
        <v>19230</v>
      </c>
      <c r="AN1573" s="6" t="s">
        <v>19638</v>
      </c>
      <c r="AO1573" s="6" t="s">
        <v>19926</v>
      </c>
      <c r="AP1573" s="6" t="s">
        <v>20298</v>
      </c>
      <c r="AQ1573" s="6" t="s">
        <v>81</v>
      </c>
      <c r="AR1573" s="6" t="s">
        <v>18037</v>
      </c>
      <c r="AS1573" s="6" t="s">
        <v>18412</v>
      </c>
      <c r="AT1573" s="6" t="s">
        <v>18444</v>
      </c>
      <c r="AU1573" s="6" t="s">
        <v>19229</v>
      </c>
      <c r="AV1573" s="6" t="s">
        <v>81</v>
      </c>
      <c r="AW1573" s="6" t="s">
        <v>81</v>
      </c>
      <c r="AX1573" s="6" t="s">
        <v>21735</v>
      </c>
      <c r="AY1573" s="6" t="s">
        <v>23114</v>
      </c>
      <c r="AZ1573" s="6" t="s">
        <v>81</v>
      </c>
      <c r="BA1573" s="6" t="s">
        <v>81</v>
      </c>
      <c r="BB1573" s="6" t="s">
        <v>81</v>
      </c>
      <c r="BC1573" s="26"/>
      <c r="BD1573" s="26"/>
      <c r="BE1573" s="26"/>
      <c r="BF1573" s="26"/>
      <c r="BG1573" s="26"/>
      <c r="BH1573" s="26"/>
      <c r="BI1573" s="26"/>
      <c r="BJ1573" s="26"/>
      <c r="BK1573" s="26"/>
      <c r="BL1573" s="26"/>
      <c r="BM1573" s="26"/>
      <c r="BN1573" s="26"/>
      <c r="BO1573" s="26"/>
      <c r="BP1573" s="16" t="n">
        <v>45737</v>
      </c>
      <c r="BQ1573" s="28" t="str">
        <f>HYPERLINK("https://organic.ams.usda.gov/Integrity/Certificate.aspx?cid=71&amp;nopid=5520031648")</f>
        <v>https://organic.ams.usda.gov/Integrity/Certificate.aspx?cid=71&amp;nopid=5520031648</v>
      </c>
    </row>
    <row r="1574">
      <c r="A1574" t="s">
        <v>3</v>
      </c>
      <c r="B1574" s="6" t="s">
        <v>20</v>
      </c>
      <c r="C1574" s="6" t="s">
        <v>67</v>
      </c>
      <c r="D1574" s="6" t="s">
        <v>113</v>
      </c>
      <c r="E1574" s="10" t="s">
        <v>1715</v>
      </c>
      <c r="F1574" s="6" t="s">
        <v>4437</v>
      </c>
      <c r="G1574" s="6" t="s">
        <v>81</v>
      </c>
      <c r="H1574" s="6" t="s">
        <v>7337</v>
      </c>
      <c r="I1574" s="6" t="s">
        <v>9191</v>
      </c>
      <c r="J1574" s="6" t="s">
        <v>10384</v>
      </c>
      <c r="K1574" s="6" t="s">
        <v>10886</v>
      </c>
      <c r="L1574" s="16" t="n">
        <v>40848</v>
      </c>
      <c r="M1574" s="16" t="n">
        <v>45873</v>
      </c>
      <c r="N1574" s="6" t="s">
        <v>81</v>
      </c>
      <c r="O1574" s="21" t="s">
        <v>81</v>
      </c>
      <c r="P1574" s="6" t="s">
        <v>81</v>
      </c>
      <c r="Q1574" s="6" t="s">
        <v>81</v>
      </c>
      <c r="R1574" s="6" t="s">
        <v>81</v>
      </c>
      <c r="S1574" s="6" t="s">
        <v>81</v>
      </c>
      <c r="T1574" s="21" t="s">
        <v>81</v>
      </c>
      <c r="U1574" s="6" t="s">
        <v>81</v>
      </c>
      <c r="V1574" s="6" t="s">
        <v>81</v>
      </c>
      <c r="W1574" s="6" t="s">
        <v>81</v>
      </c>
      <c r="X1574" s="6" t="s">
        <v>81</v>
      </c>
      <c r="Y1574" s="21" t="s">
        <v>81</v>
      </c>
      <c r="Z1574" s="6" t="s">
        <v>81</v>
      </c>
      <c r="AA1574" s="6" t="s">
        <v>81</v>
      </c>
      <c r="AB1574" s="6" t="s">
        <v>81</v>
      </c>
      <c r="AC1574" s="6" t="s">
        <v>10886</v>
      </c>
      <c r="AD1574" s="16" t="n">
        <v>40848</v>
      </c>
      <c r="AE1574" s="6" t="s">
        <v>14286</v>
      </c>
      <c r="AF1574" s="6" t="s">
        <v>81</v>
      </c>
      <c r="AG1574" s="6" t="s">
        <v>14570</v>
      </c>
      <c r="AH1574" s="6" t="s">
        <v>16142</v>
      </c>
      <c r="AI1574" s="6" t="s">
        <v>81</v>
      </c>
      <c r="AJ1574" s="6" t="s">
        <v>18039</v>
      </c>
      <c r="AK1574" s="6" t="s">
        <v>18402</v>
      </c>
      <c r="AL1574" s="6" t="s">
        <v>18444</v>
      </c>
      <c r="AM1574" s="6" t="s">
        <v>19231</v>
      </c>
      <c r="AN1574" s="6" t="s">
        <v>19652</v>
      </c>
      <c r="AO1574" s="6" t="s">
        <v>19721</v>
      </c>
      <c r="AP1574" s="6" t="s">
        <v>20298</v>
      </c>
      <c r="AQ1574" s="6" t="s">
        <v>81</v>
      </c>
      <c r="AR1574" s="6" t="s">
        <v>18037</v>
      </c>
      <c r="AS1574" s="6" t="s">
        <v>18412</v>
      </c>
      <c r="AT1574" s="6" t="s">
        <v>18444</v>
      </c>
      <c r="AU1574" s="6" t="s">
        <v>19229</v>
      </c>
      <c r="AV1574" s="6" t="s">
        <v>81</v>
      </c>
      <c r="AW1574" s="6" t="s">
        <v>81</v>
      </c>
      <c r="AX1574" s="6" t="s">
        <v>21736</v>
      </c>
      <c r="AY1574" s="6" t="s">
        <v>23114</v>
      </c>
      <c r="AZ1574" s="6" t="s">
        <v>81</v>
      </c>
      <c r="BA1574" s="6" t="s">
        <v>81</v>
      </c>
      <c r="BB1574" s="6" t="s">
        <v>81</v>
      </c>
      <c r="BC1574" s="26"/>
      <c r="BD1574" s="26"/>
      <c r="BE1574" s="26"/>
      <c r="BF1574" s="26"/>
      <c r="BG1574" s="26"/>
      <c r="BH1574" s="26"/>
      <c r="BI1574" s="26"/>
      <c r="BJ1574" s="26"/>
      <c r="BK1574" s="26"/>
      <c r="BL1574" s="26"/>
      <c r="BM1574" s="26"/>
      <c r="BN1574" s="26"/>
      <c r="BO1574" s="26"/>
      <c r="BP1574" s="16" t="n">
        <v>45737</v>
      </c>
      <c r="BQ1574" s="28" t="str">
        <f>HYPERLINK("https://organic.ams.usda.gov/Integrity/Certificate.aspx?cid=71&amp;nopid=5520078090")</f>
        <v>https://organic.ams.usda.gov/Integrity/Certificate.aspx?cid=71&amp;nopid=5520078090</v>
      </c>
    </row>
    <row r="1575">
      <c r="A1575" t="s">
        <v>3</v>
      </c>
      <c r="B1575" s="6" t="s">
        <v>20</v>
      </c>
      <c r="C1575" s="6" t="s">
        <v>67</v>
      </c>
      <c r="D1575" s="6" t="s">
        <v>113</v>
      </c>
      <c r="E1575" s="10" t="s">
        <v>1716</v>
      </c>
      <c r="F1575" s="6" t="s">
        <v>4438</v>
      </c>
      <c r="G1575" s="6" t="s">
        <v>81</v>
      </c>
      <c r="H1575" s="6" t="s">
        <v>7338</v>
      </c>
      <c r="I1575" s="6" t="s">
        <v>9191</v>
      </c>
      <c r="J1575" s="6" t="s">
        <v>10384</v>
      </c>
      <c r="K1575" s="6" t="s">
        <v>10886</v>
      </c>
      <c r="L1575" s="16" t="n">
        <v>43617</v>
      </c>
      <c r="M1575" s="16" t="n">
        <v>45806</v>
      </c>
      <c r="N1575" s="6" t="s">
        <v>81</v>
      </c>
      <c r="O1575" s="21" t="s">
        <v>81</v>
      </c>
      <c r="P1575" s="6" t="s">
        <v>81</v>
      </c>
      <c r="Q1575" s="6" t="s">
        <v>81</v>
      </c>
      <c r="R1575" s="6" t="s">
        <v>81</v>
      </c>
      <c r="S1575" s="6" t="s">
        <v>81</v>
      </c>
      <c r="T1575" s="21" t="s">
        <v>81</v>
      </c>
      <c r="U1575" s="6" t="s">
        <v>81</v>
      </c>
      <c r="V1575" s="6" t="s">
        <v>81</v>
      </c>
      <c r="W1575" s="6" t="s">
        <v>81</v>
      </c>
      <c r="X1575" s="6" t="s">
        <v>81</v>
      </c>
      <c r="Y1575" s="21" t="s">
        <v>81</v>
      </c>
      <c r="Z1575" s="6" t="s">
        <v>81</v>
      </c>
      <c r="AA1575" s="6" t="s">
        <v>81</v>
      </c>
      <c r="AB1575" s="6" t="s">
        <v>81</v>
      </c>
      <c r="AC1575" s="6" t="s">
        <v>10886</v>
      </c>
      <c r="AD1575" s="16" t="n">
        <v>43617</v>
      </c>
      <c r="AE1575" s="6" t="s">
        <v>14287</v>
      </c>
      <c r="AF1575" s="6" t="s">
        <v>81</v>
      </c>
      <c r="AG1575" s="6" t="s">
        <v>14571</v>
      </c>
      <c r="AH1575" s="6" t="s">
        <v>16143</v>
      </c>
      <c r="AI1575" s="6" t="s">
        <v>81</v>
      </c>
      <c r="AJ1575" s="6" t="s">
        <v>17471</v>
      </c>
      <c r="AK1575" s="6" t="s">
        <v>8428</v>
      </c>
      <c r="AL1575" s="6" t="s">
        <v>18444</v>
      </c>
      <c r="AM1575" s="6" t="s">
        <v>12511</v>
      </c>
      <c r="AN1575" s="6" t="s">
        <v>19710</v>
      </c>
      <c r="AO1575" s="6" t="s">
        <v>20000</v>
      </c>
      <c r="AP1575" s="6" t="s">
        <v>20298</v>
      </c>
      <c r="AQ1575" s="6" t="s">
        <v>81</v>
      </c>
      <c r="AR1575" s="6" t="s">
        <v>18037</v>
      </c>
      <c r="AS1575" s="6" t="s">
        <v>18412</v>
      </c>
      <c r="AT1575" s="6" t="s">
        <v>18444</v>
      </c>
      <c r="AU1575" s="6" t="s">
        <v>19229</v>
      </c>
      <c r="AV1575" s="6" t="s">
        <v>81</v>
      </c>
      <c r="AW1575" s="6" t="s">
        <v>81</v>
      </c>
      <c r="AX1575" s="6" t="s">
        <v>20782</v>
      </c>
      <c r="AY1575" s="6" t="s">
        <v>23114</v>
      </c>
      <c r="AZ1575" s="6" t="s">
        <v>81</v>
      </c>
      <c r="BA1575" s="6" t="s">
        <v>81</v>
      </c>
      <c r="BB1575" s="6" t="s">
        <v>81</v>
      </c>
      <c r="BC1575" s="26"/>
      <c r="BD1575" s="26"/>
      <c r="BE1575" s="26"/>
      <c r="BF1575" s="26"/>
      <c r="BG1575" s="26"/>
      <c r="BH1575" s="26"/>
      <c r="BI1575" s="26"/>
      <c r="BJ1575" s="26"/>
      <c r="BK1575" s="26"/>
      <c r="BL1575" s="26"/>
      <c r="BM1575" s="26"/>
      <c r="BN1575" s="26"/>
      <c r="BO1575" s="26"/>
      <c r="BP1575" s="16" t="n">
        <v>45737</v>
      </c>
      <c r="BQ1575" s="28" t="str">
        <f>HYPERLINK("https://organic.ams.usda.gov/Integrity/Certificate.aspx?cid=71&amp;nopid=5520548440")</f>
        <v>https://organic.ams.usda.gov/Integrity/Certificate.aspx?cid=71&amp;nopid=5520548440</v>
      </c>
    </row>
    <row r="1576">
      <c r="A1576" t="s">
        <v>3</v>
      </c>
      <c r="B1576" s="6" t="s">
        <v>29</v>
      </c>
      <c r="C1576" s="6" t="s">
        <v>76</v>
      </c>
      <c r="D1576" s="6" t="s">
        <v>122</v>
      </c>
      <c r="E1576" s="10" t="s">
        <v>1717</v>
      </c>
      <c r="F1576" s="6" t="s">
        <v>4439</v>
      </c>
      <c r="G1576" s="6" t="s">
        <v>81</v>
      </c>
      <c r="H1576" s="6" t="s">
        <v>7339</v>
      </c>
      <c r="I1576" s="6" t="s">
        <v>9100</v>
      </c>
      <c r="J1576" s="6" t="s">
        <v>10385</v>
      </c>
      <c r="K1576" s="6" t="s">
        <v>10886</v>
      </c>
      <c r="L1576" s="16" t="n">
        <v>38484</v>
      </c>
      <c r="M1576" s="16" t="n">
        <v>45505</v>
      </c>
      <c r="N1576" s="6" t="s">
        <v>10886</v>
      </c>
      <c r="O1576" s="16" t="n">
        <v>38484</v>
      </c>
      <c r="P1576" s="6" t="s">
        <v>11830</v>
      </c>
      <c r="Q1576" s="6" t="s">
        <v>81</v>
      </c>
      <c r="R1576" s="6" t="s">
        <v>12857</v>
      </c>
      <c r="S1576" s="6" t="s">
        <v>10886</v>
      </c>
      <c r="T1576" s="16" t="n">
        <v>38484</v>
      </c>
      <c r="U1576" s="6" t="s">
        <v>13656</v>
      </c>
      <c r="V1576" s="6" t="s">
        <v>81</v>
      </c>
      <c r="W1576" s="6" t="s">
        <v>12857</v>
      </c>
      <c r="X1576" s="6" t="s">
        <v>81</v>
      </c>
      <c r="Y1576" s="21" t="s">
        <v>81</v>
      </c>
      <c r="Z1576" s="6" t="s">
        <v>81</v>
      </c>
      <c r="AA1576" s="6" t="s">
        <v>81</v>
      </c>
      <c r="AB1576" s="6" t="s">
        <v>81</v>
      </c>
      <c r="AC1576" s="6" t="s">
        <v>10893</v>
      </c>
      <c r="AD1576" s="16" t="n">
        <v>44123</v>
      </c>
      <c r="AE1576" s="6" t="s">
        <v>81</v>
      </c>
      <c r="AF1576" s="6" t="s">
        <v>81</v>
      </c>
      <c r="AG1576" s="6" t="s">
        <v>81</v>
      </c>
      <c r="AH1576" s="6" t="s">
        <v>16144</v>
      </c>
      <c r="AI1576" s="6" t="s">
        <v>81</v>
      </c>
      <c r="AJ1576" s="6" t="s">
        <v>18040</v>
      </c>
      <c r="AK1576" s="6" t="s">
        <v>18380</v>
      </c>
      <c r="AL1576" s="6" t="s">
        <v>18444</v>
      </c>
      <c r="AM1576" s="6" t="s">
        <v>19232</v>
      </c>
      <c r="AN1576" s="6" t="s">
        <v>19660</v>
      </c>
      <c r="AO1576" s="6" t="s">
        <v>19833</v>
      </c>
      <c r="AP1576" s="6" t="s">
        <v>81</v>
      </c>
      <c r="AQ1576" s="6" t="s">
        <v>81</v>
      </c>
      <c r="AR1576" s="6" t="s">
        <v>81</v>
      </c>
      <c r="AS1576" s="6" t="s">
        <v>81</v>
      </c>
      <c r="AT1576" s="6" t="s">
        <v>81</v>
      </c>
      <c r="AU1576" s="6" t="s">
        <v>81</v>
      </c>
      <c r="AV1576" s="6" t="s">
        <v>81</v>
      </c>
      <c r="AW1576" s="6" t="s">
        <v>81</v>
      </c>
      <c r="AX1576" s="6" t="s">
        <v>21737</v>
      </c>
      <c r="AY1576" s="6" t="s">
        <v>23115</v>
      </c>
      <c r="AZ1576" s="6" t="s">
        <v>81</v>
      </c>
      <c r="BA1576" s="6" t="s">
        <v>81</v>
      </c>
      <c r="BB1576" s="24" t="n">
        <v>520</v>
      </c>
      <c r="BC1576" s="26"/>
      <c r="BD1576" s="26"/>
      <c r="BE1576" s="26"/>
      <c r="BF1576" s="26" t="s">
        <v>23900</v>
      </c>
      <c r="BG1576" s="26"/>
      <c r="BH1576" s="26"/>
      <c r="BI1576" s="26"/>
      <c r="BJ1576" s="26"/>
      <c r="BK1576" s="26"/>
      <c r="BL1576" s="26"/>
      <c r="BM1576" s="26"/>
      <c r="BN1576" s="26"/>
      <c r="BO1576" s="26"/>
      <c r="BP1576" s="16" t="n">
        <v>45737</v>
      </c>
      <c r="BQ1576" s="28" t="str">
        <f>HYPERLINK("https://organic.ams.usda.gov/Integrity/Certificate.aspx?cid=31&amp;nopid=3920897435")</f>
        <v>https://organic.ams.usda.gov/Integrity/Certificate.aspx?cid=31&amp;nopid=3920897435</v>
      </c>
    </row>
    <row r="1577">
      <c r="A1577" t="s">
        <v>3</v>
      </c>
      <c r="B1577" s="6" t="s">
        <v>8</v>
      </c>
      <c r="C1577" s="6" t="s">
        <v>55</v>
      </c>
      <c r="D1577" s="6" t="s">
        <v>101</v>
      </c>
      <c r="E1577" s="10" t="s">
        <v>1718</v>
      </c>
      <c r="F1577" s="6" t="s">
        <v>4440</v>
      </c>
      <c r="G1577" s="6" t="s">
        <v>81</v>
      </c>
      <c r="H1577" s="6" t="s">
        <v>7340</v>
      </c>
      <c r="I1577" s="6" t="s">
        <v>8514</v>
      </c>
      <c r="J1577" s="6" t="s">
        <v>10386</v>
      </c>
      <c r="K1577" s="6" t="s">
        <v>10886</v>
      </c>
      <c r="L1577" s="16" t="n">
        <v>38541</v>
      </c>
      <c r="M1577" s="16" t="n">
        <v>45748</v>
      </c>
      <c r="N1577" s="6" t="s">
        <v>10886</v>
      </c>
      <c r="O1577" s="16" t="n">
        <v>38541</v>
      </c>
      <c r="P1577" s="6" t="s">
        <v>11831</v>
      </c>
      <c r="Q1577" s="6" t="s">
        <v>81</v>
      </c>
      <c r="R1577" s="6" t="s">
        <v>7340</v>
      </c>
      <c r="S1577" s="6" t="s">
        <v>10886</v>
      </c>
      <c r="T1577" s="16" t="n">
        <v>38541</v>
      </c>
      <c r="U1577" s="6" t="s">
        <v>13179</v>
      </c>
      <c r="V1577" s="6" t="s">
        <v>81</v>
      </c>
      <c r="W1577" s="6" t="s">
        <v>7340</v>
      </c>
      <c r="X1577" s="6" t="s">
        <v>81</v>
      </c>
      <c r="Y1577" s="21" t="s">
        <v>81</v>
      </c>
      <c r="Z1577" s="6" t="s">
        <v>81</v>
      </c>
      <c r="AA1577" s="6" t="s">
        <v>81</v>
      </c>
      <c r="AB1577" s="6" t="s">
        <v>81</v>
      </c>
      <c r="AC1577" s="6" t="s">
        <v>81</v>
      </c>
      <c r="AD1577" s="21" t="s">
        <v>81</v>
      </c>
      <c r="AE1577" s="6" t="s">
        <v>81</v>
      </c>
      <c r="AF1577" s="6" t="s">
        <v>81</v>
      </c>
      <c r="AG1577" s="6" t="s">
        <v>81</v>
      </c>
      <c r="AH1577" s="6" t="s">
        <v>16145</v>
      </c>
      <c r="AI1577" s="6" t="s">
        <v>81</v>
      </c>
      <c r="AJ1577" s="6" t="s">
        <v>9151</v>
      </c>
      <c r="AK1577" s="6" t="s">
        <v>18381</v>
      </c>
      <c r="AL1577" s="6" t="s">
        <v>18444</v>
      </c>
      <c r="AM1577" s="6" t="s">
        <v>19233</v>
      </c>
      <c r="AN1577" s="6" t="s">
        <v>19672</v>
      </c>
      <c r="AO1577" s="6" t="s">
        <v>19836</v>
      </c>
      <c r="AP1577" s="6" t="s">
        <v>81</v>
      </c>
      <c r="AQ1577" s="6" t="s">
        <v>81</v>
      </c>
      <c r="AR1577" s="6" t="s">
        <v>81</v>
      </c>
      <c r="AS1577" s="6" t="s">
        <v>81</v>
      </c>
      <c r="AT1577" s="6" t="s">
        <v>81</v>
      </c>
      <c r="AU1577" s="6" t="s">
        <v>81</v>
      </c>
      <c r="AV1577" s="6" t="s">
        <v>81</v>
      </c>
      <c r="AW1577" s="6" t="s">
        <v>81</v>
      </c>
      <c r="AX1577" s="6" t="s">
        <v>81</v>
      </c>
      <c r="AY1577" s="6" t="s">
        <v>23116</v>
      </c>
      <c r="AZ1577" s="6" t="s">
        <v>23707</v>
      </c>
      <c r="BA1577" s="6" t="s">
        <v>23870</v>
      </c>
      <c r="BB1577" s="24" t="n">
        <v>155</v>
      </c>
      <c r="BC1577" s="26"/>
      <c r="BD1577" s="26"/>
      <c r="BE1577" s="26"/>
      <c r="BF1577" s="26" t="s">
        <v>23900</v>
      </c>
      <c r="BG1577" s="26"/>
      <c r="BH1577" s="26"/>
      <c r="BI1577" s="26"/>
      <c r="BJ1577" s="26"/>
      <c r="BK1577" s="26"/>
      <c r="BL1577" s="26"/>
      <c r="BM1577" s="26"/>
      <c r="BN1577" s="26"/>
      <c r="BO1577" s="26"/>
      <c r="BP1577" s="16" t="n">
        <v>45580</v>
      </c>
      <c r="BQ1577" s="28" t="str">
        <f>HYPERLINK("https://organic.ams.usda.gov/Integrity/Certificate.aspx?cid=45&amp;nopid=9950001817")</f>
        <v>https://organic.ams.usda.gov/Integrity/Certificate.aspx?cid=45&amp;nopid=9950001817</v>
      </c>
    </row>
    <row r="1578">
      <c r="A1578" t="s">
        <v>3</v>
      </c>
      <c r="B1578" s="6" t="s">
        <v>7</v>
      </c>
      <c r="C1578" s="6" t="s">
        <v>54</v>
      </c>
      <c r="D1578" s="6" t="s">
        <v>100</v>
      </c>
      <c r="E1578" s="10" t="s">
        <v>1719</v>
      </c>
      <c r="F1578" s="6" t="s">
        <v>4441</v>
      </c>
      <c r="G1578" s="6" t="s">
        <v>81</v>
      </c>
      <c r="H1578" s="6" t="s">
        <v>7341</v>
      </c>
      <c r="I1578" s="6" t="s">
        <v>9192</v>
      </c>
      <c r="J1578" s="6" t="s">
        <v>10387</v>
      </c>
      <c r="K1578" s="6" t="s">
        <v>10886</v>
      </c>
      <c r="L1578" s="16" t="n">
        <v>42397</v>
      </c>
      <c r="M1578" s="16" t="n">
        <v>45672</v>
      </c>
      <c r="N1578" s="6" t="s">
        <v>81</v>
      </c>
      <c r="O1578" s="21" t="s">
        <v>81</v>
      </c>
      <c r="P1578" s="6" t="s">
        <v>81</v>
      </c>
      <c r="Q1578" s="6" t="s">
        <v>81</v>
      </c>
      <c r="R1578" s="6" t="s">
        <v>81</v>
      </c>
      <c r="S1578" s="6" t="s">
        <v>81</v>
      </c>
      <c r="T1578" s="21" t="s">
        <v>81</v>
      </c>
      <c r="U1578" s="6" t="s">
        <v>81</v>
      </c>
      <c r="V1578" s="6" t="s">
        <v>81</v>
      </c>
      <c r="W1578" s="6" t="s">
        <v>81</v>
      </c>
      <c r="X1578" s="6" t="s">
        <v>81</v>
      </c>
      <c r="Y1578" s="21" t="s">
        <v>81</v>
      </c>
      <c r="Z1578" s="6" t="s">
        <v>81</v>
      </c>
      <c r="AA1578" s="6" t="s">
        <v>81</v>
      </c>
      <c r="AB1578" s="6" t="s">
        <v>81</v>
      </c>
      <c r="AC1578" s="6" t="s">
        <v>10886</v>
      </c>
      <c r="AD1578" s="16" t="n">
        <v>42397</v>
      </c>
      <c r="AE1578" s="6" t="s">
        <v>14288</v>
      </c>
      <c r="AF1578" s="6" t="s">
        <v>81</v>
      </c>
      <c r="AG1578" s="6" t="s">
        <v>81</v>
      </c>
      <c r="AH1578" s="6" t="s">
        <v>16146</v>
      </c>
      <c r="AI1578" s="6" t="s">
        <v>81</v>
      </c>
      <c r="AJ1578" s="6" t="s">
        <v>17733</v>
      </c>
      <c r="AK1578" s="6" t="s">
        <v>17712</v>
      </c>
      <c r="AL1578" s="6" t="s">
        <v>18444</v>
      </c>
      <c r="AM1578" s="6" t="s">
        <v>18902</v>
      </c>
      <c r="AN1578" s="6" t="s">
        <v>19642</v>
      </c>
      <c r="AO1578" s="6" t="s">
        <v>19728</v>
      </c>
      <c r="AP1578" s="6" t="s">
        <v>16146</v>
      </c>
      <c r="AQ1578" s="6" t="s">
        <v>81</v>
      </c>
      <c r="AR1578" s="6" t="s">
        <v>17733</v>
      </c>
      <c r="AS1578" s="6" t="s">
        <v>17712</v>
      </c>
      <c r="AT1578" s="6" t="s">
        <v>18444</v>
      </c>
      <c r="AU1578" s="6" t="s">
        <v>18902</v>
      </c>
      <c r="AV1578" s="6" t="s">
        <v>81</v>
      </c>
      <c r="AW1578" s="6" t="s">
        <v>81</v>
      </c>
      <c r="AX1578" s="6" t="s">
        <v>21738</v>
      </c>
      <c r="AY1578" s="6" t="s">
        <v>23117</v>
      </c>
      <c r="AZ1578" s="6" t="s">
        <v>23708</v>
      </c>
      <c r="BA1578" s="6" t="s">
        <v>81</v>
      </c>
      <c r="BB1578" s="24" t="n">
        <v>0</v>
      </c>
      <c r="BC1578" s="26"/>
      <c r="BD1578" s="26"/>
      <c r="BE1578" s="26"/>
      <c r="BF1578" s="26"/>
      <c r="BG1578" s="26"/>
      <c r="BH1578" s="26"/>
      <c r="BI1578" s="26"/>
      <c r="BJ1578" s="26"/>
      <c r="BK1578" s="26"/>
      <c r="BL1578" s="26" t="s">
        <v>23900</v>
      </c>
      <c r="BM1578" s="26"/>
      <c r="BN1578" s="26"/>
      <c r="BO1578" s="26"/>
      <c r="BP1578" s="16" t="n">
        <v>45603</v>
      </c>
      <c r="BQ1578" s="28" t="str">
        <f>HYPERLINK("https://organic.ams.usda.gov/Integrity/Certificate.aspx?cid=57&amp;nopid=3252015138")</f>
        <v>https://organic.ams.usda.gov/Integrity/Certificate.aspx?cid=57&amp;nopid=3252015138</v>
      </c>
    </row>
    <row r="1579">
      <c r="A1579" t="s">
        <v>3</v>
      </c>
      <c r="B1579" s="6" t="s">
        <v>24</v>
      </c>
      <c r="C1579" s="6" t="s">
        <v>71</v>
      </c>
      <c r="D1579" s="6" t="s">
        <v>117</v>
      </c>
      <c r="E1579" s="10" t="s">
        <v>1720</v>
      </c>
      <c r="F1579" s="6" t="s">
        <v>4442</v>
      </c>
      <c r="G1579" s="6" t="s">
        <v>81</v>
      </c>
      <c r="H1579" s="6" t="s">
        <v>81</v>
      </c>
      <c r="I1579" s="6" t="s">
        <v>8913</v>
      </c>
      <c r="J1579" s="6" t="s">
        <v>10388</v>
      </c>
      <c r="K1579" s="6" t="s">
        <v>10886</v>
      </c>
      <c r="L1579" s="16" t="n">
        <v>44854</v>
      </c>
      <c r="M1579" s="16" t="n">
        <v>45931</v>
      </c>
      <c r="N1579" s="6" t="s">
        <v>81</v>
      </c>
      <c r="O1579" s="21" t="s">
        <v>81</v>
      </c>
      <c r="P1579" s="6" t="s">
        <v>81</v>
      </c>
      <c r="Q1579" s="6" t="s">
        <v>81</v>
      </c>
      <c r="R1579" s="6" t="s">
        <v>81</v>
      </c>
      <c r="S1579" s="6" t="s">
        <v>81</v>
      </c>
      <c r="T1579" s="21" t="s">
        <v>81</v>
      </c>
      <c r="U1579" s="6" t="s">
        <v>81</v>
      </c>
      <c r="V1579" s="6" t="s">
        <v>81</v>
      </c>
      <c r="W1579" s="6" t="s">
        <v>81</v>
      </c>
      <c r="X1579" s="6" t="s">
        <v>81</v>
      </c>
      <c r="Y1579" s="21" t="s">
        <v>81</v>
      </c>
      <c r="Z1579" s="6" t="s">
        <v>81</v>
      </c>
      <c r="AA1579" s="6" t="s">
        <v>81</v>
      </c>
      <c r="AB1579" s="6" t="s">
        <v>81</v>
      </c>
      <c r="AC1579" s="6" t="s">
        <v>10886</v>
      </c>
      <c r="AD1579" s="16" t="n">
        <v>44847</v>
      </c>
      <c r="AE1579" s="6" t="s">
        <v>14289</v>
      </c>
      <c r="AF1579" s="6" t="s">
        <v>81</v>
      </c>
      <c r="AG1579" s="6" t="s">
        <v>14572</v>
      </c>
      <c r="AH1579" s="6" t="s">
        <v>16147</v>
      </c>
      <c r="AI1579" s="6" t="s">
        <v>81</v>
      </c>
      <c r="AJ1579" s="6" t="s">
        <v>18041</v>
      </c>
      <c r="AK1579" s="6" t="s">
        <v>18386</v>
      </c>
      <c r="AL1579" s="6" t="s">
        <v>18444</v>
      </c>
      <c r="AM1579" s="6" t="s">
        <v>19234</v>
      </c>
      <c r="AN1579" s="6" t="s">
        <v>19693</v>
      </c>
      <c r="AO1579" s="6" t="s">
        <v>20001</v>
      </c>
      <c r="AP1579" s="6" t="s">
        <v>16147</v>
      </c>
      <c r="AQ1579" s="6" t="s">
        <v>81</v>
      </c>
      <c r="AR1579" s="6" t="s">
        <v>18041</v>
      </c>
      <c r="AS1579" s="6" t="s">
        <v>18386</v>
      </c>
      <c r="AT1579" s="6" t="s">
        <v>18444</v>
      </c>
      <c r="AU1579" s="6" t="s">
        <v>19234</v>
      </c>
      <c r="AV1579" s="6" t="s">
        <v>81</v>
      </c>
      <c r="AW1579" s="6" t="s">
        <v>81</v>
      </c>
      <c r="AX1579" s="6" t="s">
        <v>81</v>
      </c>
      <c r="AY1579" s="6" t="s">
        <v>23118</v>
      </c>
      <c r="AZ1579" s="6" t="s">
        <v>81</v>
      </c>
      <c r="BA1579" s="6" t="s">
        <v>81</v>
      </c>
      <c r="BB1579" s="6" t="s">
        <v>81</v>
      </c>
      <c r="BC1579" s="26"/>
      <c r="BD1579" s="26"/>
      <c r="BE1579" s="26"/>
      <c r="BF1579" s="26"/>
      <c r="BG1579" s="26"/>
      <c r="BH1579" s="26"/>
      <c r="BI1579" s="26"/>
      <c r="BJ1579" s="26"/>
      <c r="BK1579" s="26"/>
      <c r="BL1579" s="26"/>
      <c r="BM1579" s="26"/>
      <c r="BN1579" s="26"/>
      <c r="BO1579" s="26"/>
      <c r="BP1579" s="16" t="n">
        <v>45670</v>
      </c>
      <c r="BQ1579" s="28" t="str">
        <f>HYPERLINK("https://organic.ams.usda.gov/Integrity/Certificate.aspx?cid=1&amp;nopid=9092209702")</f>
        <v>https://organic.ams.usda.gov/Integrity/Certificate.aspx?cid=1&amp;nopid=9092209702</v>
      </c>
    </row>
    <row r="1580">
      <c r="A1580" t="s">
        <v>3</v>
      </c>
      <c r="B1580" s="6" t="s">
        <v>38</v>
      </c>
      <c r="C1580" s="6" t="s">
        <v>85</v>
      </c>
      <c r="D1580" s="6" t="s">
        <v>130</v>
      </c>
      <c r="E1580" s="10" t="s">
        <v>1721</v>
      </c>
      <c r="F1580" s="6" t="s">
        <v>4443</v>
      </c>
      <c r="G1580" s="6" t="s">
        <v>81</v>
      </c>
      <c r="H1580" s="6" t="s">
        <v>7342</v>
      </c>
      <c r="I1580" s="6" t="s">
        <v>9193</v>
      </c>
      <c r="J1580" s="6" t="s">
        <v>10389</v>
      </c>
      <c r="K1580" s="6" t="s">
        <v>10886</v>
      </c>
      <c r="L1580" s="16" t="n">
        <v>39377</v>
      </c>
      <c r="M1580" s="16" t="n">
        <v>45778</v>
      </c>
      <c r="N1580" s="6" t="s">
        <v>10886</v>
      </c>
      <c r="O1580" s="16" t="n">
        <v>39377</v>
      </c>
      <c r="P1580" s="6" t="s">
        <v>11832</v>
      </c>
      <c r="Q1580" s="6" t="s">
        <v>81</v>
      </c>
      <c r="R1580" s="6" t="s">
        <v>81</v>
      </c>
      <c r="S1580" s="6" t="s">
        <v>10886</v>
      </c>
      <c r="T1580" s="16" t="n">
        <v>39377</v>
      </c>
      <c r="U1580" s="6" t="s">
        <v>13657</v>
      </c>
      <c r="V1580" s="6" t="s">
        <v>81</v>
      </c>
      <c r="W1580" s="6" t="s">
        <v>81</v>
      </c>
      <c r="X1580" s="6" t="s">
        <v>81</v>
      </c>
      <c r="Y1580" s="21" t="s">
        <v>81</v>
      </c>
      <c r="Z1580" s="6" t="s">
        <v>81</v>
      </c>
      <c r="AA1580" s="6" t="s">
        <v>81</v>
      </c>
      <c r="AB1580" s="6" t="s">
        <v>81</v>
      </c>
      <c r="AC1580" s="6" t="s">
        <v>81</v>
      </c>
      <c r="AD1580" s="21" t="s">
        <v>81</v>
      </c>
      <c r="AE1580" s="6" t="s">
        <v>81</v>
      </c>
      <c r="AF1580" s="6" t="s">
        <v>81</v>
      </c>
      <c r="AG1580" s="6" t="s">
        <v>81</v>
      </c>
      <c r="AH1580" s="6" t="s">
        <v>16148</v>
      </c>
      <c r="AI1580" s="6" t="s">
        <v>81</v>
      </c>
      <c r="AJ1580" s="6" t="s">
        <v>18042</v>
      </c>
      <c r="AK1580" s="6" t="s">
        <v>18412</v>
      </c>
      <c r="AL1580" s="6" t="s">
        <v>18444</v>
      </c>
      <c r="AM1580" s="6" t="s">
        <v>19235</v>
      </c>
      <c r="AN1580" s="6" t="s">
        <v>19692</v>
      </c>
      <c r="AO1580" s="6" t="s">
        <v>20002</v>
      </c>
      <c r="AP1580" s="6" t="s">
        <v>16148</v>
      </c>
      <c r="AQ1580" s="6" t="s">
        <v>81</v>
      </c>
      <c r="AR1580" s="6" t="s">
        <v>18042</v>
      </c>
      <c r="AS1580" s="6" t="s">
        <v>18412</v>
      </c>
      <c r="AT1580" s="6" t="s">
        <v>18444</v>
      </c>
      <c r="AU1580" s="6" t="s">
        <v>19235</v>
      </c>
      <c r="AV1580" s="6" t="s">
        <v>19692</v>
      </c>
      <c r="AW1580" s="6" t="s">
        <v>20002</v>
      </c>
      <c r="AX1580" s="6" t="s">
        <v>21739</v>
      </c>
      <c r="AY1580" s="6" t="s">
        <v>23119</v>
      </c>
      <c r="AZ1580" s="6" t="s">
        <v>81</v>
      </c>
      <c r="BA1580" s="6" t="s">
        <v>81</v>
      </c>
      <c r="BB1580" s="24" t="n">
        <v>631</v>
      </c>
      <c r="BC1580" s="26"/>
      <c r="BD1580" s="26"/>
      <c r="BE1580" s="26"/>
      <c r="BF1580" s="26"/>
      <c r="BG1580" s="26"/>
      <c r="BH1580" s="26"/>
      <c r="BI1580" s="26"/>
      <c r="BJ1580" s="26"/>
      <c r="BK1580" s="26"/>
      <c r="BL1580" s="26"/>
      <c r="BM1580" s="26"/>
      <c r="BN1580" s="26"/>
      <c r="BO1580" s="26"/>
      <c r="BP1580" s="16" t="n">
        <v>45700</v>
      </c>
      <c r="BQ1580" s="28" t="str">
        <f>HYPERLINK("https://organic.ams.usda.gov/Integrity/Certificate.aspx?cid=33&amp;nopid=2170040631")</f>
        <v>https://organic.ams.usda.gov/Integrity/Certificate.aspx?cid=33&amp;nopid=2170040631</v>
      </c>
    </row>
    <row r="1581">
      <c r="A1581" t="s">
        <v>3</v>
      </c>
      <c r="B1581" s="6" t="s">
        <v>7</v>
      </c>
      <c r="C1581" s="6" t="s">
        <v>54</v>
      </c>
      <c r="D1581" s="6" t="s">
        <v>100</v>
      </c>
      <c r="E1581" s="10" t="s">
        <v>1722</v>
      </c>
      <c r="F1581" s="6" t="s">
        <v>4444</v>
      </c>
      <c r="G1581" s="6" t="s">
        <v>81</v>
      </c>
      <c r="H1581" s="6" t="s">
        <v>7343</v>
      </c>
      <c r="I1581" s="6" t="s">
        <v>9194</v>
      </c>
      <c r="J1581" s="6" t="s">
        <v>9060</v>
      </c>
      <c r="K1581" s="6" t="s">
        <v>10886</v>
      </c>
      <c r="L1581" s="16" t="n">
        <v>39405</v>
      </c>
      <c r="M1581" s="16" t="n">
        <v>45716</v>
      </c>
      <c r="N1581" s="6" t="s">
        <v>10886</v>
      </c>
      <c r="O1581" s="16" t="n">
        <v>39405</v>
      </c>
      <c r="P1581" s="6" t="s">
        <v>11833</v>
      </c>
      <c r="Q1581" s="6" t="s">
        <v>81</v>
      </c>
      <c r="R1581" s="6" t="s">
        <v>81</v>
      </c>
      <c r="S1581" s="6" t="s">
        <v>10886</v>
      </c>
      <c r="T1581" s="16" t="n">
        <v>39417</v>
      </c>
      <c r="U1581" s="6" t="s">
        <v>13160</v>
      </c>
      <c r="V1581" s="6" t="s">
        <v>81</v>
      </c>
      <c r="W1581" s="6" t="s">
        <v>81</v>
      </c>
      <c r="X1581" s="6" t="s">
        <v>81</v>
      </c>
      <c r="Y1581" s="21" t="s">
        <v>81</v>
      </c>
      <c r="Z1581" s="6" t="s">
        <v>81</v>
      </c>
      <c r="AA1581" s="6" t="s">
        <v>81</v>
      </c>
      <c r="AB1581" s="6" t="s">
        <v>81</v>
      </c>
      <c r="AC1581" s="6" t="s">
        <v>81</v>
      </c>
      <c r="AD1581" s="21" t="s">
        <v>81</v>
      </c>
      <c r="AE1581" s="6" t="s">
        <v>81</v>
      </c>
      <c r="AF1581" s="6" t="s">
        <v>81</v>
      </c>
      <c r="AG1581" s="6" t="s">
        <v>81</v>
      </c>
      <c r="AH1581" s="6" t="s">
        <v>16149</v>
      </c>
      <c r="AI1581" s="6" t="s">
        <v>81</v>
      </c>
      <c r="AJ1581" s="6" t="s">
        <v>18026</v>
      </c>
      <c r="AK1581" s="6" t="s">
        <v>17712</v>
      </c>
      <c r="AL1581" s="6" t="s">
        <v>18444</v>
      </c>
      <c r="AM1581" s="6" t="s">
        <v>19236</v>
      </c>
      <c r="AN1581" s="6" t="s">
        <v>7895</v>
      </c>
      <c r="AO1581" s="6" t="s">
        <v>19721</v>
      </c>
      <c r="AP1581" s="6" t="s">
        <v>16149</v>
      </c>
      <c r="AQ1581" s="6" t="s">
        <v>81</v>
      </c>
      <c r="AR1581" s="6" t="s">
        <v>18026</v>
      </c>
      <c r="AS1581" s="6" t="s">
        <v>17712</v>
      </c>
      <c r="AT1581" s="6" t="s">
        <v>18444</v>
      </c>
      <c r="AU1581" s="6" t="s">
        <v>19236</v>
      </c>
      <c r="AV1581" s="6" t="s">
        <v>81</v>
      </c>
      <c r="AW1581" s="6" t="s">
        <v>81</v>
      </c>
      <c r="AX1581" s="6" t="s">
        <v>21740</v>
      </c>
      <c r="AY1581" s="6" t="s">
        <v>23120</v>
      </c>
      <c r="AZ1581" s="6" t="s">
        <v>81</v>
      </c>
      <c r="BA1581" s="6" t="s">
        <v>81</v>
      </c>
      <c r="BB1581" s="24" t="n">
        <v>472</v>
      </c>
      <c r="BC1581" s="26"/>
      <c r="BD1581" s="26"/>
      <c r="BE1581" s="26"/>
      <c r="BF1581" s="26" t="s">
        <v>23900</v>
      </c>
      <c r="BG1581" s="26"/>
      <c r="BH1581" s="26"/>
      <c r="BI1581" s="26"/>
      <c r="BJ1581" s="26"/>
      <c r="BK1581" s="26"/>
      <c r="BL1581" s="26"/>
      <c r="BM1581" s="26"/>
      <c r="BN1581" s="26"/>
      <c r="BO1581" s="26"/>
      <c r="BP1581" s="16" t="n">
        <v>45595</v>
      </c>
      <c r="BQ1581" s="28" t="str">
        <f>HYPERLINK("https://organic.ams.usda.gov/Integrity/Certificate.aspx?cid=57&amp;nopid=3252006191")</f>
        <v>https://organic.ams.usda.gov/Integrity/Certificate.aspx?cid=57&amp;nopid=3252006191</v>
      </c>
    </row>
    <row r="1582">
      <c r="A1582" t="s">
        <v>3</v>
      </c>
      <c r="B1582" s="6" t="s">
        <v>13</v>
      </c>
      <c r="C1582" s="6" t="s">
        <v>60</v>
      </c>
      <c r="D1582" s="6" t="s">
        <v>106</v>
      </c>
      <c r="E1582" s="10" t="s">
        <v>1723</v>
      </c>
      <c r="F1582" s="6" t="s">
        <v>4445</v>
      </c>
      <c r="G1582" s="6" t="s">
        <v>81</v>
      </c>
      <c r="H1582" s="6" t="s">
        <v>7344</v>
      </c>
      <c r="I1582" s="6" t="s">
        <v>9194</v>
      </c>
      <c r="J1582" s="6" t="s">
        <v>9718</v>
      </c>
      <c r="K1582" s="6" t="s">
        <v>10886</v>
      </c>
      <c r="L1582" s="16" t="n">
        <v>43265</v>
      </c>
      <c r="M1582" s="16" t="n">
        <v>46113</v>
      </c>
      <c r="N1582" s="6" t="s">
        <v>10886</v>
      </c>
      <c r="O1582" s="16" t="n">
        <v>43265</v>
      </c>
      <c r="P1582" s="6" t="s">
        <v>11834</v>
      </c>
      <c r="Q1582" s="6" t="s">
        <v>81</v>
      </c>
      <c r="R1582" s="6" t="s">
        <v>12858</v>
      </c>
      <c r="S1582" s="6" t="s">
        <v>10886</v>
      </c>
      <c r="T1582" s="16" t="n">
        <v>43265</v>
      </c>
      <c r="U1582" s="6" t="s">
        <v>13518</v>
      </c>
      <c r="V1582" s="6" t="s">
        <v>81</v>
      </c>
      <c r="W1582" s="6" t="s">
        <v>12858</v>
      </c>
      <c r="X1582" s="6" t="s">
        <v>81</v>
      </c>
      <c r="Y1582" s="21" t="s">
        <v>81</v>
      </c>
      <c r="Z1582" s="6" t="s">
        <v>81</v>
      </c>
      <c r="AA1582" s="6" t="s">
        <v>81</v>
      </c>
      <c r="AB1582" s="6" t="s">
        <v>81</v>
      </c>
      <c r="AC1582" s="6" t="s">
        <v>81</v>
      </c>
      <c r="AD1582" s="21" t="s">
        <v>81</v>
      </c>
      <c r="AE1582" s="6" t="s">
        <v>81</v>
      </c>
      <c r="AF1582" s="6" t="s">
        <v>81</v>
      </c>
      <c r="AG1582" s="6" t="s">
        <v>81</v>
      </c>
      <c r="AH1582" s="6" t="s">
        <v>16150</v>
      </c>
      <c r="AI1582" s="6" t="s">
        <v>81</v>
      </c>
      <c r="AJ1582" s="6" t="s">
        <v>17603</v>
      </c>
      <c r="AK1582" s="6" t="s">
        <v>18378</v>
      </c>
      <c r="AL1582" s="6" t="s">
        <v>18444</v>
      </c>
      <c r="AM1582" s="6" t="s">
        <v>18769</v>
      </c>
      <c r="AN1582" s="6" t="s">
        <v>19664</v>
      </c>
      <c r="AO1582" s="6" t="s">
        <v>19874</v>
      </c>
      <c r="AP1582" s="6" t="s">
        <v>16150</v>
      </c>
      <c r="AQ1582" s="6" t="s">
        <v>81</v>
      </c>
      <c r="AR1582" s="6" t="s">
        <v>17603</v>
      </c>
      <c r="AS1582" s="6" t="s">
        <v>18378</v>
      </c>
      <c r="AT1582" s="6" t="s">
        <v>18444</v>
      </c>
      <c r="AU1582" s="6" t="s">
        <v>18769</v>
      </c>
      <c r="AV1582" s="6" t="s">
        <v>81</v>
      </c>
      <c r="AW1582" s="6" t="s">
        <v>81</v>
      </c>
      <c r="AX1582" s="6" t="s">
        <v>21741</v>
      </c>
      <c r="AY1582" s="6" t="s">
        <v>81</v>
      </c>
      <c r="AZ1582" s="6" t="s">
        <v>81</v>
      </c>
      <c r="BA1582" s="6" t="s">
        <v>23871</v>
      </c>
      <c r="BB1582" s="24" t="n">
        <v>106</v>
      </c>
      <c r="BC1582" s="26"/>
      <c r="BD1582" s="26"/>
      <c r="BE1582" s="26"/>
      <c r="BF1582" s="26" t="s">
        <v>23900</v>
      </c>
      <c r="BG1582" s="26"/>
      <c r="BH1582" s="26"/>
      <c r="BI1582" s="26"/>
      <c r="BJ1582" s="26"/>
      <c r="BK1582" s="26"/>
      <c r="BL1582" s="26"/>
      <c r="BM1582" s="26"/>
      <c r="BN1582" s="26"/>
      <c r="BO1582" s="26"/>
      <c r="BP1582" s="16" t="n">
        <v>45730</v>
      </c>
      <c r="BQ1582" s="28" t="str">
        <f>HYPERLINK("https://organic.ams.usda.gov/Integrity/Certificate.aspx?cid=72&amp;nopid=5875897559")</f>
        <v>https://organic.ams.usda.gov/Integrity/Certificate.aspx?cid=72&amp;nopid=5875897559</v>
      </c>
    </row>
    <row r="1583">
      <c r="A1583" t="s">
        <v>3</v>
      </c>
      <c r="B1583" s="6" t="s">
        <v>11</v>
      </c>
      <c r="C1583" s="6" t="s">
        <v>58</v>
      </c>
      <c r="D1583" s="6" t="s">
        <v>104</v>
      </c>
      <c r="E1583" s="10" t="s">
        <v>1724</v>
      </c>
      <c r="F1583" s="6" t="s">
        <v>4446</v>
      </c>
      <c r="G1583" s="6" t="s">
        <v>81</v>
      </c>
      <c r="H1583" s="6" t="s">
        <v>81</v>
      </c>
      <c r="I1583" s="6" t="s">
        <v>9195</v>
      </c>
      <c r="J1583" s="6" t="s">
        <v>9729</v>
      </c>
      <c r="K1583" s="6" t="s">
        <v>10886</v>
      </c>
      <c r="L1583" s="16" t="n">
        <v>45313</v>
      </c>
      <c r="M1583" s="16" t="n">
        <v>45383</v>
      </c>
      <c r="N1583" s="6" t="s">
        <v>10886</v>
      </c>
      <c r="O1583" s="16" t="n">
        <v>45313</v>
      </c>
      <c r="P1583" s="6" t="s">
        <v>11835</v>
      </c>
      <c r="Q1583" s="6" t="s">
        <v>81</v>
      </c>
      <c r="R1583" s="6" t="s">
        <v>81</v>
      </c>
      <c r="S1583" s="6" t="s">
        <v>10886</v>
      </c>
      <c r="T1583" s="16" t="n">
        <v>45313</v>
      </c>
      <c r="U1583" s="6" t="s">
        <v>13658</v>
      </c>
      <c r="V1583" s="6" t="s">
        <v>81</v>
      </c>
      <c r="W1583" s="6" t="s">
        <v>81</v>
      </c>
      <c r="X1583" s="6" t="s">
        <v>81</v>
      </c>
      <c r="Y1583" s="21" t="s">
        <v>81</v>
      </c>
      <c r="Z1583" s="6" t="s">
        <v>81</v>
      </c>
      <c r="AA1583" s="6" t="s">
        <v>81</v>
      </c>
      <c r="AB1583" s="6" t="s">
        <v>81</v>
      </c>
      <c r="AC1583" s="6" t="s">
        <v>81</v>
      </c>
      <c r="AD1583" s="21" t="s">
        <v>81</v>
      </c>
      <c r="AE1583" s="6" t="s">
        <v>81</v>
      </c>
      <c r="AF1583" s="6" t="s">
        <v>81</v>
      </c>
      <c r="AG1583" s="6" t="s">
        <v>81</v>
      </c>
      <c r="AH1583" s="6" t="s">
        <v>16151</v>
      </c>
      <c r="AI1583" s="6" t="s">
        <v>81</v>
      </c>
      <c r="AJ1583" s="6" t="s">
        <v>17641</v>
      </c>
      <c r="AK1583" s="6" t="s">
        <v>18377</v>
      </c>
      <c r="AL1583" s="6" t="s">
        <v>18444</v>
      </c>
      <c r="AM1583" s="6" t="s">
        <v>18810</v>
      </c>
      <c r="AN1583" s="6" t="s">
        <v>81</v>
      </c>
      <c r="AO1583" s="6" t="s">
        <v>81</v>
      </c>
      <c r="AP1583" s="6" t="s">
        <v>16151</v>
      </c>
      <c r="AQ1583" s="6" t="s">
        <v>81</v>
      </c>
      <c r="AR1583" s="6" t="s">
        <v>17641</v>
      </c>
      <c r="AS1583" s="6" t="s">
        <v>18377</v>
      </c>
      <c r="AT1583" s="6" t="s">
        <v>18444</v>
      </c>
      <c r="AU1583" s="6" t="s">
        <v>18810</v>
      </c>
      <c r="AV1583" s="6" t="s">
        <v>81</v>
      </c>
      <c r="AW1583" s="6" t="s">
        <v>81</v>
      </c>
      <c r="AX1583" s="6" t="s">
        <v>81</v>
      </c>
      <c r="AY1583" s="6" t="s">
        <v>81</v>
      </c>
      <c r="AZ1583" s="6" t="s">
        <v>81</v>
      </c>
      <c r="BA1583" s="6" t="s">
        <v>81</v>
      </c>
      <c r="BB1583" s="24" t="n">
        <v>105</v>
      </c>
      <c r="BC1583" s="26"/>
      <c r="BD1583" s="26"/>
      <c r="BE1583" s="26"/>
      <c r="BF1583" s="26"/>
      <c r="BG1583" s="26"/>
      <c r="BH1583" s="26"/>
      <c r="BI1583" s="26"/>
      <c r="BJ1583" s="26"/>
      <c r="BK1583" s="26"/>
      <c r="BL1583" s="26"/>
      <c r="BM1583" s="26"/>
      <c r="BN1583" s="26"/>
      <c r="BO1583" s="26"/>
      <c r="BP1583" s="16" t="n">
        <v>45443</v>
      </c>
      <c r="BQ1583" s="28" t="str">
        <f>HYPERLINK("https://organic.ams.usda.gov/Integrity/Certificate.aspx?cid=46&amp;nopid=3672300076")</f>
        <v>https://organic.ams.usda.gov/Integrity/Certificate.aspx?cid=46&amp;nopid=3672300076</v>
      </c>
    </row>
    <row r="1584">
      <c r="A1584" t="s">
        <v>3</v>
      </c>
      <c r="B1584" s="6" t="s">
        <v>12</v>
      </c>
      <c r="C1584" s="6" t="s">
        <v>59</v>
      </c>
      <c r="D1584" s="6" t="s">
        <v>105</v>
      </c>
      <c r="E1584" s="10" t="s">
        <v>1725</v>
      </c>
      <c r="F1584" s="6" t="s">
        <v>4447</v>
      </c>
      <c r="G1584" s="6" t="s">
        <v>81</v>
      </c>
      <c r="H1584" s="6" t="s">
        <v>7345</v>
      </c>
      <c r="I1584" s="6" t="s">
        <v>9196</v>
      </c>
      <c r="J1584" s="6" t="s">
        <v>10390</v>
      </c>
      <c r="K1584" s="6" t="s">
        <v>10886</v>
      </c>
      <c r="L1584" s="16" t="n">
        <v>44104</v>
      </c>
      <c r="M1584" s="16" t="n">
        <v>45717</v>
      </c>
      <c r="N1584" s="6" t="s">
        <v>10886</v>
      </c>
      <c r="O1584" s="16" t="n">
        <v>44104</v>
      </c>
      <c r="P1584" s="6" t="s">
        <v>11108</v>
      </c>
      <c r="Q1584" s="6" t="s">
        <v>81</v>
      </c>
      <c r="R1584" s="6" t="s">
        <v>81</v>
      </c>
      <c r="S1584" s="6" t="s">
        <v>10886</v>
      </c>
      <c r="T1584" s="16" t="n">
        <v>44104</v>
      </c>
      <c r="U1584" s="6" t="s">
        <v>13659</v>
      </c>
      <c r="V1584" s="6" t="s">
        <v>81</v>
      </c>
      <c r="W1584" s="6" t="s">
        <v>81</v>
      </c>
      <c r="X1584" s="6" t="s">
        <v>81</v>
      </c>
      <c r="Y1584" s="21" t="s">
        <v>81</v>
      </c>
      <c r="Z1584" s="6" t="s">
        <v>81</v>
      </c>
      <c r="AA1584" s="6" t="s">
        <v>81</v>
      </c>
      <c r="AB1584" s="6" t="s">
        <v>81</v>
      </c>
      <c r="AC1584" s="6" t="s">
        <v>81</v>
      </c>
      <c r="AD1584" s="21" t="s">
        <v>81</v>
      </c>
      <c r="AE1584" s="6" t="s">
        <v>81</v>
      </c>
      <c r="AF1584" s="6" t="s">
        <v>81</v>
      </c>
      <c r="AG1584" s="6" t="s">
        <v>81</v>
      </c>
      <c r="AH1584" s="6" t="s">
        <v>16152</v>
      </c>
      <c r="AI1584" s="6" t="s">
        <v>81</v>
      </c>
      <c r="AJ1584" s="6" t="s">
        <v>17519</v>
      </c>
      <c r="AK1584" s="6" t="s">
        <v>17712</v>
      </c>
      <c r="AL1584" s="6" t="s">
        <v>18444</v>
      </c>
      <c r="AM1584" s="6" t="s">
        <v>18684</v>
      </c>
      <c r="AN1584" s="6" t="s">
        <v>19645</v>
      </c>
      <c r="AO1584" s="6" t="s">
        <v>19770</v>
      </c>
      <c r="AP1584" s="6" t="s">
        <v>16152</v>
      </c>
      <c r="AQ1584" s="6" t="s">
        <v>81</v>
      </c>
      <c r="AR1584" s="6" t="s">
        <v>17519</v>
      </c>
      <c r="AS1584" s="6" t="s">
        <v>17712</v>
      </c>
      <c r="AT1584" s="6" t="s">
        <v>18444</v>
      </c>
      <c r="AU1584" s="6" t="s">
        <v>18684</v>
      </c>
      <c r="AV1584" s="6" t="s">
        <v>81</v>
      </c>
      <c r="AW1584" s="6" t="s">
        <v>81</v>
      </c>
      <c r="AX1584" s="6" t="s">
        <v>81</v>
      </c>
      <c r="AY1584" s="6" t="s">
        <v>23121</v>
      </c>
      <c r="AZ1584" s="6" t="s">
        <v>81</v>
      </c>
      <c r="BA1584" s="6" t="s">
        <v>81</v>
      </c>
      <c r="BB1584" s="24" t="n">
        <v>262</v>
      </c>
      <c r="BC1584" s="26"/>
      <c r="BD1584" s="26"/>
      <c r="BE1584" s="26"/>
      <c r="BF1584" s="26"/>
      <c r="BG1584" s="26"/>
      <c r="BH1584" s="26"/>
      <c r="BI1584" s="26"/>
      <c r="BJ1584" s="26"/>
      <c r="BK1584" s="26"/>
      <c r="BL1584" s="26"/>
      <c r="BM1584" s="26"/>
      <c r="BN1584" s="26"/>
      <c r="BO1584" s="26"/>
      <c r="BP1584" s="16" t="n">
        <v>45684</v>
      </c>
      <c r="BQ1584" s="28" t="str">
        <f>HYPERLINK("https://organic.ams.usda.gov/Integrity/Certificate.aspx?cid=68&amp;nopid=8210007272")</f>
        <v>https://organic.ams.usda.gov/Integrity/Certificate.aspx?cid=68&amp;nopid=8210007272</v>
      </c>
    </row>
    <row r="1585">
      <c r="A1585" t="s">
        <v>3</v>
      </c>
      <c r="B1585" s="6" t="s">
        <v>8</v>
      </c>
      <c r="C1585" s="6" t="s">
        <v>55</v>
      </c>
      <c r="D1585" s="6" t="s">
        <v>101</v>
      </c>
      <c r="E1585" s="10" t="s">
        <v>1726</v>
      </c>
      <c r="F1585" s="6" t="s">
        <v>4448</v>
      </c>
      <c r="G1585" s="6" t="s">
        <v>81</v>
      </c>
      <c r="H1585" s="6" t="s">
        <v>7346</v>
      </c>
      <c r="I1585" s="6" t="s">
        <v>8651</v>
      </c>
      <c r="J1585" s="6" t="s">
        <v>10391</v>
      </c>
      <c r="K1585" s="6" t="s">
        <v>10886</v>
      </c>
      <c r="L1585" s="16" t="n">
        <v>36584</v>
      </c>
      <c r="M1585" s="16" t="n">
        <v>45748</v>
      </c>
      <c r="N1585" s="6" t="s">
        <v>10886</v>
      </c>
      <c r="O1585" s="16" t="n">
        <v>36584</v>
      </c>
      <c r="P1585" s="6" t="s">
        <v>11836</v>
      </c>
      <c r="Q1585" s="6" t="s">
        <v>81</v>
      </c>
      <c r="R1585" s="6" t="s">
        <v>7346</v>
      </c>
      <c r="S1585" s="6" t="s">
        <v>10886</v>
      </c>
      <c r="T1585" s="16" t="n">
        <v>36584</v>
      </c>
      <c r="U1585" s="6" t="s">
        <v>13221</v>
      </c>
      <c r="V1585" s="6" t="s">
        <v>81</v>
      </c>
      <c r="W1585" s="6" t="s">
        <v>7346</v>
      </c>
      <c r="X1585" s="6" t="s">
        <v>81</v>
      </c>
      <c r="Y1585" s="21" t="s">
        <v>81</v>
      </c>
      <c r="Z1585" s="6" t="s">
        <v>81</v>
      </c>
      <c r="AA1585" s="6" t="s">
        <v>81</v>
      </c>
      <c r="AB1585" s="6" t="s">
        <v>81</v>
      </c>
      <c r="AC1585" s="6" t="s">
        <v>81</v>
      </c>
      <c r="AD1585" s="21" t="s">
        <v>81</v>
      </c>
      <c r="AE1585" s="6" t="s">
        <v>81</v>
      </c>
      <c r="AF1585" s="6" t="s">
        <v>81</v>
      </c>
      <c r="AG1585" s="6" t="s">
        <v>81</v>
      </c>
      <c r="AH1585" s="6" t="s">
        <v>16153</v>
      </c>
      <c r="AI1585" s="6" t="s">
        <v>81</v>
      </c>
      <c r="AJ1585" s="6" t="s">
        <v>18043</v>
      </c>
      <c r="AK1585" s="6" t="s">
        <v>18377</v>
      </c>
      <c r="AL1585" s="6" t="s">
        <v>18444</v>
      </c>
      <c r="AM1585" s="6" t="s">
        <v>19237</v>
      </c>
      <c r="AN1585" s="6" t="s">
        <v>19635</v>
      </c>
      <c r="AO1585" s="6" t="s">
        <v>19720</v>
      </c>
      <c r="AP1585" s="6" t="s">
        <v>81</v>
      </c>
      <c r="AQ1585" s="6" t="s">
        <v>81</v>
      </c>
      <c r="AR1585" s="6" t="s">
        <v>81</v>
      </c>
      <c r="AS1585" s="6" t="s">
        <v>81</v>
      </c>
      <c r="AT1585" s="6" t="s">
        <v>81</v>
      </c>
      <c r="AU1585" s="6" t="s">
        <v>81</v>
      </c>
      <c r="AV1585" s="6" t="s">
        <v>81</v>
      </c>
      <c r="AW1585" s="6" t="s">
        <v>81</v>
      </c>
      <c r="AX1585" s="6" t="s">
        <v>81</v>
      </c>
      <c r="AY1585" s="6" t="s">
        <v>23122</v>
      </c>
      <c r="AZ1585" s="6" t="s">
        <v>81</v>
      </c>
      <c r="BA1585" s="6" t="s">
        <v>23824</v>
      </c>
      <c r="BB1585" s="24" t="n">
        <v>472</v>
      </c>
      <c r="BC1585" s="26"/>
      <c r="BD1585" s="26"/>
      <c r="BE1585" s="26"/>
      <c r="BF1585" s="26" t="s">
        <v>23900</v>
      </c>
      <c r="BG1585" s="26"/>
      <c r="BH1585" s="26"/>
      <c r="BI1585" s="26"/>
      <c r="BJ1585" s="26"/>
      <c r="BK1585" s="26"/>
      <c r="BL1585" s="26"/>
      <c r="BM1585" s="26"/>
      <c r="BN1585" s="26"/>
      <c r="BO1585" s="26"/>
      <c r="BP1585" s="16" t="n">
        <v>45617</v>
      </c>
      <c r="BQ1585" s="28" t="str">
        <f>HYPERLINK("https://organic.ams.usda.gov/Integrity/Certificate.aspx?cid=45&amp;nopid=9950000088")</f>
        <v>https://organic.ams.usda.gov/Integrity/Certificate.aspx?cid=45&amp;nopid=9950000088</v>
      </c>
    </row>
    <row r="1586">
      <c r="A1586" t="s">
        <v>3</v>
      </c>
      <c r="B1586" s="6" t="s">
        <v>29</v>
      </c>
      <c r="C1586" s="6" t="s">
        <v>76</v>
      </c>
      <c r="D1586" s="6" t="s">
        <v>122</v>
      </c>
      <c r="E1586" s="10" t="s">
        <v>1727</v>
      </c>
      <c r="F1586" s="6" t="s">
        <v>4449</v>
      </c>
      <c r="G1586" s="6" t="s">
        <v>81</v>
      </c>
      <c r="H1586" s="6" t="s">
        <v>7347</v>
      </c>
      <c r="I1586" s="6" t="s">
        <v>8937</v>
      </c>
      <c r="J1586" s="6" t="s">
        <v>10392</v>
      </c>
      <c r="K1586" s="6" t="s">
        <v>10886</v>
      </c>
      <c r="L1586" s="16" t="n">
        <v>44099</v>
      </c>
      <c r="M1586" s="16" t="n">
        <v>45986</v>
      </c>
      <c r="N1586" s="6" t="s">
        <v>81</v>
      </c>
      <c r="O1586" s="21" t="s">
        <v>81</v>
      </c>
      <c r="P1586" s="6" t="s">
        <v>81</v>
      </c>
      <c r="Q1586" s="6" t="s">
        <v>81</v>
      </c>
      <c r="R1586" s="6" t="s">
        <v>81</v>
      </c>
      <c r="S1586" s="6" t="s">
        <v>81</v>
      </c>
      <c r="T1586" s="21" t="s">
        <v>81</v>
      </c>
      <c r="U1586" s="6" t="s">
        <v>81</v>
      </c>
      <c r="V1586" s="6" t="s">
        <v>81</v>
      </c>
      <c r="W1586" s="6" t="s">
        <v>81</v>
      </c>
      <c r="X1586" s="6" t="s">
        <v>81</v>
      </c>
      <c r="Y1586" s="21" t="s">
        <v>81</v>
      </c>
      <c r="Z1586" s="6" t="s">
        <v>81</v>
      </c>
      <c r="AA1586" s="6" t="s">
        <v>81</v>
      </c>
      <c r="AB1586" s="6" t="s">
        <v>81</v>
      </c>
      <c r="AC1586" s="6" t="s">
        <v>10886</v>
      </c>
      <c r="AD1586" s="16" t="n">
        <v>44099</v>
      </c>
      <c r="AE1586" s="6" t="s">
        <v>14290</v>
      </c>
      <c r="AF1586" s="6" t="s">
        <v>81</v>
      </c>
      <c r="AG1586" s="6" t="s">
        <v>14573</v>
      </c>
      <c r="AH1586" s="6" t="s">
        <v>16154</v>
      </c>
      <c r="AI1586" s="6" t="s">
        <v>81</v>
      </c>
      <c r="AJ1586" s="6" t="s">
        <v>18044</v>
      </c>
      <c r="AK1586" s="6" t="s">
        <v>17759</v>
      </c>
      <c r="AL1586" s="6" t="s">
        <v>18444</v>
      </c>
      <c r="AM1586" s="6" t="s">
        <v>19238</v>
      </c>
      <c r="AN1586" s="6" t="s">
        <v>7195</v>
      </c>
      <c r="AO1586" s="6" t="s">
        <v>19721</v>
      </c>
      <c r="AP1586" s="6" t="s">
        <v>20299</v>
      </c>
      <c r="AQ1586" s="6" t="s">
        <v>81</v>
      </c>
      <c r="AR1586" s="6" t="s">
        <v>20544</v>
      </c>
      <c r="AS1586" s="6" t="s">
        <v>18380</v>
      </c>
      <c r="AT1586" s="6" t="s">
        <v>18444</v>
      </c>
      <c r="AU1586" s="6" t="s">
        <v>20669</v>
      </c>
      <c r="AV1586" s="6" t="s">
        <v>81</v>
      </c>
      <c r="AW1586" s="6" t="s">
        <v>81</v>
      </c>
      <c r="AX1586" s="6" t="s">
        <v>21742</v>
      </c>
      <c r="AY1586" s="6" t="s">
        <v>23123</v>
      </c>
      <c r="AZ1586" s="6" t="s">
        <v>81</v>
      </c>
      <c r="BA1586" s="6" t="s">
        <v>81</v>
      </c>
      <c r="BB1586" s="6" t="s">
        <v>81</v>
      </c>
      <c r="BC1586" s="26"/>
      <c r="BD1586" s="26"/>
      <c r="BE1586" s="26"/>
      <c r="BF1586" s="26"/>
      <c r="BG1586" s="26"/>
      <c r="BH1586" s="26"/>
      <c r="BI1586" s="26"/>
      <c r="BJ1586" s="26"/>
      <c r="BK1586" s="26"/>
      <c r="BL1586" s="26"/>
      <c r="BM1586" s="26"/>
      <c r="BN1586" s="26"/>
      <c r="BO1586" s="26"/>
      <c r="BP1586" s="16" t="n">
        <v>45737</v>
      </c>
      <c r="BQ1586" s="28" t="str">
        <f>HYPERLINK("https://organic.ams.usda.gov/Integrity/Certificate.aspx?cid=31&amp;nopid=3928972141")</f>
        <v>https://organic.ams.usda.gov/Integrity/Certificate.aspx?cid=31&amp;nopid=3928972141</v>
      </c>
    </row>
    <row r="1587">
      <c r="A1587" t="s">
        <v>3</v>
      </c>
      <c r="B1587" s="6" t="s">
        <v>23</v>
      </c>
      <c r="C1587" s="6" t="s">
        <v>70</v>
      </c>
      <c r="D1587" s="6" t="s">
        <v>116</v>
      </c>
      <c r="E1587" s="10" t="s">
        <v>1728</v>
      </c>
      <c r="F1587" s="6" t="s">
        <v>4450</v>
      </c>
      <c r="G1587" s="6" t="s">
        <v>81</v>
      </c>
      <c r="H1587" s="6" t="s">
        <v>7348</v>
      </c>
      <c r="I1587" s="6" t="s">
        <v>8599</v>
      </c>
      <c r="J1587" s="6" t="s">
        <v>10047</v>
      </c>
      <c r="K1587" s="6" t="s">
        <v>10886</v>
      </c>
      <c r="L1587" s="16" t="n">
        <v>44740</v>
      </c>
      <c r="M1587" s="16" t="n">
        <v>45836</v>
      </c>
      <c r="N1587" s="6" t="s">
        <v>10886</v>
      </c>
      <c r="O1587" s="16" t="n">
        <v>44740</v>
      </c>
      <c r="P1587" s="6" t="s">
        <v>11837</v>
      </c>
      <c r="Q1587" s="6" t="s">
        <v>81</v>
      </c>
      <c r="R1587" s="6" t="s">
        <v>12859</v>
      </c>
      <c r="S1587" s="6" t="s">
        <v>10886</v>
      </c>
      <c r="T1587" s="16" t="n">
        <v>44740</v>
      </c>
      <c r="U1587" s="6" t="s">
        <v>13660</v>
      </c>
      <c r="V1587" s="6" t="s">
        <v>81</v>
      </c>
      <c r="W1587" s="6" t="s">
        <v>12859</v>
      </c>
      <c r="X1587" s="6" t="s">
        <v>81</v>
      </c>
      <c r="Y1587" s="21" t="s">
        <v>81</v>
      </c>
      <c r="Z1587" s="6" t="s">
        <v>81</v>
      </c>
      <c r="AA1587" s="6" t="s">
        <v>81</v>
      </c>
      <c r="AB1587" s="6" t="s">
        <v>81</v>
      </c>
      <c r="AC1587" s="6" t="s">
        <v>81</v>
      </c>
      <c r="AD1587" s="21" t="s">
        <v>81</v>
      </c>
      <c r="AE1587" s="6" t="s">
        <v>81</v>
      </c>
      <c r="AF1587" s="6" t="s">
        <v>81</v>
      </c>
      <c r="AG1587" s="6" t="s">
        <v>81</v>
      </c>
      <c r="AH1587" s="6" t="s">
        <v>81</v>
      </c>
      <c r="AI1587" s="6" t="s">
        <v>81</v>
      </c>
      <c r="AJ1587" s="6" t="s">
        <v>81</v>
      </c>
      <c r="AK1587" s="6" t="s">
        <v>81</v>
      </c>
      <c r="AL1587" s="6" t="s">
        <v>81</v>
      </c>
      <c r="AM1587" s="6" t="s">
        <v>81</v>
      </c>
      <c r="AN1587" s="6" t="s">
        <v>81</v>
      </c>
      <c r="AO1587" s="6" t="s">
        <v>81</v>
      </c>
      <c r="AP1587" s="6" t="s">
        <v>20300</v>
      </c>
      <c r="AQ1587" s="6" t="s">
        <v>20482</v>
      </c>
      <c r="AR1587" s="6" t="s">
        <v>8934</v>
      </c>
      <c r="AS1587" s="6" t="s">
        <v>18395</v>
      </c>
      <c r="AT1587" s="6" t="s">
        <v>18444</v>
      </c>
      <c r="AU1587" s="6" t="s">
        <v>20670</v>
      </c>
      <c r="AV1587" s="6" t="s">
        <v>19678</v>
      </c>
      <c r="AW1587" s="6" t="s">
        <v>20021</v>
      </c>
      <c r="AX1587" s="6" t="s">
        <v>21743</v>
      </c>
      <c r="AY1587" s="6" t="s">
        <v>23124</v>
      </c>
      <c r="AZ1587" s="6" t="s">
        <v>81</v>
      </c>
      <c r="BA1587" s="6" t="s">
        <v>81</v>
      </c>
      <c r="BB1587" s="24" t="n">
        <v>4955</v>
      </c>
      <c r="BC1587" s="26"/>
      <c r="BD1587" s="26"/>
      <c r="BE1587" s="26"/>
      <c r="BF1587" s="26"/>
      <c r="BG1587" s="26"/>
      <c r="BH1587" s="26"/>
      <c r="BI1587" s="26"/>
      <c r="BJ1587" s="26"/>
      <c r="BK1587" s="26"/>
      <c r="BL1587" s="26"/>
      <c r="BM1587" s="26"/>
      <c r="BN1587" s="26"/>
      <c r="BO1587" s="26"/>
      <c r="BP1587" s="16" t="n">
        <v>45499</v>
      </c>
      <c r="BQ1587" s="28" t="str">
        <f>HYPERLINK("https://organic.ams.usda.gov/Integrity/Certificate.aspx?cid=63&amp;nopid=6220009056")</f>
        <v>https://organic.ams.usda.gov/Integrity/Certificate.aspx?cid=63&amp;nopid=6220009056</v>
      </c>
    </row>
    <row r="1588">
      <c r="A1588" t="s">
        <v>3</v>
      </c>
      <c r="B1588" s="6" t="s">
        <v>12</v>
      </c>
      <c r="C1588" s="6" t="s">
        <v>59</v>
      </c>
      <c r="D1588" s="6" t="s">
        <v>105</v>
      </c>
      <c r="E1588" s="10" t="s">
        <v>1729</v>
      </c>
      <c r="F1588" s="6" t="s">
        <v>4451</v>
      </c>
      <c r="G1588" s="6" t="s">
        <v>81</v>
      </c>
      <c r="H1588" s="6" t="s">
        <v>7349</v>
      </c>
      <c r="I1588" s="6" t="s">
        <v>8560</v>
      </c>
      <c r="J1588" s="6" t="s">
        <v>9701</v>
      </c>
      <c r="K1588" s="6" t="s">
        <v>10886</v>
      </c>
      <c r="L1588" s="16" t="n">
        <v>43371</v>
      </c>
      <c r="M1588" s="16" t="n">
        <v>45717</v>
      </c>
      <c r="N1588" s="6" t="s">
        <v>10886</v>
      </c>
      <c r="O1588" s="16" t="n">
        <v>43371</v>
      </c>
      <c r="P1588" s="6" t="s">
        <v>11838</v>
      </c>
      <c r="Q1588" s="6" t="s">
        <v>81</v>
      </c>
      <c r="R1588" s="6" t="s">
        <v>81</v>
      </c>
      <c r="S1588" s="6" t="s">
        <v>10886</v>
      </c>
      <c r="T1588" s="16" t="n">
        <v>43371</v>
      </c>
      <c r="U1588" s="6" t="s">
        <v>13661</v>
      </c>
      <c r="V1588" s="6" t="s">
        <v>81</v>
      </c>
      <c r="W1588" s="6" t="s">
        <v>81</v>
      </c>
      <c r="X1588" s="6" t="s">
        <v>81</v>
      </c>
      <c r="Y1588" s="21" t="s">
        <v>81</v>
      </c>
      <c r="Z1588" s="6" t="s">
        <v>81</v>
      </c>
      <c r="AA1588" s="6" t="s">
        <v>81</v>
      </c>
      <c r="AB1588" s="6" t="s">
        <v>81</v>
      </c>
      <c r="AC1588" s="6" t="s">
        <v>81</v>
      </c>
      <c r="AD1588" s="21" t="s">
        <v>81</v>
      </c>
      <c r="AE1588" s="6" t="s">
        <v>81</v>
      </c>
      <c r="AF1588" s="6" t="s">
        <v>81</v>
      </c>
      <c r="AG1588" s="6" t="s">
        <v>81</v>
      </c>
      <c r="AH1588" s="6" t="s">
        <v>16155</v>
      </c>
      <c r="AI1588" s="6" t="s">
        <v>81</v>
      </c>
      <c r="AJ1588" s="6" t="s">
        <v>18045</v>
      </c>
      <c r="AK1588" s="6" t="s">
        <v>18380</v>
      </c>
      <c r="AL1588" s="6" t="s">
        <v>18444</v>
      </c>
      <c r="AM1588" s="6" t="s">
        <v>19239</v>
      </c>
      <c r="AN1588" s="6" t="s">
        <v>7450</v>
      </c>
      <c r="AO1588" s="6" t="s">
        <v>20003</v>
      </c>
      <c r="AP1588" s="6" t="s">
        <v>16155</v>
      </c>
      <c r="AQ1588" s="6" t="s">
        <v>81</v>
      </c>
      <c r="AR1588" s="6" t="s">
        <v>18045</v>
      </c>
      <c r="AS1588" s="6" t="s">
        <v>18380</v>
      </c>
      <c r="AT1588" s="6" t="s">
        <v>18444</v>
      </c>
      <c r="AU1588" s="6" t="s">
        <v>19239</v>
      </c>
      <c r="AV1588" s="6" t="s">
        <v>7450</v>
      </c>
      <c r="AW1588" s="6" t="s">
        <v>20003</v>
      </c>
      <c r="AX1588" s="6" t="s">
        <v>21744</v>
      </c>
      <c r="AY1588" s="6" t="s">
        <v>81</v>
      </c>
      <c r="AZ1588" s="6" t="s">
        <v>81</v>
      </c>
      <c r="BA1588" s="6" t="s">
        <v>81</v>
      </c>
      <c r="BB1588" s="24" t="n">
        <v>118</v>
      </c>
      <c r="BC1588" s="26"/>
      <c r="BD1588" s="26"/>
      <c r="BE1588" s="26"/>
      <c r="BF1588" s="26"/>
      <c r="BG1588" s="26"/>
      <c r="BH1588" s="26"/>
      <c r="BI1588" s="26"/>
      <c r="BJ1588" s="26"/>
      <c r="BK1588" s="26"/>
      <c r="BL1588" s="26"/>
      <c r="BM1588" s="26"/>
      <c r="BN1588" s="26"/>
      <c r="BO1588" s="26"/>
      <c r="BP1588" s="16" t="n">
        <v>45684</v>
      </c>
      <c r="BQ1588" s="28" t="str">
        <f>HYPERLINK("https://organic.ams.usda.gov/Integrity/Certificate.aspx?cid=68&amp;nopid=8210005556")</f>
        <v>https://organic.ams.usda.gov/Integrity/Certificate.aspx?cid=68&amp;nopid=8210005556</v>
      </c>
    </row>
    <row r="1589">
      <c r="A1589" t="s">
        <v>3</v>
      </c>
      <c r="B1589" s="6" t="s">
        <v>25</v>
      </c>
      <c r="C1589" s="6" t="s">
        <v>72</v>
      </c>
      <c r="D1589" s="6" t="s">
        <v>118</v>
      </c>
      <c r="E1589" s="10" t="s">
        <v>1730</v>
      </c>
      <c r="F1589" s="6" t="s">
        <v>4452</v>
      </c>
      <c r="G1589" s="6" t="s">
        <v>81</v>
      </c>
      <c r="H1589" s="6" t="s">
        <v>7350</v>
      </c>
      <c r="I1589" s="6" t="s">
        <v>9087</v>
      </c>
      <c r="J1589" s="6" t="s">
        <v>10393</v>
      </c>
      <c r="K1589" s="6" t="s">
        <v>10886</v>
      </c>
      <c r="L1589" s="16" t="n">
        <v>33578</v>
      </c>
      <c r="M1589" s="16" t="n">
        <v>46023</v>
      </c>
      <c r="N1589" s="6" t="s">
        <v>10886</v>
      </c>
      <c r="O1589" s="16" t="n">
        <v>33578</v>
      </c>
      <c r="P1589" s="6" t="s">
        <v>11839</v>
      </c>
      <c r="Q1589" s="6" t="s">
        <v>81</v>
      </c>
      <c r="R1589" s="6" t="s">
        <v>81</v>
      </c>
      <c r="S1589" s="6" t="s">
        <v>10886</v>
      </c>
      <c r="T1589" s="16" t="n">
        <v>39180</v>
      </c>
      <c r="U1589" s="6" t="s">
        <v>13662</v>
      </c>
      <c r="V1589" s="6" t="s">
        <v>81</v>
      </c>
      <c r="W1589" s="6" t="s">
        <v>81</v>
      </c>
      <c r="X1589" s="6" t="s">
        <v>81</v>
      </c>
      <c r="Y1589" s="21" t="s">
        <v>81</v>
      </c>
      <c r="Z1589" s="6" t="s">
        <v>81</v>
      </c>
      <c r="AA1589" s="6" t="s">
        <v>81</v>
      </c>
      <c r="AB1589" s="6" t="s">
        <v>81</v>
      </c>
      <c r="AC1589" s="6" t="s">
        <v>10886</v>
      </c>
      <c r="AD1589" s="16" t="n">
        <v>40312</v>
      </c>
      <c r="AE1589" s="6" t="s">
        <v>14291</v>
      </c>
      <c r="AF1589" s="6" t="s">
        <v>81</v>
      </c>
      <c r="AG1589" s="6" t="s">
        <v>81</v>
      </c>
      <c r="AH1589" s="6" t="s">
        <v>16156</v>
      </c>
      <c r="AI1589" s="6" t="s">
        <v>81</v>
      </c>
      <c r="AJ1589" s="6" t="s">
        <v>18046</v>
      </c>
      <c r="AK1589" s="6" t="s">
        <v>18386</v>
      </c>
      <c r="AL1589" s="6" t="s">
        <v>18444</v>
      </c>
      <c r="AM1589" s="6" t="s">
        <v>19240</v>
      </c>
      <c r="AN1589" s="6" t="s">
        <v>19654</v>
      </c>
      <c r="AO1589" s="6" t="s">
        <v>20004</v>
      </c>
      <c r="AP1589" s="6" t="s">
        <v>16156</v>
      </c>
      <c r="AQ1589" s="6" t="s">
        <v>81</v>
      </c>
      <c r="AR1589" s="6" t="s">
        <v>18046</v>
      </c>
      <c r="AS1589" s="6" t="s">
        <v>18386</v>
      </c>
      <c r="AT1589" s="6" t="s">
        <v>18444</v>
      </c>
      <c r="AU1589" s="6" t="s">
        <v>19240</v>
      </c>
      <c r="AV1589" s="6" t="s">
        <v>81</v>
      </c>
      <c r="AW1589" s="6" t="s">
        <v>81</v>
      </c>
      <c r="AX1589" s="6" t="s">
        <v>21745</v>
      </c>
      <c r="AY1589" s="6" t="s">
        <v>23125</v>
      </c>
      <c r="AZ1589" s="6" t="s">
        <v>81</v>
      </c>
      <c r="BA1589" s="6" t="s">
        <v>23872</v>
      </c>
      <c r="BB1589" s="24" t="n">
        <v>33</v>
      </c>
      <c r="BC1589" s="26"/>
      <c r="BD1589" s="26"/>
      <c r="BE1589" s="26"/>
      <c r="BF1589" s="26"/>
      <c r="BG1589" s="26"/>
      <c r="BH1589" s="26"/>
      <c r="BI1589" s="26"/>
      <c r="BJ1589" s="26"/>
      <c r="BK1589" s="26"/>
      <c r="BL1589" s="26"/>
      <c r="BM1589" s="26"/>
      <c r="BN1589" s="26"/>
      <c r="BO1589" s="26"/>
      <c r="BP1589" s="16" t="n">
        <v>45727</v>
      </c>
      <c r="BQ1589" s="28" t="str">
        <f>HYPERLINK("https://organic.ams.usda.gov/Integrity/Certificate.aspx?cid=15&amp;nopid=5561000745")</f>
        <v>https://organic.ams.usda.gov/Integrity/Certificate.aspx?cid=15&amp;nopid=5561000745</v>
      </c>
    </row>
    <row r="1590">
      <c r="A1590" t="s">
        <v>3</v>
      </c>
      <c r="B1590" s="6" t="s">
        <v>8</v>
      </c>
      <c r="C1590" s="6" t="s">
        <v>55</v>
      </c>
      <c r="D1590" s="6" t="s">
        <v>101</v>
      </c>
      <c r="E1590" s="10" t="s">
        <v>1731</v>
      </c>
      <c r="F1590" s="6" t="s">
        <v>4453</v>
      </c>
      <c r="G1590" s="6" t="s">
        <v>5740</v>
      </c>
      <c r="H1590" s="6" t="s">
        <v>7351</v>
      </c>
      <c r="I1590" s="6" t="s">
        <v>8887</v>
      </c>
      <c r="J1590" s="6" t="s">
        <v>9675</v>
      </c>
      <c r="K1590" s="6" t="s">
        <v>10886</v>
      </c>
      <c r="L1590" s="16" t="n">
        <v>36878</v>
      </c>
      <c r="M1590" s="16" t="n">
        <v>45748</v>
      </c>
      <c r="N1590" s="6" t="s">
        <v>10886</v>
      </c>
      <c r="O1590" s="16" t="n">
        <v>36878</v>
      </c>
      <c r="P1590" s="6" t="s">
        <v>11840</v>
      </c>
      <c r="Q1590" s="6" t="s">
        <v>81</v>
      </c>
      <c r="R1590" s="6" t="s">
        <v>7351</v>
      </c>
      <c r="S1590" s="6" t="s">
        <v>10886</v>
      </c>
      <c r="T1590" s="16" t="n">
        <v>36878</v>
      </c>
      <c r="U1590" s="6" t="s">
        <v>13179</v>
      </c>
      <c r="V1590" s="6" t="s">
        <v>81</v>
      </c>
      <c r="W1590" s="6" t="s">
        <v>7351</v>
      </c>
      <c r="X1590" s="6" t="s">
        <v>81</v>
      </c>
      <c r="Y1590" s="21" t="s">
        <v>81</v>
      </c>
      <c r="Z1590" s="6" t="s">
        <v>81</v>
      </c>
      <c r="AA1590" s="6" t="s">
        <v>81</v>
      </c>
      <c r="AB1590" s="6" t="s">
        <v>81</v>
      </c>
      <c r="AC1590" s="6" t="s">
        <v>81</v>
      </c>
      <c r="AD1590" s="21" t="s">
        <v>81</v>
      </c>
      <c r="AE1590" s="6" t="s">
        <v>81</v>
      </c>
      <c r="AF1590" s="6" t="s">
        <v>81</v>
      </c>
      <c r="AG1590" s="6" t="s">
        <v>81</v>
      </c>
      <c r="AH1590" s="6" t="s">
        <v>16157</v>
      </c>
      <c r="AI1590" s="6" t="s">
        <v>81</v>
      </c>
      <c r="AJ1590" s="6" t="s">
        <v>18047</v>
      </c>
      <c r="AK1590" s="6" t="s">
        <v>18377</v>
      </c>
      <c r="AL1590" s="6" t="s">
        <v>18444</v>
      </c>
      <c r="AM1590" s="6" t="s">
        <v>19241</v>
      </c>
      <c r="AN1590" s="6" t="s">
        <v>7195</v>
      </c>
      <c r="AO1590" s="6" t="s">
        <v>19737</v>
      </c>
      <c r="AP1590" s="6" t="s">
        <v>81</v>
      </c>
      <c r="AQ1590" s="6" t="s">
        <v>81</v>
      </c>
      <c r="AR1590" s="6" t="s">
        <v>81</v>
      </c>
      <c r="AS1590" s="6" t="s">
        <v>81</v>
      </c>
      <c r="AT1590" s="6" t="s">
        <v>81</v>
      </c>
      <c r="AU1590" s="6" t="s">
        <v>81</v>
      </c>
      <c r="AV1590" s="6" t="s">
        <v>81</v>
      </c>
      <c r="AW1590" s="6" t="s">
        <v>81</v>
      </c>
      <c r="AX1590" s="6" t="s">
        <v>81</v>
      </c>
      <c r="AY1590" s="6" t="s">
        <v>81</v>
      </c>
      <c r="AZ1590" s="6" t="s">
        <v>81</v>
      </c>
      <c r="BA1590" s="6" t="s">
        <v>23824</v>
      </c>
      <c r="BB1590" s="24" t="n">
        <v>765</v>
      </c>
      <c r="BC1590" s="26"/>
      <c r="BD1590" s="26"/>
      <c r="BE1590" s="26"/>
      <c r="BF1590" s="26" t="s">
        <v>23900</v>
      </c>
      <c r="BG1590" s="26"/>
      <c r="BH1590" s="26"/>
      <c r="BI1590" s="26"/>
      <c r="BJ1590" s="26"/>
      <c r="BK1590" s="26"/>
      <c r="BL1590" s="26"/>
      <c r="BM1590" s="26"/>
      <c r="BN1590" s="26"/>
      <c r="BO1590" s="26"/>
      <c r="BP1590" s="16" t="n">
        <v>45617</v>
      </c>
      <c r="BQ1590" s="28" t="str">
        <f>HYPERLINK("https://organic.ams.usda.gov/Integrity/Certificate.aspx?cid=45&amp;nopid=9950000125")</f>
        <v>https://organic.ams.usda.gov/Integrity/Certificate.aspx?cid=45&amp;nopid=9950000125</v>
      </c>
    </row>
    <row r="1591">
      <c r="A1591" t="s">
        <v>3</v>
      </c>
      <c r="B1591" s="6" t="s">
        <v>8</v>
      </c>
      <c r="C1591" s="6" t="s">
        <v>55</v>
      </c>
      <c r="D1591" s="6" t="s">
        <v>101</v>
      </c>
      <c r="E1591" s="10" t="s">
        <v>1732</v>
      </c>
      <c r="F1591" s="6" t="s">
        <v>4454</v>
      </c>
      <c r="G1591" s="6" t="s">
        <v>81</v>
      </c>
      <c r="H1591" s="6" t="s">
        <v>7352</v>
      </c>
      <c r="I1591" s="6" t="s">
        <v>9197</v>
      </c>
      <c r="J1591" s="6" t="s">
        <v>10394</v>
      </c>
      <c r="K1591" s="6" t="s">
        <v>10886</v>
      </c>
      <c r="L1591" s="16" t="n">
        <v>38730</v>
      </c>
      <c r="M1591" s="16" t="n">
        <v>45689</v>
      </c>
      <c r="N1591" s="6" t="s">
        <v>10886</v>
      </c>
      <c r="O1591" s="16" t="n">
        <v>38730</v>
      </c>
      <c r="P1591" s="6" t="s">
        <v>11841</v>
      </c>
      <c r="Q1591" s="6" t="s">
        <v>81</v>
      </c>
      <c r="R1591" s="6" t="s">
        <v>7352</v>
      </c>
      <c r="S1591" s="6" t="s">
        <v>10886</v>
      </c>
      <c r="T1591" s="16" t="n">
        <v>38730</v>
      </c>
      <c r="U1591" s="6" t="s">
        <v>13663</v>
      </c>
      <c r="V1591" s="6" t="s">
        <v>81</v>
      </c>
      <c r="W1591" s="6" t="s">
        <v>7352</v>
      </c>
      <c r="X1591" s="6" t="s">
        <v>81</v>
      </c>
      <c r="Y1591" s="21" t="s">
        <v>81</v>
      </c>
      <c r="Z1591" s="6" t="s">
        <v>81</v>
      </c>
      <c r="AA1591" s="6" t="s">
        <v>81</v>
      </c>
      <c r="AB1591" s="6" t="s">
        <v>81</v>
      </c>
      <c r="AC1591" s="6" t="s">
        <v>81</v>
      </c>
      <c r="AD1591" s="21" t="s">
        <v>81</v>
      </c>
      <c r="AE1591" s="6" t="s">
        <v>81</v>
      </c>
      <c r="AF1591" s="6" t="s">
        <v>81</v>
      </c>
      <c r="AG1591" s="6" t="s">
        <v>81</v>
      </c>
      <c r="AH1591" s="6" t="s">
        <v>16158</v>
      </c>
      <c r="AI1591" s="6" t="s">
        <v>81</v>
      </c>
      <c r="AJ1591" s="6" t="s">
        <v>17418</v>
      </c>
      <c r="AK1591" s="6" t="s">
        <v>18379</v>
      </c>
      <c r="AL1591" s="6" t="s">
        <v>18444</v>
      </c>
      <c r="AM1591" s="6" t="s">
        <v>18575</v>
      </c>
      <c r="AN1591" s="6" t="s">
        <v>19671</v>
      </c>
      <c r="AO1591" s="6" t="s">
        <v>19784</v>
      </c>
      <c r="AP1591" s="6" t="s">
        <v>81</v>
      </c>
      <c r="AQ1591" s="6" t="s">
        <v>81</v>
      </c>
      <c r="AR1591" s="6" t="s">
        <v>81</v>
      </c>
      <c r="AS1591" s="6" t="s">
        <v>81</v>
      </c>
      <c r="AT1591" s="6" t="s">
        <v>81</v>
      </c>
      <c r="AU1591" s="6" t="s">
        <v>81</v>
      </c>
      <c r="AV1591" s="6" t="s">
        <v>81</v>
      </c>
      <c r="AW1591" s="6" t="s">
        <v>81</v>
      </c>
      <c r="AX1591" s="6" t="s">
        <v>81</v>
      </c>
      <c r="AY1591" s="6" t="s">
        <v>23126</v>
      </c>
      <c r="AZ1591" s="6" t="s">
        <v>81</v>
      </c>
      <c r="BA1591" s="6" t="s">
        <v>23819</v>
      </c>
      <c r="BB1591" s="24" t="n">
        <v>243</v>
      </c>
      <c r="BC1591" s="26"/>
      <c r="BD1591" s="26"/>
      <c r="BE1591" s="26"/>
      <c r="BF1591" s="26" t="s">
        <v>23900</v>
      </c>
      <c r="BG1591" s="26"/>
      <c r="BH1591" s="26"/>
      <c r="BI1591" s="26"/>
      <c r="BJ1591" s="26"/>
      <c r="BK1591" s="26"/>
      <c r="BL1591" s="26"/>
      <c r="BM1591" s="26"/>
      <c r="BN1591" s="26"/>
      <c r="BO1591" s="26"/>
      <c r="BP1591" s="16" t="n">
        <v>45727</v>
      </c>
      <c r="BQ1591" s="28" t="str">
        <f>HYPERLINK("https://organic.ams.usda.gov/Integrity/Certificate.aspx?cid=45&amp;nopid=9950002153")</f>
        <v>https://organic.ams.usda.gov/Integrity/Certificate.aspx?cid=45&amp;nopid=9950002153</v>
      </c>
    </row>
    <row r="1592">
      <c r="A1592" t="s">
        <v>3</v>
      </c>
      <c r="B1592" s="6" t="s">
        <v>7</v>
      </c>
      <c r="C1592" s="6" t="s">
        <v>54</v>
      </c>
      <c r="D1592" s="6" t="s">
        <v>100</v>
      </c>
      <c r="E1592" s="10" t="s">
        <v>1733</v>
      </c>
      <c r="F1592" s="6" t="s">
        <v>4455</v>
      </c>
      <c r="G1592" s="6" t="s">
        <v>81</v>
      </c>
      <c r="H1592" s="6" t="s">
        <v>7353</v>
      </c>
      <c r="I1592" s="6" t="s">
        <v>9198</v>
      </c>
      <c r="J1592" s="6" t="s">
        <v>9669</v>
      </c>
      <c r="K1592" s="6" t="s">
        <v>10886</v>
      </c>
      <c r="L1592" s="16" t="n">
        <v>44362</v>
      </c>
      <c r="M1592" s="16" t="n">
        <v>45716</v>
      </c>
      <c r="N1592" s="6" t="s">
        <v>10886</v>
      </c>
      <c r="O1592" s="16" t="n">
        <v>44362</v>
      </c>
      <c r="P1592" s="6" t="s">
        <v>10910</v>
      </c>
      <c r="Q1592" s="6" t="s">
        <v>81</v>
      </c>
      <c r="R1592" s="6" t="s">
        <v>81</v>
      </c>
      <c r="S1592" s="6" t="s">
        <v>10886</v>
      </c>
      <c r="T1592" s="16" t="n">
        <v>44362</v>
      </c>
      <c r="U1592" s="6" t="s">
        <v>13169</v>
      </c>
      <c r="V1592" s="6" t="s">
        <v>81</v>
      </c>
      <c r="W1592" s="6" t="s">
        <v>81</v>
      </c>
      <c r="X1592" s="6" t="s">
        <v>81</v>
      </c>
      <c r="Y1592" s="21" t="s">
        <v>81</v>
      </c>
      <c r="Z1592" s="6" t="s">
        <v>81</v>
      </c>
      <c r="AA1592" s="6" t="s">
        <v>81</v>
      </c>
      <c r="AB1592" s="6" t="s">
        <v>81</v>
      </c>
      <c r="AC1592" s="6" t="s">
        <v>81</v>
      </c>
      <c r="AD1592" s="21" t="s">
        <v>81</v>
      </c>
      <c r="AE1592" s="6" t="s">
        <v>81</v>
      </c>
      <c r="AF1592" s="6" t="s">
        <v>81</v>
      </c>
      <c r="AG1592" s="6" t="s">
        <v>81</v>
      </c>
      <c r="AH1592" s="6" t="s">
        <v>16159</v>
      </c>
      <c r="AI1592" s="6" t="s">
        <v>81</v>
      </c>
      <c r="AJ1592" s="6" t="s">
        <v>17873</v>
      </c>
      <c r="AK1592" s="6" t="s">
        <v>17712</v>
      </c>
      <c r="AL1592" s="6" t="s">
        <v>18444</v>
      </c>
      <c r="AM1592" s="6" t="s">
        <v>19056</v>
      </c>
      <c r="AN1592" s="6" t="s">
        <v>19652</v>
      </c>
      <c r="AO1592" s="6" t="s">
        <v>19742</v>
      </c>
      <c r="AP1592" s="6" t="s">
        <v>16159</v>
      </c>
      <c r="AQ1592" s="6" t="s">
        <v>81</v>
      </c>
      <c r="AR1592" s="6" t="s">
        <v>17873</v>
      </c>
      <c r="AS1592" s="6" t="s">
        <v>17712</v>
      </c>
      <c r="AT1592" s="6" t="s">
        <v>18444</v>
      </c>
      <c r="AU1592" s="6" t="s">
        <v>19056</v>
      </c>
      <c r="AV1592" s="6" t="s">
        <v>81</v>
      </c>
      <c r="AW1592" s="6" t="s">
        <v>81</v>
      </c>
      <c r="AX1592" s="6" t="s">
        <v>21746</v>
      </c>
      <c r="AY1592" s="6" t="s">
        <v>81</v>
      </c>
      <c r="AZ1592" s="6" t="s">
        <v>81</v>
      </c>
      <c r="BA1592" s="6" t="s">
        <v>81</v>
      </c>
      <c r="BB1592" s="24" t="n">
        <v>98</v>
      </c>
      <c r="BC1592" s="26"/>
      <c r="BD1592" s="26"/>
      <c r="BE1592" s="26"/>
      <c r="BF1592" s="26" t="s">
        <v>23900</v>
      </c>
      <c r="BG1592" s="26"/>
      <c r="BH1592" s="26"/>
      <c r="BI1592" s="26"/>
      <c r="BJ1592" s="26"/>
      <c r="BK1592" s="26"/>
      <c r="BL1592" s="26"/>
      <c r="BM1592" s="26"/>
      <c r="BN1592" s="26"/>
      <c r="BO1592" s="26"/>
      <c r="BP1592" s="16" t="n">
        <v>45595</v>
      </c>
      <c r="BQ1592" s="28" t="str">
        <f>HYPERLINK("https://organic.ams.usda.gov/Integrity/Certificate.aspx?cid=57&amp;nopid=3252021070")</f>
        <v>https://organic.ams.usda.gov/Integrity/Certificate.aspx?cid=57&amp;nopid=3252021070</v>
      </c>
    </row>
    <row r="1593">
      <c r="A1593" t="s">
        <v>3</v>
      </c>
      <c r="B1593" s="6" t="s">
        <v>13</v>
      </c>
      <c r="C1593" s="6" t="s">
        <v>60</v>
      </c>
      <c r="D1593" s="6" t="s">
        <v>106</v>
      </c>
      <c r="E1593" s="10" t="s">
        <v>1734</v>
      </c>
      <c r="F1593" s="6" t="s">
        <v>4456</v>
      </c>
      <c r="G1593" s="6" t="s">
        <v>81</v>
      </c>
      <c r="H1593" s="6" t="s">
        <v>7354</v>
      </c>
      <c r="I1593" s="6" t="s">
        <v>9198</v>
      </c>
      <c r="J1593" s="6" t="s">
        <v>9959</v>
      </c>
      <c r="K1593" s="6" t="s">
        <v>10886</v>
      </c>
      <c r="L1593" s="16" t="n">
        <v>43383</v>
      </c>
      <c r="M1593" s="16" t="n">
        <v>46024</v>
      </c>
      <c r="N1593" s="6" t="s">
        <v>10886</v>
      </c>
      <c r="O1593" s="16" t="n">
        <v>43383</v>
      </c>
      <c r="P1593" s="6" t="s">
        <v>11842</v>
      </c>
      <c r="Q1593" s="6" t="s">
        <v>81</v>
      </c>
      <c r="R1593" s="6" t="s">
        <v>12860</v>
      </c>
      <c r="S1593" s="6" t="s">
        <v>10886</v>
      </c>
      <c r="T1593" s="16" t="n">
        <v>43577</v>
      </c>
      <c r="U1593" s="6" t="s">
        <v>13325</v>
      </c>
      <c r="V1593" s="6" t="s">
        <v>81</v>
      </c>
      <c r="W1593" s="6" t="s">
        <v>12860</v>
      </c>
      <c r="X1593" s="6" t="s">
        <v>81</v>
      </c>
      <c r="Y1593" s="21" t="s">
        <v>81</v>
      </c>
      <c r="Z1593" s="6" t="s">
        <v>81</v>
      </c>
      <c r="AA1593" s="6" t="s">
        <v>81</v>
      </c>
      <c r="AB1593" s="6" t="s">
        <v>81</v>
      </c>
      <c r="AC1593" s="6" t="s">
        <v>81</v>
      </c>
      <c r="AD1593" s="21" t="s">
        <v>81</v>
      </c>
      <c r="AE1593" s="6" t="s">
        <v>81</v>
      </c>
      <c r="AF1593" s="6" t="s">
        <v>81</v>
      </c>
      <c r="AG1593" s="6" t="s">
        <v>81</v>
      </c>
      <c r="AH1593" s="6" t="s">
        <v>16160</v>
      </c>
      <c r="AI1593" s="6" t="s">
        <v>81</v>
      </c>
      <c r="AJ1593" s="6" t="s">
        <v>17635</v>
      </c>
      <c r="AK1593" s="6" t="s">
        <v>18379</v>
      </c>
      <c r="AL1593" s="6" t="s">
        <v>18444</v>
      </c>
      <c r="AM1593" s="6" t="s">
        <v>18804</v>
      </c>
      <c r="AN1593" s="6" t="s">
        <v>19637</v>
      </c>
      <c r="AO1593" s="6" t="s">
        <v>19723</v>
      </c>
      <c r="AP1593" s="6" t="s">
        <v>16160</v>
      </c>
      <c r="AQ1593" s="6" t="s">
        <v>81</v>
      </c>
      <c r="AR1593" s="6" t="s">
        <v>17635</v>
      </c>
      <c r="AS1593" s="6" t="s">
        <v>18379</v>
      </c>
      <c r="AT1593" s="6" t="s">
        <v>18444</v>
      </c>
      <c r="AU1593" s="6" t="s">
        <v>18804</v>
      </c>
      <c r="AV1593" s="6" t="s">
        <v>81</v>
      </c>
      <c r="AW1593" s="6" t="s">
        <v>81</v>
      </c>
      <c r="AX1593" s="6" t="s">
        <v>21747</v>
      </c>
      <c r="AY1593" s="6" t="s">
        <v>81</v>
      </c>
      <c r="AZ1593" s="6" t="s">
        <v>81</v>
      </c>
      <c r="BA1593" s="6" t="s">
        <v>81</v>
      </c>
      <c r="BB1593" s="24" t="n">
        <v>158</v>
      </c>
      <c r="BC1593" s="26"/>
      <c r="BD1593" s="26"/>
      <c r="BE1593" s="26"/>
      <c r="BF1593" s="26" t="s">
        <v>23900</v>
      </c>
      <c r="BG1593" s="26"/>
      <c r="BH1593" s="26"/>
      <c r="BI1593" s="26"/>
      <c r="BJ1593" s="26"/>
      <c r="BK1593" s="26"/>
      <c r="BL1593" s="26"/>
      <c r="BM1593" s="26"/>
      <c r="BN1593" s="26"/>
      <c r="BO1593" s="26"/>
      <c r="BP1593" s="16" t="n">
        <v>45663</v>
      </c>
      <c r="BQ1593" s="28" t="str">
        <f>HYPERLINK("https://organic.ams.usda.gov/Integrity/Certificate.aspx?cid=72&amp;nopid=5871578517")</f>
        <v>https://organic.ams.usda.gov/Integrity/Certificate.aspx?cid=72&amp;nopid=5871578517</v>
      </c>
    </row>
    <row r="1594">
      <c r="A1594" t="s">
        <v>3</v>
      </c>
      <c r="B1594" s="6" t="s">
        <v>8</v>
      </c>
      <c r="C1594" s="6" t="s">
        <v>55</v>
      </c>
      <c r="D1594" s="6" t="s">
        <v>101</v>
      </c>
      <c r="E1594" s="10" t="s">
        <v>1735</v>
      </c>
      <c r="F1594" s="6" t="s">
        <v>4457</v>
      </c>
      <c r="G1594" s="6" t="s">
        <v>81</v>
      </c>
      <c r="H1594" s="6" t="s">
        <v>7355</v>
      </c>
      <c r="I1594" s="6" t="s">
        <v>9019</v>
      </c>
      <c r="J1594" s="6" t="s">
        <v>9963</v>
      </c>
      <c r="K1594" s="6" t="s">
        <v>10886</v>
      </c>
      <c r="L1594" s="16" t="n">
        <v>44650</v>
      </c>
      <c r="M1594" s="16" t="n">
        <v>45748</v>
      </c>
      <c r="N1594" s="6" t="s">
        <v>10886</v>
      </c>
      <c r="O1594" s="16" t="n">
        <v>44650</v>
      </c>
      <c r="P1594" s="6" t="s">
        <v>11843</v>
      </c>
      <c r="Q1594" s="6" t="s">
        <v>81</v>
      </c>
      <c r="R1594" s="6" t="s">
        <v>7355</v>
      </c>
      <c r="S1594" s="6" t="s">
        <v>10886</v>
      </c>
      <c r="T1594" s="16" t="n">
        <v>44650</v>
      </c>
      <c r="U1594" s="6" t="s">
        <v>13179</v>
      </c>
      <c r="V1594" s="6" t="s">
        <v>81</v>
      </c>
      <c r="W1594" s="6" t="s">
        <v>7355</v>
      </c>
      <c r="X1594" s="6" t="s">
        <v>81</v>
      </c>
      <c r="Y1594" s="21" t="s">
        <v>81</v>
      </c>
      <c r="Z1594" s="6" t="s">
        <v>81</v>
      </c>
      <c r="AA1594" s="6" t="s">
        <v>81</v>
      </c>
      <c r="AB1594" s="6" t="s">
        <v>81</v>
      </c>
      <c r="AC1594" s="6" t="s">
        <v>81</v>
      </c>
      <c r="AD1594" s="21" t="s">
        <v>81</v>
      </c>
      <c r="AE1594" s="6" t="s">
        <v>81</v>
      </c>
      <c r="AF1594" s="6" t="s">
        <v>81</v>
      </c>
      <c r="AG1594" s="6" t="s">
        <v>81</v>
      </c>
      <c r="AH1594" s="6" t="s">
        <v>16161</v>
      </c>
      <c r="AI1594" s="6" t="s">
        <v>81</v>
      </c>
      <c r="AJ1594" s="6" t="s">
        <v>17829</v>
      </c>
      <c r="AK1594" s="6" t="s">
        <v>18377</v>
      </c>
      <c r="AL1594" s="6" t="s">
        <v>18444</v>
      </c>
      <c r="AM1594" s="6" t="s">
        <v>19009</v>
      </c>
      <c r="AN1594" s="6" t="s">
        <v>19646</v>
      </c>
      <c r="AO1594" s="6" t="s">
        <v>19733</v>
      </c>
      <c r="AP1594" s="6" t="s">
        <v>20301</v>
      </c>
      <c r="AQ1594" s="6" t="s">
        <v>81</v>
      </c>
      <c r="AR1594" s="6" t="s">
        <v>17829</v>
      </c>
      <c r="AS1594" s="6" t="s">
        <v>18377</v>
      </c>
      <c r="AT1594" s="6" t="s">
        <v>18444</v>
      </c>
      <c r="AU1594" s="6" t="s">
        <v>20671</v>
      </c>
      <c r="AV1594" s="6" t="s">
        <v>81</v>
      </c>
      <c r="AW1594" s="6" t="s">
        <v>81</v>
      </c>
      <c r="AX1594" s="6" t="s">
        <v>81</v>
      </c>
      <c r="AY1594" s="6" t="s">
        <v>23127</v>
      </c>
      <c r="AZ1594" s="6" t="s">
        <v>81</v>
      </c>
      <c r="BA1594" s="6" t="s">
        <v>23819</v>
      </c>
      <c r="BB1594" s="24" t="n">
        <v>441</v>
      </c>
      <c r="BC1594" s="26"/>
      <c r="BD1594" s="26"/>
      <c r="BE1594" s="26"/>
      <c r="BF1594" s="26" t="s">
        <v>23900</v>
      </c>
      <c r="BG1594" s="26"/>
      <c r="BH1594" s="26"/>
      <c r="BI1594" s="26"/>
      <c r="BJ1594" s="26"/>
      <c r="BK1594" s="26"/>
      <c r="BL1594" s="26"/>
      <c r="BM1594" s="26"/>
      <c r="BN1594" s="26"/>
      <c r="BO1594" s="26"/>
      <c r="BP1594" s="16" t="n">
        <v>45541</v>
      </c>
      <c r="BQ1594" s="28" t="str">
        <f>HYPERLINK("https://organic.ams.usda.gov/Integrity/Certificate.aspx?cid=45&amp;nopid=9950013183")</f>
        <v>https://organic.ams.usda.gov/Integrity/Certificate.aspx?cid=45&amp;nopid=9950013183</v>
      </c>
    </row>
    <row r="1595">
      <c r="A1595" t="s">
        <v>3</v>
      </c>
      <c r="B1595" s="6" t="s">
        <v>7</v>
      </c>
      <c r="C1595" s="6" t="s">
        <v>54</v>
      </c>
      <c r="D1595" s="6" t="s">
        <v>100</v>
      </c>
      <c r="E1595" s="10" t="s">
        <v>1736</v>
      </c>
      <c r="F1595" s="6" t="s">
        <v>4458</v>
      </c>
      <c r="G1595" s="6" t="s">
        <v>81</v>
      </c>
      <c r="H1595" s="6" t="s">
        <v>7356</v>
      </c>
      <c r="I1595" s="6" t="s">
        <v>9019</v>
      </c>
      <c r="J1595" s="6" t="s">
        <v>9664</v>
      </c>
      <c r="K1595" s="6" t="s">
        <v>10886</v>
      </c>
      <c r="L1595" s="16" t="n">
        <v>45128</v>
      </c>
      <c r="M1595" s="16" t="n">
        <v>45716</v>
      </c>
      <c r="N1595" s="6" t="s">
        <v>10886</v>
      </c>
      <c r="O1595" s="16" t="n">
        <v>45128</v>
      </c>
      <c r="P1595" s="6" t="s">
        <v>11031</v>
      </c>
      <c r="Q1595" s="6" t="s">
        <v>81</v>
      </c>
      <c r="R1595" s="6" t="s">
        <v>81</v>
      </c>
      <c r="S1595" s="6" t="s">
        <v>10886</v>
      </c>
      <c r="T1595" s="16" t="n">
        <v>45128</v>
      </c>
      <c r="U1595" s="6" t="s">
        <v>13169</v>
      </c>
      <c r="V1595" s="6" t="s">
        <v>81</v>
      </c>
      <c r="W1595" s="6" t="s">
        <v>81</v>
      </c>
      <c r="X1595" s="6" t="s">
        <v>81</v>
      </c>
      <c r="Y1595" s="21" t="s">
        <v>81</v>
      </c>
      <c r="Z1595" s="6" t="s">
        <v>81</v>
      </c>
      <c r="AA1595" s="6" t="s">
        <v>81</v>
      </c>
      <c r="AB1595" s="6" t="s">
        <v>81</v>
      </c>
      <c r="AC1595" s="6" t="s">
        <v>81</v>
      </c>
      <c r="AD1595" s="21" t="s">
        <v>81</v>
      </c>
      <c r="AE1595" s="6" t="s">
        <v>81</v>
      </c>
      <c r="AF1595" s="6" t="s">
        <v>81</v>
      </c>
      <c r="AG1595" s="6" t="s">
        <v>81</v>
      </c>
      <c r="AH1595" s="6" t="s">
        <v>16162</v>
      </c>
      <c r="AI1595" s="6" t="s">
        <v>81</v>
      </c>
      <c r="AJ1595" s="6" t="s">
        <v>18048</v>
      </c>
      <c r="AK1595" s="6" t="s">
        <v>18380</v>
      </c>
      <c r="AL1595" s="6" t="s">
        <v>18444</v>
      </c>
      <c r="AM1595" s="6" t="s">
        <v>19242</v>
      </c>
      <c r="AN1595" s="6" t="s">
        <v>81</v>
      </c>
      <c r="AO1595" s="6" t="s">
        <v>81</v>
      </c>
      <c r="AP1595" s="6" t="s">
        <v>16162</v>
      </c>
      <c r="AQ1595" s="6" t="s">
        <v>81</v>
      </c>
      <c r="AR1595" s="6" t="s">
        <v>18048</v>
      </c>
      <c r="AS1595" s="6" t="s">
        <v>18380</v>
      </c>
      <c r="AT1595" s="6" t="s">
        <v>18444</v>
      </c>
      <c r="AU1595" s="6" t="s">
        <v>19242</v>
      </c>
      <c r="AV1595" s="6" t="s">
        <v>81</v>
      </c>
      <c r="AW1595" s="6" t="s">
        <v>81</v>
      </c>
      <c r="AX1595" s="6" t="s">
        <v>21748</v>
      </c>
      <c r="AY1595" s="6" t="s">
        <v>81</v>
      </c>
      <c r="AZ1595" s="6" t="s">
        <v>81</v>
      </c>
      <c r="BA1595" s="6" t="s">
        <v>81</v>
      </c>
      <c r="BB1595" s="24" t="n">
        <v>58</v>
      </c>
      <c r="BC1595" s="26"/>
      <c r="BD1595" s="26"/>
      <c r="BE1595" s="26"/>
      <c r="BF1595" s="26"/>
      <c r="BG1595" s="26"/>
      <c r="BH1595" s="26"/>
      <c r="BI1595" s="26"/>
      <c r="BJ1595" s="26"/>
      <c r="BK1595" s="26"/>
      <c r="BL1595" s="26"/>
      <c r="BM1595" s="26"/>
      <c r="BN1595" s="26"/>
      <c r="BO1595" s="26"/>
      <c r="BP1595" s="16" t="n">
        <v>45595</v>
      </c>
      <c r="BQ1595" s="28" t="str">
        <f>HYPERLINK("https://organic.ams.usda.gov/Integrity/Certificate.aspx?cid=57&amp;nopid=3252023021")</f>
        <v>https://organic.ams.usda.gov/Integrity/Certificate.aspx?cid=57&amp;nopid=3252023021</v>
      </c>
    </row>
    <row r="1596">
      <c r="A1596" t="s">
        <v>3</v>
      </c>
      <c r="B1596" s="6" t="s">
        <v>25</v>
      </c>
      <c r="C1596" s="6" t="s">
        <v>72</v>
      </c>
      <c r="D1596" s="6" t="s">
        <v>118</v>
      </c>
      <c r="E1596" s="10" t="s">
        <v>1737</v>
      </c>
      <c r="F1596" s="6" t="s">
        <v>4459</v>
      </c>
      <c r="G1596" s="6" t="s">
        <v>81</v>
      </c>
      <c r="H1596" s="6" t="s">
        <v>7357</v>
      </c>
      <c r="I1596" s="6" t="s">
        <v>8651</v>
      </c>
      <c r="J1596" s="6" t="s">
        <v>10395</v>
      </c>
      <c r="K1596" s="6" t="s">
        <v>10886</v>
      </c>
      <c r="L1596" s="16" t="n">
        <v>38888</v>
      </c>
      <c r="M1596" s="16" t="n">
        <v>46023</v>
      </c>
      <c r="N1596" s="6" t="s">
        <v>10886</v>
      </c>
      <c r="O1596" s="16" t="n">
        <v>38888</v>
      </c>
      <c r="P1596" s="6" t="s">
        <v>11076</v>
      </c>
      <c r="Q1596" s="6" t="s">
        <v>81</v>
      </c>
      <c r="R1596" s="6" t="s">
        <v>81</v>
      </c>
      <c r="S1596" s="6" t="s">
        <v>10886</v>
      </c>
      <c r="T1596" s="16" t="n">
        <v>38888</v>
      </c>
      <c r="U1596" s="6" t="s">
        <v>13664</v>
      </c>
      <c r="V1596" s="6" t="s">
        <v>81</v>
      </c>
      <c r="W1596" s="6" t="s">
        <v>81</v>
      </c>
      <c r="X1596" s="6" t="s">
        <v>81</v>
      </c>
      <c r="Y1596" s="21" t="s">
        <v>81</v>
      </c>
      <c r="Z1596" s="6" t="s">
        <v>81</v>
      </c>
      <c r="AA1596" s="6" t="s">
        <v>81</v>
      </c>
      <c r="AB1596" s="6" t="s">
        <v>81</v>
      </c>
      <c r="AC1596" s="6" t="s">
        <v>10886</v>
      </c>
      <c r="AD1596" s="16" t="n">
        <v>44733</v>
      </c>
      <c r="AE1596" s="6" t="s">
        <v>14081</v>
      </c>
      <c r="AF1596" s="6" t="s">
        <v>81</v>
      </c>
      <c r="AG1596" s="6" t="s">
        <v>81</v>
      </c>
      <c r="AH1596" s="6" t="s">
        <v>16163</v>
      </c>
      <c r="AI1596" s="6" t="s">
        <v>81</v>
      </c>
      <c r="AJ1596" s="6" t="s">
        <v>17506</v>
      </c>
      <c r="AK1596" s="6" t="s">
        <v>18386</v>
      </c>
      <c r="AL1596" s="6" t="s">
        <v>18444</v>
      </c>
      <c r="AM1596" s="6" t="s">
        <v>18667</v>
      </c>
      <c r="AN1596" s="6" t="s">
        <v>19651</v>
      </c>
      <c r="AO1596" s="6" t="s">
        <v>19864</v>
      </c>
      <c r="AP1596" s="6" t="s">
        <v>16163</v>
      </c>
      <c r="AQ1596" s="6" t="s">
        <v>81</v>
      </c>
      <c r="AR1596" s="6" t="s">
        <v>17506</v>
      </c>
      <c r="AS1596" s="6" t="s">
        <v>18386</v>
      </c>
      <c r="AT1596" s="6" t="s">
        <v>18444</v>
      </c>
      <c r="AU1596" s="6" t="s">
        <v>18667</v>
      </c>
      <c r="AV1596" s="6" t="s">
        <v>81</v>
      </c>
      <c r="AW1596" s="6" t="s">
        <v>81</v>
      </c>
      <c r="AX1596" s="6" t="s">
        <v>21749</v>
      </c>
      <c r="AY1596" s="6" t="s">
        <v>23128</v>
      </c>
      <c r="AZ1596" s="6" t="s">
        <v>81</v>
      </c>
      <c r="BA1596" s="6" t="s">
        <v>81</v>
      </c>
      <c r="BB1596" s="24" t="n">
        <v>269</v>
      </c>
      <c r="BC1596" s="26"/>
      <c r="BD1596" s="26"/>
      <c r="BE1596" s="26"/>
      <c r="BF1596" s="26"/>
      <c r="BG1596" s="26"/>
      <c r="BH1596" s="26"/>
      <c r="BI1596" s="26"/>
      <c r="BJ1596" s="26"/>
      <c r="BK1596" s="26"/>
      <c r="BL1596" s="26"/>
      <c r="BM1596" s="26"/>
      <c r="BN1596" s="26"/>
      <c r="BO1596" s="26"/>
      <c r="BP1596" s="16" t="n">
        <v>45667</v>
      </c>
      <c r="BQ1596" s="28" t="str">
        <f>HYPERLINK("https://organic.ams.usda.gov/Integrity/Certificate.aspx?cid=15&amp;nopid=5561000998")</f>
        <v>https://organic.ams.usda.gov/Integrity/Certificate.aspx?cid=15&amp;nopid=5561000998</v>
      </c>
    </row>
    <row r="1597">
      <c r="A1597" t="s">
        <v>3</v>
      </c>
      <c r="B1597" s="6" t="s">
        <v>12</v>
      </c>
      <c r="C1597" s="6" t="s">
        <v>59</v>
      </c>
      <c r="D1597" s="6" t="s">
        <v>105</v>
      </c>
      <c r="E1597" s="10" t="s">
        <v>1738</v>
      </c>
      <c r="F1597" s="6" t="s">
        <v>4460</v>
      </c>
      <c r="G1597" s="6" t="s">
        <v>81</v>
      </c>
      <c r="H1597" s="6" t="s">
        <v>7358</v>
      </c>
      <c r="I1597" s="6" t="s">
        <v>9199</v>
      </c>
      <c r="J1597" s="6" t="s">
        <v>9683</v>
      </c>
      <c r="K1597" s="6" t="s">
        <v>10886</v>
      </c>
      <c r="L1597" s="16" t="n">
        <v>41856</v>
      </c>
      <c r="M1597" s="16" t="n">
        <v>45717</v>
      </c>
      <c r="N1597" s="6" t="s">
        <v>10886</v>
      </c>
      <c r="O1597" s="16" t="n">
        <v>41856</v>
      </c>
      <c r="P1597" s="6" t="s">
        <v>11844</v>
      </c>
      <c r="Q1597" s="6" t="s">
        <v>81</v>
      </c>
      <c r="R1597" s="6" t="s">
        <v>81</v>
      </c>
      <c r="S1597" s="6" t="s">
        <v>10886</v>
      </c>
      <c r="T1597" s="16" t="n">
        <v>41856</v>
      </c>
      <c r="U1597" s="6" t="s">
        <v>13187</v>
      </c>
      <c r="V1597" s="6" t="s">
        <v>81</v>
      </c>
      <c r="W1597" s="6" t="s">
        <v>81</v>
      </c>
      <c r="X1597" s="6" t="s">
        <v>81</v>
      </c>
      <c r="Y1597" s="21" t="s">
        <v>81</v>
      </c>
      <c r="Z1597" s="6" t="s">
        <v>81</v>
      </c>
      <c r="AA1597" s="6" t="s">
        <v>81</v>
      </c>
      <c r="AB1597" s="6" t="s">
        <v>81</v>
      </c>
      <c r="AC1597" s="6" t="s">
        <v>81</v>
      </c>
      <c r="AD1597" s="21" t="s">
        <v>81</v>
      </c>
      <c r="AE1597" s="6" t="s">
        <v>81</v>
      </c>
      <c r="AF1597" s="6" t="s">
        <v>81</v>
      </c>
      <c r="AG1597" s="6" t="s">
        <v>81</v>
      </c>
      <c r="AH1597" s="6" t="s">
        <v>16164</v>
      </c>
      <c r="AI1597" s="6" t="s">
        <v>81</v>
      </c>
      <c r="AJ1597" s="6" t="s">
        <v>17743</v>
      </c>
      <c r="AK1597" s="6" t="s">
        <v>18380</v>
      </c>
      <c r="AL1597" s="6" t="s">
        <v>18444</v>
      </c>
      <c r="AM1597" s="6" t="s">
        <v>18911</v>
      </c>
      <c r="AN1597" s="6" t="s">
        <v>19637</v>
      </c>
      <c r="AO1597" s="6" t="s">
        <v>19904</v>
      </c>
      <c r="AP1597" s="6" t="s">
        <v>16164</v>
      </c>
      <c r="AQ1597" s="6" t="s">
        <v>81</v>
      </c>
      <c r="AR1597" s="6" t="s">
        <v>17743</v>
      </c>
      <c r="AS1597" s="6" t="s">
        <v>18380</v>
      </c>
      <c r="AT1597" s="6" t="s">
        <v>18444</v>
      </c>
      <c r="AU1597" s="6" t="s">
        <v>18911</v>
      </c>
      <c r="AV1597" s="6" t="s">
        <v>81</v>
      </c>
      <c r="AW1597" s="6" t="s">
        <v>81</v>
      </c>
      <c r="AX1597" s="6" t="s">
        <v>81</v>
      </c>
      <c r="AY1597" s="6" t="s">
        <v>81</v>
      </c>
      <c r="AZ1597" s="6" t="s">
        <v>81</v>
      </c>
      <c r="BA1597" s="6" t="s">
        <v>81</v>
      </c>
      <c r="BB1597" s="24" t="n">
        <v>95</v>
      </c>
      <c r="BC1597" s="26"/>
      <c r="BD1597" s="26"/>
      <c r="BE1597" s="26"/>
      <c r="BF1597" s="26"/>
      <c r="BG1597" s="26"/>
      <c r="BH1597" s="26"/>
      <c r="BI1597" s="26"/>
      <c r="BJ1597" s="26"/>
      <c r="BK1597" s="26"/>
      <c r="BL1597" s="26"/>
      <c r="BM1597" s="26"/>
      <c r="BN1597" s="26"/>
      <c r="BO1597" s="26"/>
      <c r="BP1597" s="16" t="n">
        <v>45734</v>
      </c>
      <c r="BQ1597" s="28" t="str">
        <f>HYPERLINK("https://organic.ams.usda.gov/Integrity/Certificate.aspx?cid=68&amp;nopid=8210003040")</f>
        <v>https://organic.ams.usda.gov/Integrity/Certificate.aspx?cid=68&amp;nopid=8210003040</v>
      </c>
    </row>
    <row r="1598">
      <c r="A1598" t="s">
        <v>3</v>
      </c>
      <c r="B1598" s="6" t="s">
        <v>30</v>
      </c>
      <c r="C1598" s="6" t="s">
        <v>77</v>
      </c>
      <c r="D1598" s="6" t="s">
        <v>123</v>
      </c>
      <c r="E1598" s="10" t="s">
        <v>1739</v>
      </c>
      <c r="F1598" s="6" t="s">
        <v>4461</v>
      </c>
      <c r="G1598" s="6" t="s">
        <v>81</v>
      </c>
      <c r="H1598" s="6" t="s">
        <v>7359</v>
      </c>
      <c r="I1598" s="6" t="s">
        <v>9200</v>
      </c>
      <c r="J1598" s="6" t="s">
        <v>9233</v>
      </c>
      <c r="K1598" s="6" t="s">
        <v>10886</v>
      </c>
      <c r="L1598" s="16" t="n">
        <v>40920</v>
      </c>
      <c r="M1598" s="16" t="n">
        <v>45747</v>
      </c>
      <c r="N1598" s="6" t="s">
        <v>10886</v>
      </c>
      <c r="O1598" s="16" t="n">
        <v>40920</v>
      </c>
      <c r="P1598" s="6" t="s">
        <v>11845</v>
      </c>
      <c r="Q1598" s="6" t="s">
        <v>81</v>
      </c>
      <c r="R1598" s="6" t="s">
        <v>12861</v>
      </c>
      <c r="S1598" s="6" t="s">
        <v>10886</v>
      </c>
      <c r="T1598" s="16" t="n">
        <v>40920</v>
      </c>
      <c r="U1598" s="6" t="s">
        <v>13216</v>
      </c>
      <c r="V1598" s="6" t="s">
        <v>81</v>
      </c>
      <c r="W1598" s="6" t="s">
        <v>7359</v>
      </c>
      <c r="X1598" s="6" t="s">
        <v>81</v>
      </c>
      <c r="Y1598" s="21" t="s">
        <v>81</v>
      </c>
      <c r="Z1598" s="6" t="s">
        <v>81</v>
      </c>
      <c r="AA1598" s="6" t="s">
        <v>81</v>
      </c>
      <c r="AB1598" s="6" t="s">
        <v>81</v>
      </c>
      <c r="AC1598" s="6" t="s">
        <v>81</v>
      </c>
      <c r="AD1598" s="21" t="s">
        <v>81</v>
      </c>
      <c r="AE1598" s="6" t="s">
        <v>81</v>
      </c>
      <c r="AF1598" s="6" t="s">
        <v>81</v>
      </c>
      <c r="AG1598" s="6" t="s">
        <v>81</v>
      </c>
      <c r="AH1598" s="6" t="s">
        <v>16165</v>
      </c>
      <c r="AI1598" s="6" t="s">
        <v>81</v>
      </c>
      <c r="AJ1598" s="6" t="s">
        <v>18049</v>
      </c>
      <c r="AK1598" s="6" t="s">
        <v>17712</v>
      </c>
      <c r="AL1598" s="6" t="s">
        <v>18444</v>
      </c>
      <c r="AM1598" s="6" t="s">
        <v>19243</v>
      </c>
      <c r="AN1598" s="6" t="s">
        <v>19657</v>
      </c>
      <c r="AO1598" s="6" t="s">
        <v>19751</v>
      </c>
      <c r="AP1598" s="6" t="s">
        <v>16165</v>
      </c>
      <c r="AQ1598" s="6" t="s">
        <v>81</v>
      </c>
      <c r="AR1598" s="6" t="s">
        <v>18049</v>
      </c>
      <c r="AS1598" s="6" t="s">
        <v>17712</v>
      </c>
      <c r="AT1598" s="6" t="s">
        <v>18444</v>
      </c>
      <c r="AU1598" s="6" t="s">
        <v>19243</v>
      </c>
      <c r="AV1598" s="6" t="s">
        <v>81</v>
      </c>
      <c r="AW1598" s="6" t="s">
        <v>81</v>
      </c>
      <c r="AX1598" s="6" t="s">
        <v>21750</v>
      </c>
      <c r="AY1598" s="6" t="s">
        <v>81</v>
      </c>
      <c r="AZ1598" s="6" t="s">
        <v>81</v>
      </c>
      <c r="BA1598" s="6" t="s">
        <v>81</v>
      </c>
      <c r="BB1598" s="24" t="n">
        <v>346</v>
      </c>
      <c r="BC1598" s="26"/>
      <c r="BD1598" s="26"/>
      <c r="BE1598" s="26"/>
      <c r="BF1598" s="26"/>
      <c r="BG1598" s="26"/>
      <c r="BH1598" s="26"/>
      <c r="BI1598" s="26"/>
      <c r="BJ1598" s="26"/>
      <c r="BK1598" s="26"/>
      <c r="BL1598" s="26"/>
      <c r="BM1598" s="26"/>
      <c r="BN1598" s="26"/>
      <c r="BO1598" s="26"/>
      <c r="BP1598" s="16" t="n">
        <v>45616</v>
      </c>
      <c r="BQ1598" s="28" t="str">
        <f>HYPERLINK("https://organic.ams.usda.gov/Integrity/Certificate.aspx?cid=70&amp;nopid=6431144900")</f>
        <v>https://organic.ams.usda.gov/Integrity/Certificate.aspx?cid=70&amp;nopid=6431144900</v>
      </c>
    </row>
    <row r="1599">
      <c r="A1599" t="s">
        <v>3</v>
      </c>
      <c r="B1599" s="6" t="s">
        <v>12</v>
      </c>
      <c r="C1599" s="6" t="s">
        <v>59</v>
      </c>
      <c r="D1599" s="6" t="s">
        <v>105</v>
      </c>
      <c r="E1599" s="10" t="s">
        <v>1740</v>
      </c>
      <c r="F1599" s="6" t="s">
        <v>4462</v>
      </c>
      <c r="G1599" s="6" t="s">
        <v>81</v>
      </c>
      <c r="H1599" s="6" t="s">
        <v>7360</v>
      </c>
      <c r="I1599" s="6" t="s">
        <v>9201</v>
      </c>
      <c r="J1599" s="6" t="s">
        <v>10160</v>
      </c>
      <c r="K1599" s="6" t="s">
        <v>10886</v>
      </c>
      <c r="L1599" s="16" t="n">
        <v>42863</v>
      </c>
      <c r="M1599" s="16" t="n">
        <v>45717</v>
      </c>
      <c r="N1599" s="6" t="s">
        <v>10886</v>
      </c>
      <c r="O1599" s="16" t="n">
        <v>42863</v>
      </c>
      <c r="P1599" s="6" t="s">
        <v>11846</v>
      </c>
      <c r="Q1599" s="6" t="s">
        <v>81</v>
      </c>
      <c r="R1599" s="6" t="s">
        <v>81</v>
      </c>
      <c r="S1599" s="6" t="s">
        <v>10886</v>
      </c>
      <c r="T1599" s="16" t="n">
        <v>43412</v>
      </c>
      <c r="U1599" s="6" t="s">
        <v>13171</v>
      </c>
      <c r="V1599" s="6" t="s">
        <v>81</v>
      </c>
      <c r="W1599" s="6" t="s">
        <v>81</v>
      </c>
      <c r="X1599" s="6" t="s">
        <v>81</v>
      </c>
      <c r="Y1599" s="21" t="s">
        <v>81</v>
      </c>
      <c r="Z1599" s="6" t="s">
        <v>81</v>
      </c>
      <c r="AA1599" s="6" t="s">
        <v>81</v>
      </c>
      <c r="AB1599" s="6" t="s">
        <v>81</v>
      </c>
      <c r="AC1599" s="6" t="s">
        <v>81</v>
      </c>
      <c r="AD1599" s="21" t="s">
        <v>81</v>
      </c>
      <c r="AE1599" s="6" t="s">
        <v>81</v>
      </c>
      <c r="AF1599" s="6" t="s">
        <v>81</v>
      </c>
      <c r="AG1599" s="6" t="s">
        <v>81</v>
      </c>
      <c r="AH1599" s="6" t="s">
        <v>16166</v>
      </c>
      <c r="AI1599" s="6" t="s">
        <v>81</v>
      </c>
      <c r="AJ1599" s="6" t="s">
        <v>17347</v>
      </c>
      <c r="AK1599" s="6" t="s">
        <v>17712</v>
      </c>
      <c r="AL1599" s="6" t="s">
        <v>18444</v>
      </c>
      <c r="AM1599" s="6" t="s">
        <v>18659</v>
      </c>
      <c r="AN1599" s="6" t="s">
        <v>19634</v>
      </c>
      <c r="AO1599" s="6" t="s">
        <v>19719</v>
      </c>
      <c r="AP1599" s="6" t="s">
        <v>16166</v>
      </c>
      <c r="AQ1599" s="6" t="s">
        <v>81</v>
      </c>
      <c r="AR1599" s="6" t="s">
        <v>17347</v>
      </c>
      <c r="AS1599" s="6" t="s">
        <v>17712</v>
      </c>
      <c r="AT1599" s="6" t="s">
        <v>18444</v>
      </c>
      <c r="AU1599" s="6" t="s">
        <v>18659</v>
      </c>
      <c r="AV1599" s="6" t="s">
        <v>81</v>
      </c>
      <c r="AW1599" s="6" t="s">
        <v>81</v>
      </c>
      <c r="AX1599" s="6" t="s">
        <v>21751</v>
      </c>
      <c r="AY1599" s="6" t="s">
        <v>81</v>
      </c>
      <c r="AZ1599" s="6" t="s">
        <v>81</v>
      </c>
      <c r="BA1599" s="6" t="s">
        <v>81</v>
      </c>
      <c r="BB1599" s="24" t="n">
        <v>210</v>
      </c>
      <c r="BC1599" s="26"/>
      <c r="BD1599" s="26"/>
      <c r="BE1599" s="26"/>
      <c r="BF1599" s="26"/>
      <c r="BG1599" s="26"/>
      <c r="BH1599" s="26"/>
      <c r="BI1599" s="26"/>
      <c r="BJ1599" s="26"/>
      <c r="BK1599" s="26"/>
      <c r="BL1599" s="26"/>
      <c r="BM1599" s="26"/>
      <c r="BN1599" s="26"/>
      <c r="BO1599" s="26"/>
      <c r="BP1599" s="16" t="n">
        <v>45684</v>
      </c>
      <c r="BQ1599" s="28" t="str">
        <f>HYPERLINK("https://organic.ams.usda.gov/Integrity/Certificate.aspx?cid=68&amp;nopid=8210003042")</f>
        <v>https://organic.ams.usda.gov/Integrity/Certificate.aspx?cid=68&amp;nopid=8210003042</v>
      </c>
    </row>
    <row r="1600">
      <c r="A1600" t="s">
        <v>3</v>
      </c>
      <c r="B1600" s="6" t="s">
        <v>30</v>
      </c>
      <c r="C1600" s="6" t="s">
        <v>77</v>
      </c>
      <c r="D1600" s="6" t="s">
        <v>123</v>
      </c>
      <c r="E1600" s="10" t="s">
        <v>1741</v>
      </c>
      <c r="F1600" s="6" t="s">
        <v>4463</v>
      </c>
      <c r="G1600" s="6" t="s">
        <v>81</v>
      </c>
      <c r="H1600" s="6" t="s">
        <v>7361</v>
      </c>
      <c r="I1600" s="6" t="s">
        <v>9202</v>
      </c>
      <c r="J1600" s="6" t="s">
        <v>9763</v>
      </c>
      <c r="K1600" s="6" t="s">
        <v>10886</v>
      </c>
      <c r="L1600" s="16" t="n">
        <v>40865</v>
      </c>
      <c r="M1600" s="16" t="n">
        <v>45747</v>
      </c>
      <c r="N1600" s="6" t="s">
        <v>10886</v>
      </c>
      <c r="O1600" s="16" t="n">
        <v>40865</v>
      </c>
      <c r="P1600" s="6" t="s">
        <v>11847</v>
      </c>
      <c r="Q1600" s="6" t="s">
        <v>81</v>
      </c>
      <c r="R1600" s="6" t="s">
        <v>12862</v>
      </c>
      <c r="S1600" s="6" t="s">
        <v>10886</v>
      </c>
      <c r="T1600" s="16" t="n">
        <v>40865</v>
      </c>
      <c r="U1600" s="6" t="s">
        <v>13231</v>
      </c>
      <c r="V1600" s="6" t="s">
        <v>81</v>
      </c>
      <c r="W1600" s="6" t="s">
        <v>7361</v>
      </c>
      <c r="X1600" s="6" t="s">
        <v>81</v>
      </c>
      <c r="Y1600" s="21" t="s">
        <v>81</v>
      </c>
      <c r="Z1600" s="6" t="s">
        <v>81</v>
      </c>
      <c r="AA1600" s="6" t="s">
        <v>81</v>
      </c>
      <c r="AB1600" s="6" t="s">
        <v>81</v>
      </c>
      <c r="AC1600" s="6" t="s">
        <v>81</v>
      </c>
      <c r="AD1600" s="21" t="s">
        <v>81</v>
      </c>
      <c r="AE1600" s="6" t="s">
        <v>81</v>
      </c>
      <c r="AF1600" s="6" t="s">
        <v>81</v>
      </c>
      <c r="AG1600" s="6" t="s">
        <v>81</v>
      </c>
      <c r="AH1600" s="6" t="s">
        <v>16167</v>
      </c>
      <c r="AI1600" s="6" t="s">
        <v>81</v>
      </c>
      <c r="AJ1600" s="6" t="s">
        <v>17311</v>
      </c>
      <c r="AK1600" s="6" t="s">
        <v>17712</v>
      </c>
      <c r="AL1600" s="6" t="s">
        <v>18444</v>
      </c>
      <c r="AM1600" s="6" t="s">
        <v>18463</v>
      </c>
      <c r="AN1600" s="6" t="s">
        <v>19634</v>
      </c>
      <c r="AO1600" s="6" t="s">
        <v>19719</v>
      </c>
      <c r="AP1600" s="6" t="s">
        <v>16167</v>
      </c>
      <c r="AQ1600" s="6" t="s">
        <v>81</v>
      </c>
      <c r="AR1600" s="6" t="s">
        <v>17311</v>
      </c>
      <c r="AS1600" s="6" t="s">
        <v>17712</v>
      </c>
      <c r="AT1600" s="6" t="s">
        <v>18444</v>
      </c>
      <c r="AU1600" s="6" t="s">
        <v>18463</v>
      </c>
      <c r="AV1600" s="6" t="s">
        <v>81</v>
      </c>
      <c r="AW1600" s="6" t="s">
        <v>81</v>
      </c>
      <c r="AX1600" s="6" t="s">
        <v>21752</v>
      </c>
      <c r="AY1600" s="6" t="s">
        <v>81</v>
      </c>
      <c r="AZ1600" s="6" t="s">
        <v>81</v>
      </c>
      <c r="BA1600" s="6" t="s">
        <v>81</v>
      </c>
      <c r="BB1600" s="24" t="n">
        <v>175</v>
      </c>
      <c r="BC1600" s="26"/>
      <c r="BD1600" s="26"/>
      <c r="BE1600" s="26"/>
      <c r="BF1600" s="26"/>
      <c r="BG1600" s="26"/>
      <c r="BH1600" s="26"/>
      <c r="BI1600" s="26"/>
      <c r="BJ1600" s="26"/>
      <c r="BK1600" s="26"/>
      <c r="BL1600" s="26"/>
      <c r="BM1600" s="26"/>
      <c r="BN1600" s="26"/>
      <c r="BO1600" s="26"/>
      <c r="BP1600" s="16" t="n">
        <v>45649</v>
      </c>
      <c r="BQ1600" s="28" t="str">
        <f>HYPERLINK("https://organic.ams.usda.gov/Integrity/Certificate.aspx?cid=70&amp;nopid=6431142400")</f>
        <v>https://organic.ams.usda.gov/Integrity/Certificate.aspx?cid=70&amp;nopid=6431142400</v>
      </c>
    </row>
    <row r="1601">
      <c r="A1601" t="s">
        <v>3</v>
      </c>
      <c r="B1601" s="6" t="s">
        <v>22</v>
      </c>
      <c r="C1601" s="6" t="s">
        <v>69</v>
      </c>
      <c r="D1601" s="6" t="s">
        <v>115</v>
      </c>
      <c r="E1601" s="10" t="s">
        <v>1742</v>
      </c>
      <c r="F1601" s="6" t="s">
        <v>4464</v>
      </c>
      <c r="G1601" s="6" t="s">
        <v>81</v>
      </c>
      <c r="H1601" s="6" t="s">
        <v>7362</v>
      </c>
      <c r="I1601" s="6" t="s">
        <v>9203</v>
      </c>
      <c r="J1601" s="6" t="s">
        <v>10396</v>
      </c>
      <c r="K1601" s="6" t="s">
        <v>10886</v>
      </c>
      <c r="L1601" s="16" t="n">
        <v>42129</v>
      </c>
      <c r="M1601" s="16" t="n">
        <v>45922</v>
      </c>
      <c r="N1601" s="6" t="s">
        <v>10886</v>
      </c>
      <c r="O1601" s="16" t="n">
        <v>42129</v>
      </c>
      <c r="P1601" s="6" t="s">
        <v>11064</v>
      </c>
      <c r="Q1601" s="6" t="s">
        <v>81</v>
      </c>
      <c r="R1601" s="6" t="s">
        <v>81</v>
      </c>
      <c r="S1601" s="6" t="s">
        <v>81</v>
      </c>
      <c r="T1601" s="21" t="s">
        <v>81</v>
      </c>
      <c r="U1601" s="6" t="s">
        <v>81</v>
      </c>
      <c r="V1601" s="6" t="s">
        <v>81</v>
      </c>
      <c r="W1601" s="6" t="s">
        <v>81</v>
      </c>
      <c r="X1601" s="6" t="s">
        <v>81</v>
      </c>
      <c r="Y1601" s="21" t="s">
        <v>81</v>
      </c>
      <c r="Z1601" s="6" t="s">
        <v>81</v>
      </c>
      <c r="AA1601" s="6" t="s">
        <v>81</v>
      </c>
      <c r="AB1601" s="6" t="s">
        <v>81</v>
      </c>
      <c r="AC1601" s="6" t="s">
        <v>10886</v>
      </c>
      <c r="AD1601" s="16" t="n">
        <v>42129</v>
      </c>
      <c r="AE1601" s="6" t="s">
        <v>14292</v>
      </c>
      <c r="AF1601" s="6" t="s">
        <v>81</v>
      </c>
      <c r="AG1601" s="6" t="s">
        <v>81</v>
      </c>
      <c r="AH1601" s="6" t="s">
        <v>16168</v>
      </c>
      <c r="AI1601" s="6" t="s">
        <v>81</v>
      </c>
      <c r="AJ1601" s="6" t="s">
        <v>17276</v>
      </c>
      <c r="AK1601" s="6" t="s">
        <v>18401</v>
      </c>
      <c r="AL1601" s="6" t="s">
        <v>18447</v>
      </c>
      <c r="AM1601" s="6" t="s">
        <v>81</v>
      </c>
      <c r="AN1601" s="6" t="s">
        <v>81</v>
      </c>
      <c r="AO1601" s="6" t="s">
        <v>81</v>
      </c>
      <c r="AP1601" s="6" t="s">
        <v>16168</v>
      </c>
      <c r="AQ1601" s="6" t="s">
        <v>81</v>
      </c>
      <c r="AR1601" s="6" t="s">
        <v>17276</v>
      </c>
      <c r="AS1601" s="6" t="s">
        <v>18401</v>
      </c>
      <c r="AT1601" s="6" t="s">
        <v>18447</v>
      </c>
      <c r="AU1601" s="6" t="s">
        <v>81</v>
      </c>
      <c r="AV1601" s="6" t="s">
        <v>81</v>
      </c>
      <c r="AW1601" s="6" t="s">
        <v>81</v>
      </c>
      <c r="AX1601" s="6" t="s">
        <v>21753</v>
      </c>
      <c r="AY1601" s="6" t="s">
        <v>23129</v>
      </c>
      <c r="AZ1601" s="6" t="s">
        <v>81</v>
      </c>
      <c r="BA1601" s="6" t="s">
        <v>81</v>
      </c>
      <c r="BB1601" s="24" t="n">
        <v>17500</v>
      </c>
      <c r="BC1601" s="26"/>
      <c r="BD1601" s="26"/>
      <c r="BE1601" s="26"/>
      <c r="BF1601" s="26"/>
      <c r="BG1601" s="26"/>
      <c r="BH1601" s="26"/>
      <c r="BI1601" s="26"/>
      <c r="BJ1601" s="26"/>
      <c r="BK1601" s="26"/>
      <c r="BL1601" s="26"/>
      <c r="BM1601" s="26"/>
      <c r="BN1601" s="26"/>
      <c r="BO1601" s="26" t="s">
        <v>23900</v>
      </c>
      <c r="BP1601" s="16" t="n">
        <v>45702</v>
      </c>
      <c r="BQ1601" s="28" t="str">
        <f>HYPERLINK("https://organic.ams.usda.gov/Integrity/Certificate.aspx?cid=21&amp;nopid=1780833888")</f>
        <v>https://organic.ams.usda.gov/Integrity/Certificate.aspx?cid=21&amp;nopid=1780833888</v>
      </c>
    </row>
    <row r="1602">
      <c r="A1602" t="s">
        <v>3</v>
      </c>
      <c r="B1602" s="6" t="s">
        <v>8</v>
      </c>
      <c r="C1602" s="6" t="s">
        <v>55</v>
      </c>
      <c r="D1602" s="6" t="s">
        <v>101</v>
      </c>
      <c r="E1602" s="10" t="s">
        <v>1743</v>
      </c>
      <c r="F1602" s="6" t="s">
        <v>4465</v>
      </c>
      <c r="G1602" s="6" t="s">
        <v>81</v>
      </c>
      <c r="H1602" s="6" t="s">
        <v>7363</v>
      </c>
      <c r="I1602" s="6" t="s">
        <v>8568</v>
      </c>
      <c r="J1602" s="6" t="s">
        <v>10397</v>
      </c>
      <c r="K1602" s="6" t="s">
        <v>10886</v>
      </c>
      <c r="L1602" s="16" t="n">
        <v>41190</v>
      </c>
      <c r="M1602" s="16" t="n">
        <v>45383</v>
      </c>
      <c r="N1602" s="6" t="s">
        <v>10886</v>
      </c>
      <c r="O1602" s="16" t="n">
        <v>41190</v>
      </c>
      <c r="P1602" s="6" t="s">
        <v>11848</v>
      </c>
      <c r="Q1602" s="6" t="s">
        <v>81</v>
      </c>
      <c r="R1602" s="6" t="s">
        <v>7363</v>
      </c>
      <c r="S1602" s="6" t="s">
        <v>10886</v>
      </c>
      <c r="T1602" s="16" t="n">
        <v>41190</v>
      </c>
      <c r="U1602" s="6" t="s">
        <v>13665</v>
      </c>
      <c r="V1602" s="6" t="s">
        <v>81</v>
      </c>
      <c r="W1602" s="6" t="s">
        <v>7363</v>
      </c>
      <c r="X1602" s="6" t="s">
        <v>81</v>
      </c>
      <c r="Y1602" s="21" t="s">
        <v>81</v>
      </c>
      <c r="Z1602" s="6" t="s">
        <v>81</v>
      </c>
      <c r="AA1602" s="6" t="s">
        <v>81</v>
      </c>
      <c r="AB1602" s="6" t="s">
        <v>81</v>
      </c>
      <c r="AC1602" s="6" t="s">
        <v>81</v>
      </c>
      <c r="AD1602" s="21" t="s">
        <v>81</v>
      </c>
      <c r="AE1602" s="6" t="s">
        <v>81</v>
      </c>
      <c r="AF1602" s="6" t="s">
        <v>81</v>
      </c>
      <c r="AG1602" s="6" t="s">
        <v>81</v>
      </c>
      <c r="AH1602" s="6" t="s">
        <v>16169</v>
      </c>
      <c r="AI1602" s="6" t="s">
        <v>81</v>
      </c>
      <c r="AJ1602" s="6" t="s">
        <v>18050</v>
      </c>
      <c r="AK1602" s="6" t="s">
        <v>18377</v>
      </c>
      <c r="AL1602" s="6" t="s">
        <v>18444</v>
      </c>
      <c r="AM1602" s="6" t="s">
        <v>19244</v>
      </c>
      <c r="AN1602" s="6" t="s">
        <v>19681</v>
      </c>
      <c r="AO1602" s="6" t="s">
        <v>19853</v>
      </c>
      <c r="AP1602" s="6" t="s">
        <v>81</v>
      </c>
      <c r="AQ1602" s="6" t="s">
        <v>81</v>
      </c>
      <c r="AR1602" s="6" t="s">
        <v>81</v>
      </c>
      <c r="AS1602" s="6" t="s">
        <v>81</v>
      </c>
      <c r="AT1602" s="6" t="s">
        <v>81</v>
      </c>
      <c r="AU1602" s="6" t="s">
        <v>81</v>
      </c>
      <c r="AV1602" s="6" t="s">
        <v>81</v>
      </c>
      <c r="AW1602" s="6" t="s">
        <v>81</v>
      </c>
      <c r="AX1602" s="6" t="s">
        <v>81</v>
      </c>
      <c r="AY1602" s="6" t="s">
        <v>23130</v>
      </c>
      <c r="AZ1602" s="6" t="s">
        <v>81</v>
      </c>
      <c r="BA1602" s="6" t="s">
        <v>23819</v>
      </c>
      <c r="BB1602" s="24" t="n">
        <v>106</v>
      </c>
      <c r="BC1602" s="26"/>
      <c r="BD1602" s="26"/>
      <c r="BE1602" s="26"/>
      <c r="BF1602" s="26" t="s">
        <v>23900</v>
      </c>
      <c r="BG1602" s="26"/>
      <c r="BH1602" s="26"/>
      <c r="BI1602" s="26"/>
      <c r="BJ1602" s="26"/>
      <c r="BK1602" s="26"/>
      <c r="BL1602" s="26"/>
      <c r="BM1602" s="26"/>
      <c r="BN1602" s="26"/>
      <c r="BO1602" s="26"/>
      <c r="BP1602" s="16" t="n">
        <v>45457</v>
      </c>
      <c r="BQ1602" s="28" t="str">
        <f>HYPERLINK("https://organic.ams.usda.gov/Integrity/Certificate.aspx?cid=45&amp;nopid=9950004785")</f>
        <v>https://organic.ams.usda.gov/Integrity/Certificate.aspx?cid=45&amp;nopid=9950004785</v>
      </c>
    </row>
    <row r="1603">
      <c r="A1603" t="s">
        <v>3</v>
      </c>
      <c r="B1603" s="6" t="s">
        <v>10</v>
      </c>
      <c r="C1603" s="6" t="s">
        <v>57</v>
      </c>
      <c r="D1603" s="6" t="s">
        <v>103</v>
      </c>
      <c r="E1603" s="10" t="s">
        <v>1744</v>
      </c>
      <c r="F1603" s="6" t="s">
        <v>4466</v>
      </c>
      <c r="G1603" s="6" t="s">
        <v>81</v>
      </c>
      <c r="H1603" s="6" t="s">
        <v>7364</v>
      </c>
      <c r="I1603" s="6" t="s">
        <v>9204</v>
      </c>
      <c r="J1603" s="6" t="s">
        <v>9666</v>
      </c>
      <c r="K1603" s="6" t="s">
        <v>10886</v>
      </c>
      <c r="L1603" s="16" t="n">
        <v>41893</v>
      </c>
      <c r="M1603" s="16" t="n">
        <v>45748</v>
      </c>
      <c r="N1603" s="6" t="s">
        <v>10886</v>
      </c>
      <c r="O1603" s="16" t="n">
        <v>41893</v>
      </c>
      <c r="P1603" s="6" t="s">
        <v>11782</v>
      </c>
      <c r="Q1603" s="6" t="s">
        <v>81</v>
      </c>
      <c r="R1603" s="6" t="s">
        <v>12863</v>
      </c>
      <c r="S1603" s="6" t="s">
        <v>10886</v>
      </c>
      <c r="T1603" s="16" t="n">
        <v>41893</v>
      </c>
      <c r="U1603" s="6" t="s">
        <v>13163</v>
      </c>
      <c r="V1603" s="6" t="s">
        <v>81</v>
      </c>
      <c r="W1603" s="6" t="s">
        <v>81</v>
      </c>
      <c r="X1603" s="6" t="s">
        <v>81</v>
      </c>
      <c r="Y1603" s="21" t="s">
        <v>81</v>
      </c>
      <c r="Z1603" s="6" t="s">
        <v>81</v>
      </c>
      <c r="AA1603" s="6" t="s">
        <v>81</v>
      </c>
      <c r="AB1603" s="6" t="s">
        <v>81</v>
      </c>
      <c r="AC1603" s="6" t="s">
        <v>81</v>
      </c>
      <c r="AD1603" s="21" t="s">
        <v>81</v>
      </c>
      <c r="AE1603" s="6" t="s">
        <v>81</v>
      </c>
      <c r="AF1603" s="6" t="s">
        <v>81</v>
      </c>
      <c r="AG1603" s="6" t="s">
        <v>81</v>
      </c>
      <c r="AH1603" s="6" t="s">
        <v>16170</v>
      </c>
      <c r="AI1603" s="6" t="s">
        <v>81</v>
      </c>
      <c r="AJ1603" s="6" t="s">
        <v>17635</v>
      </c>
      <c r="AK1603" s="6" t="s">
        <v>18379</v>
      </c>
      <c r="AL1603" s="6" t="s">
        <v>18444</v>
      </c>
      <c r="AM1603" s="6" t="s">
        <v>18804</v>
      </c>
      <c r="AN1603" s="6" t="s">
        <v>19637</v>
      </c>
      <c r="AO1603" s="6" t="s">
        <v>19723</v>
      </c>
      <c r="AP1603" s="6" t="s">
        <v>16170</v>
      </c>
      <c r="AQ1603" s="6" t="s">
        <v>81</v>
      </c>
      <c r="AR1603" s="6" t="s">
        <v>17635</v>
      </c>
      <c r="AS1603" s="6" t="s">
        <v>18379</v>
      </c>
      <c r="AT1603" s="6" t="s">
        <v>18444</v>
      </c>
      <c r="AU1603" s="6" t="s">
        <v>18804</v>
      </c>
      <c r="AV1603" s="6" t="s">
        <v>81</v>
      </c>
      <c r="AW1603" s="6" t="s">
        <v>81</v>
      </c>
      <c r="AX1603" s="6" t="s">
        <v>21754</v>
      </c>
      <c r="AY1603" s="6" t="s">
        <v>81</v>
      </c>
      <c r="AZ1603" s="6" t="s">
        <v>81</v>
      </c>
      <c r="BA1603" s="6" t="s">
        <v>81</v>
      </c>
      <c r="BB1603" s="24" t="n">
        <v>66</v>
      </c>
      <c r="BC1603" s="26"/>
      <c r="BD1603" s="26"/>
      <c r="BE1603" s="26"/>
      <c r="BF1603" s="26"/>
      <c r="BG1603" s="26"/>
      <c r="BH1603" s="26"/>
      <c r="BI1603" s="26"/>
      <c r="BJ1603" s="26"/>
      <c r="BK1603" s="26"/>
      <c r="BL1603" s="26"/>
      <c r="BM1603" s="26"/>
      <c r="BN1603" s="26"/>
      <c r="BO1603" s="26"/>
      <c r="BP1603" s="16" t="n">
        <v>45730</v>
      </c>
      <c r="BQ1603" s="28" t="str">
        <f>HYPERLINK("https://organic.ams.usda.gov/Integrity/Certificate.aspx?cid=90&amp;nopid=7170210341")</f>
        <v>https://organic.ams.usda.gov/Integrity/Certificate.aspx?cid=90&amp;nopid=7170210341</v>
      </c>
    </row>
    <row r="1604">
      <c r="A1604" t="s">
        <v>3</v>
      </c>
      <c r="B1604" s="6" t="s">
        <v>13</v>
      </c>
      <c r="C1604" s="6" t="s">
        <v>60</v>
      </c>
      <c r="D1604" s="6" t="s">
        <v>106</v>
      </c>
      <c r="E1604" s="10" t="s">
        <v>1745</v>
      </c>
      <c r="F1604" s="6" t="s">
        <v>4467</v>
      </c>
      <c r="G1604" s="6" t="s">
        <v>81</v>
      </c>
      <c r="H1604" s="6" t="s">
        <v>7365</v>
      </c>
      <c r="I1604" s="6" t="s">
        <v>9205</v>
      </c>
      <c r="J1604" s="6" t="s">
        <v>10398</v>
      </c>
      <c r="K1604" s="6" t="s">
        <v>10886</v>
      </c>
      <c r="L1604" s="16" t="n">
        <v>43852</v>
      </c>
      <c r="M1604" s="16" t="n">
        <v>45992</v>
      </c>
      <c r="N1604" s="6" t="s">
        <v>10886</v>
      </c>
      <c r="O1604" s="16" t="n">
        <v>43852</v>
      </c>
      <c r="P1604" s="6" t="s">
        <v>11849</v>
      </c>
      <c r="Q1604" s="6" t="s">
        <v>81</v>
      </c>
      <c r="R1604" s="6" t="s">
        <v>12864</v>
      </c>
      <c r="S1604" s="6" t="s">
        <v>10886</v>
      </c>
      <c r="T1604" s="16" t="n">
        <v>43852</v>
      </c>
      <c r="U1604" s="6" t="s">
        <v>13167</v>
      </c>
      <c r="V1604" s="6" t="s">
        <v>81</v>
      </c>
      <c r="W1604" s="6" t="s">
        <v>12864</v>
      </c>
      <c r="X1604" s="6" t="s">
        <v>81</v>
      </c>
      <c r="Y1604" s="21" t="s">
        <v>81</v>
      </c>
      <c r="Z1604" s="6" t="s">
        <v>81</v>
      </c>
      <c r="AA1604" s="6" t="s">
        <v>81</v>
      </c>
      <c r="AB1604" s="6" t="s">
        <v>81</v>
      </c>
      <c r="AC1604" s="6" t="s">
        <v>81</v>
      </c>
      <c r="AD1604" s="21" t="s">
        <v>81</v>
      </c>
      <c r="AE1604" s="6" t="s">
        <v>81</v>
      </c>
      <c r="AF1604" s="6" t="s">
        <v>81</v>
      </c>
      <c r="AG1604" s="6" t="s">
        <v>81</v>
      </c>
      <c r="AH1604" s="6" t="s">
        <v>16171</v>
      </c>
      <c r="AI1604" s="6" t="s">
        <v>81</v>
      </c>
      <c r="AJ1604" s="6" t="s">
        <v>9142</v>
      </c>
      <c r="AK1604" s="6" t="s">
        <v>18389</v>
      </c>
      <c r="AL1604" s="6" t="s">
        <v>18444</v>
      </c>
      <c r="AM1604" s="6" t="s">
        <v>19245</v>
      </c>
      <c r="AN1604" s="6" t="s">
        <v>19656</v>
      </c>
      <c r="AO1604" s="6" t="s">
        <v>19742</v>
      </c>
      <c r="AP1604" s="6" t="s">
        <v>16171</v>
      </c>
      <c r="AQ1604" s="6" t="s">
        <v>81</v>
      </c>
      <c r="AR1604" s="6" t="s">
        <v>9142</v>
      </c>
      <c r="AS1604" s="6" t="s">
        <v>18389</v>
      </c>
      <c r="AT1604" s="6" t="s">
        <v>18444</v>
      </c>
      <c r="AU1604" s="6" t="s">
        <v>19245</v>
      </c>
      <c r="AV1604" s="6" t="s">
        <v>81</v>
      </c>
      <c r="AW1604" s="6" t="s">
        <v>81</v>
      </c>
      <c r="AX1604" s="6" t="s">
        <v>21755</v>
      </c>
      <c r="AY1604" s="6" t="s">
        <v>23131</v>
      </c>
      <c r="AZ1604" s="6" t="s">
        <v>81</v>
      </c>
      <c r="BA1604" s="6" t="s">
        <v>81</v>
      </c>
      <c r="BB1604" s="24" t="n">
        <v>718</v>
      </c>
      <c r="BC1604" s="26"/>
      <c r="BD1604" s="26"/>
      <c r="BE1604" s="26"/>
      <c r="BF1604" s="26" t="s">
        <v>23900</v>
      </c>
      <c r="BG1604" s="26"/>
      <c r="BH1604" s="26"/>
      <c r="BI1604" s="26"/>
      <c r="BJ1604" s="26"/>
      <c r="BK1604" s="26"/>
      <c r="BL1604" s="26"/>
      <c r="BM1604" s="26"/>
      <c r="BN1604" s="26"/>
      <c r="BO1604" s="26"/>
      <c r="BP1604" s="16" t="n">
        <v>45702</v>
      </c>
      <c r="BQ1604" s="28" t="str">
        <f>HYPERLINK("https://organic.ams.usda.gov/Integrity/Certificate.aspx?cid=72&amp;nopid=5875720800")</f>
        <v>https://organic.ams.usda.gov/Integrity/Certificate.aspx?cid=72&amp;nopid=5875720800</v>
      </c>
    </row>
    <row r="1605">
      <c r="A1605" t="s">
        <v>3</v>
      </c>
      <c r="B1605" s="6" t="s">
        <v>7</v>
      </c>
      <c r="C1605" s="6" t="s">
        <v>54</v>
      </c>
      <c r="D1605" s="6" t="s">
        <v>100</v>
      </c>
      <c r="E1605" s="10" t="s">
        <v>1746</v>
      </c>
      <c r="F1605" s="6" t="s">
        <v>4468</v>
      </c>
      <c r="G1605" s="6" t="s">
        <v>81</v>
      </c>
      <c r="H1605" s="6" t="s">
        <v>7366</v>
      </c>
      <c r="I1605" s="6" t="s">
        <v>8944</v>
      </c>
      <c r="J1605" s="6" t="s">
        <v>10399</v>
      </c>
      <c r="K1605" s="6" t="s">
        <v>10886</v>
      </c>
      <c r="L1605" s="16" t="n">
        <v>42234</v>
      </c>
      <c r="M1605" s="16" t="n">
        <v>45716</v>
      </c>
      <c r="N1605" s="6" t="s">
        <v>10886</v>
      </c>
      <c r="O1605" s="16" t="n">
        <v>42234</v>
      </c>
      <c r="P1605" s="6" t="s">
        <v>11252</v>
      </c>
      <c r="Q1605" s="6" t="s">
        <v>81</v>
      </c>
      <c r="R1605" s="6" t="s">
        <v>81</v>
      </c>
      <c r="S1605" s="6" t="s">
        <v>10886</v>
      </c>
      <c r="T1605" s="16" t="n">
        <v>42399</v>
      </c>
      <c r="U1605" s="6" t="s">
        <v>13169</v>
      </c>
      <c r="V1605" s="6" t="s">
        <v>81</v>
      </c>
      <c r="W1605" s="6" t="s">
        <v>81</v>
      </c>
      <c r="X1605" s="6" t="s">
        <v>81</v>
      </c>
      <c r="Y1605" s="21" t="s">
        <v>81</v>
      </c>
      <c r="Z1605" s="6" t="s">
        <v>81</v>
      </c>
      <c r="AA1605" s="6" t="s">
        <v>81</v>
      </c>
      <c r="AB1605" s="6" t="s">
        <v>81</v>
      </c>
      <c r="AC1605" s="6" t="s">
        <v>81</v>
      </c>
      <c r="AD1605" s="21" t="s">
        <v>81</v>
      </c>
      <c r="AE1605" s="6" t="s">
        <v>81</v>
      </c>
      <c r="AF1605" s="6" t="s">
        <v>81</v>
      </c>
      <c r="AG1605" s="6" t="s">
        <v>81</v>
      </c>
      <c r="AH1605" s="6" t="s">
        <v>16172</v>
      </c>
      <c r="AI1605" s="6" t="s">
        <v>81</v>
      </c>
      <c r="AJ1605" s="6" t="s">
        <v>17874</v>
      </c>
      <c r="AK1605" s="6" t="s">
        <v>17712</v>
      </c>
      <c r="AL1605" s="6" t="s">
        <v>18444</v>
      </c>
      <c r="AM1605" s="6" t="s">
        <v>19057</v>
      </c>
      <c r="AN1605" s="6" t="s">
        <v>19652</v>
      </c>
      <c r="AO1605" s="6" t="s">
        <v>19742</v>
      </c>
      <c r="AP1605" s="6" t="s">
        <v>16172</v>
      </c>
      <c r="AQ1605" s="6" t="s">
        <v>81</v>
      </c>
      <c r="AR1605" s="6" t="s">
        <v>17874</v>
      </c>
      <c r="AS1605" s="6" t="s">
        <v>17712</v>
      </c>
      <c r="AT1605" s="6" t="s">
        <v>18444</v>
      </c>
      <c r="AU1605" s="6" t="s">
        <v>19057</v>
      </c>
      <c r="AV1605" s="6" t="s">
        <v>81</v>
      </c>
      <c r="AW1605" s="6" t="s">
        <v>81</v>
      </c>
      <c r="AX1605" s="6" t="s">
        <v>21756</v>
      </c>
      <c r="AY1605" s="6" t="s">
        <v>81</v>
      </c>
      <c r="AZ1605" s="6" t="s">
        <v>81</v>
      </c>
      <c r="BA1605" s="6" t="s">
        <v>81</v>
      </c>
      <c r="BB1605" s="24" t="n">
        <v>326</v>
      </c>
      <c r="BC1605" s="26"/>
      <c r="BD1605" s="26"/>
      <c r="BE1605" s="26"/>
      <c r="BF1605" s="26" t="s">
        <v>23900</v>
      </c>
      <c r="BG1605" s="26"/>
      <c r="BH1605" s="26"/>
      <c r="BI1605" s="26"/>
      <c r="BJ1605" s="26"/>
      <c r="BK1605" s="26"/>
      <c r="BL1605" s="26"/>
      <c r="BM1605" s="26"/>
      <c r="BN1605" s="26"/>
      <c r="BO1605" s="26"/>
      <c r="BP1605" s="16" t="n">
        <v>45595</v>
      </c>
      <c r="BQ1605" s="28" t="str">
        <f>HYPERLINK("https://organic.ams.usda.gov/Integrity/Certificate.aspx?cid=57&amp;nopid=3252015006")</f>
        <v>https://organic.ams.usda.gov/Integrity/Certificate.aspx?cid=57&amp;nopid=3252015006</v>
      </c>
    </row>
    <row r="1606">
      <c r="A1606" t="s">
        <v>3</v>
      </c>
      <c r="B1606" s="6" t="s">
        <v>29</v>
      </c>
      <c r="C1606" s="6" t="s">
        <v>76</v>
      </c>
      <c r="D1606" s="6" t="s">
        <v>122</v>
      </c>
      <c r="E1606" s="10" t="s">
        <v>1747</v>
      </c>
      <c r="F1606" s="6" t="s">
        <v>4469</v>
      </c>
      <c r="G1606" s="6" t="s">
        <v>81</v>
      </c>
      <c r="H1606" s="6" t="s">
        <v>7367</v>
      </c>
      <c r="I1606" s="6" t="s">
        <v>9206</v>
      </c>
      <c r="J1606" s="6" t="s">
        <v>9665</v>
      </c>
      <c r="K1606" s="6" t="s">
        <v>10886</v>
      </c>
      <c r="L1606" s="16" t="n">
        <v>43314</v>
      </c>
      <c r="M1606" s="16" t="n">
        <v>45870</v>
      </c>
      <c r="N1606" s="6" t="s">
        <v>10886</v>
      </c>
      <c r="O1606" s="16" t="n">
        <v>43314</v>
      </c>
      <c r="P1606" s="6" t="s">
        <v>11223</v>
      </c>
      <c r="Q1606" s="6" t="s">
        <v>81</v>
      </c>
      <c r="R1606" s="6" t="s">
        <v>12865</v>
      </c>
      <c r="S1606" s="6" t="s">
        <v>10886</v>
      </c>
      <c r="T1606" s="16" t="n">
        <v>43729</v>
      </c>
      <c r="U1606" s="6" t="s">
        <v>13666</v>
      </c>
      <c r="V1606" s="6" t="s">
        <v>81</v>
      </c>
      <c r="W1606" s="6" t="s">
        <v>12865</v>
      </c>
      <c r="X1606" s="6" t="s">
        <v>81</v>
      </c>
      <c r="Y1606" s="21" t="s">
        <v>81</v>
      </c>
      <c r="Z1606" s="6" t="s">
        <v>81</v>
      </c>
      <c r="AA1606" s="6" t="s">
        <v>81</v>
      </c>
      <c r="AB1606" s="6" t="s">
        <v>81</v>
      </c>
      <c r="AC1606" s="6" t="s">
        <v>81</v>
      </c>
      <c r="AD1606" s="21" t="s">
        <v>81</v>
      </c>
      <c r="AE1606" s="6" t="s">
        <v>81</v>
      </c>
      <c r="AF1606" s="6" t="s">
        <v>81</v>
      </c>
      <c r="AG1606" s="6" t="s">
        <v>81</v>
      </c>
      <c r="AH1606" s="6" t="s">
        <v>16173</v>
      </c>
      <c r="AI1606" s="6" t="s">
        <v>81</v>
      </c>
      <c r="AJ1606" s="6" t="s">
        <v>17426</v>
      </c>
      <c r="AK1606" s="6" t="s">
        <v>18384</v>
      </c>
      <c r="AL1606" s="6" t="s">
        <v>18444</v>
      </c>
      <c r="AM1606" s="6" t="s">
        <v>18583</v>
      </c>
      <c r="AN1606" s="6" t="s">
        <v>19690</v>
      </c>
      <c r="AO1606" s="6" t="s">
        <v>19852</v>
      </c>
      <c r="AP1606" s="6" t="s">
        <v>81</v>
      </c>
      <c r="AQ1606" s="6" t="s">
        <v>81</v>
      </c>
      <c r="AR1606" s="6" t="s">
        <v>81</v>
      </c>
      <c r="AS1606" s="6" t="s">
        <v>81</v>
      </c>
      <c r="AT1606" s="6" t="s">
        <v>81</v>
      </c>
      <c r="AU1606" s="6" t="s">
        <v>81</v>
      </c>
      <c r="AV1606" s="6" t="s">
        <v>81</v>
      </c>
      <c r="AW1606" s="6" t="s">
        <v>81</v>
      </c>
      <c r="AX1606" s="6" t="s">
        <v>21757</v>
      </c>
      <c r="AY1606" s="6" t="s">
        <v>81</v>
      </c>
      <c r="AZ1606" s="6" t="s">
        <v>81</v>
      </c>
      <c r="BA1606" s="6" t="s">
        <v>81</v>
      </c>
      <c r="BB1606" s="24" t="n">
        <v>65</v>
      </c>
      <c r="BC1606" s="26"/>
      <c r="BD1606" s="26"/>
      <c r="BE1606" s="26"/>
      <c r="BF1606" s="26" t="s">
        <v>23900</v>
      </c>
      <c r="BG1606" s="26"/>
      <c r="BH1606" s="26"/>
      <c r="BI1606" s="26"/>
      <c r="BJ1606" s="26"/>
      <c r="BK1606" s="26"/>
      <c r="BL1606" s="26"/>
      <c r="BM1606" s="26"/>
      <c r="BN1606" s="26"/>
      <c r="BO1606" s="26"/>
      <c r="BP1606" s="16" t="n">
        <v>45737</v>
      </c>
      <c r="BQ1606" s="28" t="str">
        <f>HYPERLINK("https://organic.ams.usda.gov/Integrity/Certificate.aspx?cid=31&amp;nopid=3920000972")</f>
        <v>https://organic.ams.usda.gov/Integrity/Certificate.aspx?cid=31&amp;nopid=3920000972</v>
      </c>
    </row>
    <row r="1607">
      <c r="A1607" t="s">
        <v>3</v>
      </c>
      <c r="B1607" s="6" t="s">
        <v>13</v>
      </c>
      <c r="C1607" s="6" t="s">
        <v>60</v>
      </c>
      <c r="D1607" s="6" t="s">
        <v>106</v>
      </c>
      <c r="E1607" s="10" t="s">
        <v>1748</v>
      </c>
      <c r="F1607" s="6" t="s">
        <v>4470</v>
      </c>
      <c r="G1607" s="6" t="s">
        <v>81</v>
      </c>
      <c r="H1607" s="6" t="s">
        <v>6975</v>
      </c>
      <c r="I1607" s="6" t="s">
        <v>9207</v>
      </c>
      <c r="J1607" s="6" t="s">
        <v>10400</v>
      </c>
      <c r="K1607" s="6" t="s">
        <v>10886</v>
      </c>
      <c r="L1607" s="16" t="n">
        <v>42536</v>
      </c>
      <c r="M1607" s="16" t="n">
        <v>46024</v>
      </c>
      <c r="N1607" s="6" t="s">
        <v>10886</v>
      </c>
      <c r="O1607" s="16" t="n">
        <v>42536</v>
      </c>
      <c r="P1607" s="6" t="s">
        <v>11850</v>
      </c>
      <c r="Q1607" s="6" t="s">
        <v>81</v>
      </c>
      <c r="R1607" s="6" t="s">
        <v>12866</v>
      </c>
      <c r="S1607" s="6" t="s">
        <v>10886</v>
      </c>
      <c r="T1607" s="16" t="n">
        <v>42536</v>
      </c>
      <c r="U1607" s="6" t="s">
        <v>13301</v>
      </c>
      <c r="V1607" s="6" t="s">
        <v>81</v>
      </c>
      <c r="W1607" s="6" t="s">
        <v>12866</v>
      </c>
      <c r="X1607" s="6" t="s">
        <v>81</v>
      </c>
      <c r="Y1607" s="21" t="s">
        <v>81</v>
      </c>
      <c r="Z1607" s="6" t="s">
        <v>81</v>
      </c>
      <c r="AA1607" s="6" t="s">
        <v>81</v>
      </c>
      <c r="AB1607" s="6" t="s">
        <v>81</v>
      </c>
      <c r="AC1607" s="6" t="s">
        <v>81</v>
      </c>
      <c r="AD1607" s="21" t="s">
        <v>81</v>
      </c>
      <c r="AE1607" s="6" t="s">
        <v>81</v>
      </c>
      <c r="AF1607" s="6" t="s">
        <v>81</v>
      </c>
      <c r="AG1607" s="6" t="s">
        <v>81</v>
      </c>
      <c r="AH1607" s="6" t="s">
        <v>16174</v>
      </c>
      <c r="AI1607" s="6" t="s">
        <v>81</v>
      </c>
      <c r="AJ1607" s="6" t="s">
        <v>18051</v>
      </c>
      <c r="AK1607" s="6" t="s">
        <v>18403</v>
      </c>
      <c r="AL1607" s="6" t="s">
        <v>18444</v>
      </c>
      <c r="AM1607" s="6" t="s">
        <v>19246</v>
      </c>
      <c r="AN1607" s="6" t="s">
        <v>19684</v>
      </c>
      <c r="AO1607" s="6" t="s">
        <v>20005</v>
      </c>
      <c r="AP1607" s="6" t="s">
        <v>16174</v>
      </c>
      <c r="AQ1607" s="6" t="s">
        <v>81</v>
      </c>
      <c r="AR1607" s="6" t="s">
        <v>18051</v>
      </c>
      <c r="AS1607" s="6" t="s">
        <v>18403</v>
      </c>
      <c r="AT1607" s="6" t="s">
        <v>18444</v>
      </c>
      <c r="AU1607" s="6" t="s">
        <v>19246</v>
      </c>
      <c r="AV1607" s="6" t="s">
        <v>81</v>
      </c>
      <c r="AW1607" s="6" t="s">
        <v>81</v>
      </c>
      <c r="AX1607" s="6" t="s">
        <v>21758</v>
      </c>
      <c r="AY1607" s="6" t="s">
        <v>81</v>
      </c>
      <c r="AZ1607" s="6" t="s">
        <v>81</v>
      </c>
      <c r="BA1607" s="6" t="s">
        <v>81</v>
      </c>
      <c r="BB1607" s="24" t="n">
        <v>173</v>
      </c>
      <c r="BC1607" s="26"/>
      <c r="BD1607" s="26"/>
      <c r="BE1607" s="26"/>
      <c r="BF1607" s="26" t="s">
        <v>23900</v>
      </c>
      <c r="BG1607" s="26"/>
      <c r="BH1607" s="26"/>
      <c r="BI1607" s="26"/>
      <c r="BJ1607" s="26"/>
      <c r="BK1607" s="26"/>
      <c r="BL1607" s="26"/>
      <c r="BM1607" s="26"/>
      <c r="BN1607" s="26"/>
      <c r="BO1607" s="26"/>
      <c r="BP1607" s="16" t="n">
        <v>45667</v>
      </c>
      <c r="BQ1607" s="28" t="str">
        <f>HYPERLINK("https://organic.ams.usda.gov/Integrity/Certificate.aspx?cid=72&amp;nopid=5870002354")</f>
        <v>https://organic.ams.usda.gov/Integrity/Certificate.aspx?cid=72&amp;nopid=5870002354</v>
      </c>
    </row>
    <row r="1608">
      <c r="A1608" t="s">
        <v>3</v>
      </c>
      <c r="B1608" s="6" t="s">
        <v>8</v>
      </c>
      <c r="C1608" s="6" t="s">
        <v>55</v>
      </c>
      <c r="D1608" s="6" t="s">
        <v>101</v>
      </c>
      <c r="E1608" s="10" t="s">
        <v>1749</v>
      </c>
      <c r="F1608" s="6" t="s">
        <v>4471</v>
      </c>
      <c r="G1608" s="6" t="s">
        <v>81</v>
      </c>
      <c r="H1608" s="6" t="s">
        <v>7368</v>
      </c>
      <c r="I1608" s="6" t="s">
        <v>9208</v>
      </c>
      <c r="J1608" s="6" t="s">
        <v>9750</v>
      </c>
      <c r="K1608" s="6" t="s">
        <v>10886</v>
      </c>
      <c r="L1608" s="16" t="n">
        <v>39685</v>
      </c>
      <c r="M1608" s="18" t="s">
        <v>81</v>
      </c>
      <c r="N1608" s="6" t="s">
        <v>10886</v>
      </c>
      <c r="O1608" s="16" t="n">
        <v>39685</v>
      </c>
      <c r="P1608" s="6" t="s">
        <v>11851</v>
      </c>
      <c r="Q1608" s="6" t="s">
        <v>81</v>
      </c>
      <c r="R1608" s="6" t="s">
        <v>81</v>
      </c>
      <c r="S1608" s="6" t="s">
        <v>10886</v>
      </c>
      <c r="T1608" s="16" t="n">
        <v>39685</v>
      </c>
      <c r="U1608" s="6" t="s">
        <v>13667</v>
      </c>
      <c r="V1608" s="6" t="s">
        <v>81</v>
      </c>
      <c r="W1608" s="6" t="s">
        <v>81</v>
      </c>
      <c r="X1608" s="6" t="s">
        <v>81</v>
      </c>
      <c r="Y1608" s="21" t="s">
        <v>81</v>
      </c>
      <c r="Z1608" s="6" t="s">
        <v>81</v>
      </c>
      <c r="AA1608" s="6" t="s">
        <v>81</v>
      </c>
      <c r="AB1608" s="6" t="s">
        <v>81</v>
      </c>
      <c r="AC1608" s="6" t="s">
        <v>81</v>
      </c>
      <c r="AD1608" s="21" t="s">
        <v>81</v>
      </c>
      <c r="AE1608" s="6" t="s">
        <v>81</v>
      </c>
      <c r="AF1608" s="6" t="s">
        <v>81</v>
      </c>
      <c r="AG1608" s="6" t="s">
        <v>81</v>
      </c>
      <c r="AH1608" s="6" t="s">
        <v>16175</v>
      </c>
      <c r="AI1608" s="6" t="s">
        <v>81</v>
      </c>
      <c r="AJ1608" s="6" t="s">
        <v>17530</v>
      </c>
      <c r="AK1608" s="6" t="s">
        <v>18377</v>
      </c>
      <c r="AL1608" s="6" t="s">
        <v>18444</v>
      </c>
      <c r="AM1608" s="6" t="s">
        <v>6414</v>
      </c>
      <c r="AN1608" s="6" t="s">
        <v>19646</v>
      </c>
      <c r="AO1608" s="6" t="s">
        <v>19733</v>
      </c>
      <c r="AP1608" s="6" t="s">
        <v>81</v>
      </c>
      <c r="AQ1608" s="6" t="s">
        <v>81</v>
      </c>
      <c r="AR1608" s="6" t="s">
        <v>81</v>
      </c>
      <c r="AS1608" s="6" t="s">
        <v>81</v>
      </c>
      <c r="AT1608" s="6" t="s">
        <v>81</v>
      </c>
      <c r="AU1608" s="6" t="s">
        <v>81</v>
      </c>
      <c r="AV1608" s="6" t="s">
        <v>81</v>
      </c>
      <c r="AW1608" s="6" t="s">
        <v>81</v>
      </c>
      <c r="AX1608" s="6" t="s">
        <v>81</v>
      </c>
      <c r="AY1608" s="6" t="s">
        <v>81</v>
      </c>
      <c r="AZ1608" s="6" t="s">
        <v>81</v>
      </c>
      <c r="BA1608" s="6" t="s">
        <v>81</v>
      </c>
      <c r="BB1608" s="24" t="n">
        <v>186</v>
      </c>
      <c r="BC1608" s="26"/>
      <c r="BD1608" s="26"/>
      <c r="BE1608" s="26"/>
      <c r="BF1608" s="26"/>
      <c r="BG1608" s="26"/>
      <c r="BH1608" s="26"/>
      <c r="BI1608" s="26"/>
      <c r="BJ1608" s="26"/>
      <c r="BK1608" s="26"/>
      <c r="BL1608" s="26"/>
      <c r="BM1608" s="26"/>
      <c r="BN1608" s="26"/>
      <c r="BO1608" s="26"/>
      <c r="BP1608" s="16" t="n">
        <v>45292</v>
      </c>
      <c r="BQ1608" s="28" t="str">
        <f>HYPERLINK("https://organic.ams.usda.gov/Integrity/Certificate.aspx?cid=45&amp;nopid=9950003043")</f>
        <v>https://organic.ams.usda.gov/Integrity/Certificate.aspx?cid=45&amp;nopid=9950003043</v>
      </c>
    </row>
    <row r="1609">
      <c r="A1609" t="s">
        <v>3</v>
      </c>
      <c r="B1609" s="6" t="s">
        <v>23</v>
      </c>
      <c r="C1609" s="6" t="s">
        <v>70</v>
      </c>
      <c r="D1609" s="6" t="s">
        <v>116</v>
      </c>
      <c r="E1609" s="10" t="s">
        <v>1750</v>
      </c>
      <c r="F1609" s="6" t="s">
        <v>4472</v>
      </c>
      <c r="G1609" s="6" t="s">
        <v>81</v>
      </c>
      <c r="H1609" s="6" t="s">
        <v>7369</v>
      </c>
      <c r="I1609" s="6" t="s">
        <v>8509</v>
      </c>
      <c r="J1609" s="6" t="s">
        <v>10148</v>
      </c>
      <c r="K1609" s="6" t="s">
        <v>10886</v>
      </c>
      <c r="L1609" s="16" t="n">
        <v>44314</v>
      </c>
      <c r="M1609" s="16" t="n">
        <v>45775</v>
      </c>
      <c r="N1609" s="6" t="s">
        <v>10886</v>
      </c>
      <c r="O1609" s="16" t="n">
        <v>44314</v>
      </c>
      <c r="P1609" s="6" t="s">
        <v>11852</v>
      </c>
      <c r="Q1609" s="6" t="s">
        <v>81</v>
      </c>
      <c r="R1609" s="6" t="s">
        <v>12867</v>
      </c>
      <c r="S1609" s="6" t="s">
        <v>10886</v>
      </c>
      <c r="T1609" s="16" t="n">
        <v>44314</v>
      </c>
      <c r="U1609" s="6" t="s">
        <v>13424</v>
      </c>
      <c r="V1609" s="6" t="s">
        <v>81</v>
      </c>
      <c r="W1609" s="6" t="s">
        <v>12867</v>
      </c>
      <c r="X1609" s="6" t="s">
        <v>81</v>
      </c>
      <c r="Y1609" s="21" t="s">
        <v>81</v>
      </c>
      <c r="Z1609" s="6" t="s">
        <v>81</v>
      </c>
      <c r="AA1609" s="6" t="s">
        <v>81</v>
      </c>
      <c r="AB1609" s="6" t="s">
        <v>81</v>
      </c>
      <c r="AC1609" s="6" t="s">
        <v>81</v>
      </c>
      <c r="AD1609" s="21" t="s">
        <v>81</v>
      </c>
      <c r="AE1609" s="6" t="s">
        <v>81</v>
      </c>
      <c r="AF1609" s="6" t="s">
        <v>81</v>
      </c>
      <c r="AG1609" s="6" t="s">
        <v>81</v>
      </c>
      <c r="AH1609" s="6" t="s">
        <v>16176</v>
      </c>
      <c r="AI1609" s="6" t="s">
        <v>81</v>
      </c>
      <c r="AJ1609" s="6" t="s">
        <v>18052</v>
      </c>
      <c r="AK1609" s="6" t="s">
        <v>18386</v>
      </c>
      <c r="AL1609" s="6" t="s">
        <v>18444</v>
      </c>
      <c r="AM1609" s="6" t="s">
        <v>19247</v>
      </c>
      <c r="AN1609" s="6" t="s">
        <v>81</v>
      </c>
      <c r="AO1609" s="6" t="s">
        <v>81</v>
      </c>
      <c r="AP1609" s="6" t="s">
        <v>20302</v>
      </c>
      <c r="AQ1609" s="6" t="s">
        <v>81</v>
      </c>
      <c r="AR1609" s="6" t="s">
        <v>18052</v>
      </c>
      <c r="AS1609" s="6" t="s">
        <v>18386</v>
      </c>
      <c r="AT1609" s="6" t="s">
        <v>18444</v>
      </c>
      <c r="AU1609" s="6" t="s">
        <v>19247</v>
      </c>
      <c r="AV1609" s="6" t="s">
        <v>19651</v>
      </c>
      <c r="AW1609" s="6" t="s">
        <v>19864</v>
      </c>
      <c r="AX1609" s="6" t="s">
        <v>21759</v>
      </c>
      <c r="AY1609" s="6" t="s">
        <v>23132</v>
      </c>
      <c r="AZ1609" s="6" t="s">
        <v>81</v>
      </c>
      <c r="BA1609" s="6" t="s">
        <v>81</v>
      </c>
      <c r="BB1609" s="24" t="n">
        <v>1025</v>
      </c>
      <c r="BC1609" s="26"/>
      <c r="BD1609" s="26"/>
      <c r="BE1609" s="26"/>
      <c r="BF1609" s="26"/>
      <c r="BG1609" s="26"/>
      <c r="BH1609" s="26"/>
      <c r="BI1609" s="26"/>
      <c r="BJ1609" s="26"/>
      <c r="BK1609" s="26"/>
      <c r="BL1609" s="26"/>
      <c r="BM1609" s="26"/>
      <c r="BN1609" s="26"/>
      <c r="BO1609" s="26"/>
      <c r="BP1609" s="16" t="n">
        <v>45646</v>
      </c>
      <c r="BQ1609" s="28" t="str">
        <f>HYPERLINK("https://organic.ams.usda.gov/Integrity/Certificate.aspx?cid=63&amp;nopid=6220007872")</f>
        <v>https://organic.ams.usda.gov/Integrity/Certificate.aspx?cid=63&amp;nopid=6220007872</v>
      </c>
    </row>
    <row r="1610">
      <c r="A1610" t="s">
        <v>3</v>
      </c>
      <c r="B1610" s="6" t="s">
        <v>23</v>
      </c>
      <c r="C1610" s="6" t="s">
        <v>70</v>
      </c>
      <c r="D1610" s="6" t="s">
        <v>116</v>
      </c>
      <c r="E1610" s="10" t="s">
        <v>1751</v>
      </c>
      <c r="F1610" s="6" t="s">
        <v>4473</v>
      </c>
      <c r="G1610" s="6" t="s">
        <v>81</v>
      </c>
      <c r="H1610" s="6" t="s">
        <v>7370</v>
      </c>
      <c r="I1610" s="6" t="s">
        <v>9209</v>
      </c>
      <c r="J1610" s="6" t="s">
        <v>8461</v>
      </c>
      <c r="K1610" s="6" t="s">
        <v>10886</v>
      </c>
      <c r="L1610" s="16" t="n">
        <v>42781</v>
      </c>
      <c r="M1610" s="16" t="n">
        <v>45337</v>
      </c>
      <c r="N1610" s="6" t="s">
        <v>10886</v>
      </c>
      <c r="O1610" s="16" t="n">
        <v>42781</v>
      </c>
      <c r="P1610" s="6" t="s">
        <v>11128</v>
      </c>
      <c r="Q1610" s="6" t="s">
        <v>81</v>
      </c>
      <c r="R1610" s="6" t="s">
        <v>12868</v>
      </c>
      <c r="S1610" s="6" t="s">
        <v>10886</v>
      </c>
      <c r="T1610" s="16" t="n">
        <v>42781</v>
      </c>
      <c r="U1610" s="6" t="s">
        <v>13668</v>
      </c>
      <c r="V1610" s="6" t="s">
        <v>81</v>
      </c>
      <c r="W1610" s="6" t="s">
        <v>12868</v>
      </c>
      <c r="X1610" s="6" t="s">
        <v>81</v>
      </c>
      <c r="Y1610" s="21" t="s">
        <v>81</v>
      </c>
      <c r="Z1610" s="6" t="s">
        <v>81</v>
      </c>
      <c r="AA1610" s="6" t="s">
        <v>81</v>
      </c>
      <c r="AB1610" s="6" t="s">
        <v>81</v>
      </c>
      <c r="AC1610" s="6" t="s">
        <v>81</v>
      </c>
      <c r="AD1610" s="21" t="s">
        <v>81</v>
      </c>
      <c r="AE1610" s="6" t="s">
        <v>81</v>
      </c>
      <c r="AF1610" s="6" t="s">
        <v>81</v>
      </c>
      <c r="AG1610" s="6" t="s">
        <v>81</v>
      </c>
      <c r="AH1610" s="6" t="s">
        <v>16177</v>
      </c>
      <c r="AI1610" s="6" t="s">
        <v>81</v>
      </c>
      <c r="AJ1610" s="6" t="s">
        <v>17421</v>
      </c>
      <c r="AK1610" s="6" t="s">
        <v>18386</v>
      </c>
      <c r="AL1610" s="6" t="s">
        <v>18444</v>
      </c>
      <c r="AM1610" s="6" t="s">
        <v>18872</v>
      </c>
      <c r="AN1610" s="6" t="s">
        <v>81</v>
      </c>
      <c r="AO1610" s="6" t="s">
        <v>81</v>
      </c>
      <c r="AP1610" s="6" t="s">
        <v>16177</v>
      </c>
      <c r="AQ1610" s="6" t="s">
        <v>81</v>
      </c>
      <c r="AR1610" s="6" t="s">
        <v>17421</v>
      </c>
      <c r="AS1610" s="6" t="s">
        <v>18386</v>
      </c>
      <c r="AT1610" s="6" t="s">
        <v>18444</v>
      </c>
      <c r="AU1610" s="6" t="s">
        <v>18872</v>
      </c>
      <c r="AV1610" s="6" t="s">
        <v>19672</v>
      </c>
      <c r="AW1610" s="6" t="s">
        <v>19787</v>
      </c>
      <c r="AX1610" s="6" t="s">
        <v>21760</v>
      </c>
      <c r="AY1610" s="6" t="s">
        <v>23133</v>
      </c>
      <c r="AZ1610" s="6" t="s">
        <v>81</v>
      </c>
      <c r="BA1610" s="6" t="s">
        <v>81</v>
      </c>
      <c r="BB1610" s="24" t="n">
        <v>1062</v>
      </c>
      <c r="BC1610" s="26"/>
      <c r="BD1610" s="26"/>
      <c r="BE1610" s="26"/>
      <c r="BF1610" s="26"/>
      <c r="BG1610" s="26"/>
      <c r="BH1610" s="26"/>
      <c r="BI1610" s="26"/>
      <c r="BJ1610" s="26"/>
      <c r="BK1610" s="26"/>
      <c r="BL1610" s="26"/>
      <c r="BM1610" s="26"/>
      <c r="BN1610" s="26"/>
      <c r="BO1610" s="26"/>
      <c r="BP1610" s="16" t="n">
        <v>45667</v>
      </c>
      <c r="BQ1610" s="28" t="str">
        <f>HYPERLINK("https://organic.ams.usda.gov/Integrity/Certificate.aspx?cid=63&amp;nopid=6220006883")</f>
        <v>https://organic.ams.usda.gov/Integrity/Certificate.aspx?cid=63&amp;nopid=6220006883</v>
      </c>
    </row>
    <row r="1611">
      <c r="A1611" t="s">
        <v>3</v>
      </c>
      <c r="B1611" s="6" t="s">
        <v>7</v>
      </c>
      <c r="C1611" s="6" t="s">
        <v>54</v>
      </c>
      <c r="D1611" s="6" t="s">
        <v>100</v>
      </c>
      <c r="E1611" s="10" t="s">
        <v>1752</v>
      </c>
      <c r="F1611" s="6" t="s">
        <v>4474</v>
      </c>
      <c r="G1611" s="6" t="s">
        <v>81</v>
      </c>
      <c r="H1611" s="6" t="s">
        <v>7371</v>
      </c>
      <c r="I1611" s="6" t="s">
        <v>9210</v>
      </c>
      <c r="J1611" s="6" t="s">
        <v>10401</v>
      </c>
      <c r="K1611" s="6" t="s">
        <v>10886</v>
      </c>
      <c r="L1611" s="16" t="n">
        <v>39415</v>
      </c>
      <c r="M1611" s="16" t="n">
        <v>45716</v>
      </c>
      <c r="N1611" s="6" t="s">
        <v>10886</v>
      </c>
      <c r="O1611" s="16" t="n">
        <v>39415</v>
      </c>
      <c r="P1611" s="6" t="s">
        <v>11398</v>
      </c>
      <c r="Q1611" s="6" t="s">
        <v>81</v>
      </c>
      <c r="R1611" s="6" t="s">
        <v>81</v>
      </c>
      <c r="S1611" s="6" t="s">
        <v>10886</v>
      </c>
      <c r="T1611" s="16" t="n">
        <v>39415</v>
      </c>
      <c r="U1611" s="6" t="s">
        <v>13169</v>
      </c>
      <c r="V1611" s="6" t="s">
        <v>81</v>
      </c>
      <c r="W1611" s="6" t="s">
        <v>81</v>
      </c>
      <c r="X1611" s="6" t="s">
        <v>81</v>
      </c>
      <c r="Y1611" s="21" t="s">
        <v>81</v>
      </c>
      <c r="Z1611" s="6" t="s">
        <v>81</v>
      </c>
      <c r="AA1611" s="6" t="s">
        <v>81</v>
      </c>
      <c r="AB1611" s="6" t="s">
        <v>81</v>
      </c>
      <c r="AC1611" s="6" t="s">
        <v>81</v>
      </c>
      <c r="AD1611" s="21" t="s">
        <v>81</v>
      </c>
      <c r="AE1611" s="6" t="s">
        <v>81</v>
      </c>
      <c r="AF1611" s="6" t="s">
        <v>81</v>
      </c>
      <c r="AG1611" s="6" t="s">
        <v>81</v>
      </c>
      <c r="AH1611" s="6" t="s">
        <v>16178</v>
      </c>
      <c r="AI1611" s="6" t="s">
        <v>81</v>
      </c>
      <c r="AJ1611" s="6" t="s">
        <v>17789</v>
      </c>
      <c r="AK1611" s="6" t="s">
        <v>17712</v>
      </c>
      <c r="AL1611" s="6" t="s">
        <v>18444</v>
      </c>
      <c r="AM1611" s="6" t="s">
        <v>18966</v>
      </c>
      <c r="AN1611" s="6" t="s">
        <v>7450</v>
      </c>
      <c r="AO1611" s="6" t="s">
        <v>19897</v>
      </c>
      <c r="AP1611" s="6" t="s">
        <v>16178</v>
      </c>
      <c r="AQ1611" s="6" t="s">
        <v>81</v>
      </c>
      <c r="AR1611" s="6" t="s">
        <v>17789</v>
      </c>
      <c r="AS1611" s="6" t="s">
        <v>17712</v>
      </c>
      <c r="AT1611" s="6" t="s">
        <v>18444</v>
      </c>
      <c r="AU1611" s="6" t="s">
        <v>18966</v>
      </c>
      <c r="AV1611" s="6" t="s">
        <v>81</v>
      </c>
      <c r="AW1611" s="6" t="s">
        <v>81</v>
      </c>
      <c r="AX1611" s="6" t="s">
        <v>21761</v>
      </c>
      <c r="AY1611" s="6" t="s">
        <v>23134</v>
      </c>
      <c r="AZ1611" s="6" t="s">
        <v>81</v>
      </c>
      <c r="BA1611" s="6" t="s">
        <v>81</v>
      </c>
      <c r="BB1611" s="24" t="n">
        <v>0</v>
      </c>
      <c r="BC1611" s="26"/>
      <c r="BD1611" s="26"/>
      <c r="BE1611" s="26"/>
      <c r="BF1611" s="26" t="s">
        <v>23900</v>
      </c>
      <c r="BG1611" s="26"/>
      <c r="BH1611" s="26"/>
      <c r="BI1611" s="26"/>
      <c r="BJ1611" s="26"/>
      <c r="BK1611" s="26"/>
      <c r="BL1611" s="26"/>
      <c r="BM1611" s="26"/>
      <c r="BN1611" s="26"/>
      <c r="BO1611" s="26"/>
      <c r="BP1611" s="16" t="n">
        <v>45707</v>
      </c>
      <c r="BQ1611" s="28" t="str">
        <f>HYPERLINK("https://organic.ams.usda.gov/Integrity/Certificate.aspx?cid=57&amp;nopid=3252006187")</f>
        <v>https://organic.ams.usda.gov/Integrity/Certificate.aspx?cid=57&amp;nopid=3252006187</v>
      </c>
    </row>
    <row r="1612">
      <c r="A1612" t="s">
        <v>3</v>
      </c>
      <c r="B1612" s="6" t="s">
        <v>8</v>
      </c>
      <c r="C1612" s="6" t="s">
        <v>55</v>
      </c>
      <c r="D1612" s="6" t="s">
        <v>101</v>
      </c>
      <c r="E1612" s="10" t="s">
        <v>1753</v>
      </c>
      <c r="F1612" s="6" t="s">
        <v>4475</v>
      </c>
      <c r="G1612" s="6" t="s">
        <v>81</v>
      </c>
      <c r="H1612" s="6" t="s">
        <v>7372</v>
      </c>
      <c r="I1612" s="6" t="s">
        <v>9033</v>
      </c>
      <c r="J1612" s="6" t="s">
        <v>10402</v>
      </c>
      <c r="K1612" s="6" t="s">
        <v>10886</v>
      </c>
      <c r="L1612" s="16" t="n">
        <v>41506</v>
      </c>
      <c r="M1612" s="16" t="n">
        <v>45748</v>
      </c>
      <c r="N1612" s="6" t="s">
        <v>10886</v>
      </c>
      <c r="O1612" s="16" t="n">
        <v>41506</v>
      </c>
      <c r="P1612" s="6" t="s">
        <v>11853</v>
      </c>
      <c r="Q1612" s="6" t="s">
        <v>81</v>
      </c>
      <c r="R1612" s="6" t="s">
        <v>7372</v>
      </c>
      <c r="S1612" s="6" t="s">
        <v>10886</v>
      </c>
      <c r="T1612" s="16" t="n">
        <v>41506</v>
      </c>
      <c r="U1612" s="6" t="s">
        <v>13179</v>
      </c>
      <c r="V1612" s="6" t="s">
        <v>81</v>
      </c>
      <c r="W1612" s="6" t="s">
        <v>7372</v>
      </c>
      <c r="X1612" s="6" t="s">
        <v>81</v>
      </c>
      <c r="Y1612" s="21" t="s">
        <v>81</v>
      </c>
      <c r="Z1612" s="6" t="s">
        <v>81</v>
      </c>
      <c r="AA1612" s="6" t="s">
        <v>81</v>
      </c>
      <c r="AB1612" s="6" t="s">
        <v>81</v>
      </c>
      <c r="AC1612" s="6" t="s">
        <v>81</v>
      </c>
      <c r="AD1612" s="21" t="s">
        <v>81</v>
      </c>
      <c r="AE1612" s="6" t="s">
        <v>81</v>
      </c>
      <c r="AF1612" s="6" t="s">
        <v>81</v>
      </c>
      <c r="AG1612" s="6" t="s">
        <v>81</v>
      </c>
      <c r="AH1612" s="6" t="s">
        <v>16179</v>
      </c>
      <c r="AI1612" s="6" t="s">
        <v>81</v>
      </c>
      <c r="AJ1612" s="6" t="s">
        <v>17888</v>
      </c>
      <c r="AK1612" s="6" t="s">
        <v>18377</v>
      </c>
      <c r="AL1612" s="6" t="s">
        <v>18444</v>
      </c>
      <c r="AM1612" s="6" t="s">
        <v>19074</v>
      </c>
      <c r="AN1612" s="6" t="s">
        <v>19642</v>
      </c>
      <c r="AO1612" s="6" t="s">
        <v>19966</v>
      </c>
      <c r="AP1612" s="6" t="s">
        <v>81</v>
      </c>
      <c r="AQ1612" s="6" t="s">
        <v>81</v>
      </c>
      <c r="AR1612" s="6" t="s">
        <v>81</v>
      </c>
      <c r="AS1612" s="6" t="s">
        <v>81</v>
      </c>
      <c r="AT1612" s="6" t="s">
        <v>81</v>
      </c>
      <c r="AU1612" s="6" t="s">
        <v>81</v>
      </c>
      <c r="AV1612" s="6" t="s">
        <v>81</v>
      </c>
      <c r="AW1612" s="6" t="s">
        <v>81</v>
      </c>
      <c r="AX1612" s="6" t="s">
        <v>81</v>
      </c>
      <c r="AY1612" s="6" t="s">
        <v>23135</v>
      </c>
      <c r="AZ1612" s="6" t="s">
        <v>81</v>
      </c>
      <c r="BA1612" s="6" t="s">
        <v>23824</v>
      </c>
      <c r="BB1612" s="24" t="n">
        <v>400</v>
      </c>
      <c r="BC1612" s="26"/>
      <c r="BD1612" s="26"/>
      <c r="BE1612" s="26"/>
      <c r="BF1612" s="26" t="s">
        <v>23900</v>
      </c>
      <c r="BG1612" s="26"/>
      <c r="BH1612" s="26"/>
      <c r="BI1612" s="26"/>
      <c r="BJ1612" s="26"/>
      <c r="BK1612" s="26"/>
      <c r="BL1612" s="26"/>
      <c r="BM1612" s="26"/>
      <c r="BN1612" s="26"/>
      <c r="BO1612" s="26"/>
      <c r="BP1612" s="16" t="n">
        <v>45659</v>
      </c>
      <c r="BQ1612" s="28" t="str">
        <f>HYPERLINK("https://organic.ams.usda.gov/Integrity/Certificate.aspx?cid=45&amp;nopid=9950004833")</f>
        <v>https://organic.ams.usda.gov/Integrity/Certificate.aspx?cid=45&amp;nopid=9950004833</v>
      </c>
    </row>
    <row r="1613">
      <c r="A1613" t="s">
        <v>3</v>
      </c>
      <c r="B1613" s="6" t="s">
        <v>24</v>
      </c>
      <c r="C1613" s="6" t="s">
        <v>71</v>
      </c>
      <c r="D1613" s="6" t="s">
        <v>117</v>
      </c>
      <c r="E1613" s="10" t="s">
        <v>1754</v>
      </c>
      <c r="F1613" s="6" t="s">
        <v>4476</v>
      </c>
      <c r="G1613" s="6" t="s">
        <v>81</v>
      </c>
      <c r="H1613" s="6" t="s">
        <v>81</v>
      </c>
      <c r="I1613" s="6" t="s">
        <v>9211</v>
      </c>
      <c r="J1613" s="6" t="s">
        <v>10403</v>
      </c>
      <c r="K1613" s="6" t="s">
        <v>10886</v>
      </c>
      <c r="L1613" s="16" t="n">
        <v>44729</v>
      </c>
      <c r="M1613" s="16" t="n">
        <v>45901</v>
      </c>
      <c r="N1613" s="6" t="s">
        <v>10886</v>
      </c>
      <c r="O1613" s="16" t="n">
        <v>45071</v>
      </c>
      <c r="P1613" s="6" t="s">
        <v>11854</v>
      </c>
      <c r="Q1613" s="6" t="s">
        <v>81</v>
      </c>
      <c r="R1613" s="6" t="s">
        <v>81</v>
      </c>
      <c r="S1613" s="6" t="s">
        <v>10886</v>
      </c>
      <c r="T1613" s="16" t="n">
        <v>44729</v>
      </c>
      <c r="U1613" s="6" t="s">
        <v>13278</v>
      </c>
      <c r="V1613" s="6" t="s">
        <v>81</v>
      </c>
      <c r="W1613" s="6" t="s">
        <v>81</v>
      </c>
      <c r="X1613" s="6" t="s">
        <v>81</v>
      </c>
      <c r="Y1613" s="21" t="s">
        <v>81</v>
      </c>
      <c r="Z1613" s="6" t="s">
        <v>81</v>
      </c>
      <c r="AA1613" s="6" t="s">
        <v>81</v>
      </c>
      <c r="AB1613" s="6" t="s">
        <v>81</v>
      </c>
      <c r="AC1613" s="6" t="s">
        <v>10886</v>
      </c>
      <c r="AD1613" s="16" t="n">
        <v>44729</v>
      </c>
      <c r="AE1613" s="6" t="s">
        <v>14014</v>
      </c>
      <c r="AF1613" s="6" t="s">
        <v>81</v>
      </c>
      <c r="AG1613" s="6" t="s">
        <v>81</v>
      </c>
      <c r="AH1613" s="6" t="s">
        <v>16180</v>
      </c>
      <c r="AI1613" s="6" t="s">
        <v>81</v>
      </c>
      <c r="AJ1613" s="6" t="s">
        <v>18053</v>
      </c>
      <c r="AK1613" s="6" t="s">
        <v>18400</v>
      </c>
      <c r="AL1613" s="6" t="s">
        <v>18444</v>
      </c>
      <c r="AM1613" s="6" t="s">
        <v>19248</v>
      </c>
      <c r="AN1613" s="6" t="s">
        <v>19644</v>
      </c>
      <c r="AO1613" s="6" t="s">
        <v>19992</v>
      </c>
      <c r="AP1613" s="6" t="s">
        <v>16180</v>
      </c>
      <c r="AQ1613" s="6" t="s">
        <v>81</v>
      </c>
      <c r="AR1613" s="6" t="s">
        <v>18053</v>
      </c>
      <c r="AS1613" s="6" t="s">
        <v>18400</v>
      </c>
      <c r="AT1613" s="6" t="s">
        <v>18444</v>
      </c>
      <c r="AU1613" s="6" t="s">
        <v>19248</v>
      </c>
      <c r="AV1613" s="6" t="s">
        <v>81</v>
      </c>
      <c r="AW1613" s="6" t="s">
        <v>81</v>
      </c>
      <c r="AX1613" s="6" t="s">
        <v>81</v>
      </c>
      <c r="AY1613" s="6" t="s">
        <v>23136</v>
      </c>
      <c r="AZ1613" s="6" t="s">
        <v>81</v>
      </c>
      <c r="BA1613" s="6" t="s">
        <v>81</v>
      </c>
      <c r="BB1613" s="24" t="n">
        <v>239</v>
      </c>
      <c r="BC1613" s="26"/>
      <c r="BD1613" s="26"/>
      <c r="BE1613" s="26"/>
      <c r="BF1613" s="26"/>
      <c r="BG1613" s="26"/>
      <c r="BH1613" s="26"/>
      <c r="BI1613" s="26"/>
      <c r="BJ1613" s="26"/>
      <c r="BK1613" s="26"/>
      <c r="BL1613" s="26"/>
      <c r="BM1613" s="26"/>
      <c r="BN1613" s="26"/>
      <c r="BO1613" s="26"/>
      <c r="BP1613" s="16" t="n">
        <v>45628</v>
      </c>
      <c r="BQ1613" s="28" t="str">
        <f>HYPERLINK("https://organic.ams.usda.gov/Integrity/Certificate.aspx?cid=1&amp;nopid=9092202008")</f>
        <v>https://organic.ams.usda.gov/Integrity/Certificate.aspx?cid=1&amp;nopid=9092202008</v>
      </c>
    </row>
    <row r="1614">
      <c r="A1614" t="s">
        <v>3</v>
      </c>
      <c r="B1614" s="6" t="s">
        <v>20</v>
      </c>
      <c r="C1614" s="6" t="s">
        <v>67</v>
      </c>
      <c r="D1614" s="6" t="s">
        <v>113</v>
      </c>
      <c r="E1614" s="10" t="s">
        <v>1755</v>
      </c>
      <c r="F1614" s="6" t="s">
        <v>4477</v>
      </c>
      <c r="G1614" s="6" t="s">
        <v>81</v>
      </c>
      <c r="H1614" s="6" t="s">
        <v>7373</v>
      </c>
      <c r="I1614" s="6" t="s">
        <v>9212</v>
      </c>
      <c r="J1614" s="6" t="s">
        <v>10404</v>
      </c>
      <c r="K1614" s="6" t="s">
        <v>10886</v>
      </c>
      <c r="L1614" s="16" t="n">
        <v>45421</v>
      </c>
      <c r="M1614" s="16" t="n">
        <v>45734</v>
      </c>
      <c r="N1614" s="6" t="s">
        <v>81</v>
      </c>
      <c r="O1614" s="21" t="s">
        <v>81</v>
      </c>
      <c r="P1614" s="6" t="s">
        <v>81</v>
      </c>
      <c r="Q1614" s="6" t="s">
        <v>81</v>
      </c>
      <c r="R1614" s="6" t="s">
        <v>81</v>
      </c>
      <c r="S1614" s="6" t="s">
        <v>81</v>
      </c>
      <c r="T1614" s="21" t="s">
        <v>81</v>
      </c>
      <c r="U1614" s="6" t="s">
        <v>81</v>
      </c>
      <c r="V1614" s="6" t="s">
        <v>81</v>
      </c>
      <c r="W1614" s="6" t="s">
        <v>81</v>
      </c>
      <c r="X1614" s="6" t="s">
        <v>81</v>
      </c>
      <c r="Y1614" s="21" t="s">
        <v>81</v>
      </c>
      <c r="Z1614" s="6" t="s">
        <v>81</v>
      </c>
      <c r="AA1614" s="6" t="s">
        <v>81</v>
      </c>
      <c r="AB1614" s="6" t="s">
        <v>81</v>
      </c>
      <c r="AC1614" s="6" t="s">
        <v>10886</v>
      </c>
      <c r="AD1614" s="16" t="n">
        <v>45421</v>
      </c>
      <c r="AE1614" s="6" t="s">
        <v>14293</v>
      </c>
      <c r="AF1614" s="6" t="s">
        <v>81</v>
      </c>
      <c r="AG1614" s="6" t="s">
        <v>14574</v>
      </c>
      <c r="AH1614" s="6" t="s">
        <v>16181</v>
      </c>
      <c r="AI1614" s="6" t="s">
        <v>17293</v>
      </c>
      <c r="AJ1614" s="6" t="s">
        <v>18054</v>
      </c>
      <c r="AK1614" s="6" t="s">
        <v>18381</v>
      </c>
      <c r="AL1614" s="6" t="s">
        <v>18444</v>
      </c>
      <c r="AM1614" s="6" t="s">
        <v>19249</v>
      </c>
      <c r="AN1614" s="6" t="s">
        <v>81</v>
      </c>
      <c r="AO1614" s="6" t="s">
        <v>81</v>
      </c>
      <c r="AP1614" s="6" t="s">
        <v>16181</v>
      </c>
      <c r="AQ1614" s="6" t="s">
        <v>17293</v>
      </c>
      <c r="AR1614" s="6" t="s">
        <v>18054</v>
      </c>
      <c r="AS1614" s="6" t="s">
        <v>18381</v>
      </c>
      <c r="AT1614" s="6" t="s">
        <v>18444</v>
      </c>
      <c r="AU1614" s="6" t="s">
        <v>19249</v>
      </c>
      <c r="AV1614" s="6" t="s">
        <v>81</v>
      </c>
      <c r="AW1614" s="6" t="s">
        <v>81</v>
      </c>
      <c r="AX1614" s="6" t="s">
        <v>21762</v>
      </c>
      <c r="AY1614" s="6" t="s">
        <v>23137</v>
      </c>
      <c r="AZ1614" s="6" t="s">
        <v>23709</v>
      </c>
      <c r="BA1614" s="6" t="s">
        <v>81</v>
      </c>
      <c r="BB1614" s="6" t="s">
        <v>81</v>
      </c>
      <c r="BC1614" s="26"/>
      <c r="BD1614" s="26"/>
      <c r="BE1614" s="26"/>
      <c r="BF1614" s="26"/>
      <c r="BG1614" s="26"/>
      <c r="BH1614" s="26" t="s">
        <v>23900</v>
      </c>
      <c r="BI1614" s="26"/>
      <c r="BJ1614" s="26"/>
      <c r="BK1614" s="26"/>
      <c r="BL1614" s="26"/>
      <c r="BM1614" s="26"/>
      <c r="BN1614" s="26"/>
      <c r="BO1614" s="26"/>
      <c r="BP1614" s="16" t="n">
        <v>45737</v>
      </c>
      <c r="BQ1614" s="28" t="str">
        <f>HYPERLINK("https://organic.ams.usda.gov/Integrity/Certificate.aspx?cid=71&amp;nopid=5520811931")</f>
        <v>https://organic.ams.usda.gov/Integrity/Certificate.aspx?cid=71&amp;nopid=5520811931</v>
      </c>
    </row>
    <row r="1615">
      <c r="A1615" t="s">
        <v>3</v>
      </c>
      <c r="B1615" s="6" t="s">
        <v>8</v>
      </c>
      <c r="C1615" s="6" t="s">
        <v>55</v>
      </c>
      <c r="D1615" s="6" t="s">
        <v>101</v>
      </c>
      <c r="E1615" s="10" t="s">
        <v>1756</v>
      </c>
      <c r="F1615" s="6" t="s">
        <v>4478</v>
      </c>
      <c r="G1615" s="6" t="s">
        <v>81</v>
      </c>
      <c r="H1615" s="6" t="s">
        <v>7374</v>
      </c>
      <c r="I1615" s="6" t="s">
        <v>9136</v>
      </c>
      <c r="J1615" s="6" t="s">
        <v>10405</v>
      </c>
      <c r="K1615" s="6" t="s">
        <v>10886</v>
      </c>
      <c r="L1615" s="16" t="n">
        <v>40889</v>
      </c>
      <c r="M1615" s="16" t="n">
        <v>45689</v>
      </c>
      <c r="N1615" s="6" t="s">
        <v>10886</v>
      </c>
      <c r="O1615" s="16" t="n">
        <v>40889</v>
      </c>
      <c r="P1615" s="6" t="s">
        <v>11855</v>
      </c>
      <c r="Q1615" s="6" t="s">
        <v>81</v>
      </c>
      <c r="R1615" s="6" t="s">
        <v>7374</v>
      </c>
      <c r="S1615" s="6" t="s">
        <v>10886</v>
      </c>
      <c r="T1615" s="16" t="n">
        <v>40889</v>
      </c>
      <c r="U1615" s="6" t="s">
        <v>13357</v>
      </c>
      <c r="V1615" s="6" t="s">
        <v>81</v>
      </c>
      <c r="W1615" s="6" t="s">
        <v>7374</v>
      </c>
      <c r="X1615" s="6" t="s">
        <v>81</v>
      </c>
      <c r="Y1615" s="21" t="s">
        <v>81</v>
      </c>
      <c r="Z1615" s="6" t="s">
        <v>81</v>
      </c>
      <c r="AA1615" s="6" t="s">
        <v>81</v>
      </c>
      <c r="AB1615" s="6" t="s">
        <v>81</v>
      </c>
      <c r="AC1615" s="6" t="s">
        <v>81</v>
      </c>
      <c r="AD1615" s="21" t="s">
        <v>81</v>
      </c>
      <c r="AE1615" s="6" t="s">
        <v>81</v>
      </c>
      <c r="AF1615" s="6" t="s">
        <v>81</v>
      </c>
      <c r="AG1615" s="6" t="s">
        <v>81</v>
      </c>
      <c r="AH1615" s="6" t="s">
        <v>16182</v>
      </c>
      <c r="AI1615" s="6" t="s">
        <v>81</v>
      </c>
      <c r="AJ1615" s="6" t="s">
        <v>18055</v>
      </c>
      <c r="AK1615" s="6" t="s">
        <v>18377</v>
      </c>
      <c r="AL1615" s="6" t="s">
        <v>18444</v>
      </c>
      <c r="AM1615" s="6" t="s">
        <v>19250</v>
      </c>
      <c r="AN1615" s="6" t="s">
        <v>19653</v>
      </c>
      <c r="AO1615" s="6" t="s">
        <v>19838</v>
      </c>
      <c r="AP1615" s="6" t="s">
        <v>81</v>
      </c>
      <c r="AQ1615" s="6" t="s">
        <v>81</v>
      </c>
      <c r="AR1615" s="6" t="s">
        <v>81</v>
      </c>
      <c r="AS1615" s="6" t="s">
        <v>81</v>
      </c>
      <c r="AT1615" s="6" t="s">
        <v>81</v>
      </c>
      <c r="AU1615" s="6" t="s">
        <v>81</v>
      </c>
      <c r="AV1615" s="6" t="s">
        <v>81</v>
      </c>
      <c r="AW1615" s="6" t="s">
        <v>81</v>
      </c>
      <c r="AX1615" s="6" t="s">
        <v>21763</v>
      </c>
      <c r="AY1615" s="6" t="s">
        <v>23138</v>
      </c>
      <c r="AZ1615" s="6" t="s">
        <v>81</v>
      </c>
      <c r="BA1615" s="6" t="s">
        <v>23819</v>
      </c>
      <c r="BB1615" s="24" t="n">
        <v>396</v>
      </c>
      <c r="BC1615" s="26"/>
      <c r="BD1615" s="26"/>
      <c r="BE1615" s="26"/>
      <c r="BF1615" s="26" t="s">
        <v>23900</v>
      </c>
      <c r="BG1615" s="26"/>
      <c r="BH1615" s="26"/>
      <c r="BI1615" s="26"/>
      <c r="BJ1615" s="26"/>
      <c r="BK1615" s="26"/>
      <c r="BL1615" s="26"/>
      <c r="BM1615" s="26"/>
      <c r="BN1615" s="26"/>
      <c r="BO1615" s="26"/>
      <c r="BP1615" s="16" t="n">
        <v>45723</v>
      </c>
      <c r="BQ1615" s="28" t="str">
        <f>HYPERLINK("https://organic.ams.usda.gov/Integrity/Certificate.aspx?cid=45&amp;nopid=9950004705")</f>
        <v>https://organic.ams.usda.gov/Integrity/Certificate.aspx?cid=45&amp;nopid=9950004705</v>
      </c>
    </row>
    <row r="1616">
      <c r="A1616" t="s">
        <v>3</v>
      </c>
      <c r="B1616" s="6" t="s">
        <v>8</v>
      </c>
      <c r="C1616" s="6" t="s">
        <v>55</v>
      </c>
      <c r="D1616" s="6" t="s">
        <v>101</v>
      </c>
      <c r="E1616" s="10" t="s">
        <v>1757</v>
      </c>
      <c r="F1616" s="6" t="s">
        <v>4479</v>
      </c>
      <c r="G1616" s="6" t="s">
        <v>5741</v>
      </c>
      <c r="H1616" s="6" t="s">
        <v>7375</v>
      </c>
      <c r="I1616" s="6" t="s">
        <v>8573</v>
      </c>
      <c r="J1616" s="6" t="s">
        <v>10049</v>
      </c>
      <c r="K1616" s="6" t="s">
        <v>10886</v>
      </c>
      <c r="L1616" s="16" t="n">
        <v>42978</v>
      </c>
      <c r="M1616" s="16" t="n">
        <v>45748</v>
      </c>
      <c r="N1616" s="6" t="s">
        <v>10886</v>
      </c>
      <c r="O1616" s="16" t="n">
        <v>42978</v>
      </c>
      <c r="P1616" s="6" t="s">
        <v>11856</v>
      </c>
      <c r="Q1616" s="6" t="s">
        <v>81</v>
      </c>
      <c r="R1616" s="6" t="s">
        <v>7375</v>
      </c>
      <c r="S1616" s="6" t="s">
        <v>10886</v>
      </c>
      <c r="T1616" s="16" t="n">
        <v>42978</v>
      </c>
      <c r="U1616" s="6" t="s">
        <v>13669</v>
      </c>
      <c r="V1616" s="6" t="s">
        <v>81</v>
      </c>
      <c r="W1616" s="6" t="s">
        <v>7375</v>
      </c>
      <c r="X1616" s="6" t="s">
        <v>81</v>
      </c>
      <c r="Y1616" s="21" t="s">
        <v>81</v>
      </c>
      <c r="Z1616" s="6" t="s">
        <v>81</v>
      </c>
      <c r="AA1616" s="6" t="s">
        <v>81</v>
      </c>
      <c r="AB1616" s="6" t="s">
        <v>81</v>
      </c>
      <c r="AC1616" s="6" t="s">
        <v>81</v>
      </c>
      <c r="AD1616" s="21" t="s">
        <v>81</v>
      </c>
      <c r="AE1616" s="6" t="s">
        <v>81</v>
      </c>
      <c r="AF1616" s="6" t="s">
        <v>81</v>
      </c>
      <c r="AG1616" s="6" t="s">
        <v>81</v>
      </c>
      <c r="AH1616" s="6" t="s">
        <v>16183</v>
      </c>
      <c r="AI1616" s="6" t="s">
        <v>81</v>
      </c>
      <c r="AJ1616" s="6" t="s">
        <v>18056</v>
      </c>
      <c r="AK1616" s="6" t="s">
        <v>18378</v>
      </c>
      <c r="AL1616" s="6" t="s">
        <v>18444</v>
      </c>
      <c r="AM1616" s="6" t="s">
        <v>18489</v>
      </c>
      <c r="AN1616" s="6" t="s">
        <v>19640</v>
      </c>
      <c r="AO1616" s="6" t="s">
        <v>19726</v>
      </c>
      <c r="AP1616" s="6" t="s">
        <v>81</v>
      </c>
      <c r="AQ1616" s="6" t="s">
        <v>81</v>
      </c>
      <c r="AR1616" s="6" t="s">
        <v>81</v>
      </c>
      <c r="AS1616" s="6" t="s">
        <v>81</v>
      </c>
      <c r="AT1616" s="6" t="s">
        <v>81</v>
      </c>
      <c r="AU1616" s="6" t="s">
        <v>81</v>
      </c>
      <c r="AV1616" s="6" t="s">
        <v>81</v>
      </c>
      <c r="AW1616" s="6" t="s">
        <v>81</v>
      </c>
      <c r="AX1616" s="6" t="s">
        <v>81</v>
      </c>
      <c r="AY1616" s="6" t="s">
        <v>81</v>
      </c>
      <c r="AZ1616" s="6" t="s">
        <v>81</v>
      </c>
      <c r="BA1616" s="6" t="s">
        <v>23824</v>
      </c>
      <c r="BB1616" s="24" t="n">
        <v>109</v>
      </c>
      <c r="BC1616" s="26"/>
      <c r="BD1616" s="26"/>
      <c r="BE1616" s="26"/>
      <c r="BF1616" s="26"/>
      <c r="BG1616" s="26"/>
      <c r="BH1616" s="26"/>
      <c r="BI1616" s="26"/>
      <c r="BJ1616" s="26"/>
      <c r="BK1616" s="26"/>
      <c r="BL1616" s="26"/>
      <c r="BM1616" s="26"/>
      <c r="BN1616" s="26"/>
      <c r="BO1616" s="26"/>
      <c r="BP1616" s="16" t="n">
        <v>45617</v>
      </c>
      <c r="BQ1616" s="28" t="str">
        <f>HYPERLINK("https://organic.ams.usda.gov/Integrity/Certificate.aspx?cid=45&amp;nopid=9950009388")</f>
        <v>https://organic.ams.usda.gov/Integrity/Certificate.aspx?cid=45&amp;nopid=9950009388</v>
      </c>
    </row>
    <row r="1617">
      <c r="A1617" t="s">
        <v>3</v>
      </c>
      <c r="B1617" s="6" t="s">
        <v>29</v>
      </c>
      <c r="C1617" s="6" t="s">
        <v>76</v>
      </c>
      <c r="D1617" s="6" t="s">
        <v>122</v>
      </c>
      <c r="E1617" s="10" t="s">
        <v>1758</v>
      </c>
      <c r="F1617" s="6" t="s">
        <v>4480</v>
      </c>
      <c r="G1617" s="6" t="s">
        <v>5742</v>
      </c>
      <c r="H1617" s="6" t="s">
        <v>7376</v>
      </c>
      <c r="I1617" s="6" t="s">
        <v>9213</v>
      </c>
      <c r="J1617" s="6" t="s">
        <v>9669</v>
      </c>
      <c r="K1617" s="6" t="s">
        <v>10886</v>
      </c>
      <c r="L1617" s="16" t="n">
        <v>38215</v>
      </c>
      <c r="M1617" s="16" t="n">
        <v>45870</v>
      </c>
      <c r="N1617" s="6" t="s">
        <v>10886</v>
      </c>
      <c r="O1617" s="16" t="n">
        <v>38215</v>
      </c>
      <c r="P1617" s="6" t="s">
        <v>11132</v>
      </c>
      <c r="Q1617" s="6" t="s">
        <v>81</v>
      </c>
      <c r="R1617" s="6" t="s">
        <v>12869</v>
      </c>
      <c r="S1617" s="6" t="s">
        <v>10886</v>
      </c>
      <c r="T1617" s="16" t="n">
        <v>38215</v>
      </c>
      <c r="U1617" s="6" t="s">
        <v>13670</v>
      </c>
      <c r="V1617" s="6" t="s">
        <v>81</v>
      </c>
      <c r="W1617" s="6" t="s">
        <v>12869</v>
      </c>
      <c r="X1617" s="6" t="s">
        <v>81</v>
      </c>
      <c r="Y1617" s="21" t="s">
        <v>81</v>
      </c>
      <c r="Z1617" s="6" t="s">
        <v>81</v>
      </c>
      <c r="AA1617" s="6" t="s">
        <v>81</v>
      </c>
      <c r="AB1617" s="6" t="s">
        <v>81</v>
      </c>
      <c r="AC1617" s="6" t="s">
        <v>81</v>
      </c>
      <c r="AD1617" s="21" t="s">
        <v>81</v>
      </c>
      <c r="AE1617" s="6" t="s">
        <v>81</v>
      </c>
      <c r="AF1617" s="6" t="s">
        <v>81</v>
      </c>
      <c r="AG1617" s="6" t="s">
        <v>81</v>
      </c>
      <c r="AH1617" s="6" t="s">
        <v>16184</v>
      </c>
      <c r="AI1617" s="6" t="s">
        <v>81</v>
      </c>
      <c r="AJ1617" s="6" t="s">
        <v>17426</v>
      </c>
      <c r="AK1617" s="6" t="s">
        <v>18384</v>
      </c>
      <c r="AL1617" s="6" t="s">
        <v>18444</v>
      </c>
      <c r="AM1617" s="6" t="s">
        <v>18583</v>
      </c>
      <c r="AN1617" s="6" t="s">
        <v>19675</v>
      </c>
      <c r="AO1617" s="6" t="s">
        <v>19721</v>
      </c>
      <c r="AP1617" s="6" t="s">
        <v>81</v>
      </c>
      <c r="AQ1617" s="6" t="s">
        <v>81</v>
      </c>
      <c r="AR1617" s="6" t="s">
        <v>81</v>
      </c>
      <c r="AS1617" s="6" t="s">
        <v>81</v>
      </c>
      <c r="AT1617" s="6" t="s">
        <v>81</v>
      </c>
      <c r="AU1617" s="6" t="s">
        <v>81</v>
      </c>
      <c r="AV1617" s="6" t="s">
        <v>81</v>
      </c>
      <c r="AW1617" s="6" t="s">
        <v>81</v>
      </c>
      <c r="AX1617" s="6" t="s">
        <v>81</v>
      </c>
      <c r="AY1617" s="6" t="s">
        <v>81</v>
      </c>
      <c r="AZ1617" s="6" t="s">
        <v>81</v>
      </c>
      <c r="BA1617" s="6" t="s">
        <v>81</v>
      </c>
      <c r="BB1617" s="24" t="n">
        <v>124</v>
      </c>
      <c r="BC1617" s="26"/>
      <c r="BD1617" s="26"/>
      <c r="BE1617" s="26"/>
      <c r="BF1617" s="26" t="s">
        <v>23900</v>
      </c>
      <c r="BG1617" s="26"/>
      <c r="BH1617" s="26"/>
      <c r="BI1617" s="26"/>
      <c r="BJ1617" s="26"/>
      <c r="BK1617" s="26"/>
      <c r="BL1617" s="26"/>
      <c r="BM1617" s="26"/>
      <c r="BN1617" s="26"/>
      <c r="BO1617" s="26"/>
      <c r="BP1617" s="16" t="n">
        <v>45737</v>
      </c>
      <c r="BQ1617" s="28" t="str">
        <f>HYPERLINK("https://organic.ams.usda.gov/Integrity/Certificate.aspx?cid=31&amp;nopid=3920897373")</f>
        <v>https://organic.ams.usda.gov/Integrity/Certificate.aspx?cid=31&amp;nopid=3920897373</v>
      </c>
    </row>
    <row r="1618">
      <c r="A1618" t="s">
        <v>3</v>
      </c>
      <c r="B1618" s="6" t="s">
        <v>7</v>
      </c>
      <c r="C1618" s="6" t="s">
        <v>54</v>
      </c>
      <c r="D1618" s="6" t="s">
        <v>100</v>
      </c>
      <c r="E1618" s="10" t="s">
        <v>1759</v>
      </c>
      <c r="F1618" s="6" t="s">
        <v>4481</v>
      </c>
      <c r="G1618" s="6" t="s">
        <v>81</v>
      </c>
      <c r="H1618" s="6" t="s">
        <v>7377</v>
      </c>
      <c r="I1618" s="6" t="s">
        <v>9214</v>
      </c>
      <c r="J1618" s="6" t="s">
        <v>9760</v>
      </c>
      <c r="K1618" s="6" t="s">
        <v>10886</v>
      </c>
      <c r="L1618" s="16" t="n">
        <v>39455</v>
      </c>
      <c r="M1618" s="16" t="n">
        <v>45716</v>
      </c>
      <c r="N1618" s="6" t="s">
        <v>10886</v>
      </c>
      <c r="O1618" s="16" t="n">
        <v>39455</v>
      </c>
      <c r="P1618" s="6" t="s">
        <v>11374</v>
      </c>
      <c r="Q1618" s="6" t="s">
        <v>81</v>
      </c>
      <c r="R1618" s="6" t="s">
        <v>81</v>
      </c>
      <c r="S1618" s="6" t="s">
        <v>10886</v>
      </c>
      <c r="T1618" s="16" t="n">
        <v>39455</v>
      </c>
      <c r="U1618" s="6" t="s">
        <v>13169</v>
      </c>
      <c r="V1618" s="6" t="s">
        <v>81</v>
      </c>
      <c r="W1618" s="6" t="s">
        <v>81</v>
      </c>
      <c r="X1618" s="6" t="s">
        <v>81</v>
      </c>
      <c r="Y1618" s="21" t="s">
        <v>81</v>
      </c>
      <c r="Z1618" s="6" t="s">
        <v>81</v>
      </c>
      <c r="AA1618" s="6" t="s">
        <v>81</v>
      </c>
      <c r="AB1618" s="6" t="s">
        <v>81</v>
      </c>
      <c r="AC1618" s="6" t="s">
        <v>81</v>
      </c>
      <c r="AD1618" s="21" t="s">
        <v>81</v>
      </c>
      <c r="AE1618" s="6" t="s">
        <v>81</v>
      </c>
      <c r="AF1618" s="6" t="s">
        <v>81</v>
      </c>
      <c r="AG1618" s="6" t="s">
        <v>81</v>
      </c>
      <c r="AH1618" s="6" t="s">
        <v>16185</v>
      </c>
      <c r="AI1618" s="6" t="s">
        <v>81</v>
      </c>
      <c r="AJ1618" s="6" t="s">
        <v>17346</v>
      </c>
      <c r="AK1618" s="6" t="s">
        <v>17712</v>
      </c>
      <c r="AL1618" s="6" t="s">
        <v>18444</v>
      </c>
      <c r="AM1618" s="6" t="s">
        <v>18500</v>
      </c>
      <c r="AN1618" s="6" t="s">
        <v>19652</v>
      </c>
      <c r="AO1618" s="6" t="s">
        <v>19742</v>
      </c>
      <c r="AP1618" s="6" t="s">
        <v>20303</v>
      </c>
      <c r="AQ1618" s="6" t="s">
        <v>81</v>
      </c>
      <c r="AR1618" s="6" t="s">
        <v>17346</v>
      </c>
      <c r="AS1618" s="6" t="s">
        <v>17712</v>
      </c>
      <c r="AT1618" s="6" t="s">
        <v>18444</v>
      </c>
      <c r="AU1618" s="6" t="s">
        <v>18500</v>
      </c>
      <c r="AV1618" s="6" t="s">
        <v>81</v>
      </c>
      <c r="AW1618" s="6" t="s">
        <v>81</v>
      </c>
      <c r="AX1618" s="6" t="s">
        <v>81</v>
      </c>
      <c r="AY1618" s="6" t="s">
        <v>81</v>
      </c>
      <c r="AZ1618" s="6" t="s">
        <v>81</v>
      </c>
      <c r="BA1618" s="6" t="s">
        <v>81</v>
      </c>
      <c r="BB1618" s="24" t="n">
        <v>68</v>
      </c>
      <c r="BC1618" s="26"/>
      <c r="BD1618" s="26"/>
      <c r="BE1618" s="26"/>
      <c r="BF1618" s="26" t="s">
        <v>23900</v>
      </c>
      <c r="BG1618" s="26"/>
      <c r="BH1618" s="26"/>
      <c r="BI1618" s="26"/>
      <c r="BJ1618" s="26"/>
      <c r="BK1618" s="26"/>
      <c r="BL1618" s="26"/>
      <c r="BM1618" s="26"/>
      <c r="BN1618" s="26"/>
      <c r="BO1618" s="26"/>
      <c r="BP1618" s="16" t="n">
        <v>45595</v>
      </c>
      <c r="BQ1618" s="28" t="str">
        <f>HYPERLINK("https://organic.ams.usda.gov/Integrity/Certificate.aspx?cid=57&amp;nopid=3252007052")</f>
        <v>https://organic.ams.usda.gov/Integrity/Certificate.aspx?cid=57&amp;nopid=3252007052</v>
      </c>
    </row>
    <row r="1619">
      <c r="A1619" t="s">
        <v>3</v>
      </c>
      <c r="B1619" s="6" t="s">
        <v>12</v>
      </c>
      <c r="C1619" s="6" t="s">
        <v>59</v>
      </c>
      <c r="D1619" s="6" t="s">
        <v>105</v>
      </c>
      <c r="E1619" s="10" t="s">
        <v>1760</v>
      </c>
      <c r="F1619" s="6" t="s">
        <v>4482</v>
      </c>
      <c r="G1619" s="6" t="s">
        <v>81</v>
      </c>
      <c r="H1619" s="6" t="s">
        <v>7378</v>
      </c>
      <c r="I1619" s="6" t="s">
        <v>8573</v>
      </c>
      <c r="J1619" s="6" t="s">
        <v>9699</v>
      </c>
      <c r="K1619" s="6" t="s">
        <v>10886</v>
      </c>
      <c r="L1619" s="16" t="n">
        <v>44131</v>
      </c>
      <c r="M1619" s="16" t="n">
        <v>45717</v>
      </c>
      <c r="N1619" s="6" t="s">
        <v>10886</v>
      </c>
      <c r="O1619" s="16" t="n">
        <v>44131</v>
      </c>
      <c r="P1619" s="6" t="s">
        <v>11048</v>
      </c>
      <c r="Q1619" s="6" t="s">
        <v>81</v>
      </c>
      <c r="R1619" s="6" t="s">
        <v>81</v>
      </c>
      <c r="S1619" s="6" t="s">
        <v>10886</v>
      </c>
      <c r="T1619" s="16" t="n">
        <v>44131</v>
      </c>
      <c r="U1619" s="6" t="s">
        <v>13632</v>
      </c>
      <c r="V1619" s="6" t="s">
        <v>81</v>
      </c>
      <c r="W1619" s="6" t="s">
        <v>81</v>
      </c>
      <c r="X1619" s="6" t="s">
        <v>81</v>
      </c>
      <c r="Y1619" s="21" t="s">
        <v>81</v>
      </c>
      <c r="Z1619" s="6" t="s">
        <v>81</v>
      </c>
      <c r="AA1619" s="6" t="s">
        <v>81</v>
      </c>
      <c r="AB1619" s="6" t="s">
        <v>81</v>
      </c>
      <c r="AC1619" s="6" t="s">
        <v>81</v>
      </c>
      <c r="AD1619" s="21" t="s">
        <v>81</v>
      </c>
      <c r="AE1619" s="6" t="s">
        <v>81</v>
      </c>
      <c r="AF1619" s="6" t="s">
        <v>81</v>
      </c>
      <c r="AG1619" s="6" t="s">
        <v>81</v>
      </c>
      <c r="AH1619" s="6" t="s">
        <v>16186</v>
      </c>
      <c r="AI1619" s="6" t="s">
        <v>81</v>
      </c>
      <c r="AJ1619" s="6" t="s">
        <v>18057</v>
      </c>
      <c r="AK1619" s="6" t="s">
        <v>18380</v>
      </c>
      <c r="AL1619" s="6" t="s">
        <v>18444</v>
      </c>
      <c r="AM1619" s="6" t="s">
        <v>19251</v>
      </c>
      <c r="AN1619" s="6" t="s">
        <v>19702</v>
      </c>
      <c r="AO1619" s="6" t="s">
        <v>19832</v>
      </c>
      <c r="AP1619" s="6" t="s">
        <v>16186</v>
      </c>
      <c r="AQ1619" s="6" t="s">
        <v>81</v>
      </c>
      <c r="AR1619" s="6" t="s">
        <v>18057</v>
      </c>
      <c r="AS1619" s="6" t="s">
        <v>18380</v>
      </c>
      <c r="AT1619" s="6" t="s">
        <v>18444</v>
      </c>
      <c r="AU1619" s="6" t="s">
        <v>19251</v>
      </c>
      <c r="AV1619" s="6" t="s">
        <v>81</v>
      </c>
      <c r="AW1619" s="6" t="s">
        <v>81</v>
      </c>
      <c r="AX1619" s="6" t="s">
        <v>21764</v>
      </c>
      <c r="AY1619" s="6" t="s">
        <v>81</v>
      </c>
      <c r="AZ1619" s="6" t="s">
        <v>81</v>
      </c>
      <c r="BA1619" s="6" t="s">
        <v>81</v>
      </c>
      <c r="BB1619" s="24" t="n">
        <v>328</v>
      </c>
      <c r="BC1619" s="26"/>
      <c r="BD1619" s="26"/>
      <c r="BE1619" s="26"/>
      <c r="BF1619" s="26"/>
      <c r="BG1619" s="26"/>
      <c r="BH1619" s="26"/>
      <c r="BI1619" s="26"/>
      <c r="BJ1619" s="26"/>
      <c r="BK1619" s="26"/>
      <c r="BL1619" s="26"/>
      <c r="BM1619" s="26"/>
      <c r="BN1619" s="26"/>
      <c r="BO1619" s="26"/>
      <c r="BP1619" s="16" t="n">
        <v>45691</v>
      </c>
      <c r="BQ1619" s="28" t="str">
        <f>HYPERLINK("https://organic.ams.usda.gov/Integrity/Certificate.aspx?cid=68&amp;nopid=8210007497")</f>
        <v>https://organic.ams.usda.gov/Integrity/Certificate.aspx?cid=68&amp;nopid=8210007497</v>
      </c>
    </row>
    <row r="1620">
      <c r="A1620" t="s">
        <v>3</v>
      </c>
      <c r="B1620" s="6" t="s">
        <v>9</v>
      </c>
      <c r="C1620" s="6" t="s">
        <v>56</v>
      </c>
      <c r="D1620" s="6" t="s">
        <v>102</v>
      </c>
      <c r="E1620" s="10" t="s">
        <v>1761</v>
      </c>
      <c r="F1620" s="6" t="s">
        <v>4483</v>
      </c>
      <c r="G1620" s="6" t="s">
        <v>81</v>
      </c>
      <c r="H1620" s="6" t="s">
        <v>7379</v>
      </c>
      <c r="I1620" s="6" t="s">
        <v>8573</v>
      </c>
      <c r="J1620" s="6" t="s">
        <v>9666</v>
      </c>
      <c r="K1620" s="6" t="s">
        <v>10886</v>
      </c>
      <c r="L1620" s="16" t="n">
        <v>43004</v>
      </c>
      <c r="M1620" s="16" t="n">
        <v>45748</v>
      </c>
      <c r="N1620" s="6" t="s">
        <v>10886</v>
      </c>
      <c r="O1620" s="16" t="n">
        <v>43004</v>
      </c>
      <c r="P1620" s="6" t="s">
        <v>11239</v>
      </c>
      <c r="Q1620" s="6" t="s">
        <v>81</v>
      </c>
      <c r="R1620" s="6" t="s">
        <v>12870</v>
      </c>
      <c r="S1620" s="6" t="s">
        <v>10886</v>
      </c>
      <c r="T1620" s="16" t="n">
        <v>43004</v>
      </c>
      <c r="U1620" s="6" t="s">
        <v>13176</v>
      </c>
      <c r="V1620" s="6" t="s">
        <v>81</v>
      </c>
      <c r="W1620" s="6" t="s">
        <v>12870</v>
      </c>
      <c r="X1620" s="6" t="s">
        <v>81</v>
      </c>
      <c r="Y1620" s="21" t="s">
        <v>81</v>
      </c>
      <c r="Z1620" s="6" t="s">
        <v>81</v>
      </c>
      <c r="AA1620" s="6" t="s">
        <v>81</v>
      </c>
      <c r="AB1620" s="6" t="s">
        <v>81</v>
      </c>
      <c r="AC1620" s="6" t="s">
        <v>81</v>
      </c>
      <c r="AD1620" s="21" t="s">
        <v>81</v>
      </c>
      <c r="AE1620" s="6" t="s">
        <v>81</v>
      </c>
      <c r="AF1620" s="6" t="s">
        <v>81</v>
      </c>
      <c r="AG1620" s="6" t="s">
        <v>81</v>
      </c>
      <c r="AH1620" s="6" t="s">
        <v>16187</v>
      </c>
      <c r="AI1620" s="6" t="s">
        <v>81</v>
      </c>
      <c r="AJ1620" s="6" t="s">
        <v>17560</v>
      </c>
      <c r="AK1620" s="6" t="s">
        <v>18378</v>
      </c>
      <c r="AL1620" s="6" t="s">
        <v>18444</v>
      </c>
      <c r="AM1620" s="6" t="s">
        <v>18724</v>
      </c>
      <c r="AN1620" s="6" t="s">
        <v>19647</v>
      </c>
      <c r="AO1620" s="6" t="s">
        <v>19734</v>
      </c>
      <c r="AP1620" s="6" t="s">
        <v>81</v>
      </c>
      <c r="AQ1620" s="6" t="s">
        <v>81</v>
      </c>
      <c r="AR1620" s="6" t="s">
        <v>81</v>
      </c>
      <c r="AS1620" s="6" t="s">
        <v>81</v>
      </c>
      <c r="AT1620" s="6" t="s">
        <v>81</v>
      </c>
      <c r="AU1620" s="6" t="s">
        <v>81</v>
      </c>
      <c r="AV1620" s="6" t="s">
        <v>81</v>
      </c>
      <c r="AW1620" s="6" t="s">
        <v>81</v>
      </c>
      <c r="AX1620" s="6" t="s">
        <v>21765</v>
      </c>
      <c r="AY1620" s="6" t="s">
        <v>81</v>
      </c>
      <c r="AZ1620" s="6" t="s">
        <v>81</v>
      </c>
      <c r="BA1620" s="6" t="s">
        <v>81</v>
      </c>
      <c r="BB1620" s="24" t="n">
        <v>148</v>
      </c>
      <c r="BC1620" s="26"/>
      <c r="BD1620" s="26"/>
      <c r="BE1620" s="26"/>
      <c r="BF1620" s="26"/>
      <c r="BG1620" s="26"/>
      <c r="BH1620" s="26"/>
      <c r="BI1620" s="26"/>
      <c r="BJ1620" s="26"/>
      <c r="BK1620" s="26"/>
      <c r="BL1620" s="26"/>
      <c r="BM1620" s="26"/>
      <c r="BN1620" s="26"/>
      <c r="BO1620" s="26"/>
      <c r="BP1620" s="16" t="n">
        <v>45738</v>
      </c>
      <c r="BQ1620" s="28" t="str">
        <f>HYPERLINK("https://organic.ams.usda.gov/Integrity/Certificate.aspx?cid=52&amp;nopid=8431701320")</f>
        <v>https://organic.ams.usda.gov/Integrity/Certificate.aspx?cid=52&amp;nopid=8431701320</v>
      </c>
    </row>
    <row r="1621">
      <c r="A1621" t="s">
        <v>3</v>
      </c>
      <c r="B1621" s="6" t="s">
        <v>35</v>
      </c>
      <c r="C1621" s="6" t="s">
        <v>82</v>
      </c>
      <c r="D1621" s="6" t="s">
        <v>127</v>
      </c>
      <c r="E1621" s="10" t="s">
        <v>1762</v>
      </c>
      <c r="F1621" s="6" t="s">
        <v>4484</v>
      </c>
      <c r="G1621" s="6" t="s">
        <v>81</v>
      </c>
      <c r="H1621" s="6" t="s">
        <v>7380</v>
      </c>
      <c r="I1621" s="6" t="s">
        <v>9215</v>
      </c>
      <c r="J1621" s="6" t="s">
        <v>10406</v>
      </c>
      <c r="K1621" s="6" t="s">
        <v>10886</v>
      </c>
      <c r="L1621" s="16" t="n">
        <v>41220</v>
      </c>
      <c r="M1621" s="16" t="n">
        <v>45762</v>
      </c>
      <c r="N1621" s="6" t="s">
        <v>10886</v>
      </c>
      <c r="O1621" s="16" t="n">
        <v>41220</v>
      </c>
      <c r="P1621" s="6" t="s">
        <v>11857</v>
      </c>
      <c r="Q1621" s="6" t="s">
        <v>81</v>
      </c>
      <c r="R1621" s="6" t="s">
        <v>12871</v>
      </c>
      <c r="S1621" s="6" t="s">
        <v>10886</v>
      </c>
      <c r="T1621" s="16" t="n">
        <v>41220</v>
      </c>
      <c r="U1621" s="6" t="s">
        <v>13320</v>
      </c>
      <c r="V1621" s="6" t="s">
        <v>81</v>
      </c>
      <c r="W1621" s="6" t="s">
        <v>12871</v>
      </c>
      <c r="X1621" s="6" t="s">
        <v>81</v>
      </c>
      <c r="Y1621" s="21" t="s">
        <v>81</v>
      </c>
      <c r="Z1621" s="6" t="s">
        <v>81</v>
      </c>
      <c r="AA1621" s="6" t="s">
        <v>81</v>
      </c>
      <c r="AB1621" s="6" t="s">
        <v>81</v>
      </c>
      <c r="AC1621" s="6" t="s">
        <v>81</v>
      </c>
      <c r="AD1621" s="21" t="s">
        <v>81</v>
      </c>
      <c r="AE1621" s="6" t="s">
        <v>81</v>
      </c>
      <c r="AF1621" s="6" t="s">
        <v>81</v>
      </c>
      <c r="AG1621" s="6" t="s">
        <v>81</v>
      </c>
      <c r="AH1621" s="6" t="s">
        <v>16188</v>
      </c>
      <c r="AI1621" s="6" t="s">
        <v>81</v>
      </c>
      <c r="AJ1621" s="6" t="s">
        <v>18058</v>
      </c>
      <c r="AK1621" s="6" t="s">
        <v>18405</v>
      </c>
      <c r="AL1621" s="6" t="s">
        <v>18444</v>
      </c>
      <c r="AM1621" s="6" t="s">
        <v>19252</v>
      </c>
      <c r="AN1621" s="6" t="s">
        <v>19648</v>
      </c>
      <c r="AO1621" s="6" t="s">
        <v>19927</v>
      </c>
      <c r="AP1621" s="6" t="s">
        <v>16188</v>
      </c>
      <c r="AQ1621" s="6" t="s">
        <v>81</v>
      </c>
      <c r="AR1621" s="6" t="s">
        <v>18058</v>
      </c>
      <c r="AS1621" s="6" t="s">
        <v>18405</v>
      </c>
      <c r="AT1621" s="6" t="s">
        <v>18444</v>
      </c>
      <c r="AU1621" s="6" t="s">
        <v>19252</v>
      </c>
      <c r="AV1621" s="6" t="s">
        <v>81</v>
      </c>
      <c r="AW1621" s="6" t="s">
        <v>81</v>
      </c>
      <c r="AX1621" s="6" t="s">
        <v>21766</v>
      </c>
      <c r="AY1621" s="6" t="s">
        <v>81</v>
      </c>
      <c r="AZ1621" s="6" t="s">
        <v>81</v>
      </c>
      <c r="BA1621" s="6" t="s">
        <v>81</v>
      </c>
      <c r="BB1621" s="24" t="n">
        <v>161</v>
      </c>
      <c r="BC1621" s="26"/>
      <c r="BD1621" s="26"/>
      <c r="BE1621" s="26"/>
      <c r="BF1621" s="26"/>
      <c r="BG1621" s="26"/>
      <c r="BH1621" s="26"/>
      <c r="BI1621" s="26"/>
      <c r="BJ1621" s="26"/>
      <c r="BK1621" s="26"/>
      <c r="BL1621" s="26"/>
      <c r="BM1621" s="26"/>
      <c r="BN1621" s="26"/>
      <c r="BO1621" s="26"/>
      <c r="BP1621" s="16" t="n">
        <v>45706</v>
      </c>
      <c r="BQ1621" s="28" t="str">
        <f>HYPERLINK("https://organic.ams.usda.gov/Integrity/Certificate.aspx?cid=47&amp;nopid=7142074239")</f>
        <v>https://organic.ams.usda.gov/Integrity/Certificate.aspx?cid=47&amp;nopid=7142074239</v>
      </c>
    </row>
    <row r="1622">
      <c r="A1622" t="s">
        <v>3</v>
      </c>
      <c r="B1622" s="6" t="s">
        <v>8</v>
      </c>
      <c r="C1622" s="6" t="s">
        <v>55</v>
      </c>
      <c r="D1622" s="6" t="s">
        <v>101</v>
      </c>
      <c r="E1622" s="10" t="s">
        <v>1763</v>
      </c>
      <c r="F1622" s="6" t="s">
        <v>4485</v>
      </c>
      <c r="G1622" s="6" t="s">
        <v>81</v>
      </c>
      <c r="H1622" s="6" t="s">
        <v>7381</v>
      </c>
      <c r="I1622" s="6" t="s">
        <v>8509</v>
      </c>
      <c r="J1622" s="6" t="s">
        <v>10407</v>
      </c>
      <c r="K1622" s="6" t="s">
        <v>10886</v>
      </c>
      <c r="L1622" s="16" t="n">
        <v>39713</v>
      </c>
      <c r="M1622" s="16" t="n">
        <v>45748</v>
      </c>
      <c r="N1622" s="6" t="s">
        <v>10886</v>
      </c>
      <c r="O1622" s="16" t="n">
        <v>39713</v>
      </c>
      <c r="P1622" s="6" t="s">
        <v>11858</v>
      </c>
      <c r="Q1622" s="6" t="s">
        <v>81</v>
      </c>
      <c r="R1622" s="6" t="s">
        <v>7381</v>
      </c>
      <c r="S1622" s="6" t="s">
        <v>10886</v>
      </c>
      <c r="T1622" s="16" t="n">
        <v>39713</v>
      </c>
      <c r="U1622" s="6" t="s">
        <v>13671</v>
      </c>
      <c r="V1622" s="6" t="s">
        <v>81</v>
      </c>
      <c r="W1622" s="6" t="s">
        <v>7381</v>
      </c>
      <c r="X1622" s="6" t="s">
        <v>81</v>
      </c>
      <c r="Y1622" s="21" t="s">
        <v>81</v>
      </c>
      <c r="Z1622" s="6" t="s">
        <v>81</v>
      </c>
      <c r="AA1622" s="6" t="s">
        <v>81</v>
      </c>
      <c r="AB1622" s="6" t="s">
        <v>81</v>
      </c>
      <c r="AC1622" s="6" t="s">
        <v>81</v>
      </c>
      <c r="AD1622" s="21" t="s">
        <v>81</v>
      </c>
      <c r="AE1622" s="6" t="s">
        <v>81</v>
      </c>
      <c r="AF1622" s="6" t="s">
        <v>81</v>
      </c>
      <c r="AG1622" s="6" t="s">
        <v>81</v>
      </c>
      <c r="AH1622" s="6" t="s">
        <v>16189</v>
      </c>
      <c r="AI1622" s="6" t="s">
        <v>81</v>
      </c>
      <c r="AJ1622" s="6" t="s">
        <v>18059</v>
      </c>
      <c r="AK1622" s="6" t="s">
        <v>18377</v>
      </c>
      <c r="AL1622" s="6" t="s">
        <v>18444</v>
      </c>
      <c r="AM1622" s="6" t="s">
        <v>19253</v>
      </c>
      <c r="AN1622" s="6" t="s">
        <v>19640</v>
      </c>
      <c r="AO1622" s="6" t="s">
        <v>20006</v>
      </c>
      <c r="AP1622" s="6" t="s">
        <v>81</v>
      </c>
      <c r="AQ1622" s="6" t="s">
        <v>81</v>
      </c>
      <c r="AR1622" s="6" t="s">
        <v>81</v>
      </c>
      <c r="AS1622" s="6" t="s">
        <v>81</v>
      </c>
      <c r="AT1622" s="6" t="s">
        <v>81</v>
      </c>
      <c r="AU1622" s="6" t="s">
        <v>81</v>
      </c>
      <c r="AV1622" s="6" t="s">
        <v>81</v>
      </c>
      <c r="AW1622" s="6" t="s">
        <v>81</v>
      </c>
      <c r="AX1622" s="6" t="s">
        <v>81</v>
      </c>
      <c r="AY1622" s="6" t="s">
        <v>23139</v>
      </c>
      <c r="AZ1622" s="6" t="s">
        <v>81</v>
      </c>
      <c r="BA1622" s="6" t="s">
        <v>23819</v>
      </c>
      <c r="BB1622" s="24" t="n">
        <v>140</v>
      </c>
      <c r="BC1622" s="26"/>
      <c r="BD1622" s="26"/>
      <c r="BE1622" s="26"/>
      <c r="BF1622" s="26" t="s">
        <v>23900</v>
      </c>
      <c r="BG1622" s="26"/>
      <c r="BH1622" s="26"/>
      <c r="BI1622" s="26"/>
      <c r="BJ1622" s="26"/>
      <c r="BK1622" s="26"/>
      <c r="BL1622" s="26"/>
      <c r="BM1622" s="26"/>
      <c r="BN1622" s="26"/>
      <c r="BO1622" s="26"/>
      <c r="BP1622" s="16" t="n">
        <v>45665</v>
      </c>
      <c r="BQ1622" s="28" t="str">
        <f>HYPERLINK("https://organic.ams.usda.gov/Integrity/Certificate.aspx?cid=45&amp;nopid=9950003195")</f>
        <v>https://organic.ams.usda.gov/Integrity/Certificate.aspx?cid=45&amp;nopid=9950003195</v>
      </c>
    </row>
    <row r="1623">
      <c r="A1623" t="s">
        <v>3</v>
      </c>
      <c r="B1623" s="6" t="s">
        <v>21</v>
      </c>
      <c r="C1623" s="6" t="s">
        <v>68</v>
      </c>
      <c r="D1623" s="6" t="s">
        <v>114</v>
      </c>
      <c r="E1623" s="10" t="s">
        <v>1764</v>
      </c>
      <c r="F1623" s="6" t="s">
        <v>4486</v>
      </c>
      <c r="G1623" s="6" t="s">
        <v>81</v>
      </c>
      <c r="H1623" s="6" t="s">
        <v>7382</v>
      </c>
      <c r="I1623" s="6" t="s">
        <v>9059</v>
      </c>
      <c r="J1623" s="6" t="s">
        <v>10187</v>
      </c>
      <c r="K1623" s="6" t="s">
        <v>10886</v>
      </c>
      <c r="L1623" s="16" t="n">
        <v>37375</v>
      </c>
      <c r="M1623" s="16" t="n">
        <v>46023</v>
      </c>
      <c r="N1623" s="6" t="s">
        <v>81</v>
      </c>
      <c r="O1623" s="21" t="s">
        <v>81</v>
      </c>
      <c r="P1623" s="6" t="s">
        <v>81</v>
      </c>
      <c r="Q1623" s="6" t="s">
        <v>81</v>
      </c>
      <c r="R1623" s="6" t="s">
        <v>81</v>
      </c>
      <c r="S1623" s="6" t="s">
        <v>81</v>
      </c>
      <c r="T1623" s="21" t="s">
        <v>81</v>
      </c>
      <c r="U1623" s="6" t="s">
        <v>81</v>
      </c>
      <c r="V1623" s="6" t="s">
        <v>81</v>
      </c>
      <c r="W1623" s="6" t="s">
        <v>81</v>
      </c>
      <c r="X1623" s="6" t="s">
        <v>81</v>
      </c>
      <c r="Y1623" s="21" t="s">
        <v>81</v>
      </c>
      <c r="Z1623" s="6" t="s">
        <v>81</v>
      </c>
      <c r="AA1623" s="6" t="s">
        <v>81</v>
      </c>
      <c r="AB1623" s="6" t="s">
        <v>81</v>
      </c>
      <c r="AC1623" s="6" t="s">
        <v>10886</v>
      </c>
      <c r="AD1623" s="16" t="n">
        <v>37375</v>
      </c>
      <c r="AE1623" s="6" t="s">
        <v>14294</v>
      </c>
      <c r="AF1623" s="6" t="s">
        <v>81</v>
      </c>
      <c r="AG1623" s="6" t="s">
        <v>81</v>
      </c>
      <c r="AH1623" s="6" t="s">
        <v>81</v>
      </c>
      <c r="AI1623" s="6" t="s">
        <v>81</v>
      </c>
      <c r="AJ1623" s="6" t="s">
        <v>81</v>
      </c>
      <c r="AK1623" s="6" t="s">
        <v>81</v>
      </c>
      <c r="AL1623" s="6" t="s">
        <v>81</v>
      </c>
      <c r="AM1623" s="6" t="s">
        <v>81</v>
      </c>
      <c r="AN1623" s="6" t="s">
        <v>81</v>
      </c>
      <c r="AO1623" s="6" t="s">
        <v>81</v>
      </c>
      <c r="AP1623" s="6" t="s">
        <v>20304</v>
      </c>
      <c r="AQ1623" s="6" t="s">
        <v>81</v>
      </c>
      <c r="AR1623" s="6" t="s">
        <v>18178</v>
      </c>
      <c r="AS1623" s="6" t="s">
        <v>18378</v>
      </c>
      <c r="AT1623" s="6" t="s">
        <v>18444</v>
      </c>
      <c r="AU1623" s="6" t="s">
        <v>20672</v>
      </c>
      <c r="AV1623" s="6" t="s">
        <v>19695</v>
      </c>
      <c r="AW1623" s="6" t="s">
        <v>20736</v>
      </c>
      <c r="AX1623" s="6" t="s">
        <v>21767</v>
      </c>
      <c r="AY1623" s="6" t="s">
        <v>23140</v>
      </c>
      <c r="AZ1623" s="6" t="s">
        <v>23710</v>
      </c>
      <c r="BA1623" s="6" t="s">
        <v>81</v>
      </c>
      <c r="BB1623" s="6" t="s">
        <v>81</v>
      </c>
      <c r="BC1623" s="26"/>
      <c r="BD1623" s="26"/>
      <c r="BE1623" s="26"/>
      <c r="BF1623" s="26"/>
      <c r="BG1623" s="26"/>
      <c r="BH1623" s="26"/>
      <c r="BI1623" s="26"/>
      <c r="BJ1623" s="26"/>
      <c r="BK1623" s="26"/>
      <c r="BL1623" s="26"/>
      <c r="BM1623" s="26"/>
      <c r="BN1623" s="26"/>
      <c r="BO1623" s="26"/>
      <c r="BP1623" s="16" t="n">
        <v>45727</v>
      </c>
      <c r="BQ1623" s="28" t="str">
        <f>HYPERLINK("https://organic.ams.usda.gov/Integrity/Certificate.aspx?cid=62&amp;nopid=8150000557")</f>
        <v>https://organic.ams.usda.gov/Integrity/Certificate.aspx?cid=62&amp;nopid=8150000557</v>
      </c>
    </row>
    <row r="1624">
      <c r="A1624" t="s">
        <v>3</v>
      </c>
      <c r="B1624" s="6" t="s">
        <v>11</v>
      </c>
      <c r="C1624" s="6" t="s">
        <v>58</v>
      </c>
      <c r="D1624" s="6" t="s">
        <v>104</v>
      </c>
      <c r="E1624" s="10" t="s">
        <v>1765</v>
      </c>
      <c r="F1624" s="6" t="s">
        <v>4487</v>
      </c>
      <c r="G1624" s="6" t="s">
        <v>81</v>
      </c>
      <c r="H1624" s="6" t="s">
        <v>81</v>
      </c>
      <c r="I1624" s="6" t="s">
        <v>8500</v>
      </c>
      <c r="J1624" s="6" t="s">
        <v>10408</v>
      </c>
      <c r="K1624" s="6" t="s">
        <v>10886</v>
      </c>
      <c r="L1624" s="16" t="n">
        <v>43300</v>
      </c>
      <c r="M1624" s="16" t="n">
        <v>45383</v>
      </c>
      <c r="N1624" s="6" t="s">
        <v>10886</v>
      </c>
      <c r="O1624" s="16" t="n">
        <v>43300</v>
      </c>
      <c r="P1624" s="6" t="s">
        <v>11859</v>
      </c>
      <c r="Q1624" s="6" t="s">
        <v>81</v>
      </c>
      <c r="R1624" s="6" t="s">
        <v>81</v>
      </c>
      <c r="S1624" s="6" t="s">
        <v>10886</v>
      </c>
      <c r="T1624" s="16" t="n">
        <v>43300</v>
      </c>
      <c r="U1624" s="6" t="s">
        <v>13672</v>
      </c>
      <c r="V1624" s="6" t="s">
        <v>81</v>
      </c>
      <c r="W1624" s="6" t="s">
        <v>81</v>
      </c>
      <c r="X1624" s="6" t="s">
        <v>81</v>
      </c>
      <c r="Y1624" s="21" t="s">
        <v>81</v>
      </c>
      <c r="Z1624" s="6" t="s">
        <v>81</v>
      </c>
      <c r="AA1624" s="6" t="s">
        <v>81</v>
      </c>
      <c r="AB1624" s="6" t="s">
        <v>81</v>
      </c>
      <c r="AC1624" s="6" t="s">
        <v>81</v>
      </c>
      <c r="AD1624" s="21" t="s">
        <v>81</v>
      </c>
      <c r="AE1624" s="6" t="s">
        <v>81</v>
      </c>
      <c r="AF1624" s="6" t="s">
        <v>81</v>
      </c>
      <c r="AG1624" s="6" t="s">
        <v>81</v>
      </c>
      <c r="AH1624" s="6" t="s">
        <v>16190</v>
      </c>
      <c r="AI1624" s="6" t="s">
        <v>81</v>
      </c>
      <c r="AJ1624" s="6" t="s">
        <v>17643</v>
      </c>
      <c r="AK1624" s="6" t="s">
        <v>18377</v>
      </c>
      <c r="AL1624" s="6" t="s">
        <v>18444</v>
      </c>
      <c r="AM1624" s="6" t="s">
        <v>18812</v>
      </c>
      <c r="AN1624" s="6" t="s">
        <v>19646</v>
      </c>
      <c r="AO1624" s="6" t="s">
        <v>19733</v>
      </c>
      <c r="AP1624" s="6" t="s">
        <v>16190</v>
      </c>
      <c r="AQ1624" s="6" t="s">
        <v>81</v>
      </c>
      <c r="AR1624" s="6" t="s">
        <v>17643</v>
      </c>
      <c r="AS1624" s="6" t="s">
        <v>18377</v>
      </c>
      <c r="AT1624" s="6" t="s">
        <v>18444</v>
      </c>
      <c r="AU1624" s="6" t="s">
        <v>18812</v>
      </c>
      <c r="AV1624" s="6" t="s">
        <v>81</v>
      </c>
      <c r="AW1624" s="6" t="s">
        <v>81</v>
      </c>
      <c r="AX1624" s="6" t="s">
        <v>21768</v>
      </c>
      <c r="AY1624" s="6" t="s">
        <v>23141</v>
      </c>
      <c r="AZ1624" s="6" t="s">
        <v>81</v>
      </c>
      <c r="BA1624" s="6" t="s">
        <v>23825</v>
      </c>
      <c r="BB1624" s="24" t="n">
        <v>469</v>
      </c>
      <c r="BC1624" s="26"/>
      <c r="BD1624" s="26"/>
      <c r="BE1624" s="26"/>
      <c r="BF1624" s="26"/>
      <c r="BG1624" s="26"/>
      <c r="BH1624" s="26"/>
      <c r="BI1624" s="26"/>
      <c r="BJ1624" s="26"/>
      <c r="BK1624" s="26"/>
      <c r="BL1624" s="26"/>
      <c r="BM1624" s="26"/>
      <c r="BN1624" s="26"/>
      <c r="BO1624" s="26"/>
      <c r="BP1624" s="16" t="n">
        <v>45476</v>
      </c>
      <c r="BQ1624" s="28" t="str">
        <f>HYPERLINK("https://organic.ams.usda.gov/Integrity/Certificate.aspx?cid=46&amp;nopid=3671800033")</f>
        <v>https://organic.ams.usda.gov/Integrity/Certificate.aspx?cid=46&amp;nopid=3671800033</v>
      </c>
    </row>
    <row r="1625">
      <c r="A1625" t="s">
        <v>3</v>
      </c>
      <c r="B1625" s="6" t="s">
        <v>29</v>
      </c>
      <c r="C1625" s="6" t="s">
        <v>76</v>
      </c>
      <c r="D1625" s="6" t="s">
        <v>122</v>
      </c>
      <c r="E1625" s="10" t="s">
        <v>1766</v>
      </c>
      <c r="F1625" s="6" t="s">
        <v>4488</v>
      </c>
      <c r="G1625" s="6" t="s">
        <v>81</v>
      </c>
      <c r="H1625" s="6" t="s">
        <v>7383</v>
      </c>
      <c r="I1625" s="6" t="s">
        <v>9216</v>
      </c>
      <c r="J1625" s="6" t="s">
        <v>9803</v>
      </c>
      <c r="K1625" s="6" t="s">
        <v>10886</v>
      </c>
      <c r="L1625" s="16" t="n">
        <v>41455</v>
      </c>
      <c r="M1625" s="16" t="n">
        <v>45870</v>
      </c>
      <c r="N1625" s="6" t="s">
        <v>10886</v>
      </c>
      <c r="O1625" s="16" t="n">
        <v>41455</v>
      </c>
      <c r="P1625" s="6" t="s">
        <v>11860</v>
      </c>
      <c r="Q1625" s="6" t="s">
        <v>81</v>
      </c>
      <c r="R1625" s="6" t="s">
        <v>12872</v>
      </c>
      <c r="S1625" s="6" t="s">
        <v>10886</v>
      </c>
      <c r="T1625" s="16" t="n">
        <v>41455</v>
      </c>
      <c r="U1625" s="6" t="s">
        <v>13382</v>
      </c>
      <c r="V1625" s="6" t="s">
        <v>81</v>
      </c>
      <c r="W1625" s="6" t="s">
        <v>12872</v>
      </c>
      <c r="X1625" s="6" t="s">
        <v>81</v>
      </c>
      <c r="Y1625" s="21" t="s">
        <v>81</v>
      </c>
      <c r="Z1625" s="6" t="s">
        <v>81</v>
      </c>
      <c r="AA1625" s="6" t="s">
        <v>81</v>
      </c>
      <c r="AB1625" s="6" t="s">
        <v>81</v>
      </c>
      <c r="AC1625" s="6" t="s">
        <v>81</v>
      </c>
      <c r="AD1625" s="21" t="s">
        <v>81</v>
      </c>
      <c r="AE1625" s="6" t="s">
        <v>81</v>
      </c>
      <c r="AF1625" s="6" t="s">
        <v>81</v>
      </c>
      <c r="AG1625" s="6" t="s">
        <v>81</v>
      </c>
      <c r="AH1625" s="6" t="s">
        <v>16191</v>
      </c>
      <c r="AI1625" s="6" t="s">
        <v>81</v>
      </c>
      <c r="AJ1625" s="6" t="s">
        <v>18060</v>
      </c>
      <c r="AK1625" s="6" t="s">
        <v>18378</v>
      </c>
      <c r="AL1625" s="6" t="s">
        <v>18444</v>
      </c>
      <c r="AM1625" s="6" t="s">
        <v>19254</v>
      </c>
      <c r="AN1625" s="6" t="s">
        <v>19684</v>
      </c>
      <c r="AO1625" s="6" t="s">
        <v>20007</v>
      </c>
      <c r="AP1625" s="6" t="s">
        <v>81</v>
      </c>
      <c r="AQ1625" s="6" t="s">
        <v>81</v>
      </c>
      <c r="AR1625" s="6" t="s">
        <v>81</v>
      </c>
      <c r="AS1625" s="6" t="s">
        <v>81</v>
      </c>
      <c r="AT1625" s="6" t="s">
        <v>81</v>
      </c>
      <c r="AU1625" s="6" t="s">
        <v>81</v>
      </c>
      <c r="AV1625" s="6" t="s">
        <v>81</v>
      </c>
      <c r="AW1625" s="6" t="s">
        <v>81</v>
      </c>
      <c r="AX1625" s="6" t="s">
        <v>81</v>
      </c>
      <c r="AY1625" s="6" t="s">
        <v>81</v>
      </c>
      <c r="AZ1625" s="6" t="s">
        <v>81</v>
      </c>
      <c r="BA1625" s="6" t="s">
        <v>81</v>
      </c>
      <c r="BB1625" s="24" t="n">
        <v>98</v>
      </c>
      <c r="BC1625" s="26"/>
      <c r="BD1625" s="26"/>
      <c r="BE1625" s="26"/>
      <c r="BF1625" s="26" t="s">
        <v>23900</v>
      </c>
      <c r="BG1625" s="26"/>
      <c r="BH1625" s="26"/>
      <c r="BI1625" s="26"/>
      <c r="BJ1625" s="26"/>
      <c r="BK1625" s="26"/>
      <c r="BL1625" s="26"/>
      <c r="BM1625" s="26"/>
      <c r="BN1625" s="26"/>
      <c r="BO1625" s="26"/>
      <c r="BP1625" s="16" t="n">
        <v>45737</v>
      </c>
      <c r="BQ1625" s="28" t="str">
        <f>HYPERLINK("https://organic.ams.usda.gov/Integrity/Certificate.aspx?cid=31&amp;nopid=3928971284")</f>
        <v>https://organic.ams.usda.gov/Integrity/Certificate.aspx?cid=31&amp;nopid=3928971284</v>
      </c>
    </row>
    <row r="1626">
      <c r="A1626" t="s">
        <v>3</v>
      </c>
      <c r="B1626" s="6" t="s">
        <v>12</v>
      </c>
      <c r="C1626" s="6" t="s">
        <v>59</v>
      </c>
      <c r="D1626" s="6" t="s">
        <v>105</v>
      </c>
      <c r="E1626" s="10" t="s">
        <v>1767</v>
      </c>
      <c r="F1626" s="6" t="s">
        <v>4489</v>
      </c>
      <c r="G1626" s="6" t="s">
        <v>81</v>
      </c>
      <c r="H1626" s="6" t="s">
        <v>81</v>
      </c>
      <c r="I1626" s="6" t="s">
        <v>9217</v>
      </c>
      <c r="J1626" s="6" t="s">
        <v>10012</v>
      </c>
      <c r="K1626" s="6" t="s">
        <v>10886</v>
      </c>
      <c r="L1626" s="16" t="n">
        <v>39116</v>
      </c>
      <c r="M1626" s="16" t="n">
        <v>44621</v>
      </c>
      <c r="N1626" s="6" t="s">
        <v>10886</v>
      </c>
      <c r="O1626" s="16" t="n">
        <v>39116</v>
      </c>
      <c r="P1626" s="6" t="s">
        <v>11861</v>
      </c>
      <c r="Q1626" s="6" t="s">
        <v>81</v>
      </c>
      <c r="R1626" s="6" t="s">
        <v>81</v>
      </c>
      <c r="S1626" s="6" t="s">
        <v>10886</v>
      </c>
      <c r="T1626" s="16" t="n">
        <v>39116</v>
      </c>
      <c r="U1626" s="6" t="s">
        <v>13673</v>
      </c>
      <c r="V1626" s="6" t="s">
        <v>81</v>
      </c>
      <c r="W1626" s="6" t="s">
        <v>81</v>
      </c>
      <c r="X1626" s="6" t="s">
        <v>81</v>
      </c>
      <c r="Y1626" s="21" t="s">
        <v>81</v>
      </c>
      <c r="Z1626" s="6" t="s">
        <v>81</v>
      </c>
      <c r="AA1626" s="6" t="s">
        <v>81</v>
      </c>
      <c r="AB1626" s="6" t="s">
        <v>81</v>
      </c>
      <c r="AC1626" s="6" t="s">
        <v>81</v>
      </c>
      <c r="AD1626" s="21" t="s">
        <v>81</v>
      </c>
      <c r="AE1626" s="6" t="s">
        <v>81</v>
      </c>
      <c r="AF1626" s="6" t="s">
        <v>81</v>
      </c>
      <c r="AG1626" s="6" t="s">
        <v>81</v>
      </c>
      <c r="AH1626" s="6" t="s">
        <v>81</v>
      </c>
      <c r="AI1626" s="6" t="s">
        <v>81</v>
      </c>
      <c r="AJ1626" s="6" t="s">
        <v>81</v>
      </c>
      <c r="AK1626" s="6" t="s">
        <v>81</v>
      </c>
      <c r="AL1626" s="6" t="s">
        <v>81</v>
      </c>
      <c r="AM1626" s="6" t="s">
        <v>81</v>
      </c>
      <c r="AN1626" s="6" t="s">
        <v>81</v>
      </c>
      <c r="AO1626" s="6" t="s">
        <v>81</v>
      </c>
      <c r="AP1626" s="6" t="s">
        <v>20305</v>
      </c>
      <c r="AQ1626" s="6" t="s">
        <v>81</v>
      </c>
      <c r="AR1626" s="6" t="s">
        <v>20545</v>
      </c>
      <c r="AS1626" s="6" t="s">
        <v>17712</v>
      </c>
      <c r="AT1626" s="6" t="s">
        <v>18444</v>
      </c>
      <c r="AU1626" s="6" t="s">
        <v>20673</v>
      </c>
      <c r="AV1626" s="6" t="s">
        <v>19682</v>
      </c>
      <c r="AW1626" s="6" t="s">
        <v>19806</v>
      </c>
      <c r="AX1626" s="6" t="s">
        <v>81</v>
      </c>
      <c r="AY1626" s="6" t="s">
        <v>23142</v>
      </c>
      <c r="AZ1626" s="6" t="s">
        <v>81</v>
      </c>
      <c r="BA1626" s="6" t="s">
        <v>81</v>
      </c>
      <c r="BB1626" s="6" t="s">
        <v>81</v>
      </c>
      <c r="BC1626" s="26"/>
      <c r="BD1626" s="26"/>
      <c r="BE1626" s="26"/>
      <c r="BF1626" s="26"/>
      <c r="BG1626" s="26"/>
      <c r="BH1626" s="26"/>
      <c r="BI1626" s="26"/>
      <c r="BJ1626" s="26"/>
      <c r="BK1626" s="26"/>
      <c r="BL1626" s="26"/>
      <c r="BM1626" s="26"/>
      <c r="BN1626" s="26"/>
      <c r="BO1626" s="26"/>
      <c r="BP1626" s="16" t="n">
        <v>44561</v>
      </c>
      <c r="BQ1626" s="28" t="str">
        <f>HYPERLINK("https://organic.ams.usda.gov/Integrity/Certificate.aspx?cid=68&amp;nopid=8210002118")</f>
        <v>https://organic.ams.usda.gov/Integrity/Certificate.aspx?cid=68&amp;nopid=8210002118</v>
      </c>
    </row>
    <row r="1627">
      <c r="A1627" t="s">
        <v>3</v>
      </c>
      <c r="B1627" s="6" t="s">
        <v>12</v>
      </c>
      <c r="C1627" s="6" t="s">
        <v>59</v>
      </c>
      <c r="D1627" s="6" t="s">
        <v>105</v>
      </c>
      <c r="E1627" s="10" t="s">
        <v>1768</v>
      </c>
      <c r="F1627" s="6" t="s">
        <v>4490</v>
      </c>
      <c r="G1627" s="6" t="s">
        <v>81</v>
      </c>
      <c r="H1627" s="6" t="s">
        <v>7384</v>
      </c>
      <c r="I1627" s="6" t="s">
        <v>9218</v>
      </c>
      <c r="J1627" s="6" t="s">
        <v>10409</v>
      </c>
      <c r="K1627" s="6" t="s">
        <v>10886</v>
      </c>
      <c r="L1627" s="16" t="n">
        <v>39116</v>
      </c>
      <c r="M1627" s="16" t="n">
        <v>46082</v>
      </c>
      <c r="N1627" s="6" t="s">
        <v>81</v>
      </c>
      <c r="O1627" s="21" t="s">
        <v>81</v>
      </c>
      <c r="P1627" s="6" t="s">
        <v>81</v>
      </c>
      <c r="Q1627" s="6" t="s">
        <v>81</v>
      </c>
      <c r="R1627" s="6" t="s">
        <v>81</v>
      </c>
      <c r="S1627" s="6" t="s">
        <v>81</v>
      </c>
      <c r="T1627" s="21" t="s">
        <v>81</v>
      </c>
      <c r="U1627" s="6" t="s">
        <v>81</v>
      </c>
      <c r="V1627" s="6" t="s">
        <v>81</v>
      </c>
      <c r="W1627" s="6" t="s">
        <v>81</v>
      </c>
      <c r="X1627" s="6" t="s">
        <v>81</v>
      </c>
      <c r="Y1627" s="21" t="s">
        <v>81</v>
      </c>
      <c r="Z1627" s="6" t="s">
        <v>81</v>
      </c>
      <c r="AA1627" s="6" t="s">
        <v>81</v>
      </c>
      <c r="AB1627" s="6" t="s">
        <v>81</v>
      </c>
      <c r="AC1627" s="6" t="s">
        <v>10886</v>
      </c>
      <c r="AD1627" s="16" t="n">
        <v>39116</v>
      </c>
      <c r="AE1627" s="6" t="s">
        <v>14295</v>
      </c>
      <c r="AF1627" s="6" t="s">
        <v>81</v>
      </c>
      <c r="AG1627" s="6" t="s">
        <v>81</v>
      </c>
      <c r="AH1627" s="6" t="s">
        <v>16192</v>
      </c>
      <c r="AI1627" s="6" t="s">
        <v>81</v>
      </c>
      <c r="AJ1627" s="6" t="s">
        <v>18061</v>
      </c>
      <c r="AK1627" s="6" t="s">
        <v>18385</v>
      </c>
      <c r="AL1627" s="6" t="s">
        <v>18444</v>
      </c>
      <c r="AM1627" s="6" t="s">
        <v>19255</v>
      </c>
      <c r="AN1627" s="6" t="s">
        <v>19672</v>
      </c>
      <c r="AO1627" s="6" t="s">
        <v>19835</v>
      </c>
      <c r="AP1627" s="6" t="s">
        <v>20306</v>
      </c>
      <c r="AQ1627" s="6" t="s">
        <v>81</v>
      </c>
      <c r="AR1627" s="6" t="s">
        <v>20546</v>
      </c>
      <c r="AS1627" s="6" t="s">
        <v>17712</v>
      </c>
      <c r="AT1627" s="6" t="s">
        <v>18444</v>
      </c>
      <c r="AU1627" s="6" t="s">
        <v>20674</v>
      </c>
      <c r="AV1627" s="6" t="s">
        <v>81</v>
      </c>
      <c r="AW1627" s="6" t="s">
        <v>81</v>
      </c>
      <c r="AX1627" s="6" t="s">
        <v>21769</v>
      </c>
      <c r="AY1627" s="6" t="s">
        <v>23143</v>
      </c>
      <c r="AZ1627" s="6" t="s">
        <v>23711</v>
      </c>
      <c r="BA1627" s="6" t="s">
        <v>81</v>
      </c>
      <c r="BB1627" s="6" t="s">
        <v>81</v>
      </c>
      <c r="BC1627" s="26"/>
      <c r="BD1627" s="26"/>
      <c r="BE1627" s="26"/>
      <c r="BF1627" s="26"/>
      <c r="BG1627" s="26"/>
      <c r="BH1627" s="26"/>
      <c r="BI1627" s="26"/>
      <c r="BJ1627" s="26"/>
      <c r="BK1627" s="26"/>
      <c r="BL1627" s="26"/>
      <c r="BM1627" s="26"/>
      <c r="BN1627" s="26"/>
      <c r="BO1627" s="26"/>
      <c r="BP1627" s="16" t="n">
        <v>45737</v>
      </c>
      <c r="BQ1627" s="28" t="str">
        <f>HYPERLINK("https://organic.ams.usda.gov/Integrity/Certificate.aspx?cid=68&amp;nopid=8210002135")</f>
        <v>https://organic.ams.usda.gov/Integrity/Certificate.aspx?cid=68&amp;nopid=8210002135</v>
      </c>
    </row>
    <row r="1628">
      <c r="A1628" t="s">
        <v>3</v>
      </c>
      <c r="B1628" s="6" t="s">
        <v>11</v>
      </c>
      <c r="C1628" s="6" t="s">
        <v>58</v>
      </c>
      <c r="D1628" s="6" t="s">
        <v>104</v>
      </c>
      <c r="E1628" s="10" t="s">
        <v>1769</v>
      </c>
      <c r="F1628" s="6" t="s">
        <v>4491</v>
      </c>
      <c r="G1628" s="6" t="s">
        <v>5743</v>
      </c>
      <c r="H1628" s="6" t="s">
        <v>81</v>
      </c>
      <c r="I1628" s="6" t="s">
        <v>9219</v>
      </c>
      <c r="J1628" s="6" t="s">
        <v>9755</v>
      </c>
      <c r="K1628" s="6" t="s">
        <v>10886</v>
      </c>
      <c r="L1628" s="16" t="n">
        <v>42181</v>
      </c>
      <c r="M1628" s="16" t="n">
        <v>45383</v>
      </c>
      <c r="N1628" s="6" t="s">
        <v>10886</v>
      </c>
      <c r="O1628" s="16" t="n">
        <v>42181</v>
      </c>
      <c r="P1628" s="6" t="s">
        <v>11862</v>
      </c>
      <c r="Q1628" s="6" t="s">
        <v>81</v>
      </c>
      <c r="R1628" s="6" t="s">
        <v>81</v>
      </c>
      <c r="S1628" s="6" t="s">
        <v>10886</v>
      </c>
      <c r="T1628" s="16" t="n">
        <v>42977</v>
      </c>
      <c r="U1628" s="6" t="s">
        <v>13674</v>
      </c>
      <c r="V1628" s="6" t="s">
        <v>81</v>
      </c>
      <c r="W1628" s="6" t="s">
        <v>81</v>
      </c>
      <c r="X1628" s="6" t="s">
        <v>81</v>
      </c>
      <c r="Y1628" s="21" t="s">
        <v>81</v>
      </c>
      <c r="Z1628" s="6" t="s">
        <v>81</v>
      </c>
      <c r="AA1628" s="6" t="s">
        <v>81</v>
      </c>
      <c r="AB1628" s="6" t="s">
        <v>81</v>
      </c>
      <c r="AC1628" s="6" t="s">
        <v>81</v>
      </c>
      <c r="AD1628" s="21" t="s">
        <v>81</v>
      </c>
      <c r="AE1628" s="6" t="s">
        <v>81</v>
      </c>
      <c r="AF1628" s="6" t="s">
        <v>81</v>
      </c>
      <c r="AG1628" s="6" t="s">
        <v>81</v>
      </c>
      <c r="AH1628" s="6" t="s">
        <v>16193</v>
      </c>
      <c r="AI1628" s="6" t="s">
        <v>81</v>
      </c>
      <c r="AJ1628" s="6" t="s">
        <v>17316</v>
      </c>
      <c r="AK1628" s="6" t="s">
        <v>18377</v>
      </c>
      <c r="AL1628" s="6" t="s">
        <v>18444</v>
      </c>
      <c r="AM1628" s="6" t="s">
        <v>18468</v>
      </c>
      <c r="AN1628" s="6" t="s">
        <v>19638</v>
      </c>
      <c r="AO1628" s="6" t="s">
        <v>19724</v>
      </c>
      <c r="AP1628" s="6" t="s">
        <v>16193</v>
      </c>
      <c r="AQ1628" s="6" t="s">
        <v>81</v>
      </c>
      <c r="AR1628" s="6" t="s">
        <v>17316</v>
      </c>
      <c r="AS1628" s="6" t="s">
        <v>18377</v>
      </c>
      <c r="AT1628" s="6" t="s">
        <v>18444</v>
      </c>
      <c r="AU1628" s="6" t="s">
        <v>18468</v>
      </c>
      <c r="AV1628" s="6" t="s">
        <v>81</v>
      </c>
      <c r="AW1628" s="6" t="s">
        <v>81</v>
      </c>
      <c r="AX1628" s="6" t="s">
        <v>81</v>
      </c>
      <c r="AY1628" s="6" t="s">
        <v>81</v>
      </c>
      <c r="AZ1628" s="6" t="s">
        <v>81</v>
      </c>
      <c r="BA1628" s="6" t="s">
        <v>23825</v>
      </c>
      <c r="BB1628" s="24" t="n">
        <v>168</v>
      </c>
      <c r="BC1628" s="26"/>
      <c r="BD1628" s="26"/>
      <c r="BE1628" s="26"/>
      <c r="BF1628" s="26"/>
      <c r="BG1628" s="26"/>
      <c r="BH1628" s="26"/>
      <c r="BI1628" s="26"/>
      <c r="BJ1628" s="26"/>
      <c r="BK1628" s="26"/>
      <c r="BL1628" s="26"/>
      <c r="BM1628" s="26"/>
      <c r="BN1628" s="26"/>
      <c r="BO1628" s="26"/>
      <c r="BP1628" s="16" t="n">
        <v>45443</v>
      </c>
      <c r="BQ1628" s="28" t="str">
        <f>HYPERLINK("https://organic.ams.usda.gov/Integrity/Certificate.aspx?cid=46&amp;nopid=3671500019")</f>
        <v>https://organic.ams.usda.gov/Integrity/Certificate.aspx?cid=46&amp;nopid=3671500019</v>
      </c>
    </row>
    <row r="1629">
      <c r="A1629" t="s">
        <v>3</v>
      </c>
      <c r="B1629" s="6" t="s">
        <v>10</v>
      </c>
      <c r="C1629" s="6" t="s">
        <v>57</v>
      </c>
      <c r="D1629" s="6" t="s">
        <v>103</v>
      </c>
      <c r="E1629" s="10" t="s">
        <v>1770</v>
      </c>
      <c r="F1629" s="6" t="s">
        <v>4492</v>
      </c>
      <c r="G1629" s="6" t="s">
        <v>81</v>
      </c>
      <c r="H1629" s="6" t="s">
        <v>7385</v>
      </c>
      <c r="I1629" s="6" t="s">
        <v>8928</v>
      </c>
      <c r="J1629" s="6" t="s">
        <v>9699</v>
      </c>
      <c r="K1629" s="6" t="s">
        <v>10886</v>
      </c>
      <c r="L1629" s="16" t="n">
        <v>45448</v>
      </c>
      <c r="M1629" s="16" t="n">
        <v>45748</v>
      </c>
      <c r="N1629" s="6" t="s">
        <v>10886</v>
      </c>
      <c r="O1629" s="16" t="n">
        <v>45448</v>
      </c>
      <c r="P1629" s="6" t="s">
        <v>11863</v>
      </c>
      <c r="Q1629" s="6" t="s">
        <v>81</v>
      </c>
      <c r="R1629" s="6" t="s">
        <v>12873</v>
      </c>
      <c r="S1629" s="6" t="s">
        <v>10886</v>
      </c>
      <c r="T1629" s="16" t="n">
        <v>45448</v>
      </c>
      <c r="U1629" s="6" t="s">
        <v>13164</v>
      </c>
      <c r="V1629" s="6" t="s">
        <v>81</v>
      </c>
      <c r="W1629" s="6" t="s">
        <v>81</v>
      </c>
      <c r="X1629" s="6" t="s">
        <v>81</v>
      </c>
      <c r="Y1629" s="21" t="s">
        <v>81</v>
      </c>
      <c r="Z1629" s="6" t="s">
        <v>81</v>
      </c>
      <c r="AA1629" s="6" t="s">
        <v>81</v>
      </c>
      <c r="AB1629" s="6" t="s">
        <v>81</v>
      </c>
      <c r="AC1629" s="6" t="s">
        <v>81</v>
      </c>
      <c r="AD1629" s="21" t="s">
        <v>81</v>
      </c>
      <c r="AE1629" s="6" t="s">
        <v>81</v>
      </c>
      <c r="AF1629" s="6" t="s">
        <v>81</v>
      </c>
      <c r="AG1629" s="6" t="s">
        <v>81</v>
      </c>
      <c r="AH1629" s="6" t="s">
        <v>16194</v>
      </c>
      <c r="AI1629" s="6" t="s">
        <v>81</v>
      </c>
      <c r="AJ1629" s="6" t="s">
        <v>17392</v>
      </c>
      <c r="AK1629" s="6" t="s">
        <v>18379</v>
      </c>
      <c r="AL1629" s="6" t="s">
        <v>18444</v>
      </c>
      <c r="AM1629" s="6" t="s">
        <v>18548</v>
      </c>
      <c r="AN1629" s="6" t="s">
        <v>81</v>
      </c>
      <c r="AO1629" s="6" t="s">
        <v>81</v>
      </c>
      <c r="AP1629" s="6" t="s">
        <v>16194</v>
      </c>
      <c r="AQ1629" s="6" t="s">
        <v>81</v>
      </c>
      <c r="AR1629" s="6" t="s">
        <v>17392</v>
      </c>
      <c r="AS1629" s="6" t="s">
        <v>18379</v>
      </c>
      <c r="AT1629" s="6" t="s">
        <v>18444</v>
      </c>
      <c r="AU1629" s="6" t="s">
        <v>18548</v>
      </c>
      <c r="AV1629" s="6" t="s">
        <v>81</v>
      </c>
      <c r="AW1629" s="6" t="s">
        <v>81</v>
      </c>
      <c r="AX1629" s="6" t="s">
        <v>21770</v>
      </c>
      <c r="AY1629" s="6" t="s">
        <v>81</v>
      </c>
      <c r="AZ1629" s="6" t="s">
        <v>81</v>
      </c>
      <c r="BA1629" s="6" t="s">
        <v>81</v>
      </c>
      <c r="BB1629" s="24" t="n">
        <v>92</v>
      </c>
      <c r="BC1629" s="26"/>
      <c r="BD1629" s="26"/>
      <c r="BE1629" s="26"/>
      <c r="BF1629" s="26"/>
      <c r="BG1629" s="26"/>
      <c r="BH1629" s="26"/>
      <c r="BI1629" s="26"/>
      <c r="BJ1629" s="26"/>
      <c r="BK1629" s="26"/>
      <c r="BL1629" s="26"/>
      <c r="BM1629" s="26"/>
      <c r="BN1629" s="26"/>
      <c r="BO1629" s="26"/>
      <c r="BP1629" s="16" t="n">
        <v>45730</v>
      </c>
      <c r="BQ1629" s="28" t="str">
        <f>HYPERLINK("https://organic.ams.usda.gov/Integrity/Certificate.aspx?cid=90&amp;nopid=7170240797")</f>
        <v>https://organic.ams.usda.gov/Integrity/Certificate.aspx?cid=90&amp;nopid=7170240797</v>
      </c>
    </row>
    <row r="1630">
      <c r="A1630" t="s">
        <v>3</v>
      </c>
      <c r="B1630" s="6" t="s">
        <v>11</v>
      </c>
      <c r="C1630" s="6" t="s">
        <v>58</v>
      </c>
      <c r="D1630" s="6" t="s">
        <v>104</v>
      </c>
      <c r="E1630" s="10" t="s">
        <v>1771</v>
      </c>
      <c r="F1630" s="6" t="s">
        <v>4493</v>
      </c>
      <c r="G1630" s="6" t="s">
        <v>81</v>
      </c>
      <c r="H1630" s="6" t="s">
        <v>81</v>
      </c>
      <c r="I1630" s="6" t="s">
        <v>9220</v>
      </c>
      <c r="J1630" s="6" t="s">
        <v>9665</v>
      </c>
      <c r="K1630" s="6" t="s">
        <v>10886</v>
      </c>
      <c r="L1630" s="16" t="n">
        <v>44369</v>
      </c>
      <c r="M1630" s="16" t="n">
        <v>45383</v>
      </c>
      <c r="N1630" s="6" t="s">
        <v>10886</v>
      </c>
      <c r="O1630" s="16" t="n">
        <v>44369</v>
      </c>
      <c r="P1630" s="6" t="s">
        <v>11864</v>
      </c>
      <c r="Q1630" s="6" t="s">
        <v>81</v>
      </c>
      <c r="R1630" s="6" t="s">
        <v>81</v>
      </c>
      <c r="S1630" s="6" t="s">
        <v>10886</v>
      </c>
      <c r="T1630" s="16" t="n">
        <v>44468</v>
      </c>
      <c r="U1630" s="6" t="s">
        <v>13675</v>
      </c>
      <c r="V1630" s="6" t="s">
        <v>81</v>
      </c>
      <c r="W1630" s="6" t="s">
        <v>81</v>
      </c>
      <c r="X1630" s="6" t="s">
        <v>81</v>
      </c>
      <c r="Y1630" s="21" t="s">
        <v>81</v>
      </c>
      <c r="Z1630" s="6" t="s">
        <v>81</v>
      </c>
      <c r="AA1630" s="6" t="s">
        <v>81</v>
      </c>
      <c r="AB1630" s="6" t="s">
        <v>81</v>
      </c>
      <c r="AC1630" s="6" t="s">
        <v>81</v>
      </c>
      <c r="AD1630" s="21" t="s">
        <v>81</v>
      </c>
      <c r="AE1630" s="6" t="s">
        <v>81</v>
      </c>
      <c r="AF1630" s="6" t="s">
        <v>81</v>
      </c>
      <c r="AG1630" s="6" t="s">
        <v>81</v>
      </c>
      <c r="AH1630" s="6" t="s">
        <v>16195</v>
      </c>
      <c r="AI1630" s="6" t="s">
        <v>81</v>
      </c>
      <c r="AJ1630" s="6" t="s">
        <v>17377</v>
      </c>
      <c r="AK1630" s="6" t="s">
        <v>18377</v>
      </c>
      <c r="AL1630" s="6" t="s">
        <v>18444</v>
      </c>
      <c r="AM1630" s="6" t="s">
        <v>18530</v>
      </c>
      <c r="AN1630" s="6" t="s">
        <v>19634</v>
      </c>
      <c r="AO1630" s="6" t="s">
        <v>19764</v>
      </c>
      <c r="AP1630" s="6" t="s">
        <v>16195</v>
      </c>
      <c r="AQ1630" s="6" t="s">
        <v>81</v>
      </c>
      <c r="AR1630" s="6" t="s">
        <v>17377</v>
      </c>
      <c r="AS1630" s="6" t="s">
        <v>18377</v>
      </c>
      <c r="AT1630" s="6" t="s">
        <v>18444</v>
      </c>
      <c r="AU1630" s="6" t="s">
        <v>18530</v>
      </c>
      <c r="AV1630" s="6" t="s">
        <v>81</v>
      </c>
      <c r="AW1630" s="6" t="s">
        <v>81</v>
      </c>
      <c r="AX1630" s="6" t="s">
        <v>81</v>
      </c>
      <c r="AY1630" s="6" t="s">
        <v>81</v>
      </c>
      <c r="AZ1630" s="6" t="s">
        <v>81</v>
      </c>
      <c r="BA1630" s="6" t="s">
        <v>23825</v>
      </c>
      <c r="BB1630" s="24" t="n">
        <v>120</v>
      </c>
      <c r="BC1630" s="26"/>
      <c r="BD1630" s="26"/>
      <c r="BE1630" s="26"/>
      <c r="BF1630" s="26"/>
      <c r="BG1630" s="26"/>
      <c r="BH1630" s="26"/>
      <c r="BI1630" s="26"/>
      <c r="BJ1630" s="26"/>
      <c r="BK1630" s="26"/>
      <c r="BL1630" s="26"/>
      <c r="BM1630" s="26"/>
      <c r="BN1630" s="26"/>
      <c r="BO1630" s="26"/>
      <c r="BP1630" s="16" t="n">
        <v>45573</v>
      </c>
      <c r="BQ1630" s="28" t="str">
        <f>HYPERLINK("https://organic.ams.usda.gov/Integrity/Certificate.aspx?cid=46&amp;nopid=3672100023")</f>
        <v>https://organic.ams.usda.gov/Integrity/Certificate.aspx?cid=46&amp;nopid=3672100023</v>
      </c>
    </row>
    <row r="1631">
      <c r="A1631" t="s">
        <v>3</v>
      </c>
      <c r="B1631" s="6" t="s">
        <v>8</v>
      </c>
      <c r="C1631" s="6" t="s">
        <v>55</v>
      </c>
      <c r="D1631" s="6" t="s">
        <v>101</v>
      </c>
      <c r="E1631" s="10" t="s">
        <v>1772</v>
      </c>
      <c r="F1631" s="6" t="s">
        <v>4494</v>
      </c>
      <c r="G1631" s="6" t="s">
        <v>81</v>
      </c>
      <c r="H1631" s="6" t="s">
        <v>7386</v>
      </c>
      <c r="I1631" s="6" t="s">
        <v>8513</v>
      </c>
      <c r="J1631" s="6" t="s">
        <v>10410</v>
      </c>
      <c r="K1631" s="6" t="s">
        <v>10886</v>
      </c>
      <c r="L1631" s="16" t="n">
        <v>37272</v>
      </c>
      <c r="M1631" s="16" t="n">
        <v>45383</v>
      </c>
      <c r="N1631" s="6" t="s">
        <v>10886</v>
      </c>
      <c r="O1631" s="16" t="n">
        <v>37272</v>
      </c>
      <c r="P1631" s="6" t="s">
        <v>11865</v>
      </c>
      <c r="Q1631" s="6" t="s">
        <v>81</v>
      </c>
      <c r="R1631" s="6" t="s">
        <v>7386</v>
      </c>
      <c r="S1631" s="6" t="s">
        <v>10886</v>
      </c>
      <c r="T1631" s="16" t="n">
        <v>37272</v>
      </c>
      <c r="U1631" s="6" t="s">
        <v>13179</v>
      </c>
      <c r="V1631" s="6" t="s">
        <v>81</v>
      </c>
      <c r="W1631" s="6" t="s">
        <v>7386</v>
      </c>
      <c r="X1631" s="6" t="s">
        <v>81</v>
      </c>
      <c r="Y1631" s="21" t="s">
        <v>81</v>
      </c>
      <c r="Z1631" s="6" t="s">
        <v>81</v>
      </c>
      <c r="AA1631" s="6" t="s">
        <v>81</v>
      </c>
      <c r="AB1631" s="6" t="s">
        <v>81</v>
      </c>
      <c r="AC1631" s="6" t="s">
        <v>81</v>
      </c>
      <c r="AD1631" s="21" t="s">
        <v>81</v>
      </c>
      <c r="AE1631" s="6" t="s">
        <v>81</v>
      </c>
      <c r="AF1631" s="6" t="s">
        <v>81</v>
      </c>
      <c r="AG1631" s="6" t="s">
        <v>81</v>
      </c>
      <c r="AH1631" s="6" t="s">
        <v>16196</v>
      </c>
      <c r="AI1631" s="6" t="s">
        <v>81</v>
      </c>
      <c r="AJ1631" s="6" t="s">
        <v>17503</v>
      </c>
      <c r="AK1631" s="6" t="s">
        <v>18377</v>
      </c>
      <c r="AL1631" s="6" t="s">
        <v>18444</v>
      </c>
      <c r="AM1631" s="6" t="s">
        <v>18664</v>
      </c>
      <c r="AN1631" s="6" t="s">
        <v>7195</v>
      </c>
      <c r="AO1631" s="6" t="s">
        <v>19737</v>
      </c>
      <c r="AP1631" s="6" t="s">
        <v>81</v>
      </c>
      <c r="AQ1631" s="6" t="s">
        <v>81</v>
      </c>
      <c r="AR1631" s="6" t="s">
        <v>81</v>
      </c>
      <c r="AS1631" s="6" t="s">
        <v>81</v>
      </c>
      <c r="AT1631" s="6" t="s">
        <v>81</v>
      </c>
      <c r="AU1631" s="6" t="s">
        <v>81</v>
      </c>
      <c r="AV1631" s="6" t="s">
        <v>81</v>
      </c>
      <c r="AW1631" s="6" t="s">
        <v>81</v>
      </c>
      <c r="AX1631" s="6" t="s">
        <v>81</v>
      </c>
      <c r="AY1631" s="6" t="s">
        <v>81</v>
      </c>
      <c r="AZ1631" s="6" t="s">
        <v>81</v>
      </c>
      <c r="BA1631" s="6" t="s">
        <v>23819</v>
      </c>
      <c r="BB1631" s="24" t="n">
        <v>302</v>
      </c>
      <c r="BC1631" s="26"/>
      <c r="BD1631" s="26"/>
      <c r="BE1631" s="26"/>
      <c r="BF1631" s="26" t="s">
        <v>23900</v>
      </c>
      <c r="BG1631" s="26"/>
      <c r="BH1631" s="26"/>
      <c r="BI1631" s="26"/>
      <c r="BJ1631" s="26"/>
      <c r="BK1631" s="26"/>
      <c r="BL1631" s="26"/>
      <c r="BM1631" s="26"/>
      <c r="BN1631" s="26"/>
      <c r="BO1631" s="26"/>
      <c r="BP1631" s="16" t="n">
        <v>45407</v>
      </c>
      <c r="BQ1631" s="28" t="str">
        <f>HYPERLINK("https://organic.ams.usda.gov/Integrity/Certificate.aspx?cid=45&amp;nopid=9950000253")</f>
        <v>https://organic.ams.usda.gov/Integrity/Certificate.aspx?cid=45&amp;nopid=9950000253</v>
      </c>
    </row>
    <row r="1632">
      <c r="A1632" t="s">
        <v>3</v>
      </c>
      <c r="B1632" s="6" t="s">
        <v>29</v>
      </c>
      <c r="C1632" s="6" t="s">
        <v>76</v>
      </c>
      <c r="D1632" s="6" t="s">
        <v>122</v>
      </c>
      <c r="E1632" s="10" t="s">
        <v>1773</v>
      </c>
      <c r="F1632" s="6" t="s">
        <v>4495</v>
      </c>
      <c r="G1632" s="6" t="s">
        <v>81</v>
      </c>
      <c r="H1632" s="6" t="s">
        <v>7387</v>
      </c>
      <c r="I1632" s="6" t="s">
        <v>9221</v>
      </c>
      <c r="J1632" s="6" t="s">
        <v>9677</v>
      </c>
      <c r="K1632" s="6" t="s">
        <v>10886</v>
      </c>
      <c r="L1632" s="16" t="n">
        <v>42322</v>
      </c>
      <c r="M1632" s="16" t="n">
        <v>45870</v>
      </c>
      <c r="N1632" s="6" t="s">
        <v>10886</v>
      </c>
      <c r="O1632" s="16" t="n">
        <v>42322</v>
      </c>
      <c r="P1632" s="6" t="s">
        <v>11866</v>
      </c>
      <c r="Q1632" s="6" t="s">
        <v>81</v>
      </c>
      <c r="R1632" s="6" t="s">
        <v>12874</v>
      </c>
      <c r="S1632" s="6" t="s">
        <v>10886</v>
      </c>
      <c r="T1632" s="16" t="n">
        <v>42322</v>
      </c>
      <c r="U1632" s="6" t="s">
        <v>13212</v>
      </c>
      <c r="V1632" s="6" t="s">
        <v>81</v>
      </c>
      <c r="W1632" s="6" t="s">
        <v>12874</v>
      </c>
      <c r="X1632" s="6" t="s">
        <v>81</v>
      </c>
      <c r="Y1632" s="21" t="s">
        <v>81</v>
      </c>
      <c r="Z1632" s="6" t="s">
        <v>81</v>
      </c>
      <c r="AA1632" s="6" t="s">
        <v>81</v>
      </c>
      <c r="AB1632" s="6" t="s">
        <v>81</v>
      </c>
      <c r="AC1632" s="6" t="s">
        <v>81</v>
      </c>
      <c r="AD1632" s="21" t="s">
        <v>81</v>
      </c>
      <c r="AE1632" s="6" t="s">
        <v>81</v>
      </c>
      <c r="AF1632" s="6" t="s">
        <v>81</v>
      </c>
      <c r="AG1632" s="6" t="s">
        <v>81</v>
      </c>
      <c r="AH1632" s="6" t="s">
        <v>16197</v>
      </c>
      <c r="AI1632" s="6" t="s">
        <v>81</v>
      </c>
      <c r="AJ1632" s="6" t="s">
        <v>17411</v>
      </c>
      <c r="AK1632" s="6" t="s">
        <v>18380</v>
      </c>
      <c r="AL1632" s="6" t="s">
        <v>18444</v>
      </c>
      <c r="AM1632" s="6" t="s">
        <v>18567</v>
      </c>
      <c r="AN1632" s="6" t="s">
        <v>19639</v>
      </c>
      <c r="AO1632" s="6" t="s">
        <v>19725</v>
      </c>
      <c r="AP1632" s="6" t="s">
        <v>81</v>
      </c>
      <c r="AQ1632" s="6" t="s">
        <v>81</v>
      </c>
      <c r="AR1632" s="6" t="s">
        <v>81</v>
      </c>
      <c r="AS1632" s="6" t="s">
        <v>81</v>
      </c>
      <c r="AT1632" s="6" t="s">
        <v>81</v>
      </c>
      <c r="AU1632" s="6" t="s">
        <v>81</v>
      </c>
      <c r="AV1632" s="6" t="s">
        <v>81</v>
      </c>
      <c r="AW1632" s="6" t="s">
        <v>81</v>
      </c>
      <c r="AX1632" s="6" t="s">
        <v>21771</v>
      </c>
      <c r="AY1632" s="6" t="s">
        <v>81</v>
      </c>
      <c r="AZ1632" s="6" t="s">
        <v>81</v>
      </c>
      <c r="BA1632" s="6" t="s">
        <v>81</v>
      </c>
      <c r="BB1632" s="24" t="n">
        <v>99</v>
      </c>
      <c r="BC1632" s="26"/>
      <c r="BD1632" s="26"/>
      <c r="BE1632" s="26"/>
      <c r="BF1632" s="26" t="s">
        <v>23900</v>
      </c>
      <c r="BG1632" s="26"/>
      <c r="BH1632" s="26"/>
      <c r="BI1632" s="26"/>
      <c r="BJ1632" s="26"/>
      <c r="BK1632" s="26"/>
      <c r="BL1632" s="26"/>
      <c r="BM1632" s="26"/>
      <c r="BN1632" s="26"/>
      <c r="BO1632" s="26"/>
      <c r="BP1632" s="16" t="n">
        <v>45737</v>
      </c>
      <c r="BQ1632" s="28" t="str">
        <f>HYPERLINK("https://organic.ams.usda.gov/Integrity/Certificate.aspx?cid=31&amp;nopid=3928971580")</f>
        <v>https://organic.ams.usda.gov/Integrity/Certificate.aspx?cid=31&amp;nopid=3928971580</v>
      </c>
    </row>
    <row r="1633">
      <c r="A1633" t="s">
        <v>3</v>
      </c>
      <c r="B1633" s="6" t="s">
        <v>8</v>
      </c>
      <c r="C1633" s="6" t="s">
        <v>55</v>
      </c>
      <c r="D1633" s="6" t="s">
        <v>101</v>
      </c>
      <c r="E1633" s="10" t="s">
        <v>1774</v>
      </c>
      <c r="F1633" s="6" t="s">
        <v>4496</v>
      </c>
      <c r="G1633" s="6" t="s">
        <v>81</v>
      </c>
      <c r="H1633" s="6" t="s">
        <v>7388</v>
      </c>
      <c r="I1633" s="6" t="s">
        <v>8552</v>
      </c>
      <c r="J1633" s="6" t="s">
        <v>9899</v>
      </c>
      <c r="K1633" s="6" t="s">
        <v>10886</v>
      </c>
      <c r="L1633" s="16" t="n">
        <v>42597</v>
      </c>
      <c r="M1633" s="16" t="n">
        <v>45689</v>
      </c>
      <c r="N1633" s="6" t="s">
        <v>10886</v>
      </c>
      <c r="O1633" s="16" t="n">
        <v>42597</v>
      </c>
      <c r="P1633" s="6" t="s">
        <v>11867</v>
      </c>
      <c r="Q1633" s="6" t="s">
        <v>81</v>
      </c>
      <c r="R1633" s="6" t="s">
        <v>7388</v>
      </c>
      <c r="S1633" s="6" t="s">
        <v>10886</v>
      </c>
      <c r="T1633" s="16" t="n">
        <v>42725</v>
      </c>
      <c r="U1633" s="6" t="s">
        <v>13676</v>
      </c>
      <c r="V1633" s="6" t="s">
        <v>81</v>
      </c>
      <c r="W1633" s="6" t="s">
        <v>7388</v>
      </c>
      <c r="X1633" s="6" t="s">
        <v>81</v>
      </c>
      <c r="Y1633" s="21" t="s">
        <v>81</v>
      </c>
      <c r="Z1633" s="6" t="s">
        <v>81</v>
      </c>
      <c r="AA1633" s="6" t="s">
        <v>81</v>
      </c>
      <c r="AB1633" s="6" t="s">
        <v>81</v>
      </c>
      <c r="AC1633" s="6" t="s">
        <v>81</v>
      </c>
      <c r="AD1633" s="21" t="s">
        <v>81</v>
      </c>
      <c r="AE1633" s="6" t="s">
        <v>81</v>
      </c>
      <c r="AF1633" s="6" t="s">
        <v>81</v>
      </c>
      <c r="AG1633" s="6" t="s">
        <v>81</v>
      </c>
      <c r="AH1633" s="6" t="s">
        <v>16198</v>
      </c>
      <c r="AI1633" s="6" t="s">
        <v>81</v>
      </c>
      <c r="AJ1633" s="6" t="s">
        <v>18062</v>
      </c>
      <c r="AK1633" s="6" t="s">
        <v>18379</v>
      </c>
      <c r="AL1633" s="6" t="s">
        <v>18444</v>
      </c>
      <c r="AM1633" s="6" t="s">
        <v>18467</v>
      </c>
      <c r="AN1633" s="6" t="s">
        <v>19637</v>
      </c>
      <c r="AO1633" s="6" t="s">
        <v>19723</v>
      </c>
      <c r="AP1633" s="6" t="s">
        <v>81</v>
      </c>
      <c r="AQ1633" s="6" t="s">
        <v>81</v>
      </c>
      <c r="AR1633" s="6" t="s">
        <v>81</v>
      </c>
      <c r="AS1633" s="6" t="s">
        <v>81</v>
      </c>
      <c r="AT1633" s="6" t="s">
        <v>81</v>
      </c>
      <c r="AU1633" s="6" t="s">
        <v>81</v>
      </c>
      <c r="AV1633" s="6" t="s">
        <v>81</v>
      </c>
      <c r="AW1633" s="6" t="s">
        <v>81</v>
      </c>
      <c r="AX1633" s="6" t="s">
        <v>81</v>
      </c>
      <c r="AY1633" s="6" t="s">
        <v>81</v>
      </c>
      <c r="AZ1633" s="6" t="s">
        <v>81</v>
      </c>
      <c r="BA1633" s="6" t="s">
        <v>23819</v>
      </c>
      <c r="BB1633" s="24" t="n">
        <v>107</v>
      </c>
      <c r="BC1633" s="26"/>
      <c r="BD1633" s="26"/>
      <c r="BE1633" s="26"/>
      <c r="BF1633" s="26" t="s">
        <v>23900</v>
      </c>
      <c r="BG1633" s="26"/>
      <c r="BH1633" s="26"/>
      <c r="BI1633" s="26"/>
      <c r="BJ1633" s="26"/>
      <c r="BK1633" s="26"/>
      <c r="BL1633" s="26"/>
      <c r="BM1633" s="26"/>
      <c r="BN1633" s="26"/>
      <c r="BO1633" s="26"/>
      <c r="BP1633" s="16" t="n">
        <v>45673</v>
      </c>
      <c r="BQ1633" s="28" t="str">
        <f>HYPERLINK("https://organic.ams.usda.gov/Integrity/Certificate.aspx?cid=45&amp;nopid=9950009781")</f>
        <v>https://organic.ams.usda.gov/Integrity/Certificate.aspx?cid=45&amp;nopid=9950009781</v>
      </c>
    </row>
    <row r="1634">
      <c r="A1634" t="s">
        <v>3</v>
      </c>
      <c r="B1634" s="6" t="s">
        <v>9</v>
      </c>
      <c r="C1634" s="6" t="s">
        <v>56</v>
      </c>
      <c r="D1634" s="6" t="s">
        <v>102</v>
      </c>
      <c r="E1634" s="10" t="s">
        <v>1775</v>
      </c>
      <c r="F1634" s="6" t="s">
        <v>4497</v>
      </c>
      <c r="G1634" s="6" t="s">
        <v>81</v>
      </c>
      <c r="H1634" s="6" t="s">
        <v>7389</v>
      </c>
      <c r="I1634" s="6" t="s">
        <v>9222</v>
      </c>
      <c r="J1634" s="6" t="s">
        <v>9726</v>
      </c>
      <c r="K1634" s="6" t="s">
        <v>10886</v>
      </c>
      <c r="L1634" s="16" t="n">
        <v>44484</v>
      </c>
      <c r="M1634" s="16" t="n">
        <v>45748</v>
      </c>
      <c r="N1634" s="6" t="s">
        <v>10886</v>
      </c>
      <c r="O1634" s="16" t="n">
        <v>44484</v>
      </c>
      <c r="P1634" s="6" t="s">
        <v>11868</v>
      </c>
      <c r="Q1634" s="6" t="s">
        <v>81</v>
      </c>
      <c r="R1634" s="6" t="s">
        <v>12875</v>
      </c>
      <c r="S1634" s="6" t="s">
        <v>10886</v>
      </c>
      <c r="T1634" s="16" t="n">
        <v>44484</v>
      </c>
      <c r="U1634" s="6" t="s">
        <v>13389</v>
      </c>
      <c r="V1634" s="6" t="s">
        <v>81</v>
      </c>
      <c r="W1634" s="6" t="s">
        <v>12875</v>
      </c>
      <c r="X1634" s="6" t="s">
        <v>81</v>
      </c>
      <c r="Y1634" s="21" t="s">
        <v>81</v>
      </c>
      <c r="Z1634" s="6" t="s">
        <v>81</v>
      </c>
      <c r="AA1634" s="6" t="s">
        <v>81</v>
      </c>
      <c r="AB1634" s="6" t="s">
        <v>81</v>
      </c>
      <c r="AC1634" s="6" t="s">
        <v>81</v>
      </c>
      <c r="AD1634" s="21" t="s">
        <v>81</v>
      </c>
      <c r="AE1634" s="6" t="s">
        <v>81</v>
      </c>
      <c r="AF1634" s="6" t="s">
        <v>81</v>
      </c>
      <c r="AG1634" s="6" t="s">
        <v>81</v>
      </c>
      <c r="AH1634" s="6" t="s">
        <v>16199</v>
      </c>
      <c r="AI1634" s="6" t="s">
        <v>81</v>
      </c>
      <c r="AJ1634" s="6" t="s">
        <v>17454</v>
      </c>
      <c r="AK1634" s="6" t="s">
        <v>17712</v>
      </c>
      <c r="AL1634" s="6" t="s">
        <v>18444</v>
      </c>
      <c r="AM1634" s="6" t="s">
        <v>7228</v>
      </c>
      <c r="AN1634" s="6" t="s">
        <v>19661</v>
      </c>
      <c r="AO1634" s="6" t="s">
        <v>19841</v>
      </c>
      <c r="AP1634" s="6" t="s">
        <v>81</v>
      </c>
      <c r="AQ1634" s="6" t="s">
        <v>81</v>
      </c>
      <c r="AR1634" s="6" t="s">
        <v>81</v>
      </c>
      <c r="AS1634" s="6" t="s">
        <v>81</v>
      </c>
      <c r="AT1634" s="6" t="s">
        <v>81</v>
      </c>
      <c r="AU1634" s="6" t="s">
        <v>81</v>
      </c>
      <c r="AV1634" s="6" t="s">
        <v>81</v>
      </c>
      <c r="AW1634" s="6" t="s">
        <v>81</v>
      </c>
      <c r="AX1634" s="6" t="s">
        <v>21772</v>
      </c>
      <c r="AY1634" s="6" t="s">
        <v>81</v>
      </c>
      <c r="AZ1634" s="6" t="s">
        <v>81</v>
      </c>
      <c r="BA1634" s="6" t="s">
        <v>81</v>
      </c>
      <c r="BB1634" s="24" t="n">
        <v>209</v>
      </c>
      <c r="BC1634" s="26"/>
      <c r="BD1634" s="26"/>
      <c r="BE1634" s="26"/>
      <c r="BF1634" s="26"/>
      <c r="BG1634" s="26"/>
      <c r="BH1634" s="26"/>
      <c r="BI1634" s="26"/>
      <c r="BJ1634" s="26"/>
      <c r="BK1634" s="26"/>
      <c r="BL1634" s="26"/>
      <c r="BM1634" s="26"/>
      <c r="BN1634" s="26"/>
      <c r="BO1634" s="26"/>
      <c r="BP1634" s="16" t="n">
        <v>45738</v>
      </c>
      <c r="BQ1634" s="28" t="str">
        <f>HYPERLINK("https://organic.ams.usda.gov/Integrity/Certificate.aspx?cid=52&amp;nopid=8432101991")</f>
        <v>https://organic.ams.usda.gov/Integrity/Certificate.aspx?cid=52&amp;nopid=8432101991</v>
      </c>
    </row>
    <row r="1635">
      <c r="A1635" t="s">
        <v>3</v>
      </c>
      <c r="B1635" s="6" t="s">
        <v>9</v>
      </c>
      <c r="C1635" s="6" t="s">
        <v>56</v>
      </c>
      <c r="D1635" s="6" t="s">
        <v>102</v>
      </c>
      <c r="E1635" s="10" t="s">
        <v>1776</v>
      </c>
      <c r="F1635" s="6" t="s">
        <v>4498</v>
      </c>
      <c r="G1635" s="6" t="s">
        <v>81</v>
      </c>
      <c r="H1635" s="6" t="s">
        <v>7390</v>
      </c>
      <c r="I1635" s="6" t="s">
        <v>9223</v>
      </c>
      <c r="J1635" s="6" t="s">
        <v>9665</v>
      </c>
      <c r="K1635" s="6" t="s">
        <v>10886</v>
      </c>
      <c r="L1635" s="16" t="n">
        <v>44498</v>
      </c>
      <c r="M1635" s="16" t="n">
        <v>46113</v>
      </c>
      <c r="N1635" s="6" t="s">
        <v>10886</v>
      </c>
      <c r="O1635" s="16" t="n">
        <v>44498</v>
      </c>
      <c r="P1635" s="6" t="s">
        <v>11869</v>
      </c>
      <c r="Q1635" s="6" t="s">
        <v>81</v>
      </c>
      <c r="R1635" s="6" t="s">
        <v>12876</v>
      </c>
      <c r="S1635" s="6" t="s">
        <v>10886</v>
      </c>
      <c r="T1635" s="16" t="n">
        <v>44498</v>
      </c>
      <c r="U1635" s="6" t="s">
        <v>13168</v>
      </c>
      <c r="V1635" s="6" t="s">
        <v>81</v>
      </c>
      <c r="W1635" s="6" t="s">
        <v>12876</v>
      </c>
      <c r="X1635" s="6" t="s">
        <v>81</v>
      </c>
      <c r="Y1635" s="21" t="s">
        <v>81</v>
      </c>
      <c r="Z1635" s="6" t="s">
        <v>81</v>
      </c>
      <c r="AA1635" s="6" t="s">
        <v>81</v>
      </c>
      <c r="AB1635" s="6" t="s">
        <v>81</v>
      </c>
      <c r="AC1635" s="6" t="s">
        <v>81</v>
      </c>
      <c r="AD1635" s="21" t="s">
        <v>81</v>
      </c>
      <c r="AE1635" s="6" t="s">
        <v>81</v>
      </c>
      <c r="AF1635" s="6" t="s">
        <v>81</v>
      </c>
      <c r="AG1635" s="6" t="s">
        <v>81</v>
      </c>
      <c r="AH1635" s="6" t="s">
        <v>16200</v>
      </c>
      <c r="AI1635" s="6" t="s">
        <v>81</v>
      </c>
      <c r="AJ1635" s="6" t="s">
        <v>17519</v>
      </c>
      <c r="AK1635" s="6" t="s">
        <v>17712</v>
      </c>
      <c r="AL1635" s="6" t="s">
        <v>18444</v>
      </c>
      <c r="AM1635" s="6" t="s">
        <v>18684</v>
      </c>
      <c r="AN1635" s="6" t="s">
        <v>19645</v>
      </c>
      <c r="AO1635" s="6" t="s">
        <v>19770</v>
      </c>
      <c r="AP1635" s="6" t="s">
        <v>81</v>
      </c>
      <c r="AQ1635" s="6" t="s">
        <v>81</v>
      </c>
      <c r="AR1635" s="6" t="s">
        <v>81</v>
      </c>
      <c r="AS1635" s="6" t="s">
        <v>81</v>
      </c>
      <c r="AT1635" s="6" t="s">
        <v>81</v>
      </c>
      <c r="AU1635" s="6" t="s">
        <v>81</v>
      </c>
      <c r="AV1635" s="6" t="s">
        <v>81</v>
      </c>
      <c r="AW1635" s="6" t="s">
        <v>81</v>
      </c>
      <c r="AX1635" s="6" t="s">
        <v>21773</v>
      </c>
      <c r="AY1635" s="6" t="s">
        <v>81</v>
      </c>
      <c r="AZ1635" s="6" t="s">
        <v>81</v>
      </c>
      <c r="BA1635" s="6" t="s">
        <v>81</v>
      </c>
      <c r="BB1635" s="24" t="n">
        <v>203</v>
      </c>
      <c r="BC1635" s="26"/>
      <c r="BD1635" s="26"/>
      <c r="BE1635" s="26"/>
      <c r="BF1635" s="26"/>
      <c r="BG1635" s="26"/>
      <c r="BH1635" s="26"/>
      <c r="BI1635" s="26"/>
      <c r="BJ1635" s="26"/>
      <c r="BK1635" s="26"/>
      <c r="BL1635" s="26"/>
      <c r="BM1635" s="26"/>
      <c r="BN1635" s="26"/>
      <c r="BO1635" s="26"/>
      <c r="BP1635" s="16" t="n">
        <v>45738</v>
      </c>
      <c r="BQ1635" s="28" t="str">
        <f>HYPERLINK("https://organic.ams.usda.gov/Integrity/Certificate.aspx?cid=52&amp;nopid=8432101997")</f>
        <v>https://organic.ams.usda.gov/Integrity/Certificate.aspx?cid=52&amp;nopid=8432101997</v>
      </c>
    </row>
    <row r="1636">
      <c r="A1636" t="s">
        <v>3</v>
      </c>
      <c r="B1636" s="6" t="s">
        <v>10</v>
      </c>
      <c r="C1636" s="6" t="s">
        <v>57</v>
      </c>
      <c r="D1636" s="6" t="s">
        <v>103</v>
      </c>
      <c r="E1636" s="10" t="s">
        <v>1777</v>
      </c>
      <c r="F1636" s="6" t="s">
        <v>4499</v>
      </c>
      <c r="G1636" s="6" t="s">
        <v>81</v>
      </c>
      <c r="H1636" s="6" t="s">
        <v>7391</v>
      </c>
      <c r="I1636" s="6" t="s">
        <v>9224</v>
      </c>
      <c r="J1636" s="6" t="s">
        <v>9760</v>
      </c>
      <c r="K1636" s="6" t="s">
        <v>10886</v>
      </c>
      <c r="L1636" s="16" t="n">
        <v>41426</v>
      </c>
      <c r="M1636" s="16" t="n">
        <v>45748</v>
      </c>
      <c r="N1636" s="6" t="s">
        <v>10886</v>
      </c>
      <c r="O1636" s="16" t="n">
        <v>44648</v>
      </c>
      <c r="P1636" s="6" t="s">
        <v>11870</v>
      </c>
      <c r="Q1636" s="6" t="s">
        <v>81</v>
      </c>
      <c r="R1636" s="6" t="s">
        <v>12877</v>
      </c>
      <c r="S1636" s="6" t="s">
        <v>10886</v>
      </c>
      <c r="T1636" s="16" t="n">
        <v>44648</v>
      </c>
      <c r="U1636" s="6" t="s">
        <v>13677</v>
      </c>
      <c r="V1636" s="6" t="s">
        <v>81</v>
      </c>
      <c r="W1636" s="6" t="s">
        <v>81</v>
      </c>
      <c r="X1636" s="6" t="s">
        <v>81</v>
      </c>
      <c r="Y1636" s="21" t="s">
        <v>81</v>
      </c>
      <c r="Z1636" s="6" t="s">
        <v>81</v>
      </c>
      <c r="AA1636" s="6" t="s">
        <v>81</v>
      </c>
      <c r="AB1636" s="6" t="s">
        <v>81</v>
      </c>
      <c r="AC1636" s="6" t="s">
        <v>81</v>
      </c>
      <c r="AD1636" s="21" t="s">
        <v>81</v>
      </c>
      <c r="AE1636" s="6" t="s">
        <v>81</v>
      </c>
      <c r="AF1636" s="6" t="s">
        <v>81</v>
      </c>
      <c r="AG1636" s="6" t="s">
        <v>81</v>
      </c>
      <c r="AH1636" s="6" t="s">
        <v>16201</v>
      </c>
      <c r="AI1636" s="6" t="s">
        <v>81</v>
      </c>
      <c r="AJ1636" s="6" t="s">
        <v>17933</v>
      </c>
      <c r="AK1636" s="6" t="s">
        <v>18378</v>
      </c>
      <c r="AL1636" s="6" t="s">
        <v>18444</v>
      </c>
      <c r="AM1636" s="6" t="s">
        <v>19122</v>
      </c>
      <c r="AN1636" s="6" t="s">
        <v>19664</v>
      </c>
      <c r="AO1636" s="6" t="s">
        <v>19874</v>
      </c>
      <c r="AP1636" s="6" t="s">
        <v>16201</v>
      </c>
      <c r="AQ1636" s="6" t="s">
        <v>81</v>
      </c>
      <c r="AR1636" s="6" t="s">
        <v>17933</v>
      </c>
      <c r="AS1636" s="6" t="s">
        <v>18378</v>
      </c>
      <c r="AT1636" s="6" t="s">
        <v>18444</v>
      </c>
      <c r="AU1636" s="6" t="s">
        <v>19122</v>
      </c>
      <c r="AV1636" s="6" t="s">
        <v>81</v>
      </c>
      <c r="AW1636" s="6" t="s">
        <v>81</v>
      </c>
      <c r="AX1636" s="6" t="s">
        <v>21774</v>
      </c>
      <c r="AY1636" s="6" t="s">
        <v>81</v>
      </c>
      <c r="AZ1636" s="6" t="s">
        <v>81</v>
      </c>
      <c r="BA1636" s="6" t="s">
        <v>81</v>
      </c>
      <c r="BB1636" s="24" t="n">
        <v>165</v>
      </c>
      <c r="BC1636" s="26"/>
      <c r="BD1636" s="26"/>
      <c r="BE1636" s="26"/>
      <c r="BF1636" s="26"/>
      <c r="BG1636" s="26"/>
      <c r="BH1636" s="26"/>
      <c r="BI1636" s="26"/>
      <c r="BJ1636" s="26"/>
      <c r="BK1636" s="26"/>
      <c r="BL1636" s="26"/>
      <c r="BM1636" s="26"/>
      <c r="BN1636" s="26"/>
      <c r="BO1636" s="26"/>
      <c r="BP1636" s="16" t="n">
        <v>45730</v>
      </c>
      <c r="BQ1636" s="28" t="str">
        <f>HYPERLINK("https://organic.ams.usda.gov/Integrity/Certificate.aspx?cid=90&amp;nopid=7170220506")</f>
        <v>https://organic.ams.usda.gov/Integrity/Certificate.aspx?cid=90&amp;nopid=7170220506</v>
      </c>
    </row>
    <row r="1637">
      <c r="A1637" t="s">
        <v>3</v>
      </c>
      <c r="B1637" s="6" t="s">
        <v>10</v>
      </c>
      <c r="C1637" s="6" t="s">
        <v>57</v>
      </c>
      <c r="D1637" s="6" t="s">
        <v>103</v>
      </c>
      <c r="E1637" s="10" t="s">
        <v>1778</v>
      </c>
      <c r="F1637" s="6" t="s">
        <v>4500</v>
      </c>
      <c r="G1637" s="6" t="s">
        <v>81</v>
      </c>
      <c r="H1637" s="6" t="s">
        <v>7392</v>
      </c>
      <c r="I1637" s="6" t="s">
        <v>9208</v>
      </c>
      <c r="J1637" s="6" t="s">
        <v>9718</v>
      </c>
      <c r="K1637" s="6" t="s">
        <v>10886</v>
      </c>
      <c r="L1637" s="16" t="n">
        <v>44403</v>
      </c>
      <c r="M1637" s="16" t="n">
        <v>45748</v>
      </c>
      <c r="N1637" s="6" t="s">
        <v>10886</v>
      </c>
      <c r="O1637" s="16" t="n">
        <v>44403</v>
      </c>
      <c r="P1637" s="6" t="s">
        <v>10925</v>
      </c>
      <c r="Q1637" s="6" t="s">
        <v>81</v>
      </c>
      <c r="R1637" s="6" t="s">
        <v>12878</v>
      </c>
      <c r="S1637" s="6" t="s">
        <v>10886</v>
      </c>
      <c r="T1637" s="16" t="n">
        <v>44403</v>
      </c>
      <c r="U1637" s="6" t="s">
        <v>13163</v>
      </c>
      <c r="V1637" s="6" t="s">
        <v>81</v>
      </c>
      <c r="W1637" s="6" t="s">
        <v>81</v>
      </c>
      <c r="X1637" s="6" t="s">
        <v>81</v>
      </c>
      <c r="Y1637" s="21" t="s">
        <v>81</v>
      </c>
      <c r="Z1637" s="6" t="s">
        <v>81</v>
      </c>
      <c r="AA1637" s="6" t="s">
        <v>81</v>
      </c>
      <c r="AB1637" s="6" t="s">
        <v>81</v>
      </c>
      <c r="AC1637" s="6" t="s">
        <v>81</v>
      </c>
      <c r="AD1637" s="21" t="s">
        <v>81</v>
      </c>
      <c r="AE1637" s="6" t="s">
        <v>81</v>
      </c>
      <c r="AF1637" s="6" t="s">
        <v>81</v>
      </c>
      <c r="AG1637" s="6" t="s">
        <v>81</v>
      </c>
      <c r="AH1637" s="6" t="s">
        <v>16202</v>
      </c>
      <c r="AI1637" s="6" t="s">
        <v>81</v>
      </c>
      <c r="AJ1637" s="6" t="s">
        <v>18063</v>
      </c>
      <c r="AK1637" s="6" t="s">
        <v>18391</v>
      </c>
      <c r="AL1637" s="6" t="s">
        <v>18444</v>
      </c>
      <c r="AM1637" s="6" t="s">
        <v>19256</v>
      </c>
      <c r="AN1637" s="6" t="s">
        <v>19666</v>
      </c>
      <c r="AO1637" s="6" t="s">
        <v>20008</v>
      </c>
      <c r="AP1637" s="6" t="s">
        <v>16202</v>
      </c>
      <c r="AQ1637" s="6" t="s">
        <v>81</v>
      </c>
      <c r="AR1637" s="6" t="s">
        <v>18063</v>
      </c>
      <c r="AS1637" s="6" t="s">
        <v>18391</v>
      </c>
      <c r="AT1637" s="6" t="s">
        <v>18444</v>
      </c>
      <c r="AU1637" s="6" t="s">
        <v>19256</v>
      </c>
      <c r="AV1637" s="6" t="s">
        <v>81</v>
      </c>
      <c r="AW1637" s="6" t="s">
        <v>81</v>
      </c>
      <c r="AX1637" s="6" t="s">
        <v>21775</v>
      </c>
      <c r="AY1637" s="6" t="s">
        <v>81</v>
      </c>
      <c r="AZ1637" s="6" t="s">
        <v>81</v>
      </c>
      <c r="BA1637" s="6" t="s">
        <v>81</v>
      </c>
      <c r="BB1637" s="24" t="n">
        <v>178</v>
      </c>
      <c r="BC1637" s="26"/>
      <c r="BD1637" s="26"/>
      <c r="BE1637" s="26"/>
      <c r="BF1637" s="26"/>
      <c r="BG1637" s="26"/>
      <c r="BH1637" s="26"/>
      <c r="BI1637" s="26"/>
      <c r="BJ1637" s="26"/>
      <c r="BK1637" s="26"/>
      <c r="BL1637" s="26"/>
      <c r="BM1637" s="26"/>
      <c r="BN1637" s="26"/>
      <c r="BO1637" s="26"/>
      <c r="BP1637" s="16" t="n">
        <v>45730</v>
      </c>
      <c r="BQ1637" s="28" t="str">
        <f>HYPERLINK("https://organic.ams.usda.gov/Integrity/Certificate.aspx?cid=90&amp;nopid=7170210376")</f>
        <v>https://organic.ams.usda.gov/Integrity/Certificate.aspx?cid=90&amp;nopid=7170210376</v>
      </c>
    </row>
    <row r="1638">
      <c r="A1638" t="s">
        <v>3</v>
      </c>
      <c r="B1638" s="6" t="s">
        <v>13</v>
      </c>
      <c r="C1638" s="6" t="s">
        <v>60</v>
      </c>
      <c r="D1638" s="6" t="s">
        <v>106</v>
      </c>
      <c r="E1638" s="10" t="s">
        <v>1779</v>
      </c>
      <c r="F1638" s="6" t="s">
        <v>4501</v>
      </c>
      <c r="G1638" s="6" t="s">
        <v>81</v>
      </c>
      <c r="H1638" s="6" t="s">
        <v>7393</v>
      </c>
      <c r="I1638" s="6" t="s">
        <v>9208</v>
      </c>
      <c r="J1638" s="6" t="s">
        <v>9669</v>
      </c>
      <c r="K1638" s="6" t="s">
        <v>10886</v>
      </c>
      <c r="L1638" s="16" t="n">
        <v>42468</v>
      </c>
      <c r="M1638" s="16" t="n">
        <v>46024</v>
      </c>
      <c r="N1638" s="6" t="s">
        <v>10886</v>
      </c>
      <c r="O1638" s="16" t="n">
        <v>42468</v>
      </c>
      <c r="P1638" s="6" t="s">
        <v>11871</v>
      </c>
      <c r="Q1638" s="6" t="s">
        <v>81</v>
      </c>
      <c r="R1638" s="6" t="s">
        <v>12879</v>
      </c>
      <c r="S1638" s="6" t="s">
        <v>10886</v>
      </c>
      <c r="T1638" s="16" t="n">
        <v>42468</v>
      </c>
      <c r="U1638" s="6" t="s">
        <v>13678</v>
      </c>
      <c r="V1638" s="6" t="s">
        <v>81</v>
      </c>
      <c r="W1638" s="6" t="s">
        <v>12879</v>
      </c>
      <c r="X1638" s="6" t="s">
        <v>81</v>
      </c>
      <c r="Y1638" s="21" t="s">
        <v>81</v>
      </c>
      <c r="Z1638" s="6" t="s">
        <v>81</v>
      </c>
      <c r="AA1638" s="6" t="s">
        <v>81</v>
      </c>
      <c r="AB1638" s="6" t="s">
        <v>81</v>
      </c>
      <c r="AC1638" s="6" t="s">
        <v>81</v>
      </c>
      <c r="AD1638" s="21" t="s">
        <v>81</v>
      </c>
      <c r="AE1638" s="6" t="s">
        <v>81</v>
      </c>
      <c r="AF1638" s="6" t="s">
        <v>81</v>
      </c>
      <c r="AG1638" s="6" t="s">
        <v>81</v>
      </c>
      <c r="AH1638" s="6" t="s">
        <v>16203</v>
      </c>
      <c r="AI1638" s="6" t="s">
        <v>81</v>
      </c>
      <c r="AJ1638" s="6" t="s">
        <v>17683</v>
      </c>
      <c r="AK1638" s="6" t="s">
        <v>18380</v>
      </c>
      <c r="AL1638" s="6" t="s">
        <v>18444</v>
      </c>
      <c r="AM1638" s="6" t="s">
        <v>18923</v>
      </c>
      <c r="AN1638" s="6" t="s">
        <v>19698</v>
      </c>
      <c r="AO1638" s="6" t="s">
        <v>19920</v>
      </c>
      <c r="AP1638" s="6" t="s">
        <v>16203</v>
      </c>
      <c r="AQ1638" s="6" t="s">
        <v>81</v>
      </c>
      <c r="AR1638" s="6" t="s">
        <v>17683</v>
      </c>
      <c r="AS1638" s="6" t="s">
        <v>18380</v>
      </c>
      <c r="AT1638" s="6" t="s">
        <v>18444</v>
      </c>
      <c r="AU1638" s="6" t="s">
        <v>18923</v>
      </c>
      <c r="AV1638" s="6" t="s">
        <v>81</v>
      </c>
      <c r="AW1638" s="6" t="s">
        <v>81</v>
      </c>
      <c r="AX1638" s="6" t="s">
        <v>21776</v>
      </c>
      <c r="AY1638" s="6" t="s">
        <v>81</v>
      </c>
      <c r="AZ1638" s="6" t="s">
        <v>81</v>
      </c>
      <c r="BA1638" s="6" t="s">
        <v>81</v>
      </c>
      <c r="BB1638" s="24" t="n">
        <v>370</v>
      </c>
      <c r="BC1638" s="26"/>
      <c r="BD1638" s="26"/>
      <c r="BE1638" s="26"/>
      <c r="BF1638" s="26" t="s">
        <v>23900</v>
      </c>
      <c r="BG1638" s="26"/>
      <c r="BH1638" s="26"/>
      <c r="BI1638" s="26"/>
      <c r="BJ1638" s="26"/>
      <c r="BK1638" s="26"/>
      <c r="BL1638" s="26"/>
      <c r="BM1638" s="26"/>
      <c r="BN1638" s="26"/>
      <c r="BO1638" s="26"/>
      <c r="BP1638" s="16" t="n">
        <v>45667</v>
      </c>
      <c r="BQ1638" s="28" t="str">
        <f>HYPERLINK("https://organic.ams.usda.gov/Integrity/Certificate.aspx?cid=72&amp;nopid=5870002308")</f>
        <v>https://organic.ams.usda.gov/Integrity/Certificate.aspx?cid=72&amp;nopid=5870002308</v>
      </c>
    </row>
    <row r="1639">
      <c r="A1639" t="s">
        <v>3</v>
      </c>
      <c r="B1639" s="6" t="s">
        <v>12</v>
      </c>
      <c r="C1639" s="6" t="s">
        <v>59</v>
      </c>
      <c r="D1639" s="6" t="s">
        <v>105</v>
      </c>
      <c r="E1639" s="10" t="s">
        <v>1780</v>
      </c>
      <c r="F1639" s="6" t="s">
        <v>4502</v>
      </c>
      <c r="G1639" s="6" t="s">
        <v>81</v>
      </c>
      <c r="H1639" s="6" t="s">
        <v>7394</v>
      </c>
      <c r="I1639" s="6" t="s">
        <v>9225</v>
      </c>
      <c r="J1639" s="6" t="s">
        <v>9665</v>
      </c>
      <c r="K1639" s="6" t="s">
        <v>10886</v>
      </c>
      <c r="L1639" s="16" t="n">
        <v>43521</v>
      </c>
      <c r="M1639" s="16" t="n">
        <v>45717</v>
      </c>
      <c r="N1639" s="6" t="s">
        <v>10886</v>
      </c>
      <c r="O1639" s="16" t="n">
        <v>43521</v>
      </c>
      <c r="P1639" s="6" t="s">
        <v>10962</v>
      </c>
      <c r="Q1639" s="6" t="s">
        <v>81</v>
      </c>
      <c r="R1639" s="6" t="s">
        <v>81</v>
      </c>
      <c r="S1639" s="6" t="s">
        <v>10886</v>
      </c>
      <c r="T1639" s="16" t="n">
        <v>43521</v>
      </c>
      <c r="U1639" s="6" t="s">
        <v>13183</v>
      </c>
      <c r="V1639" s="6" t="s">
        <v>81</v>
      </c>
      <c r="W1639" s="6" t="s">
        <v>81</v>
      </c>
      <c r="X1639" s="6" t="s">
        <v>81</v>
      </c>
      <c r="Y1639" s="21" t="s">
        <v>81</v>
      </c>
      <c r="Z1639" s="6" t="s">
        <v>81</v>
      </c>
      <c r="AA1639" s="6" t="s">
        <v>81</v>
      </c>
      <c r="AB1639" s="6" t="s">
        <v>81</v>
      </c>
      <c r="AC1639" s="6" t="s">
        <v>81</v>
      </c>
      <c r="AD1639" s="21" t="s">
        <v>81</v>
      </c>
      <c r="AE1639" s="6" t="s">
        <v>81</v>
      </c>
      <c r="AF1639" s="6" t="s">
        <v>81</v>
      </c>
      <c r="AG1639" s="6" t="s">
        <v>81</v>
      </c>
      <c r="AH1639" s="6" t="s">
        <v>16204</v>
      </c>
      <c r="AI1639" s="6" t="s">
        <v>81</v>
      </c>
      <c r="AJ1639" s="6" t="s">
        <v>17454</v>
      </c>
      <c r="AK1639" s="6" t="s">
        <v>17712</v>
      </c>
      <c r="AL1639" s="6" t="s">
        <v>18444</v>
      </c>
      <c r="AM1639" s="6" t="s">
        <v>7228</v>
      </c>
      <c r="AN1639" s="6" t="s">
        <v>19661</v>
      </c>
      <c r="AO1639" s="6" t="s">
        <v>19841</v>
      </c>
      <c r="AP1639" s="6" t="s">
        <v>16204</v>
      </c>
      <c r="AQ1639" s="6" t="s">
        <v>81</v>
      </c>
      <c r="AR1639" s="6" t="s">
        <v>17454</v>
      </c>
      <c r="AS1639" s="6" t="s">
        <v>17712</v>
      </c>
      <c r="AT1639" s="6" t="s">
        <v>18444</v>
      </c>
      <c r="AU1639" s="6" t="s">
        <v>7228</v>
      </c>
      <c r="AV1639" s="6" t="s">
        <v>81</v>
      </c>
      <c r="AW1639" s="6" t="s">
        <v>81</v>
      </c>
      <c r="AX1639" s="6" t="s">
        <v>21777</v>
      </c>
      <c r="AY1639" s="6" t="s">
        <v>81</v>
      </c>
      <c r="AZ1639" s="6" t="s">
        <v>81</v>
      </c>
      <c r="BA1639" s="6" t="s">
        <v>81</v>
      </c>
      <c r="BB1639" s="24" t="n">
        <v>114</v>
      </c>
      <c r="BC1639" s="26"/>
      <c r="BD1639" s="26"/>
      <c r="BE1639" s="26"/>
      <c r="BF1639" s="26"/>
      <c r="BG1639" s="26"/>
      <c r="BH1639" s="26"/>
      <c r="BI1639" s="26"/>
      <c r="BJ1639" s="26"/>
      <c r="BK1639" s="26"/>
      <c r="BL1639" s="26"/>
      <c r="BM1639" s="26"/>
      <c r="BN1639" s="26"/>
      <c r="BO1639" s="26"/>
      <c r="BP1639" s="16" t="n">
        <v>45684</v>
      </c>
      <c r="BQ1639" s="28" t="str">
        <f>HYPERLINK("https://organic.ams.usda.gov/Integrity/Certificate.aspx?cid=68&amp;nopid=8210006506")</f>
        <v>https://organic.ams.usda.gov/Integrity/Certificate.aspx?cid=68&amp;nopid=8210006506</v>
      </c>
    </row>
    <row r="1640">
      <c r="A1640" t="s">
        <v>3</v>
      </c>
      <c r="B1640" s="6" t="s">
        <v>7</v>
      </c>
      <c r="C1640" s="6" t="s">
        <v>54</v>
      </c>
      <c r="D1640" s="6" t="s">
        <v>100</v>
      </c>
      <c r="E1640" s="10" t="s">
        <v>1781</v>
      </c>
      <c r="F1640" s="6" t="s">
        <v>4503</v>
      </c>
      <c r="G1640" s="6" t="s">
        <v>81</v>
      </c>
      <c r="H1640" s="6" t="s">
        <v>7395</v>
      </c>
      <c r="I1640" s="6" t="s">
        <v>9208</v>
      </c>
      <c r="J1640" s="6" t="s">
        <v>9741</v>
      </c>
      <c r="K1640" s="6" t="s">
        <v>10886</v>
      </c>
      <c r="L1640" s="16" t="n">
        <v>45037</v>
      </c>
      <c r="M1640" s="16" t="n">
        <v>45716</v>
      </c>
      <c r="N1640" s="6" t="s">
        <v>10886</v>
      </c>
      <c r="O1640" s="16" t="n">
        <v>45037</v>
      </c>
      <c r="P1640" s="6" t="s">
        <v>11006</v>
      </c>
      <c r="Q1640" s="6" t="s">
        <v>81</v>
      </c>
      <c r="R1640" s="6" t="s">
        <v>81</v>
      </c>
      <c r="S1640" s="6" t="s">
        <v>10886</v>
      </c>
      <c r="T1640" s="16" t="n">
        <v>45037</v>
      </c>
      <c r="U1640" s="6" t="s">
        <v>13169</v>
      </c>
      <c r="V1640" s="6" t="s">
        <v>81</v>
      </c>
      <c r="W1640" s="6" t="s">
        <v>81</v>
      </c>
      <c r="X1640" s="6" t="s">
        <v>81</v>
      </c>
      <c r="Y1640" s="21" t="s">
        <v>81</v>
      </c>
      <c r="Z1640" s="6" t="s">
        <v>81</v>
      </c>
      <c r="AA1640" s="6" t="s">
        <v>81</v>
      </c>
      <c r="AB1640" s="6" t="s">
        <v>81</v>
      </c>
      <c r="AC1640" s="6" t="s">
        <v>81</v>
      </c>
      <c r="AD1640" s="21" t="s">
        <v>81</v>
      </c>
      <c r="AE1640" s="6" t="s">
        <v>81</v>
      </c>
      <c r="AF1640" s="6" t="s">
        <v>81</v>
      </c>
      <c r="AG1640" s="6" t="s">
        <v>81</v>
      </c>
      <c r="AH1640" s="6" t="s">
        <v>16205</v>
      </c>
      <c r="AI1640" s="6" t="s">
        <v>81</v>
      </c>
      <c r="AJ1640" s="6" t="s">
        <v>17341</v>
      </c>
      <c r="AK1640" s="6" t="s">
        <v>17712</v>
      </c>
      <c r="AL1640" s="6" t="s">
        <v>18444</v>
      </c>
      <c r="AM1640" s="6" t="s">
        <v>18495</v>
      </c>
      <c r="AN1640" s="6" t="s">
        <v>81</v>
      </c>
      <c r="AO1640" s="6" t="s">
        <v>81</v>
      </c>
      <c r="AP1640" s="6" t="s">
        <v>16205</v>
      </c>
      <c r="AQ1640" s="6" t="s">
        <v>81</v>
      </c>
      <c r="AR1640" s="6" t="s">
        <v>17341</v>
      </c>
      <c r="AS1640" s="6" t="s">
        <v>17712</v>
      </c>
      <c r="AT1640" s="6" t="s">
        <v>18444</v>
      </c>
      <c r="AU1640" s="6" t="s">
        <v>18495</v>
      </c>
      <c r="AV1640" s="6" t="s">
        <v>81</v>
      </c>
      <c r="AW1640" s="6" t="s">
        <v>81</v>
      </c>
      <c r="AX1640" s="6" t="s">
        <v>21778</v>
      </c>
      <c r="AY1640" s="6" t="s">
        <v>81</v>
      </c>
      <c r="AZ1640" s="6" t="s">
        <v>81</v>
      </c>
      <c r="BA1640" s="6" t="s">
        <v>81</v>
      </c>
      <c r="BB1640" s="24" t="n">
        <v>76</v>
      </c>
      <c r="BC1640" s="26"/>
      <c r="BD1640" s="26"/>
      <c r="BE1640" s="26"/>
      <c r="BF1640" s="26" t="s">
        <v>23900</v>
      </c>
      <c r="BG1640" s="26"/>
      <c r="BH1640" s="26"/>
      <c r="BI1640" s="26"/>
      <c r="BJ1640" s="26"/>
      <c r="BK1640" s="26"/>
      <c r="BL1640" s="26"/>
      <c r="BM1640" s="26"/>
      <c r="BN1640" s="26"/>
      <c r="BO1640" s="26"/>
      <c r="BP1640" s="16" t="n">
        <v>45721</v>
      </c>
      <c r="BQ1640" s="28" t="str">
        <f>HYPERLINK("https://organic.ams.usda.gov/Integrity/Certificate.aspx?cid=57&amp;nopid=3252023043")</f>
        <v>https://organic.ams.usda.gov/Integrity/Certificate.aspx?cid=57&amp;nopid=3252023043</v>
      </c>
    </row>
    <row r="1641">
      <c r="A1641" t="s">
        <v>3</v>
      </c>
      <c r="B1641" s="6" t="s">
        <v>13</v>
      </c>
      <c r="C1641" s="6" t="s">
        <v>60</v>
      </c>
      <c r="D1641" s="6" t="s">
        <v>106</v>
      </c>
      <c r="E1641" s="10" t="s">
        <v>1782</v>
      </c>
      <c r="F1641" s="6" t="s">
        <v>4504</v>
      </c>
      <c r="G1641" s="6" t="s">
        <v>81</v>
      </c>
      <c r="H1641" s="6" t="s">
        <v>7396</v>
      </c>
      <c r="I1641" s="6" t="s">
        <v>8524</v>
      </c>
      <c r="J1641" s="6" t="s">
        <v>9999</v>
      </c>
      <c r="K1641" s="6" t="s">
        <v>10886</v>
      </c>
      <c r="L1641" s="16" t="n">
        <v>40817</v>
      </c>
      <c r="M1641" s="16" t="n">
        <v>46024</v>
      </c>
      <c r="N1641" s="6" t="s">
        <v>10886</v>
      </c>
      <c r="O1641" s="16" t="n">
        <v>40817</v>
      </c>
      <c r="P1641" s="6" t="s">
        <v>11872</v>
      </c>
      <c r="Q1641" s="6" t="s">
        <v>81</v>
      </c>
      <c r="R1641" s="6" t="s">
        <v>12880</v>
      </c>
      <c r="S1641" s="6" t="s">
        <v>10886</v>
      </c>
      <c r="T1641" s="16" t="n">
        <v>40817</v>
      </c>
      <c r="U1641" s="6" t="s">
        <v>13402</v>
      </c>
      <c r="V1641" s="6" t="s">
        <v>81</v>
      </c>
      <c r="W1641" s="6" t="s">
        <v>12880</v>
      </c>
      <c r="X1641" s="6" t="s">
        <v>81</v>
      </c>
      <c r="Y1641" s="21" t="s">
        <v>81</v>
      </c>
      <c r="Z1641" s="6" t="s">
        <v>81</v>
      </c>
      <c r="AA1641" s="6" t="s">
        <v>81</v>
      </c>
      <c r="AB1641" s="6" t="s">
        <v>81</v>
      </c>
      <c r="AC1641" s="6" t="s">
        <v>81</v>
      </c>
      <c r="AD1641" s="21" t="s">
        <v>81</v>
      </c>
      <c r="AE1641" s="6" t="s">
        <v>81</v>
      </c>
      <c r="AF1641" s="6" t="s">
        <v>81</v>
      </c>
      <c r="AG1641" s="6" t="s">
        <v>81</v>
      </c>
      <c r="AH1641" s="6" t="s">
        <v>16206</v>
      </c>
      <c r="AI1641" s="6" t="s">
        <v>81</v>
      </c>
      <c r="AJ1641" s="6" t="s">
        <v>17391</v>
      </c>
      <c r="AK1641" s="6" t="s">
        <v>18379</v>
      </c>
      <c r="AL1641" s="6" t="s">
        <v>18444</v>
      </c>
      <c r="AM1641" s="6" t="s">
        <v>18467</v>
      </c>
      <c r="AN1641" s="6" t="s">
        <v>19637</v>
      </c>
      <c r="AO1641" s="6" t="s">
        <v>19723</v>
      </c>
      <c r="AP1641" s="6" t="s">
        <v>16206</v>
      </c>
      <c r="AQ1641" s="6" t="s">
        <v>81</v>
      </c>
      <c r="AR1641" s="6" t="s">
        <v>17391</v>
      </c>
      <c r="AS1641" s="6" t="s">
        <v>18379</v>
      </c>
      <c r="AT1641" s="6" t="s">
        <v>18444</v>
      </c>
      <c r="AU1641" s="6" t="s">
        <v>18467</v>
      </c>
      <c r="AV1641" s="6" t="s">
        <v>81</v>
      </c>
      <c r="AW1641" s="6" t="s">
        <v>81</v>
      </c>
      <c r="AX1641" s="6" t="s">
        <v>21779</v>
      </c>
      <c r="AY1641" s="6" t="s">
        <v>81</v>
      </c>
      <c r="AZ1641" s="6" t="s">
        <v>81</v>
      </c>
      <c r="BA1641" s="6" t="s">
        <v>81</v>
      </c>
      <c r="BB1641" s="24" t="n">
        <v>130</v>
      </c>
      <c r="BC1641" s="26"/>
      <c r="BD1641" s="26"/>
      <c r="BE1641" s="26"/>
      <c r="BF1641" s="26" t="s">
        <v>23900</v>
      </c>
      <c r="BG1641" s="26"/>
      <c r="BH1641" s="26"/>
      <c r="BI1641" s="26"/>
      <c r="BJ1641" s="26"/>
      <c r="BK1641" s="26"/>
      <c r="BL1641" s="26"/>
      <c r="BM1641" s="26"/>
      <c r="BN1641" s="26"/>
      <c r="BO1641" s="26"/>
      <c r="BP1641" s="16" t="n">
        <v>45667</v>
      </c>
      <c r="BQ1641" s="28" t="str">
        <f>HYPERLINK("https://organic.ams.usda.gov/Integrity/Certificate.aspx?cid=72&amp;nopid=5870001513")</f>
        <v>https://organic.ams.usda.gov/Integrity/Certificate.aspx?cid=72&amp;nopid=5870001513</v>
      </c>
    </row>
    <row r="1642">
      <c r="A1642" t="s">
        <v>3</v>
      </c>
      <c r="B1642" s="6" t="s">
        <v>10</v>
      </c>
      <c r="C1642" s="6" t="s">
        <v>57</v>
      </c>
      <c r="D1642" s="6" t="s">
        <v>103</v>
      </c>
      <c r="E1642" s="10" t="s">
        <v>1783</v>
      </c>
      <c r="F1642" s="6" t="s">
        <v>4505</v>
      </c>
      <c r="G1642" s="6" t="s">
        <v>81</v>
      </c>
      <c r="H1642" s="6" t="s">
        <v>7397</v>
      </c>
      <c r="I1642" s="6" t="s">
        <v>8524</v>
      </c>
      <c r="J1642" s="6" t="s">
        <v>9675</v>
      </c>
      <c r="K1642" s="6" t="s">
        <v>10886</v>
      </c>
      <c r="L1642" s="16" t="n">
        <v>45404</v>
      </c>
      <c r="M1642" s="16" t="n">
        <v>45748</v>
      </c>
      <c r="N1642" s="6" t="s">
        <v>10886</v>
      </c>
      <c r="O1642" s="16" t="n">
        <v>45404</v>
      </c>
      <c r="P1642" s="6" t="s">
        <v>11873</v>
      </c>
      <c r="Q1642" s="6" t="s">
        <v>81</v>
      </c>
      <c r="R1642" s="6" t="s">
        <v>12881</v>
      </c>
      <c r="S1642" s="6" t="s">
        <v>10886</v>
      </c>
      <c r="T1642" s="16" t="n">
        <v>45404</v>
      </c>
      <c r="U1642" s="6" t="s">
        <v>13163</v>
      </c>
      <c r="V1642" s="6" t="s">
        <v>81</v>
      </c>
      <c r="W1642" s="6" t="s">
        <v>81</v>
      </c>
      <c r="X1642" s="6" t="s">
        <v>81</v>
      </c>
      <c r="Y1642" s="21" t="s">
        <v>81</v>
      </c>
      <c r="Z1642" s="6" t="s">
        <v>81</v>
      </c>
      <c r="AA1642" s="6" t="s">
        <v>81</v>
      </c>
      <c r="AB1642" s="6" t="s">
        <v>81</v>
      </c>
      <c r="AC1642" s="6" t="s">
        <v>81</v>
      </c>
      <c r="AD1642" s="21" t="s">
        <v>81</v>
      </c>
      <c r="AE1642" s="6" t="s">
        <v>81</v>
      </c>
      <c r="AF1642" s="6" t="s">
        <v>81</v>
      </c>
      <c r="AG1642" s="6" t="s">
        <v>81</v>
      </c>
      <c r="AH1642" s="6" t="s">
        <v>16207</v>
      </c>
      <c r="AI1642" s="6" t="s">
        <v>81</v>
      </c>
      <c r="AJ1642" s="6" t="s">
        <v>18064</v>
      </c>
      <c r="AK1642" s="6" t="s">
        <v>18378</v>
      </c>
      <c r="AL1642" s="6" t="s">
        <v>18444</v>
      </c>
      <c r="AM1642" s="6" t="s">
        <v>19257</v>
      </c>
      <c r="AN1642" s="6" t="s">
        <v>81</v>
      </c>
      <c r="AO1642" s="6" t="s">
        <v>81</v>
      </c>
      <c r="AP1642" s="6" t="s">
        <v>16207</v>
      </c>
      <c r="AQ1642" s="6" t="s">
        <v>81</v>
      </c>
      <c r="AR1642" s="6" t="s">
        <v>18064</v>
      </c>
      <c r="AS1642" s="6" t="s">
        <v>18378</v>
      </c>
      <c r="AT1642" s="6" t="s">
        <v>18444</v>
      </c>
      <c r="AU1642" s="6" t="s">
        <v>19257</v>
      </c>
      <c r="AV1642" s="6" t="s">
        <v>81</v>
      </c>
      <c r="AW1642" s="6" t="s">
        <v>81</v>
      </c>
      <c r="AX1642" s="6" t="s">
        <v>21780</v>
      </c>
      <c r="AY1642" s="6" t="s">
        <v>81</v>
      </c>
      <c r="AZ1642" s="6" t="s">
        <v>81</v>
      </c>
      <c r="BA1642" s="6" t="s">
        <v>81</v>
      </c>
      <c r="BB1642" s="24" t="n">
        <v>89</v>
      </c>
      <c r="BC1642" s="26"/>
      <c r="BD1642" s="26"/>
      <c r="BE1642" s="26"/>
      <c r="BF1642" s="26"/>
      <c r="BG1642" s="26"/>
      <c r="BH1642" s="26"/>
      <c r="BI1642" s="26"/>
      <c r="BJ1642" s="26"/>
      <c r="BK1642" s="26"/>
      <c r="BL1642" s="26"/>
      <c r="BM1642" s="26"/>
      <c r="BN1642" s="26"/>
      <c r="BO1642" s="26"/>
      <c r="BP1642" s="16" t="n">
        <v>45730</v>
      </c>
      <c r="BQ1642" s="28" t="str">
        <f>HYPERLINK("https://organic.ams.usda.gov/Integrity/Certificate.aspx?cid=90&amp;nopid=7170240778")</f>
        <v>https://organic.ams.usda.gov/Integrity/Certificate.aspx?cid=90&amp;nopid=7170240778</v>
      </c>
    </row>
    <row r="1643">
      <c r="A1643" t="s">
        <v>3</v>
      </c>
      <c r="B1643" s="6" t="s">
        <v>30</v>
      </c>
      <c r="C1643" s="6" t="s">
        <v>77</v>
      </c>
      <c r="D1643" s="6" t="s">
        <v>123</v>
      </c>
      <c r="E1643" s="10" t="s">
        <v>1784</v>
      </c>
      <c r="F1643" s="6" t="s">
        <v>4506</v>
      </c>
      <c r="G1643" s="6" t="s">
        <v>81</v>
      </c>
      <c r="H1643" s="6" t="s">
        <v>7398</v>
      </c>
      <c r="I1643" s="6" t="s">
        <v>9226</v>
      </c>
      <c r="J1643" s="6" t="s">
        <v>9770</v>
      </c>
      <c r="K1643" s="6" t="s">
        <v>10886</v>
      </c>
      <c r="L1643" s="16" t="n">
        <v>41331</v>
      </c>
      <c r="M1643" s="16" t="n">
        <v>45747</v>
      </c>
      <c r="N1643" s="6" t="s">
        <v>10886</v>
      </c>
      <c r="O1643" s="16" t="n">
        <v>41331</v>
      </c>
      <c r="P1643" s="6" t="s">
        <v>11874</v>
      </c>
      <c r="Q1643" s="6" t="s">
        <v>81</v>
      </c>
      <c r="R1643" s="6" t="s">
        <v>12882</v>
      </c>
      <c r="S1643" s="6" t="s">
        <v>10886</v>
      </c>
      <c r="T1643" s="16" t="n">
        <v>41331</v>
      </c>
      <c r="U1643" s="6" t="s">
        <v>13679</v>
      </c>
      <c r="V1643" s="6" t="s">
        <v>81</v>
      </c>
      <c r="W1643" s="6" t="s">
        <v>7398</v>
      </c>
      <c r="X1643" s="6" t="s">
        <v>81</v>
      </c>
      <c r="Y1643" s="21" t="s">
        <v>81</v>
      </c>
      <c r="Z1643" s="6" t="s">
        <v>81</v>
      </c>
      <c r="AA1643" s="6" t="s">
        <v>81</v>
      </c>
      <c r="AB1643" s="6" t="s">
        <v>81</v>
      </c>
      <c r="AC1643" s="6" t="s">
        <v>81</v>
      </c>
      <c r="AD1643" s="21" t="s">
        <v>81</v>
      </c>
      <c r="AE1643" s="6" t="s">
        <v>81</v>
      </c>
      <c r="AF1643" s="6" t="s">
        <v>81</v>
      </c>
      <c r="AG1643" s="6" t="s">
        <v>81</v>
      </c>
      <c r="AH1643" s="6" t="s">
        <v>16208</v>
      </c>
      <c r="AI1643" s="6" t="s">
        <v>81</v>
      </c>
      <c r="AJ1643" s="6" t="s">
        <v>17873</v>
      </c>
      <c r="AK1643" s="6" t="s">
        <v>17712</v>
      </c>
      <c r="AL1643" s="6" t="s">
        <v>18444</v>
      </c>
      <c r="AM1643" s="6" t="s">
        <v>19056</v>
      </c>
      <c r="AN1643" s="6" t="s">
        <v>19652</v>
      </c>
      <c r="AO1643" s="6" t="s">
        <v>19742</v>
      </c>
      <c r="AP1643" s="6" t="s">
        <v>16208</v>
      </c>
      <c r="AQ1643" s="6" t="s">
        <v>81</v>
      </c>
      <c r="AR1643" s="6" t="s">
        <v>17873</v>
      </c>
      <c r="AS1643" s="6" t="s">
        <v>17712</v>
      </c>
      <c r="AT1643" s="6" t="s">
        <v>18444</v>
      </c>
      <c r="AU1643" s="6" t="s">
        <v>19056</v>
      </c>
      <c r="AV1643" s="6" t="s">
        <v>81</v>
      </c>
      <c r="AW1643" s="6" t="s">
        <v>81</v>
      </c>
      <c r="AX1643" s="6" t="s">
        <v>21781</v>
      </c>
      <c r="AY1643" s="6" t="s">
        <v>81</v>
      </c>
      <c r="AZ1643" s="6" t="s">
        <v>81</v>
      </c>
      <c r="BA1643" s="6" t="s">
        <v>81</v>
      </c>
      <c r="BB1643" s="24" t="n">
        <v>156</v>
      </c>
      <c r="BC1643" s="26"/>
      <c r="BD1643" s="26"/>
      <c r="BE1643" s="26"/>
      <c r="BF1643" s="26"/>
      <c r="BG1643" s="26"/>
      <c r="BH1643" s="26"/>
      <c r="BI1643" s="26"/>
      <c r="BJ1643" s="26"/>
      <c r="BK1643" s="26"/>
      <c r="BL1643" s="26"/>
      <c r="BM1643" s="26"/>
      <c r="BN1643" s="26"/>
      <c r="BO1643" s="26"/>
      <c r="BP1643" s="16" t="n">
        <v>45590</v>
      </c>
      <c r="BQ1643" s="28" t="str">
        <f>HYPERLINK("https://organic.ams.usda.gov/Integrity/Certificate.aspx?cid=70&amp;nopid=6431254900")</f>
        <v>https://organic.ams.usda.gov/Integrity/Certificate.aspx?cid=70&amp;nopid=6431254900</v>
      </c>
    </row>
    <row r="1644">
      <c r="A1644" t="s">
        <v>3</v>
      </c>
      <c r="B1644" s="6" t="s">
        <v>9</v>
      </c>
      <c r="C1644" s="6" t="s">
        <v>56</v>
      </c>
      <c r="D1644" s="6" t="s">
        <v>102</v>
      </c>
      <c r="E1644" s="10" t="s">
        <v>1785</v>
      </c>
      <c r="F1644" s="6" t="s">
        <v>4507</v>
      </c>
      <c r="G1644" s="6" t="s">
        <v>81</v>
      </c>
      <c r="H1644" s="6" t="s">
        <v>7399</v>
      </c>
      <c r="I1644" s="6" t="s">
        <v>8524</v>
      </c>
      <c r="J1644" s="6" t="s">
        <v>9665</v>
      </c>
      <c r="K1644" s="6" t="s">
        <v>10886</v>
      </c>
      <c r="L1644" s="16" t="n">
        <v>42309</v>
      </c>
      <c r="M1644" s="16" t="n">
        <v>45748</v>
      </c>
      <c r="N1644" s="6" t="s">
        <v>10886</v>
      </c>
      <c r="O1644" s="16" t="n">
        <v>42309</v>
      </c>
      <c r="P1644" s="6" t="s">
        <v>11875</v>
      </c>
      <c r="Q1644" s="6" t="s">
        <v>81</v>
      </c>
      <c r="R1644" s="6" t="s">
        <v>12883</v>
      </c>
      <c r="S1644" s="6" t="s">
        <v>10886</v>
      </c>
      <c r="T1644" s="16" t="n">
        <v>42309</v>
      </c>
      <c r="U1644" s="6" t="s">
        <v>13168</v>
      </c>
      <c r="V1644" s="6" t="s">
        <v>81</v>
      </c>
      <c r="W1644" s="6" t="s">
        <v>12883</v>
      </c>
      <c r="X1644" s="6" t="s">
        <v>81</v>
      </c>
      <c r="Y1644" s="21" t="s">
        <v>81</v>
      </c>
      <c r="Z1644" s="6" t="s">
        <v>81</v>
      </c>
      <c r="AA1644" s="6" t="s">
        <v>81</v>
      </c>
      <c r="AB1644" s="6" t="s">
        <v>81</v>
      </c>
      <c r="AC1644" s="6" t="s">
        <v>81</v>
      </c>
      <c r="AD1644" s="21" t="s">
        <v>81</v>
      </c>
      <c r="AE1644" s="6" t="s">
        <v>81</v>
      </c>
      <c r="AF1644" s="6" t="s">
        <v>81</v>
      </c>
      <c r="AG1644" s="6" t="s">
        <v>81</v>
      </c>
      <c r="AH1644" s="6" t="s">
        <v>16209</v>
      </c>
      <c r="AI1644" s="6" t="s">
        <v>81</v>
      </c>
      <c r="AJ1644" s="6" t="s">
        <v>17635</v>
      </c>
      <c r="AK1644" s="6" t="s">
        <v>18379</v>
      </c>
      <c r="AL1644" s="6" t="s">
        <v>18444</v>
      </c>
      <c r="AM1644" s="6" t="s">
        <v>18804</v>
      </c>
      <c r="AN1644" s="6" t="s">
        <v>19637</v>
      </c>
      <c r="AO1644" s="6" t="s">
        <v>19723</v>
      </c>
      <c r="AP1644" s="6" t="s">
        <v>81</v>
      </c>
      <c r="AQ1644" s="6" t="s">
        <v>81</v>
      </c>
      <c r="AR1644" s="6" t="s">
        <v>81</v>
      </c>
      <c r="AS1644" s="6" t="s">
        <v>81</v>
      </c>
      <c r="AT1644" s="6" t="s">
        <v>81</v>
      </c>
      <c r="AU1644" s="6" t="s">
        <v>81</v>
      </c>
      <c r="AV1644" s="6" t="s">
        <v>81</v>
      </c>
      <c r="AW1644" s="6" t="s">
        <v>81</v>
      </c>
      <c r="AX1644" s="6" t="s">
        <v>81</v>
      </c>
      <c r="AY1644" s="6" t="s">
        <v>81</v>
      </c>
      <c r="AZ1644" s="6" t="s">
        <v>81</v>
      </c>
      <c r="BA1644" s="6" t="s">
        <v>81</v>
      </c>
      <c r="BB1644" s="24" t="n">
        <v>98</v>
      </c>
      <c r="BC1644" s="26"/>
      <c r="BD1644" s="26"/>
      <c r="BE1644" s="26"/>
      <c r="BF1644" s="26"/>
      <c r="BG1644" s="26"/>
      <c r="BH1644" s="26"/>
      <c r="BI1644" s="26"/>
      <c r="BJ1644" s="26"/>
      <c r="BK1644" s="26"/>
      <c r="BL1644" s="26"/>
      <c r="BM1644" s="26"/>
      <c r="BN1644" s="26"/>
      <c r="BO1644" s="26"/>
      <c r="BP1644" s="16" t="n">
        <v>45738</v>
      </c>
      <c r="BQ1644" s="28" t="str">
        <f>HYPERLINK("https://organic.ams.usda.gov/Integrity/Certificate.aspx?cid=52&amp;nopid=8431501099")</f>
        <v>https://organic.ams.usda.gov/Integrity/Certificate.aspx?cid=52&amp;nopid=8431501099</v>
      </c>
    </row>
    <row r="1645">
      <c r="A1645" t="s">
        <v>3</v>
      </c>
      <c r="B1645" s="6" t="s">
        <v>8</v>
      </c>
      <c r="C1645" s="6" t="s">
        <v>55</v>
      </c>
      <c r="D1645" s="6" t="s">
        <v>101</v>
      </c>
      <c r="E1645" s="10" t="s">
        <v>1786</v>
      </c>
      <c r="F1645" s="6" t="s">
        <v>4508</v>
      </c>
      <c r="G1645" s="6" t="s">
        <v>81</v>
      </c>
      <c r="H1645" s="6" t="s">
        <v>7400</v>
      </c>
      <c r="I1645" s="6" t="s">
        <v>9165</v>
      </c>
      <c r="J1645" s="6" t="s">
        <v>9665</v>
      </c>
      <c r="K1645" s="6" t="s">
        <v>10886</v>
      </c>
      <c r="L1645" s="16" t="n">
        <v>42641</v>
      </c>
      <c r="M1645" s="16" t="n">
        <v>45748</v>
      </c>
      <c r="N1645" s="6" t="s">
        <v>10886</v>
      </c>
      <c r="O1645" s="16" t="n">
        <v>42641</v>
      </c>
      <c r="P1645" s="6" t="s">
        <v>11876</v>
      </c>
      <c r="Q1645" s="6" t="s">
        <v>81</v>
      </c>
      <c r="R1645" s="6" t="s">
        <v>7400</v>
      </c>
      <c r="S1645" s="6" t="s">
        <v>10886</v>
      </c>
      <c r="T1645" s="16" t="n">
        <v>42641</v>
      </c>
      <c r="U1645" s="6" t="s">
        <v>13173</v>
      </c>
      <c r="V1645" s="6" t="s">
        <v>81</v>
      </c>
      <c r="W1645" s="6" t="s">
        <v>7400</v>
      </c>
      <c r="X1645" s="6" t="s">
        <v>81</v>
      </c>
      <c r="Y1645" s="21" t="s">
        <v>81</v>
      </c>
      <c r="Z1645" s="6" t="s">
        <v>81</v>
      </c>
      <c r="AA1645" s="6" t="s">
        <v>81</v>
      </c>
      <c r="AB1645" s="6" t="s">
        <v>81</v>
      </c>
      <c r="AC1645" s="6" t="s">
        <v>81</v>
      </c>
      <c r="AD1645" s="21" t="s">
        <v>81</v>
      </c>
      <c r="AE1645" s="6" t="s">
        <v>81</v>
      </c>
      <c r="AF1645" s="6" t="s">
        <v>81</v>
      </c>
      <c r="AG1645" s="6" t="s">
        <v>81</v>
      </c>
      <c r="AH1645" s="6" t="s">
        <v>16210</v>
      </c>
      <c r="AI1645" s="6" t="s">
        <v>81</v>
      </c>
      <c r="AJ1645" s="6" t="s">
        <v>17724</v>
      </c>
      <c r="AK1645" s="6" t="s">
        <v>18377</v>
      </c>
      <c r="AL1645" s="6" t="s">
        <v>18444</v>
      </c>
      <c r="AM1645" s="6" t="s">
        <v>18892</v>
      </c>
      <c r="AN1645" s="6" t="s">
        <v>19669</v>
      </c>
      <c r="AO1645" s="6" t="s">
        <v>19913</v>
      </c>
      <c r="AP1645" s="6" t="s">
        <v>20307</v>
      </c>
      <c r="AQ1645" s="6" t="s">
        <v>81</v>
      </c>
      <c r="AR1645" s="6" t="s">
        <v>9295</v>
      </c>
      <c r="AS1645" s="6" t="s">
        <v>18377</v>
      </c>
      <c r="AT1645" s="6" t="s">
        <v>18444</v>
      </c>
      <c r="AU1645" s="6" t="s">
        <v>19297</v>
      </c>
      <c r="AV1645" s="6" t="s">
        <v>81</v>
      </c>
      <c r="AW1645" s="6" t="s">
        <v>81</v>
      </c>
      <c r="AX1645" s="6" t="s">
        <v>21782</v>
      </c>
      <c r="AY1645" s="6" t="s">
        <v>23144</v>
      </c>
      <c r="AZ1645" s="6" t="s">
        <v>81</v>
      </c>
      <c r="BA1645" s="6" t="s">
        <v>23819</v>
      </c>
      <c r="BB1645" s="24" t="n">
        <v>213</v>
      </c>
      <c r="BC1645" s="26"/>
      <c r="BD1645" s="26"/>
      <c r="BE1645" s="26"/>
      <c r="BF1645" s="26" t="s">
        <v>23900</v>
      </c>
      <c r="BG1645" s="26"/>
      <c r="BH1645" s="26"/>
      <c r="BI1645" s="26"/>
      <c r="BJ1645" s="26"/>
      <c r="BK1645" s="26"/>
      <c r="BL1645" s="26"/>
      <c r="BM1645" s="26"/>
      <c r="BN1645" s="26"/>
      <c r="BO1645" s="26"/>
      <c r="BP1645" s="16" t="n">
        <v>45663</v>
      </c>
      <c r="BQ1645" s="28" t="str">
        <f>HYPERLINK("https://organic.ams.usda.gov/Integrity/Certificate.aspx?cid=45&amp;nopid=9950009393")</f>
        <v>https://organic.ams.usda.gov/Integrity/Certificate.aspx?cid=45&amp;nopid=9950009393</v>
      </c>
    </row>
    <row r="1646">
      <c r="A1646" t="s">
        <v>3</v>
      </c>
      <c r="B1646" s="6" t="s">
        <v>9</v>
      </c>
      <c r="C1646" s="6" t="s">
        <v>56</v>
      </c>
      <c r="D1646" s="6" t="s">
        <v>102</v>
      </c>
      <c r="E1646" s="10" t="s">
        <v>1787</v>
      </c>
      <c r="F1646" s="6" t="s">
        <v>4509</v>
      </c>
      <c r="G1646" s="6" t="s">
        <v>81</v>
      </c>
      <c r="H1646" s="6" t="s">
        <v>7401</v>
      </c>
      <c r="I1646" s="6" t="s">
        <v>9227</v>
      </c>
      <c r="J1646" s="6" t="s">
        <v>10411</v>
      </c>
      <c r="K1646" s="6" t="s">
        <v>10886</v>
      </c>
      <c r="L1646" s="16" t="n">
        <v>41901</v>
      </c>
      <c r="M1646" s="16" t="n">
        <v>46113</v>
      </c>
      <c r="N1646" s="6" t="s">
        <v>10886</v>
      </c>
      <c r="O1646" s="16" t="n">
        <v>41901</v>
      </c>
      <c r="P1646" s="6" t="s">
        <v>11877</v>
      </c>
      <c r="Q1646" s="6" t="s">
        <v>81</v>
      </c>
      <c r="R1646" s="6" t="s">
        <v>12884</v>
      </c>
      <c r="S1646" s="6" t="s">
        <v>10886</v>
      </c>
      <c r="T1646" s="16" t="n">
        <v>41901</v>
      </c>
      <c r="U1646" s="6" t="s">
        <v>13680</v>
      </c>
      <c r="V1646" s="6" t="s">
        <v>81</v>
      </c>
      <c r="W1646" s="6" t="s">
        <v>12884</v>
      </c>
      <c r="X1646" s="6" t="s">
        <v>81</v>
      </c>
      <c r="Y1646" s="21" t="s">
        <v>81</v>
      </c>
      <c r="Z1646" s="6" t="s">
        <v>81</v>
      </c>
      <c r="AA1646" s="6" t="s">
        <v>81</v>
      </c>
      <c r="AB1646" s="6" t="s">
        <v>81</v>
      </c>
      <c r="AC1646" s="6" t="s">
        <v>81</v>
      </c>
      <c r="AD1646" s="21" t="s">
        <v>81</v>
      </c>
      <c r="AE1646" s="6" t="s">
        <v>81</v>
      </c>
      <c r="AF1646" s="6" t="s">
        <v>81</v>
      </c>
      <c r="AG1646" s="6" t="s">
        <v>81</v>
      </c>
      <c r="AH1646" s="6" t="s">
        <v>16211</v>
      </c>
      <c r="AI1646" s="6" t="s">
        <v>81</v>
      </c>
      <c r="AJ1646" s="6" t="s">
        <v>18065</v>
      </c>
      <c r="AK1646" s="6" t="s">
        <v>18391</v>
      </c>
      <c r="AL1646" s="6" t="s">
        <v>18444</v>
      </c>
      <c r="AM1646" s="6" t="s">
        <v>19258</v>
      </c>
      <c r="AN1646" s="6" t="s">
        <v>7450</v>
      </c>
      <c r="AO1646" s="6" t="s">
        <v>20009</v>
      </c>
      <c r="AP1646" s="6" t="s">
        <v>81</v>
      </c>
      <c r="AQ1646" s="6" t="s">
        <v>81</v>
      </c>
      <c r="AR1646" s="6" t="s">
        <v>81</v>
      </c>
      <c r="AS1646" s="6" t="s">
        <v>81</v>
      </c>
      <c r="AT1646" s="6" t="s">
        <v>81</v>
      </c>
      <c r="AU1646" s="6" t="s">
        <v>81</v>
      </c>
      <c r="AV1646" s="6" t="s">
        <v>81</v>
      </c>
      <c r="AW1646" s="6" t="s">
        <v>81</v>
      </c>
      <c r="AX1646" s="6" t="s">
        <v>21783</v>
      </c>
      <c r="AY1646" s="6" t="s">
        <v>23145</v>
      </c>
      <c r="AZ1646" s="6" t="s">
        <v>81</v>
      </c>
      <c r="BA1646" s="6" t="s">
        <v>23837</v>
      </c>
      <c r="BB1646" s="24" t="n">
        <v>492</v>
      </c>
      <c r="BC1646" s="26"/>
      <c r="BD1646" s="26"/>
      <c r="BE1646" s="26"/>
      <c r="BF1646" s="26"/>
      <c r="BG1646" s="26"/>
      <c r="BH1646" s="26"/>
      <c r="BI1646" s="26"/>
      <c r="BJ1646" s="26"/>
      <c r="BK1646" s="26"/>
      <c r="BL1646" s="26"/>
      <c r="BM1646" s="26"/>
      <c r="BN1646" s="26"/>
      <c r="BO1646" s="26"/>
      <c r="BP1646" s="16" t="n">
        <v>45738</v>
      </c>
      <c r="BQ1646" s="28" t="str">
        <f>HYPERLINK("https://organic.ams.usda.gov/Integrity/Certificate.aspx?cid=52&amp;nopid=8431400826")</f>
        <v>https://organic.ams.usda.gov/Integrity/Certificate.aspx?cid=52&amp;nopid=8431400826</v>
      </c>
    </row>
    <row r="1647">
      <c r="A1647" t="s">
        <v>3</v>
      </c>
      <c r="B1647" s="6" t="s">
        <v>10</v>
      </c>
      <c r="C1647" s="6" t="s">
        <v>57</v>
      </c>
      <c r="D1647" s="6" t="s">
        <v>103</v>
      </c>
      <c r="E1647" s="10" t="s">
        <v>1788</v>
      </c>
      <c r="F1647" s="6" t="s">
        <v>4510</v>
      </c>
      <c r="G1647" s="6" t="s">
        <v>81</v>
      </c>
      <c r="H1647" s="6" t="s">
        <v>7402</v>
      </c>
      <c r="I1647" s="6" t="s">
        <v>8509</v>
      </c>
      <c r="J1647" s="6" t="s">
        <v>9763</v>
      </c>
      <c r="K1647" s="6" t="s">
        <v>10886</v>
      </c>
      <c r="L1647" s="16" t="n">
        <v>45607</v>
      </c>
      <c r="M1647" s="16" t="n">
        <v>45748</v>
      </c>
      <c r="N1647" s="6" t="s">
        <v>10886</v>
      </c>
      <c r="O1647" s="16" t="n">
        <v>45607</v>
      </c>
      <c r="P1647" s="6" t="s">
        <v>11878</v>
      </c>
      <c r="Q1647" s="6" t="s">
        <v>81</v>
      </c>
      <c r="R1647" s="6" t="s">
        <v>12885</v>
      </c>
      <c r="S1647" s="6" t="s">
        <v>10886</v>
      </c>
      <c r="T1647" s="16" t="n">
        <v>45621</v>
      </c>
      <c r="U1647" s="6" t="s">
        <v>13163</v>
      </c>
      <c r="V1647" s="6" t="s">
        <v>81</v>
      </c>
      <c r="W1647" s="6" t="s">
        <v>81</v>
      </c>
      <c r="X1647" s="6" t="s">
        <v>81</v>
      </c>
      <c r="Y1647" s="21" t="s">
        <v>81</v>
      </c>
      <c r="Z1647" s="6" t="s">
        <v>81</v>
      </c>
      <c r="AA1647" s="6" t="s">
        <v>81</v>
      </c>
      <c r="AB1647" s="6" t="s">
        <v>81</v>
      </c>
      <c r="AC1647" s="6" t="s">
        <v>81</v>
      </c>
      <c r="AD1647" s="21" t="s">
        <v>81</v>
      </c>
      <c r="AE1647" s="6" t="s">
        <v>81</v>
      </c>
      <c r="AF1647" s="6" t="s">
        <v>81</v>
      </c>
      <c r="AG1647" s="6" t="s">
        <v>81</v>
      </c>
      <c r="AH1647" s="6" t="s">
        <v>16212</v>
      </c>
      <c r="AI1647" s="6" t="s">
        <v>81</v>
      </c>
      <c r="AJ1647" s="6" t="s">
        <v>18066</v>
      </c>
      <c r="AK1647" s="6" t="s">
        <v>18391</v>
      </c>
      <c r="AL1647" s="6" t="s">
        <v>18444</v>
      </c>
      <c r="AM1647" s="6" t="s">
        <v>19259</v>
      </c>
      <c r="AN1647" s="6" t="s">
        <v>81</v>
      </c>
      <c r="AO1647" s="6" t="s">
        <v>81</v>
      </c>
      <c r="AP1647" s="6" t="s">
        <v>16212</v>
      </c>
      <c r="AQ1647" s="6" t="s">
        <v>81</v>
      </c>
      <c r="AR1647" s="6" t="s">
        <v>18066</v>
      </c>
      <c r="AS1647" s="6" t="s">
        <v>18391</v>
      </c>
      <c r="AT1647" s="6" t="s">
        <v>18444</v>
      </c>
      <c r="AU1647" s="6" t="s">
        <v>19259</v>
      </c>
      <c r="AV1647" s="6" t="s">
        <v>81</v>
      </c>
      <c r="AW1647" s="6" t="s">
        <v>81</v>
      </c>
      <c r="AX1647" s="6" t="s">
        <v>21784</v>
      </c>
      <c r="AY1647" s="6" t="s">
        <v>81</v>
      </c>
      <c r="AZ1647" s="6" t="s">
        <v>81</v>
      </c>
      <c r="BA1647" s="6" t="s">
        <v>81</v>
      </c>
      <c r="BB1647" s="24" t="n">
        <v>119</v>
      </c>
      <c r="BC1647" s="26"/>
      <c r="BD1647" s="26"/>
      <c r="BE1647" s="26"/>
      <c r="BF1647" s="26"/>
      <c r="BG1647" s="26"/>
      <c r="BH1647" s="26"/>
      <c r="BI1647" s="26"/>
      <c r="BJ1647" s="26"/>
      <c r="BK1647" s="26"/>
      <c r="BL1647" s="26"/>
      <c r="BM1647" s="26"/>
      <c r="BN1647" s="26"/>
      <c r="BO1647" s="26"/>
      <c r="BP1647" s="16" t="n">
        <v>45730</v>
      </c>
      <c r="BQ1647" s="28" t="str">
        <f>HYPERLINK("https://organic.ams.usda.gov/Integrity/Certificate.aspx?cid=90&amp;nopid=7170240857")</f>
        <v>https://organic.ams.usda.gov/Integrity/Certificate.aspx?cid=90&amp;nopid=7170240857</v>
      </c>
    </row>
    <row r="1648">
      <c r="A1648" t="s">
        <v>3</v>
      </c>
      <c r="B1648" s="6" t="s">
        <v>9</v>
      </c>
      <c r="C1648" s="6" t="s">
        <v>56</v>
      </c>
      <c r="D1648" s="6" t="s">
        <v>102</v>
      </c>
      <c r="E1648" s="10" t="s">
        <v>1789</v>
      </c>
      <c r="F1648" s="6" t="s">
        <v>4511</v>
      </c>
      <c r="G1648" s="6" t="s">
        <v>81</v>
      </c>
      <c r="H1648" s="6" t="s">
        <v>7403</v>
      </c>
      <c r="I1648" s="6" t="s">
        <v>9228</v>
      </c>
      <c r="J1648" s="6" t="s">
        <v>10412</v>
      </c>
      <c r="K1648" s="6" t="s">
        <v>10886</v>
      </c>
      <c r="L1648" s="16" t="n">
        <v>40591</v>
      </c>
      <c r="M1648" s="16" t="n">
        <v>45748</v>
      </c>
      <c r="N1648" s="6" t="s">
        <v>10886</v>
      </c>
      <c r="O1648" s="16" t="n">
        <v>40591</v>
      </c>
      <c r="P1648" s="6" t="s">
        <v>11817</v>
      </c>
      <c r="Q1648" s="6" t="s">
        <v>81</v>
      </c>
      <c r="R1648" s="6" t="s">
        <v>12886</v>
      </c>
      <c r="S1648" s="6" t="s">
        <v>10886</v>
      </c>
      <c r="T1648" s="16" t="n">
        <v>40591</v>
      </c>
      <c r="U1648" s="6" t="s">
        <v>13227</v>
      </c>
      <c r="V1648" s="6" t="s">
        <v>81</v>
      </c>
      <c r="W1648" s="6" t="s">
        <v>12886</v>
      </c>
      <c r="X1648" s="6" t="s">
        <v>81</v>
      </c>
      <c r="Y1648" s="21" t="s">
        <v>81</v>
      </c>
      <c r="Z1648" s="6" t="s">
        <v>81</v>
      </c>
      <c r="AA1648" s="6" t="s">
        <v>81</v>
      </c>
      <c r="AB1648" s="6" t="s">
        <v>81</v>
      </c>
      <c r="AC1648" s="6" t="s">
        <v>81</v>
      </c>
      <c r="AD1648" s="21" t="s">
        <v>81</v>
      </c>
      <c r="AE1648" s="6" t="s">
        <v>81</v>
      </c>
      <c r="AF1648" s="6" t="s">
        <v>81</v>
      </c>
      <c r="AG1648" s="6" t="s">
        <v>81</v>
      </c>
      <c r="AH1648" s="6" t="s">
        <v>16213</v>
      </c>
      <c r="AI1648" s="6" t="s">
        <v>81</v>
      </c>
      <c r="AJ1648" s="6" t="s">
        <v>17527</v>
      </c>
      <c r="AK1648" s="6" t="s">
        <v>18377</v>
      </c>
      <c r="AL1648" s="6" t="s">
        <v>18444</v>
      </c>
      <c r="AM1648" s="6" t="s">
        <v>18691</v>
      </c>
      <c r="AN1648" s="6" t="s">
        <v>19653</v>
      </c>
      <c r="AO1648" s="6" t="s">
        <v>19838</v>
      </c>
      <c r="AP1648" s="6" t="s">
        <v>81</v>
      </c>
      <c r="AQ1648" s="6" t="s">
        <v>81</v>
      </c>
      <c r="AR1648" s="6" t="s">
        <v>81</v>
      </c>
      <c r="AS1648" s="6" t="s">
        <v>81</v>
      </c>
      <c r="AT1648" s="6" t="s">
        <v>81</v>
      </c>
      <c r="AU1648" s="6" t="s">
        <v>81</v>
      </c>
      <c r="AV1648" s="6" t="s">
        <v>81</v>
      </c>
      <c r="AW1648" s="6" t="s">
        <v>81</v>
      </c>
      <c r="AX1648" s="6" t="s">
        <v>21785</v>
      </c>
      <c r="AY1648" s="6" t="s">
        <v>23146</v>
      </c>
      <c r="AZ1648" s="6" t="s">
        <v>81</v>
      </c>
      <c r="BA1648" s="6" t="s">
        <v>81</v>
      </c>
      <c r="BB1648" s="24" t="n">
        <v>287</v>
      </c>
      <c r="BC1648" s="26"/>
      <c r="BD1648" s="26"/>
      <c r="BE1648" s="26"/>
      <c r="BF1648" s="26"/>
      <c r="BG1648" s="26"/>
      <c r="BH1648" s="26"/>
      <c r="BI1648" s="26"/>
      <c r="BJ1648" s="26"/>
      <c r="BK1648" s="26"/>
      <c r="BL1648" s="26"/>
      <c r="BM1648" s="26"/>
      <c r="BN1648" s="26"/>
      <c r="BO1648" s="26"/>
      <c r="BP1648" s="16" t="n">
        <v>45738</v>
      </c>
      <c r="BQ1648" s="28" t="str">
        <f>HYPERLINK("https://organic.ams.usda.gov/Integrity/Certificate.aspx?cid=52&amp;nopid=8431100242")</f>
        <v>https://organic.ams.usda.gov/Integrity/Certificate.aspx?cid=52&amp;nopid=8431100242</v>
      </c>
    </row>
    <row r="1649">
      <c r="A1649" t="s">
        <v>3</v>
      </c>
      <c r="B1649" s="6" t="s">
        <v>30</v>
      </c>
      <c r="C1649" s="6" t="s">
        <v>77</v>
      </c>
      <c r="D1649" s="6" t="s">
        <v>123</v>
      </c>
      <c r="E1649" s="10" t="s">
        <v>1790</v>
      </c>
      <c r="F1649" s="6" t="s">
        <v>4512</v>
      </c>
      <c r="G1649" s="6" t="s">
        <v>81</v>
      </c>
      <c r="H1649" s="6" t="s">
        <v>7404</v>
      </c>
      <c r="I1649" s="6" t="s">
        <v>9229</v>
      </c>
      <c r="J1649" s="6" t="s">
        <v>9666</v>
      </c>
      <c r="K1649" s="6" t="s">
        <v>10886</v>
      </c>
      <c r="L1649" s="16" t="n">
        <v>41179</v>
      </c>
      <c r="M1649" s="16" t="n">
        <v>45747</v>
      </c>
      <c r="N1649" s="6" t="s">
        <v>10886</v>
      </c>
      <c r="O1649" s="16" t="n">
        <v>41179</v>
      </c>
      <c r="P1649" s="6" t="s">
        <v>10922</v>
      </c>
      <c r="Q1649" s="6" t="s">
        <v>81</v>
      </c>
      <c r="R1649" s="6" t="s">
        <v>7404</v>
      </c>
      <c r="S1649" s="6" t="s">
        <v>10886</v>
      </c>
      <c r="T1649" s="16" t="n">
        <v>41179</v>
      </c>
      <c r="U1649" s="6" t="s">
        <v>13216</v>
      </c>
      <c r="V1649" s="6" t="s">
        <v>81</v>
      </c>
      <c r="W1649" s="6" t="s">
        <v>7404</v>
      </c>
      <c r="X1649" s="6" t="s">
        <v>81</v>
      </c>
      <c r="Y1649" s="21" t="s">
        <v>81</v>
      </c>
      <c r="Z1649" s="6" t="s">
        <v>81</v>
      </c>
      <c r="AA1649" s="6" t="s">
        <v>81</v>
      </c>
      <c r="AB1649" s="6" t="s">
        <v>81</v>
      </c>
      <c r="AC1649" s="6" t="s">
        <v>81</v>
      </c>
      <c r="AD1649" s="21" t="s">
        <v>81</v>
      </c>
      <c r="AE1649" s="6" t="s">
        <v>81</v>
      </c>
      <c r="AF1649" s="6" t="s">
        <v>81</v>
      </c>
      <c r="AG1649" s="6" t="s">
        <v>81</v>
      </c>
      <c r="AH1649" s="6" t="s">
        <v>16214</v>
      </c>
      <c r="AI1649" s="6" t="s">
        <v>81</v>
      </c>
      <c r="AJ1649" s="6" t="s">
        <v>17873</v>
      </c>
      <c r="AK1649" s="6" t="s">
        <v>17712</v>
      </c>
      <c r="AL1649" s="6" t="s">
        <v>18444</v>
      </c>
      <c r="AM1649" s="6" t="s">
        <v>19056</v>
      </c>
      <c r="AN1649" s="6" t="s">
        <v>19652</v>
      </c>
      <c r="AO1649" s="6" t="s">
        <v>19742</v>
      </c>
      <c r="AP1649" s="6" t="s">
        <v>16214</v>
      </c>
      <c r="AQ1649" s="6" t="s">
        <v>81</v>
      </c>
      <c r="AR1649" s="6" t="s">
        <v>17873</v>
      </c>
      <c r="AS1649" s="6" t="s">
        <v>17712</v>
      </c>
      <c r="AT1649" s="6" t="s">
        <v>18444</v>
      </c>
      <c r="AU1649" s="6" t="s">
        <v>19056</v>
      </c>
      <c r="AV1649" s="6" t="s">
        <v>81</v>
      </c>
      <c r="AW1649" s="6" t="s">
        <v>81</v>
      </c>
      <c r="AX1649" s="6" t="s">
        <v>21786</v>
      </c>
      <c r="AY1649" s="6" t="s">
        <v>81</v>
      </c>
      <c r="AZ1649" s="6" t="s">
        <v>81</v>
      </c>
      <c r="BA1649" s="6" t="s">
        <v>81</v>
      </c>
      <c r="BB1649" s="24" t="n">
        <v>135</v>
      </c>
      <c r="BC1649" s="26"/>
      <c r="BD1649" s="26"/>
      <c r="BE1649" s="26"/>
      <c r="BF1649" s="26"/>
      <c r="BG1649" s="26"/>
      <c r="BH1649" s="26"/>
      <c r="BI1649" s="26"/>
      <c r="BJ1649" s="26"/>
      <c r="BK1649" s="26"/>
      <c r="BL1649" s="26"/>
      <c r="BM1649" s="26"/>
      <c r="BN1649" s="26"/>
      <c r="BO1649" s="26"/>
      <c r="BP1649" s="16" t="n">
        <v>45547</v>
      </c>
      <c r="BQ1649" s="28" t="str">
        <f>HYPERLINK("https://organic.ams.usda.gov/Integrity/Certificate.aspx?cid=70&amp;nopid=6431254600")</f>
        <v>https://organic.ams.usda.gov/Integrity/Certificate.aspx?cid=70&amp;nopid=6431254600</v>
      </c>
    </row>
    <row r="1650">
      <c r="A1650" t="s">
        <v>3</v>
      </c>
      <c r="B1650" s="6" t="s">
        <v>24</v>
      </c>
      <c r="C1650" s="6" t="s">
        <v>71</v>
      </c>
      <c r="D1650" s="6" t="s">
        <v>117</v>
      </c>
      <c r="E1650" s="10" t="s">
        <v>1791</v>
      </c>
      <c r="F1650" s="6" t="s">
        <v>4513</v>
      </c>
      <c r="G1650" s="6" t="s">
        <v>81</v>
      </c>
      <c r="H1650" s="6" t="s">
        <v>81</v>
      </c>
      <c r="I1650" s="6" t="s">
        <v>8509</v>
      </c>
      <c r="J1650" s="6" t="s">
        <v>10413</v>
      </c>
      <c r="K1650" s="6" t="s">
        <v>10886</v>
      </c>
      <c r="L1650" s="16" t="n">
        <v>44629</v>
      </c>
      <c r="M1650" s="16" t="n">
        <v>45809</v>
      </c>
      <c r="N1650" s="6" t="s">
        <v>10886</v>
      </c>
      <c r="O1650" s="16" t="n">
        <v>44993</v>
      </c>
      <c r="P1650" s="6" t="s">
        <v>11879</v>
      </c>
      <c r="Q1650" s="6" t="s">
        <v>81</v>
      </c>
      <c r="R1650" s="6" t="s">
        <v>81</v>
      </c>
      <c r="S1650" s="6" t="s">
        <v>10886</v>
      </c>
      <c r="T1650" s="16" t="n">
        <v>44629</v>
      </c>
      <c r="U1650" s="6" t="s">
        <v>13681</v>
      </c>
      <c r="V1650" s="6" t="s">
        <v>81</v>
      </c>
      <c r="W1650" s="6" t="s">
        <v>81</v>
      </c>
      <c r="X1650" s="6" t="s">
        <v>81</v>
      </c>
      <c r="Y1650" s="21" t="s">
        <v>81</v>
      </c>
      <c r="Z1650" s="6" t="s">
        <v>81</v>
      </c>
      <c r="AA1650" s="6" t="s">
        <v>81</v>
      </c>
      <c r="AB1650" s="6" t="s">
        <v>81</v>
      </c>
      <c r="AC1650" s="6" t="s">
        <v>10886</v>
      </c>
      <c r="AD1650" s="16" t="n">
        <v>44629</v>
      </c>
      <c r="AE1650" s="6" t="s">
        <v>14014</v>
      </c>
      <c r="AF1650" s="6" t="s">
        <v>81</v>
      </c>
      <c r="AG1650" s="6" t="s">
        <v>81</v>
      </c>
      <c r="AH1650" s="6" t="s">
        <v>16215</v>
      </c>
      <c r="AI1650" s="6" t="s">
        <v>81</v>
      </c>
      <c r="AJ1650" s="6" t="s">
        <v>18024</v>
      </c>
      <c r="AK1650" s="6" t="s">
        <v>18377</v>
      </c>
      <c r="AL1650" s="6" t="s">
        <v>18444</v>
      </c>
      <c r="AM1650" s="6" t="s">
        <v>19214</v>
      </c>
      <c r="AN1650" s="6" t="s">
        <v>19634</v>
      </c>
      <c r="AO1650" s="6" t="s">
        <v>19764</v>
      </c>
      <c r="AP1650" s="6" t="s">
        <v>16215</v>
      </c>
      <c r="AQ1650" s="6" t="s">
        <v>81</v>
      </c>
      <c r="AR1650" s="6" t="s">
        <v>18024</v>
      </c>
      <c r="AS1650" s="6" t="s">
        <v>18377</v>
      </c>
      <c r="AT1650" s="6" t="s">
        <v>18444</v>
      </c>
      <c r="AU1650" s="6" t="s">
        <v>19214</v>
      </c>
      <c r="AV1650" s="6" t="s">
        <v>81</v>
      </c>
      <c r="AW1650" s="6" t="s">
        <v>81</v>
      </c>
      <c r="AX1650" s="6" t="s">
        <v>81</v>
      </c>
      <c r="AY1650" s="6" t="s">
        <v>23147</v>
      </c>
      <c r="AZ1650" s="6" t="s">
        <v>81</v>
      </c>
      <c r="BA1650" s="6" t="s">
        <v>81</v>
      </c>
      <c r="BB1650" s="24" t="n">
        <v>153</v>
      </c>
      <c r="BC1650" s="26"/>
      <c r="BD1650" s="26"/>
      <c r="BE1650" s="26"/>
      <c r="BF1650" s="26"/>
      <c r="BG1650" s="26"/>
      <c r="BH1650" s="26"/>
      <c r="BI1650" s="26"/>
      <c r="BJ1650" s="26"/>
      <c r="BK1650" s="26"/>
      <c r="BL1650" s="26"/>
      <c r="BM1650" s="26"/>
      <c r="BN1650" s="26"/>
      <c r="BO1650" s="26"/>
      <c r="BP1650" s="16" t="n">
        <v>45628</v>
      </c>
      <c r="BQ1650" s="28" t="str">
        <f>HYPERLINK("https://organic.ams.usda.gov/Integrity/Certificate.aspx?cid=1&amp;nopid=9092133404")</f>
        <v>https://organic.ams.usda.gov/Integrity/Certificate.aspx?cid=1&amp;nopid=9092133404</v>
      </c>
    </row>
    <row r="1651">
      <c r="A1651" t="s">
        <v>3</v>
      </c>
      <c r="B1651" s="6" t="s">
        <v>9</v>
      </c>
      <c r="C1651" s="6" t="s">
        <v>56</v>
      </c>
      <c r="D1651" s="6" t="s">
        <v>102</v>
      </c>
      <c r="E1651" s="10" t="s">
        <v>1792</v>
      </c>
      <c r="F1651" s="6" t="s">
        <v>4514</v>
      </c>
      <c r="G1651" s="6" t="s">
        <v>81</v>
      </c>
      <c r="H1651" s="6" t="s">
        <v>7405</v>
      </c>
      <c r="I1651" s="6" t="s">
        <v>8509</v>
      </c>
      <c r="J1651" s="6" t="s">
        <v>9804</v>
      </c>
      <c r="K1651" s="6" t="s">
        <v>10886</v>
      </c>
      <c r="L1651" s="16" t="n">
        <v>43411</v>
      </c>
      <c r="M1651" s="16" t="n">
        <v>46113</v>
      </c>
      <c r="N1651" s="6" t="s">
        <v>10886</v>
      </c>
      <c r="O1651" s="16" t="n">
        <v>43411</v>
      </c>
      <c r="P1651" s="6" t="s">
        <v>11880</v>
      </c>
      <c r="Q1651" s="6" t="s">
        <v>81</v>
      </c>
      <c r="R1651" s="6" t="s">
        <v>12887</v>
      </c>
      <c r="S1651" s="6" t="s">
        <v>10886</v>
      </c>
      <c r="T1651" s="16" t="n">
        <v>43411</v>
      </c>
      <c r="U1651" s="6" t="s">
        <v>13168</v>
      </c>
      <c r="V1651" s="6" t="s">
        <v>81</v>
      </c>
      <c r="W1651" s="6" t="s">
        <v>12887</v>
      </c>
      <c r="X1651" s="6" t="s">
        <v>81</v>
      </c>
      <c r="Y1651" s="21" t="s">
        <v>81</v>
      </c>
      <c r="Z1651" s="6" t="s">
        <v>81</v>
      </c>
      <c r="AA1651" s="6" t="s">
        <v>81</v>
      </c>
      <c r="AB1651" s="6" t="s">
        <v>81</v>
      </c>
      <c r="AC1651" s="6" t="s">
        <v>81</v>
      </c>
      <c r="AD1651" s="21" t="s">
        <v>81</v>
      </c>
      <c r="AE1651" s="6" t="s">
        <v>81</v>
      </c>
      <c r="AF1651" s="6" t="s">
        <v>81</v>
      </c>
      <c r="AG1651" s="6" t="s">
        <v>81</v>
      </c>
      <c r="AH1651" s="6" t="s">
        <v>16216</v>
      </c>
      <c r="AI1651" s="6" t="s">
        <v>81</v>
      </c>
      <c r="AJ1651" s="6" t="s">
        <v>17662</v>
      </c>
      <c r="AK1651" s="6" t="s">
        <v>18377</v>
      </c>
      <c r="AL1651" s="6" t="s">
        <v>18444</v>
      </c>
      <c r="AM1651" s="6" t="s">
        <v>18830</v>
      </c>
      <c r="AN1651" s="6" t="s">
        <v>7546</v>
      </c>
      <c r="AO1651" s="6" t="s">
        <v>19892</v>
      </c>
      <c r="AP1651" s="6" t="s">
        <v>81</v>
      </c>
      <c r="AQ1651" s="6" t="s">
        <v>81</v>
      </c>
      <c r="AR1651" s="6" t="s">
        <v>81</v>
      </c>
      <c r="AS1651" s="6" t="s">
        <v>81</v>
      </c>
      <c r="AT1651" s="6" t="s">
        <v>81</v>
      </c>
      <c r="AU1651" s="6" t="s">
        <v>81</v>
      </c>
      <c r="AV1651" s="6" t="s">
        <v>81</v>
      </c>
      <c r="AW1651" s="6" t="s">
        <v>81</v>
      </c>
      <c r="AX1651" s="6" t="s">
        <v>21787</v>
      </c>
      <c r="AY1651" s="6" t="s">
        <v>81</v>
      </c>
      <c r="AZ1651" s="6" t="s">
        <v>81</v>
      </c>
      <c r="BA1651" s="6" t="s">
        <v>81</v>
      </c>
      <c r="BB1651" s="24" t="n">
        <v>311</v>
      </c>
      <c r="BC1651" s="26"/>
      <c r="BD1651" s="26"/>
      <c r="BE1651" s="26"/>
      <c r="BF1651" s="26"/>
      <c r="BG1651" s="26"/>
      <c r="BH1651" s="26"/>
      <c r="BI1651" s="26"/>
      <c r="BJ1651" s="26"/>
      <c r="BK1651" s="26"/>
      <c r="BL1651" s="26"/>
      <c r="BM1651" s="26"/>
      <c r="BN1651" s="26"/>
      <c r="BO1651" s="26"/>
      <c r="BP1651" s="16" t="n">
        <v>45738</v>
      </c>
      <c r="BQ1651" s="28" t="str">
        <f>HYPERLINK("https://organic.ams.usda.gov/Integrity/Certificate.aspx?cid=52&amp;nopid=8431801552")</f>
        <v>https://organic.ams.usda.gov/Integrity/Certificate.aspx?cid=52&amp;nopid=8431801552</v>
      </c>
    </row>
    <row r="1652">
      <c r="A1652" t="s">
        <v>3</v>
      </c>
      <c r="B1652" s="6" t="s">
        <v>12</v>
      </c>
      <c r="C1652" s="6" t="s">
        <v>59</v>
      </c>
      <c r="D1652" s="6" t="s">
        <v>105</v>
      </c>
      <c r="E1652" s="10" t="s">
        <v>1793</v>
      </c>
      <c r="F1652" s="6" t="s">
        <v>4515</v>
      </c>
      <c r="G1652" s="6" t="s">
        <v>81</v>
      </c>
      <c r="H1652" s="6" t="s">
        <v>7406</v>
      </c>
      <c r="I1652" s="6" t="s">
        <v>8509</v>
      </c>
      <c r="J1652" s="6" t="s">
        <v>10414</v>
      </c>
      <c r="K1652" s="6" t="s">
        <v>10886</v>
      </c>
      <c r="L1652" s="16" t="n">
        <v>42543</v>
      </c>
      <c r="M1652" s="16" t="n">
        <v>45717</v>
      </c>
      <c r="N1652" s="6" t="s">
        <v>10886</v>
      </c>
      <c r="O1652" s="16" t="n">
        <v>42543</v>
      </c>
      <c r="P1652" s="6" t="s">
        <v>10910</v>
      </c>
      <c r="Q1652" s="6" t="s">
        <v>81</v>
      </c>
      <c r="R1652" s="6" t="s">
        <v>81</v>
      </c>
      <c r="S1652" s="6" t="s">
        <v>10886</v>
      </c>
      <c r="T1652" s="16" t="n">
        <v>42543</v>
      </c>
      <c r="U1652" s="6" t="s">
        <v>13183</v>
      </c>
      <c r="V1652" s="6" t="s">
        <v>81</v>
      </c>
      <c r="W1652" s="6" t="s">
        <v>81</v>
      </c>
      <c r="X1652" s="6" t="s">
        <v>81</v>
      </c>
      <c r="Y1652" s="21" t="s">
        <v>81</v>
      </c>
      <c r="Z1652" s="6" t="s">
        <v>81</v>
      </c>
      <c r="AA1652" s="6" t="s">
        <v>81</v>
      </c>
      <c r="AB1652" s="6" t="s">
        <v>81</v>
      </c>
      <c r="AC1652" s="6" t="s">
        <v>81</v>
      </c>
      <c r="AD1652" s="21" t="s">
        <v>81</v>
      </c>
      <c r="AE1652" s="6" t="s">
        <v>81</v>
      </c>
      <c r="AF1652" s="6" t="s">
        <v>81</v>
      </c>
      <c r="AG1652" s="6" t="s">
        <v>81</v>
      </c>
      <c r="AH1652" s="6" t="s">
        <v>16217</v>
      </c>
      <c r="AI1652" s="6" t="s">
        <v>81</v>
      </c>
      <c r="AJ1652" s="6" t="s">
        <v>17931</v>
      </c>
      <c r="AK1652" s="6" t="s">
        <v>18380</v>
      </c>
      <c r="AL1652" s="6" t="s">
        <v>18444</v>
      </c>
      <c r="AM1652" s="6" t="s">
        <v>19120</v>
      </c>
      <c r="AN1652" s="6" t="s">
        <v>19684</v>
      </c>
      <c r="AO1652" s="6" t="s">
        <v>19897</v>
      </c>
      <c r="AP1652" s="6" t="s">
        <v>16217</v>
      </c>
      <c r="AQ1652" s="6" t="s">
        <v>81</v>
      </c>
      <c r="AR1652" s="6" t="s">
        <v>17931</v>
      </c>
      <c r="AS1652" s="6" t="s">
        <v>18380</v>
      </c>
      <c r="AT1652" s="6" t="s">
        <v>18444</v>
      </c>
      <c r="AU1652" s="6" t="s">
        <v>19120</v>
      </c>
      <c r="AV1652" s="6" t="s">
        <v>81</v>
      </c>
      <c r="AW1652" s="6" t="s">
        <v>81</v>
      </c>
      <c r="AX1652" s="6" t="s">
        <v>21788</v>
      </c>
      <c r="AY1652" s="6" t="s">
        <v>81</v>
      </c>
      <c r="AZ1652" s="6" t="s">
        <v>81</v>
      </c>
      <c r="BA1652" s="6" t="s">
        <v>81</v>
      </c>
      <c r="BB1652" s="24" t="n">
        <v>725</v>
      </c>
      <c r="BC1652" s="26"/>
      <c r="BD1652" s="26"/>
      <c r="BE1652" s="26"/>
      <c r="BF1652" s="26"/>
      <c r="BG1652" s="26"/>
      <c r="BH1652" s="26"/>
      <c r="BI1652" s="26"/>
      <c r="BJ1652" s="26"/>
      <c r="BK1652" s="26"/>
      <c r="BL1652" s="26"/>
      <c r="BM1652" s="26"/>
      <c r="BN1652" s="26"/>
      <c r="BO1652" s="26"/>
      <c r="BP1652" s="16" t="n">
        <v>45684</v>
      </c>
      <c r="BQ1652" s="28" t="str">
        <f>HYPERLINK("https://organic.ams.usda.gov/Integrity/Certificate.aspx?cid=68&amp;nopid=8210003057")</f>
        <v>https://organic.ams.usda.gov/Integrity/Certificate.aspx?cid=68&amp;nopid=8210003057</v>
      </c>
    </row>
    <row r="1653">
      <c r="A1653" t="s">
        <v>3</v>
      </c>
      <c r="B1653" s="6" t="s">
        <v>11</v>
      </c>
      <c r="C1653" s="6" t="s">
        <v>58</v>
      </c>
      <c r="D1653" s="6" t="s">
        <v>104</v>
      </c>
      <c r="E1653" s="10" t="s">
        <v>1794</v>
      </c>
      <c r="F1653" s="6" t="s">
        <v>4516</v>
      </c>
      <c r="G1653" s="6" t="s">
        <v>81</v>
      </c>
      <c r="H1653" s="6" t="s">
        <v>81</v>
      </c>
      <c r="I1653" s="6" t="s">
        <v>8509</v>
      </c>
      <c r="J1653" s="6" t="s">
        <v>10415</v>
      </c>
      <c r="K1653" s="6" t="s">
        <v>10886</v>
      </c>
      <c r="L1653" s="16" t="n">
        <v>42704</v>
      </c>
      <c r="M1653" s="16" t="n">
        <v>45383</v>
      </c>
      <c r="N1653" s="6" t="s">
        <v>10886</v>
      </c>
      <c r="O1653" s="16" t="n">
        <v>42704</v>
      </c>
      <c r="P1653" s="6" t="s">
        <v>11881</v>
      </c>
      <c r="Q1653" s="6" t="s">
        <v>81</v>
      </c>
      <c r="R1653" s="6" t="s">
        <v>81</v>
      </c>
      <c r="S1653" s="6" t="s">
        <v>10886</v>
      </c>
      <c r="T1653" s="16" t="n">
        <v>42704</v>
      </c>
      <c r="U1653" s="6" t="s">
        <v>13682</v>
      </c>
      <c r="V1653" s="6" t="s">
        <v>81</v>
      </c>
      <c r="W1653" s="6" t="s">
        <v>81</v>
      </c>
      <c r="X1653" s="6" t="s">
        <v>81</v>
      </c>
      <c r="Y1653" s="21" t="s">
        <v>81</v>
      </c>
      <c r="Z1653" s="6" t="s">
        <v>81</v>
      </c>
      <c r="AA1653" s="6" t="s">
        <v>81</v>
      </c>
      <c r="AB1653" s="6" t="s">
        <v>81</v>
      </c>
      <c r="AC1653" s="6" t="s">
        <v>81</v>
      </c>
      <c r="AD1653" s="21" t="s">
        <v>81</v>
      </c>
      <c r="AE1653" s="6" t="s">
        <v>81</v>
      </c>
      <c r="AF1653" s="6" t="s">
        <v>81</v>
      </c>
      <c r="AG1653" s="6" t="s">
        <v>81</v>
      </c>
      <c r="AH1653" s="6" t="s">
        <v>16218</v>
      </c>
      <c r="AI1653" s="6" t="s">
        <v>81</v>
      </c>
      <c r="AJ1653" s="6" t="s">
        <v>18067</v>
      </c>
      <c r="AK1653" s="6" t="s">
        <v>18381</v>
      </c>
      <c r="AL1653" s="6" t="s">
        <v>18444</v>
      </c>
      <c r="AM1653" s="6" t="s">
        <v>19260</v>
      </c>
      <c r="AN1653" s="6" t="s">
        <v>19698</v>
      </c>
      <c r="AO1653" s="6" t="s">
        <v>20010</v>
      </c>
      <c r="AP1653" s="6" t="s">
        <v>81</v>
      </c>
      <c r="AQ1653" s="6" t="s">
        <v>81</v>
      </c>
      <c r="AR1653" s="6" t="s">
        <v>81</v>
      </c>
      <c r="AS1653" s="6" t="s">
        <v>81</v>
      </c>
      <c r="AT1653" s="6" t="s">
        <v>81</v>
      </c>
      <c r="AU1653" s="6" t="s">
        <v>81</v>
      </c>
      <c r="AV1653" s="6" t="s">
        <v>81</v>
      </c>
      <c r="AW1653" s="6" t="s">
        <v>81</v>
      </c>
      <c r="AX1653" s="6" t="s">
        <v>81</v>
      </c>
      <c r="AY1653" s="6" t="s">
        <v>81</v>
      </c>
      <c r="AZ1653" s="6" t="s">
        <v>81</v>
      </c>
      <c r="BA1653" s="6" t="s">
        <v>23820</v>
      </c>
      <c r="BB1653" s="24" t="n">
        <v>126</v>
      </c>
      <c r="BC1653" s="26"/>
      <c r="BD1653" s="26"/>
      <c r="BE1653" s="26"/>
      <c r="BF1653" s="26"/>
      <c r="BG1653" s="26"/>
      <c r="BH1653" s="26"/>
      <c r="BI1653" s="26"/>
      <c r="BJ1653" s="26"/>
      <c r="BK1653" s="26"/>
      <c r="BL1653" s="26"/>
      <c r="BM1653" s="26"/>
      <c r="BN1653" s="26"/>
      <c r="BO1653" s="26"/>
      <c r="BP1653" s="16" t="n">
        <v>45443</v>
      </c>
      <c r="BQ1653" s="28" t="str">
        <f>HYPERLINK("https://organic.ams.usda.gov/Integrity/Certificate.aspx?cid=46&amp;nopid=3671600133")</f>
        <v>https://organic.ams.usda.gov/Integrity/Certificate.aspx?cid=46&amp;nopid=3671600133</v>
      </c>
    </row>
    <row r="1654">
      <c r="A1654" t="s">
        <v>3</v>
      </c>
      <c r="B1654" s="6" t="s">
        <v>7</v>
      </c>
      <c r="C1654" s="6" t="s">
        <v>54</v>
      </c>
      <c r="D1654" s="6" t="s">
        <v>100</v>
      </c>
      <c r="E1654" s="10" t="s">
        <v>1795</v>
      </c>
      <c r="F1654" s="6" t="s">
        <v>4517</v>
      </c>
      <c r="G1654" s="6" t="s">
        <v>81</v>
      </c>
      <c r="H1654" s="6" t="s">
        <v>7407</v>
      </c>
      <c r="I1654" s="6" t="s">
        <v>8509</v>
      </c>
      <c r="J1654" s="6" t="s">
        <v>9729</v>
      </c>
      <c r="K1654" s="6" t="s">
        <v>10886</v>
      </c>
      <c r="L1654" s="16" t="n">
        <v>40811</v>
      </c>
      <c r="M1654" s="16" t="n">
        <v>45716</v>
      </c>
      <c r="N1654" s="6" t="s">
        <v>10886</v>
      </c>
      <c r="O1654" s="16" t="n">
        <v>40811</v>
      </c>
      <c r="P1654" s="6" t="s">
        <v>10925</v>
      </c>
      <c r="Q1654" s="6" t="s">
        <v>81</v>
      </c>
      <c r="R1654" s="6" t="s">
        <v>81</v>
      </c>
      <c r="S1654" s="6" t="s">
        <v>10886</v>
      </c>
      <c r="T1654" s="16" t="n">
        <v>41122</v>
      </c>
      <c r="U1654" s="6" t="s">
        <v>13169</v>
      </c>
      <c r="V1654" s="6" t="s">
        <v>81</v>
      </c>
      <c r="W1654" s="6" t="s">
        <v>81</v>
      </c>
      <c r="X1654" s="6" t="s">
        <v>81</v>
      </c>
      <c r="Y1654" s="21" t="s">
        <v>81</v>
      </c>
      <c r="Z1654" s="6" t="s">
        <v>81</v>
      </c>
      <c r="AA1654" s="6" t="s">
        <v>81</v>
      </c>
      <c r="AB1654" s="6" t="s">
        <v>81</v>
      </c>
      <c r="AC1654" s="6" t="s">
        <v>81</v>
      </c>
      <c r="AD1654" s="21" t="s">
        <v>81</v>
      </c>
      <c r="AE1654" s="6" t="s">
        <v>81</v>
      </c>
      <c r="AF1654" s="6" t="s">
        <v>81</v>
      </c>
      <c r="AG1654" s="6" t="s">
        <v>81</v>
      </c>
      <c r="AH1654" s="6" t="s">
        <v>16219</v>
      </c>
      <c r="AI1654" s="6" t="s">
        <v>81</v>
      </c>
      <c r="AJ1654" s="6" t="s">
        <v>18068</v>
      </c>
      <c r="AK1654" s="6" t="s">
        <v>17712</v>
      </c>
      <c r="AL1654" s="6" t="s">
        <v>18444</v>
      </c>
      <c r="AM1654" s="6" t="s">
        <v>19261</v>
      </c>
      <c r="AN1654" s="6" t="s">
        <v>19645</v>
      </c>
      <c r="AO1654" s="6" t="s">
        <v>19770</v>
      </c>
      <c r="AP1654" s="6" t="s">
        <v>16219</v>
      </c>
      <c r="AQ1654" s="6" t="s">
        <v>81</v>
      </c>
      <c r="AR1654" s="6" t="s">
        <v>18068</v>
      </c>
      <c r="AS1654" s="6" t="s">
        <v>17712</v>
      </c>
      <c r="AT1654" s="6" t="s">
        <v>18444</v>
      </c>
      <c r="AU1654" s="6" t="s">
        <v>19261</v>
      </c>
      <c r="AV1654" s="6" t="s">
        <v>81</v>
      </c>
      <c r="AW1654" s="6" t="s">
        <v>81</v>
      </c>
      <c r="AX1654" s="6" t="s">
        <v>21789</v>
      </c>
      <c r="AY1654" s="6" t="s">
        <v>81</v>
      </c>
      <c r="AZ1654" s="6" t="s">
        <v>81</v>
      </c>
      <c r="BA1654" s="6" t="s">
        <v>81</v>
      </c>
      <c r="BB1654" s="24" t="n">
        <v>155</v>
      </c>
      <c r="BC1654" s="26"/>
      <c r="BD1654" s="26"/>
      <c r="BE1654" s="26"/>
      <c r="BF1654" s="26" t="s">
        <v>23900</v>
      </c>
      <c r="BG1654" s="26"/>
      <c r="BH1654" s="26"/>
      <c r="BI1654" s="26"/>
      <c r="BJ1654" s="26"/>
      <c r="BK1654" s="26"/>
      <c r="BL1654" s="26"/>
      <c r="BM1654" s="26"/>
      <c r="BN1654" s="26"/>
      <c r="BO1654" s="26"/>
      <c r="BP1654" s="16" t="n">
        <v>45713</v>
      </c>
      <c r="BQ1654" s="28" t="str">
        <f>HYPERLINK("https://organic.ams.usda.gov/Integrity/Certificate.aspx?cid=57&amp;nopid=3252011059")</f>
        <v>https://organic.ams.usda.gov/Integrity/Certificate.aspx?cid=57&amp;nopid=3252011059</v>
      </c>
    </row>
    <row r="1655">
      <c r="A1655" t="s">
        <v>3</v>
      </c>
      <c r="B1655" s="6" t="s">
        <v>10</v>
      </c>
      <c r="C1655" s="6" t="s">
        <v>57</v>
      </c>
      <c r="D1655" s="6" t="s">
        <v>103</v>
      </c>
      <c r="E1655" s="10" t="s">
        <v>1796</v>
      </c>
      <c r="F1655" s="6" t="s">
        <v>4518</v>
      </c>
      <c r="G1655" s="6" t="s">
        <v>81</v>
      </c>
      <c r="H1655" s="6" t="s">
        <v>7408</v>
      </c>
      <c r="I1655" s="6" t="s">
        <v>9230</v>
      </c>
      <c r="J1655" s="6" t="s">
        <v>9666</v>
      </c>
      <c r="K1655" s="6" t="s">
        <v>10886</v>
      </c>
      <c r="L1655" s="16" t="n">
        <v>39035</v>
      </c>
      <c r="M1655" s="16" t="n">
        <v>45748</v>
      </c>
      <c r="N1655" s="6" t="s">
        <v>10886</v>
      </c>
      <c r="O1655" s="16" t="n">
        <v>39035</v>
      </c>
      <c r="P1655" s="6" t="s">
        <v>11882</v>
      </c>
      <c r="Q1655" s="6" t="s">
        <v>81</v>
      </c>
      <c r="R1655" s="6" t="s">
        <v>12888</v>
      </c>
      <c r="S1655" s="6" t="s">
        <v>10886</v>
      </c>
      <c r="T1655" s="16" t="n">
        <v>39035</v>
      </c>
      <c r="U1655" s="6" t="s">
        <v>13163</v>
      </c>
      <c r="V1655" s="6" t="s">
        <v>81</v>
      </c>
      <c r="W1655" s="6" t="s">
        <v>81</v>
      </c>
      <c r="X1655" s="6" t="s">
        <v>81</v>
      </c>
      <c r="Y1655" s="21" t="s">
        <v>81</v>
      </c>
      <c r="Z1655" s="6" t="s">
        <v>81</v>
      </c>
      <c r="AA1655" s="6" t="s">
        <v>81</v>
      </c>
      <c r="AB1655" s="6" t="s">
        <v>81</v>
      </c>
      <c r="AC1655" s="6" t="s">
        <v>81</v>
      </c>
      <c r="AD1655" s="21" t="s">
        <v>81</v>
      </c>
      <c r="AE1655" s="6" t="s">
        <v>81</v>
      </c>
      <c r="AF1655" s="6" t="s">
        <v>81</v>
      </c>
      <c r="AG1655" s="6" t="s">
        <v>81</v>
      </c>
      <c r="AH1655" s="6" t="s">
        <v>16220</v>
      </c>
      <c r="AI1655" s="6" t="s">
        <v>81</v>
      </c>
      <c r="AJ1655" s="6" t="s">
        <v>17315</v>
      </c>
      <c r="AK1655" s="6" t="s">
        <v>18379</v>
      </c>
      <c r="AL1655" s="6" t="s">
        <v>18444</v>
      </c>
      <c r="AM1655" s="6" t="s">
        <v>18467</v>
      </c>
      <c r="AN1655" s="6" t="s">
        <v>19637</v>
      </c>
      <c r="AO1655" s="6" t="s">
        <v>19723</v>
      </c>
      <c r="AP1655" s="6" t="s">
        <v>16220</v>
      </c>
      <c r="AQ1655" s="6" t="s">
        <v>81</v>
      </c>
      <c r="AR1655" s="6" t="s">
        <v>17315</v>
      </c>
      <c r="AS1655" s="6" t="s">
        <v>18379</v>
      </c>
      <c r="AT1655" s="6" t="s">
        <v>18444</v>
      </c>
      <c r="AU1655" s="6" t="s">
        <v>18467</v>
      </c>
      <c r="AV1655" s="6" t="s">
        <v>81</v>
      </c>
      <c r="AW1655" s="6" t="s">
        <v>81</v>
      </c>
      <c r="AX1655" s="6" t="s">
        <v>21790</v>
      </c>
      <c r="AY1655" s="6" t="s">
        <v>81</v>
      </c>
      <c r="AZ1655" s="6" t="s">
        <v>81</v>
      </c>
      <c r="BA1655" s="6" t="s">
        <v>81</v>
      </c>
      <c r="BB1655" s="24" t="n">
        <v>123</v>
      </c>
      <c r="BC1655" s="26"/>
      <c r="BD1655" s="26"/>
      <c r="BE1655" s="26"/>
      <c r="BF1655" s="26"/>
      <c r="BG1655" s="26"/>
      <c r="BH1655" s="26"/>
      <c r="BI1655" s="26"/>
      <c r="BJ1655" s="26"/>
      <c r="BK1655" s="26"/>
      <c r="BL1655" s="26"/>
      <c r="BM1655" s="26"/>
      <c r="BN1655" s="26"/>
      <c r="BO1655" s="26"/>
      <c r="BP1655" s="16" t="n">
        <v>45730</v>
      </c>
      <c r="BQ1655" s="28" t="str">
        <f>HYPERLINK("https://organic.ams.usda.gov/Integrity/Certificate.aspx?cid=90&amp;nopid=7170020079")</f>
        <v>https://organic.ams.usda.gov/Integrity/Certificate.aspx?cid=90&amp;nopid=7170020079</v>
      </c>
    </row>
    <row r="1656">
      <c r="A1656" t="s">
        <v>3</v>
      </c>
      <c r="B1656" s="6" t="s">
        <v>9</v>
      </c>
      <c r="C1656" s="6" t="s">
        <v>56</v>
      </c>
      <c r="D1656" s="6" t="s">
        <v>102</v>
      </c>
      <c r="E1656" s="10" t="s">
        <v>1797</v>
      </c>
      <c r="F1656" s="6" t="s">
        <v>4519</v>
      </c>
      <c r="G1656" s="6" t="s">
        <v>81</v>
      </c>
      <c r="H1656" s="6" t="s">
        <v>7409</v>
      </c>
      <c r="I1656" s="6" t="s">
        <v>8509</v>
      </c>
      <c r="J1656" s="6" t="s">
        <v>10416</v>
      </c>
      <c r="K1656" s="6" t="s">
        <v>10886</v>
      </c>
      <c r="L1656" s="16" t="n">
        <v>43586</v>
      </c>
      <c r="M1656" s="16" t="n">
        <v>46113</v>
      </c>
      <c r="N1656" s="6" t="s">
        <v>10886</v>
      </c>
      <c r="O1656" s="16" t="n">
        <v>43586</v>
      </c>
      <c r="P1656" s="6" t="s">
        <v>10900</v>
      </c>
      <c r="Q1656" s="6" t="s">
        <v>81</v>
      </c>
      <c r="R1656" s="6" t="s">
        <v>12889</v>
      </c>
      <c r="S1656" s="6" t="s">
        <v>10886</v>
      </c>
      <c r="T1656" s="16" t="n">
        <v>43586</v>
      </c>
      <c r="U1656" s="6" t="s">
        <v>13176</v>
      </c>
      <c r="V1656" s="6" t="s">
        <v>81</v>
      </c>
      <c r="W1656" s="6" t="s">
        <v>12889</v>
      </c>
      <c r="X1656" s="6" t="s">
        <v>81</v>
      </c>
      <c r="Y1656" s="21" t="s">
        <v>81</v>
      </c>
      <c r="Z1656" s="6" t="s">
        <v>81</v>
      </c>
      <c r="AA1656" s="6" t="s">
        <v>81</v>
      </c>
      <c r="AB1656" s="6" t="s">
        <v>81</v>
      </c>
      <c r="AC1656" s="6" t="s">
        <v>81</v>
      </c>
      <c r="AD1656" s="21" t="s">
        <v>81</v>
      </c>
      <c r="AE1656" s="6" t="s">
        <v>81</v>
      </c>
      <c r="AF1656" s="6" t="s">
        <v>81</v>
      </c>
      <c r="AG1656" s="6" t="s">
        <v>81</v>
      </c>
      <c r="AH1656" s="6" t="s">
        <v>16221</v>
      </c>
      <c r="AI1656" s="6" t="s">
        <v>81</v>
      </c>
      <c r="AJ1656" s="6" t="s">
        <v>18069</v>
      </c>
      <c r="AK1656" s="6" t="s">
        <v>18381</v>
      </c>
      <c r="AL1656" s="6" t="s">
        <v>18444</v>
      </c>
      <c r="AM1656" s="6" t="s">
        <v>19262</v>
      </c>
      <c r="AN1656" s="6" t="s">
        <v>19646</v>
      </c>
      <c r="AO1656" s="6" t="s">
        <v>20011</v>
      </c>
      <c r="AP1656" s="6" t="s">
        <v>81</v>
      </c>
      <c r="AQ1656" s="6" t="s">
        <v>81</v>
      </c>
      <c r="AR1656" s="6" t="s">
        <v>81</v>
      </c>
      <c r="AS1656" s="6" t="s">
        <v>81</v>
      </c>
      <c r="AT1656" s="6" t="s">
        <v>81</v>
      </c>
      <c r="AU1656" s="6" t="s">
        <v>81</v>
      </c>
      <c r="AV1656" s="6" t="s">
        <v>81</v>
      </c>
      <c r="AW1656" s="6" t="s">
        <v>81</v>
      </c>
      <c r="AX1656" s="6" t="s">
        <v>21791</v>
      </c>
      <c r="AY1656" s="6" t="s">
        <v>23148</v>
      </c>
      <c r="AZ1656" s="6" t="s">
        <v>81</v>
      </c>
      <c r="BA1656" s="6" t="s">
        <v>23837</v>
      </c>
      <c r="BB1656" s="24" t="n">
        <v>152</v>
      </c>
      <c r="BC1656" s="26"/>
      <c r="BD1656" s="26"/>
      <c r="BE1656" s="26"/>
      <c r="BF1656" s="26"/>
      <c r="BG1656" s="26"/>
      <c r="BH1656" s="26"/>
      <c r="BI1656" s="26"/>
      <c r="BJ1656" s="26"/>
      <c r="BK1656" s="26"/>
      <c r="BL1656" s="26"/>
      <c r="BM1656" s="26"/>
      <c r="BN1656" s="26"/>
      <c r="BO1656" s="26"/>
      <c r="BP1656" s="16" t="n">
        <v>45738</v>
      </c>
      <c r="BQ1656" s="28" t="str">
        <f>HYPERLINK("https://organic.ams.usda.gov/Integrity/Certificate.aspx?cid=52&amp;nopid=8431901590")</f>
        <v>https://organic.ams.usda.gov/Integrity/Certificate.aspx?cid=52&amp;nopid=8431901590</v>
      </c>
    </row>
    <row r="1657">
      <c r="A1657" t="s">
        <v>3</v>
      </c>
      <c r="B1657" s="6" t="s">
        <v>12</v>
      </c>
      <c r="C1657" s="6" t="s">
        <v>59</v>
      </c>
      <c r="D1657" s="6" t="s">
        <v>105</v>
      </c>
      <c r="E1657" s="10" t="s">
        <v>1798</v>
      </c>
      <c r="F1657" s="6" t="s">
        <v>4520</v>
      </c>
      <c r="G1657" s="6" t="s">
        <v>81</v>
      </c>
      <c r="H1657" s="6" t="s">
        <v>7410</v>
      </c>
      <c r="I1657" s="6" t="s">
        <v>81</v>
      </c>
      <c r="J1657" s="6" t="s">
        <v>10417</v>
      </c>
      <c r="K1657" s="6" t="s">
        <v>10886</v>
      </c>
      <c r="L1657" s="16" t="n">
        <v>40784</v>
      </c>
      <c r="M1657" s="16" t="n">
        <v>45717</v>
      </c>
      <c r="N1657" s="6" t="s">
        <v>10886</v>
      </c>
      <c r="O1657" s="16" t="n">
        <v>40784</v>
      </c>
      <c r="P1657" s="6" t="s">
        <v>11672</v>
      </c>
      <c r="Q1657" s="6" t="s">
        <v>81</v>
      </c>
      <c r="R1657" s="6" t="s">
        <v>81</v>
      </c>
      <c r="S1657" s="6" t="s">
        <v>10886</v>
      </c>
      <c r="T1657" s="16" t="n">
        <v>40784</v>
      </c>
      <c r="U1657" s="6" t="s">
        <v>13262</v>
      </c>
      <c r="V1657" s="6" t="s">
        <v>81</v>
      </c>
      <c r="W1657" s="6" t="s">
        <v>81</v>
      </c>
      <c r="X1657" s="6" t="s">
        <v>81</v>
      </c>
      <c r="Y1657" s="21" t="s">
        <v>81</v>
      </c>
      <c r="Z1657" s="6" t="s">
        <v>81</v>
      </c>
      <c r="AA1657" s="6" t="s">
        <v>81</v>
      </c>
      <c r="AB1657" s="6" t="s">
        <v>81</v>
      </c>
      <c r="AC1657" s="6" t="s">
        <v>81</v>
      </c>
      <c r="AD1657" s="21" t="s">
        <v>81</v>
      </c>
      <c r="AE1657" s="6" t="s">
        <v>81</v>
      </c>
      <c r="AF1657" s="6" t="s">
        <v>81</v>
      </c>
      <c r="AG1657" s="6" t="s">
        <v>81</v>
      </c>
      <c r="AH1657" s="6" t="s">
        <v>16222</v>
      </c>
      <c r="AI1657" s="6" t="s">
        <v>81</v>
      </c>
      <c r="AJ1657" s="6" t="s">
        <v>17311</v>
      </c>
      <c r="AK1657" s="6" t="s">
        <v>17712</v>
      </c>
      <c r="AL1657" s="6" t="s">
        <v>18444</v>
      </c>
      <c r="AM1657" s="6" t="s">
        <v>18463</v>
      </c>
      <c r="AN1657" s="6" t="s">
        <v>19634</v>
      </c>
      <c r="AO1657" s="6" t="s">
        <v>19719</v>
      </c>
      <c r="AP1657" s="6" t="s">
        <v>16222</v>
      </c>
      <c r="AQ1657" s="6" t="s">
        <v>81</v>
      </c>
      <c r="AR1657" s="6" t="s">
        <v>17311</v>
      </c>
      <c r="AS1657" s="6" t="s">
        <v>17712</v>
      </c>
      <c r="AT1657" s="6" t="s">
        <v>18444</v>
      </c>
      <c r="AU1657" s="6" t="s">
        <v>18463</v>
      </c>
      <c r="AV1657" s="6" t="s">
        <v>81</v>
      </c>
      <c r="AW1657" s="6" t="s">
        <v>81</v>
      </c>
      <c r="AX1657" s="6" t="s">
        <v>21792</v>
      </c>
      <c r="AY1657" s="6" t="s">
        <v>81</v>
      </c>
      <c r="AZ1657" s="6" t="s">
        <v>81</v>
      </c>
      <c r="BA1657" s="6" t="s">
        <v>81</v>
      </c>
      <c r="BB1657" s="24" t="n">
        <v>131</v>
      </c>
      <c r="BC1657" s="26"/>
      <c r="BD1657" s="26"/>
      <c r="BE1657" s="26"/>
      <c r="BF1657" s="26"/>
      <c r="BG1657" s="26"/>
      <c r="BH1657" s="26"/>
      <c r="BI1657" s="26"/>
      <c r="BJ1657" s="26"/>
      <c r="BK1657" s="26"/>
      <c r="BL1657" s="26"/>
      <c r="BM1657" s="26"/>
      <c r="BN1657" s="26"/>
      <c r="BO1657" s="26"/>
      <c r="BP1657" s="16" t="n">
        <v>45687</v>
      </c>
      <c r="BQ1657" s="28" t="str">
        <f>HYPERLINK("https://organic.ams.usda.gov/Integrity/Certificate.aspx?cid=68&amp;nopid=8210003041")</f>
        <v>https://organic.ams.usda.gov/Integrity/Certificate.aspx?cid=68&amp;nopid=8210003041</v>
      </c>
    </row>
    <row r="1658">
      <c r="A1658" t="s">
        <v>3</v>
      </c>
      <c r="B1658" s="6" t="s">
        <v>9</v>
      </c>
      <c r="C1658" s="6" t="s">
        <v>56</v>
      </c>
      <c r="D1658" s="6" t="s">
        <v>102</v>
      </c>
      <c r="E1658" s="10" t="s">
        <v>1799</v>
      </c>
      <c r="F1658" s="6" t="s">
        <v>4521</v>
      </c>
      <c r="G1658" s="6" t="s">
        <v>81</v>
      </c>
      <c r="H1658" s="6" t="s">
        <v>7411</v>
      </c>
      <c r="I1658" s="6" t="s">
        <v>9231</v>
      </c>
      <c r="J1658" s="6" t="s">
        <v>9665</v>
      </c>
      <c r="K1658" s="6" t="s">
        <v>10886</v>
      </c>
      <c r="L1658" s="16" t="n">
        <v>43000</v>
      </c>
      <c r="M1658" s="16" t="n">
        <v>45748</v>
      </c>
      <c r="N1658" s="6" t="s">
        <v>10886</v>
      </c>
      <c r="O1658" s="16" t="n">
        <v>43000</v>
      </c>
      <c r="P1658" s="6" t="s">
        <v>11883</v>
      </c>
      <c r="Q1658" s="6" t="s">
        <v>81</v>
      </c>
      <c r="R1658" s="6" t="s">
        <v>12890</v>
      </c>
      <c r="S1658" s="6" t="s">
        <v>10886</v>
      </c>
      <c r="T1658" s="16" t="n">
        <v>43000</v>
      </c>
      <c r="U1658" s="6" t="s">
        <v>13683</v>
      </c>
      <c r="V1658" s="6" t="s">
        <v>81</v>
      </c>
      <c r="W1658" s="6" t="s">
        <v>12890</v>
      </c>
      <c r="X1658" s="6" t="s">
        <v>81</v>
      </c>
      <c r="Y1658" s="21" t="s">
        <v>81</v>
      </c>
      <c r="Z1658" s="6" t="s">
        <v>81</v>
      </c>
      <c r="AA1658" s="6" t="s">
        <v>81</v>
      </c>
      <c r="AB1658" s="6" t="s">
        <v>81</v>
      </c>
      <c r="AC1658" s="6" t="s">
        <v>81</v>
      </c>
      <c r="AD1658" s="21" t="s">
        <v>81</v>
      </c>
      <c r="AE1658" s="6" t="s">
        <v>81</v>
      </c>
      <c r="AF1658" s="6" t="s">
        <v>81</v>
      </c>
      <c r="AG1658" s="6" t="s">
        <v>81</v>
      </c>
      <c r="AH1658" s="6" t="s">
        <v>16223</v>
      </c>
      <c r="AI1658" s="6" t="s">
        <v>81</v>
      </c>
      <c r="AJ1658" s="6" t="s">
        <v>18070</v>
      </c>
      <c r="AK1658" s="6" t="s">
        <v>18391</v>
      </c>
      <c r="AL1658" s="6" t="s">
        <v>18444</v>
      </c>
      <c r="AM1658" s="6" t="s">
        <v>19263</v>
      </c>
      <c r="AN1658" s="6" t="s">
        <v>6842</v>
      </c>
      <c r="AO1658" s="6" t="s">
        <v>19821</v>
      </c>
      <c r="AP1658" s="6" t="s">
        <v>81</v>
      </c>
      <c r="AQ1658" s="6" t="s">
        <v>81</v>
      </c>
      <c r="AR1658" s="6" t="s">
        <v>81</v>
      </c>
      <c r="AS1658" s="6" t="s">
        <v>81</v>
      </c>
      <c r="AT1658" s="6" t="s">
        <v>81</v>
      </c>
      <c r="AU1658" s="6" t="s">
        <v>81</v>
      </c>
      <c r="AV1658" s="6" t="s">
        <v>81</v>
      </c>
      <c r="AW1658" s="6" t="s">
        <v>81</v>
      </c>
      <c r="AX1658" s="6" t="s">
        <v>21793</v>
      </c>
      <c r="AY1658" s="6" t="s">
        <v>81</v>
      </c>
      <c r="AZ1658" s="6" t="s">
        <v>81</v>
      </c>
      <c r="BA1658" s="6" t="s">
        <v>23837</v>
      </c>
      <c r="BB1658" s="24" t="n">
        <v>192</v>
      </c>
      <c r="BC1658" s="26"/>
      <c r="BD1658" s="26"/>
      <c r="BE1658" s="26"/>
      <c r="BF1658" s="26"/>
      <c r="BG1658" s="26"/>
      <c r="BH1658" s="26"/>
      <c r="BI1658" s="26"/>
      <c r="BJ1658" s="26"/>
      <c r="BK1658" s="26"/>
      <c r="BL1658" s="26"/>
      <c r="BM1658" s="26"/>
      <c r="BN1658" s="26"/>
      <c r="BO1658" s="26"/>
      <c r="BP1658" s="16" t="n">
        <v>45738</v>
      </c>
      <c r="BQ1658" s="28" t="str">
        <f>HYPERLINK("https://organic.ams.usda.gov/Integrity/Certificate.aspx?cid=52&amp;nopid=8431701310")</f>
        <v>https://organic.ams.usda.gov/Integrity/Certificate.aspx?cid=52&amp;nopid=8431701310</v>
      </c>
    </row>
    <row r="1659">
      <c r="A1659" t="s">
        <v>3</v>
      </c>
      <c r="B1659" s="6" t="s">
        <v>12</v>
      </c>
      <c r="C1659" s="6" t="s">
        <v>59</v>
      </c>
      <c r="D1659" s="6" t="s">
        <v>105</v>
      </c>
      <c r="E1659" s="10" t="s">
        <v>1800</v>
      </c>
      <c r="F1659" s="6" t="s">
        <v>4522</v>
      </c>
      <c r="G1659" s="6" t="s">
        <v>81</v>
      </c>
      <c r="H1659" s="6" t="s">
        <v>7412</v>
      </c>
      <c r="I1659" s="6" t="s">
        <v>9231</v>
      </c>
      <c r="J1659" s="6" t="s">
        <v>10418</v>
      </c>
      <c r="K1659" s="6" t="s">
        <v>10886</v>
      </c>
      <c r="L1659" s="16" t="n">
        <v>41018</v>
      </c>
      <c r="M1659" s="16" t="n">
        <v>45717</v>
      </c>
      <c r="N1659" s="6" t="s">
        <v>10886</v>
      </c>
      <c r="O1659" s="16" t="n">
        <v>41018</v>
      </c>
      <c r="P1659" s="6" t="s">
        <v>11087</v>
      </c>
      <c r="Q1659" s="6" t="s">
        <v>81</v>
      </c>
      <c r="R1659" s="6" t="s">
        <v>81</v>
      </c>
      <c r="S1659" s="6" t="s">
        <v>10886</v>
      </c>
      <c r="T1659" s="16" t="n">
        <v>41018</v>
      </c>
      <c r="U1659" s="6" t="s">
        <v>13684</v>
      </c>
      <c r="V1659" s="6" t="s">
        <v>81</v>
      </c>
      <c r="W1659" s="6" t="s">
        <v>81</v>
      </c>
      <c r="X1659" s="6" t="s">
        <v>81</v>
      </c>
      <c r="Y1659" s="21" t="s">
        <v>81</v>
      </c>
      <c r="Z1659" s="6" t="s">
        <v>81</v>
      </c>
      <c r="AA1659" s="6" t="s">
        <v>81</v>
      </c>
      <c r="AB1659" s="6" t="s">
        <v>81</v>
      </c>
      <c r="AC1659" s="6" t="s">
        <v>81</v>
      </c>
      <c r="AD1659" s="21" t="s">
        <v>81</v>
      </c>
      <c r="AE1659" s="6" t="s">
        <v>81</v>
      </c>
      <c r="AF1659" s="6" t="s">
        <v>81</v>
      </c>
      <c r="AG1659" s="6" t="s">
        <v>81</v>
      </c>
      <c r="AH1659" s="6" t="s">
        <v>16224</v>
      </c>
      <c r="AI1659" s="6" t="s">
        <v>81</v>
      </c>
      <c r="AJ1659" s="6" t="s">
        <v>18001</v>
      </c>
      <c r="AK1659" s="6" t="s">
        <v>18380</v>
      </c>
      <c r="AL1659" s="6" t="s">
        <v>18444</v>
      </c>
      <c r="AM1659" s="6" t="s">
        <v>19193</v>
      </c>
      <c r="AN1659" s="6" t="s">
        <v>19686</v>
      </c>
      <c r="AO1659" s="6" t="s">
        <v>19817</v>
      </c>
      <c r="AP1659" s="6" t="s">
        <v>16224</v>
      </c>
      <c r="AQ1659" s="6" t="s">
        <v>81</v>
      </c>
      <c r="AR1659" s="6" t="s">
        <v>18001</v>
      </c>
      <c r="AS1659" s="6" t="s">
        <v>18380</v>
      </c>
      <c r="AT1659" s="6" t="s">
        <v>18444</v>
      </c>
      <c r="AU1659" s="6" t="s">
        <v>19193</v>
      </c>
      <c r="AV1659" s="6" t="s">
        <v>81</v>
      </c>
      <c r="AW1659" s="6" t="s">
        <v>81</v>
      </c>
      <c r="AX1659" s="6" t="s">
        <v>21794</v>
      </c>
      <c r="AY1659" s="6" t="s">
        <v>23149</v>
      </c>
      <c r="AZ1659" s="6" t="s">
        <v>81</v>
      </c>
      <c r="BA1659" s="6" t="s">
        <v>81</v>
      </c>
      <c r="BB1659" s="24" t="n">
        <v>260</v>
      </c>
      <c r="BC1659" s="26"/>
      <c r="BD1659" s="26"/>
      <c r="BE1659" s="26"/>
      <c r="BF1659" s="26"/>
      <c r="BG1659" s="26"/>
      <c r="BH1659" s="26"/>
      <c r="BI1659" s="26"/>
      <c r="BJ1659" s="26"/>
      <c r="BK1659" s="26"/>
      <c r="BL1659" s="26"/>
      <c r="BM1659" s="26"/>
      <c r="BN1659" s="26"/>
      <c r="BO1659" s="26"/>
      <c r="BP1659" s="16" t="n">
        <v>45684</v>
      </c>
      <c r="BQ1659" s="28" t="str">
        <f>HYPERLINK("https://organic.ams.usda.gov/Integrity/Certificate.aspx?cid=68&amp;nopid=8210001786")</f>
        <v>https://organic.ams.usda.gov/Integrity/Certificate.aspx?cid=68&amp;nopid=8210001786</v>
      </c>
    </row>
    <row r="1660">
      <c r="A1660" t="s">
        <v>3</v>
      </c>
      <c r="B1660" s="6" t="s">
        <v>10</v>
      </c>
      <c r="C1660" s="6" t="s">
        <v>57</v>
      </c>
      <c r="D1660" s="6" t="s">
        <v>103</v>
      </c>
      <c r="E1660" s="10" t="s">
        <v>1801</v>
      </c>
      <c r="F1660" s="6" t="s">
        <v>4523</v>
      </c>
      <c r="G1660" s="6" t="s">
        <v>81</v>
      </c>
      <c r="H1660" s="6" t="s">
        <v>7413</v>
      </c>
      <c r="I1660" s="6" t="s">
        <v>9188</v>
      </c>
      <c r="J1660" s="6" t="s">
        <v>9665</v>
      </c>
      <c r="K1660" s="6" t="s">
        <v>10886</v>
      </c>
      <c r="L1660" s="16" t="n">
        <v>42557</v>
      </c>
      <c r="M1660" s="16" t="n">
        <v>45748</v>
      </c>
      <c r="N1660" s="6" t="s">
        <v>10886</v>
      </c>
      <c r="O1660" s="16" t="n">
        <v>42557</v>
      </c>
      <c r="P1660" s="6" t="s">
        <v>11884</v>
      </c>
      <c r="Q1660" s="6" t="s">
        <v>81</v>
      </c>
      <c r="R1660" s="6" t="s">
        <v>12891</v>
      </c>
      <c r="S1660" s="6" t="s">
        <v>10886</v>
      </c>
      <c r="T1660" s="16" t="n">
        <v>42557</v>
      </c>
      <c r="U1660" s="6" t="s">
        <v>13163</v>
      </c>
      <c r="V1660" s="6" t="s">
        <v>81</v>
      </c>
      <c r="W1660" s="6" t="s">
        <v>81</v>
      </c>
      <c r="X1660" s="6" t="s">
        <v>81</v>
      </c>
      <c r="Y1660" s="21" t="s">
        <v>81</v>
      </c>
      <c r="Z1660" s="6" t="s">
        <v>81</v>
      </c>
      <c r="AA1660" s="6" t="s">
        <v>81</v>
      </c>
      <c r="AB1660" s="6" t="s">
        <v>81</v>
      </c>
      <c r="AC1660" s="6" t="s">
        <v>81</v>
      </c>
      <c r="AD1660" s="21" t="s">
        <v>81</v>
      </c>
      <c r="AE1660" s="6" t="s">
        <v>81</v>
      </c>
      <c r="AF1660" s="6" t="s">
        <v>81</v>
      </c>
      <c r="AG1660" s="6" t="s">
        <v>81</v>
      </c>
      <c r="AH1660" s="6" t="s">
        <v>16225</v>
      </c>
      <c r="AI1660" s="6" t="s">
        <v>81</v>
      </c>
      <c r="AJ1660" s="6" t="s">
        <v>17392</v>
      </c>
      <c r="AK1660" s="6" t="s">
        <v>18379</v>
      </c>
      <c r="AL1660" s="6" t="s">
        <v>18444</v>
      </c>
      <c r="AM1660" s="6" t="s">
        <v>18548</v>
      </c>
      <c r="AN1660" s="6" t="s">
        <v>19637</v>
      </c>
      <c r="AO1660" s="6" t="s">
        <v>19723</v>
      </c>
      <c r="AP1660" s="6" t="s">
        <v>16225</v>
      </c>
      <c r="AQ1660" s="6" t="s">
        <v>81</v>
      </c>
      <c r="AR1660" s="6" t="s">
        <v>17392</v>
      </c>
      <c r="AS1660" s="6" t="s">
        <v>18379</v>
      </c>
      <c r="AT1660" s="6" t="s">
        <v>18444</v>
      </c>
      <c r="AU1660" s="6" t="s">
        <v>18548</v>
      </c>
      <c r="AV1660" s="6" t="s">
        <v>81</v>
      </c>
      <c r="AW1660" s="6" t="s">
        <v>81</v>
      </c>
      <c r="AX1660" s="6" t="s">
        <v>21795</v>
      </c>
      <c r="AY1660" s="6" t="s">
        <v>81</v>
      </c>
      <c r="AZ1660" s="6" t="s">
        <v>81</v>
      </c>
      <c r="BA1660" s="6" t="s">
        <v>81</v>
      </c>
      <c r="BB1660" s="24" t="n">
        <v>94</v>
      </c>
      <c r="BC1660" s="26"/>
      <c r="BD1660" s="26"/>
      <c r="BE1660" s="26"/>
      <c r="BF1660" s="26"/>
      <c r="BG1660" s="26"/>
      <c r="BH1660" s="26"/>
      <c r="BI1660" s="26"/>
      <c r="BJ1660" s="26"/>
      <c r="BK1660" s="26"/>
      <c r="BL1660" s="26"/>
      <c r="BM1660" s="26"/>
      <c r="BN1660" s="26"/>
      <c r="BO1660" s="26"/>
      <c r="BP1660" s="16" t="n">
        <v>45730</v>
      </c>
      <c r="BQ1660" s="28" t="str">
        <f>HYPERLINK("https://organic.ams.usda.gov/Integrity/Certificate.aspx?cid=90&amp;nopid=7170020163")</f>
        <v>https://organic.ams.usda.gov/Integrity/Certificate.aspx?cid=90&amp;nopid=7170020163</v>
      </c>
    </row>
    <row r="1661">
      <c r="A1661" t="s">
        <v>3</v>
      </c>
      <c r="B1661" s="6" t="s">
        <v>9</v>
      </c>
      <c r="C1661" s="6" t="s">
        <v>56</v>
      </c>
      <c r="D1661" s="6" t="s">
        <v>102</v>
      </c>
      <c r="E1661" s="10" t="s">
        <v>1802</v>
      </c>
      <c r="F1661" s="6" t="s">
        <v>4524</v>
      </c>
      <c r="G1661" s="6" t="s">
        <v>81</v>
      </c>
      <c r="H1661" s="6" t="s">
        <v>7414</v>
      </c>
      <c r="I1661" s="6" t="s">
        <v>9188</v>
      </c>
      <c r="J1661" s="6" t="s">
        <v>9945</v>
      </c>
      <c r="K1661" s="6" t="s">
        <v>10886</v>
      </c>
      <c r="L1661" s="16" t="n">
        <v>42338</v>
      </c>
      <c r="M1661" s="16" t="n">
        <v>46113</v>
      </c>
      <c r="N1661" s="6" t="s">
        <v>10886</v>
      </c>
      <c r="O1661" s="16" t="n">
        <v>42338</v>
      </c>
      <c r="P1661" s="6" t="s">
        <v>11885</v>
      </c>
      <c r="Q1661" s="6" t="s">
        <v>81</v>
      </c>
      <c r="R1661" s="6" t="s">
        <v>12892</v>
      </c>
      <c r="S1661" s="6" t="s">
        <v>10886</v>
      </c>
      <c r="T1661" s="16" t="n">
        <v>42338</v>
      </c>
      <c r="U1661" s="6" t="s">
        <v>13168</v>
      </c>
      <c r="V1661" s="6" t="s">
        <v>81</v>
      </c>
      <c r="W1661" s="6" t="s">
        <v>12892</v>
      </c>
      <c r="X1661" s="6" t="s">
        <v>81</v>
      </c>
      <c r="Y1661" s="21" t="s">
        <v>81</v>
      </c>
      <c r="Z1661" s="6" t="s">
        <v>81</v>
      </c>
      <c r="AA1661" s="6" t="s">
        <v>81</v>
      </c>
      <c r="AB1661" s="6" t="s">
        <v>81</v>
      </c>
      <c r="AC1661" s="6" t="s">
        <v>81</v>
      </c>
      <c r="AD1661" s="21" t="s">
        <v>81</v>
      </c>
      <c r="AE1661" s="6" t="s">
        <v>81</v>
      </c>
      <c r="AF1661" s="6" t="s">
        <v>81</v>
      </c>
      <c r="AG1661" s="6" t="s">
        <v>81</v>
      </c>
      <c r="AH1661" s="6" t="s">
        <v>16226</v>
      </c>
      <c r="AI1661" s="6" t="s">
        <v>81</v>
      </c>
      <c r="AJ1661" s="6" t="s">
        <v>8681</v>
      </c>
      <c r="AK1661" s="6" t="s">
        <v>18378</v>
      </c>
      <c r="AL1661" s="6" t="s">
        <v>18444</v>
      </c>
      <c r="AM1661" s="6" t="s">
        <v>19264</v>
      </c>
      <c r="AN1661" s="6" t="s">
        <v>6817</v>
      </c>
      <c r="AO1661" s="6" t="s">
        <v>19849</v>
      </c>
      <c r="AP1661" s="6" t="s">
        <v>81</v>
      </c>
      <c r="AQ1661" s="6" t="s">
        <v>81</v>
      </c>
      <c r="AR1661" s="6" t="s">
        <v>81</v>
      </c>
      <c r="AS1661" s="6" t="s">
        <v>81</v>
      </c>
      <c r="AT1661" s="6" t="s">
        <v>81</v>
      </c>
      <c r="AU1661" s="6" t="s">
        <v>81</v>
      </c>
      <c r="AV1661" s="6" t="s">
        <v>81</v>
      </c>
      <c r="AW1661" s="6" t="s">
        <v>81</v>
      </c>
      <c r="AX1661" s="6" t="s">
        <v>21796</v>
      </c>
      <c r="AY1661" s="6" t="s">
        <v>81</v>
      </c>
      <c r="AZ1661" s="6" t="s">
        <v>81</v>
      </c>
      <c r="BA1661" s="6" t="s">
        <v>81</v>
      </c>
      <c r="BB1661" s="24" t="n">
        <v>158</v>
      </c>
      <c r="BC1661" s="26"/>
      <c r="BD1661" s="26"/>
      <c r="BE1661" s="26"/>
      <c r="BF1661" s="26"/>
      <c r="BG1661" s="26"/>
      <c r="BH1661" s="26"/>
      <c r="BI1661" s="26"/>
      <c r="BJ1661" s="26"/>
      <c r="BK1661" s="26"/>
      <c r="BL1661" s="26"/>
      <c r="BM1661" s="26"/>
      <c r="BN1661" s="26"/>
      <c r="BO1661" s="26"/>
      <c r="BP1661" s="16" t="n">
        <v>45738</v>
      </c>
      <c r="BQ1661" s="28" t="str">
        <f>HYPERLINK("https://organic.ams.usda.gov/Integrity/Certificate.aspx?cid=52&amp;nopid=8431501126")</f>
        <v>https://organic.ams.usda.gov/Integrity/Certificate.aspx?cid=52&amp;nopid=8431501126</v>
      </c>
    </row>
    <row r="1662">
      <c r="A1662" t="s">
        <v>3</v>
      </c>
      <c r="B1662" s="6" t="s">
        <v>10</v>
      </c>
      <c r="C1662" s="6" t="s">
        <v>57</v>
      </c>
      <c r="D1662" s="6" t="s">
        <v>103</v>
      </c>
      <c r="E1662" s="10" t="s">
        <v>1803</v>
      </c>
      <c r="F1662" s="6" t="s">
        <v>4525</v>
      </c>
      <c r="G1662" s="6" t="s">
        <v>81</v>
      </c>
      <c r="H1662" s="6" t="s">
        <v>7415</v>
      </c>
      <c r="I1662" s="6" t="s">
        <v>9232</v>
      </c>
      <c r="J1662" s="6" t="s">
        <v>10024</v>
      </c>
      <c r="K1662" s="6" t="s">
        <v>10886</v>
      </c>
      <c r="L1662" s="16" t="n">
        <v>41380</v>
      </c>
      <c r="M1662" s="16" t="n">
        <v>45748</v>
      </c>
      <c r="N1662" s="6" t="s">
        <v>10886</v>
      </c>
      <c r="O1662" s="16" t="n">
        <v>44641</v>
      </c>
      <c r="P1662" s="6" t="s">
        <v>11886</v>
      </c>
      <c r="Q1662" s="6" t="s">
        <v>81</v>
      </c>
      <c r="R1662" s="6" t="s">
        <v>12893</v>
      </c>
      <c r="S1662" s="6" t="s">
        <v>10886</v>
      </c>
      <c r="T1662" s="16" t="n">
        <v>44641</v>
      </c>
      <c r="U1662" s="6" t="s">
        <v>13163</v>
      </c>
      <c r="V1662" s="6" t="s">
        <v>81</v>
      </c>
      <c r="W1662" s="6" t="s">
        <v>81</v>
      </c>
      <c r="X1662" s="6" t="s">
        <v>81</v>
      </c>
      <c r="Y1662" s="21" t="s">
        <v>81</v>
      </c>
      <c r="Z1662" s="6" t="s">
        <v>81</v>
      </c>
      <c r="AA1662" s="6" t="s">
        <v>81</v>
      </c>
      <c r="AB1662" s="6" t="s">
        <v>81</v>
      </c>
      <c r="AC1662" s="6" t="s">
        <v>81</v>
      </c>
      <c r="AD1662" s="21" t="s">
        <v>81</v>
      </c>
      <c r="AE1662" s="6" t="s">
        <v>81</v>
      </c>
      <c r="AF1662" s="6" t="s">
        <v>81</v>
      </c>
      <c r="AG1662" s="6" t="s">
        <v>81</v>
      </c>
      <c r="AH1662" s="6" t="s">
        <v>16227</v>
      </c>
      <c r="AI1662" s="6" t="s">
        <v>81</v>
      </c>
      <c r="AJ1662" s="6" t="s">
        <v>17635</v>
      </c>
      <c r="AK1662" s="6" t="s">
        <v>18379</v>
      </c>
      <c r="AL1662" s="6" t="s">
        <v>18444</v>
      </c>
      <c r="AM1662" s="6" t="s">
        <v>18804</v>
      </c>
      <c r="AN1662" s="6" t="s">
        <v>19637</v>
      </c>
      <c r="AO1662" s="6" t="s">
        <v>19723</v>
      </c>
      <c r="AP1662" s="6" t="s">
        <v>16227</v>
      </c>
      <c r="AQ1662" s="6" t="s">
        <v>81</v>
      </c>
      <c r="AR1662" s="6" t="s">
        <v>17635</v>
      </c>
      <c r="AS1662" s="6" t="s">
        <v>18379</v>
      </c>
      <c r="AT1662" s="6" t="s">
        <v>18444</v>
      </c>
      <c r="AU1662" s="6" t="s">
        <v>18804</v>
      </c>
      <c r="AV1662" s="6" t="s">
        <v>81</v>
      </c>
      <c r="AW1662" s="6" t="s">
        <v>81</v>
      </c>
      <c r="AX1662" s="6" t="s">
        <v>21797</v>
      </c>
      <c r="AY1662" s="6" t="s">
        <v>81</v>
      </c>
      <c r="AZ1662" s="6" t="s">
        <v>81</v>
      </c>
      <c r="BA1662" s="6" t="s">
        <v>81</v>
      </c>
      <c r="BB1662" s="24" t="n">
        <v>127</v>
      </c>
      <c r="BC1662" s="26"/>
      <c r="BD1662" s="26"/>
      <c r="BE1662" s="26"/>
      <c r="BF1662" s="26"/>
      <c r="BG1662" s="26"/>
      <c r="BH1662" s="26"/>
      <c r="BI1662" s="26"/>
      <c r="BJ1662" s="26"/>
      <c r="BK1662" s="26"/>
      <c r="BL1662" s="26"/>
      <c r="BM1662" s="26"/>
      <c r="BN1662" s="26"/>
      <c r="BO1662" s="26"/>
      <c r="BP1662" s="16" t="n">
        <v>45730</v>
      </c>
      <c r="BQ1662" s="28" t="str">
        <f>HYPERLINK("https://organic.ams.usda.gov/Integrity/Certificate.aspx?cid=90&amp;nopid=7170220476")</f>
        <v>https://organic.ams.usda.gov/Integrity/Certificate.aspx?cid=90&amp;nopid=7170220476</v>
      </c>
    </row>
    <row r="1663">
      <c r="A1663" t="s">
        <v>3</v>
      </c>
      <c r="B1663" s="6" t="s">
        <v>13</v>
      </c>
      <c r="C1663" s="6" t="s">
        <v>60</v>
      </c>
      <c r="D1663" s="6" t="s">
        <v>106</v>
      </c>
      <c r="E1663" s="10" t="s">
        <v>1804</v>
      </c>
      <c r="F1663" s="6" t="s">
        <v>4526</v>
      </c>
      <c r="G1663" s="6" t="s">
        <v>81</v>
      </c>
      <c r="H1663" s="6" t="s">
        <v>7416</v>
      </c>
      <c r="I1663" s="6" t="s">
        <v>9188</v>
      </c>
      <c r="J1663" s="6" t="s">
        <v>9665</v>
      </c>
      <c r="K1663" s="6" t="s">
        <v>10886</v>
      </c>
      <c r="L1663" s="16" t="n">
        <v>41314</v>
      </c>
      <c r="M1663" s="16" t="n">
        <v>46024</v>
      </c>
      <c r="N1663" s="6" t="s">
        <v>10886</v>
      </c>
      <c r="O1663" s="16" t="n">
        <v>41314</v>
      </c>
      <c r="P1663" s="6" t="s">
        <v>11887</v>
      </c>
      <c r="Q1663" s="6" t="s">
        <v>81</v>
      </c>
      <c r="R1663" s="6" t="s">
        <v>12894</v>
      </c>
      <c r="S1663" s="6" t="s">
        <v>10886</v>
      </c>
      <c r="T1663" s="16" t="n">
        <v>41314</v>
      </c>
      <c r="U1663" s="6" t="s">
        <v>13301</v>
      </c>
      <c r="V1663" s="6" t="s">
        <v>81</v>
      </c>
      <c r="W1663" s="6" t="s">
        <v>12894</v>
      </c>
      <c r="X1663" s="6" t="s">
        <v>81</v>
      </c>
      <c r="Y1663" s="21" t="s">
        <v>81</v>
      </c>
      <c r="Z1663" s="6" t="s">
        <v>81</v>
      </c>
      <c r="AA1663" s="6" t="s">
        <v>81</v>
      </c>
      <c r="AB1663" s="6" t="s">
        <v>81</v>
      </c>
      <c r="AC1663" s="6" t="s">
        <v>81</v>
      </c>
      <c r="AD1663" s="21" t="s">
        <v>81</v>
      </c>
      <c r="AE1663" s="6" t="s">
        <v>81</v>
      </c>
      <c r="AF1663" s="6" t="s">
        <v>81</v>
      </c>
      <c r="AG1663" s="6" t="s">
        <v>81</v>
      </c>
      <c r="AH1663" s="6" t="s">
        <v>16228</v>
      </c>
      <c r="AI1663" s="6" t="s">
        <v>81</v>
      </c>
      <c r="AJ1663" s="6" t="s">
        <v>17381</v>
      </c>
      <c r="AK1663" s="6" t="s">
        <v>18379</v>
      </c>
      <c r="AL1663" s="6" t="s">
        <v>18444</v>
      </c>
      <c r="AM1663" s="6" t="s">
        <v>18534</v>
      </c>
      <c r="AN1663" s="6" t="s">
        <v>19637</v>
      </c>
      <c r="AO1663" s="6" t="s">
        <v>19723</v>
      </c>
      <c r="AP1663" s="6" t="s">
        <v>16228</v>
      </c>
      <c r="AQ1663" s="6" t="s">
        <v>81</v>
      </c>
      <c r="AR1663" s="6" t="s">
        <v>17381</v>
      </c>
      <c r="AS1663" s="6" t="s">
        <v>18379</v>
      </c>
      <c r="AT1663" s="6" t="s">
        <v>18444</v>
      </c>
      <c r="AU1663" s="6" t="s">
        <v>18534</v>
      </c>
      <c r="AV1663" s="6" t="s">
        <v>81</v>
      </c>
      <c r="AW1663" s="6" t="s">
        <v>81</v>
      </c>
      <c r="AX1663" s="6" t="s">
        <v>21798</v>
      </c>
      <c r="AY1663" s="6" t="s">
        <v>81</v>
      </c>
      <c r="AZ1663" s="6" t="s">
        <v>81</v>
      </c>
      <c r="BA1663" s="6" t="s">
        <v>23873</v>
      </c>
      <c r="BB1663" s="24" t="n">
        <v>102</v>
      </c>
      <c r="BC1663" s="26"/>
      <c r="BD1663" s="26"/>
      <c r="BE1663" s="26"/>
      <c r="BF1663" s="26" t="s">
        <v>23900</v>
      </c>
      <c r="BG1663" s="26"/>
      <c r="BH1663" s="26"/>
      <c r="BI1663" s="26"/>
      <c r="BJ1663" s="26"/>
      <c r="BK1663" s="26"/>
      <c r="BL1663" s="26"/>
      <c r="BM1663" s="26"/>
      <c r="BN1663" s="26"/>
      <c r="BO1663" s="26"/>
      <c r="BP1663" s="16" t="n">
        <v>45667</v>
      </c>
      <c r="BQ1663" s="28" t="str">
        <f>HYPERLINK("https://organic.ams.usda.gov/Integrity/Certificate.aspx?cid=72&amp;nopid=5870001536")</f>
        <v>https://organic.ams.usda.gov/Integrity/Certificate.aspx?cid=72&amp;nopid=5870001536</v>
      </c>
    </row>
    <row r="1664">
      <c r="A1664" t="s">
        <v>3</v>
      </c>
      <c r="B1664" s="6" t="s">
        <v>7</v>
      </c>
      <c r="C1664" s="6" t="s">
        <v>54</v>
      </c>
      <c r="D1664" s="6" t="s">
        <v>100</v>
      </c>
      <c r="E1664" s="10" t="s">
        <v>1805</v>
      </c>
      <c r="F1664" s="6" t="s">
        <v>4527</v>
      </c>
      <c r="G1664" s="6" t="s">
        <v>81</v>
      </c>
      <c r="H1664" s="6" t="s">
        <v>7417</v>
      </c>
      <c r="I1664" s="6" t="s">
        <v>8425</v>
      </c>
      <c r="J1664" s="6" t="s">
        <v>9662</v>
      </c>
      <c r="K1664" s="6" t="s">
        <v>10886</v>
      </c>
      <c r="L1664" s="16" t="n">
        <v>39757</v>
      </c>
      <c r="M1664" s="16" t="n">
        <v>45716</v>
      </c>
      <c r="N1664" s="6" t="s">
        <v>10886</v>
      </c>
      <c r="O1664" s="16" t="n">
        <v>39757</v>
      </c>
      <c r="P1664" s="6" t="s">
        <v>11888</v>
      </c>
      <c r="Q1664" s="6" t="s">
        <v>81</v>
      </c>
      <c r="R1664" s="6" t="s">
        <v>81</v>
      </c>
      <c r="S1664" s="6" t="s">
        <v>10886</v>
      </c>
      <c r="T1664" s="16" t="n">
        <v>42831</v>
      </c>
      <c r="U1664" s="6" t="s">
        <v>13277</v>
      </c>
      <c r="V1664" s="6" t="s">
        <v>81</v>
      </c>
      <c r="W1664" s="6" t="s">
        <v>81</v>
      </c>
      <c r="X1664" s="6" t="s">
        <v>81</v>
      </c>
      <c r="Y1664" s="21" t="s">
        <v>81</v>
      </c>
      <c r="Z1664" s="6" t="s">
        <v>81</v>
      </c>
      <c r="AA1664" s="6" t="s">
        <v>81</v>
      </c>
      <c r="AB1664" s="6" t="s">
        <v>81</v>
      </c>
      <c r="AC1664" s="6" t="s">
        <v>81</v>
      </c>
      <c r="AD1664" s="21" t="s">
        <v>81</v>
      </c>
      <c r="AE1664" s="6" t="s">
        <v>81</v>
      </c>
      <c r="AF1664" s="6" t="s">
        <v>81</v>
      </c>
      <c r="AG1664" s="6" t="s">
        <v>81</v>
      </c>
      <c r="AH1664" s="6" t="s">
        <v>16229</v>
      </c>
      <c r="AI1664" s="6" t="s">
        <v>81</v>
      </c>
      <c r="AJ1664" s="6" t="s">
        <v>17311</v>
      </c>
      <c r="AK1664" s="6" t="s">
        <v>17712</v>
      </c>
      <c r="AL1664" s="6" t="s">
        <v>18444</v>
      </c>
      <c r="AM1664" s="6" t="s">
        <v>18463</v>
      </c>
      <c r="AN1664" s="6" t="s">
        <v>19634</v>
      </c>
      <c r="AO1664" s="6" t="s">
        <v>19719</v>
      </c>
      <c r="AP1664" s="6" t="s">
        <v>16229</v>
      </c>
      <c r="AQ1664" s="6" t="s">
        <v>81</v>
      </c>
      <c r="AR1664" s="6" t="s">
        <v>17311</v>
      </c>
      <c r="AS1664" s="6" t="s">
        <v>17712</v>
      </c>
      <c r="AT1664" s="6" t="s">
        <v>18444</v>
      </c>
      <c r="AU1664" s="6" t="s">
        <v>18463</v>
      </c>
      <c r="AV1664" s="6" t="s">
        <v>81</v>
      </c>
      <c r="AW1664" s="6" t="s">
        <v>81</v>
      </c>
      <c r="AX1664" s="6" t="s">
        <v>21799</v>
      </c>
      <c r="AY1664" s="6" t="s">
        <v>81</v>
      </c>
      <c r="AZ1664" s="6" t="s">
        <v>81</v>
      </c>
      <c r="BA1664" s="6" t="s">
        <v>81</v>
      </c>
      <c r="BB1664" s="24" t="n">
        <v>237</v>
      </c>
      <c r="BC1664" s="26"/>
      <c r="BD1664" s="26"/>
      <c r="BE1664" s="26"/>
      <c r="BF1664" s="26"/>
      <c r="BG1664" s="26"/>
      <c r="BH1664" s="26"/>
      <c r="BI1664" s="26"/>
      <c r="BJ1664" s="26"/>
      <c r="BK1664" s="26"/>
      <c r="BL1664" s="26"/>
      <c r="BM1664" s="26"/>
      <c r="BN1664" s="26"/>
      <c r="BO1664" s="26"/>
      <c r="BP1664" s="16" t="n">
        <v>45595</v>
      </c>
      <c r="BQ1664" s="28" t="str">
        <f>HYPERLINK("https://organic.ams.usda.gov/Integrity/Certificate.aspx?cid=57&amp;nopid=3252008078")</f>
        <v>https://organic.ams.usda.gov/Integrity/Certificate.aspx?cid=57&amp;nopid=3252008078</v>
      </c>
    </row>
    <row r="1665">
      <c r="A1665" t="s">
        <v>3</v>
      </c>
      <c r="B1665" s="6" t="s">
        <v>7</v>
      </c>
      <c r="C1665" s="6" t="s">
        <v>54</v>
      </c>
      <c r="D1665" s="6" t="s">
        <v>100</v>
      </c>
      <c r="E1665" s="10" t="s">
        <v>1806</v>
      </c>
      <c r="F1665" s="6" t="s">
        <v>4528</v>
      </c>
      <c r="G1665" s="6" t="s">
        <v>81</v>
      </c>
      <c r="H1665" s="6" t="s">
        <v>7418</v>
      </c>
      <c r="I1665" s="6" t="s">
        <v>9233</v>
      </c>
      <c r="J1665" s="6" t="s">
        <v>9665</v>
      </c>
      <c r="K1665" s="6" t="s">
        <v>10886</v>
      </c>
      <c r="L1665" s="16" t="n">
        <v>42247</v>
      </c>
      <c r="M1665" s="16" t="n">
        <v>45716</v>
      </c>
      <c r="N1665" s="6" t="s">
        <v>10886</v>
      </c>
      <c r="O1665" s="16" t="n">
        <v>42247</v>
      </c>
      <c r="P1665" s="6" t="s">
        <v>11160</v>
      </c>
      <c r="Q1665" s="6" t="s">
        <v>81</v>
      </c>
      <c r="R1665" s="6" t="s">
        <v>81</v>
      </c>
      <c r="S1665" s="6" t="s">
        <v>10886</v>
      </c>
      <c r="T1665" s="16" t="n">
        <v>42500</v>
      </c>
      <c r="U1665" s="6" t="s">
        <v>13572</v>
      </c>
      <c r="V1665" s="6" t="s">
        <v>81</v>
      </c>
      <c r="W1665" s="6" t="s">
        <v>81</v>
      </c>
      <c r="X1665" s="6" t="s">
        <v>81</v>
      </c>
      <c r="Y1665" s="21" t="s">
        <v>81</v>
      </c>
      <c r="Z1665" s="6" t="s">
        <v>81</v>
      </c>
      <c r="AA1665" s="6" t="s">
        <v>81</v>
      </c>
      <c r="AB1665" s="6" t="s">
        <v>81</v>
      </c>
      <c r="AC1665" s="6" t="s">
        <v>81</v>
      </c>
      <c r="AD1665" s="21" t="s">
        <v>81</v>
      </c>
      <c r="AE1665" s="6" t="s">
        <v>81</v>
      </c>
      <c r="AF1665" s="6" t="s">
        <v>81</v>
      </c>
      <c r="AG1665" s="6" t="s">
        <v>81</v>
      </c>
      <c r="AH1665" s="6" t="s">
        <v>16230</v>
      </c>
      <c r="AI1665" s="6" t="s">
        <v>81</v>
      </c>
      <c r="AJ1665" s="6" t="s">
        <v>17507</v>
      </c>
      <c r="AK1665" s="6" t="s">
        <v>17712</v>
      </c>
      <c r="AL1665" s="6" t="s">
        <v>18444</v>
      </c>
      <c r="AM1665" s="6" t="s">
        <v>18668</v>
      </c>
      <c r="AN1665" s="6" t="s">
        <v>19657</v>
      </c>
      <c r="AO1665" s="6" t="s">
        <v>19751</v>
      </c>
      <c r="AP1665" s="6" t="s">
        <v>16230</v>
      </c>
      <c r="AQ1665" s="6" t="s">
        <v>81</v>
      </c>
      <c r="AR1665" s="6" t="s">
        <v>17507</v>
      </c>
      <c r="AS1665" s="6" t="s">
        <v>17712</v>
      </c>
      <c r="AT1665" s="6" t="s">
        <v>18444</v>
      </c>
      <c r="AU1665" s="6" t="s">
        <v>18668</v>
      </c>
      <c r="AV1665" s="6" t="s">
        <v>81</v>
      </c>
      <c r="AW1665" s="6" t="s">
        <v>81</v>
      </c>
      <c r="AX1665" s="6" t="s">
        <v>21800</v>
      </c>
      <c r="AY1665" s="6" t="s">
        <v>81</v>
      </c>
      <c r="AZ1665" s="6" t="s">
        <v>81</v>
      </c>
      <c r="BA1665" s="6" t="s">
        <v>81</v>
      </c>
      <c r="BB1665" s="24" t="n">
        <v>59</v>
      </c>
      <c r="BC1665" s="26"/>
      <c r="BD1665" s="26"/>
      <c r="BE1665" s="26"/>
      <c r="BF1665" s="26" t="s">
        <v>23900</v>
      </c>
      <c r="BG1665" s="26"/>
      <c r="BH1665" s="26"/>
      <c r="BI1665" s="26"/>
      <c r="BJ1665" s="26"/>
      <c r="BK1665" s="26"/>
      <c r="BL1665" s="26"/>
      <c r="BM1665" s="26"/>
      <c r="BN1665" s="26"/>
      <c r="BO1665" s="26"/>
      <c r="BP1665" s="16" t="n">
        <v>45695</v>
      </c>
      <c r="BQ1665" s="28" t="str">
        <f>HYPERLINK("https://organic.ams.usda.gov/Integrity/Certificate.aspx?cid=57&amp;nopid=3252015109")</f>
        <v>https://organic.ams.usda.gov/Integrity/Certificate.aspx?cid=57&amp;nopid=3252015109</v>
      </c>
    </row>
    <row r="1666">
      <c r="A1666" t="s">
        <v>3</v>
      </c>
      <c r="B1666" s="6" t="s">
        <v>15</v>
      </c>
      <c r="C1666" s="6" t="s">
        <v>62</v>
      </c>
      <c r="D1666" s="6" t="s">
        <v>108</v>
      </c>
      <c r="E1666" s="10" t="s">
        <v>1807</v>
      </c>
      <c r="F1666" s="6" t="s">
        <v>4529</v>
      </c>
      <c r="G1666" s="6" t="s">
        <v>5744</v>
      </c>
      <c r="H1666" s="6" t="s">
        <v>7419</v>
      </c>
      <c r="I1666" s="6" t="s">
        <v>9233</v>
      </c>
      <c r="J1666" s="6" t="s">
        <v>9804</v>
      </c>
      <c r="K1666" s="6" t="s">
        <v>10886</v>
      </c>
      <c r="L1666" s="16" t="n">
        <v>39159</v>
      </c>
      <c r="M1666" s="16" t="n">
        <v>45792</v>
      </c>
      <c r="N1666" s="6" t="s">
        <v>10886</v>
      </c>
      <c r="O1666" s="16" t="n">
        <v>39159</v>
      </c>
      <c r="P1666" s="6" t="s">
        <v>11889</v>
      </c>
      <c r="Q1666" s="6" t="s">
        <v>81</v>
      </c>
      <c r="R1666" s="6" t="s">
        <v>81</v>
      </c>
      <c r="S1666" s="6" t="s">
        <v>10886</v>
      </c>
      <c r="T1666" s="16" t="n">
        <v>39159</v>
      </c>
      <c r="U1666" s="6" t="s">
        <v>13180</v>
      </c>
      <c r="V1666" s="6" t="s">
        <v>81</v>
      </c>
      <c r="W1666" s="6" t="s">
        <v>81</v>
      </c>
      <c r="X1666" s="6" t="s">
        <v>81</v>
      </c>
      <c r="Y1666" s="21" t="s">
        <v>81</v>
      </c>
      <c r="Z1666" s="6" t="s">
        <v>81</v>
      </c>
      <c r="AA1666" s="6" t="s">
        <v>81</v>
      </c>
      <c r="AB1666" s="6" t="s">
        <v>81</v>
      </c>
      <c r="AC1666" s="6" t="s">
        <v>81</v>
      </c>
      <c r="AD1666" s="21" t="s">
        <v>81</v>
      </c>
      <c r="AE1666" s="6" t="s">
        <v>81</v>
      </c>
      <c r="AF1666" s="6" t="s">
        <v>81</v>
      </c>
      <c r="AG1666" s="6" t="s">
        <v>81</v>
      </c>
      <c r="AH1666" s="6" t="s">
        <v>16231</v>
      </c>
      <c r="AI1666" s="6" t="s">
        <v>81</v>
      </c>
      <c r="AJ1666" s="6" t="s">
        <v>18071</v>
      </c>
      <c r="AK1666" s="6" t="s">
        <v>18378</v>
      </c>
      <c r="AL1666" s="6" t="s">
        <v>18444</v>
      </c>
      <c r="AM1666" s="6" t="s">
        <v>19265</v>
      </c>
      <c r="AN1666" s="6" t="s">
        <v>19646</v>
      </c>
      <c r="AO1666" s="6" t="s">
        <v>19986</v>
      </c>
      <c r="AP1666" s="6" t="s">
        <v>16231</v>
      </c>
      <c r="AQ1666" s="6" t="s">
        <v>81</v>
      </c>
      <c r="AR1666" s="6" t="s">
        <v>18071</v>
      </c>
      <c r="AS1666" s="6" t="s">
        <v>18378</v>
      </c>
      <c r="AT1666" s="6" t="s">
        <v>18444</v>
      </c>
      <c r="AU1666" s="6" t="s">
        <v>19265</v>
      </c>
      <c r="AV1666" s="6" t="s">
        <v>81</v>
      </c>
      <c r="AW1666" s="6" t="s">
        <v>81</v>
      </c>
      <c r="AX1666" s="6" t="s">
        <v>21801</v>
      </c>
      <c r="AY1666" s="6" t="s">
        <v>81</v>
      </c>
      <c r="AZ1666" s="6" t="s">
        <v>81</v>
      </c>
      <c r="BA1666" s="6" t="s">
        <v>81</v>
      </c>
      <c r="BB1666" s="24" t="n">
        <v>416</v>
      </c>
      <c r="BC1666" s="26"/>
      <c r="BD1666" s="26"/>
      <c r="BE1666" s="26"/>
      <c r="BF1666" s="26" t="s">
        <v>23900</v>
      </c>
      <c r="BG1666" s="26"/>
      <c r="BH1666" s="26"/>
      <c r="BI1666" s="26"/>
      <c r="BJ1666" s="26"/>
      <c r="BK1666" s="26"/>
      <c r="BL1666" s="26"/>
      <c r="BM1666" s="26"/>
      <c r="BN1666" s="26"/>
      <c r="BO1666" s="26"/>
      <c r="BP1666" s="16" t="n">
        <v>45737</v>
      </c>
      <c r="BQ1666" s="28" t="str">
        <f>HYPERLINK("https://organic.ams.usda.gov/Integrity/Certificate.aspx?cid=58&amp;nopid=1600001192")</f>
        <v>https://organic.ams.usda.gov/Integrity/Certificate.aspx?cid=58&amp;nopid=1600001192</v>
      </c>
    </row>
    <row r="1667">
      <c r="A1667" t="s">
        <v>3</v>
      </c>
      <c r="B1667" s="6" t="s">
        <v>10</v>
      </c>
      <c r="C1667" s="6" t="s">
        <v>57</v>
      </c>
      <c r="D1667" s="6" t="s">
        <v>103</v>
      </c>
      <c r="E1667" s="10" t="s">
        <v>1808</v>
      </c>
      <c r="F1667" s="6" t="s">
        <v>4530</v>
      </c>
      <c r="G1667" s="6" t="s">
        <v>81</v>
      </c>
      <c r="H1667" s="6" t="s">
        <v>7420</v>
      </c>
      <c r="I1667" s="6" t="s">
        <v>9234</v>
      </c>
      <c r="J1667" s="6" t="s">
        <v>9728</v>
      </c>
      <c r="K1667" s="6" t="s">
        <v>10886</v>
      </c>
      <c r="L1667" s="16" t="n">
        <v>44102</v>
      </c>
      <c r="M1667" s="16" t="n">
        <v>45748</v>
      </c>
      <c r="N1667" s="6" t="s">
        <v>10886</v>
      </c>
      <c r="O1667" s="16" t="n">
        <v>44102</v>
      </c>
      <c r="P1667" s="6" t="s">
        <v>11890</v>
      </c>
      <c r="Q1667" s="6" t="s">
        <v>81</v>
      </c>
      <c r="R1667" s="6" t="s">
        <v>12895</v>
      </c>
      <c r="S1667" s="6" t="s">
        <v>10886</v>
      </c>
      <c r="T1667" s="16" t="n">
        <v>44529</v>
      </c>
      <c r="U1667" s="6" t="s">
        <v>13163</v>
      </c>
      <c r="V1667" s="6" t="s">
        <v>81</v>
      </c>
      <c r="W1667" s="6" t="s">
        <v>81</v>
      </c>
      <c r="X1667" s="6" t="s">
        <v>81</v>
      </c>
      <c r="Y1667" s="21" t="s">
        <v>81</v>
      </c>
      <c r="Z1667" s="6" t="s">
        <v>81</v>
      </c>
      <c r="AA1667" s="6" t="s">
        <v>81</v>
      </c>
      <c r="AB1667" s="6" t="s">
        <v>81</v>
      </c>
      <c r="AC1667" s="6" t="s">
        <v>81</v>
      </c>
      <c r="AD1667" s="21" t="s">
        <v>81</v>
      </c>
      <c r="AE1667" s="6" t="s">
        <v>81</v>
      </c>
      <c r="AF1667" s="6" t="s">
        <v>81</v>
      </c>
      <c r="AG1667" s="6" t="s">
        <v>81</v>
      </c>
      <c r="AH1667" s="6" t="s">
        <v>16232</v>
      </c>
      <c r="AI1667" s="6" t="s">
        <v>81</v>
      </c>
      <c r="AJ1667" s="6" t="s">
        <v>17392</v>
      </c>
      <c r="AK1667" s="6" t="s">
        <v>18379</v>
      </c>
      <c r="AL1667" s="6" t="s">
        <v>18444</v>
      </c>
      <c r="AM1667" s="6" t="s">
        <v>18548</v>
      </c>
      <c r="AN1667" s="6" t="s">
        <v>19637</v>
      </c>
      <c r="AO1667" s="6" t="s">
        <v>19723</v>
      </c>
      <c r="AP1667" s="6" t="s">
        <v>16232</v>
      </c>
      <c r="AQ1667" s="6" t="s">
        <v>81</v>
      </c>
      <c r="AR1667" s="6" t="s">
        <v>17392</v>
      </c>
      <c r="AS1667" s="6" t="s">
        <v>18379</v>
      </c>
      <c r="AT1667" s="6" t="s">
        <v>18444</v>
      </c>
      <c r="AU1667" s="6" t="s">
        <v>18548</v>
      </c>
      <c r="AV1667" s="6" t="s">
        <v>81</v>
      </c>
      <c r="AW1667" s="6" t="s">
        <v>81</v>
      </c>
      <c r="AX1667" s="6" t="s">
        <v>21802</v>
      </c>
      <c r="AY1667" s="6" t="s">
        <v>81</v>
      </c>
      <c r="AZ1667" s="6" t="s">
        <v>81</v>
      </c>
      <c r="BA1667" s="6" t="s">
        <v>81</v>
      </c>
      <c r="BB1667" s="24" t="n">
        <v>155</v>
      </c>
      <c r="BC1667" s="26"/>
      <c r="BD1667" s="26"/>
      <c r="BE1667" s="26"/>
      <c r="BF1667" s="26"/>
      <c r="BG1667" s="26"/>
      <c r="BH1667" s="26"/>
      <c r="BI1667" s="26"/>
      <c r="BJ1667" s="26"/>
      <c r="BK1667" s="26"/>
      <c r="BL1667" s="26"/>
      <c r="BM1667" s="26"/>
      <c r="BN1667" s="26"/>
      <c r="BO1667" s="26"/>
      <c r="BP1667" s="16" t="n">
        <v>45730</v>
      </c>
      <c r="BQ1667" s="28" t="str">
        <f>HYPERLINK("https://organic.ams.usda.gov/Integrity/Certificate.aspx?cid=90&amp;nopid=7170020066")</f>
        <v>https://organic.ams.usda.gov/Integrity/Certificate.aspx?cid=90&amp;nopid=7170020066</v>
      </c>
    </row>
    <row r="1668">
      <c r="A1668" t="s">
        <v>3</v>
      </c>
      <c r="B1668" s="6" t="s">
        <v>16</v>
      </c>
      <c r="C1668" s="6" t="s">
        <v>63</v>
      </c>
      <c r="D1668" s="6" t="s">
        <v>109</v>
      </c>
      <c r="E1668" s="10" t="s">
        <v>1809</v>
      </c>
      <c r="F1668" s="6" t="s">
        <v>4531</v>
      </c>
      <c r="G1668" s="6" t="s">
        <v>81</v>
      </c>
      <c r="H1668" s="6" t="s">
        <v>7421</v>
      </c>
      <c r="I1668" s="6" t="s">
        <v>9235</v>
      </c>
      <c r="J1668" s="6" t="s">
        <v>10419</v>
      </c>
      <c r="K1668" s="6" t="s">
        <v>10886</v>
      </c>
      <c r="L1668" s="16" t="n">
        <v>44901</v>
      </c>
      <c r="M1668" s="16" t="n">
        <v>45731</v>
      </c>
      <c r="N1668" s="6" t="s">
        <v>10886</v>
      </c>
      <c r="O1668" s="16" t="n">
        <v>44901</v>
      </c>
      <c r="P1668" s="6" t="s">
        <v>11100</v>
      </c>
      <c r="Q1668" s="6" t="s">
        <v>81</v>
      </c>
      <c r="R1668" s="6" t="s">
        <v>81</v>
      </c>
      <c r="S1668" s="6" t="s">
        <v>10886</v>
      </c>
      <c r="T1668" s="16" t="n">
        <v>44901</v>
      </c>
      <c r="U1668" s="6" t="s">
        <v>13272</v>
      </c>
      <c r="V1668" s="6" t="s">
        <v>81</v>
      </c>
      <c r="W1668" s="6" t="s">
        <v>81</v>
      </c>
      <c r="X1668" s="6" t="s">
        <v>81</v>
      </c>
      <c r="Y1668" s="21" t="s">
        <v>81</v>
      </c>
      <c r="Z1668" s="6" t="s">
        <v>81</v>
      </c>
      <c r="AA1668" s="6" t="s">
        <v>81</v>
      </c>
      <c r="AB1668" s="6" t="s">
        <v>81</v>
      </c>
      <c r="AC1668" s="6" t="s">
        <v>10886</v>
      </c>
      <c r="AD1668" s="16" t="n">
        <v>44901</v>
      </c>
      <c r="AE1668" s="6" t="s">
        <v>81</v>
      </c>
      <c r="AF1668" s="6" t="s">
        <v>81</v>
      </c>
      <c r="AG1668" s="6" t="s">
        <v>81</v>
      </c>
      <c r="AH1668" s="6" t="s">
        <v>16233</v>
      </c>
      <c r="AI1668" s="6" t="s">
        <v>81</v>
      </c>
      <c r="AJ1668" s="6" t="s">
        <v>17777</v>
      </c>
      <c r="AK1668" s="6" t="s">
        <v>18383</v>
      </c>
      <c r="AL1668" s="6" t="s">
        <v>18444</v>
      </c>
      <c r="AM1668" s="6" t="s">
        <v>18949</v>
      </c>
      <c r="AN1668" s="6" t="s">
        <v>19653</v>
      </c>
      <c r="AO1668" s="6" t="s">
        <v>19928</v>
      </c>
      <c r="AP1668" s="6" t="s">
        <v>81</v>
      </c>
      <c r="AQ1668" s="6" t="s">
        <v>81</v>
      </c>
      <c r="AR1668" s="6" t="s">
        <v>81</v>
      </c>
      <c r="AS1668" s="6" t="s">
        <v>81</v>
      </c>
      <c r="AT1668" s="6" t="s">
        <v>81</v>
      </c>
      <c r="AU1668" s="6" t="s">
        <v>81</v>
      </c>
      <c r="AV1668" s="6" t="s">
        <v>81</v>
      </c>
      <c r="AW1668" s="6" t="s">
        <v>81</v>
      </c>
      <c r="AX1668" s="6" t="s">
        <v>21803</v>
      </c>
      <c r="AY1668" s="6" t="s">
        <v>81</v>
      </c>
      <c r="AZ1668" s="6" t="s">
        <v>81</v>
      </c>
      <c r="BA1668" s="6" t="s">
        <v>81</v>
      </c>
      <c r="BB1668" s="24" t="n">
        <v>376</v>
      </c>
      <c r="BC1668" s="26"/>
      <c r="BD1668" s="26"/>
      <c r="BE1668" s="26"/>
      <c r="BF1668" s="26"/>
      <c r="BG1668" s="26"/>
      <c r="BH1668" s="26"/>
      <c r="BI1668" s="26"/>
      <c r="BJ1668" s="26"/>
      <c r="BK1668" s="26"/>
      <c r="BL1668" s="26"/>
      <c r="BM1668" s="26"/>
      <c r="BN1668" s="26"/>
      <c r="BO1668" s="26"/>
      <c r="BP1668" s="16" t="n">
        <v>45701</v>
      </c>
      <c r="BQ1668" s="28" t="str">
        <f>HYPERLINK("https://organic.ams.usda.gov/Integrity/Certificate.aspx?cid=81&amp;nopid=4212022036")</f>
        <v>https://organic.ams.usda.gov/Integrity/Certificate.aspx?cid=81&amp;nopid=4212022036</v>
      </c>
    </row>
    <row r="1669">
      <c r="A1669" t="s">
        <v>3</v>
      </c>
      <c r="B1669" s="6" t="s">
        <v>12</v>
      </c>
      <c r="C1669" s="6" t="s">
        <v>59</v>
      </c>
      <c r="D1669" s="6" t="s">
        <v>105</v>
      </c>
      <c r="E1669" s="10" t="s">
        <v>1810</v>
      </c>
      <c r="F1669" s="6" t="s">
        <v>4532</v>
      </c>
      <c r="G1669" s="6" t="s">
        <v>81</v>
      </c>
      <c r="H1669" s="6" t="s">
        <v>7422</v>
      </c>
      <c r="I1669" s="6" t="s">
        <v>9233</v>
      </c>
      <c r="J1669" s="6" t="s">
        <v>10032</v>
      </c>
      <c r="K1669" s="6" t="s">
        <v>10886</v>
      </c>
      <c r="L1669" s="16" t="n">
        <v>41858</v>
      </c>
      <c r="M1669" s="16" t="n">
        <v>45717</v>
      </c>
      <c r="N1669" s="6" t="s">
        <v>10886</v>
      </c>
      <c r="O1669" s="16" t="n">
        <v>41858</v>
      </c>
      <c r="P1669" s="6" t="s">
        <v>11891</v>
      </c>
      <c r="Q1669" s="6" t="s">
        <v>81</v>
      </c>
      <c r="R1669" s="6" t="s">
        <v>81</v>
      </c>
      <c r="S1669" s="6" t="s">
        <v>10886</v>
      </c>
      <c r="T1669" s="16" t="n">
        <v>41858</v>
      </c>
      <c r="U1669" s="6" t="s">
        <v>13183</v>
      </c>
      <c r="V1669" s="6" t="s">
        <v>81</v>
      </c>
      <c r="W1669" s="6" t="s">
        <v>81</v>
      </c>
      <c r="X1669" s="6" t="s">
        <v>81</v>
      </c>
      <c r="Y1669" s="21" t="s">
        <v>81</v>
      </c>
      <c r="Z1669" s="6" t="s">
        <v>81</v>
      </c>
      <c r="AA1669" s="6" t="s">
        <v>81</v>
      </c>
      <c r="AB1669" s="6" t="s">
        <v>81</v>
      </c>
      <c r="AC1669" s="6" t="s">
        <v>81</v>
      </c>
      <c r="AD1669" s="21" t="s">
        <v>81</v>
      </c>
      <c r="AE1669" s="6" t="s">
        <v>81</v>
      </c>
      <c r="AF1669" s="6" t="s">
        <v>81</v>
      </c>
      <c r="AG1669" s="6" t="s">
        <v>81</v>
      </c>
      <c r="AH1669" s="6" t="s">
        <v>16234</v>
      </c>
      <c r="AI1669" s="6" t="s">
        <v>81</v>
      </c>
      <c r="AJ1669" s="6" t="s">
        <v>17311</v>
      </c>
      <c r="AK1669" s="6" t="s">
        <v>17712</v>
      </c>
      <c r="AL1669" s="6" t="s">
        <v>18444</v>
      </c>
      <c r="AM1669" s="6" t="s">
        <v>18463</v>
      </c>
      <c r="AN1669" s="6" t="s">
        <v>19634</v>
      </c>
      <c r="AO1669" s="6" t="s">
        <v>19719</v>
      </c>
      <c r="AP1669" s="6" t="s">
        <v>16234</v>
      </c>
      <c r="AQ1669" s="6" t="s">
        <v>81</v>
      </c>
      <c r="AR1669" s="6" t="s">
        <v>17311</v>
      </c>
      <c r="AS1669" s="6" t="s">
        <v>17712</v>
      </c>
      <c r="AT1669" s="6" t="s">
        <v>18444</v>
      </c>
      <c r="AU1669" s="6" t="s">
        <v>18463</v>
      </c>
      <c r="AV1669" s="6" t="s">
        <v>81</v>
      </c>
      <c r="AW1669" s="6" t="s">
        <v>81</v>
      </c>
      <c r="AX1669" s="6" t="s">
        <v>21804</v>
      </c>
      <c r="AY1669" s="6" t="s">
        <v>81</v>
      </c>
      <c r="AZ1669" s="6" t="s">
        <v>81</v>
      </c>
      <c r="BA1669" s="6" t="s">
        <v>81</v>
      </c>
      <c r="BB1669" s="24" t="n">
        <v>122</v>
      </c>
      <c r="BC1669" s="26"/>
      <c r="BD1669" s="26"/>
      <c r="BE1669" s="26"/>
      <c r="BF1669" s="26"/>
      <c r="BG1669" s="26"/>
      <c r="BH1669" s="26"/>
      <c r="BI1669" s="26"/>
      <c r="BJ1669" s="26"/>
      <c r="BK1669" s="26"/>
      <c r="BL1669" s="26"/>
      <c r="BM1669" s="26"/>
      <c r="BN1669" s="26"/>
      <c r="BO1669" s="26"/>
      <c r="BP1669" s="16" t="n">
        <v>45684</v>
      </c>
      <c r="BQ1669" s="28" t="str">
        <f>HYPERLINK("https://organic.ams.usda.gov/Integrity/Certificate.aspx?cid=68&amp;nopid=8210004007")</f>
        <v>https://organic.ams.usda.gov/Integrity/Certificate.aspx?cid=68&amp;nopid=8210004007</v>
      </c>
    </row>
    <row r="1670">
      <c r="A1670" t="s">
        <v>3</v>
      </c>
      <c r="B1670" s="6" t="s">
        <v>8</v>
      </c>
      <c r="C1670" s="6" t="s">
        <v>55</v>
      </c>
      <c r="D1670" s="6" t="s">
        <v>101</v>
      </c>
      <c r="E1670" s="10" t="s">
        <v>1811</v>
      </c>
      <c r="F1670" s="6" t="s">
        <v>4533</v>
      </c>
      <c r="G1670" s="6" t="s">
        <v>81</v>
      </c>
      <c r="H1670" s="6" t="s">
        <v>7423</v>
      </c>
      <c r="I1670" s="6" t="s">
        <v>9233</v>
      </c>
      <c r="J1670" s="6" t="s">
        <v>9750</v>
      </c>
      <c r="K1670" s="6" t="s">
        <v>10886</v>
      </c>
      <c r="L1670" s="16" t="n">
        <v>38870</v>
      </c>
      <c r="M1670" s="16" t="n">
        <v>45689</v>
      </c>
      <c r="N1670" s="6" t="s">
        <v>10886</v>
      </c>
      <c r="O1670" s="16" t="n">
        <v>38870</v>
      </c>
      <c r="P1670" s="6" t="s">
        <v>11892</v>
      </c>
      <c r="Q1670" s="6" t="s">
        <v>81</v>
      </c>
      <c r="R1670" s="6" t="s">
        <v>7423</v>
      </c>
      <c r="S1670" s="6" t="s">
        <v>10886</v>
      </c>
      <c r="T1670" s="16" t="n">
        <v>38870</v>
      </c>
      <c r="U1670" s="6" t="s">
        <v>13286</v>
      </c>
      <c r="V1670" s="6" t="s">
        <v>81</v>
      </c>
      <c r="W1670" s="6" t="s">
        <v>7423</v>
      </c>
      <c r="X1670" s="6" t="s">
        <v>81</v>
      </c>
      <c r="Y1670" s="21" t="s">
        <v>81</v>
      </c>
      <c r="Z1670" s="6" t="s">
        <v>81</v>
      </c>
      <c r="AA1670" s="6" t="s">
        <v>81</v>
      </c>
      <c r="AB1670" s="6" t="s">
        <v>81</v>
      </c>
      <c r="AC1670" s="6" t="s">
        <v>10893</v>
      </c>
      <c r="AD1670" s="16" t="n">
        <v>45498</v>
      </c>
      <c r="AE1670" s="6" t="s">
        <v>81</v>
      </c>
      <c r="AF1670" s="6" t="s">
        <v>81</v>
      </c>
      <c r="AG1670" s="6" t="s">
        <v>81</v>
      </c>
      <c r="AH1670" s="6" t="s">
        <v>16235</v>
      </c>
      <c r="AI1670" s="6" t="s">
        <v>81</v>
      </c>
      <c r="AJ1670" s="6" t="s">
        <v>17707</v>
      </c>
      <c r="AK1670" s="6" t="s">
        <v>18377</v>
      </c>
      <c r="AL1670" s="6" t="s">
        <v>18444</v>
      </c>
      <c r="AM1670" s="6" t="s">
        <v>18874</v>
      </c>
      <c r="AN1670" s="6" t="s">
        <v>19646</v>
      </c>
      <c r="AO1670" s="6" t="s">
        <v>19733</v>
      </c>
      <c r="AP1670" s="6" t="s">
        <v>81</v>
      </c>
      <c r="AQ1670" s="6" t="s">
        <v>81</v>
      </c>
      <c r="AR1670" s="6" t="s">
        <v>81</v>
      </c>
      <c r="AS1670" s="6" t="s">
        <v>81</v>
      </c>
      <c r="AT1670" s="6" t="s">
        <v>81</v>
      </c>
      <c r="AU1670" s="6" t="s">
        <v>81</v>
      </c>
      <c r="AV1670" s="6" t="s">
        <v>81</v>
      </c>
      <c r="AW1670" s="6" t="s">
        <v>81</v>
      </c>
      <c r="AX1670" s="6" t="s">
        <v>81</v>
      </c>
      <c r="AY1670" s="6" t="s">
        <v>81</v>
      </c>
      <c r="AZ1670" s="6" t="s">
        <v>81</v>
      </c>
      <c r="BA1670" s="6" t="s">
        <v>23819</v>
      </c>
      <c r="BB1670" s="24" t="n">
        <v>129</v>
      </c>
      <c r="BC1670" s="26"/>
      <c r="BD1670" s="26"/>
      <c r="BE1670" s="26"/>
      <c r="BF1670" s="26" t="s">
        <v>23900</v>
      </c>
      <c r="BG1670" s="26"/>
      <c r="BH1670" s="26"/>
      <c r="BI1670" s="26"/>
      <c r="BJ1670" s="26"/>
      <c r="BK1670" s="26"/>
      <c r="BL1670" s="26"/>
      <c r="BM1670" s="26"/>
      <c r="BN1670" s="26"/>
      <c r="BO1670" s="26"/>
      <c r="BP1670" s="16" t="n">
        <v>45723</v>
      </c>
      <c r="BQ1670" s="28" t="str">
        <f>HYPERLINK("https://organic.ams.usda.gov/Integrity/Certificate.aspx?cid=45&amp;nopid=9950002164")</f>
        <v>https://organic.ams.usda.gov/Integrity/Certificate.aspx?cid=45&amp;nopid=9950002164</v>
      </c>
    </row>
    <row r="1671">
      <c r="A1671" t="s">
        <v>3</v>
      </c>
      <c r="B1671" s="6" t="s">
        <v>10</v>
      </c>
      <c r="C1671" s="6" t="s">
        <v>57</v>
      </c>
      <c r="D1671" s="6" t="s">
        <v>103</v>
      </c>
      <c r="E1671" s="10" t="s">
        <v>1812</v>
      </c>
      <c r="F1671" s="6" t="s">
        <v>4534</v>
      </c>
      <c r="G1671" s="6" t="s">
        <v>81</v>
      </c>
      <c r="H1671" s="6" t="s">
        <v>7424</v>
      </c>
      <c r="I1671" s="6" t="s">
        <v>9236</v>
      </c>
      <c r="J1671" s="6" t="s">
        <v>9665</v>
      </c>
      <c r="K1671" s="6" t="s">
        <v>10886</v>
      </c>
      <c r="L1671" s="16" t="n">
        <v>43836</v>
      </c>
      <c r="M1671" s="16" t="n">
        <v>45748</v>
      </c>
      <c r="N1671" s="6" t="s">
        <v>10886</v>
      </c>
      <c r="O1671" s="16" t="n">
        <v>43836</v>
      </c>
      <c r="P1671" s="6" t="s">
        <v>11294</v>
      </c>
      <c r="Q1671" s="6" t="s">
        <v>81</v>
      </c>
      <c r="R1671" s="6" t="s">
        <v>12896</v>
      </c>
      <c r="S1671" s="6" t="s">
        <v>10886</v>
      </c>
      <c r="T1671" s="16" t="n">
        <v>43836</v>
      </c>
      <c r="U1671" s="6" t="s">
        <v>13163</v>
      </c>
      <c r="V1671" s="6" t="s">
        <v>81</v>
      </c>
      <c r="W1671" s="6" t="s">
        <v>81</v>
      </c>
      <c r="X1671" s="6" t="s">
        <v>81</v>
      </c>
      <c r="Y1671" s="21" t="s">
        <v>81</v>
      </c>
      <c r="Z1671" s="6" t="s">
        <v>81</v>
      </c>
      <c r="AA1671" s="6" t="s">
        <v>81</v>
      </c>
      <c r="AB1671" s="6" t="s">
        <v>81</v>
      </c>
      <c r="AC1671" s="6" t="s">
        <v>81</v>
      </c>
      <c r="AD1671" s="21" t="s">
        <v>81</v>
      </c>
      <c r="AE1671" s="6" t="s">
        <v>81</v>
      </c>
      <c r="AF1671" s="6" t="s">
        <v>81</v>
      </c>
      <c r="AG1671" s="6" t="s">
        <v>81</v>
      </c>
      <c r="AH1671" s="6" t="s">
        <v>16236</v>
      </c>
      <c r="AI1671" s="6" t="s">
        <v>81</v>
      </c>
      <c r="AJ1671" s="6" t="s">
        <v>17440</v>
      </c>
      <c r="AK1671" s="6" t="s">
        <v>18378</v>
      </c>
      <c r="AL1671" s="6" t="s">
        <v>18444</v>
      </c>
      <c r="AM1671" s="6" t="s">
        <v>18597</v>
      </c>
      <c r="AN1671" s="6" t="s">
        <v>19676</v>
      </c>
      <c r="AO1671" s="6" t="s">
        <v>19784</v>
      </c>
      <c r="AP1671" s="6" t="s">
        <v>16236</v>
      </c>
      <c r="AQ1671" s="6" t="s">
        <v>81</v>
      </c>
      <c r="AR1671" s="6" t="s">
        <v>17440</v>
      </c>
      <c r="AS1671" s="6" t="s">
        <v>18378</v>
      </c>
      <c r="AT1671" s="6" t="s">
        <v>18444</v>
      </c>
      <c r="AU1671" s="6" t="s">
        <v>18597</v>
      </c>
      <c r="AV1671" s="6" t="s">
        <v>81</v>
      </c>
      <c r="AW1671" s="6" t="s">
        <v>81</v>
      </c>
      <c r="AX1671" s="6" t="s">
        <v>21805</v>
      </c>
      <c r="AY1671" s="6" t="s">
        <v>81</v>
      </c>
      <c r="AZ1671" s="6" t="s">
        <v>81</v>
      </c>
      <c r="BA1671" s="6" t="s">
        <v>81</v>
      </c>
      <c r="BB1671" s="24" t="n">
        <v>145</v>
      </c>
      <c r="BC1671" s="26"/>
      <c r="BD1671" s="26"/>
      <c r="BE1671" s="26"/>
      <c r="BF1671" s="26"/>
      <c r="BG1671" s="26"/>
      <c r="BH1671" s="26"/>
      <c r="BI1671" s="26"/>
      <c r="BJ1671" s="26"/>
      <c r="BK1671" s="26"/>
      <c r="BL1671" s="26"/>
      <c r="BM1671" s="26"/>
      <c r="BN1671" s="26"/>
      <c r="BO1671" s="26"/>
      <c r="BP1671" s="16" t="n">
        <v>45730</v>
      </c>
      <c r="BQ1671" s="28" t="str">
        <f>HYPERLINK("https://organic.ams.usda.gov/Integrity/Certificate.aspx?cid=90&amp;nopid=7170210337")</f>
        <v>https://organic.ams.usda.gov/Integrity/Certificate.aspx?cid=90&amp;nopid=7170210337</v>
      </c>
    </row>
    <row r="1672">
      <c r="A1672" t="s">
        <v>3</v>
      </c>
      <c r="B1672" s="6" t="s">
        <v>21</v>
      </c>
      <c r="C1672" s="6" t="s">
        <v>68</v>
      </c>
      <c r="D1672" s="6" t="s">
        <v>114</v>
      </c>
      <c r="E1672" s="10" t="s">
        <v>1813</v>
      </c>
      <c r="F1672" s="6" t="s">
        <v>4535</v>
      </c>
      <c r="G1672" s="6" t="s">
        <v>81</v>
      </c>
      <c r="H1672" s="6" t="s">
        <v>7425</v>
      </c>
      <c r="I1672" s="6" t="s">
        <v>8861</v>
      </c>
      <c r="J1672" s="6" t="s">
        <v>9663</v>
      </c>
      <c r="K1672" s="6" t="s">
        <v>10886</v>
      </c>
      <c r="L1672" s="16" t="n">
        <v>42047</v>
      </c>
      <c r="M1672" s="16" t="n">
        <v>46023</v>
      </c>
      <c r="N1672" s="6" t="s">
        <v>81</v>
      </c>
      <c r="O1672" s="21" t="s">
        <v>81</v>
      </c>
      <c r="P1672" s="6" t="s">
        <v>81</v>
      </c>
      <c r="Q1672" s="6" t="s">
        <v>81</v>
      </c>
      <c r="R1672" s="6" t="s">
        <v>81</v>
      </c>
      <c r="S1672" s="6" t="s">
        <v>81</v>
      </c>
      <c r="T1672" s="21" t="s">
        <v>81</v>
      </c>
      <c r="U1672" s="6" t="s">
        <v>81</v>
      </c>
      <c r="V1672" s="6" t="s">
        <v>81</v>
      </c>
      <c r="W1672" s="6" t="s">
        <v>81</v>
      </c>
      <c r="X1672" s="6" t="s">
        <v>81</v>
      </c>
      <c r="Y1672" s="21" t="s">
        <v>81</v>
      </c>
      <c r="Z1672" s="6" t="s">
        <v>81</v>
      </c>
      <c r="AA1672" s="6" t="s">
        <v>81</v>
      </c>
      <c r="AB1672" s="6" t="s">
        <v>81</v>
      </c>
      <c r="AC1672" s="6" t="s">
        <v>10886</v>
      </c>
      <c r="AD1672" s="16" t="n">
        <v>42047</v>
      </c>
      <c r="AE1672" s="6" t="s">
        <v>14296</v>
      </c>
      <c r="AF1672" s="6" t="s">
        <v>81</v>
      </c>
      <c r="AG1672" s="6" t="s">
        <v>81</v>
      </c>
      <c r="AH1672" s="6" t="s">
        <v>81</v>
      </c>
      <c r="AI1672" s="6" t="s">
        <v>81</v>
      </c>
      <c r="AJ1672" s="6" t="s">
        <v>81</v>
      </c>
      <c r="AK1672" s="6" t="s">
        <v>81</v>
      </c>
      <c r="AL1672" s="6" t="s">
        <v>81</v>
      </c>
      <c r="AM1672" s="6" t="s">
        <v>81</v>
      </c>
      <c r="AN1672" s="6" t="s">
        <v>81</v>
      </c>
      <c r="AO1672" s="6" t="s">
        <v>81</v>
      </c>
      <c r="AP1672" s="6" t="s">
        <v>20308</v>
      </c>
      <c r="AQ1672" s="6" t="s">
        <v>81</v>
      </c>
      <c r="AR1672" s="6" t="s">
        <v>17316</v>
      </c>
      <c r="AS1672" s="6" t="s">
        <v>18377</v>
      </c>
      <c r="AT1672" s="6" t="s">
        <v>18444</v>
      </c>
      <c r="AU1672" s="6" t="s">
        <v>18468</v>
      </c>
      <c r="AV1672" s="6" t="s">
        <v>19638</v>
      </c>
      <c r="AW1672" s="6" t="s">
        <v>19724</v>
      </c>
      <c r="AX1672" s="6" t="s">
        <v>21806</v>
      </c>
      <c r="AY1672" s="6" t="s">
        <v>23150</v>
      </c>
      <c r="AZ1672" s="6" t="s">
        <v>81</v>
      </c>
      <c r="BA1672" s="6" t="s">
        <v>81</v>
      </c>
      <c r="BB1672" s="6" t="s">
        <v>81</v>
      </c>
      <c r="BC1672" s="26"/>
      <c r="BD1672" s="26"/>
      <c r="BE1672" s="26"/>
      <c r="BF1672" s="26"/>
      <c r="BG1672" s="26"/>
      <c r="BH1672" s="26"/>
      <c r="BI1672" s="26"/>
      <c r="BJ1672" s="26"/>
      <c r="BK1672" s="26"/>
      <c r="BL1672" s="26"/>
      <c r="BM1672" s="26"/>
      <c r="BN1672" s="26" t="s">
        <v>23900</v>
      </c>
      <c r="BO1672" s="26"/>
      <c r="BP1672" s="16" t="n">
        <v>45679</v>
      </c>
      <c r="BQ1672" s="28" t="str">
        <f>HYPERLINK("https://organic.ams.usda.gov/Integrity/Certificate.aspx?cid=62&amp;nopid=8150000919")</f>
        <v>https://organic.ams.usda.gov/Integrity/Certificate.aspx?cid=62&amp;nopid=8150000919</v>
      </c>
    </row>
    <row r="1673">
      <c r="A1673" t="s">
        <v>3</v>
      </c>
      <c r="B1673" s="6" t="s">
        <v>10</v>
      </c>
      <c r="C1673" s="6" t="s">
        <v>57</v>
      </c>
      <c r="D1673" s="6" t="s">
        <v>103</v>
      </c>
      <c r="E1673" s="10" t="s">
        <v>1814</v>
      </c>
      <c r="F1673" s="6" t="s">
        <v>4536</v>
      </c>
      <c r="G1673" s="6" t="s">
        <v>81</v>
      </c>
      <c r="H1673" s="6" t="s">
        <v>7426</v>
      </c>
      <c r="I1673" s="6" t="s">
        <v>9233</v>
      </c>
      <c r="J1673" s="6" t="s">
        <v>10056</v>
      </c>
      <c r="K1673" s="6" t="s">
        <v>10886</v>
      </c>
      <c r="L1673" s="16" t="n">
        <v>41527</v>
      </c>
      <c r="M1673" s="16" t="n">
        <v>45748</v>
      </c>
      <c r="N1673" s="6" t="s">
        <v>10886</v>
      </c>
      <c r="O1673" s="16" t="n">
        <v>41527</v>
      </c>
      <c r="P1673" s="6" t="s">
        <v>11893</v>
      </c>
      <c r="Q1673" s="6" t="s">
        <v>81</v>
      </c>
      <c r="R1673" s="6" t="s">
        <v>12897</v>
      </c>
      <c r="S1673" s="6" t="s">
        <v>10886</v>
      </c>
      <c r="T1673" s="16" t="n">
        <v>41527</v>
      </c>
      <c r="U1673" s="6" t="s">
        <v>13163</v>
      </c>
      <c r="V1673" s="6" t="s">
        <v>81</v>
      </c>
      <c r="W1673" s="6" t="s">
        <v>81</v>
      </c>
      <c r="X1673" s="6" t="s">
        <v>81</v>
      </c>
      <c r="Y1673" s="21" t="s">
        <v>81</v>
      </c>
      <c r="Z1673" s="6" t="s">
        <v>81</v>
      </c>
      <c r="AA1673" s="6" t="s">
        <v>81</v>
      </c>
      <c r="AB1673" s="6" t="s">
        <v>81</v>
      </c>
      <c r="AC1673" s="6" t="s">
        <v>81</v>
      </c>
      <c r="AD1673" s="21" t="s">
        <v>81</v>
      </c>
      <c r="AE1673" s="6" t="s">
        <v>81</v>
      </c>
      <c r="AF1673" s="6" t="s">
        <v>81</v>
      </c>
      <c r="AG1673" s="6" t="s">
        <v>81</v>
      </c>
      <c r="AH1673" s="6" t="s">
        <v>16237</v>
      </c>
      <c r="AI1673" s="6" t="s">
        <v>81</v>
      </c>
      <c r="AJ1673" s="6" t="s">
        <v>17381</v>
      </c>
      <c r="AK1673" s="6" t="s">
        <v>18379</v>
      </c>
      <c r="AL1673" s="6" t="s">
        <v>18444</v>
      </c>
      <c r="AM1673" s="6" t="s">
        <v>18534</v>
      </c>
      <c r="AN1673" s="6" t="s">
        <v>19637</v>
      </c>
      <c r="AO1673" s="6" t="s">
        <v>19723</v>
      </c>
      <c r="AP1673" s="6" t="s">
        <v>16237</v>
      </c>
      <c r="AQ1673" s="6" t="s">
        <v>81</v>
      </c>
      <c r="AR1673" s="6" t="s">
        <v>17381</v>
      </c>
      <c r="AS1673" s="6" t="s">
        <v>18379</v>
      </c>
      <c r="AT1673" s="6" t="s">
        <v>18444</v>
      </c>
      <c r="AU1673" s="6" t="s">
        <v>18534</v>
      </c>
      <c r="AV1673" s="6" t="s">
        <v>81</v>
      </c>
      <c r="AW1673" s="6" t="s">
        <v>81</v>
      </c>
      <c r="AX1673" s="6" t="s">
        <v>21807</v>
      </c>
      <c r="AY1673" s="6" t="s">
        <v>81</v>
      </c>
      <c r="AZ1673" s="6" t="s">
        <v>81</v>
      </c>
      <c r="BA1673" s="6" t="s">
        <v>81</v>
      </c>
      <c r="BB1673" s="24" t="n">
        <v>76</v>
      </c>
      <c r="BC1673" s="26"/>
      <c r="BD1673" s="26"/>
      <c r="BE1673" s="26"/>
      <c r="BF1673" s="26"/>
      <c r="BG1673" s="26"/>
      <c r="BH1673" s="26"/>
      <c r="BI1673" s="26"/>
      <c r="BJ1673" s="26"/>
      <c r="BK1673" s="26"/>
      <c r="BL1673" s="26"/>
      <c r="BM1673" s="26"/>
      <c r="BN1673" s="26"/>
      <c r="BO1673" s="26"/>
      <c r="BP1673" s="16" t="n">
        <v>45730</v>
      </c>
      <c r="BQ1673" s="28" t="str">
        <f>HYPERLINK("https://organic.ams.usda.gov/Integrity/Certificate.aspx?cid=90&amp;nopid=7170210343")</f>
        <v>https://organic.ams.usda.gov/Integrity/Certificate.aspx?cid=90&amp;nopid=7170210343</v>
      </c>
    </row>
    <row r="1674">
      <c r="A1674" t="s">
        <v>3</v>
      </c>
      <c r="B1674" s="6" t="s">
        <v>12</v>
      </c>
      <c r="C1674" s="6" t="s">
        <v>59</v>
      </c>
      <c r="D1674" s="6" t="s">
        <v>105</v>
      </c>
      <c r="E1674" s="10" t="s">
        <v>1815</v>
      </c>
      <c r="F1674" s="6" t="s">
        <v>4537</v>
      </c>
      <c r="G1674" s="6" t="s">
        <v>81</v>
      </c>
      <c r="H1674" s="6" t="s">
        <v>7427</v>
      </c>
      <c r="I1674" s="6" t="s">
        <v>9237</v>
      </c>
      <c r="J1674" s="6" t="s">
        <v>10420</v>
      </c>
      <c r="K1674" s="6" t="s">
        <v>10886</v>
      </c>
      <c r="L1674" s="16" t="n">
        <v>44120</v>
      </c>
      <c r="M1674" s="16" t="n">
        <v>45717</v>
      </c>
      <c r="N1674" s="6" t="s">
        <v>10886</v>
      </c>
      <c r="O1674" s="16" t="n">
        <v>44120</v>
      </c>
      <c r="P1674" s="6" t="s">
        <v>10997</v>
      </c>
      <c r="Q1674" s="6" t="s">
        <v>81</v>
      </c>
      <c r="R1674" s="6" t="s">
        <v>81</v>
      </c>
      <c r="S1674" s="6" t="s">
        <v>10886</v>
      </c>
      <c r="T1674" s="16" t="n">
        <v>44120</v>
      </c>
      <c r="U1674" s="6" t="s">
        <v>13559</v>
      </c>
      <c r="V1674" s="6" t="s">
        <v>81</v>
      </c>
      <c r="W1674" s="6" t="s">
        <v>81</v>
      </c>
      <c r="X1674" s="6" t="s">
        <v>81</v>
      </c>
      <c r="Y1674" s="21" t="s">
        <v>81</v>
      </c>
      <c r="Z1674" s="6" t="s">
        <v>81</v>
      </c>
      <c r="AA1674" s="6" t="s">
        <v>81</v>
      </c>
      <c r="AB1674" s="6" t="s">
        <v>81</v>
      </c>
      <c r="AC1674" s="6" t="s">
        <v>81</v>
      </c>
      <c r="AD1674" s="21" t="s">
        <v>81</v>
      </c>
      <c r="AE1674" s="6" t="s">
        <v>81</v>
      </c>
      <c r="AF1674" s="6" t="s">
        <v>81</v>
      </c>
      <c r="AG1674" s="6" t="s">
        <v>81</v>
      </c>
      <c r="AH1674" s="6" t="s">
        <v>16238</v>
      </c>
      <c r="AI1674" s="6" t="s">
        <v>81</v>
      </c>
      <c r="AJ1674" s="6" t="s">
        <v>17971</v>
      </c>
      <c r="AK1674" s="6" t="s">
        <v>17712</v>
      </c>
      <c r="AL1674" s="6" t="s">
        <v>18444</v>
      </c>
      <c r="AM1674" s="6" t="s">
        <v>19158</v>
      </c>
      <c r="AN1674" s="6" t="s">
        <v>19670</v>
      </c>
      <c r="AO1674" s="6" t="s">
        <v>19782</v>
      </c>
      <c r="AP1674" s="6" t="s">
        <v>16238</v>
      </c>
      <c r="AQ1674" s="6" t="s">
        <v>81</v>
      </c>
      <c r="AR1674" s="6" t="s">
        <v>17971</v>
      </c>
      <c r="AS1674" s="6" t="s">
        <v>17712</v>
      </c>
      <c r="AT1674" s="6" t="s">
        <v>18444</v>
      </c>
      <c r="AU1674" s="6" t="s">
        <v>19158</v>
      </c>
      <c r="AV1674" s="6" t="s">
        <v>81</v>
      </c>
      <c r="AW1674" s="6" t="s">
        <v>81</v>
      </c>
      <c r="AX1674" s="6" t="s">
        <v>21808</v>
      </c>
      <c r="AY1674" s="6" t="s">
        <v>23151</v>
      </c>
      <c r="AZ1674" s="6" t="s">
        <v>81</v>
      </c>
      <c r="BA1674" s="6" t="s">
        <v>81</v>
      </c>
      <c r="BB1674" s="24" t="n">
        <v>1193</v>
      </c>
      <c r="BC1674" s="26"/>
      <c r="BD1674" s="26"/>
      <c r="BE1674" s="26"/>
      <c r="BF1674" s="26"/>
      <c r="BG1674" s="26"/>
      <c r="BH1674" s="26"/>
      <c r="BI1674" s="26"/>
      <c r="BJ1674" s="26"/>
      <c r="BK1674" s="26"/>
      <c r="BL1674" s="26"/>
      <c r="BM1674" s="26"/>
      <c r="BN1674" s="26"/>
      <c r="BO1674" s="26"/>
      <c r="BP1674" s="16" t="n">
        <v>45684</v>
      </c>
      <c r="BQ1674" s="28" t="str">
        <f>HYPERLINK("https://organic.ams.usda.gov/Integrity/Certificate.aspx?cid=68&amp;nopid=8210007602")</f>
        <v>https://organic.ams.usda.gov/Integrity/Certificate.aspx?cid=68&amp;nopid=8210007602</v>
      </c>
    </row>
    <row r="1675">
      <c r="A1675" t="s">
        <v>3</v>
      </c>
      <c r="B1675" s="6" t="s">
        <v>10</v>
      </c>
      <c r="C1675" s="6" t="s">
        <v>57</v>
      </c>
      <c r="D1675" s="6" t="s">
        <v>103</v>
      </c>
      <c r="E1675" s="10" t="s">
        <v>1816</v>
      </c>
      <c r="F1675" s="6" t="s">
        <v>4538</v>
      </c>
      <c r="G1675" s="6" t="s">
        <v>81</v>
      </c>
      <c r="H1675" s="6" t="s">
        <v>7428</v>
      </c>
      <c r="I1675" s="6" t="s">
        <v>9238</v>
      </c>
      <c r="J1675" s="6" t="s">
        <v>9665</v>
      </c>
      <c r="K1675" s="6" t="s">
        <v>10886</v>
      </c>
      <c r="L1675" s="16" t="n">
        <v>45030</v>
      </c>
      <c r="M1675" s="16" t="n">
        <v>45748</v>
      </c>
      <c r="N1675" s="6" t="s">
        <v>10886</v>
      </c>
      <c r="O1675" s="16" t="n">
        <v>45030</v>
      </c>
      <c r="P1675" s="6" t="s">
        <v>10925</v>
      </c>
      <c r="Q1675" s="6" t="s">
        <v>81</v>
      </c>
      <c r="R1675" s="6" t="s">
        <v>12898</v>
      </c>
      <c r="S1675" s="6" t="s">
        <v>10886</v>
      </c>
      <c r="T1675" s="16" t="n">
        <v>45030</v>
      </c>
      <c r="U1675" s="6" t="s">
        <v>13163</v>
      </c>
      <c r="V1675" s="6" t="s">
        <v>81</v>
      </c>
      <c r="W1675" s="6" t="s">
        <v>81</v>
      </c>
      <c r="X1675" s="6" t="s">
        <v>81</v>
      </c>
      <c r="Y1675" s="21" t="s">
        <v>81</v>
      </c>
      <c r="Z1675" s="6" t="s">
        <v>81</v>
      </c>
      <c r="AA1675" s="6" t="s">
        <v>81</v>
      </c>
      <c r="AB1675" s="6" t="s">
        <v>81</v>
      </c>
      <c r="AC1675" s="6" t="s">
        <v>81</v>
      </c>
      <c r="AD1675" s="21" t="s">
        <v>81</v>
      </c>
      <c r="AE1675" s="6" t="s">
        <v>81</v>
      </c>
      <c r="AF1675" s="6" t="s">
        <v>81</v>
      </c>
      <c r="AG1675" s="6" t="s">
        <v>81</v>
      </c>
      <c r="AH1675" s="6" t="s">
        <v>16239</v>
      </c>
      <c r="AI1675" s="6" t="s">
        <v>81</v>
      </c>
      <c r="AJ1675" s="6" t="s">
        <v>17347</v>
      </c>
      <c r="AK1675" s="6" t="s">
        <v>18378</v>
      </c>
      <c r="AL1675" s="6" t="s">
        <v>18444</v>
      </c>
      <c r="AM1675" s="6" t="s">
        <v>18501</v>
      </c>
      <c r="AN1675" s="6" t="s">
        <v>19640</v>
      </c>
      <c r="AO1675" s="6" t="s">
        <v>19726</v>
      </c>
      <c r="AP1675" s="6" t="s">
        <v>16239</v>
      </c>
      <c r="AQ1675" s="6" t="s">
        <v>81</v>
      </c>
      <c r="AR1675" s="6" t="s">
        <v>17347</v>
      </c>
      <c r="AS1675" s="6" t="s">
        <v>18378</v>
      </c>
      <c r="AT1675" s="6" t="s">
        <v>18444</v>
      </c>
      <c r="AU1675" s="6" t="s">
        <v>18501</v>
      </c>
      <c r="AV1675" s="6" t="s">
        <v>81</v>
      </c>
      <c r="AW1675" s="6" t="s">
        <v>81</v>
      </c>
      <c r="AX1675" s="6" t="s">
        <v>21809</v>
      </c>
      <c r="AY1675" s="6" t="s">
        <v>81</v>
      </c>
      <c r="AZ1675" s="6" t="s">
        <v>81</v>
      </c>
      <c r="BA1675" s="6" t="s">
        <v>81</v>
      </c>
      <c r="BB1675" s="24" t="n">
        <v>78</v>
      </c>
      <c r="BC1675" s="26"/>
      <c r="BD1675" s="26"/>
      <c r="BE1675" s="26"/>
      <c r="BF1675" s="26"/>
      <c r="BG1675" s="26"/>
      <c r="BH1675" s="26"/>
      <c r="BI1675" s="26"/>
      <c r="BJ1675" s="26"/>
      <c r="BK1675" s="26"/>
      <c r="BL1675" s="26"/>
      <c r="BM1675" s="26"/>
      <c r="BN1675" s="26"/>
      <c r="BO1675" s="26"/>
      <c r="BP1675" s="16" t="n">
        <v>45730</v>
      </c>
      <c r="BQ1675" s="28" t="str">
        <f>HYPERLINK("https://organic.ams.usda.gov/Integrity/Certificate.aspx?cid=90&amp;nopid=7170230673")</f>
        <v>https://organic.ams.usda.gov/Integrity/Certificate.aspx?cid=90&amp;nopid=7170230673</v>
      </c>
    </row>
    <row r="1676">
      <c r="A1676" t="s">
        <v>3</v>
      </c>
      <c r="B1676" s="6" t="s">
        <v>30</v>
      </c>
      <c r="C1676" s="6" t="s">
        <v>77</v>
      </c>
      <c r="D1676" s="6" t="s">
        <v>123</v>
      </c>
      <c r="E1676" s="10" t="s">
        <v>1817</v>
      </c>
      <c r="F1676" s="6" t="s">
        <v>4539</v>
      </c>
      <c r="G1676" s="6" t="s">
        <v>81</v>
      </c>
      <c r="H1676" s="6" t="s">
        <v>7429</v>
      </c>
      <c r="I1676" s="6" t="s">
        <v>9239</v>
      </c>
      <c r="J1676" s="6" t="s">
        <v>9672</v>
      </c>
      <c r="K1676" s="6" t="s">
        <v>10886</v>
      </c>
      <c r="L1676" s="16" t="n">
        <v>42646</v>
      </c>
      <c r="M1676" s="16" t="n">
        <v>45747</v>
      </c>
      <c r="N1676" s="6" t="s">
        <v>10886</v>
      </c>
      <c r="O1676" s="16" t="n">
        <v>42646</v>
      </c>
      <c r="P1676" s="6" t="s">
        <v>11894</v>
      </c>
      <c r="Q1676" s="6" t="s">
        <v>81</v>
      </c>
      <c r="R1676" s="6" t="s">
        <v>81</v>
      </c>
      <c r="S1676" s="6" t="s">
        <v>10886</v>
      </c>
      <c r="T1676" s="16" t="n">
        <v>42646</v>
      </c>
      <c r="U1676" s="6" t="s">
        <v>13216</v>
      </c>
      <c r="V1676" s="6" t="s">
        <v>81</v>
      </c>
      <c r="W1676" s="6" t="s">
        <v>81</v>
      </c>
      <c r="X1676" s="6" t="s">
        <v>81</v>
      </c>
      <c r="Y1676" s="21" t="s">
        <v>81</v>
      </c>
      <c r="Z1676" s="6" t="s">
        <v>81</v>
      </c>
      <c r="AA1676" s="6" t="s">
        <v>81</v>
      </c>
      <c r="AB1676" s="6" t="s">
        <v>81</v>
      </c>
      <c r="AC1676" s="6" t="s">
        <v>81</v>
      </c>
      <c r="AD1676" s="21" t="s">
        <v>81</v>
      </c>
      <c r="AE1676" s="6" t="s">
        <v>81</v>
      </c>
      <c r="AF1676" s="6" t="s">
        <v>81</v>
      </c>
      <c r="AG1676" s="6" t="s">
        <v>81</v>
      </c>
      <c r="AH1676" s="6" t="s">
        <v>16240</v>
      </c>
      <c r="AI1676" s="6" t="s">
        <v>81</v>
      </c>
      <c r="AJ1676" s="6" t="s">
        <v>17323</v>
      </c>
      <c r="AK1676" s="6" t="s">
        <v>17712</v>
      </c>
      <c r="AL1676" s="6" t="s">
        <v>18444</v>
      </c>
      <c r="AM1676" s="6" t="s">
        <v>18475</v>
      </c>
      <c r="AN1676" s="6" t="s">
        <v>19645</v>
      </c>
      <c r="AO1676" s="6" t="s">
        <v>19770</v>
      </c>
      <c r="AP1676" s="6" t="s">
        <v>16240</v>
      </c>
      <c r="AQ1676" s="6" t="s">
        <v>81</v>
      </c>
      <c r="AR1676" s="6" t="s">
        <v>17323</v>
      </c>
      <c r="AS1676" s="6" t="s">
        <v>17712</v>
      </c>
      <c r="AT1676" s="6" t="s">
        <v>18444</v>
      </c>
      <c r="AU1676" s="6" t="s">
        <v>18475</v>
      </c>
      <c r="AV1676" s="6" t="s">
        <v>81</v>
      </c>
      <c r="AW1676" s="6" t="s">
        <v>81</v>
      </c>
      <c r="AX1676" s="6" t="s">
        <v>21810</v>
      </c>
      <c r="AY1676" s="6" t="s">
        <v>81</v>
      </c>
      <c r="AZ1676" s="6" t="s">
        <v>81</v>
      </c>
      <c r="BA1676" s="6" t="s">
        <v>81</v>
      </c>
      <c r="BB1676" s="24" t="n">
        <v>296</v>
      </c>
      <c r="BC1676" s="26"/>
      <c r="BD1676" s="26"/>
      <c r="BE1676" s="26"/>
      <c r="BF1676" s="26"/>
      <c r="BG1676" s="26"/>
      <c r="BH1676" s="26"/>
      <c r="BI1676" s="26"/>
      <c r="BJ1676" s="26"/>
      <c r="BK1676" s="26"/>
      <c r="BL1676" s="26"/>
      <c r="BM1676" s="26"/>
      <c r="BN1676" s="26"/>
      <c r="BO1676" s="26"/>
      <c r="BP1676" s="16" t="n">
        <v>45586</v>
      </c>
      <c r="BQ1676" s="28" t="str">
        <f>HYPERLINK("https://organic.ams.usda.gov/Integrity/Certificate.aspx?cid=70&amp;nopid=6431697300")</f>
        <v>https://organic.ams.usda.gov/Integrity/Certificate.aspx?cid=70&amp;nopid=6431697300</v>
      </c>
    </row>
    <row r="1677">
      <c r="A1677" t="s">
        <v>3</v>
      </c>
      <c r="B1677" s="6" t="s">
        <v>8</v>
      </c>
      <c r="C1677" s="6" t="s">
        <v>55</v>
      </c>
      <c r="D1677" s="6" t="s">
        <v>101</v>
      </c>
      <c r="E1677" s="10" t="s">
        <v>1818</v>
      </c>
      <c r="F1677" s="6" t="s">
        <v>4540</v>
      </c>
      <c r="G1677" s="6" t="s">
        <v>5745</v>
      </c>
      <c r="H1677" s="6" t="s">
        <v>7430</v>
      </c>
      <c r="I1677" s="6" t="s">
        <v>9239</v>
      </c>
      <c r="J1677" s="6" t="s">
        <v>9675</v>
      </c>
      <c r="K1677" s="6" t="s">
        <v>10886</v>
      </c>
      <c r="L1677" s="16" t="n">
        <v>43298</v>
      </c>
      <c r="M1677" s="18" t="s">
        <v>81</v>
      </c>
      <c r="N1677" s="6" t="s">
        <v>10886</v>
      </c>
      <c r="O1677" s="16" t="n">
        <v>43298</v>
      </c>
      <c r="P1677" s="6" t="s">
        <v>11895</v>
      </c>
      <c r="Q1677" s="6" t="s">
        <v>81</v>
      </c>
      <c r="R1677" s="6" t="s">
        <v>81</v>
      </c>
      <c r="S1677" s="6" t="s">
        <v>10886</v>
      </c>
      <c r="T1677" s="16" t="n">
        <v>43298</v>
      </c>
      <c r="U1677" s="6" t="s">
        <v>13229</v>
      </c>
      <c r="V1677" s="6" t="s">
        <v>81</v>
      </c>
      <c r="W1677" s="6" t="s">
        <v>81</v>
      </c>
      <c r="X1677" s="6" t="s">
        <v>81</v>
      </c>
      <c r="Y1677" s="21" t="s">
        <v>81</v>
      </c>
      <c r="Z1677" s="6" t="s">
        <v>81</v>
      </c>
      <c r="AA1677" s="6" t="s">
        <v>81</v>
      </c>
      <c r="AB1677" s="6" t="s">
        <v>81</v>
      </c>
      <c r="AC1677" s="6" t="s">
        <v>81</v>
      </c>
      <c r="AD1677" s="21" t="s">
        <v>81</v>
      </c>
      <c r="AE1677" s="6" t="s">
        <v>81</v>
      </c>
      <c r="AF1677" s="6" t="s">
        <v>81</v>
      </c>
      <c r="AG1677" s="6" t="s">
        <v>81</v>
      </c>
      <c r="AH1677" s="6" t="s">
        <v>16241</v>
      </c>
      <c r="AI1677" s="6" t="s">
        <v>81</v>
      </c>
      <c r="AJ1677" s="6" t="s">
        <v>17579</v>
      </c>
      <c r="AK1677" s="6" t="s">
        <v>18391</v>
      </c>
      <c r="AL1677" s="6" t="s">
        <v>18444</v>
      </c>
      <c r="AM1677" s="6" t="s">
        <v>18743</v>
      </c>
      <c r="AN1677" s="6" t="s">
        <v>6139</v>
      </c>
      <c r="AO1677" s="6" t="s">
        <v>19970</v>
      </c>
      <c r="AP1677" s="6" t="s">
        <v>81</v>
      </c>
      <c r="AQ1677" s="6" t="s">
        <v>81</v>
      </c>
      <c r="AR1677" s="6" t="s">
        <v>81</v>
      </c>
      <c r="AS1677" s="6" t="s">
        <v>81</v>
      </c>
      <c r="AT1677" s="6" t="s">
        <v>81</v>
      </c>
      <c r="AU1677" s="6" t="s">
        <v>81</v>
      </c>
      <c r="AV1677" s="6" t="s">
        <v>81</v>
      </c>
      <c r="AW1677" s="6" t="s">
        <v>81</v>
      </c>
      <c r="AX1677" s="6" t="s">
        <v>81</v>
      </c>
      <c r="AY1677" s="6" t="s">
        <v>81</v>
      </c>
      <c r="AZ1677" s="6" t="s">
        <v>81</v>
      </c>
      <c r="BA1677" s="6" t="s">
        <v>81</v>
      </c>
      <c r="BB1677" s="24" t="n">
        <v>279</v>
      </c>
      <c r="BC1677" s="26"/>
      <c r="BD1677" s="26"/>
      <c r="BE1677" s="26"/>
      <c r="BF1677" s="26"/>
      <c r="BG1677" s="26"/>
      <c r="BH1677" s="26"/>
      <c r="BI1677" s="26"/>
      <c r="BJ1677" s="26"/>
      <c r="BK1677" s="26"/>
      <c r="BL1677" s="26"/>
      <c r="BM1677" s="26"/>
      <c r="BN1677" s="26"/>
      <c r="BO1677" s="26"/>
      <c r="BP1677" s="16" t="n">
        <v>45292</v>
      </c>
      <c r="BQ1677" s="28" t="str">
        <f>HYPERLINK("https://organic.ams.usda.gov/Integrity/Certificate.aspx?cid=45&amp;nopid=9950010251")</f>
        <v>https://organic.ams.usda.gov/Integrity/Certificate.aspx?cid=45&amp;nopid=9950010251</v>
      </c>
    </row>
    <row r="1678">
      <c r="A1678" t="s">
        <v>3</v>
      </c>
      <c r="B1678" s="6" t="s">
        <v>11</v>
      </c>
      <c r="C1678" s="6" t="s">
        <v>58</v>
      </c>
      <c r="D1678" s="6" t="s">
        <v>104</v>
      </c>
      <c r="E1678" s="10" t="s">
        <v>1819</v>
      </c>
      <c r="F1678" s="6" t="s">
        <v>4541</v>
      </c>
      <c r="G1678" s="6" t="s">
        <v>81</v>
      </c>
      <c r="H1678" s="6" t="s">
        <v>81</v>
      </c>
      <c r="I1678" s="6" t="s">
        <v>9240</v>
      </c>
      <c r="J1678" s="6" t="s">
        <v>9665</v>
      </c>
      <c r="K1678" s="6" t="s">
        <v>10886</v>
      </c>
      <c r="L1678" s="16" t="n">
        <v>42642</v>
      </c>
      <c r="M1678" s="16" t="n">
        <v>45383</v>
      </c>
      <c r="N1678" s="6" t="s">
        <v>10886</v>
      </c>
      <c r="O1678" s="16" t="n">
        <v>42642</v>
      </c>
      <c r="P1678" s="6" t="s">
        <v>11896</v>
      </c>
      <c r="Q1678" s="6" t="s">
        <v>81</v>
      </c>
      <c r="R1678" s="6" t="s">
        <v>81</v>
      </c>
      <c r="S1678" s="6" t="s">
        <v>10886</v>
      </c>
      <c r="T1678" s="16" t="n">
        <v>42856</v>
      </c>
      <c r="U1678" s="6" t="s">
        <v>13658</v>
      </c>
      <c r="V1678" s="6" t="s">
        <v>81</v>
      </c>
      <c r="W1678" s="6" t="s">
        <v>81</v>
      </c>
      <c r="X1678" s="6" t="s">
        <v>81</v>
      </c>
      <c r="Y1678" s="21" t="s">
        <v>81</v>
      </c>
      <c r="Z1678" s="6" t="s">
        <v>81</v>
      </c>
      <c r="AA1678" s="6" t="s">
        <v>81</v>
      </c>
      <c r="AB1678" s="6" t="s">
        <v>81</v>
      </c>
      <c r="AC1678" s="6" t="s">
        <v>81</v>
      </c>
      <c r="AD1678" s="21" t="s">
        <v>81</v>
      </c>
      <c r="AE1678" s="6" t="s">
        <v>81</v>
      </c>
      <c r="AF1678" s="6" t="s">
        <v>81</v>
      </c>
      <c r="AG1678" s="6" t="s">
        <v>81</v>
      </c>
      <c r="AH1678" s="6" t="s">
        <v>16242</v>
      </c>
      <c r="AI1678" s="6" t="s">
        <v>81</v>
      </c>
      <c r="AJ1678" s="6" t="s">
        <v>17468</v>
      </c>
      <c r="AK1678" s="6" t="s">
        <v>18384</v>
      </c>
      <c r="AL1678" s="6" t="s">
        <v>18444</v>
      </c>
      <c r="AM1678" s="6" t="s">
        <v>18630</v>
      </c>
      <c r="AN1678" s="6" t="s">
        <v>7195</v>
      </c>
      <c r="AO1678" s="6" t="s">
        <v>19743</v>
      </c>
      <c r="AP1678" s="6" t="s">
        <v>16242</v>
      </c>
      <c r="AQ1678" s="6" t="s">
        <v>81</v>
      </c>
      <c r="AR1678" s="6" t="s">
        <v>17468</v>
      </c>
      <c r="AS1678" s="6" t="s">
        <v>18384</v>
      </c>
      <c r="AT1678" s="6" t="s">
        <v>18444</v>
      </c>
      <c r="AU1678" s="6" t="s">
        <v>18630</v>
      </c>
      <c r="AV1678" s="6" t="s">
        <v>81</v>
      </c>
      <c r="AW1678" s="6" t="s">
        <v>81</v>
      </c>
      <c r="AX1678" s="6" t="s">
        <v>21811</v>
      </c>
      <c r="AY1678" s="6" t="s">
        <v>81</v>
      </c>
      <c r="AZ1678" s="6" t="s">
        <v>81</v>
      </c>
      <c r="BA1678" s="6" t="s">
        <v>23820</v>
      </c>
      <c r="BB1678" s="24" t="n">
        <v>105</v>
      </c>
      <c r="BC1678" s="26"/>
      <c r="BD1678" s="26"/>
      <c r="BE1678" s="26"/>
      <c r="BF1678" s="26"/>
      <c r="BG1678" s="26"/>
      <c r="BH1678" s="26"/>
      <c r="BI1678" s="26"/>
      <c r="BJ1678" s="26"/>
      <c r="BK1678" s="26"/>
      <c r="BL1678" s="26"/>
      <c r="BM1678" s="26"/>
      <c r="BN1678" s="26"/>
      <c r="BO1678" s="26"/>
      <c r="BP1678" s="16" t="n">
        <v>45443</v>
      </c>
      <c r="BQ1678" s="28" t="str">
        <f>HYPERLINK("https://organic.ams.usda.gov/Integrity/Certificate.aspx?cid=46&amp;nopid=3671600079")</f>
        <v>https://organic.ams.usda.gov/Integrity/Certificate.aspx?cid=46&amp;nopid=3671600079</v>
      </c>
    </row>
    <row r="1679">
      <c r="A1679" t="s">
        <v>3</v>
      </c>
      <c r="B1679" s="6" t="s">
        <v>7</v>
      </c>
      <c r="C1679" s="6" t="s">
        <v>54</v>
      </c>
      <c r="D1679" s="6" t="s">
        <v>100</v>
      </c>
      <c r="E1679" s="10" t="s">
        <v>1820</v>
      </c>
      <c r="F1679" s="6" t="s">
        <v>4542</v>
      </c>
      <c r="G1679" s="6" t="s">
        <v>81</v>
      </c>
      <c r="H1679" s="6" t="s">
        <v>7431</v>
      </c>
      <c r="I1679" s="6" t="s">
        <v>9241</v>
      </c>
      <c r="J1679" s="6" t="s">
        <v>9799</v>
      </c>
      <c r="K1679" s="6" t="s">
        <v>10886</v>
      </c>
      <c r="L1679" s="16" t="n">
        <v>40449</v>
      </c>
      <c r="M1679" s="16" t="n">
        <v>45716</v>
      </c>
      <c r="N1679" s="6" t="s">
        <v>10886</v>
      </c>
      <c r="O1679" s="16" t="n">
        <v>40449</v>
      </c>
      <c r="P1679" s="6" t="s">
        <v>11136</v>
      </c>
      <c r="Q1679" s="6" t="s">
        <v>81</v>
      </c>
      <c r="R1679" s="6" t="s">
        <v>81</v>
      </c>
      <c r="S1679" s="6" t="s">
        <v>10886</v>
      </c>
      <c r="T1679" s="16" t="n">
        <v>40853</v>
      </c>
      <c r="U1679" s="6" t="s">
        <v>13169</v>
      </c>
      <c r="V1679" s="6" t="s">
        <v>81</v>
      </c>
      <c r="W1679" s="6" t="s">
        <v>81</v>
      </c>
      <c r="X1679" s="6" t="s">
        <v>81</v>
      </c>
      <c r="Y1679" s="21" t="s">
        <v>81</v>
      </c>
      <c r="Z1679" s="6" t="s">
        <v>81</v>
      </c>
      <c r="AA1679" s="6" t="s">
        <v>81</v>
      </c>
      <c r="AB1679" s="6" t="s">
        <v>81</v>
      </c>
      <c r="AC1679" s="6" t="s">
        <v>81</v>
      </c>
      <c r="AD1679" s="21" t="s">
        <v>81</v>
      </c>
      <c r="AE1679" s="6" t="s">
        <v>81</v>
      </c>
      <c r="AF1679" s="6" t="s">
        <v>81</v>
      </c>
      <c r="AG1679" s="6" t="s">
        <v>81</v>
      </c>
      <c r="AH1679" s="6" t="s">
        <v>16243</v>
      </c>
      <c r="AI1679" s="6" t="s">
        <v>81</v>
      </c>
      <c r="AJ1679" s="6" t="s">
        <v>17346</v>
      </c>
      <c r="AK1679" s="6" t="s">
        <v>17712</v>
      </c>
      <c r="AL1679" s="6" t="s">
        <v>18444</v>
      </c>
      <c r="AM1679" s="6" t="s">
        <v>18500</v>
      </c>
      <c r="AN1679" s="6" t="s">
        <v>19652</v>
      </c>
      <c r="AO1679" s="6" t="s">
        <v>19742</v>
      </c>
      <c r="AP1679" s="6" t="s">
        <v>16243</v>
      </c>
      <c r="AQ1679" s="6" t="s">
        <v>81</v>
      </c>
      <c r="AR1679" s="6" t="s">
        <v>17346</v>
      </c>
      <c r="AS1679" s="6" t="s">
        <v>17712</v>
      </c>
      <c r="AT1679" s="6" t="s">
        <v>18444</v>
      </c>
      <c r="AU1679" s="6" t="s">
        <v>18500</v>
      </c>
      <c r="AV1679" s="6" t="s">
        <v>81</v>
      </c>
      <c r="AW1679" s="6" t="s">
        <v>81</v>
      </c>
      <c r="AX1679" s="6" t="s">
        <v>81</v>
      </c>
      <c r="AY1679" s="6" t="s">
        <v>81</v>
      </c>
      <c r="AZ1679" s="6" t="s">
        <v>81</v>
      </c>
      <c r="BA1679" s="6" t="s">
        <v>81</v>
      </c>
      <c r="BB1679" s="24" t="n">
        <v>134</v>
      </c>
      <c r="BC1679" s="26"/>
      <c r="BD1679" s="26"/>
      <c r="BE1679" s="26"/>
      <c r="BF1679" s="26"/>
      <c r="BG1679" s="26"/>
      <c r="BH1679" s="26"/>
      <c r="BI1679" s="26"/>
      <c r="BJ1679" s="26"/>
      <c r="BK1679" s="26"/>
      <c r="BL1679" s="26"/>
      <c r="BM1679" s="26"/>
      <c r="BN1679" s="26"/>
      <c r="BO1679" s="26"/>
      <c r="BP1679" s="16" t="n">
        <v>45595</v>
      </c>
      <c r="BQ1679" s="28" t="str">
        <f>HYPERLINK("https://organic.ams.usda.gov/Integrity/Certificate.aspx?cid=57&amp;nopid=3252010064")</f>
        <v>https://organic.ams.usda.gov/Integrity/Certificate.aspx?cid=57&amp;nopid=3252010064</v>
      </c>
    </row>
    <row r="1680">
      <c r="A1680" t="s">
        <v>3</v>
      </c>
      <c r="B1680" s="6" t="s">
        <v>7</v>
      </c>
      <c r="C1680" s="6" t="s">
        <v>54</v>
      </c>
      <c r="D1680" s="6" t="s">
        <v>100</v>
      </c>
      <c r="E1680" s="10" t="s">
        <v>1821</v>
      </c>
      <c r="F1680" s="6" t="s">
        <v>4543</v>
      </c>
      <c r="G1680" s="6" t="s">
        <v>81</v>
      </c>
      <c r="H1680" s="6" t="s">
        <v>7432</v>
      </c>
      <c r="I1680" s="6" t="s">
        <v>9239</v>
      </c>
      <c r="J1680" s="6" t="s">
        <v>9672</v>
      </c>
      <c r="K1680" s="6" t="s">
        <v>10886</v>
      </c>
      <c r="L1680" s="16" t="n">
        <v>44834</v>
      </c>
      <c r="M1680" s="16" t="n">
        <v>45716</v>
      </c>
      <c r="N1680" s="6" t="s">
        <v>10886</v>
      </c>
      <c r="O1680" s="16" t="n">
        <v>44834</v>
      </c>
      <c r="P1680" s="6" t="s">
        <v>10910</v>
      </c>
      <c r="Q1680" s="6" t="s">
        <v>81</v>
      </c>
      <c r="R1680" s="6" t="s">
        <v>81</v>
      </c>
      <c r="S1680" s="6" t="s">
        <v>10886</v>
      </c>
      <c r="T1680" s="16" t="n">
        <v>44908</v>
      </c>
      <c r="U1680" s="6" t="s">
        <v>13160</v>
      </c>
      <c r="V1680" s="6" t="s">
        <v>81</v>
      </c>
      <c r="W1680" s="6" t="s">
        <v>81</v>
      </c>
      <c r="X1680" s="6" t="s">
        <v>81</v>
      </c>
      <c r="Y1680" s="21" t="s">
        <v>81</v>
      </c>
      <c r="Z1680" s="6" t="s">
        <v>81</v>
      </c>
      <c r="AA1680" s="6" t="s">
        <v>81</v>
      </c>
      <c r="AB1680" s="6" t="s">
        <v>81</v>
      </c>
      <c r="AC1680" s="6" t="s">
        <v>81</v>
      </c>
      <c r="AD1680" s="21" t="s">
        <v>81</v>
      </c>
      <c r="AE1680" s="6" t="s">
        <v>81</v>
      </c>
      <c r="AF1680" s="6" t="s">
        <v>81</v>
      </c>
      <c r="AG1680" s="6" t="s">
        <v>81</v>
      </c>
      <c r="AH1680" s="6" t="s">
        <v>16244</v>
      </c>
      <c r="AI1680" s="6" t="s">
        <v>81</v>
      </c>
      <c r="AJ1680" s="6" t="s">
        <v>18072</v>
      </c>
      <c r="AK1680" s="6" t="s">
        <v>17712</v>
      </c>
      <c r="AL1680" s="6" t="s">
        <v>18444</v>
      </c>
      <c r="AM1680" s="6" t="s">
        <v>19266</v>
      </c>
      <c r="AN1680" s="6" t="s">
        <v>19645</v>
      </c>
      <c r="AO1680" s="6" t="s">
        <v>19770</v>
      </c>
      <c r="AP1680" s="6" t="s">
        <v>16244</v>
      </c>
      <c r="AQ1680" s="6" t="s">
        <v>81</v>
      </c>
      <c r="AR1680" s="6" t="s">
        <v>18072</v>
      </c>
      <c r="AS1680" s="6" t="s">
        <v>17712</v>
      </c>
      <c r="AT1680" s="6" t="s">
        <v>18444</v>
      </c>
      <c r="AU1680" s="6" t="s">
        <v>19266</v>
      </c>
      <c r="AV1680" s="6" t="s">
        <v>81</v>
      </c>
      <c r="AW1680" s="6" t="s">
        <v>81</v>
      </c>
      <c r="AX1680" s="6" t="s">
        <v>21812</v>
      </c>
      <c r="AY1680" s="6" t="s">
        <v>81</v>
      </c>
      <c r="AZ1680" s="6" t="s">
        <v>81</v>
      </c>
      <c r="BA1680" s="6" t="s">
        <v>81</v>
      </c>
      <c r="BB1680" s="24" t="n">
        <v>83</v>
      </c>
      <c r="BC1680" s="26"/>
      <c r="BD1680" s="26"/>
      <c r="BE1680" s="26"/>
      <c r="BF1680" s="26" t="s">
        <v>23900</v>
      </c>
      <c r="BG1680" s="26"/>
      <c r="BH1680" s="26"/>
      <c r="BI1680" s="26"/>
      <c r="BJ1680" s="26"/>
      <c r="BK1680" s="26"/>
      <c r="BL1680" s="26"/>
      <c r="BM1680" s="26"/>
      <c r="BN1680" s="26"/>
      <c r="BO1680" s="26"/>
      <c r="BP1680" s="16" t="n">
        <v>45595</v>
      </c>
      <c r="BQ1680" s="28" t="str">
        <f>HYPERLINK("https://organic.ams.usda.gov/Integrity/Certificate.aspx?cid=57&amp;nopid=3252022096")</f>
        <v>https://organic.ams.usda.gov/Integrity/Certificate.aspx?cid=57&amp;nopid=3252022096</v>
      </c>
    </row>
    <row r="1681">
      <c r="A1681" t="s">
        <v>3</v>
      </c>
      <c r="B1681" s="6" t="s">
        <v>8</v>
      </c>
      <c r="C1681" s="6" t="s">
        <v>55</v>
      </c>
      <c r="D1681" s="6" t="s">
        <v>101</v>
      </c>
      <c r="E1681" s="10" t="s">
        <v>1822</v>
      </c>
      <c r="F1681" s="6" t="s">
        <v>4544</v>
      </c>
      <c r="G1681" s="6" t="s">
        <v>5746</v>
      </c>
      <c r="H1681" s="6" t="s">
        <v>7433</v>
      </c>
      <c r="I1681" s="6" t="s">
        <v>8987</v>
      </c>
      <c r="J1681" s="6" t="s">
        <v>10421</v>
      </c>
      <c r="K1681" s="6" t="s">
        <v>10886</v>
      </c>
      <c r="L1681" s="16" t="n">
        <v>45582</v>
      </c>
      <c r="M1681" s="16" t="n">
        <v>45748</v>
      </c>
      <c r="N1681" s="6" t="s">
        <v>10886</v>
      </c>
      <c r="O1681" s="16" t="n">
        <v>45582</v>
      </c>
      <c r="P1681" s="6" t="s">
        <v>11897</v>
      </c>
      <c r="Q1681" s="6" t="s">
        <v>81</v>
      </c>
      <c r="R1681" s="6" t="s">
        <v>7433</v>
      </c>
      <c r="S1681" s="6" t="s">
        <v>10886</v>
      </c>
      <c r="T1681" s="16" t="n">
        <v>45582</v>
      </c>
      <c r="U1681" s="6" t="s">
        <v>13179</v>
      </c>
      <c r="V1681" s="6" t="s">
        <v>81</v>
      </c>
      <c r="W1681" s="6" t="s">
        <v>7433</v>
      </c>
      <c r="X1681" s="6" t="s">
        <v>81</v>
      </c>
      <c r="Y1681" s="21" t="s">
        <v>81</v>
      </c>
      <c r="Z1681" s="6" t="s">
        <v>81</v>
      </c>
      <c r="AA1681" s="6" t="s">
        <v>81</v>
      </c>
      <c r="AB1681" s="6" t="s">
        <v>81</v>
      </c>
      <c r="AC1681" s="6" t="s">
        <v>81</v>
      </c>
      <c r="AD1681" s="21" t="s">
        <v>81</v>
      </c>
      <c r="AE1681" s="6" t="s">
        <v>81</v>
      </c>
      <c r="AF1681" s="6" t="s">
        <v>81</v>
      </c>
      <c r="AG1681" s="6" t="s">
        <v>81</v>
      </c>
      <c r="AH1681" s="6" t="s">
        <v>16245</v>
      </c>
      <c r="AI1681" s="6" t="s">
        <v>81</v>
      </c>
      <c r="AJ1681" s="6" t="s">
        <v>17764</v>
      </c>
      <c r="AK1681" s="6" t="s">
        <v>17712</v>
      </c>
      <c r="AL1681" s="6" t="s">
        <v>18444</v>
      </c>
      <c r="AM1681" s="6" t="s">
        <v>18937</v>
      </c>
      <c r="AN1681" s="6" t="s">
        <v>81</v>
      </c>
      <c r="AO1681" s="6" t="s">
        <v>81</v>
      </c>
      <c r="AP1681" s="6" t="s">
        <v>20309</v>
      </c>
      <c r="AQ1681" s="6" t="s">
        <v>81</v>
      </c>
      <c r="AR1681" s="6" t="s">
        <v>17764</v>
      </c>
      <c r="AS1681" s="6" t="s">
        <v>17712</v>
      </c>
      <c r="AT1681" s="6" t="s">
        <v>18444</v>
      </c>
      <c r="AU1681" s="6" t="s">
        <v>18937</v>
      </c>
      <c r="AV1681" s="6" t="s">
        <v>81</v>
      </c>
      <c r="AW1681" s="6" t="s">
        <v>81</v>
      </c>
      <c r="AX1681" s="6" t="s">
        <v>81</v>
      </c>
      <c r="AY1681" s="6" t="s">
        <v>23152</v>
      </c>
      <c r="AZ1681" s="6" t="s">
        <v>81</v>
      </c>
      <c r="BA1681" s="6" t="s">
        <v>23819</v>
      </c>
      <c r="BB1681" s="24" t="n">
        <v>296</v>
      </c>
      <c r="BC1681" s="26"/>
      <c r="BD1681" s="26"/>
      <c r="BE1681" s="26"/>
      <c r="BF1681" s="26" t="s">
        <v>23900</v>
      </c>
      <c r="BG1681" s="26"/>
      <c r="BH1681" s="26"/>
      <c r="BI1681" s="26"/>
      <c r="BJ1681" s="26"/>
      <c r="BK1681" s="26"/>
      <c r="BL1681" s="26"/>
      <c r="BM1681" s="26"/>
      <c r="BN1681" s="26"/>
      <c r="BO1681" s="26"/>
      <c r="BP1681" s="16" t="n">
        <v>45583</v>
      </c>
      <c r="BQ1681" s="28" t="str">
        <f>HYPERLINK("https://organic.ams.usda.gov/Integrity/Certificate.aspx?cid=45&amp;nopid=9950014158")</f>
        <v>https://organic.ams.usda.gov/Integrity/Certificate.aspx?cid=45&amp;nopid=9950014158</v>
      </c>
    </row>
    <row r="1682">
      <c r="A1682" t="s">
        <v>3</v>
      </c>
      <c r="B1682" s="6" t="s">
        <v>7</v>
      </c>
      <c r="C1682" s="6" t="s">
        <v>54</v>
      </c>
      <c r="D1682" s="6" t="s">
        <v>100</v>
      </c>
      <c r="E1682" s="10" t="s">
        <v>1823</v>
      </c>
      <c r="F1682" s="6" t="s">
        <v>4545</v>
      </c>
      <c r="G1682" s="6" t="s">
        <v>81</v>
      </c>
      <c r="H1682" s="6" t="s">
        <v>7434</v>
      </c>
      <c r="I1682" s="6" t="s">
        <v>8461</v>
      </c>
      <c r="J1682" s="6" t="s">
        <v>9923</v>
      </c>
      <c r="K1682" s="6" t="s">
        <v>10886</v>
      </c>
      <c r="L1682" s="16" t="n">
        <v>44042</v>
      </c>
      <c r="M1682" s="16" t="n">
        <v>45716</v>
      </c>
      <c r="N1682" s="6" t="s">
        <v>10886</v>
      </c>
      <c r="O1682" s="16" t="n">
        <v>44042</v>
      </c>
      <c r="P1682" s="6" t="s">
        <v>11898</v>
      </c>
      <c r="Q1682" s="6" t="s">
        <v>81</v>
      </c>
      <c r="R1682" s="6" t="s">
        <v>81</v>
      </c>
      <c r="S1682" s="6" t="s">
        <v>10886</v>
      </c>
      <c r="T1682" s="16" t="n">
        <v>44042</v>
      </c>
      <c r="U1682" s="6" t="s">
        <v>13169</v>
      </c>
      <c r="V1682" s="6" t="s">
        <v>81</v>
      </c>
      <c r="W1682" s="6" t="s">
        <v>81</v>
      </c>
      <c r="X1682" s="6" t="s">
        <v>81</v>
      </c>
      <c r="Y1682" s="21" t="s">
        <v>81</v>
      </c>
      <c r="Z1682" s="6" t="s">
        <v>81</v>
      </c>
      <c r="AA1682" s="6" t="s">
        <v>81</v>
      </c>
      <c r="AB1682" s="6" t="s">
        <v>81</v>
      </c>
      <c r="AC1682" s="6" t="s">
        <v>81</v>
      </c>
      <c r="AD1682" s="21" t="s">
        <v>81</v>
      </c>
      <c r="AE1682" s="6" t="s">
        <v>81</v>
      </c>
      <c r="AF1682" s="6" t="s">
        <v>81</v>
      </c>
      <c r="AG1682" s="6" t="s">
        <v>81</v>
      </c>
      <c r="AH1682" s="6" t="s">
        <v>16246</v>
      </c>
      <c r="AI1682" s="6" t="s">
        <v>81</v>
      </c>
      <c r="AJ1682" s="6" t="s">
        <v>18073</v>
      </c>
      <c r="AK1682" s="6" t="s">
        <v>18380</v>
      </c>
      <c r="AL1682" s="6" t="s">
        <v>18444</v>
      </c>
      <c r="AM1682" s="6" t="s">
        <v>19267</v>
      </c>
      <c r="AN1682" s="6" t="s">
        <v>6332</v>
      </c>
      <c r="AO1682" s="6" t="s">
        <v>19960</v>
      </c>
      <c r="AP1682" s="6" t="s">
        <v>16246</v>
      </c>
      <c r="AQ1682" s="6" t="s">
        <v>81</v>
      </c>
      <c r="AR1682" s="6" t="s">
        <v>18073</v>
      </c>
      <c r="AS1682" s="6" t="s">
        <v>18380</v>
      </c>
      <c r="AT1682" s="6" t="s">
        <v>18444</v>
      </c>
      <c r="AU1682" s="6" t="s">
        <v>19267</v>
      </c>
      <c r="AV1682" s="6" t="s">
        <v>81</v>
      </c>
      <c r="AW1682" s="6" t="s">
        <v>81</v>
      </c>
      <c r="AX1682" s="6" t="s">
        <v>21813</v>
      </c>
      <c r="AY1682" s="6" t="s">
        <v>81</v>
      </c>
      <c r="AZ1682" s="6" t="s">
        <v>81</v>
      </c>
      <c r="BA1682" s="6" t="s">
        <v>81</v>
      </c>
      <c r="BB1682" s="24" t="n">
        <v>114</v>
      </c>
      <c r="BC1682" s="26"/>
      <c r="BD1682" s="26"/>
      <c r="BE1682" s="26"/>
      <c r="BF1682" s="26" t="s">
        <v>23900</v>
      </c>
      <c r="BG1682" s="26"/>
      <c r="BH1682" s="26"/>
      <c r="BI1682" s="26"/>
      <c r="BJ1682" s="26"/>
      <c r="BK1682" s="26"/>
      <c r="BL1682" s="26"/>
      <c r="BM1682" s="26"/>
      <c r="BN1682" s="26"/>
      <c r="BO1682" s="26"/>
      <c r="BP1682" s="16" t="n">
        <v>45595</v>
      </c>
      <c r="BQ1682" s="28" t="str">
        <f>HYPERLINK("https://organic.ams.usda.gov/Integrity/Certificate.aspx?cid=57&amp;nopid=3252020043")</f>
        <v>https://organic.ams.usda.gov/Integrity/Certificate.aspx?cid=57&amp;nopid=3252020043</v>
      </c>
    </row>
    <row r="1683">
      <c r="A1683" t="s">
        <v>3</v>
      </c>
      <c r="B1683" s="6" t="s">
        <v>8</v>
      </c>
      <c r="C1683" s="6" t="s">
        <v>55</v>
      </c>
      <c r="D1683" s="6" t="s">
        <v>101</v>
      </c>
      <c r="E1683" s="10" t="s">
        <v>1824</v>
      </c>
      <c r="F1683" s="6" t="s">
        <v>4546</v>
      </c>
      <c r="G1683" s="6" t="s">
        <v>81</v>
      </c>
      <c r="H1683" s="6" t="s">
        <v>7435</v>
      </c>
      <c r="I1683" s="6" t="s">
        <v>9242</v>
      </c>
      <c r="J1683" s="6" t="s">
        <v>9669</v>
      </c>
      <c r="K1683" s="6" t="s">
        <v>10886</v>
      </c>
      <c r="L1683" s="16" t="n">
        <v>40052</v>
      </c>
      <c r="M1683" s="16" t="n">
        <v>45383</v>
      </c>
      <c r="N1683" s="6" t="s">
        <v>10886</v>
      </c>
      <c r="O1683" s="16" t="n">
        <v>40052</v>
      </c>
      <c r="P1683" s="6" t="s">
        <v>11899</v>
      </c>
      <c r="Q1683" s="6" t="s">
        <v>81</v>
      </c>
      <c r="R1683" s="6" t="s">
        <v>7435</v>
      </c>
      <c r="S1683" s="6" t="s">
        <v>10886</v>
      </c>
      <c r="T1683" s="16" t="n">
        <v>40052</v>
      </c>
      <c r="U1683" s="6" t="s">
        <v>13179</v>
      </c>
      <c r="V1683" s="6" t="s">
        <v>81</v>
      </c>
      <c r="W1683" s="6" t="s">
        <v>7435</v>
      </c>
      <c r="X1683" s="6" t="s">
        <v>81</v>
      </c>
      <c r="Y1683" s="21" t="s">
        <v>81</v>
      </c>
      <c r="Z1683" s="6" t="s">
        <v>81</v>
      </c>
      <c r="AA1683" s="6" t="s">
        <v>81</v>
      </c>
      <c r="AB1683" s="6" t="s">
        <v>81</v>
      </c>
      <c r="AC1683" s="6" t="s">
        <v>81</v>
      </c>
      <c r="AD1683" s="21" t="s">
        <v>81</v>
      </c>
      <c r="AE1683" s="6" t="s">
        <v>81</v>
      </c>
      <c r="AF1683" s="6" t="s">
        <v>81</v>
      </c>
      <c r="AG1683" s="6" t="s">
        <v>81</v>
      </c>
      <c r="AH1683" s="6" t="s">
        <v>16247</v>
      </c>
      <c r="AI1683" s="6" t="s">
        <v>81</v>
      </c>
      <c r="AJ1683" s="6" t="s">
        <v>17325</v>
      </c>
      <c r="AK1683" s="6" t="s">
        <v>18378</v>
      </c>
      <c r="AL1683" s="6" t="s">
        <v>18444</v>
      </c>
      <c r="AM1683" s="6" t="s">
        <v>18477</v>
      </c>
      <c r="AN1683" s="6" t="s">
        <v>6132</v>
      </c>
      <c r="AO1683" s="6" t="s">
        <v>19943</v>
      </c>
      <c r="AP1683" s="6" t="s">
        <v>81</v>
      </c>
      <c r="AQ1683" s="6" t="s">
        <v>81</v>
      </c>
      <c r="AR1683" s="6" t="s">
        <v>81</v>
      </c>
      <c r="AS1683" s="6" t="s">
        <v>81</v>
      </c>
      <c r="AT1683" s="6" t="s">
        <v>81</v>
      </c>
      <c r="AU1683" s="6" t="s">
        <v>81</v>
      </c>
      <c r="AV1683" s="6" t="s">
        <v>81</v>
      </c>
      <c r="AW1683" s="6" t="s">
        <v>81</v>
      </c>
      <c r="AX1683" s="6" t="s">
        <v>81</v>
      </c>
      <c r="AY1683" s="6" t="s">
        <v>81</v>
      </c>
      <c r="AZ1683" s="6" t="s">
        <v>81</v>
      </c>
      <c r="BA1683" s="6" t="s">
        <v>23819</v>
      </c>
      <c r="BB1683" s="24" t="n">
        <v>74</v>
      </c>
      <c r="BC1683" s="26"/>
      <c r="BD1683" s="26"/>
      <c r="BE1683" s="26"/>
      <c r="BF1683" s="26"/>
      <c r="BG1683" s="26"/>
      <c r="BH1683" s="26"/>
      <c r="BI1683" s="26"/>
      <c r="BJ1683" s="26"/>
      <c r="BK1683" s="26"/>
      <c r="BL1683" s="26"/>
      <c r="BM1683" s="26"/>
      <c r="BN1683" s="26"/>
      <c r="BO1683" s="26"/>
      <c r="BP1683" s="16" t="n">
        <v>45372</v>
      </c>
      <c r="BQ1683" s="28" t="str">
        <f>HYPERLINK("https://organic.ams.usda.gov/Integrity/Certificate.aspx?cid=45&amp;nopid=9950003615")</f>
        <v>https://organic.ams.usda.gov/Integrity/Certificate.aspx?cid=45&amp;nopid=9950003615</v>
      </c>
    </row>
    <row r="1684">
      <c r="A1684" t="s">
        <v>3</v>
      </c>
      <c r="B1684" s="6" t="s">
        <v>7</v>
      </c>
      <c r="C1684" s="6" t="s">
        <v>54</v>
      </c>
      <c r="D1684" s="6" t="s">
        <v>100</v>
      </c>
      <c r="E1684" s="10" t="s">
        <v>1825</v>
      </c>
      <c r="F1684" s="6" t="s">
        <v>4547</v>
      </c>
      <c r="G1684" s="6" t="s">
        <v>81</v>
      </c>
      <c r="H1684" s="6" t="s">
        <v>7436</v>
      </c>
      <c r="I1684" s="6" t="s">
        <v>9243</v>
      </c>
      <c r="J1684" s="6" t="s">
        <v>9669</v>
      </c>
      <c r="K1684" s="6" t="s">
        <v>10886</v>
      </c>
      <c r="L1684" s="16" t="n">
        <v>42635</v>
      </c>
      <c r="M1684" s="16" t="n">
        <v>45716</v>
      </c>
      <c r="N1684" s="6" t="s">
        <v>10886</v>
      </c>
      <c r="O1684" s="16" t="n">
        <v>42635</v>
      </c>
      <c r="P1684" s="6" t="s">
        <v>11208</v>
      </c>
      <c r="Q1684" s="6" t="s">
        <v>81</v>
      </c>
      <c r="R1684" s="6" t="s">
        <v>81</v>
      </c>
      <c r="S1684" s="6" t="s">
        <v>10886</v>
      </c>
      <c r="T1684" s="16" t="n">
        <v>42887</v>
      </c>
      <c r="U1684" s="6" t="s">
        <v>13169</v>
      </c>
      <c r="V1684" s="6" t="s">
        <v>81</v>
      </c>
      <c r="W1684" s="6" t="s">
        <v>81</v>
      </c>
      <c r="X1684" s="6" t="s">
        <v>81</v>
      </c>
      <c r="Y1684" s="21" t="s">
        <v>81</v>
      </c>
      <c r="Z1684" s="6" t="s">
        <v>81</v>
      </c>
      <c r="AA1684" s="6" t="s">
        <v>81</v>
      </c>
      <c r="AB1684" s="6" t="s">
        <v>81</v>
      </c>
      <c r="AC1684" s="6" t="s">
        <v>81</v>
      </c>
      <c r="AD1684" s="21" t="s">
        <v>81</v>
      </c>
      <c r="AE1684" s="6" t="s">
        <v>81</v>
      </c>
      <c r="AF1684" s="6" t="s">
        <v>81</v>
      </c>
      <c r="AG1684" s="6" t="s">
        <v>81</v>
      </c>
      <c r="AH1684" s="6" t="s">
        <v>16248</v>
      </c>
      <c r="AI1684" s="6" t="s">
        <v>81</v>
      </c>
      <c r="AJ1684" s="6" t="s">
        <v>17644</v>
      </c>
      <c r="AK1684" s="6" t="s">
        <v>17712</v>
      </c>
      <c r="AL1684" s="6" t="s">
        <v>18444</v>
      </c>
      <c r="AM1684" s="6" t="s">
        <v>18813</v>
      </c>
      <c r="AN1684" s="6" t="s">
        <v>19684</v>
      </c>
      <c r="AO1684" s="6" t="s">
        <v>19784</v>
      </c>
      <c r="AP1684" s="6" t="s">
        <v>16248</v>
      </c>
      <c r="AQ1684" s="6" t="s">
        <v>81</v>
      </c>
      <c r="AR1684" s="6" t="s">
        <v>17644</v>
      </c>
      <c r="AS1684" s="6" t="s">
        <v>17712</v>
      </c>
      <c r="AT1684" s="6" t="s">
        <v>18444</v>
      </c>
      <c r="AU1684" s="6" t="s">
        <v>18813</v>
      </c>
      <c r="AV1684" s="6" t="s">
        <v>81</v>
      </c>
      <c r="AW1684" s="6" t="s">
        <v>81</v>
      </c>
      <c r="AX1684" s="6" t="s">
        <v>81</v>
      </c>
      <c r="AY1684" s="6" t="s">
        <v>81</v>
      </c>
      <c r="AZ1684" s="6" t="s">
        <v>81</v>
      </c>
      <c r="BA1684" s="6" t="s">
        <v>81</v>
      </c>
      <c r="BB1684" s="24" t="n">
        <v>58</v>
      </c>
      <c r="BC1684" s="26"/>
      <c r="BD1684" s="26"/>
      <c r="BE1684" s="26"/>
      <c r="BF1684" s="26" t="s">
        <v>23900</v>
      </c>
      <c r="BG1684" s="26"/>
      <c r="BH1684" s="26"/>
      <c r="BI1684" s="26"/>
      <c r="BJ1684" s="26"/>
      <c r="BK1684" s="26"/>
      <c r="BL1684" s="26"/>
      <c r="BM1684" s="26"/>
      <c r="BN1684" s="26"/>
      <c r="BO1684" s="26"/>
      <c r="BP1684" s="16" t="n">
        <v>45595</v>
      </c>
      <c r="BQ1684" s="28" t="str">
        <f>HYPERLINK("https://organic.ams.usda.gov/Integrity/Certificate.aspx?cid=57&amp;nopid=3252016149")</f>
        <v>https://organic.ams.usda.gov/Integrity/Certificate.aspx?cid=57&amp;nopid=3252016149</v>
      </c>
    </row>
    <row r="1685">
      <c r="A1685" t="s">
        <v>3</v>
      </c>
      <c r="B1685" s="6" t="s">
        <v>8</v>
      </c>
      <c r="C1685" s="6" t="s">
        <v>55</v>
      </c>
      <c r="D1685" s="6" t="s">
        <v>101</v>
      </c>
      <c r="E1685" s="10" t="s">
        <v>1826</v>
      </c>
      <c r="F1685" s="6" t="s">
        <v>4548</v>
      </c>
      <c r="G1685" s="6" t="s">
        <v>81</v>
      </c>
      <c r="H1685" s="6" t="s">
        <v>7437</v>
      </c>
      <c r="I1685" s="6" t="s">
        <v>8513</v>
      </c>
      <c r="J1685" s="6" t="s">
        <v>9669</v>
      </c>
      <c r="K1685" s="6" t="s">
        <v>10886</v>
      </c>
      <c r="L1685" s="16" t="n">
        <v>42297</v>
      </c>
      <c r="M1685" s="16" t="n">
        <v>45748</v>
      </c>
      <c r="N1685" s="6" t="s">
        <v>10886</v>
      </c>
      <c r="O1685" s="16" t="n">
        <v>42297</v>
      </c>
      <c r="P1685" s="6" t="s">
        <v>11900</v>
      </c>
      <c r="Q1685" s="6" t="s">
        <v>81</v>
      </c>
      <c r="R1685" s="6" t="s">
        <v>7437</v>
      </c>
      <c r="S1685" s="6" t="s">
        <v>10886</v>
      </c>
      <c r="T1685" s="16" t="n">
        <v>42297</v>
      </c>
      <c r="U1685" s="6" t="s">
        <v>13173</v>
      </c>
      <c r="V1685" s="6" t="s">
        <v>81</v>
      </c>
      <c r="W1685" s="6" t="s">
        <v>7437</v>
      </c>
      <c r="X1685" s="6" t="s">
        <v>81</v>
      </c>
      <c r="Y1685" s="21" t="s">
        <v>81</v>
      </c>
      <c r="Z1685" s="6" t="s">
        <v>81</v>
      </c>
      <c r="AA1685" s="6" t="s">
        <v>81</v>
      </c>
      <c r="AB1685" s="6" t="s">
        <v>81</v>
      </c>
      <c r="AC1685" s="6" t="s">
        <v>81</v>
      </c>
      <c r="AD1685" s="21" t="s">
        <v>81</v>
      </c>
      <c r="AE1685" s="6" t="s">
        <v>81</v>
      </c>
      <c r="AF1685" s="6" t="s">
        <v>81</v>
      </c>
      <c r="AG1685" s="6" t="s">
        <v>81</v>
      </c>
      <c r="AH1685" s="6" t="s">
        <v>16249</v>
      </c>
      <c r="AI1685" s="6" t="s">
        <v>81</v>
      </c>
      <c r="AJ1685" s="6" t="s">
        <v>17641</v>
      </c>
      <c r="AK1685" s="6" t="s">
        <v>18377</v>
      </c>
      <c r="AL1685" s="6" t="s">
        <v>18444</v>
      </c>
      <c r="AM1685" s="6" t="s">
        <v>18810</v>
      </c>
      <c r="AN1685" s="6" t="s">
        <v>19646</v>
      </c>
      <c r="AO1685" s="6" t="s">
        <v>19733</v>
      </c>
      <c r="AP1685" s="6" t="s">
        <v>81</v>
      </c>
      <c r="AQ1685" s="6" t="s">
        <v>81</v>
      </c>
      <c r="AR1685" s="6" t="s">
        <v>81</v>
      </c>
      <c r="AS1685" s="6" t="s">
        <v>81</v>
      </c>
      <c r="AT1685" s="6" t="s">
        <v>81</v>
      </c>
      <c r="AU1685" s="6" t="s">
        <v>81</v>
      </c>
      <c r="AV1685" s="6" t="s">
        <v>81</v>
      </c>
      <c r="AW1685" s="6" t="s">
        <v>81</v>
      </c>
      <c r="AX1685" s="6" t="s">
        <v>21814</v>
      </c>
      <c r="AY1685" s="6" t="s">
        <v>81</v>
      </c>
      <c r="AZ1685" s="6" t="s">
        <v>81</v>
      </c>
      <c r="BA1685" s="6" t="s">
        <v>23819</v>
      </c>
      <c r="BB1685" s="24" t="n">
        <v>164</v>
      </c>
      <c r="BC1685" s="26"/>
      <c r="BD1685" s="26"/>
      <c r="BE1685" s="26"/>
      <c r="BF1685" s="26" t="s">
        <v>23900</v>
      </c>
      <c r="BG1685" s="26"/>
      <c r="BH1685" s="26"/>
      <c r="BI1685" s="26"/>
      <c r="BJ1685" s="26"/>
      <c r="BK1685" s="26"/>
      <c r="BL1685" s="26"/>
      <c r="BM1685" s="26"/>
      <c r="BN1685" s="26"/>
      <c r="BO1685" s="26"/>
      <c r="BP1685" s="16" t="n">
        <v>45481</v>
      </c>
      <c r="BQ1685" s="28" t="str">
        <f>HYPERLINK("https://organic.ams.usda.gov/Integrity/Certificate.aspx?cid=45&amp;nopid=9950008812")</f>
        <v>https://organic.ams.usda.gov/Integrity/Certificate.aspx?cid=45&amp;nopid=9950008812</v>
      </c>
    </row>
    <row r="1686">
      <c r="A1686" t="s">
        <v>3</v>
      </c>
      <c r="B1686" s="6" t="s">
        <v>7</v>
      </c>
      <c r="C1686" s="6" t="s">
        <v>54</v>
      </c>
      <c r="D1686" s="6" t="s">
        <v>100</v>
      </c>
      <c r="E1686" s="10" t="s">
        <v>1827</v>
      </c>
      <c r="F1686" s="6" t="s">
        <v>4548</v>
      </c>
      <c r="G1686" s="6" t="s">
        <v>81</v>
      </c>
      <c r="H1686" s="6" t="s">
        <v>7438</v>
      </c>
      <c r="I1686" s="6" t="s">
        <v>8887</v>
      </c>
      <c r="J1686" s="6" t="s">
        <v>9669</v>
      </c>
      <c r="K1686" s="6" t="s">
        <v>10886</v>
      </c>
      <c r="L1686" s="16" t="n">
        <v>44253</v>
      </c>
      <c r="M1686" s="16" t="n">
        <v>45716</v>
      </c>
      <c r="N1686" s="6" t="s">
        <v>10886</v>
      </c>
      <c r="O1686" s="16" t="n">
        <v>44253</v>
      </c>
      <c r="P1686" s="6" t="s">
        <v>11901</v>
      </c>
      <c r="Q1686" s="6" t="s">
        <v>81</v>
      </c>
      <c r="R1686" s="6" t="s">
        <v>81</v>
      </c>
      <c r="S1686" s="6" t="s">
        <v>10886</v>
      </c>
      <c r="T1686" s="16" t="n">
        <v>44253</v>
      </c>
      <c r="U1686" s="6" t="s">
        <v>13169</v>
      </c>
      <c r="V1686" s="6" t="s">
        <v>81</v>
      </c>
      <c r="W1686" s="6" t="s">
        <v>81</v>
      </c>
      <c r="X1686" s="6" t="s">
        <v>81</v>
      </c>
      <c r="Y1686" s="21" t="s">
        <v>81</v>
      </c>
      <c r="Z1686" s="6" t="s">
        <v>81</v>
      </c>
      <c r="AA1686" s="6" t="s">
        <v>81</v>
      </c>
      <c r="AB1686" s="6" t="s">
        <v>81</v>
      </c>
      <c r="AC1686" s="6" t="s">
        <v>81</v>
      </c>
      <c r="AD1686" s="21" t="s">
        <v>81</v>
      </c>
      <c r="AE1686" s="6" t="s">
        <v>81</v>
      </c>
      <c r="AF1686" s="6" t="s">
        <v>81</v>
      </c>
      <c r="AG1686" s="6" t="s">
        <v>81</v>
      </c>
      <c r="AH1686" s="6" t="s">
        <v>16250</v>
      </c>
      <c r="AI1686" s="6" t="s">
        <v>81</v>
      </c>
      <c r="AJ1686" s="6" t="s">
        <v>17482</v>
      </c>
      <c r="AK1686" s="6" t="s">
        <v>17712</v>
      </c>
      <c r="AL1686" s="6" t="s">
        <v>18444</v>
      </c>
      <c r="AM1686" s="6" t="s">
        <v>18590</v>
      </c>
      <c r="AN1686" s="6" t="s">
        <v>19670</v>
      </c>
      <c r="AO1686" s="6" t="s">
        <v>19782</v>
      </c>
      <c r="AP1686" s="6" t="s">
        <v>16250</v>
      </c>
      <c r="AQ1686" s="6" t="s">
        <v>81</v>
      </c>
      <c r="AR1686" s="6" t="s">
        <v>17482</v>
      </c>
      <c r="AS1686" s="6" t="s">
        <v>17712</v>
      </c>
      <c r="AT1686" s="6" t="s">
        <v>18444</v>
      </c>
      <c r="AU1686" s="6" t="s">
        <v>18590</v>
      </c>
      <c r="AV1686" s="6" t="s">
        <v>81</v>
      </c>
      <c r="AW1686" s="6" t="s">
        <v>81</v>
      </c>
      <c r="AX1686" s="6" t="s">
        <v>81</v>
      </c>
      <c r="AY1686" s="6" t="s">
        <v>81</v>
      </c>
      <c r="AZ1686" s="6" t="s">
        <v>81</v>
      </c>
      <c r="BA1686" s="6" t="s">
        <v>81</v>
      </c>
      <c r="BB1686" s="24" t="n">
        <v>158</v>
      </c>
      <c r="BC1686" s="26"/>
      <c r="BD1686" s="26"/>
      <c r="BE1686" s="26"/>
      <c r="BF1686" s="26" t="s">
        <v>23900</v>
      </c>
      <c r="BG1686" s="26"/>
      <c r="BH1686" s="26"/>
      <c r="BI1686" s="26"/>
      <c r="BJ1686" s="26"/>
      <c r="BK1686" s="26"/>
      <c r="BL1686" s="26"/>
      <c r="BM1686" s="26"/>
      <c r="BN1686" s="26"/>
      <c r="BO1686" s="26"/>
      <c r="BP1686" s="16" t="n">
        <v>45674</v>
      </c>
      <c r="BQ1686" s="28" t="str">
        <f>HYPERLINK("https://organic.ams.usda.gov/Integrity/Certificate.aspx?cid=57&amp;nopid=3252017130")</f>
        <v>https://organic.ams.usda.gov/Integrity/Certificate.aspx?cid=57&amp;nopid=3252017130</v>
      </c>
    </row>
    <row r="1687">
      <c r="A1687" t="s">
        <v>3</v>
      </c>
      <c r="B1687" s="6" t="s">
        <v>30</v>
      </c>
      <c r="C1687" s="6" t="s">
        <v>77</v>
      </c>
      <c r="D1687" s="6" t="s">
        <v>123</v>
      </c>
      <c r="E1687" s="10" t="s">
        <v>1828</v>
      </c>
      <c r="F1687" s="6" t="s">
        <v>4549</v>
      </c>
      <c r="G1687" s="6" t="s">
        <v>81</v>
      </c>
      <c r="H1687" s="6" t="s">
        <v>7439</v>
      </c>
      <c r="I1687" s="6" t="s">
        <v>9244</v>
      </c>
      <c r="J1687" s="6" t="s">
        <v>10422</v>
      </c>
      <c r="K1687" s="6" t="s">
        <v>10886</v>
      </c>
      <c r="L1687" s="16" t="n">
        <v>45425</v>
      </c>
      <c r="M1687" s="16" t="n">
        <v>45747</v>
      </c>
      <c r="N1687" s="6" t="s">
        <v>10886</v>
      </c>
      <c r="O1687" s="16" t="n">
        <v>45425</v>
      </c>
      <c r="P1687" s="6" t="s">
        <v>10907</v>
      </c>
      <c r="Q1687" s="6" t="s">
        <v>81</v>
      </c>
      <c r="R1687" s="6" t="s">
        <v>81</v>
      </c>
      <c r="S1687" s="6" t="s">
        <v>10886</v>
      </c>
      <c r="T1687" s="16" t="n">
        <v>45425</v>
      </c>
      <c r="U1687" s="6" t="s">
        <v>13685</v>
      </c>
      <c r="V1687" s="6" t="s">
        <v>81</v>
      </c>
      <c r="W1687" s="6" t="s">
        <v>81</v>
      </c>
      <c r="X1687" s="6" t="s">
        <v>81</v>
      </c>
      <c r="Y1687" s="21" t="s">
        <v>81</v>
      </c>
      <c r="Z1687" s="6" t="s">
        <v>81</v>
      </c>
      <c r="AA1687" s="6" t="s">
        <v>81</v>
      </c>
      <c r="AB1687" s="6" t="s">
        <v>81</v>
      </c>
      <c r="AC1687" s="6" t="s">
        <v>81</v>
      </c>
      <c r="AD1687" s="21" t="s">
        <v>81</v>
      </c>
      <c r="AE1687" s="6" t="s">
        <v>81</v>
      </c>
      <c r="AF1687" s="6" t="s">
        <v>81</v>
      </c>
      <c r="AG1687" s="6" t="s">
        <v>81</v>
      </c>
      <c r="AH1687" s="6" t="s">
        <v>16251</v>
      </c>
      <c r="AI1687" s="6" t="s">
        <v>81</v>
      </c>
      <c r="AJ1687" s="6" t="s">
        <v>18074</v>
      </c>
      <c r="AK1687" s="6" t="s">
        <v>18380</v>
      </c>
      <c r="AL1687" s="6" t="s">
        <v>18444</v>
      </c>
      <c r="AM1687" s="6" t="s">
        <v>19268</v>
      </c>
      <c r="AN1687" s="6" t="s">
        <v>81</v>
      </c>
      <c r="AO1687" s="6" t="s">
        <v>81</v>
      </c>
      <c r="AP1687" s="6" t="s">
        <v>16251</v>
      </c>
      <c r="AQ1687" s="6" t="s">
        <v>81</v>
      </c>
      <c r="AR1687" s="6" t="s">
        <v>18074</v>
      </c>
      <c r="AS1687" s="6" t="s">
        <v>18380</v>
      </c>
      <c r="AT1687" s="6" t="s">
        <v>18444</v>
      </c>
      <c r="AU1687" s="6" t="s">
        <v>19268</v>
      </c>
      <c r="AV1687" s="6" t="s">
        <v>81</v>
      </c>
      <c r="AW1687" s="6" t="s">
        <v>81</v>
      </c>
      <c r="AX1687" s="6" t="s">
        <v>21815</v>
      </c>
      <c r="AY1687" s="6" t="s">
        <v>23153</v>
      </c>
      <c r="AZ1687" s="6" t="s">
        <v>81</v>
      </c>
      <c r="BA1687" s="6" t="s">
        <v>81</v>
      </c>
      <c r="BB1687" s="24" t="n">
        <v>353</v>
      </c>
      <c r="BC1687" s="26"/>
      <c r="BD1687" s="26"/>
      <c r="BE1687" s="26"/>
      <c r="BF1687" s="26"/>
      <c r="BG1687" s="26"/>
      <c r="BH1687" s="26"/>
      <c r="BI1687" s="26"/>
      <c r="BJ1687" s="26"/>
      <c r="BK1687" s="26"/>
      <c r="BL1687" s="26"/>
      <c r="BM1687" s="26"/>
      <c r="BN1687" s="26"/>
      <c r="BO1687" s="26"/>
      <c r="BP1687" s="16" t="n">
        <v>45425</v>
      </c>
      <c r="BQ1687" s="28" t="str">
        <f>HYPERLINK("https://organic.ams.usda.gov/Integrity/Certificate.aspx?cid=70&amp;nopid=6432420320")</f>
        <v>https://organic.ams.usda.gov/Integrity/Certificate.aspx?cid=70&amp;nopid=6432420320</v>
      </c>
    </row>
    <row r="1688">
      <c r="A1688" t="s">
        <v>3</v>
      </c>
      <c r="B1688" s="6" t="s">
        <v>23</v>
      </c>
      <c r="C1688" s="6" t="s">
        <v>70</v>
      </c>
      <c r="D1688" s="6" t="s">
        <v>116</v>
      </c>
      <c r="E1688" s="10" t="s">
        <v>1829</v>
      </c>
      <c r="F1688" s="6" t="s">
        <v>4550</v>
      </c>
      <c r="G1688" s="6" t="s">
        <v>81</v>
      </c>
      <c r="H1688" s="6" t="s">
        <v>7440</v>
      </c>
      <c r="I1688" s="6" t="s">
        <v>9244</v>
      </c>
      <c r="J1688" s="6" t="s">
        <v>10423</v>
      </c>
      <c r="K1688" s="6" t="s">
        <v>10886</v>
      </c>
      <c r="L1688" s="16" t="n">
        <v>43396</v>
      </c>
      <c r="M1688" s="16" t="n">
        <v>45861</v>
      </c>
      <c r="N1688" s="6" t="s">
        <v>10886</v>
      </c>
      <c r="O1688" s="16" t="n">
        <v>43396</v>
      </c>
      <c r="P1688" s="6" t="s">
        <v>11902</v>
      </c>
      <c r="Q1688" s="6" t="s">
        <v>81</v>
      </c>
      <c r="R1688" s="6" t="s">
        <v>12899</v>
      </c>
      <c r="S1688" s="6" t="s">
        <v>10886</v>
      </c>
      <c r="T1688" s="16" t="n">
        <v>43396</v>
      </c>
      <c r="U1688" s="6" t="s">
        <v>13298</v>
      </c>
      <c r="V1688" s="6" t="s">
        <v>81</v>
      </c>
      <c r="W1688" s="6" t="s">
        <v>12899</v>
      </c>
      <c r="X1688" s="6" t="s">
        <v>81</v>
      </c>
      <c r="Y1688" s="21" t="s">
        <v>81</v>
      </c>
      <c r="Z1688" s="6" t="s">
        <v>81</v>
      </c>
      <c r="AA1688" s="6" t="s">
        <v>81</v>
      </c>
      <c r="AB1688" s="6" t="s">
        <v>81</v>
      </c>
      <c r="AC1688" s="6" t="s">
        <v>81</v>
      </c>
      <c r="AD1688" s="21" t="s">
        <v>81</v>
      </c>
      <c r="AE1688" s="6" t="s">
        <v>81</v>
      </c>
      <c r="AF1688" s="6" t="s">
        <v>81</v>
      </c>
      <c r="AG1688" s="6" t="s">
        <v>81</v>
      </c>
      <c r="AH1688" s="6" t="s">
        <v>81</v>
      </c>
      <c r="AI1688" s="6" t="s">
        <v>81</v>
      </c>
      <c r="AJ1688" s="6" t="s">
        <v>81</v>
      </c>
      <c r="AK1688" s="6" t="s">
        <v>81</v>
      </c>
      <c r="AL1688" s="6" t="s">
        <v>81</v>
      </c>
      <c r="AM1688" s="6" t="s">
        <v>81</v>
      </c>
      <c r="AN1688" s="6" t="s">
        <v>81</v>
      </c>
      <c r="AO1688" s="6" t="s">
        <v>81</v>
      </c>
      <c r="AP1688" s="6" t="s">
        <v>20310</v>
      </c>
      <c r="AQ1688" s="6" t="s">
        <v>81</v>
      </c>
      <c r="AR1688" s="6" t="s">
        <v>17506</v>
      </c>
      <c r="AS1688" s="6" t="s">
        <v>18386</v>
      </c>
      <c r="AT1688" s="6" t="s">
        <v>18444</v>
      </c>
      <c r="AU1688" s="6" t="s">
        <v>18667</v>
      </c>
      <c r="AV1688" s="6" t="s">
        <v>19651</v>
      </c>
      <c r="AW1688" s="6" t="s">
        <v>19864</v>
      </c>
      <c r="AX1688" s="6" t="s">
        <v>21816</v>
      </c>
      <c r="AY1688" s="6" t="s">
        <v>23154</v>
      </c>
      <c r="AZ1688" s="6" t="s">
        <v>81</v>
      </c>
      <c r="BA1688" s="6" t="s">
        <v>81</v>
      </c>
      <c r="BB1688" s="24" t="n">
        <v>97</v>
      </c>
      <c r="BC1688" s="26"/>
      <c r="BD1688" s="26"/>
      <c r="BE1688" s="26"/>
      <c r="BF1688" s="26"/>
      <c r="BG1688" s="26"/>
      <c r="BH1688" s="26"/>
      <c r="BI1688" s="26"/>
      <c r="BJ1688" s="26"/>
      <c r="BK1688" s="26"/>
      <c r="BL1688" s="26"/>
      <c r="BM1688" s="26"/>
      <c r="BN1688" s="26"/>
      <c r="BO1688" s="26"/>
      <c r="BP1688" s="16" t="n">
        <v>45482</v>
      </c>
      <c r="BQ1688" s="28" t="str">
        <f>HYPERLINK("https://organic.ams.usda.gov/Integrity/Certificate.aspx?cid=63&amp;nopid=6220007860")</f>
        <v>https://organic.ams.usda.gov/Integrity/Certificate.aspx?cid=63&amp;nopid=6220007860</v>
      </c>
    </row>
    <row r="1689">
      <c r="A1689" t="s">
        <v>3</v>
      </c>
      <c r="B1689" s="6" t="s">
        <v>7</v>
      </c>
      <c r="C1689" s="6" t="s">
        <v>54</v>
      </c>
      <c r="D1689" s="6" t="s">
        <v>100</v>
      </c>
      <c r="E1689" s="10" t="s">
        <v>1830</v>
      </c>
      <c r="F1689" s="6" t="s">
        <v>4551</v>
      </c>
      <c r="G1689" s="6" t="s">
        <v>81</v>
      </c>
      <c r="H1689" s="6" t="s">
        <v>7441</v>
      </c>
      <c r="I1689" s="6" t="s">
        <v>9244</v>
      </c>
      <c r="J1689" s="6" t="s">
        <v>10424</v>
      </c>
      <c r="K1689" s="6" t="s">
        <v>10886</v>
      </c>
      <c r="L1689" s="16" t="n">
        <v>41485</v>
      </c>
      <c r="M1689" s="16" t="n">
        <v>45716</v>
      </c>
      <c r="N1689" s="6" t="s">
        <v>10886</v>
      </c>
      <c r="O1689" s="16" t="n">
        <v>41485</v>
      </c>
      <c r="P1689" s="6" t="s">
        <v>11903</v>
      </c>
      <c r="Q1689" s="6" t="s">
        <v>81</v>
      </c>
      <c r="R1689" s="6" t="s">
        <v>81</v>
      </c>
      <c r="S1689" s="6" t="s">
        <v>10886</v>
      </c>
      <c r="T1689" s="16" t="n">
        <v>42296</v>
      </c>
      <c r="U1689" s="6" t="s">
        <v>13169</v>
      </c>
      <c r="V1689" s="6" t="s">
        <v>81</v>
      </c>
      <c r="W1689" s="6" t="s">
        <v>81</v>
      </c>
      <c r="X1689" s="6" t="s">
        <v>81</v>
      </c>
      <c r="Y1689" s="21" t="s">
        <v>81</v>
      </c>
      <c r="Z1689" s="6" t="s">
        <v>81</v>
      </c>
      <c r="AA1689" s="6" t="s">
        <v>81</v>
      </c>
      <c r="AB1689" s="6" t="s">
        <v>81</v>
      </c>
      <c r="AC1689" s="6" t="s">
        <v>81</v>
      </c>
      <c r="AD1689" s="21" t="s">
        <v>81</v>
      </c>
      <c r="AE1689" s="6" t="s">
        <v>81</v>
      </c>
      <c r="AF1689" s="6" t="s">
        <v>81</v>
      </c>
      <c r="AG1689" s="6" t="s">
        <v>81</v>
      </c>
      <c r="AH1689" s="6" t="s">
        <v>16252</v>
      </c>
      <c r="AI1689" s="6" t="s">
        <v>81</v>
      </c>
      <c r="AJ1689" s="6" t="s">
        <v>17556</v>
      </c>
      <c r="AK1689" s="6" t="s">
        <v>17712</v>
      </c>
      <c r="AL1689" s="6" t="s">
        <v>18444</v>
      </c>
      <c r="AM1689" s="6" t="s">
        <v>18719</v>
      </c>
      <c r="AN1689" s="6" t="s">
        <v>6842</v>
      </c>
      <c r="AO1689" s="6" t="s">
        <v>19815</v>
      </c>
      <c r="AP1689" s="6" t="s">
        <v>16252</v>
      </c>
      <c r="AQ1689" s="6" t="s">
        <v>81</v>
      </c>
      <c r="AR1689" s="6" t="s">
        <v>17556</v>
      </c>
      <c r="AS1689" s="6" t="s">
        <v>17712</v>
      </c>
      <c r="AT1689" s="6" t="s">
        <v>18444</v>
      </c>
      <c r="AU1689" s="6" t="s">
        <v>18719</v>
      </c>
      <c r="AV1689" s="6" t="s">
        <v>81</v>
      </c>
      <c r="AW1689" s="6" t="s">
        <v>81</v>
      </c>
      <c r="AX1689" s="6" t="s">
        <v>21817</v>
      </c>
      <c r="AY1689" s="6" t="s">
        <v>81</v>
      </c>
      <c r="AZ1689" s="6" t="s">
        <v>81</v>
      </c>
      <c r="BA1689" s="6" t="s">
        <v>81</v>
      </c>
      <c r="BB1689" s="24" t="n">
        <v>408</v>
      </c>
      <c r="BC1689" s="26"/>
      <c r="BD1689" s="26"/>
      <c r="BE1689" s="26"/>
      <c r="BF1689" s="26" t="s">
        <v>23900</v>
      </c>
      <c r="BG1689" s="26"/>
      <c r="BH1689" s="26"/>
      <c r="BI1689" s="26"/>
      <c r="BJ1689" s="26"/>
      <c r="BK1689" s="26"/>
      <c r="BL1689" s="26"/>
      <c r="BM1689" s="26"/>
      <c r="BN1689" s="26"/>
      <c r="BO1689" s="26"/>
      <c r="BP1689" s="16" t="n">
        <v>45688</v>
      </c>
      <c r="BQ1689" s="28" t="str">
        <f>HYPERLINK("https://organic.ams.usda.gov/Integrity/Certificate.aspx?cid=57&amp;nopid=3252013019")</f>
        <v>https://organic.ams.usda.gov/Integrity/Certificate.aspx?cid=57&amp;nopid=3252013019</v>
      </c>
    </row>
    <row r="1690">
      <c r="A1690" t="s">
        <v>3</v>
      </c>
      <c r="B1690" s="6" t="s">
        <v>10</v>
      </c>
      <c r="C1690" s="6" t="s">
        <v>57</v>
      </c>
      <c r="D1690" s="6" t="s">
        <v>103</v>
      </c>
      <c r="E1690" s="10" t="s">
        <v>1831</v>
      </c>
      <c r="F1690" s="6" t="s">
        <v>4552</v>
      </c>
      <c r="G1690" s="6" t="s">
        <v>81</v>
      </c>
      <c r="H1690" s="6" t="s">
        <v>7442</v>
      </c>
      <c r="I1690" s="6" t="s">
        <v>9245</v>
      </c>
      <c r="J1690" s="6" t="s">
        <v>10425</v>
      </c>
      <c r="K1690" s="6" t="s">
        <v>10886</v>
      </c>
      <c r="L1690" s="16" t="n">
        <v>42928</v>
      </c>
      <c r="M1690" s="16" t="n">
        <v>45748</v>
      </c>
      <c r="N1690" s="6" t="s">
        <v>10886</v>
      </c>
      <c r="O1690" s="16" t="n">
        <v>44650</v>
      </c>
      <c r="P1690" s="6" t="s">
        <v>11021</v>
      </c>
      <c r="Q1690" s="6" t="s">
        <v>81</v>
      </c>
      <c r="R1690" s="6" t="s">
        <v>12900</v>
      </c>
      <c r="S1690" s="6" t="s">
        <v>10886</v>
      </c>
      <c r="T1690" s="16" t="n">
        <v>44650</v>
      </c>
      <c r="U1690" s="6" t="s">
        <v>13163</v>
      </c>
      <c r="V1690" s="6" t="s">
        <v>81</v>
      </c>
      <c r="W1690" s="6" t="s">
        <v>81</v>
      </c>
      <c r="X1690" s="6" t="s">
        <v>81</v>
      </c>
      <c r="Y1690" s="21" t="s">
        <v>81</v>
      </c>
      <c r="Z1690" s="6" t="s">
        <v>81</v>
      </c>
      <c r="AA1690" s="6" t="s">
        <v>81</v>
      </c>
      <c r="AB1690" s="6" t="s">
        <v>81</v>
      </c>
      <c r="AC1690" s="6" t="s">
        <v>81</v>
      </c>
      <c r="AD1690" s="21" t="s">
        <v>81</v>
      </c>
      <c r="AE1690" s="6" t="s">
        <v>81</v>
      </c>
      <c r="AF1690" s="6" t="s">
        <v>81</v>
      </c>
      <c r="AG1690" s="6" t="s">
        <v>81</v>
      </c>
      <c r="AH1690" s="6" t="s">
        <v>16253</v>
      </c>
      <c r="AI1690" s="6" t="s">
        <v>81</v>
      </c>
      <c r="AJ1690" s="6" t="s">
        <v>18075</v>
      </c>
      <c r="AK1690" s="6" t="s">
        <v>18391</v>
      </c>
      <c r="AL1690" s="6" t="s">
        <v>18444</v>
      </c>
      <c r="AM1690" s="6" t="s">
        <v>19269</v>
      </c>
      <c r="AN1690" s="6" t="s">
        <v>19645</v>
      </c>
      <c r="AO1690" s="6" t="s">
        <v>20012</v>
      </c>
      <c r="AP1690" s="6" t="s">
        <v>16253</v>
      </c>
      <c r="AQ1690" s="6" t="s">
        <v>81</v>
      </c>
      <c r="AR1690" s="6" t="s">
        <v>18075</v>
      </c>
      <c r="AS1690" s="6" t="s">
        <v>18391</v>
      </c>
      <c r="AT1690" s="6" t="s">
        <v>18444</v>
      </c>
      <c r="AU1690" s="6" t="s">
        <v>19269</v>
      </c>
      <c r="AV1690" s="6" t="s">
        <v>81</v>
      </c>
      <c r="AW1690" s="6" t="s">
        <v>81</v>
      </c>
      <c r="AX1690" s="6" t="s">
        <v>21818</v>
      </c>
      <c r="AY1690" s="6" t="s">
        <v>23155</v>
      </c>
      <c r="AZ1690" s="6" t="s">
        <v>81</v>
      </c>
      <c r="BA1690" s="6" t="s">
        <v>81</v>
      </c>
      <c r="BB1690" s="24" t="n">
        <v>288</v>
      </c>
      <c r="BC1690" s="26"/>
      <c r="BD1690" s="26"/>
      <c r="BE1690" s="26"/>
      <c r="BF1690" s="26"/>
      <c r="BG1690" s="26"/>
      <c r="BH1690" s="26"/>
      <c r="BI1690" s="26"/>
      <c r="BJ1690" s="26"/>
      <c r="BK1690" s="26"/>
      <c r="BL1690" s="26"/>
      <c r="BM1690" s="26"/>
      <c r="BN1690" s="26"/>
      <c r="BO1690" s="26"/>
      <c r="BP1690" s="16" t="n">
        <v>45730</v>
      </c>
      <c r="BQ1690" s="28" t="str">
        <f>HYPERLINK("https://organic.ams.usda.gov/Integrity/Certificate.aspx?cid=90&amp;nopid=7170220479")</f>
        <v>https://organic.ams.usda.gov/Integrity/Certificate.aspx?cid=90&amp;nopid=7170220479</v>
      </c>
    </row>
    <row r="1691">
      <c r="A1691" t="s">
        <v>3</v>
      </c>
      <c r="B1691" s="6" t="s">
        <v>7</v>
      </c>
      <c r="C1691" s="6" t="s">
        <v>54</v>
      </c>
      <c r="D1691" s="6" t="s">
        <v>100</v>
      </c>
      <c r="E1691" s="10" t="s">
        <v>1832</v>
      </c>
      <c r="F1691" s="6" t="s">
        <v>4553</v>
      </c>
      <c r="G1691" s="6" t="s">
        <v>81</v>
      </c>
      <c r="H1691" s="6" t="s">
        <v>7443</v>
      </c>
      <c r="I1691" s="6" t="s">
        <v>9007</v>
      </c>
      <c r="J1691" s="6" t="s">
        <v>10426</v>
      </c>
      <c r="K1691" s="6" t="s">
        <v>10886</v>
      </c>
      <c r="L1691" s="16" t="n">
        <v>44753</v>
      </c>
      <c r="M1691" s="16" t="n">
        <v>45716</v>
      </c>
      <c r="N1691" s="6" t="s">
        <v>10886</v>
      </c>
      <c r="O1691" s="16" t="n">
        <v>44753</v>
      </c>
      <c r="P1691" s="6" t="s">
        <v>10925</v>
      </c>
      <c r="Q1691" s="6" t="s">
        <v>81</v>
      </c>
      <c r="R1691" s="6" t="s">
        <v>81</v>
      </c>
      <c r="S1691" s="6" t="s">
        <v>10886</v>
      </c>
      <c r="T1691" s="16" t="n">
        <v>44784</v>
      </c>
      <c r="U1691" s="6" t="s">
        <v>13686</v>
      </c>
      <c r="V1691" s="6" t="s">
        <v>81</v>
      </c>
      <c r="W1691" s="6" t="s">
        <v>81</v>
      </c>
      <c r="X1691" s="6" t="s">
        <v>81</v>
      </c>
      <c r="Y1691" s="21" t="s">
        <v>81</v>
      </c>
      <c r="Z1691" s="6" t="s">
        <v>81</v>
      </c>
      <c r="AA1691" s="6" t="s">
        <v>81</v>
      </c>
      <c r="AB1691" s="6" t="s">
        <v>81</v>
      </c>
      <c r="AC1691" s="6" t="s">
        <v>81</v>
      </c>
      <c r="AD1691" s="21" t="s">
        <v>81</v>
      </c>
      <c r="AE1691" s="6" t="s">
        <v>81</v>
      </c>
      <c r="AF1691" s="6" t="s">
        <v>81</v>
      </c>
      <c r="AG1691" s="6" t="s">
        <v>81</v>
      </c>
      <c r="AH1691" s="6" t="s">
        <v>16254</v>
      </c>
      <c r="AI1691" s="6" t="s">
        <v>81</v>
      </c>
      <c r="AJ1691" s="6" t="s">
        <v>17796</v>
      </c>
      <c r="AK1691" s="6" t="s">
        <v>17712</v>
      </c>
      <c r="AL1691" s="6" t="s">
        <v>18444</v>
      </c>
      <c r="AM1691" s="6" t="s">
        <v>18973</v>
      </c>
      <c r="AN1691" s="6" t="s">
        <v>7195</v>
      </c>
      <c r="AO1691" s="6" t="s">
        <v>19735</v>
      </c>
      <c r="AP1691" s="6" t="s">
        <v>20311</v>
      </c>
      <c r="AQ1691" s="6" t="s">
        <v>81</v>
      </c>
      <c r="AR1691" s="6" t="s">
        <v>20547</v>
      </c>
      <c r="AS1691" s="6" t="s">
        <v>18383</v>
      </c>
      <c r="AT1691" s="6" t="s">
        <v>18444</v>
      </c>
      <c r="AU1691" s="6" t="s">
        <v>20675</v>
      </c>
      <c r="AV1691" s="6" t="s">
        <v>81</v>
      </c>
      <c r="AW1691" s="6" t="s">
        <v>81</v>
      </c>
      <c r="AX1691" s="6" t="s">
        <v>21819</v>
      </c>
      <c r="AY1691" s="6" t="s">
        <v>23156</v>
      </c>
      <c r="AZ1691" s="6" t="s">
        <v>81</v>
      </c>
      <c r="BA1691" s="6" t="s">
        <v>81</v>
      </c>
      <c r="BB1691" s="24" t="n">
        <v>1185</v>
      </c>
      <c r="BC1691" s="26"/>
      <c r="BD1691" s="26"/>
      <c r="BE1691" s="26"/>
      <c r="BF1691" s="26" t="s">
        <v>23900</v>
      </c>
      <c r="BG1691" s="26"/>
      <c r="BH1691" s="26"/>
      <c r="BI1691" s="26"/>
      <c r="BJ1691" s="26"/>
      <c r="BK1691" s="26"/>
      <c r="BL1691" s="26"/>
      <c r="BM1691" s="26"/>
      <c r="BN1691" s="26"/>
      <c r="BO1691" s="26"/>
      <c r="BP1691" s="16" t="n">
        <v>45595</v>
      </c>
      <c r="BQ1691" s="28" t="str">
        <f>HYPERLINK("https://organic.ams.usda.gov/Integrity/Certificate.aspx?cid=57&amp;nopid=3253155668")</f>
        <v>https://organic.ams.usda.gov/Integrity/Certificate.aspx?cid=57&amp;nopid=3253155668</v>
      </c>
    </row>
    <row r="1692">
      <c r="A1692" t="s">
        <v>3</v>
      </c>
      <c r="B1692" s="6" t="s">
        <v>12</v>
      </c>
      <c r="C1692" s="6" t="s">
        <v>59</v>
      </c>
      <c r="D1692" s="6" t="s">
        <v>105</v>
      </c>
      <c r="E1692" s="10" t="s">
        <v>1833</v>
      </c>
      <c r="F1692" s="6" t="s">
        <v>4554</v>
      </c>
      <c r="G1692" s="6" t="s">
        <v>81</v>
      </c>
      <c r="H1692" s="6" t="s">
        <v>7444</v>
      </c>
      <c r="I1692" s="6" t="s">
        <v>9246</v>
      </c>
      <c r="J1692" s="6" t="s">
        <v>10427</v>
      </c>
      <c r="K1692" s="6" t="s">
        <v>10886</v>
      </c>
      <c r="L1692" s="16" t="n">
        <v>39360</v>
      </c>
      <c r="M1692" s="16" t="n">
        <v>45717</v>
      </c>
      <c r="N1692" s="6" t="s">
        <v>10886</v>
      </c>
      <c r="O1692" s="16" t="n">
        <v>39360</v>
      </c>
      <c r="P1692" s="6" t="s">
        <v>11629</v>
      </c>
      <c r="Q1692" s="6" t="s">
        <v>81</v>
      </c>
      <c r="R1692" s="6" t="s">
        <v>81</v>
      </c>
      <c r="S1692" s="6" t="s">
        <v>10886</v>
      </c>
      <c r="T1692" s="16" t="n">
        <v>39360</v>
      </c>
      <c r="U1692" s="6" t="s">
        <v>13170</v>
      </c>
      <c r="V1692" s="6" t="s">
        <v>81</v>
      </c>
      <c r="W1692" s="6" t="s">
        <v>81</v>
      </c>
      <c r="X1692" s="6" t="s">
        <v>81</v>
      </c>
      <c r="Y1692" s="21" t="s">
        <v>81</v>
      </c>
      <c r="Z1692" s="6" t="s">
        <v>81</v>
      </c>
      <c r="AA1692" s="6" t="s">
        <v>81</v>
      </c>
      <c r="AB1692" s="6" t="s">
        <v>81</v>
      </c>
      <c r="AC1692" s="6" t="s">
        <v>81</v>
      </c>
      <c r="AD1692" s="21" t="s">
        <v>81</v>
      </c>
      <c r="AE1692" s="6" t="s">
        <v>81</v>
      </c>
      <c r="AF1692" s="6" t="s">
        <v>81</v>
      </c>
      <c r="AG1692" s="6" t="s">
        <v>81</v>
      </c>
      <c r="AH1692" s="6" t="s">
        <v>16255</v>
      </c>
      <c r="AI1692" s="6" t="s">
        <v>81</v>
      </c>
      <c r="AJ1692" s="6" t="s">
        <v>8987</v>
      </c>
      <c r="AK1692" s="6" t="s">
        <v>17712</v>
      </c>
      <c r="AL1692" s="6" t="s">
        <v>18444</v>
      </c>
      <c r="AM1692" s="6" t="s">
        <v>19270</v>
      </c>
      <c r="AN1692" s="6" t="s">
        <v>7450</v>
      </c>
      <c r="AO1692" s="6" t="s">
        <v>19897</v>
      </c>
      <c r="AP1692" s="6" t="s">
        <v>20312</v>
      </c>
      <c r="AQ1692" s="6" t="s">
        <v>81</v>
      </c>
      <c r="AR1692" s="6" t="s">
        <v>8987</v>
      </c>
      <c r="AS1692" s="6" t="s">
        <v>17712</v>
      </c>
      <c r="AT1692" s="6" t="s">
        <v>18444</v>
      </c>
      <c r="AU1692" s="6" t="s">
        <v>19270</v>
      </c>
      <c r="AV1692" s="6" t="s">
        <v>81</v>
      </c>
      <c r="AW1692" s="6" t="s">
        <v>81</v>
      </c>
      <c r="AX1692" s="6" t="s">
        <v>21820</v>
      </c>
      <c r="AY1692" s="6" t="s">
        <v>23157</v>
      </c>
      <c r="AZ1692" s="6" t="s">
        <v>81</v>
      </c>
      <c r="BA1692" s="6" t="s">
        <v>81</v>
      </c>
      <c r="BB1692" s="24" t="n">
        <v>685</v>
      </c>
      <c r="BC1692" s="26"/>
      <c r="BD1692" s="26"/>
      <c r="BE1692" s="26"/>
      <c r="BF1692" s="26"/>
      <c r="BG1692" s="26"/>
      <c r="BH1692" s="26"/>
      <c r="BI1692" s="26"/>
      <c r="BJ1692" s="26"/>
      <c r="BK1692" s="26"/>
      <c r="BL1692" s="26"/>
      <c r="BM1692" s="26"/>
      <c r="BN1692" s="26"/>
      <c r="BO1692" s="26"/>
      <c r="BP1692" s="16" t="n">
        <v>45722</v>
      </c>
      <c r="BQ1692" s="28" t="str">
        <f>HYPERLINK("https://organic.ams.usda.gov/Integrity/Certificate.aspx?cid=68&amp;nopid=8210001082")</f>
        <v>https://organic.ams.usda.gov/Integrity/Certificate.aspx?cid=68&amp;nopid=8210001082</v>
      </c>
    </row>
    <row r="1693">
      <c r="A1693" t="s">
        <v>3</v>
      </c>
      <c r="B1693" s="6" t="s">
        <v>12</v>
      </c>
      <c r="C1693" s="6" t="s">
        <v>59</v>
      </c>
      <c r="D1693" s="6" t="s">
        <v>105</v>
      </c>
      <c r="E1693" s="10" t="s">
        <v>1834</v>
      </c>
      <c r="F1693" s="6" t="s">
        <v>4555</v>
      </c>
      <c r="G1693" s="6" t="s">
        <v>81</v>
      </c>
      <c r="H1693" s="6" t="s">
        <v>7445</v>
      </c>
      <c r="I1693" s="6" t="s">
        <v>9247</v>
      </c>
      <c r="J1693" s="6" t="s">
        <v>10428</v>
      </c>
      <c r="K1693" s="6" t="s">
        <v>10886</v>
      </c>
      <c r="L1693" s="16" t="n">
        <v>41880</v>
      </c>
      <c r="M1693" s="16" t="n">
        <v>45717</v>
      </c>
      <c r="N1693" s="6" t="s">
        <v>10886</v>
      </c>
      <c r="O1693" s="16" t="n">
        <v>41880</v>
      </c>
      <c r="P1693" s="6" t="s">
        <v>10997</v>
      </c>
      <c r="Q1693" s="6" t="s">
        <v>81</v>
      </c>
      <c r="R1693" s="6" t="s">
        <v>81</v>
      </c>
      <c r="S1693" s="6" t="s">
        <v>10886</v>
      </c>
      <c r="T1693" s="16" t="n">
        <v>41880</v>
      </c>
      <c r="U1693" s="6" t="s">
        <v>13183</v>
      </c>
      <c r="V1693" s="6" t="s">
        <v>81</v>
      </c>
      <c r="W1693" s="6" t="s">
        <v>81</v>
      </c>
      <c r="X1693" s="6" t="s">
        <v>81</v>
      </c>
      <c r="Y1693" s="21" t="s">
        <v>81</v>
      </c>
      <c r="Z1693" s="6" t="s">
        <v>81</v>
      </c>
      <c r="AA1693" s="6" t="s">
        <v>81</v>
      </c>
      <c r="AB1693" s="6" t="s">
        <v>81</v>
      </c>
      <c r="AC1693" s="6" t="s">
        <v>81</v>
      </c>
      <c r="AD1693" s="21" t="s">
        <v>81</v>
      </c>
      <c r="AE1693" s="6" t="s">
        <v>81</v>
      </c>
      <c r="AF1693" s="6" t="s">
        <v>81</v>
      </c>
      <c r="AG1693" s="6" t="s">
        <v>81</v>
      </c>
      <c r="AH1693" s="6" t="s">
        <v>16256</v>
      </c>
      <c r="AI1693" s="6" t="s">
        <v>81</v>
      </c>
      <c r="AJ1693" s="6" t="s">
        <v>18076</v>
      </c>
      <c r="AK1693" s="6" t="s">
        <v>18380</v>
      </c>
      <c r="AL1693" s="6" t="s">
        <v>18444</v>
      </c>
      <c r="AM1693" s="6" t="s">
        <v>19271</v>
      </c>
      <c r="AN1693" s="6" t="s">
        <v>19687</v>
      </c>
      <c r="AO1693" s="6" t="s">
        <v>19830</v>
      </c>
      <c r="AP1693" s="6" t="s">
        <v>16256</v>
      </c>
      <c r="AQ1693" s="6" t="s">
        <v>81</v>
      </c>
      <c r="AR1693" s="6" t="s">
        <v>18076</v>
      </c>
      <c r="AS1693" s="6" t="s">
        <v>18380</v>
      </c>
      <c r="AT1693" s="6" t="s">
        <v>18444</v>
      </c>
      <c r="AU1693" s="6" t="s">
        <v>19271</v>
      </c>
      <c r="AV1693" s="6" t="s">
        <v>81</v>
      </c>
      <c r="AW1693" s="6" t="s">
        <v>81</v>
      </c>
      <c r="AX1693" s="6" t="s">
        <v>21821</v>
      </c>
      <c r="AY1693" s="6" t="s">
        <v>23158</v>
      </c>
      <c r="AZ1693" s="6" t="s">
        <v>81</v>
      </c>
      <c r="BA1693" s="6" t="s">
        <v>81</v>
      </c>
      <c r="BB1693" s="24" t="n">
        <v>310</v>
      </c>
      <c r="BC1693" s="26"/>
      <c r="BD1693" s="26"/>
      <c r="BE1693" s="26"/>
      <c r="BF1693" s="26"/>
      <c r="BG1693" s="26"/>
      <c r="BH1693" s="26"/>
      <c r="BI1693" s="26"/>
      <c r="BJ1693" s="26"/>
      <c r="BK1693" s="26"/>
      <c r="BL1693" s="26"/>
      <c r="BM1693" s="26"/>
      <c r="BN1693" s="26"/>
      <c r="BO1693" s="26"/>
      <c r="BP1693" s="16" t="n">
        <v>45684</v>
      </c>
      <c r="BQ1693" s="28" t="str">
        <f>HYPERLINK("https://organic.ams.usda.gov/Integrity/Certificate.aspx?cid=68&amp;nopid=8210001240")</f>
        <v>https://organic.ams.usda.gov/Integrity/Certificate.aspx?cid=68&amp;nopid=8210001240</v>
      </c>
    </row>
    <row r="1694">
      <c r="A1694" t="s">
        <v>3</v>
      </c>
      <c r="B1694" s="6" t="s">
        <v>11</v>
      </c>
      <c r="C1694" s="6" t="s">
        <v>58</v>
      </c>
      <c r="D1694" s="6" t="s">
        <v>104</v>
      </c>
      <c r="E1694" s="10" t="s">
        <v>1835</v>
      </c>
      <c r="F1694" s="6" t="s">
        <v>4556</v>
      </c>
      <c r="G1694" s="6" t="s">
        <v>81</v>
      </c>
      <c r="H1694" s="6" t="s">
        <v>81</v>
      </c>
      <c r="I1694" s="6" t="s">
        <v>9007</v>
      </c>
      <c r="J1694" s="6" t="s">
        <v>9233</v>
      </c>
      <c r="K1694" s="6" t="s">
        <v>10886</v>
      </c>
      <c r="L1694" s="16" t="n">
        <v>42705</v>
      </c>
      <c r="M1694" s="16" t="n">
        <v>45383</v>
      </c>
      <c r="N1694" s="6" t="s">
        <v>10886</v>
      </c>
      <c r="O1694" s="16" t="n">
        <v>42705</v>
      </c>
      <c r="P1694" s="6" t="s">
        <v>11904</v>
      </c>
      <c r="Q1694" s="6" t="s">
        <v>81</v>
      </c>
      <c r="R1694" s="6" t="s">
        <v>81</v>
      </c>
      <c r="S1694" s="6" t="s">
        <v>10886</v>
      </c>
      <c r="T1694" s="16" t="n">
        <v>44818</v>
      </c>
      <c r="U1694" s="6" t="s">
        <v>13687</v>
      </c>
      <c r="V1694" s="6" t="s">
        <v>81</v>
      </c>
      <c r="W1694" s="6" t="s">
        <v>81</v>
      </c>
      <c r="X1694" s="6" t="s">
        <v>81</v>
      </c>
      <c r="Y1694" s="21" t="s">
        <v>81</v>
      </c>
      <c r="Z1694" s="6" t="s">
        <v>81</v>
      </c>
      <c r="AA1694" s="6" t="s">
        <v>81</v>
      </c>
      <c r="AB1694" s="6" t="s">
        <v>81</v>
      </c>
      <c r="AC1694" s="6" t="s">
        <v>81</v>
      </c>
      <c r="AD1694" s="21" t="s">
        <v>81</v>
      </c>
      <c r="AE1694" s="6" t="s">
        <v>81</v>
      </c>
      <c r="AF1694" s="6" t="s">
        <v>81</v>
      </c>
      <c r="AG1694" s="6" t="s">
        <v>81</v>
      </c>
      <c r="AH1694" s="6" t="s">
        <v>16257</v>
      </c>
      <c r="AI1694" s="6" t="s">
        <v>81</v>
      </c>
      <c r="AJ1694" s="6" t="s">
        <v>17690</v>
      </c>
      <c r="AK1694" s="6" t="s">
        <v>18377</v>
      </c>
      <c r="AL1694" s="6" t="s">
        <v>18444</v>
      </c>
      <c r="AM1694" s="6" t="s">
        <v>18856</v>
      </c>
      <c r="AN1694" s="6" t="s">
        <v>19690</v>
      </c>
      <c r="AO1694" s="6" t="s">
        <v>19849</v>
      </c>
      <c r="AP1694" s="6" t="s">
        <v>16257</v>
      </c>
      <c r="AQ1694" s="6" t="s">
        <v>81</v>
      </c>
      <c r="AR1694" s="6" t="s">
        <v>17690</v>
      </c>
      <c r="AS1694" s="6" t="s">
        <v>18377</v>
      </c>
      <c r="AT1694" s="6" t="s">
        <v>18444</v>
      </c>
      <c r="AU1694" s="6" t="s">
        <v>18856</v>
      </c>
      <c r="AV1694" s="6" t="s">
        <v>81</v>
      </c>
      <c r="AW1694" s="6" t="s">
        <v>81</v>
      </c>
      <c r="AX1694" s="6" t="s">
        <v>21822</v>
      </c>
      <c r="AY1694" s="6" t="s">
        <v>23159</v>
      </c>
      <c r="AZ1694" s="6" t="s">
        <v>81</v>
      </c>
      <c r="BA1694" s="6" t="s">
        <v>23825</v>
      </c>
      <c r="BB1694" s="24" t="n">
        <v>345</v>
      </c>
      <c r="BC1694" s="26"/>
      <c r="BD1694" s="26"/>
      <c r="BE1694" s="26"/>
      <c r="BF1694" s="26"/>
      <c r="BG1694" s="26"/>
      <c r="BH1694" s="26"/>
      <c r="BI1694" s="26"/>
      <c r="BJ1694" s="26"/>
      <c r="BK1694" s="26"/>
      <c r="BL1694" s="26"/>
      <c r="BM1694" s="26"/>
      <c r="BN1694" s="26"/>
      <c r="BO1694" s="26"/>
      <c r="BP1694" s="16" t="n">
        <v>45580</v>
      </c>
      <c r="BQ1694" s="28" t="str">
        <f>HYPERLINK("https://organic.ams.usda.gov/Integrity/Certificate.aspx?cid=46&amp;nopid=3671600134")</f>
        <v>https://organic.ams.usda.gov/Integrity/Certificate.aspx?cid=46&amp;nopid=3671600134</v>
      </c>
    </row>
    <row r="1695">
      <c r="A1695" t="s">
        <v>3</v>
      </c>
      <c r="B1695" s="6" t="s">
        <v>13</v>
      </c>
      <c r="C1695" s="6" t="s">
        <v>60</v>
      </c>
      <c r="D1695" s="6" t="s">
        <v>106</v>
      </c>
      <c r="E1695" s="10" t="s">
        <v>1836</v>
      </c>
      <c r="F1695" s="6" t="s">
        <v>4557</v>
      </c>
      <c r="G1695" s="6" t="s">
        <v>81</v>
      </c>
      <c r="H1695" s="6" t="s">
        <v>7446</v>
      </c>
      <c r="I1695" s="6" t="s">
        <v>9248</v>
      </c>
      <c r="J1695" s="6" t="s">
        <v>9726</v>
      </c>
      <c r="K1695" s="6" t="s">
        <v>10886</v>
      </c>
      <c r="L1695" s="16" t="n">
        <v>42332</v>
      </c>
      <c r="M1695" s="16" t="n">
        <v>45748</v>
      </c>
      <c r="N1695" s="6" t="s">
        <v>10886</v>
      </c>
      <c r="O1695" s="16" t="n">
        <v>42332</v>
      </c>
      <c r="P1695" s="6" t="s">
        <v>11905</v>
      </c>
      <c r="Q1695" s="6" t="s">
        <v>81</v>
      </c>
      <c r="R1695" s="6" t="s">
        <v>12901</v>
      </c>
      <c r="S1695" s="6" t="s">
        <v>10886</v>
      </c>
      <c r="T1695" s="16" t="n">
        <v>42332</v>
      </c>
      <c r="U1695" s="6" t="s">
        <v>13301</v>
      </c>
      <c r="V1695" s="6" t="s">
        <v>81</v>
      </c>
      <c r="W1695" s="6" t="s">
        <v>12901</v>
      </c>
      <c r="X1695" s="6" t="s">
        <v>81</v>
      </c>
      <c r="Y1695" s="21" t="s">
        <v>81</v>
      </c>
      <c r="Z1695" s="6" t="s">
        <v>81</v>
      </c>
      <c r="AA1695" s="6" t="s">
        <v>81</v>
      </c>
      <c r="AB1695" s="6" t="s">
        <v>81</v>
      </c>
      <c r="AC1695" s="6" t="s">
        <v>81</v>
      </c>
      <c r="AD1695" s="21" t="s">
        <v>81</v>
      </c>
      <c r="AE1695" s="6" t="s">
        <v>81</v>
      </c>
      <c r="AF1695" s="6" t="s">
        <v>81</v>
      </c>
      <c r="AG1695" s="6" t="s">
        <v>81</v>
      </c>
      <c r="AH1695" s="6" t="s">
        <v>16258</v>
      </c>
      <c r="AI1695" s="6" t="s">
        <v>81</v>
      </c>
      <c r="AJ1695" s="6" t="s">
        <v>17683</v>
      </c>
      <c r="AK1695" s="6" t="s">
        <v>18380</v>
      </c>
      <c r="AL1695" s="6" t="s">
        <v>18444</v>
      </c>
      <c r="AM1695" s="6" t="s">
        <v>18923</v>
      </c>
      <c r="AN1695" s="6" t="s">
        <v>19698</v>
      </c>
      <c r="AO1695" s="6" t="s">
        <v>19920</v>
      </c>
      <c r="AP1695" s="6" t="s">
        <v>16258</v>
      </c>
      <c r="AQ1695" s="6" t="s">
        <v>81</v>
      </c>
      <c r="AR1695" s="6" t="s">
        <v>17683</v>
      </c>
      <c r="AS1695" s="6" t="s">
        <v>18380</v>
      </c>
      <c r="AT1695" s="6" t="s">
        <v>18444</v>
      </c>
      <c r="AU1695" s="6" t="s">
        <v>18923</v>
      </c>
      <c r="AV1695" s="6" t="s">
        <v>81</v>
      </c>
      <c r="AW1695" s="6" t="s">
        <v>81</v>
      </c>
      <c r="AX1695" s="6" t="s">
        <v>21823</v>
      </c>
      <c r="AY1695" s="6" t="s">
        <v>81</v>
      </c>
      <c r="AZ1695" s="6" t="s">
        <v>81</v>
      </c>
      <c r="BA1695" s="6" t="s">
        <v>81</v>
      </c>
      <c r="BB1695" s="24" t="n">
        <v>258</v>
      </c>
      <c r="BC1695" s="26"/>
      <c r="BD1695" s="26"/>
      <c r="BE1695" s="26"/>
      <c r="BF1695" s="26" t="s">
        <v>23900</v>
      </c>
      <c r="BG1695" s="26"/>
      <c r="BH1695" s="26"/>
      <c r="BI1695" s="26"/>
      <c r="BJ1695" s="26"/>
      <c r="BK1695" s="26"/>
      <c r="BL1695" s="26"/>
      <c r="BM1695" s="26"/>
      <c r="BN1695" s="26"/>
      <c r="BO1695" s="26"/>
      <c r="BP1695" s="16" t="n">
        <v>45663</v>
      </c>
      <c r="BQ1695" s="28" t="str">
        <f>HYPERLINK("https://organic.ams.usda.gov/Integrity/Certificate.aspx?cid=72&amp;nopid=5870002218")</f>
        <v>https://organic.ams.usda.gov/Integrity/Certificate.aspx?cid=72&amp;nopid=5870002218</v>
      </c>
    </row>
    <row r="1696">
      <c r="A1696" t="s">
        <v>3</v>
      </c>
      <c r="B1696" s="6" t="s">
        <v>12</v>
      </c>
      <c r="C1696" s="6" t="s">
        <v>59</v>
      </c>
      <c r="D1696" s="6" t="s">
        <v>105</v>
      </c>
      <c r="E1696" s="10" t="s">
        <v>1837</v>
      </c>
      <c r="F1696" s="6" t="s">
        <v>4558</v>
      </c>
      <c r="G1696" s="6" t="s">
        <v>81</v>
      </c>
      <c r="H1696" s="6" t="s">
        <v>7447</v>
      </c>
      <c r="I1696" s="6" t="s">
        <v>9007</v>
      </c>
      <c r="J1696" s="6" t="s">
        <v>10264</v>
      </c>
      <c r="K1696" s="6" t="s">
        <v>10886</v>
      </c>
      <c r="L1696" s="16" t="n">
        <v>41900</v>
      </c>
      <c r="M1696" s="16" t="n">
        <v>45717</v>
      </c>
      <c r="N1696" s="6" t="s">
        <v>10886</v>
      </c>
      <c r="O1696" s="16" t="n">
        <v>41900</v>
      </c>
      <c r="P1696" s="6" t="s">
        <v>11906</v>
      </c>
      <c r="Q1696" s="6" t="s">
        <v>81</v>
      </c>
      <c r="R1696" s="6" t="s">
        <v>81</v>
      </c>
      <c r="S1696" s="6" t="s">
        <v>10886</v>
      </c>
      <c r="T1696" s="16" t="n">
        <v>41900</v>
      </c>
      <c r="U1696" s="6" t="s">
        <v>13183</v>
      </c>
      <c r="V1696" s="6" t="s">
        <v>81</v>
      </c>
      <c r="W1696" s="6" t="s">
        <v>81</v>
      </c>
      <c r="X1696" s="6" t="s">
        <v>81</v>
      </c>
      <c r="Y1696" s="21" t="s">
        <v>81</v>
      </c>
      <c r="Z1696" s="6" t="s">
        <v>81</v>
      </c>
      <c r="AA1696" s="6" t="s">
        <v>81</v>
      </c>
      <c r="AB1696" s="6" t="s">
        <v>81</v>
      </c>
      <c r="AC1696" s="6" t="s">
        <v>81</v>
      </c>
      <c r="AD1696" s="21" t="s">
        <v>81</v>
      </c>
      <c r="AE1696" s="6" t="s">
        <v>81</v>
      </c>
      <c r="AF1696" s="6" t="s">
        <v>81</v>
      </c>
      <c r="AG1696" s="6" t="s">
        <v>81</v>
      </c>
      <c r="AH1696" s="6" t="s">
        <v>16259</v>
      </c>
      <c r="AI1696" s="6" t="s">
        <v>81</v>
      </c>
      <c r="AJ1696" s="6" t="s">
        <v>17311</v>
      </c>
      <c r="AK1696" s="6" t="s">
        <v>17712</v>
      </c>
      <c r="AL1696" s="6" t="s">
        <v>18444</v>
      </c>
      <c r="AM1696" s="6" t="s">
        <v>18463</v>
      </c>
      <c r="AN1696" s="6" t="s">
        <v>19634</v>
      </c>
      <c r="AO1696" s="6" t="s">
        <v>19719</v>
      </c>
      <c r="AP1696" s="6" t="s">
        <v>16259</v>
      </c>
      <c r="AQ1696" s="6" t="s">
        <v>81</v>
      </c>
      <c r="AR1696" s="6" t="s">
        <v>17311</v>
      </c>
      <c r="AS1696" s="6" t="s">
        <v>17712</v>
      </c>
      <c r="AT1696" s="6" t="s">
        <v>18444</v>
      </c>
      <c r="AU1696" s="6" t="s">
        <v>18463</v>
      </c>
      <c r="AV1696" s="6" t="s">
        <v>81</v>
      </c>
      <c r="AW1696" s="6" t="s">
        <v>81</v>
      </c>
      <c r="AX1696" s="6" t="s">
        <v>21824</v>
      </c>
      <c r="AY1696" s="6" t="s">
        <v>81</v>
      </c>
      <c r="AZ1696" s="6" t="s">
        <v>81</v>
      </c>
      <c r="BA1696" s="6" t="s">
        <v>81</v>
      </c>
      <c r="BB1696" s="24" t="n">
        <v>169</v>
      </c>
      <c r="BC1696" s="26"/>
      <c r="BD1696" s="26"/>
      <c r="BE1696" s="26"/>
      <c r="BF1696" s="26"/>
      <c r="BG1696" s="26"/>
      <c r="BH1696" s="26"/>
      <c r="BI1696" s="26"/>
      <c r="BJ1696" s="26"/>
      <c r="BK1696" s="26"/>
      <c r="BL1696" s="26"/>
      <c r="BM1696" s="26"/>
      <c r="BN1696" s="26"/>
      <c r="BO1696" s="26"/>
      <c r="BP1696" s="16" t="n">
        <v>45684</v>
      </c>
      <c r="BQ1696" s="28" t="str">
        <f>HYPERLINK("https://organic.ams.usda.gov/Integrity/Certificate.aspx?cid=68&amp;nopid=8210003087")</f>
        <v>https://organic.ams.usda.gov/Integrity/Certificate.aspx?cid=68&amp;nopid=8210003087</v>
      </c>
    </row>
    <row r="1697">
      <c r="A1697" t="s">
        <v>3</v>
      </c>
      <c r="B1697" s="6" t="s">
        <v>9</v>
      </c>
      <c r="C1697" s="6" t="s">
        <v>56</v>
      </c>
      <c r="D1697" s="6" t="s">
        <v>102</v>
      </c>
      <c r="E1697" s="10" t="s">
        <v>1838</v>
      </c>
      <c r="F1697" s="6" t="s">
        <v>4559</v>
      </c>
      <c r="G1697" s="6" t="s">
        <v>81</v>
      </c>
      <c r="H1697" s="6" t="s">
        <v>7448</v>
      </c>
      <c r="I1697" s="6" t="s">
        <v>9007</v>
      </c>
      <c r="J1697" s="6" t="s">
        <v>10429</v>
      </c>
      <c r="K1697" s="6" t="s">
        <v>10886</v>
      </c>
      <c r="L1697" s="16" t="n">
        <v>43006</v>
      </c>
      <c r="M1697" s="16" t="n">
        <v>45748</v>
      </c>
      <c r="N1697" s="6" t="s">
        <v>10886</v>
      </c>
      <c r="O1697" s="16" t="n">
        <v>43006</v>
      </c>
      <c r="P1697" s="6" t="s">
        <v>10922</v>
      </c>
      <c r="Q1697" s="6" t="s">
        <v>81</v>
      </c>
      <c r="R1697" s="6" t="s">
        <v>12902</v>
      </c>
      <c r="S1697" s="6" t="s">
        <v>10886</v>
      </c>
      <c r="T1697" s="16" t="n">
        <v>43006</v>
      </c>
      <c r="U1697" s="6" t="s">
        <v>13680</v>
      </c>
      <c r="V1697" s="6" t="s">
        <v>81</v>
      </c>
      <c r="W1697" s="6" t="s">
        <v>12902</v>
      </c>
      <c r="X1697" s="6" t="s">
        <v>81</v>
      </c>
      <c r="Y1697" s="21" t="s">
        <v>81</v>
      </c>
      <c r="Z1697" s="6" t="s">
        <v>81</v>
      </c>
      <c r="AA1697" s="6" t="s">
        <v>81</v>
      </c>
      <c r="AB1697" s="6" t="s">
        <v>81</v>
      </c>
      <c r="AC1697" s="6" t="s">
        <v>81</v>
      </c>
      <c r="AD1697" s="21" t="s">
        <v>81</v>
      </c>
      <c r="AE1697" s="6" t="s">
        <v>81</v>
      </c>
      <c r="AF1697" s="6" t="s">
        <v>81</v>
      </c>
      <c r="AG1697" s="6" t="s">
        <v>81</v>
      </c>
      <c r="AH1697" s="6" t="s">
        <v>16260</v>
      </c>
      <c r="AI1697" s="6" t="s">
        <v>81</v>
      </c>
      <c r="AJ1697" s="6" t="s">
        <v>9214</v>
      </c>
      <c r="AK1697" s="6" t="s">
        <v>18377</v>
      </c>
      <c r="AL1697" s="6" t="s">
        <v>18444</v>
      </c>
      <c r="AM1697" s="6" t="s">
        <v>19272</v>
      </c>
      <c r="AN1697" s="6" t="s">
        <v>19646</v>
      </c>
      <c r="AO1697" s="6" t="s">
        <v>19733</v>
      </c>
      <c r="AP1697" s="6" t="s">
        <v>81</v>
      </c>
      <c r="AQ1697" s="6" t="s">
        <v>81</v>
      </c>
      <c r="AR1697" s="6" t="s">
        <v>81</v>
      </c>
      <c r="AS1697" s="6" t="s">
        <v>81</v>
      </c>
      <c r="AT1697" s="6" t="s">
        <v>81</v>
      </c>
      <c r="AU1697" s="6" t="s">
        <v>81</v>
      </c>
      <c r="AV1697" s="6" t="s">
        <v>81</v>
      </c>
      <c r="AW1697" s="6" t="s">
        <v>81</v>
      </c>
      <c r="AX1697" s="6" t="s">
        <v>21825</v>
      </c>
      <c r="AY1697" s="6" t="s">
        <v>23160</v>
      </c>
      <c r="AZ1697" s="6" t="s">
        <v>81</v>
      </c>
      <c r="BA1697" s="6" t="s">
        <v>81</v>
      </c>
      <c r="BB1697" s="24" t="n">
        <v>286</v>
      </c>
      <c r="BC1697" s="26"/>
      <c r="BD1697" s="26"/>
      <c r="BE1697" s="26"/>
      <c r="BF1697" s="26"/>
      <c r="BG1697" s="26"/>
      <c r="BH1697" s="26"/>
      <c r="BI1697" s="26"/>
      <c r="BJ1697" s="26"/>
      <c r="BK1697" s="26"/>
      <c r="BL1697" s="26"/>
      <c r="BM1697" s="26"/>
      <c r="BN1697" s="26"/>
      <c r="BO1697" s="26"/>
      <c r="BP1697" s="16" t="n">
        <v>45738</v>
      </c>
      <c r="BQ1697" s="28" t="str">
        <f>HYPERLINK("https://organic.ams.usda.gov/Integrity/Certificate.aspx?cid=52&amp;nopid=8431701321")</f>
        <v>https://organic.ams.usda.gov/Integrity/Certificate.aspx?cid=52&amp;nopid=8431701321</v>
      </c>
    </row>
    <row r="1698">
      <c r="A1698" t="s">
        <v>3</v>
      </c>
      <c r="B1698" s="6" t="s">
        <v>10</v>
      </c>
      <c r="C1698" s="6" t="s">
        <v>57</v>
      </c>
      <c r="D1698" s="6" t="s">
        <v>103</v>
      </c>
      <c r="E1698" s="10" t="s">
        <v>1839</v>
      </c>
      <c r="F1698" s="6" t="s">
        <v>4560</v>
      </c>
      <c r="G1698" s="6" t="s">
        <v>81</v>
      </c>
      <c r="H1698" s="6" t="s">
        <v>7449</v>
      </c>
      <c r="I1698" s="6" t="s">
        <v>9007</v>
      </c>
      <c r="J1698" s="6" t="s">
        <v>9666</v>
      </c>
      <c r="K1698" s="6" t="s">
        <v>10886</v>
      </c>
      <c r="L1698" s="16" t="n">
        <v>45506</v>
      </c>
      <c r="M1698" s="16" t="n">
        <v>45748</v>
      </c>
      <c r="N1698" s="6" t="s">
        <v>10886</v>
      </c>
      <c r="O1698" s="16" t="n">
        <v>45506</v>
      </c>
      <c r="P1698" s="6" t="s">
        <v>10977</v>
      </c>
      <c r="Q1698" s="6" t="s">
        <v>81</v>
      </c>
      <c r="R1698" s="6" t="s">
        <v>12903</v>
      </c>
      <c r="S1698" s="6" t="s">
        <v>10886</v>
      </c>
      <c r="T1698" s="16" t="n">
        <v>45701</v>
      </c>
      <c r="U1698" s="6" t="s">
        <v>13163</v>
      </c>
      <c r="V1698" s="6" t="s">
        <v>81</v>
      </c>
      <c r="W1698" s="6" t="s">
        <v>81</v>
      </c>
      <c r="X1698" s="6" t="s">
        <v>81</v>
      </c>
      <c r="Y1698" s="21" t="s">
        <v>81</v>
      </c>
      <c r="Z1698" s="6" t="s">
        <v>81</v>
      </c>
      <c r="AA1698" s="6" t="s">
        <v>81</v>
      </c>
      <c r="AB1698" s="6" t="s">
        <v>81</v>
      </c>
      <c r="AC1698" s="6" t="s">
        <v>81</v>
      </c>
      <c r="AD1698" s="21" t="s">
        <v>81</v>
      </c>
      <c r="AE1698" s="6" t="s">
        <v>81</v>
      </c>
      <c r="AF1698" s="6" t="s">
        <v>81</v>
      </c>
      <c r="AG1698" s="6" t="s">
        <v>81</v>
      </c>
      <c r="AH1698" s="6" t="s">
        <v>16261</v>
      </c>
      <c r="AI1698" s="6" t="s">
        <v>81</v>
      </c>
      <c r="AJ1698" s="6" t="s">
        <v>8524</v>
      </c>
      <c r="AK1698" s="6" t="s">
        <v>18391</v>
      </c>
      <c r="AL1698" s="6" t="s">
        <v>18444</v>
      </c>
      <c r="AM1698" s="6" t="s">
        <v>18954</v>
      </c>
      <c r="AN1698" s="6" t="s">
        <v>81</v>
      </c>
      <c r="AO1698" s="6" t="s">
        <v>81</v>
      </c>
      <c r="AP1698" s="6" t="s">
        <v>20313</v>
      </c>
      <c r="AQ1698" s="6" t="s">
        <v>81</v>
      </c>
      <c r="AR1698" s="6" t="s">
        <v>8524</v>
      </c>
      <c r="AS1698" s="6" t="s">
        <v>18391</v>
      </c>
      <c r="AT1698" s="6" t="s">
        <v>18444</v>
      </c>
      <c r="AU1698" s="6" t="s">
        <v>18954</v>
      </c>
      <c r="AV1698" s="6" t="s">
        <v>81</v>
      </c>
      <c r="AW1698" s="6" t="s">
        <v>81</v>
      </c>
      <c r="AX1698" s="6" t="s">
        <v>21826</v>
      </c>
      <c r="AY1698" s="6" t="s">
        <v>81</v>
      </c>
      <c r="AZ1698" s="6" t="s">
        <v>81</v>
      </c>
      <c r="BA1698" s="6" t="s">
        <v>81</v>
      </c>
      <c r="BB1698" s="24" t="n">
        <v>137</v>
      </c>
      <c r="BC1698" s="26"/>
      <c r="BD1698" s="26"/>
      <c r="BE1698" s="26"/>
      <c r="BF1698" s="26"/>
      <c r="BG1698" s="26"/>
      <c r="BH1698" s="26"/>
      <c r="BI1698" s="26"/>
      <c r="BJ1698" s="26"/>
      <c r="BK1698" s="26"/>
      <c r="BL1698" s="26"/>
      <c r="BM1698" s="26"/>
      <c r="BN1698" s="26"/>
      <c r="BO1698" s="26"/>
      <c r="BP1698" s="16" t="n">
        <v>45730</v>
      </c>
      <c r="BQ1698" s="28" t="str">
        <f>HYPERLINK("https://organic.ams.usda.gov/Integrity/Certificate.aspx?cid=90&amp;nopid=7170240787")</f>
        <v>https://organic.ams.usda.gov/Integrity/Certificate.aspx?cid=90&amp;nopid=7170240787</v>
      </c>
    </row>
    <row r="1699">
      <c r="A1699" t="s">
        <v>3</v>
      </c>
      <c r="B1699" s="6" t="s">
        <v>9</v>
      </c>
      <c r="C1699" s="6" t="s">
        <v>56</v>
      </c>
      <c r="D1699" s="6" t="s">
        <v>102</v>
      </c>
      <c r="E1699" s="10" t="s">
        <v>1840</v>
      </c>
      <c r="F1699" s="6" t="s">
        <v>4561</v>
      </c>
      <c r="G1699" s="6" t="s">
        <v>81</v>
      </c>
      <c r="H1699" s="6" t="s">
        <v>7450</v>
      </c>
      <c r="I1699" s="6" t="s">
        <v>9249</v>
      </c>
      <c r="J1699" s="6" t="s">
        <v>9666</v>
      </c>
      <c r="K1699" s="6" t="s">
        <v>10886</v>
      </c>
      <c r="L1699" s="16" t="n">
        <v>41150</v>
      </c>
      <c r="M1699" s="16" t="n">
        <v>45748</v>
      </c>
      <c r="N1699" s="6" t="s">
        <v>10886</v>
      </c>
      <c r="O1699" s="16" t="n">
        <v>41150</v>
      </c>
      <c r="P1699" s="6" t="s">
        <v>11907</v>
      </c>
      <c r="Q1699" s="6" t="s">
        <v>81</v>
      </c>
      <c r="R1699" s="6" t="s">
        <v>12904</v>
      </c>
      <c r="S1699" s="6" t="s">
        <v>10886</v>
      </c>
      <c r="T1699" s="16" t="n">
        <v>41150</v>
      </c>
      <c r="U1699" s="6" t="s">
        <v>13162</v>
      </c>
      <c r="V1699" s="6" t="s">
        <v>81</v>
      </c>
      <c r="W1699" s="6" t="s">
        <v>12904</v>
      </c>
      <c r="X1699" s="6" t="s">
        <v>81</v>
      </c>
      <c r="Y1699" s="21" t="s">
        <v>81</v>
      </c>
      <c r="Z1699" s="6" t="s">
        <v>81</v>
      </c>
      <c r="AA1699" s="6" t="s">
        <v>81</v>
      </c>
      <c r="AB1699" s="6" t="s">
        <v>81</v>
      </c>
      <c r="AC1699" s="6" t="s">
        <v>81</v>
      </c>
      <c r="AD1699" s="21" t="s">
        <v>81</v>
      </c>
      <c r="AE1699" s="6" t="s">
        <v>81</v>
      </c>
      <c r="AF1699" s="6" t="s">
        <v>81</v>
      </c>
      <c r="AG1699" s="6" t="s">
        <v>81</v>
      </c>
      <c r="AH1699" s="6" t="s">
        <v>16262</v>
      </c>
      <c r="AI1699" s="6" t="s">
        <v>81</v>
      </c>
      <c r="AJ1699" s="6" t="s">
        <v>17347</v>
      </c>
      <c r="AK1699" s="6" t="s">
        <v>18378</v>
      </c>
      <c r="AL1699" s="6" t="s">
        <v>18444</v>
      </c>
      <c r="AM1699" s="6" t="s">
        <v>18501</v>
      </c>
      <c r="AN1699" s="6" t="s">
        <v>19640</v>
      </c>
      <c r="AO1699" s="6" t="s">
        <v>19726</v>
      </c>
      <c r="AP1699" s="6" t="s">
        <v>81</v>
      </c>
      <c r="AQ1699" s="6" t="s">
        <v>81</v>
      </c>
      <c r="AR1699" s="6" t="s">
        <v>81</v>
      </c>
      <c r="AS1699" s="6" t="s">
        <v>81</v>
      </c>
      <c r="AT1699" s="6" t="s">
        <v>81</v>
      </c>
      <c r="AU1699" s="6" t="s">
        <v>81</v>
      </c>
      <c r="AV1699" s="6" t="s">
        <v>81</v>
      </c>
      <c r="AW1699" s="6" t="s">
        <v>81</v>
      </c>
      <c r="AX1699" s="6" t="s">
        <v>21827</v>
      </c>
      <c r="AY1699" s="6" t="s">
        <v>81</v>
      </c>
      <c r="AZ1699" s="6" t="s">
        <v>81</v>
      </c>
      <c r="BA1699" s="6" t="s">
        <v>81</v>
      </c>
      <c r="BB1699" s="24" t="n">
        <v>120</v>
      </c>
      <c r="BC1699" s="26"/>
      <c r="BD1699" s="26"/>
      <c r="BE1699" s="26"/>
      <c r="BF1699" s="26"/>
      <c r="BG1699" s="26"/>
      <c r="BH1699" s="26"/>
      <c r="BI1699" s="26"/>
      <c r="BJ1699" s="26"/>
      <c r="BK1699" s="26"/>
      <c r="BL1699" s="26"/>
      <c r="BM1699" s="26"/>
      <c r="BN1699" s="26"/>
      <c r="BO1699" s="26"/>
      <c r="BP1699" s="16" t="n">
        <v>45738</v>
      </c>
      <c r="BQ1699" s="28" t="str">
        <f>HYPERLINK("https://organic.ams.usda.gov/Integrity/Certificate.aspx?cid=52&amp;nopid=8431200345")</f>
        <v>https://organic.ams.usda.gov/Integrity/Certificate.aspx?cid=52&amp;nopid=8431200345</v>
      </c>
    </row>
    <row r="1700">
      <c r="A1700" t="s">
        <v>3</v>
      </c>
      <c r="B1700" s="6" t="s">
        <v>13</v>
      </c>
      <c r="C1700" s="6" t="s">
        <v>60</v>
      </c>
      <c r="D1700" s="6" t="s">
        <v>106</v>
      </c>
      <c r="E1700" s="10" t="s">
        <v>1841</v>
      </c>
      <c r="F1700" s="6" t="s">
        <v>4562</v>
      </c>
      <c r="G1700" s="6" t="s">
        <v>81</v>
      </c>
      <c r="H1700" s="6" t="s">
        <v>7451</v>
      </c>
      <c r="I1700" s="6" t="s">
        <v>9250</v>
      </c>
      <c r="J1700" s="6" t="s">
        <v>9665</v>
      </c>
      <c r="K1700" s="6" t="s">
        <v>10886</v>
      </c>
      <c r="L1700" s="16" t="n">
        <v>43733</v>
      </c>
      <c r="M1700" s="16" t="n">
        <v>46024</v>
      </c>
      <c r="N1700" s="6" t="s">
        <v>10886</v>
      </c>
      <c r="O1700" s="16" t="n">
        <v>43733</v>
      </c>
      <c r="P1700" s="6" t="s">
        <v>11432</v>
      </c>
      <c r="Q1700" s="6" t="s">
        <v>81</v>
      </c>
      <c r="R1700" s="6" t="s">
        <v>12905</v>
      </c>
      <c r="S1700" s="6" t="s">
        <v>10886</v>
      </c>
      <c r="T1700" s="16" t="n">
        <v>43733</v>
      </c>
      <c r="U1700" s="6" t="s">
        <v>13518</v>
      </c>
      <c r="V1700" s="6" t="s">
        <v>81</v>
      </c>
      <c r="W1700" s="6" t="s">
        <v>12905</v>
      </c>
      <c r="X1700" s="6" t="s">
        <v>81</v>
      </c>
      <c r="Y1700" s="21" t="s">
        <v>81</v>
      </c>
      <c r="Z1700" s="6" t="s">
        <v>81</v>
      </c>
      <c r="AA1700" s="6" t="s">
        <v>81</v>
      </c>
      <c r="AB1700" s="6" t="s">
        <v>81</v>
      </c>
      <c r="AC1700" s="6" t="s">
        <v>81</v>
      </c>
      <c r="AD1700" s="21" t="s">
        <v>81</v>
      </c>
      <c r="AE1700" s="6" t="s">
        <v>81</v>
      </c>
      <c r="AF1700" s="6" t="s">
        <v>81</v>
      </c>
      <c r="AG1700" s="6" t="s">
        <v>81</v>
      </c>
      <c r="AH1700" s="6" t="s">
        <v>16263</v>
      </c>
      <c r="AI1700" s="6" t="s">
        <v>81</v>
      </c>
      <c r="AJ1700" s="6" t="s">
        <v>17381</v>
      </c>
      <c r="AK1700" s="6" t="s">
        <v>18379</v>
      </c>
      <c r="AL1700" s="6" t="s">
        <v>18444</v>
      </c>
      <c r="AM1700" s="6" t="s">
        <v>18534</v>
      </c>
      <c r="AN1700" s="6" t="s">
        <v>19637</v>
      </c>
      <c r="AO1700" s="6" t="s">
        <v>19723</v>
      </c>
      <c r="AP1700" s="6" t="s">
        <v>16263</v>
      </c>
      <c r="AQ1700" s="6" t="s">
        <v>81</v>
      </c>
      <c r="AR1700" s="6" t="s">
        <v>17381</v>
      </c>
      <c r="AS1700" s="6" t="s">
        <v>18379</v>
      </c>
      <c r="AT1700" s="6" t="s">
        <v>18444</v>
      </c>
      <c r="AU1700" s="6" t="s">
        <v>18534</v>
      </c>
      <c r="AV1700" s="6" t="s">
        <v>81</v>
      </c>
      <c r="AW1700" s="6" t="s">
        <v>81</v>
      </c>
      <c r="AX1700" s="6" t="s">
        <v>21828</v>
      </c>
      <c r="AY1700" s="6" t="s">
        <v>81</v>
      </c>
      <c r="AZ1700" s="6" t="s">
        <v>81</v>
      </c>
      <c r="BA1700" s="6" t="s">
        <v>81</v>
      </c>
      <c r="BB1700" s="24" t="n">
        <v>112</v>
      </c>
      <c r="BC1700" s="26"/>
      <c r="BD1700" s="26"/>
      <c r="BE1700" s="26"/>
      <c r="BF1700" s="26" t="s">
        <v>23900</v>
      </c>
      <c r="BG1700" s="26"/>
      <c r="BH1700" s="26"/>
      <c r="BI1700" s="26"/>
      <c r="BJ1700" s="26"/>
      <c r="BK1700" s="26"/>
      <c r="BL1700" s="26"/>
      <c r="BM1700" s="26"/>
      <c r="BN1700" s="26"/>
      <c r="BO1700" s="26"/>
      <c r="BP1700" s="16" t="n">
        <v>45663</v>
      </c>
      <c r="BQ1700" s="28" t="str">
        <f>HYPERLINK("https://organic.ams.usda.gov/Integrity/Certificate.aspx?cid=72&amp;nopid=5872619594")</f>
        <v>https://organic.ams.usda.gov/Integrity/Certificate.aspx?cid=72&amp;nopid=5872619594</v>
      </c>
    </row>
    <row r="1701">
      <c r="A1701" t="s">
        <v>3</v>
      </c>
      <c r="B1701" s="6" t="s">
        <v>10</v>
      </c>
      <c r="C1701" s="6" t="s">
        <v>57</v>
      </c>
      <c r="D1701" s="6" t="s">
        <v>103</v>
      </c>
      <c r="E1701" s="10" t="s">
        <v>1842</v>
      </c>
      <c r="F1701" s="6" t="s">
        <v>4563</v>
      </c>
      <c r="G1701" s="6" t="s">
        <v>81</v>
      </c>
      <c r="H1701" s="6" t="s">
        <v>7452</v>
      </c>
      <c r="I1701" s="6" t="s">
        <v>9250</v>
      </c>
      <c r="J1701" s="6" t="s">
        <v>9760</v>
      </c>
      <c r="K1701" s="6" t="s">
        <v>10886</v>
      </c>
      <c r="L1701" s="16" t="n">
        <v>45430</v>
      </c>
      <c r="M1701" s="16" t="n">
        <v>45748</v>
      </c>
      <c r="N1701" s="6" t="s">
        <v>10886</v>
      </c>
      <c r="O1701" s="16" t="n">
        <v>45430</v>
      </c>
      <c r="P1701" s="6" t="s">
        <v>11908</v>
      </c>
      <c r="Q1701" s="6" t="s">
        <v>81</v>
      </c>
      <c r="R1701" s="6" t="s">
        <v>12906</v>
      </c>
      <c r="S1701" s="6" t="s">
        <v>10886</v>
      </c>
      <c r="T1701" s="16" t="n">
        <v>45430</v>
      </c>
      <c r="U1701" s="6" t="s">
        <v>13163</v>
      </c>
      <c r="V1701" s="6" t="s">
        <v>81</v>
      </c>
      <c r="W1701" s="6" t="s">
        <v>81</v>
      </c>
      <c r="X1701" s="6" t="s">
        <v>81</v>
      </c>
      <c r="Y1701" s="21" t="s">
        <v>81</v>
      </c>
      <c r="Z1701" s="6" t="s">
        <v>81</v>
      </c>
      <c r="AA1701" s="6" t="s">
        <v>81</v>
      </c>
      <c r="AB1701" s="6" t="s">
        <v>81</v>
      </c>
      <c r="AC1701" s="6" t="s">
        <v>81</v>
      </c>
      <c r="AD1701" s="21" t="s">
        <v>81</v>
      </c>
      <c r="AE1701" s="6" t="s">
        <v>81</v>
      </c>
      <c r="AF1701" s="6" t="s">
        <v>81</v>
      </c>
      <c r="AG1701" s="6" t="s">
        <v>81</v>
      </c>
      <c r="AH1701" s="6" t="s">
        <v>16264</v>
      </c>
      <c r="AI1701" s="6" t="s">
        <v>81</v>
      </c>
      <c r="AJ1701" s="6" t="s">
        <v>17440</v>
      </c>
      <c r="AK1701" s="6" t="s">
        <v>18378</v>
      </c>
      <c r="AL1701" s="6" t="s">
        <v>18444</v>
      </c>
      <c r="AM1701" s="6" t="s">
        <v>18597</v>
      </c>
      <c r="AN1701" s="6" t="s">
        <v>81</v>
      </c>
      <c r="AO1701" s="6" t="s">
        <v>81</v>
      </c>
      <c r="AP1701" s="6" t="s">
        <v>16264</v>
      </c>
      <c r="AQ1701" s="6" t="s">
        <v>81</v>
      </c>
      <c r="AR1701" s="6" t="s">
        <v>17440</v>
      </c>
      <c r="AS1701" s="6" t="s">
        <v>18378</v>
      </c>
      <c r="AT1701" s="6" t="s">
        <v>18444</v>
      </c>
      <c r="AU1701" s="6" t="s">
        <v>18597</v>
      </c>
      <c r="AV1701" s="6" t="s">
        <v>81</v>
      </c>
      <c r="AW1701" s="6" t="s">
        <v>81</v>
      </c>
      <c r="AX1701" s="6" t="s">
        <v>21829</v>
      </c>
      <c r="AY1701" s="6" t="s">
        <v>81</v>
      </c>
      <c r="AZ1701" s="6" t="s">
        <v>81</v>
      </c>
      <c r="BA1701" s="6" t="s">
        <v>81</v>
      </c>
      <c r="BB1701" s="24" t="n">
        <v>147</v>
      </c>
      <c r="BC1701" s="26"/>
      <c r="BD1701" s="26"/>
      <c r="BE1701" s="26"/>
      <c r="BF1701" s="26"/>
      <c r="BG1701" s="26"/>
      <c r="BH1701" s="26"/>
      <c r="BI1701" s="26"/>
      <c r="BJ1701" s="26"/>
      <c r="BK1701" s="26"/>
      <c r="BL1701" s="26"/>
      <c r="BM1701" s="26"/>
      <c r="BN1701" s="26"/>
      <c r="BO1701" s="26"/>
      <c r="BP1701" s="16" t="n">
        <v>45730</v>
      </c>
      <c r="BQ1701" s="28" t="str">
        <f>HYPERLINK("https://organic.ams.usda.gov/Integrity/Certificate.aspx?cid=90&amp;nopid=7170240780")</f>
        <v>https://organic.ams.usda.gov/Integrity/Certificate.aspx?cid=90&amp;nopid=7170240780</v>
      </c>
    </row>
    <row r="1702">
      <c r="A1702" t="s">
        <v>3</v>
      </c>
      <c r="B1702" s="6" t="s">
        <v>25</v>
      </c>
      <c r="C1702" s="6" t="s">
        <v>72</v>
      </c>
      <c r="D1702" s="6" t="s">
        <v>118</v>
      </c>
      <c r="E1702" s="10" t="s">
        <v>1843</v>
      </c>
      <c r="F1702" s="6" t="s">
        <v>4564</v>
      </c>
      <c r="G1702" s="6" t="s">
        <v>81</v>
      </c>
      <c r="H1702" s="6" t="s">
        <v>7453</v>
      </c>
      <c r="I1702" s="6" t="s">
        <v>9185</v>
      </c>
      <c r="J1702" s="6" t="s">
        <v>10430</v>
      </c>
      <c r="K1702" s="6" t="s">
        <v>10886</v>
      </c>
      <c r="L1702" s="16" t="n">
        <v>41696</v>
      </c>
      <c r="M1702" s="16" t="n">
        <v>46023</v>
      </c>
      <c r="N1702" s="6" t="s">
        <v>10886</v>
      </c>
      <c r="O1702" s="16" t="n">
        <v>41696</v>
      </c>
      <c r="P1702" s="6" t="s">
        <v>11128</v>
      </c>
      <c r="Q1702" s="6" t="s">
        <v>81</v>
      </c>
      <c r="R1702" s="6" t="s">
        <v>81</v>
      </c>
      <c r="S1702" s="6" t="s">
        <v>10886</v>
      </c>
      <c r="T1702" s="16" t="n">
        <v>41696</v>
      </c>
      <c r="U1702" s="6" t="s">
        <v>13688</v>
      </c>
      <c r="V1702" s="6" t="s">
        <v>81</v>
      </c>
      <c r="W1702" s="6" t="s">
        <v>81</v>
      </c>
      <c r="X1702" s="6" t="s">
        <v>81</v>
      </c>
      <c r="Y1702" s="21" t="s">
        <v>81</v>
      </c>
      <c r="Z1702" s="6" t="s">
        <v>81</v>
      </c>
      <c r="AA1702" s="6" t="s">
        <v>81</v>
      </c>
      <c r="AB1702" s="6" t="s">
        <v>81</v>
      </c>
      <c r="AC1702" s="6" t="s">
        <v>10886</v>
      </c>
      <c r="AD1702" s="16" t="n">
        <v>44734</v>
      </c>
      <c r="AE1702" s="6" t="s">
        <v>14081</v>
      </c>
      <c r="AF1702" s="6" t="s">
        <v>81</v>
      </c>
      <c r="AG1702" s="6" t="s">
        <v>81</v>
      </c>
      <c r="AH1702" s="6" t="s">
        <v>16265</v>
      </c>
      <c r="AI1702" s="6" t="s">
        <v>81</v>
      </c>
      <c r="AJ1702" s="6" t="s">
        <v>17561</v>
      </c>
      <c r="AK1702" s="6" t="s">
        <v>18386</v>
      </c>
      <c r="AL1702" s="6" t="s">
        <v>18444</v>
      </c>
      <c r="AM1702" s="6" t="s">
        <v>18760</v>
      </c>
      <c r="AN1702" s="6" t="s">
        <v>19672</v>
      </c>
      <c r="AO1702" s="6" t="s">
        <v>19787</v>
      </c>
      <c r="AP1702" s="6" t="s">
        <v>16265</v>
      </c>
      <c r="AQ1702" s="6" t="s">
        <v>81</v>
      </c>
      <c r="AR1702" s="6" t="s">
        <v>17561</v>
      </c>
      <c r="AS1702" s="6" t="s">
        <v>18386</v>
      </c>
      <c r="AT1702" s="6" t="s">
        <v>18444</v>
      </c>
      <c r="AU1702" s="6" t="s">
        <v>18760</v>
      </c>
      <c r="AV1702" s="6" t="s">
        <v>81</v>
      </c>
      <c r="AW1702" s="6" t="s">
        <v>81</v>
      </c>
      <c r="AX1702" s="6" t="s">
        <v>21830</v>
      </c>
      <c r="AY1702" s="6" t="s">
        <v>23161</v>
      </c>
      <c r="AZ1702" s="6" t="s">
        <v>81</v>
      </c>
      <c r="BA1702" s="6" t="s">
        <v>23874</v>
      </c>
      <c r="BB1702" s="24" t="n">
        <v>430</v>
      </c>
      <c r="BC1702" s="26"/>
      <c r="BD1702" s="26"/>
      <c r="BE1702" s="26"/>
      <c r="BF1702" s="26"/>
      <c r="BG1702" s="26"/>
      <c r="BH1702" s="26"/>
      <c r="BI1702" s="26"/>
      <c r="BJ1702" s="26"/>
      <c r="BK1702" s="26"/>
      <c r="BL1702" s="26"/>
      <c r="BM1702" s="26"/>
      <c r="BN1702" s="26"/>
      <c r="BO1702" s="26"/>
      <c r="BP1702" s="16" t="n">
        <v>45667</v>
      </c>
      <c r="BQ1702" s="28" t="str">
        <f>HYPERLINK("https://organic.ams.usda.gov/Integrity/Certificate.aspx?cid=15&amp;nopid=5561001429")</f>
        <v>https://organic.ams.usda.gov/Integrity/Certificate.aspx?cid=15&amp;nopid=5561001429</v>
      </c>
    </row>
    <row r="1703">
      <c r="A1703" t="s">
        <v>3</v>
      </c>
      <c r="B1703" s="6" t="s">
        <v>23</v>
      </c>
      <c r="C1703" s="6" t="s">
        <v>70</v>
      </c>
      <c r="D1703" s="6" t="s">
        <v>116</v>
      </c>
      <c r="E1703" s="10" t="s">
        <v>1844</v>
      </c>
      <c r="F1703" s="6" t="s">
        <v>4565</v>
      </c>
      <c r="G1703" s="6" t="s">
        <v>81</v>
      </c>
      <c r="H1703" s="6" t="s">
        <v>7454</v>
      </c>
      <c r="I1703" s="6" t="s">
        <v>9251</v>
      </c>
      <c r="J1703" s="6" t="s">
        <v>10431</v>
      </c>
      <c r="K1703" s="6" t="s">
        <v>10886</v>
      </c>
      <c r="L1703" s="16" t="n">
        <v>40140</v>
      </c>
      <c r="M1703" s="16" t="n">
        <v>45619</v>
      </c>
      <c r="N1703" s="6" t="s">
        <v>10886</v>
      </c>
      <c r="O1703" s="16" t="n">
        <v>40140</v>
      </c>
      <c r="P1703" s="6" t="s">
        <v>11909</v>
      </c>
      <c r="Q1703" s="6" t="s">
        <v>81</v>
      </c>
      <c r="R1703" s="6" t="s">
        <v>12907</v>
      </c>
      <c r="S1703" s="6" t="s">
        <v>10886</v>
      </c>
      <c r="T1703" s="16" t="n">
        <v>40140</v>
      </c>
      <c r="U1703" s="6" t="s">
        <v>13689</v>
      </c>
      <c r="V1703" s="6" t="s">
        <v>81</v>
      </c>
      <c r="W1703" s="6" t="s">
        <v>12907</v>
      </c>
      <c r="X1703" s="6" t="s">
        <v>81</v>
      </c>
      <c r="Y1703" s="21" t="s">
        <v>81</v>
      </c>
      <c r="Z1703" s="6" t="s">
        <v>81</v>
      </c>
      <c r="AA1703" s="6" t="s">
        <v>81</v>
      </c>
      <c r="AB1703" s="6" t="s">
        <v>81</v>
      </c>
      <c r="AC1703" s="6" t="s">
        <v>81</v>
      </c>
      <c r="AD1703" s="21" t="s">
        <v>81</v>
      </c>
      <c r="AE1703" s="6" t="s">
        <v>81</v>
      </c>
      <c r="AF1703" s="6" t="s">
        <v>81</v>
      </c>
      <c r="AG1703" s="6" t="s">
        <v>81</v>
      </c>
      <c r="AH1703" s="6" t="s">
        <v>81</v>
      </c>
      <c r="AI1703" s="6" t="s">
        <v>81</v>
      </c>
      <c r="AJ1703" s="6" t="s">
        <v>81</v>
      </c>
      <c r="AK1703" s="6" t="s">
        <v>81</v>
      </c>
      <c r="AL1703" s="6" t="s">
        <v>81</v>
      </c>
      <c r="AM1703" s="6" t="s">
        <v>81</v>
      </c>
      <c r="AN1703" s="6" t="s">
        <v>81</v>
      </c>
      <c r="AO1703" s="6" t="s">
        <v>81</v>
      </c>
      <c r="AP1703" s="6" t="s">
        <v>20314</v>
      </c>
      <c r="AQ1703" s="6" t="s">
        <v>81</v>
      </c>
      <c r="AR1703" s="6" t="s">
        <v>20503</v>
      </c>
      <c r="AS1703" s="6" t="s">
        <v>18386</v>
      </c>
      <c r="AT1703" s="6" t="s">
        <v>18444</v>
      </c>
      <c r="AU1703" s="6" t="s">
        <v>18667</v>
      </c>
      <c r="AV1703" s="6" t="s">
        <v>19651</v>
      </c>
      <c r="AW1703" s="6" t="s">
        <v>19864</v>
      </c>
      <c r="AX1703" s="6" t="s">
        <v>21831</v>
      </c>
      <c r="AY1703" s="6" t="s">
        <v>23162</v>
      </c>
      <c r="AZ1703" s="6" t="s">
        <v>81</v>
      </c>
      <c r="BA1703" s="6" t="s">
        <v>81</v>
      </c>
      <c r="BB1703" s="24" t="n">
        <v>828</v>
      </c>
      <c r="BC1703" s="26"/>
      <c r="BD1703" s="26"/>
      <c r="BE1703" s="26"/>
      <c r="BF1703" s="26"/>
      <c r="BG1703" s="26"/>
      <c r="BH1703" s="26"/>
      <c r="BI1703" s="26"/>
      <c r="BJ1703" s="26"/>
      <c r="BK1703" s="26"/>
      <c r="BL1703" s="26"/>
      <c r="BM1703" s="26"/>
      <c r="BN1703" s="26"/>
      <c r="BO1703" s="26"/>
      <c r="BP1703" s="16" t="n">
        <v>45608</v>
      </c>
      <c r="BQ1703" s="28" t="str">
        <f>HYPERLINK("https://organic.ams.usda.gov/Integrity/Certificate.aspx?cid=63&amp;nopid=6220005333")</f>
        <v>https://organic.ams.usda.gov/Integrity/Certificate.aspx?cid=63&amp;nopid=6220005333</v>
      </c>
    </row>
    <row r="1704">
      <c r="A1704" t="s">
        <v>3</v>
      </c>
      <c r="B1704" s="6" t="s">
        <v>16</v>
      </c>
      <c r="C1704" s="6" t="s">
        <v>63</v>
      </c>
      <c r="D1704" s="6" t="s">
        <v>109</v>
      </c>
      <c r="E1704" s="10" t="s">
        <v>1845</v>
      </c>
      <c r="F1704" s="6" t="s">
        <v>4566</v>
      </c>
      <c r="G1704" s="6" t="s">
        <v>81</v>
      </c>
      <c r="H1704" s="6" t="s">
        <v>7455</v>
      </c>
      <c r="I1704" s="6" t="s">
        <v>8514</v>
      </c>
      <c r="J1704" s="6" t="s">
        <v>10432</v>
      </c>
      <c r="K1704" s="6" t="s">
        <v>10886</v>
      </c>
      <c r="L1704" s="16" t="n">
        <v>45545</v>
      </c>
      <c r="M1704" s="16" t="n">
        <v>45731</v>
      </c>
      <c r="N1704" s="6" t="s">
        <v>10886</v>
      </c>
      <c r="O1704" s="16" t="n">
        <v>45545</v>
      </c>
      <c r="P1704" s="6" t="s">
        <v>11910</v>
      </c>
      <c r="Q1704" s="6" t="s">
        <v>81</v>
      </c>
      <c r="R1704" s="6" t="s">
        <v>81</v>
      </c>
      <c r="S1704" s="6" t="s">
        <v>10886</v>
      </c>
      <c r="T1704" s="16" t="n">
        <v>45545</v>
      </c>
      <c r="U1704" s="6" t="s">
        <v>13281</v>
      </c>
      <c r="V1704" s="6" t="s">
        <v>81</v>
      </c>
      <c r="W1704" s="6" t="s">
        <v>81</v>
      </c>
      <c r="X1704" s="6" t="s">
        <v>81</v>
      </c>
      <c r="Y1704" s="21" t="s">
        <v>81</v>
      </c>
      <c r="Z1704" s="6" t="s">
        <v>81</v>
      </c>
      <c r="AA1704" s="6" t="s">
        <v>81</v>
      </c>
      <c r="AB1704" s="6" t="s">
        <v>81</v>
      </c>
      <c r="AC1704" s="6" t="s">
        <v>10886</v>
      </c>
      <c r="AD1704" s="16" t="n">
        <v>45545</v>
      </c>
      <c r="AE1704" s="6" t="s">
        <v>81</v>
      </c>
      <c r="AF1704" s="6" t="s">
        <v>81</v>
      </c>
      <c r="AG1704" s="6" t="s">
        <v>81</v>
      </c>
      <c r="AH1704" s="6" t="s">
        <v>16266</v>
      </c>
      <c r="AI1704" s="6" t="s">
        <v>81</v>
      </c>
      <c r="AJ1704" s="6" t="s">
        <v>18077</v>
      </c>
      <c r="AK1704" s="6" t="s">
        <v>18383</v>
      </c>
      <c r="AL1704" s="6" t="s">
        <v>18444</v>
      </c>
      <c r="AM1704" s="6" t="s">
        <v>19273</v>
      </c>
      <c r="AN1704" s="6" t="s">
        <v>81</v>
      </c>
      <c r="AO1704" s="6" t="s">
        <v>81</v>
      </c>
      <c r="AP1704" s="6" t="s">
        <v>20315</v>
      </c>
      <c r="AQ1704" s="6" t="s">
        <v>81</v>
      </c>
      <c r="AR1704" s="6" t="s">
        <v>18077</v>
      </c>
      <c r="AS1704" s="6" t="s">
        <v>18383</v>
      </c>
      <c r="AT1704" s="6" t="s">
        <v>18444</v>
      </c>
      <c r="AU1704" s="6" t="s">
        <v>19273</v>
      </c>
      <c r="AV1704" s="6" t="s">
        <v>81</v>
      </c>
      <c r="AW1704" s="6" t="s">
        <v>81</v>
      </c>
      <c r="AX1704" s="6" t="s">
        <v>21832</v>
      </c>
      <c r="AY1704" s="6" t="s">
        <v>81</v>
      </c>
      <c r="AZ1704" s="6" t="s">
        <v>81</v>
      </c>
      <c r="BA1704" s="6" t="s">
        <v>81</v>
      </c>
      <c r="BB1704" s="24" t="n">
        <v>288</v>
      </c>
      <c r="BC1704" s="26"/>
      <c r="BD1704" s="26"/>
      <c r="BE1704" s="26"/>
      <c r="BF1704" s="26"/>
      <c r="BG1704" s="26"/>
      <c r="BH1704" s="26"/>
      <c r="BI1704" s="26"/>
      <c r="BJ1704" s="26"/>
      <c r="BK1704" s="26"/>
      <c r="BL1704" s="26"/>
      <c r="BM1704" s="26"/>
      <c r="BN1704" s="26"/>
      <c r="BO1704" s="26"/>
      <c r="BP1704" s="16" t="n">
        <v>45701</v>
      </c>
      <c r="BQ1704" s="28" t="str">
        <f>HYPERLINK("https://organic.ams.usda.gov/Integrity/Certificate.aspx?cid=81&amp;nopid=4212024040")</f>
        <v>https://organic.ams.usda.gov/Integrity/Certificate.aspx?cid=81&amp;nopid=4212024040</v>
      </c>
    </row>
    <row r="1705">
      <c r="A1705" t="s">
        <v>3</v>
      </c>
      <c r="B1705" s="6" t="s">
        <v>16</v>
      </c>
      <c r="C1705" s="6" t="s">
        <v>63</v>
      </c>
      <c r="D1705" s="6" t="s">
        <v>109</v>
      </c>
      <c r="E1705" s="10" t="s">
        <v>1846</v>
      </c>
      <c r="F1705" s="6" t="s">
        <v>4567</v>
      </c>
      <c r="G1705" s="6" t="s">
        <v>81</v>
      </c>
      <c r="H1705" s="6" t="s">
        <v>7456</v>
      </c>
      <c r="I1705" s="6" t="s">
        <v>8552</v>
      </c>
      <c r="J1705" s="6" t="s">
        <v>10433</v>
      </c>
      <c r="K1705" s="6" t="s">
        <v>10886</v>
      </c>
      <c r="L1705" s="16" t="n">
        <v>43643</v>
      </c>
      <c r="M1705" s="16" t="n">
        <v>45731</v>
      </c>
      <c r="N1705" s="6" t="s">
        <v>81</v>
      </c>
      <c r="O1705" s="21" t="s">
        <v>81</v>
      </c>
      <c r="P1705" s="6" t="s">
        <v>81</v>
      </c>
      <c r="Q1705" s="6" t="s">
        <v>81</v>
      </c>
      <c r="R1705" s="6" t="s">
        <v>81</v>
      </c>
      <c r="S1705" s="6" t="s">
        <v>10886</v>
      </c>
      <c r="T1705" s="16" t="n">
        <v>43643</v>
      </c>
      <c r="U1705" s="6" t="s">
        <v>13690</v>
      </c>
      <c r="V1705" s="6" t="s">
        <v>81</v>
      </c>
      <c r="W1705" s="6" t="s">
        <v>81</v>
      </c>
      <c r="X1705" s="6" t="s">
        <v>81</v>
      </c>
      <c r="Y1705" s="21" t="s">
        <v>81</v>
      </c>
      <c r="Z1705" s="6" t="s">
        <v>81</v>
      </c>
      <c r="AA1705" s="6" t="s">
        <v>81</v>
      </c>
      <c r="AB1705" s="6" t="s">
        <v>81</v>
      </c>
      <c r="AC1705" s="6" t="s">
        <v>81</v>
      </c>
      <c r="AD1705" s="21" t="s">
        <v>81</v>
      </c>
      <c r="AE1705" s="6" t="s">
        <v>81</v>
      </c>
      <c r="AF1705" s="6" t="s">
        <v>81</v>
      </c>
      <c r="AG1705" s="6" t="s">
        <v>81</v>
      </c>
      <c r="AH1705" s="6" t="s">
        <v>16267</v>
      </c>
      <c r="AI1705" s="6" t="s">
        <v>81</v>
      </c>
      <c r="AJ1705" s="6" t="s">
        <v>17955</v>
      </c>
      <c r="AK1705" s="6" t="s">
        <v>18383</v>
      </c>
      <c r="AL1705" s="6" t="s">
        <v>18444</v>
      </c>
      <c r="AM1705" s="6" t="s">
        <v>18660</v>
      </c>
      <c r="AN1705" s="6" t="s">
        <v>19683</v>
      </c>
      <c r="AO1705" s="6" t="s">
        <v>19751</v>
      </c>
      <c r="AP1705" s="6" t="s">
        <v>20316</v>
      </c>
      <c r="AQ1705" s="6" t="s">
        <v>81</v>
      </c>
      <c r="AR1705" s="6" t="s">
        <v>20548</v>
      </c>
      <c r="AS1705" s="6" t="s">
        <v>18383</v>
      </c>
      <c r="AT1705" s="6" t="s">
        <v>18444</v>
      </c>
      <c r="AU1705" s="6" t="s">
        <v>18660</v>
      </c>
      <c r="AV1705" s="6" t="s">
        <v>81</v>
      </c>
      <c r="AW1705" s="6" t="s">
        <v>81</v>
      </c>
      <c r="AX1705" s="6" t="s">
        <v>21833</v>
      </c>
      <c r="AY1705" s="6" t="s">
        <v>81</v>
      </c>
      <c r="AZ1705" s="6" t="s">
        <v>81</v>
      </c>
      <c r="BA1705" s="6" t="s">
        <v>81</v>
      </c>
      <c r="BB1705" s="24" t="n">
        <v>0</v>
      </c>
      <c r="BC1705" s="26"/>
      <c r="BD1705" s="26"/>
      <c r="BE1705" s="26"/>
      <c r="BF1705" s="26"/>
      <c r="BG1705" s="26"/>
      <c r="BH1705" s="26"/>
      <c r="BI1705" s="26"/>
      <c r="BJ1705" s="26"/>
      <c r="BK1705" s="26"/>
      <c r="BL1705" s="26"/>
      <c r="BM1705" s="26"/>
      <c r="BN1705" s="26"/>
      <c r="BO1705" s="26"/>
      <c r="BP1705" s="16" t="n">
        <v>45701</v>
      </c>
      <c r="BQ1705" s="28" t="str">
        <f>HYPERLINK("https://organic.ams.usda.gov/Integrity/Certificate.aspx?cid=81&amp;nopid=4210019033")</f>
        <v>https://organic.ams.usda.gov/Integrity/Certificate.aspx?cid=81&amp;nopid=4210019033</v>
      </c>
    </row>
    <row r="1706">
      <c r="A1706" t="s">
        <v>3</v>
      </c>
      <c r="B1706" s="6" t="s">
        <v>23</v>
      </c>
      <c r="C1706" s="6" t="s">
        <v>70</v>
      </c>
      <c r="D1706" s="6" t="s">
        <v>116</v>
      </c>
      <c r="E1706" s="10" t="s">
        <v>1847</v>
      </c>
      <c r="F1706" s="6" t="s">
        <v>4568</v>
      </c>
      <c r="G1706" s="6" t="s">
        <v>81</v>
      </c>
      <c r="H1706" s="6" t="s">
        <v>7457</v>
      </c>
      <c r="I1706" s="6" t="s">
        <v>8391</v>
      </c>
      <c r="J1706" s="6" t="s">
        <v>10434</v>
      </c>
      <c r="K1706" s="6" t="s">
        <v>10886</v>
      </c>
      <c r="L1706" s="16" t="n">
        <v>41212</v>
      </c>
      <c r="M1706" s="16" t="n">
        <v>45960</v>
      </c>
      <c r="N1706" s="6" t="s">
        <v>10886</v>
      </c>
      <c r="O1706" s="16" t="n">
        <v>41212</v>
      </c>
      <c r="P1706" s="6" t="s">
        <v>11911</v>
      </c>
      <c r="Q1706" s="6" t="s">
        <v>81</v>
      </c>
      <c r="R1706" s="6" t="s">
        <v>12908</v>
      </c>
      <c r="S1706" s="6" t="s">
        <v>10886</v>
      </c>
      <c r="T1706" s="16" t="n">
        <v>41212</v>
      </c>
      <c r="U1706" s="6" t="s">
        <v>13232</v>
      </c>
      <c r="V1706" s="6" t="s">
        <v>81</v>
      </c>
      <c r="W1706" s="6" t="s">
        <v>12908</v>
      </c>
      <c r="X1706" s="6" t="s">
        <v>81</v>
      </c>
      <c r="Y1706" s="21" t="s">
        <v>81</v>
      </c>
      <c r="Z1706" s="6" t="s">
        <v>81</v>
      </c>
      <c r="AA1706" s="6" t="s">
        <v>81</v>
      </c>
      <c r="AB1706" s="6" t="s">
        <v>81</v>
      </c>
      <c r="AC1706" s="6" t="s">
        <v>81</v>
      </c>
      <c r="AD1706" s="21" t="s">
        <v>81</v>
      </c>
      <c r="AE1706" s="6" t="s">
        <v>81</v>
      </c>
      <c r="AF1706" s="6" t="s">
        <v>81</v>
      </c>
      <c r="AG1706" s="6" t="s">
        <v>81</v>
      </c>
      <c r="AH1706" s="6" t="s">
        <v>16268</v>
      </c>
      <c r="AI1706" s="6" t="s">
        <v>81</v>
      </c>
      <c r="AJ1706" s="6" t="s">
        <v>18078</v>
      </c>
      <c r="AK1706" s="6" t="s">
        <v>18386</v>
      </c>
      <c r="AL1706" s="6" t="s">
        <v>18444</v>
      </c>
      <c r="AM1706" s="6" t="s">
        <v>19274</v>
      </c>
      <c r="AN1706" s="6" t="s">
        <v>81</v>
      </c>
      <c r="AO1706" s="6" t="s">
        <v>81</v>
      </c>
      <c r="AP1706" s="6" t="s">
        <v>16268</v>
      </c>
      <c r="AQ1706" s="6" t="s">
        <v>81</v>
      </c>
      <c r="AR1706" s="6" t="s">
        <v>18078</v>
      </c>
      <c r="AS1706" s="6" t="s">
        <v>18386</v>
      </c>
      <c r="AT1706" s="6" t="s">
        <v>18444</v>
      </c>
      <c r="AU1706" s="6" t="s">
        <v>19274</v>
      </c>
      <c r="AV1706" s="6" t="s">
        <v>19674</v>
      </c>
      <c r="AW1706" s="6" t="s">
        <v>19803</v>
      </c>
      <c r="AX1706" s="6" t="s">
        <v>21834</v>
      </c>
      <c r="AY1706" s="6" t="s">
        <v>23163</v>
      </c>
      <c r="AZ1706" s="6" t="s">
        <v>81</v>
      </c>
      <c r="BA1706" s="6" t="s">
        <v>81</v>
      </c>
      <c r="BB1706" s="24" t="n">
        <v>2112</v>
      </c>
      <c r="BC1706" s="26"/>
      <c r="BD1706" s="26"/>
      <c r="BE1706" s="26"/>
      <c r="BF1706" s="26"/>
      <c r="BG1706" s="26"/>
      <c r="BH1706" s="26"/>
      <c r="BI1706" s="26"/>
      <c r="BJ1706" s="26"/>
      <c r="BK1706" s="26"/>
      <c r="BL1706" s="26"/>
      <c r="BM1706" s="26"/>
      <c r="BN1706" s="26"/>
      <c r="BO1706" s="26"/>
      <c r="BP1706" s="16" t="n">
        <v>45601</v>
      </c>
      <c r="BQ1706" s="28" t="str">
        <f>HYPERLINK("https://organic.ams.usda.gov/Integrity/Certificate.aspx?cid=63&amp;nopid=6220005828")</f>
        <v>https://organic.ams.usda.gov/Integrity/Certificate.aspx?cid=63&amp;nopid=6220005828</v>
      </c>
    </row>
    <row r="1707">
      <c r="A1707" t="s">
        <v>3</v>
      </c>
      <c r="B1707" s="6" t="s">
        <v>16</v>
      </c>
      <c r="C1707" s="6" t="s">
        <v>63</v>
      </c>
      <c r="D1707" s="6" t="s">
        <v>109</v>
      </c>
      <c r="E1707" s="10" t="s">
        <v>1848</v>
      </c>
      <c r="F1707" s="6" t="s">
        <v>4569</v>
      </c>
      <c r="G1707" s="6" t="s">
        <v>81</v>
      </c>
      <c r="H1707" s="6" t="s">
        <v>7458</v>
      </c>
      <c r="I1707" s="6" t="s">
        <v>9252</v>
      </c>
      <c r="J1707" s="6" t="s">
        <v>10122</v>
      </c>
      <c r="K1707" s="6" t="s">
        <v>10886</v>
      </c>
      <c r="L1707" s="16" t="n">
        <v>39233</v>
      </c>
      <c r="M1707" s="16" t="n">
        <v>45731</v>
      </c>
      <c r="N1707" s="6" t="s">
        <v>10886</v>
      </c>
      <c r="O1707" s="16" t="n">
        <v>39233</v>
      </c>
      <c r="P1707" s="6" t="s">
        <v>11912</v>
      </c>
      <c r="Q1707" s="6" t="s">
        <v>81</v>
      </c>
      <c r="R1707" s="6" t="s">
        <v>81</v>
      </c>
      <c r="S1707" s="6" t="s">
        <v>10886</v>
      </c>
      <c r="T1707" s="16" t="n">
        <v>39233</v>
      </c>
      <c r="U1707" s="6" t="s">
        <v>13691</v>
      </c>
      <c r="V1707" s="6" t="s">
        <v>81</v>
      </c>
      <c r="W1707" s="6" t="s">
        <v>81</v>
      </c>
      <c r="X1707" s="6" t="s">
        <v>81</v>
      </c>
      <c r="Y1707" s="21" t="s">
        <v>81</v>
      </c>
      <c r="Z1707" s="6" t="s">
        <v>81</v>
      </c>
      <c r="AA1707" s="6" t="s">
        <v>81</v>
      </c>
      <c r="AB1707" s="6" t="s">
        <v>81</v>
      </c>
      <c r="AC1707" s="6" t="s">
        <v>10886</v>
      </c>
      <c r="AD1707" s="16" t="n">
        <v>39233</v>
      </c>
      <c r="AE1707" s="6" t="s">
        <v>14297</v>
      </c>
      <c r="AF1707" s="6" t="s">
        <v>81</v>
      </c>
      <c r="AG1707" s="6" t="s">
        <v>81</v>
      </c>
      <c r="AH1707" s="6" t="s">
        <v>16269</v>
      </c>
      <c r="AI1707" s="6" t="s">
        <v>81</v>
      </c>
      <c r="AJ1707" s="6" t="s">
        <v>18079</v>
      </c>
      <c r="AK1707" s="6" t="s">
        <v>18383</v>
      </c>
      <c r="AL1707" s="6" t="s">
        <v>18444</v>
      </c>
      <c r="AM1707" s="6" t="s">
        <v>19275</v>
      </c>
      <c r="AN1707" s="6" t="s">
        <v>19651</v>
      </c>
      <c r="AO1707" s="6" t="s">
        <v>19721</v>
      </c>
      <c r="AP1707" s="6" t="s">
        <v>81</v>
      </c>
      <c r="AQ1707" s="6" t="s">
        <v>81</v>
      </c>
      <c r="AR1707" s="6" t="s">
        <v>81</v>
      </c>
      <c r="AS1707" s="6" t="s">
        <v>81</v>
      </c>
      <c r="AT1707" s="6" t="s">
        <v>81</v>
      </c>
      <c r="AU1707" s="6" t="s">
        <v>81</v>
      </c>
      <c r="AV1707" s="6" t="s">
        <v>81</v>
      </c>
      <c r="AW1707" s="6" t="s">
        <v>81</v>
      </c>
      <c r="AX1707" s="6" t="s">
        <v>21835</v>
      </c>
      <c r="AY1707" s="6" t="s">
        <v>81</v>
      </c>
      <c r="AZ1707" s="6" t="s">
        <v>23712</v>
      </c>
      <c r="BA1707" s="6" t="s">
        <v>81</v>
      </c>
      <c r="BB1707" s="24" t="n">
        <v>1815</v>
      </c>
      <c r="BC1707" s="26"/>
      <c r="BD1707" s="26"/>
      <c r="BE1707" s="26"/>
      <c r="BF1707" s="26"/>
      <c r="BG1707" s="26"/>
      <c r="BH1707" s="26"/>
      <c r="BI1707" s="26"/>
      <c r="BJ1707" s="26"/>
      <c r="BK1707" s="26"/>
      <c r="BL1707" s="26"/>
      <c r="BM1707" s="26"/>
      <c r="BN1707" s="26"/>
      <c r="BO1707" s="26"/>
      <c r="BP1707" s="16" t="n">
        <v>45701</v>
      </c>
      <c r="BQ1707" s="28" t="str">
        <f>HYPERLINK("https://organic.ams.usda.gov/Integrity/Certificate.aspx?cid=81&amp;nopid=4210007119")</f>
        <v>https://organic.ams.usda.gov/Integrity/Certificate.aspx?cid=81&amp;nopid=4210007119</v>
      </c>
    </row>
    <row r="1708">
      <c r="A1708" t="s">
        <v>3</v>
      </c>
      <c r="B1708" s="6" t="s">
        <v>8</v>
      </c>
      <c r="C1708" s="6" t="s">
        <v>55</v>
      </c>
      <c r="D1708" s="6" t="s">
        <v>101</v>
      </c>
      <c r="E1708" s="10" t="s">
        <v>1849</v>
      </c>
      <c r="F1708" s="6" t="s">
        <v>4570</v>
      </c>
      <c r="G1708" s="6" t="s">
        <v>81</v>
      </c>
      <c r="H1708" s="6" t="s">
        <v>7459</v>
      </c>
      <c r="I1708" s="6" t="s">
        <v>8529</v>
      </c>
      <c r="J1708" s="6" t="s">
        <v>9665</v>
      </c>
      <c r="K1708" s="6" t="s">
        <v>10886</v>
      </c>
      <c r="L1708" s="16" t="n">
        <v>42681</v>
      </c>
      <c r="M1708" s="16" t="n">
        <v>45748</v>
      </c>
      <c r="N1708" s="6" t="s">
        <v>10886</v>
      </c>
      <c r="O1708" s="16" t="n">
        <v>42681</v>
      </c>
      <c r="P1708" s="6" t="s">
        <v>11913</v>
      </c>
      <c r="Q1708" s="6" t="s">
        <v>81</v>
      </c>
      <c r="R1708" s="6" t="s">
        <v>7459</v>
      </c>
      <c r="S1708" s="6" t="s">
        <v>10886</v>
      </c>
      <c r="T1708" s="16" t="n">
        <v>42681</v>
      </c>
      <c r="U1708" s="6" t="s">
        <v>13692</v>
      </c>
      <c r="V1708" s="6" t="s">
        <v>81</v>
      </c>
      <c r="W1708" s="6" t="s">
        <v>7459</v>
      </c>
      <c r="X1708" s="6" t="s">
        <v>81</v>
      </c>
      <c r="Y1708" s="21" t="s">
        <v>81</v>
      </c>
      <c r="Z1708" s="6" t="s">
        <v>81</v>
      </c>
      <c r="AA1708" s="6" t="s">
        <v>81</v>
      </c>
      <c r="AB1708" s="6" t="s">
        <v>81</v>
      </c>
      <c r="AC1708" s="6" t="s">
        <v>81</v>
      </c>
      <c r="AD1708" s="21" t="s">
        <v>81</v>
      </c>
      <c r="AE1708" s="6" t="s">
        <v>81</v>
      </c>
      <c r="AF1708" s="6" t="s">
        <v>81</v>
      </c>
      <c r="AG1708" s="6" t="s">
        <v>81</v>
      </c>
      <c r="AH1708" s="6" t="s">
        <v>16270</v>
      </c>
      <c r="AI1708" s="6" t="s">
        <v>81</v>
      </c>
      <c r="AJ1708" s="6" t="s">
        <v>18080</v>
      </c>
      <c r="AK1708" s="6" t="s">
        <v>18378</v>
      </c>
      <c r="AL1708" s="6" t="s">
        <v>18444</v>
      </c>
      <c r="AM1708" s="6" t="s">
        <v>19276</v>
      </c>
      <c r="AN1708" s="6" t="s">
        <v>19655</v>
      </c>
      <c r="AO1708" s="6" t="s">
        <v>19748</v>
      </c>
      <c r="AP1708" s="6" t="s">
        <v>20317</v>
      </c>
      <c r="AQ1708" s="6" t="s">
        <v>81</v>
      </c>
      <c r="AR1708" s="6" t="s">
        <v>18080</v>
      </c>
      <c r="AS1708" s="6" t="s">
        <v>18378</v>
      </c>
      <c r="AT1708" s="6" t="s">
        <v>18444</v>
      </c>
      <c r="AU1708" s="6" t="s">
        <v>19276</v>
      </c>
      <c r="AV1708" s="6" t="s">
        <v>81</v>
      </c>
      <c r="AW1708" s="6" t="s">
        <v>81</v>
      </c>
      <c r="AX1708" s="6" t="s">
        <v>81</v>
      </c>
      <c r="AY1708" s="6" t="s">
        <v>81</v>
      </c>
      <c r="AZ1708" s="6" t="s">
        <v>81</v>
      </c>
      <c r="BA1708" s="6" t="s">
        <v>23819</v>
      </c>
      <c r="BB1708" s="24" t="n">
        <v>132</v>
      </c>
      <c r="BC1708" s="26"/>
      <c r="BD1708" s="26"/>
      <c r="BE1708" s="26"/>
      <c r="BF1708" s="26"/>
      <c r="BG1708" s="26"/>
      <c r="BH1708" s="26"/>
      <c r="BI1708" s="26"/>
      <c r="BJ1708" s="26"/>
      <c r="BK1708" s="26"/>
      <c r="BL1708" s="26"/>
      <c r="BM1708" s="26"/>
      <c r="BN1708" s="26"/>
      <c r="BO1708" s="26"/>
      <c r="BP1708" s="16" t="n">
        <v>45525</v>
      </c>
      <c r="BQ1708" s="28" t="str">
        <f>HYPERLINK("https://organic.ams.usda.gov/Integrity/Certificate.aspx?cid=45&amp;nopid=9950009789")</f>
        <v>https://organic.ams.usda.gov/Integrity/Certificate.aspx?cid=45&amp;nopid=9950009789</v>
      </c>
    </row>
    <row r="1709">
      <c r="A1709" t="s">
        <v>3</v>
      </c>
      <c r="B1709" s="6" t="s">
        <v>19</v>
      </c>
      <c r="C1709" s="6" t="s">
        <v>66</v>
      </c>
      <c r="D1709" s="6" t="s">
        <v>112</v>
      </c>
      <c r="E1709" s="10" t="s">
        <v>1850</v>
      </c>
      <c r="F1709" s="6" t="s">
        <v>4571</v>
      </c>
      <c r="G1709" s="6" t="s">
        <v>81</v>
      </c>
      <c r="H1709" s="6" t="s">
        <v>7460</v>
      </c>
      <c r="I1709" s="6" t="s">
        <v>81</v>
      </c>
      <c r="J1709" s="6" t="s">
        <v>10435</v>
      </c>
      <c r="K1709" s="6" t="s">
        <v>10886</v>
      </c>
      <c r="L1709" s="16" t="n">
        <v>44621</v>
      </c>
      <c r="M1709" s="16" t="n">
        <v>46054</v>
      </c>
      <c r="N1709" s="6" t="s">
        <v>81</v>
      </c>
      <c r="O1709" s="21" t="s">
        <v>81</v>
      </c>
      <c r="P1709" s="6" t="s">
        <v>81</v>
      </c>
      <c r="Q1709" s="6" t="s">
        <v>81</v>
      </c>
      <c r="R1709" s="6" t="s">
        <v>81</v>
      </c>
      <c r="S1709" s="6" t="s">
        <v>81</v>
      </c>
      <c r="T1709" s="21" t="s">
        <v>81</v>
      </c>
      <c r="U1709" s="6" t="s">
        <v>81</v>
      </c>
      <c r="V1709" s="6" t="s">
        <v>81</v>
      </c>
      <c r="W1709" s="6" t="s">
        <v>81</v>
      </c>
      <c r="X1709" s="6" t="s">
        <v>81</v>
      </c>
      <c r="Y1709" s="21" t="s">
        <v>81</v>
      </c>
      <c r="Z1709" s="6" t="s">
        <v>81</v>
      </c>
      <c r="AA1709" s="6" t="s">
        <v>81</v>
      </c>
      <c r="AB1709" s="6" t="s">
        <v>81</v>
      </c>
      <c r="AC1709" s="6" t="s">
        <v>10886</v>
      </c>
      <c r="AD1709" s="16" t="n">
        <v>44621</v>
      </c>
      <c r="AE1709" s="6" t="s">
        <v>14298</v>
      </c>
      <c r="AF1709" s="6" t="s">
        <v>81</v>
      </c>
      <c r="AG1709" s="6" t="s">
        <v>81</v>
      </c>
      <c r="AH1709" s="6" t="s">
        <v>16271</v>
      </c>
      <c r="AI1709" s="6" t="s">
        <v>81</v>
      </c>
      <c r="AJ1709" s="6" t="s">
        <v>18081</v>
      </c>
      <c r="AK1709" s="6" t="s">
        <v>18381</v>
      </c>
      <c r="AL1709" s="6" t="s">
        <v>18444</v>
      </c>
      <c r="AM1709" s="6" t="s">
        <v>19277</v>
      </c>
      <c r="AN1709" s="6" t="s">
        <v>19660</v>
      </c>
      <c r="AO1709" s="6" t="s">
        <v>19792</v>
      </c>
      <c r="AP1709" s="6" t="s">
        <v>81</v>
      </c>
      <c r="AQ1709" s="6" t="s">
        <v>81</v>
      </c>
      <c r="AR1709" s="6" t="s">
        <v>81</v>
      </c>
      <c r="AS1709" s="6" t="s">
        <v>81</v>
      </c>
      <c r="AT1709" s="6" t="s">
        <v>81</v>
      </c>
      <c r="AU1709" s="6" t="s">
        <v>81</v>
      </c>
      <c r="AV1709" s="6" t="s">
        <v>81</v>
      </c>
      <c r="AW1709" s="6" t="s">
        <v>81</v>
      </c>
      <c r="AX1709" s="6" t="s">
        <v>21836</v>
      </c>
      <c r="AY1709" s="6" t="s">
        <v>23164</v>
      </c>
      <c r="AZ1709" s="6" t="s">
        <v>81</v>
      </c>
      <c r="BA1709" s="6" t="s">
        <v>23854</v>
      </c>
      <c r="BB1709" s="24" t="n">
        <v>0</v>
      </c>
      <c r="BC1709" s="26"/>
      <c r="BD1709" s="26"/>
      <c r="BE1709" s="26"/>
      <c r="BF1709" s="26"/>
      <c r="BG1709" s="26"/>
      <c r="BH1709" s="26"/>
      <c r="BI1709" s="26"/>
      <c r="BJ1709" s="26"/>
      <c r="BK1709" s="26"/>
      <c r="BL1709" s="26"/>
      <c r="BM1709" s="26"/>
      <c r="BN1709" s="26"/>
      <c r="BO1709" s="26"/>
      <c r="BP1709" s="16" t="n">
        <v>45690</v>
      </c>
      <c r="BQ1709" s="28" t="str">
        <f>HYPERLINK("https://organic.ams.usda.gov/Integrity/Certificate.aspx?cid=24&amp;nopid=7882375630")</f>
        <v>https://organic.ams.usda.gov/Integrity/Certificate.aspx?cid=24&amp;nopid=7882375630</v>
      </c>
    </row>
    <row r="1710">
      <c r="A1710" t="s">
        <v>3</v>
      </c>
      <c r="B1710" s="6" t="s">
        <v>14</v>
      </c>
      <c r="C1710" s="6" t="s">
        <v>61</v>
      </c>
      <c r="D1710" s="6" t="s">
        <v>107</v>
      </c>
      <c r="E1710" s="10" t="s">
        <v>1851</v>
      </c>
      <c r="F1710" s="6" t="s">
        <v>4572</v>
      </c>
      <c r="G1710" s="6" t="s">
        <v>81</v>
      </c>
      <c r="H1710" s="6" t="s">
        <v>7461</v>
      </c>
      <c r="I1710" s="6" t="s">
        <v>8507</v>
      </c>
      <c r="J1710" s="6" t="s">
        <v>10436</v>
      </c>
      <c r="K1710" s="6" t="s">
        <v>10886</v>
      </c>
      <c r="L1710" s="16" t="n">
        <v>45554</v>
      </c>
      <c r="M1710" s="16" t="n">
        <v>45778</v>
      </c>
      <c r="N1710" s="6" t="s">
        <v>81</v>
      </c>
      <c r="O1710" s="21" t="s">
        <v>81</v>
      </c>
      <c r="P1710" s="6" t="s">
        <v>81</v>
      </c>
      <c r="Q1710" s="6" t="s">
        <v>81</v>
      </c>
      <c r="R1710" s="6" t="s">
        <v>81</v>
      </c>
      <c r="S1710" s="6" t="s">
        <v>81</v>
      </c>
      <c r="T1710" s="21" t="s">
        <v>81</v>
      </c>
      <c r="U1710" s="6" t="s">
        <v>81</v>
      </c>
      <c r="V1710" s="6" t="s">
        <v>81</v>
      </c>
      <c r="W1710" s="6" t="s">
        <v>81</v>
      </c>
      <c r="X1710" s="6" t="s">
        <v>81</v>
      </c>
      <c r="Y1710" s="21" t="s">
        <v>81</v>
      </c>
      <c r="Z1710" s="6" t="s">
        <v>81</v>
      </c>
      <c r="AA1710" s="6" t="s">
        <v>81</v>
      </c>
      <c r="AB1710" s="6" t="s">
        <v>81</v>
      </c>
      <c r="AC1710" s="6" t="s">
        <v>10886</v>
      </c>
      <c r="AD1710" s="16" t="n">
        <v>45554</v>
      </c>
      <c r="AE1710" s="6" t="s">
        <v>14299</v>
      </c>
      <c r="AF1710" s="6" t="s">
        <v>81</v>
      </c>
      <c r="AG1710" s="6" t="s">
        <v>81</v>
      </c>
      <c r="AH1710" s="6" t="s">
        <v>16272</v>
      </c>
      <c r="AI1710" s="6" t="s">
        <v>81</v>
      </c>
      <c r="AJ1710" s="6" t="s">
        <v>18082</v>
      </c>
      <c r="AK1710" s="6" t="s">
        <v>18382</v>
      </c>
      <c r="AL1710" s="6" t="s">
        <v>18444</v>
      </c>
      <c r="AM1710" s="6" t="s">
        <v>19278</v>
      </c>
      <c r="AN1710" s="6" t="s">
        <v>81</v>
      </c>
      <c r="AO1710" s="6" t="s">
        <v>81</v>
      </c>
      <c r="AP1710" s="6" t="s">
        <v>20318</v>
      </c>
      <c r="AQ1710" s="6" t="s">
        <v>20483</v>
      </c>
      <c r="AR1710" s="6" t="s">
        <v>20549</v>
      </c>
      <c r="AS1710" s="6" t="s">
        <v>18382</v>
      </c>
      <c r="AT1710" s="6" t="s">
        <v>18444</v>
      </c>
      <c r="AU1710" s="6" t="s">
        <v>20676</v>
      </c>
      <c r="AV1710" s="6" t="s">
        <v>81</v>
      </c>
      <c r="AW1710" s="6" t="s">
        <v>81</v>
      </c>
      <c r="AX1710" s="6" t="s">
        <v>21837</v>
      </c>
      <c r="AY1710" s="6" t="s">
        <v>23165</v>
      </c>
      <c r="AZ1710" s="6" t="s">
        <v>81</v>
      </c>
      <c r="BA1710" s="6" t="s">
        <v>81</v>
      </c>
      <c r="BB1710" s="24" t="n">
        <v>0</v>
      </c>
      <c r="BC1710" s="26"/>
      <c r="BD1710" s="26"/>
      <c r="BE1710" s="26"/>
      <c r="BF1710" s="26"/>
      <c r="BG1710" s="26"/>
      <c r="BH1710" s="26" t="s">
        <v>23900</v>
      </c>
      <c r="BI1710" s="26"/>
      <c r="BJ1710" s="26"/>
      <c r="BK1710" s="26"/>
      <c r="BL1710" s="26"/>
      <c r="BM1710" s="26"/>
      <c r="BN1710" s="26"/>
      <c r="BO1710" s="26"/>
      <c r="BP1710" s="16" t="n">
        <v>45664</v>
      </c>
      <c r="BQ1710" s="28" t="str">
        <f>HYPERLINK("https://organic.ams.usda.gov/Integrity/Certificate.aspx?cid=51&amp;nopid=8241000136")</f>
        <v>https://organic.ams.usda.gov/Integrity/Certificate.aspx?cid=51&amp;nopid=8241000136</v>
      </c>
    </row>
    <row r="1711">
      <c r="A1711" t="s">
        <v>3</v>
      </c>
      <c r="B1711" s="6" t="s">
        <v>29</v>
      </c>
      <c r="C1711" s="6" t="s">
        <v>76</v>
      </c>
      <c r="D1711" s="6" t="s">
        <v>122</v>
      </c>
      <c r="E1711" s="10" t="s">
        <v>1852</v>
      </c>
      <c r="F1711" s="6" t="s">
        <v>4573</v>
      </c>
      <c r="G1711" s="6" t="s">
        <v>81</v>
      </c>
      <c r="H1711" s="6" t="s">
        <v>7462</v>
      </c>
      <c r="I1711" s="6" t="s">
        <v>8641</v>
      </c>
      <c r="J1711" s="6" t="s">
        <v>9665</v>
      </c>
      <c r="K1711" s="6" t="s">
        <v>10886</v>
      </c>
      <c r="L1711" s="16" t="n">
        <v>39965</v>
      </c>
      <c r="M1711" s="16" t="n">
        <v>45505</v>
      </c>
      <c r="N1711" s="6" t="s">
        <v>10886</v>
      </c>
      <c r="O1711" s="16" t="n">
        <v>39965</v>
      </c>
      <c r="P1711" s="6" t="s">
        <v>11220</v>
      </c>
      <c r="Q1711" s="6" t="s">
        <v>81</v>
      </c>
      <c r="R1711" s="6" t="s">
        <v>12909</v>
      </c>
      <c r="S1711" s="6" t="s">
        <v>10886</v>
      </c>
      <c r="T1711" s="16" t="n">
        <v>39965</v>
      </c>
      <c r="U1711" s="6" t="s">
        <v>13222</v>
      </c>
      <c r="V1711" s="6" t="s">
        <v>81</v>
      </c>
      <c r="W1711" s="6" t="s">
        <v>12909</v>
      </c>
      <c r="X1711" s="6" t="s">
        <v>81</v>
      </c>
      <c r="Y1711" s="21" t="s">
        <v>81</v>
      </c>
      <c r="Z1711" s="6" t="s">
        <v>81</v>
      </c>
      <c r="AA1711" s="6" t="s">
        <v>81</v>
      </c>
      <c r="AB1711" s="6" t="s">
        <v>81</v>
      </c>
      <c r="AC1711" s="6" t="s">
        <v>81</v>
      </c>
      <c r="AD1711" s="21" t="s">
        <v>81</v>
      </c>
      <c r="AE1711" s="6" t="s">
        <v>81</v>
      </c>
      <c r="AF1711" s="6" t="s">
        <v>81</v>
      </c>
      <c r="AG1711" s="6" t="s">
        <v>81</v>
      </c>
      <c r="AH1711" s="6" t="s">
        <v>16273</v>
      </c>
      <c r="AI1711" s="6" t="s">
        <v>81</v>
      </c>
      <c r="AJ1711" s="6" t="s">
        <v>17413</v>
      </c>
      <c r="AK1711" s="6" t="s">
        <v>18380</v>
      </c>
      <c r="AL1711" s="6" t="s">
        <v>18444</v>
      </c>
      <c r="AM1711" s="6" t="s">
        <v>18569</v>
      </c>
      <c r="AN1711" s="6" t="s">
        <v>19639</v>
      </c>
      <c r="AO1711" s="6" t="s">
        <v>19725</v>
      </c>
      <c r="AP1711" s="6" t="s">
        <v>81</v>
      </c>
      <c r="AQ1711" s="6" t="s">
        <v>81</v>
      </c>
      <c r="AR1711" s="6" t="s">
        <v>81</v>
      </c>
      <c r="AS1711" s="6" t="s">
        <v>81</v>
      </c>
      <c r="AT1711" s="6" t="s">
        <v>81</v>
      </c>
      <c r="AU1711" s="6" t="s">
        <v>81</v>
      </c>
      <c r="AV1711" s="6" t="s">
        <v>81</v>
      </c>
      <c r="AW1711" s="6" t="s">
        <v>81</v>
      </c>
      <c r="AX1711" s="6" t="s">
        <v>21838</v>
      </c>
      <c r="AY1711" s="6" t="s">
        <v>81</v>
      </c>
      <c r="AZ1711" s="6" t="s">
        <v>81</v>
      </c>
      <c r="BA1711" s="6" t="s">
        <v>81</v>
      </c>
      <c r="BB1711" s="24" t="n">
        <v>69</v>
      </c>
      <c r="BC1711" s="26"/>
      <c r="BD1711" s="26"/>
      <c r="BE1711" s="26"/>
      <c r="BF1711" s="26" t="s">
        <v>23900</v>
      </c>
      <c r="BG1711" s="26"/>
      <c r="BH1711" s="26"/>
      <c r="BI1711" s="26"/>
      <c r="BJ1711" s="26"/>
      <c r="BK1711" s="26"/>
      <c r="BL1711" s="26"/>
      <c r="BM1711" s="26"/>
      <c r="BN1711" s="26"/>
      <c r="BO1711" s="26"/>
      <c r="BP1711" s="16" t="n">
        <v>45737</v>
      </c>
      <c r="BQ1711" s="28" t="str">
        <f>HYPERLINK("https://organic.ams.usda.gov/Integrity/Certificate.aspx?cid=31&amp;nopid=3920897841")</f>
        <v>https://organic.ams.usda.gov/Integrity/Certificate.aspx?cid=31&amp;nopid=3920897841</v>
      </c>
    </row>
    <row r="1712">
      <c r="A1712" t="s">
        <v>3</v>
      </c>
      <c r="B1712" s="6" t="s">
        <v>8</v>
      </c>
      <c r="C1712" s="6" t="s">
        <v>55</v>
      </c>
      <c r="D1712" s="6" t="s">
        <v>101</v>
      </c>
      <c r="E1712" s="10" t="s">
        <v>1853</v>
      </c>
      <c r="F1712" s="6" t="s">
        <v>4574</v>
      </c>
      <c r="G1712" s="6" t="s">
        <v>81</v>
      </c>
      <c r="H1712" s="6" t="s">
        <v>7463</v>
      </c>
      <c r="I1712" s="6" t="s">
        <v>8637</v>
      </c>
      <c r="J1712" s="6" t="s">
        <v>9963</v>
      </c>
      <c r="K1712" s="6" t="s">
        <v>10886</v>
      </c>
      <c r="L1712" s="16" t="n">
        <v>37866</v>
      </c>
      <c r="M1712" s="16" t="n">
        <v>45383</v>
      </c>
      <c r="N1712" s="6" t="s">
        <v>10886</v>
      </c>
      <c r="O1712" s="16" t="n">
        <v>37866</v>
      </c>
      <c r="P1712" s="6" t="s">
        <v>11914</v>
      </c>
      <c r="Q1712" s="6" t="s">
        <v>81</v>
      </c>
      <c r="R1712" s="6" t="s">
        <v>7463</v>
      </c>
      <c r="S1712" s="6" t="s">
        <v>10886</v>
      </c>
      <c r="T1712" s="16" t="n">
        <v>37866</v>
      </c>
      <c r="U1712" s="6" t="s">
        <v>13265</v>
      </c>
      <c r="V1712" s="6" t="s">
        <v>81</v>
      </c>
      <c r="W1712" s="6" t="s">
        <v>7463</v>
      </c>
      <c r="X1712" s="6" t="s">
        <v>81</v>
      </c>
      <c r="Y1712" s="21" t="s">
        <v>81</v>
      </c>
      <c r="Z1712" s="6" t="s">
        <v>81</v>
      </c>
      <c r="AA1712" s="6" t="s">
        <v>81</v>
      </c>
      <c r="AB1712" s="6" t="s">
        <v>81</v>
      </c>
      <c r="AC1712" s="6" t="s">
        <v>81</v>
      </c>
      <c r="AD1712" s="21" t="s">
        <v>81</v>
      </c>
      <c r="AE1712" s="6" t="s">
        <v>81</v>
      </c>
      <c r="AF1712" s="6" t="s">
        <v>81</v>
      </c>
      <c r="AG1712" s="6" t="s">
        <v>81</v>
      </c>
      <c r="AH1712" s="6" t="s">
        <v>16274</v>
      </c>
      <c r="AI1712" s="6" t="s">
        <v>81</v>
      </c>
      <c r="AJ1712" s="6" t="s">
        <v>17708</v>
      </c>
      <c r="AK1712" s="6" t="s">
        <v>18377</v>
      </c>
      <c r="AL1712" s="6" t="s">
        <v>18444</v>
      </c>
      <c r="AM1712" s="6" t="s">
        <v>18875</v>
      </c>
      <c r="AN1712" s="6" t="s">
        <v>19646</v>
      </c>
      <c r="AO1712" s="6" t="s">
        <v>19733</v>
      </c>
      <c r="AP1712" s="6" t="s">
        <v>81</v>
      </c>
      <c r="AQ1712" s="6" t="s">
        <v>81</v>
      </c>
      <c r="AR1712" s="6" t="s">
        <v>81</v>
      </c>
      <c r="AS1712" s="6" t="s">
        <v>81</v>
      </c>
      <c r="AT1712" s="6" t="s">
        <v>81</v>
      </c>
      <c r="AU1712" s="6" t="s">
        <v>81</v>
      </c>
      <c r="AV1712" s="6" t="s">
        <v>81</v>
      </c>
      <c r="AW1712" s="6" t="s">
        <v>81</v>
      </c>
      <c r="AX1712" s="6" t="s">
        <v>81</v>
      </c>
      <c r="AY1712" s="6" t="s">
        <v>81</v>
      </c>
      <c r="AZ1712" s="6" t="s">
        <v>81</v>
      </c>
      <c r="BA1712" s="6" t="s">
        <v>23824</v>
      </c>
      <c r="BB1712" s="24" t="n">
        <v>245</v>
      </c>
      <c r="BC1712" s="26"/>
      <c r="BD1712" s="26"/>
      <c r="BE1712" s="26"/>
      <c r="BF1712" s="26" t="s">
        <v>23900</v>
      </c>
      <c r="BG1712" s="26"/>
      <c r="BH1712" s="26"/>
      <c r="BI1712" s="26"/>
      <c r="BJ1712" s="26"/>
      <c r="BK1712" s="26"/>
      <c r="BL1712" s="26"/>
      <c r="BM1712" s="26"/>
      <c r="BN1712" s="26"/>
      <c r="BO1712" s="26"/>
      <c r="BP1712" s="16" t="n">
        <v>45568</v>
      </c>
      <c r="BQ1712" s="28" t="str">
        <f>HYPERLINK("https://organic.ams.usda.gov/Integrity/Certificate.aspx?cid=45&amp;nopid=9950001318")</f>
        <v>https://organic.ams.usda.gov/Integrity/Certificate.aspx?cid=45&amp;nopid=9950001318</v>
      </c>
    </row>
    <row r="1713">
      <c r="A1713" t="s">
        <v>3</v>
      </c>
      <c r="B1713" s="6" t="s">
        <v>8</v>
      </c>
      <c r="C1713" s="6" t="s">
        <v>55</v>
      </c>
      <c r="D1713" s="6" t="s">
        <v>101</v>
      </c>
      <c r="E1713" s="10" t="s">
        <v>1854</v>
      </c>
      <c r="F1713" s="6" t="s">
        <v>4575</v>
      </c>
      <c r="G1713" s="6" t="s">
        <v>81</v>
      </c>
      <c r="H1713" s="6" t="s">
        <v>7464</v>
      </c>
      <c r="I1713" s="6" t="s">
        <v>8921</v>
      </c>
      <c r="J1713" s="6" t="s">
        <v>9698</v>
      </c>
      <c r="K1713" s="6" t="s">
        <v>10886</v>
      </c>
      <c r="L1713" s="16" t="n">
        <v>40081</v>
      </c>
      <c r="M1713" s="16" t="n">
        <v>45689</v>
      </c>
      <c r="N1713" s="6" t="s">
        <v>10886</v>
      </c>
      <c r="O1713" s="16" t="n">
        <v>40081</v>
      </c>
      <c r="P1713" s="6" t="s">
        <v>11915</v>
      </c>
      <c r="Q1713" s="6" t="s">
        <v>81</v>
      </c>
      <c r="R1713" s="6" t="s">
        <v>7464</v>
      </c>
      <c r="S1713" s="6" t="s">
        <v>10886</v>
      </c>
      <c r="T1713" s="16" t="n">
        <v>40081</v>
      </c>
      <c r="U1713" s="6" t="s">
        <v>13221</v>
      </c>
      <c r="V1713" s="6" t="s">
        <v>81</v>
      </c>
      <c r="W1713" s="6" t="s">
        <v>7464</v>
      </c>
      <c r="X1713" s="6" t="s">
        <v>81</v>
      </c>
      <c r="Y1713" s="21" t="s">
        <v>81</v>
      </c>
      <c r="Z1713" s="6" t="s">
        <v>81</v>
      </c>
      <c r="AA1713" s="6" t="s">
        <v>81</v>
      </c>
      <c r="AB1713" s="6" t="s">
        <v>81</v>
      </c>
      <c r="AC1713" s="6" t="s">
        <v>81</v>
      </c>
      <c r="AD1713" s="21" t="s">
        <v>81</v>
      </c>
      <c r="AE1713" s="6" t="s">
        <v>81</v>
      </c>
      <c r="AF1713" s="6" t="s">
        <v>81</v>
      </c>
      <c r="AG1713" s="6" t="s">
        <v>81</v>
      </c>
      <c r="AH1713" s="6" t="s">
        <v>16275</v>
      </c>
      <c r="AI1713" s="6" t="s">
        <v>81</v>
      </c>
      <c r="AJ1713" s="6" t="s">
        <v>18083</v>
      </c>
      <c r="AK1713" s="6" t="s">
        <v>18384</v>
      </c>
      <c r="AL1713" s="6" t="s">
        <v>18444</v>
      </c>
      <c r="AM1713" s="6" t="s">
        <v>19279</v>
      </c>
      <c r="AN1713" s="6" t="s">
        <v>19711</v>
      </c>
      <c r="AO1713" s="6" t="s">
        <v>19784</v>
      </c>
      <c r="AP1713" s="6" t="s">
        <v>81</v>
      </c>
      <c r="AQ1713" s="6" t="s">
        <v>81</v>
      </c>
      <c r="AR1713" s="6" t="s">
        <v>81</v>
      </c>
      <c r="AS1713" s="6" t="s">
        <v>81</v>
      </c>
      <c r="AT1713" s="6" t="s">
        <v>81</v>
      </c>
      <c r="AU1713" s="6" t="s">
        <v>81</v>
      </c>
      <c r="AV1713" s="6" t="s">
        <v>81</v>
      </c>
      <c r="AW1713" s="6" t="s">
        <v>81</v>
      </c>
      <c r="AX1713" s="6" t="s">
        <v>81</v>
      </c>
      <c r="AY1713" s="6" t="s">
        <v>81</v>
      </c>
      <c r="AZ1713" s="6" t="s">
        <v>81</v>
      </c>
      <c r="BA1713" s="6" t="s">
        <v>23824</v>
      </c>
      <c r="BB1713" s="24" t="n">
        <v>236</v>
      </c>
      <c r="BC1713" s="26"/>
      <c r="BD1713" s="26"/>
      <c r="BE1713" s="26"/>
      <c r="BF1713" s="26" t="s">
        <v>23900</v>
      </c>
      <c r="BG1713" s="26"/>
      <c r="BH1713" s="26"/>
      <c r="BI1713" s="26"/>
      <c r="BJ1713" s="26"/>
      <c r="BK1713" s="26"/>
      <c r="BL1713" s="26"/>
      <c r="BM1713" s="26"/>
      <c r="BN1713" s="26"/>
      <c r="BO1713" s="26"/>
      <c r="BP1713" s="16" t="n">
        <v>45707</v>
      </c>
      <c r="BQ1713" s="28" t="str">
        <f>HYPERLINK("https://organic.ams.usda.gov/Integrity/Certificate.aspx?cid=45&amp;nopid=9950003547")</f>
        <v>https://organic.ams.usda.gov/Integrity/Certificate.aspx?cid=45&amp;nopid=9950003547</v>
      </c>
    </row>
    <row r="1714">
      <c r="A1714" t="s">
        <v>3</v>
      </c>
      <c r="B1714" s="6" t="s">
        <v>7</v>
      </c>
      <c r="C1714" s="6" t="s">
        <v>54</v>
      </c>
      <c r="D1714" s="6" t="s">
        <v>100</v>
      </c>
      <c r="E1714" s="10" t="s">
        <v>1855</v>
      </c>
      <c r="F1714" s="6" t="s">
        <v>4576</v>
      </c>
      <c r="G1714" s="6" t="s">
        <v>81</v>
      </c>
      <c r="H1714" s="6" t="s">
        <v>7465</v>
      </c>
      <c r="I1714" s="6" t="s">
        <v>8591</v>
      </c>
      <c r="J1714" s="6" t="s">
        <v>10437</v>
      </c>
      <c r="K1714" s="6" t="s">
        <v>10886</v>
      </c>
      <c r="L1714" s="16" t="n">
        <v>39981</v>
      </c>
      <c r="M1714" s="16" t="n">
        <v>45716</v>
      </c>
      <c r="N1714" s="6" t="s">
        <v>10886</v>
      </c>
      <c r="O1714" s="16" t="n">
        <v>39981</v>
      </c>
      <c r="P1714" s="6" t="s">
        <v>10993</v>
      </c>
      <c r="Q1714" s="6" t="s">
        <v>81</v>
      </c>
      <c r="R1714" s="6" t="s">
        <v>81</v>
      </c>
      <c r="S1714" s="6" t="s">
        <v>10886</v>
      </c>
      <c r="T1714" s="16" t="n">
        <v>40313</v>
      </c>
      <c r="U1714" s="6" t="s">
        <v>13169</v>
      </c>
      <c r="V1714" s="6" t="s">
        <v>81</v>
      </c>
      <c r="W1714" s="6" t="s">
        <v>81</v>
      </c>
      <c r="X1714" s="6" t="s">
        <v>81</v>
      </c>
      <c r="Y1714" s="21" t="s">
        <v>81</v>
      </c>
      <c r="Z1714" s="6" t="s">
        <v>81</v>
      </c>
      <c r="AA1714" s="6" t="s">
        <v>81</v>
      </c>
      <c r="AB1714" s="6" t="s">
        <v>81</v>
      </c>
      <c r="AC1714" s="6" t="s">
        <v>81</v>
      </c>
      <c r="AD1714" s="21" t="s">
        <v>81</v>
      </c>
      <c r="AE1714" s="6" t="s">
        <v>81</v>
      </c>
      <c r="AF1714" s="6" t="s">
        <v>81</v>
      </c>
      <c r="AG1714" s="6" t="s">
        <v>81</v>
      </c>
      <c r="AH1714" s="6" t="s">
        <v>16276</v>
      </c>
      <c r="AI1714" s="6" t="s">
        <v>81</v>
      </c>
      <c r="AJ1714" s="6" t="s">
        <v>18084</v>
      </c>
      <c r="AK1714" s="6" t="s">
        <v>17712</v>
      </c>
      <c r="AL1714" s="6" t="s">
        <v>18444</v>
      </c>
      <c r="AM1714" s="6" t="s">
        <v>19280</v>
      </c>
      <c r="AN1714" s="6" t="s">
        <v>19670</v>
      </c>
      <c r="AO1714" s="6" t="s">
        <v>19782</v>
      </c>
      <c r="AP1714" s="6" t="s">
        <v>16276</v>
      </c>
      <c r="AQ1714" s="6" t="s">
        <v>81</v>
      </c>
      <c r="AR1714" s="6" t="s">
        <v>18084</v>
      </c>
      <c r="AS1714" s="6" t="s">
        <v>17712</v>
      </c>
      <c r="AT1714" s="6" t="s">
        <v>18444</v>
      </c>
      <c r="AU1714" s="6" t="s">
        <v>19280</v>
      </c>
      <c r="AV1714" s="6" t="s">
        <v>81</v>
      </c>
      <c r="AW1714" s="6" t="s">
        <v>81</v>
      </c>
      <c r="AX1714" s="6" t="s">
        <v>21839</v>
      </c>
      <c r="AY1714" s="6" t="s">
        <v>23166</v>
      </c>
      <c r="AZ1714" s="6" t="s">
        <v>81</v>
      </c>
      <c r="BA1714" s="6" t="s">
        <v>81</v>
      </c>
      <c r="BB1714" s="24" t="n">
        <v>531</v>
      </c>
      <c r="BC1714" s="26"/>
      <c r="BD1714" s="26"/>
      <c r="BE1714" s="26"/>
      <c r="BF1714" s="26" t="s">
        <v>23900</v>
      </c>
      <c r="BG1714" s="26"/>
      <c r="BH1714" s="26"/>
      <c r="BI1714" s="26"/>
      <c r="BJ1714" s="26"/>
      <c r="BK1714" s="26"/>
      <c r="BL1714" s="26"/>
      <c r="BM1714" s="26"/>
      <c r="BN1714" s="26"/>
      <c r="BO1714" s="26"/>
      <c r="BP1714" s="16" t="n">
        <v>45721</v>
      </c>
      <c r="BQ1714" s="28" t="str">
        <f>HYPERLINK("https://organic.ams.usda.gov/Integrity/Certificate.aspx?cid=57&amp;nopid=3252009002")</f>
        <v>https://organic.ams.usda.gov/Integrity/Certificate.aspx?cid=57&amp;nopid=3252009002</v>
      </c>
    </row>
    <row r="1715">
      <c r="A1715" t="s">
        <v>3</v>
      </c>
      <c r="B1715" s="6" t="s">
        <v>15</v>
      </c>
      <c r="C1715" s="6" t="s">
        <v>62</v>
      </c>
      <c r="D1715" s="6" t="s">
        <v>108</v>
      </c>
      <c r="E1715" s="10" t="s">
        <v>1856</v>
      </c>
      <c r="F1715" s="6" t="s">
        <v>4577</v>
      </c>
      <c r="G1715" s="6" t="s">
        <v>5747</v>
      </c>
      <c r="H1715" s="6" t="s">
        <v>7466</v>
      </c>
      <c r="I1715" s="6" t="s">
        <v>8697</v>
      </c>
      <c r="J1715" s="6" t="s">
        <v>9664</v>
      </c>
      <c r="K1715" s="6" t="s">
        <v>10886</v>
      </c>
      <c r="L1715" s="16" t="n">
        <v>44859</v>
      </c>
      <c r="M1715" s="16" t="n">
        <v>45901</v>
      </c>
      <c r="N1715" s="6" t="s">
        <v>81</v>
      </c>
      <c r="O1715" s="21" t="s">
        <v>81</v>
      </c>
      <c r="P1715" s="6" t="s">
        <v>81</v>
      </c>
      <c r="Q1715" s="6" t="s">
        <v>81</v>
      </c>
      <c r="R1715" s="6" t="s">
        <v>81</v>
      </c>
      <c r="S1715" s="6" t="s">
        <v>81</v>
      </c>
      <c r="T1715" s="21" t="s">
        <v>81</v>
      </c>
      <c r="U1715" s="6" t="s">
        <v>81</v>
      </c>
      <c r="V1715" s="6" t="s">
        <v>81</v>
      </c>
      <c r="W1715" s="6" t="s">
        <v>81</v>
      </c>
      <c r="X1715" s="6" t="s">
        <v>81</v>
      </c>
      <c r="Y1715" s="21" t="s">
        <v>81</v>
      </c>
      <c r="Z1715" s="6" t="s">
        <v>81</v>
      </c>
      <c r="AA1715" s="6" t="s">
        <v>81</v>
      </c>
      <c r="AB1715" s="6" t="s">
        <v>81</v>
      </c>
      <c r="AC1715" s="6" t="s">
        <v>10886</v>
      </c>
      <c r="AD1715" s="16" t="n">
        <v>44859</v>
      </c>
      <c r="AE1715" s="6" t="s">
        <v>14300</v>
      </c>
      <c r="AF1715" s="6" t="s">
        <v>81</v>
      </c>
      <c r="AG1715" s="6" t="s">
        <v>81</v>
      </c>
      <c r="AH1715" s="6" t="s">
        <v>16277</v>
      </c>
      <c r="AI1715" s="6" t="s">
        <v>81</v>
      </c>
      <c r="AJ1715" s="6" t="s">
        <v>18085</v>
      </c>
      <c r="AK1715" s="6" t="s">
        <v>18403</v>
      </c>
      <c r="AL1715" s="6" t="s">
        <v>18444</v>
      </c>
      <c r="AM1715" s="6" t="s">
        <v>19281</v>
      </c>
      <c r="AN1715" s="6" t="s">
        <v>19690</v>
      </c>
      <c r="AO1715" s="6" t="s">
        <v>19786</v>
      </c>
      <c r="AP1715" s="6" t="s">
        <v>16277</v>
      </c>
      <c r="AQ1715" s="6" t="s">
        <v>81</v>
      </c>
      <c r="AR1715" s="6" t="s">
        <v>18085</v>
      </c>
      <c r="AS1715" s="6" t="s">
        <v>18403</v>
      </c>
      <c r="AT1715" s="6" t="s">
        <v>18444</v>
      </c>
      <c r="AU1715" s="6" t="s">
        <v>19281</v>
      </c>
      <c r="AV1715" s="6" t="s">
        <v>81</v>
      </c>
      <c r="AW1715" s="6" t="s">
        <v>81</v>
      </c>
      <c r="AX1715" s="6" t="s">
        <v>21840</v>
      </c>
      <c r="AY1715" s="6" t="s">
        <v>23167</v>
      </c>
      <c r="AZ1715" s="6" t="s">
        <v>81</v>
      </c>
      <c r="BA1715" s="6" t="s">
        <v>81</v>
      </c>
      <c r="BB1715" s="6" t="s">
        <v>81</v>
      </c>
      <c r="BC1715" s="26"/>
      <c r="BD1715" s="26"/>
      <c r="BE1715" s="26"/>
      <c r="BF1715" s="26"/>
      <c r="BG1715" s="26"/>
      <c r="BH1715" s="26"/>
      <c r="BI1715" s="26"/>
      <c r="BJ1715" s="26"/>
      <c r="BK1715" s="26"/>
      <c r="BL1715" s="26"/>
      <c r="BM1715" s="26"/>
      <c r="BN1715" s="26"/>
      <c r="BO1715" s="26"/>
      <c r="BP1715" s="16" t="n">
        <v>45737</v>
      </c>
      <c r="BQ1715" s="28" t="str">
        <f>HYPERLINK("https://organic.ams.usda.gov/Integrity/Certificate.aspx?cid=58&amp;nopid=1600003625")</f>
        <v>https://organic.ams.usda.gov/Integrity/Certificate.aspx?cid=58&amp;nopid=1600003625</v>
      </c>
    </row>
    <row r="1716">
      <c r="A1716" t="s">
        <v>3</v>
      </c>
      <c r="B1716" s="6" t="s">
        <v>7</v>
      </c>
      <c r="C1716" s="6" t="s">
        <v>54</v>
      </c>
      <c r="D1716" s="6" t="s">
        <v>100</v>
      </c>
      <c r="E1716" s="10" t="s">
        <v>1857</v>
      </c>
      <c r="F1716" s="6" t="s">
        <v>4578</v>
      </c>
      <c r="G1716" s="6" t="s">
        <v>81</v>
      </c>
      <c r="H1716" s="6" t="s">
        <v>7467</v>
      </c>
      <c r="I1716" s="6" t="s">
        <v>9253</v>
      </c>
      <c r="J1716" s="6" t="s">
        <v>10438</v>
      </c>
      <c r="K1716" s="6" t="s">
        <v>10886</v>
      </c>
      <c r="L1716" s="16" t="n">
        <v>41803</v>
      </c>
      <c r="M1716" s="16" t="n">
        <v>45716</v>
      </c>
      <c r="N1716" s="6" t="s">
        <v>10886</v>
      </c>
      <c r="O1716" s="16" t="n">
        <v>41803</v>
      </c>
      <c r="P1716" s="6" t="s">
        <v>11916</v>
      </c>
      <c r="Q1716" s="6" t="s">
        <v>81</v>
      </c>
      <c r="R1716" s="6" t="s">
        <v>81</v>
      </c>
      <c r="S1716" s="6" t="s">
        <v>10886</v>
      </c>
      <c r="T1716" s="16" t="n">
        <v>41803</v>
      </c>
      <c r="U1716" s="6" t="s">
        <v>13693</v>
      </c>
      <c r="V1716" s="6" t="s">
        <v>81</v>
      </c>
      <c r="W1716" s="6" t="s">
        <v>81</v>
      </c>
      <c r="X1716" s="6" t="s">
        <v>81</v>
      </c>
      <c r="Y1716" s="21" t="s">
        <v>81</v>
      </c>
      <c r="Z1716" s="6" t="s">
        <v>81</v>
      </c>
      <c r="AA1716" s="6" t="s">
        <v>81</v>
      </c>
      <c r="AB1716" s="6" t="s">
        <v>81</v>
      </c>
      <c r="AC1716" s="6" t="s">
        <v>10886</v>
      </c>
      <c r="AD1716" s="16" t="n">
        <v>43896</v>
      </c>
      <c r="AE1716" s="6" t="s">
        <v>14041</v>
      </c>
      <c r="AF1716" s="6" t="s">
        <v>81</v>
      </c>
      <c r="AG1716" s="6" t="s">
        <v>81</v>
      </c>
      <c r="AH1716" s="6" t="s">
        <v>16278</v>
      </c>
      <c r="AI1716" s="6" t="s">
        <v>81</v>
      </c>
      <c r="AJ1716" s="6" t="s">
        <v>18086</v>
      </c>
      <c r="AK1716" s="6" t="s">
        <v>18409</v>
      </c>
      <c r="AL1716" s="6" t="s">
        <v>18444</v>
      </c>
      <c r="AM1716" s="6" t="s">
        <v>19282</v>
      </c>
      <c r="AN1716" s="6" t="s">
        <v>19683</v>
      </c>
      <c r="AO1716" s="6" t="s">
        <v>19751</v>
      </c>
      <c r="AP1716" s="6" t="s">
        <v>16278</v>
      </c>
      <c r="AQ1716" s="6" t="s">
        <v>81</v>
      </c>
      <c r="AR1716" s="6" t="s">
        <v>18086</v>
      </c>
      <c r="AS1716" s="6" t="s">
        <v>18409</v>
      </c>
      <c r="AT1716" s="6" t="s">
        <v>18444</v>
      </c>
      <c r="AU1716" s="6" t="s">
        <v>19282</v>
      </c>
      <c r="AV1716" s="6" t="s">
        <v>81</v>
      </c>
      <c r="AW1716" s="6" t="s">
        <v>81</v>
      </c>
      <c r="AX1716" s="6" t="s">
        <v>21841</v>
      </c>
      <c r="AY1716" s="6" t="s">
        <v>23168</v>
      </c>
      <c r="AZ1716" s="6" t="s">
        <v>81</v>
      </c>
      <c r="BA1716" s="6" t="s">
        <v>81</v>
      </c>
      <c r="BB1716" s="24" t="n">
        <v>248</v>
      </c>
      <c r="BC1716" s="26"/>
      <c r="BD1716" s="26"/>
      <c r="BE1716" s="26"/>
      <c r="BF1716" s="26" t="s">
        <v>23900</v>
      </c>
      <c r="BG1716" s="26"/>
      <c r="BH1716" s="26"/>
      <c r="BI1716" s="26"/>
      <c r="BJ1716" s="26"/>
      <c r="BK1716" s="26" t="s">
        <v>23900</v>
      </c>
      <c r="BL1716" s="26"/>
      <c r="BM1716" s="26"/>
      <c r="BN1716" s="26"/>
      <c r="BO1716" s="26"/>
      <c r="BP1716" s="16" t="n">
        <v>45632</v>
      </c>
      <c r="BQ1716" s="28" t="str">
        <f>HYPERLINK("https://organic.ams.usda.gov/Integrity/Certificate.aspx?cid=57&amp;nopid=3252014025")</f>
        <v>https://organic.ams.usda.gov/Integrity/Certificate.aspx?cid=57&amp;nopid=3252014025</v>
      </c>
    </row>
    <row r="1717">
      <c r="A1717" t="s">
        <v>3</v>
      </c>
      <c r="B1717" s="6" t="s">
        <v>15</v>
      </c>
      <c r="C1717" s="6" t="s">
        <v>62</v>
      </c>
      <c r="D1717" s="6" t="s">
        <v>108</v>
      </c>
      <c r="E1717" s="10" t="s">
        <v>1858</v>
      </c>
      <c r="F1717" s="6" t="s">
        <v>4579</v>
      </c>
      <c r="G1717" s="6" t="s">
        <v>5748</v>
      </c>
      <c r="H1717" s="6" t="s">
        <v>7468</v>
      </c>
      <c r="I1717" s="6" t="s">
        <v>9254</v>
      </c>
      <c r="J1717" s="6" t="s">
        <v>9457</v>
      </c>
      <c r="K1717" s="6" t="s">
        <v>10886</v>
      </c>
      <c r="L1717" s="16" t="n">
        <v>45610</v>
      </c>
      <c r="M1717" s="16" t="n">
        <v>45901</v>
      </c>
      <c r="N1717" s="6" t="s">
        <v>81</v>
      </c>
      <c r="O1717" s="21" t="s">
        <v>81</v>
      </c>
      <c r="P1717" s="6" t="s">
        <v>81</v>
      </c>
      <c r="Q1717" s="6" t="s">
        <v>81</v>
      </c>
      <c r="R1717" s="6" t="s">
        <v>81</v>
      </c>
      <c r="S1717" s="6" t="s">
        <v>81</v>
      </c>
      <c r="T1717" s="21" t="s">
        <v>81</v>
      </c>
      <c r="U1717" s="6" t="s">
        <v>81</v>
      </c>
      <c r="V1717" s="6" t="s">
        <v>81</v>
      </c>
      <c r="W1717" s="6" t="s">
        <v>81</v>
      </c>
      <c r="X1717" s="6" t="s">
        <v>81</v>
      </c>
      <c r="Y1717" s="21" t="s">
        <v>81</v>
      </c>
      <c r="Z1717" s="6" t="s">
        <v>81</v>
      </c>
      <c r="AA1717" s="6" t="s">
        <v>81</v>
      </c>
      <c r="AB1717" s="6" t="s">
        <v>81</v>
      </c>
      <c r="AC1717" s="6" t="s">
        <v>10886</v>
      </c>
      <c r="AD1717" s="16" t="n">
        <v>45610</v>
      </c>
      <c r="AE1717" s="6" t="s">
        <v>14301</v>
      </c>
      <c r="AF1717" s="6" t="s">
        <v>81</v>
      </c>
      <c r="AG1717" s="6" t="s">
        <v>81</v>
      </c>
      <c r="AH1717" s="6" t="s">
        <v>16279</v>
      </c>
      <c r="AI1717" s="6" t="s">
        <v>81</v>
      </c>
      <c r="AJ1717" s="6" t="s">
        <v>18087</v>
      </c>
      <c r="AK1717" s="6" t="s">
        <v>17712</v>
      </c>
      <c r="AL1717" s="6" t="s">
        <v>18444</v>
      </c>
      <c r="AM1717" s="6" t="s">
        <v>19283</v>
      </c>
      <c r="AN1717" s="6" t="s">
        <v>81</v>
      </c>
      <c r="AO1717" s="6" t="s">
        <v>81</v>
      </c>
      <c r="AP1717" s="6" t="s">
        <v>16279</v>
      </c>
      <c r="AQ1717" s="6" t="s">
        <v>81</v>
      </c>
      <c r="AR1717" s="6" t="s">
        <v>18087</v>
      </c>
      <c r="AS1717" s="6" t="s">
        <v>17712</v>
      </c>
      <c r="AT1717" s="6" t="s">
        <v>18444</v>
      </c>
      <c r="AU1717" s="6" t="s">
        <v>19283</v>
      </c>
      <c r="AV1717" s="6" t="s">
        <v>81</v>
      </c>
      <c r="AW1717" s="6" t="s">
        <v>81</v>
      </c>
      <c r="AX1717" s="6" t="s">
        <v>21842</v>
      </c>
      <c r="AY1717" s="6" t="s">
        <v>23169</v>
      </c>
      <c r="AZ1717" s="6" t="s">
        <v>81</v>
      </c>
      <c r="BA1717" s="6" t="s">
        <v>81</v>
      </c>
      <c r="BB1717" s="6" t="s">
        <v>81</v>
      </c>
      <c r="BC1717" s="26"/>
      <c r="BD1717" s="26"/>
      <c r="BE1717" s="26"/>
      <c r="BF1717" s="26"/>
      <c r="BG1717" s="26" t="s">
        <v>23900</v>
      </c>
      <c r="BH1717" s="26"/>
      <c r="BI1717" s="26"/>
      <c r="BJ1717" s="26"/>
      <c r="BK1717" s="26"/>
      <c r="BL1717" s="26"/>
      <c r="BM1717" s="26"/>
      <c r="BN1717" s="26" t="s">
        <v>23900</v>
      </c>
      <c r="BO1717" s="26"/>
      <c r="BP1717" s="16" t="n">
        <v>45737</v>
      </c>
      <c r="BQ1717" s="28" t="str">
        <f>HYPERLINK("https://organic.ams.usda.gov/Integrity/Certificate.aspx?cid=58&amp;nopid=1600003823")</f>
        <v>https://organic.ams.usda.gov/Integrity/Certificate.aspx?cid=58&amp;nopid=1600003823</v>
      </c>
    </row>
    <row r="1718">
      <c r="A1718" t="s">
        <v>3</v>
      </c>
      <c r="B1718" s="6" t="s">
        <v>12</v>
      </c>
      <c r="C1718" s="6" t="s">
        <v>59</v>
      </c>
      <c r="D1718" s="6" t="s">
        <v>105</v>
      </c>
      <c r="E1718" s="10" t="s">
        <v>1859</v>
      </c>
      <c r="F1718" s="6" t="s">
        <v>4580</v>
      </c>
      <c r="G1718" s="6" t="s">
        <v>81</v>
      </c>
      <c r="H1718" s="6" t="s">
        <v>7469</v>
      </c>
      <c r="I1718" s="6" t="s">
        <v>9033</v>
      </c>
      <c r="J1718" s="6" t="s">
        <v>10439</v>
      </c>
      <c r="K1718" s="6" t="s">
        <v>10886</v>
      </c>
      <c r="L1718" s="16" t="n">
        <v>42649</v>
      </c>
      <c r="M1718" s="16" t="n">
        <v>45717</v>
      </c>
      <c r="N1718" s="6" t="s">
        <v>10886</v>
      </c>
      <c r="O1718" s="16" t="n">
        <v>42649</v>
      </c>
      <c r="P1718" s="6" t="s">
        <v>11917</v>
      </c>
      <c r="Q1718" s="6" t="s">
        <v>81</v>
      </c>
      <c r="R1718" s="6" t="s">
        <v>81</v>
      </c>
      <c r="S1718" s="6" t="s">
        <v>10886</v>
      </c>
      <c r="T1718" s="16" t="n">
        <v>45175</v>
      </c>
      <c r="U1718" s="6" t="s">
        <v>13262</v>
      </c>
      <c r="V1718" s="6" t="s">
        <v>81</v>
      </c>
      <c r="W1718" s="6" t="s">
        <v>81</v>
      </c>
      <c r="X1718" s="6" t="s">
        <v>81</v>
      </c>
      <c r="Y1718" s="21" t="s">
        <v>81</v>
      </c>
      <c r="Z1718" s="6" t="s">
        <v>81</v>
      </c>
      <c r="AA1718" s="6" t="s">
        <v>81</v>
      </c>
      <c r="AB1718" s="6" t="s">
        <v>81</v>
      </c>
      <c r="AC1718" s="6" t="s">
        <v>81</v>
      </c>
      <c r="AD1718" s="21" t="s">
        <v>81</v>
      </c>
      <c r="AE1718" s="6" t="s">
        <v>81</v>
      </c>
      <c r="AF1718" s="6" t="s">
        <v>81</v>
      </c>
      <c r="AG1718" s="6" t="s">
        <v>81</v>
      </c>
      <c r="AH1718" s="6" t="s">
        <v>16280</v>
      </c>
      <c r="AI1718" s="6" t="s">
        <v>81</v>
      </c>
      <c r="AJ1718" s="6" t="s">
        <v>17428</v>
      </c>
      <c r="AK1718" s="6" t="s">
        <v>17712</v>
      </c>
      <c r="AL1718" s="6" t="s">
        <v>18444</v>
      </c>
      <c r="AM1718" s="6" t="s">
        <v>18585</v>
      </c>
      <c r="AN1718" s="6" t="s">
        <v>19669</v>
      </c>
      <c r="AO1718" s="6" t="s">
        <v>19790</v>
      </c>
      <c r="AP1718" s="6" t="s">
        <v>16280</v>
      </c>
      <c r="AQ1718" s="6" t="s">
        <v>81</v>
      </c>
      <c r="AR1718" s="6" t="s">
        <v>17428</v>
      </c>
      <c r="AS1718" s="6" t="s">
        <v>17712</v>
      </c>
      <c r="AT1718" s="6" t="s">
        <v>18444</v>
      </c>
      <c r="AU1718" s="6" t="s">
        <v>18585</v>
      </c>
      <c r="AV1718" s="6" t="s">
        <v>81</v>
      </c>
      <c r="AW1718" s="6" t="s">
        <v>81</v>
      </c>
      <c r="AX1718" s="6" t="s">
        <v>21843</v>
      </c>
      <c r="AY1718" s="6" t="s">
        <v>81</v>
      </c>
      <c r="AZ1718" s="6" t="s">
        <v>81</v>
      </c>
      <c r="BA1718" s="6" t="s">
        <v>81</v>
      </c>
      <c r="BB1718" s="24" t="n">
        <v>859</v>
      </c>
      <c r="BC1718" s="26"/>
      <c r="BD1718" s="26"/>
      <c r="BE1718" s="26"/>
      <c r="BF1718" s="26"/>
      <c r="BG1718" s="26"/>
      <c r="BH1718" s="26"/>
      <c r="BI1718" s="26"/>
      <c r="BJ1718" s="26"/>
      <c r="BK1718" s="26"/>
      <c r="BL1718" s="26"/>
      <c r="BM1718" s="26"/>
      <c r="BN1718" s="26"/>
      <c r="BO1718" s="26"/>
      <c r="BP1718" s="16" t="n">
        <v>45712</v>
      </c>
      <c r="BQ1718" s="28" t="str">
        <f>HYPERLINK("https://organic.ams.usda.gov/Integrity/Certificate.aspx?cid=68&amp;nopid=8210004662")</f>
        <v>https://organic.ams.usda.gov/Integrity/Certificate.aspx?cid=68&amp;nopid=8210004662</v>
      </c>
    </row>
    <row r="1719">
      <c r="A1719" t="s">
        <v>3</v>
      </c>
      <c r="B1719" s="6" t="s">
        <v>8</v>
      </c>
      <c r="C1719" s="6" t="s">
        <v>55</v>
      </c>
      <c r="D1719" s="6" t="s">
        <v>101</v>
      </c>
      <c r="E1719" s="10" t="s">
        <v>1860</v>
      </c>
      <c r="F1719" s="6" t="s">
        <v>4581</v>
      </c>
      <c r="G1719" s="6" t="s">
        <v>81</v>
      </c>
      <c r="H1719" s="6" t="s">
        <v>7470</v>
      </c>
      <c r="I1719" s="6" t="s">
        <v>8873</v>
      </c>
      <c r="J1719" s="6" t="s">
        <v>10440</v>
      </c>
      <c r="K1719" s="6" t="s">
        <v>10886</v>
      </c>
      <c r="L1719" s="16" t="n">
        <v>45061</v>
      </c>
      <c r="M1719" s="16" t="n">
        <v>45748</v>
      </c>
      <c r="N1719" s="6" t="s">
        <v>10886</v>
      </c>
      <c r="O1719" s="16" t="n">
        <v>45061</v>
      </c>
      <c r="P1719" s="6" t="s">
        <v>11918</v>
      </c>
      <c r="Q1719" s="6" t="s">
        <v>81</v>
      </c>
      <c r="R1719" s="6" t="s">
        <v>7470</v>
      </c>
      <c r="S1719" s="6" t="s">
        <v>10886</v>
      </c>
      <c r="T1719" s="16" t="n">
        <v>45061</v>
      </c>
      <c r="U1719" s="6" t="s">
        <v>13357</v>
      </c>
      <c r="V1719" s="6" t="s">
        <v>81</v>
      </c>
      <c r="W1719" s="6" t="s">
        <v>7470</v>
      </c>
      <c r="X1719" s="6" t="s">
        <v>81</v>
      </c>
      <c r="Y1719" s="21" t="s">
        <v>81</v>
      </c>
      <c r="Z1719" s="6" t="s">
        <v>81</v>
      </c>
      <c r="AA1719" s="6" t="s">
        <v>81</v>
      </c>
      <c r="AB1719" s="6" t="s">
        <v>81</v>
      </c>
      <c r="AC1719" s="6" t="s">
        <v>81</v>
      </c>
      <c r="AD1719" s="21" t="s">
        <v>81</v>
      </c>
      <c r="AE1719" s="6" t="s">
        <v>81</v>
      </c>
      <c r="AF1719" s="6" t="s">
        <v>81</v>
      </c>
      <c r="AG1719" s="6" t="s">
        <v>81</v>
      </c>
      <c r="AH1719" s="6" t="s">
        <v>16281</v>
      </c>
      <c r="AI1719" s="6" t="s">
        <v>81</v>
      </c>
      <c r="AJ1719" s="6" t="s">
        <v>17436</v>
      </c>
      <c r="AK1719" s="6" t="s">
        <v>18377</v>
      </c>
      <c r="AL1719" s="6" t="s">
        <v>18444</v>
      </c>
      <c r="AM1719" s="6" t="s">
        <v>19284</v>
      </c>
      <c r="AN1719" s="6" t="s">
        <v>19700</v>
      </c>
      <c r="AO1719" s="6" t="s">
        <v>19996</v>
      </c>
      <c r="AP1719" s="6" t="s">
        <v>20319</v>
      </c>
      <c r="AQ1719" s="6" t="s">
        <v>81</v>
      </c>
      <c r="AR1719" s="6" t="s">
        <v>17436</v>
      </c>
      <c r="AS1719" s="6" t="s">
        <v>18377</v>
      </c>
      <c r="AT1719" s="6" t="s">
        <v>18444</v>
      </c>
      <c r="AU1719" s="6" t="s">
        <v>18593</v>
      </c>
      <c r="AV1719" s="6" t="s">
        <v>81</v>
      </c>
      <c r="AW1719" s="6" t="s">
        <v>81</v>
      </c>
      <c r="AX1719" s="6" t="s">
        <v>21844</v>
      </c>
      <c r="AY1719" s="6" t="s">
        <v>23170</v>
      </c>
      <c r="AZ1719" s="6" t="s">
        <v>81</v>
      </c>
      <c r="BA1719" s="6" t="s">
        <v>23819</v>
      </c>
      <c r="BB1719" s="24" t="n">
        <v>119</v>
      </c>
      <c r="BC1719" s="26"/>
      <c r="BD1719" s="26"/>
      <c r="BE1719" s="26"/>
      <c r="BF1719" s="26" t="s">
        <v>23900</v>
      </c>
      <c r="BG1719" s="26"/>
      <c r="BH1719" s="26"/>
      <c r="BI1719" s="26"/>
      <c r="BJ1719" s="26"/>
      <c r="BK1719" s="26"/>
      <c r="BL1719" s="26"/>
      <c r="BM1719" s="26"/>
      <c r="BN1719" s="26"/>
      <c r="BO1719" s="26"/>
      <c r="BP1719" s="16" t="n">
        <v>45564</v>
      </c>
      <c r="BQ1719" s="28" t="str">
        <f>HYPERLINK("https://organic.ams.usda.gov/Integrity/Certificate.aspx?cid=45&amp;nopid=9950013322")</f>
        <v>https://organic.ams.usda.gov/Integrity/Certificate.aspx?cid=45&amp;nopid=9950013322</v>
      </c>
    </row>
    <row r="1720">
      <c r="A1720" t="s">
        <v>3</v>
      </c>
      <c r="B1720" s="6" t="s">
        <v>25</v>
      </c>
      <c r="C1720" s="6" t="s">
        <v>72</v>
      </c>
      <c r="D1720" s="6" t="s">
        <v>118</v>
      </c>
      <c r="E1720" s="10" t="s">
        <v>1861</v>
      </c>
      <c r="F1720" s="6" t="s">
        <v>4582</v>
      </c>
      <c r="G1720" s="6" t="s">
        <v>81</v>
      </c>
      <c r="H1720" s="6" t="s">
        <v>7471</v>
      </c>
      <c r="I1720" s="6" t="s">
        <v>9255</v>
      </c>
      <c r="J1720" s="6" t="s">
        <v>10441</v>
      </c>
      <c r="K1720" s="6" t="s">
        <v>10886</v>
      </c>
      <c r="L1720" s="16" t="n">
        <v>38855</v>
      </c>
      <c r="M1720" s="16" t="n">
        <v>46023</v>
      </c>
      <c r="N1720" s="6" t="s">
        <v>10886</v>
      </c>
      <c r="O1720" s="16" t="n">
        <v>38855</v>
      </c>
      <c r="P1720" s="6" t="s">
        <v>11919</v>
      </c>
      <c r="Q1720" s="6" t="s">
        <v>81</v>
      </c>
      <c r="R1720" s="6" t="s">
        <v>81</v>
      </c>
      <c r="S1720" s="6" t="s">
        <v>10886</v>
      </c>
      <c r="T1720" s="16" t="n">
        <v>38855</v>
      </c>
      <c r="U1720" s="6" t="s">
        <v>13694</v>
      </c>
      <c r="V1720" s="6" t="s">
        <v>81</v>
      </c>
      <c r="W1720" s="6" t="s">
        <v>81</v>
      </c>
      <c r="X1720" s="6" t="s">
        <v>81</v>
      </c>
      <c r="Y1720" s="21" t="s">
        <v>81</v>
      </c>
      <c r="Z1720" s="6" t="s">
        <v>81</v>
      </c>
      <c r="AA1720" s="6" t="s">
        <v>81</v>
      </c>
      <c r="AB1720" s="6" t="s">
        <v>81</v>
      </c>
      <c r="AC1720" s="6" t="s">
        <v>10886</v>
      </c>
      <c r="AD1720" s="16" t="n">
        <v>44733</v>
      </c>
      <c r="AE1720" s="6" t="s">
        <v>14081</v>
      </c>
      <c r="AF1720" s="6" t="s">
        <v>81</v>
      </c>
      <c r="AG1720" s="6" t="s">
        <v>81</v>
      </c>
      <c r="AH1720" s="6" t="s">
        <v>16282</v>
      </c>
      <c r="AI1720" s="6" t="s">
        <v>81</v>
      </c>
      <c r="AJ1720" s="6" t="s">
        <v>17421</v>
      </c>
      <c r="AK1720" s="6" t="s">
        <v>18386</v>
      </c>
      <c r="AL1720" s="6" t="s">
        <v>18444</v>
      </c>
      <c r="AM1720" s="6" t="s">
        <v>18578</v>
      </c>
      <c r="AN1720" s="6" t="s">
        <v>19672</v>
      </c>
      <c r="AO1720" s="6" t="s">
        <v>19787</v>
      </c>
      <c r="AP1720" s="6" t="s">
        <v>16282</v>
      </c>
      <c r="AQ1720" s="6" t="s">
        <v>81</v>
      </c>
      <c r="AR1720" s="6" t="s">
        <v>17421</v>
      </c>
      <c r="AS1720" s="6" t="s">
        <v>18386</v>
      </c>
      <c r="AT1720" s="6" t="s">
        <v>18444</v>
      </c>
      <c r="AU1720" s="6" t="s">
        <v>18578</v>
      </c>
      <c r="AV1720" s="6" t="s">
        <v>81</v>
      </c>
      <c r="AW1720" s="6" t="s">
        <v>81</v>
      </c>
      <c r="AX1720" s="6" t="s">
        <v>21845</v>
      </c>
      <c r="AY1720" s="6" t="s">
        <v>23171</v>
      </c>
      <c r="AZ1720" s="6" t="s">
        <v>81</v>
      </c>
      <c r="BA1720" s="6" t="s">
        <v>81</v>
      </c>
      <c r="BB1720" s="24" t="n">
        <v>1099</v>
      </c>
      <c r="BC1720" s="26"/>
      <c r="BD1720" s="26"/>
      <c r="BE1720" s="26"/>
      <c r="BF1720" s="26"/>
      <c r="BG1720" s="26"/>
      <c r="BH1720" s="26"/>
      <c r="BI1720" s="26"/>
      <c r="BJ1720" s="26"/>
      <c r="BK1720" s="26"/>
      <c r="BL1720" s="26"/>
      <c r="BM1720" s="26"/>
      <c r="BN1720" s="26"/>
      <c r="BO1720" s="26"/>
      <c r="BP1720" s="16" t="n">
        <v>45667</v>
      </c>
      <c r="BQ1720" s="28" t="str">
        <f>HYPERLINK("https://organic.ams.usda.gov/Integrity/Certificate.aspx?cid=15&amp;nopid=5561001283")</f>
        <v>https://organic.ams.usda.gov/Integrity/Certificate.aspx?cid=15&amp;nopid=5561001283</v>
      </c>
    </row>
    <row r="1721">
      <c r="A1721" t="s">
        <v>3</v>
      </c>
      <c r="B1721" s="6" t="s">
        <v>12</v>
      </c>
      <c r="C1721" s="6" t="s">
        <v>59</v>
      </c>
      <c r="D1721" s="6" t="s">
        <v>105</v>
      </c>
      <c r="E1721" s="10" t="s">
        <v>1862</v>
      </c>
      <c r="F1721" s="6" t="s">
        <v>4583</v>
      </c>
      <c r="G1721" s="6" t="s">
        <v>81</v>
      </c>
      <c r="H1721" s="6" t="s">
        <v>7472</v>
      </c>
      <c r="I1721" s="6" t="s">
        <v>9256</v>
      </c>
      <c r="J1721" s="6" t="s">
        <v>10442</v>
      </c>
      <c r="K1721" s="6" t="s">
        <v>10886</v>
      </c>
      <c r="L1721" s="16" t="n">
        <v>38670</v>
      </c>
      <c r="M1721" s="16" t="n">
        <v>45717</v>
      </c>
      <c r="N1721" s="6" t="s">
        <v>10886</v>
      </c>
      <c r="O1721" s="16" t="n">
        <v>38670</v>
      </c>
      <c r="P1721" s="6" t="s">
        <v>11920</v>
      </c>
      <c r="Q1721" s="6" t="s">
        <v>81</v>
      </c>
      <c r="R1721" s="6" t="s">
        <v>81</v>
      </c>
      <c r="S1721" s="6" t="s">
        <v>10886</v>
      </c>
      <c r="T1721" s="16" t="n">
        <v>38670</v>
      </c>
      <c r="U1721" s="6" t="s">
        <v>13166</v>
      </c>
      <c r="V1721" s="6" t="s">
        <v>81</v>
      </c>
      <c r="W1721" s="6" t="s">
        <v>81</v>
      </c>
      <c r="X1721" s="6" t="s">
        <v>81</v>
      </c>
      <c r="Y1721" s="21" t="s">
        <v>81</v>
      </c>
      <c r="Z1721" s="6" t="s">
        <v>81</v>
      </c>
      <c r="AA1721" s="6" t="s">
        <v>81</v>
      </c>
      <c r="AB1721" s="6" t="s">
        <v>81</v>
      </c>
      <c r="AC1721" s="6" t="s">
        <v>81</v>
      </c>
      <c r="AD1721" s="21" t="s">
        <v>81</v>
      </c>
      <c r="AE1721" s="6" t="s">
        <v>81</v>
      </c>
      <c r="AF1721" s="6" t="s">
        <v>81</v>
      </c>
      <c r="AG1721" s="6" t="s">
        <v>81</v>
      </c>
      <c r="AH1721" s="6" t="s">
        <v>16283</v>
      </c>
      <c r="AI1721" s="6" t="s">
        <v>81</v>
      </c>
      <c r="AJ1721" s="6" t="s">
        <v>17491</v>
      </c>
      <c r="AK1721" s="6" t="s">
        <v>18380</v>
      </c>
      <c r="AL1721" s="6" t="s">
        <v>18444</v>
      </c>
      <c r="AM1721" s="6" t="s">
        <v>18651</v>
      </c>
      <c r="AN1721" s="6" t="s">
        <v>19665</v>
      </c>
      <c r="AO1721" s="6" t="s">
        <v>19755</v>
      </c>
      <c r="AP1721" s="6" t="s">
        <v>20320</v>
      </c>
      <c r="AQ1721" s="6" t="s">
        <v>81</v>
      </c>
      <c r="AR1721" s="6" t="s">
        <v>17491</v>
      </c>
      <c r="AS1721" s="6" t="s">
        <v>18380</v>
      </c>
      <c r="AT1721" s="6" t="s">
        <v>18444</v>
      </c>
      <c r="AU1721" s="6" t="s">
        <v>18651</v>
      </c>
      <c r="AV1721" s="6" t="s">
        <v>81</v>
      </c>
      <c r="AW1721" s="6" t="s">
        <v>81</v>
      </c>
      <c r="AX1721" s="6" t="s">
        <v>21846</v>
      </c>
      <c r="AY1721" s="6" t="s">
        <v>81</v>
      </c>
      <c r="AZ1721" s="6" t="s">
        <v>81</v>
      </c>
      <c r="BA1721" s="6" t="s">
        <v>81</v>
      </c>
      <c r="BB1721" s="24" t="n">
        <v>68</v>
      </c>
      <c r="BC1721" s="26"/>
      <c r="BD1721" s="26"/>
      <c r="BE1721" s="26"/>
      <c r="BF1721" s="26"/>
      <c r="BG1721" s="26"/>
      <c r="BH1721" s="26"/>
      <c r="BI1721" s="26"/>
      <c r="BJ1721" s="26"/>
      <c r="BK1721" s="26"/>
      <c r="BL1721" s="26"/>
      <c r="BM1721" s="26"/>
      <c r="BN1721" s="26"/>
      <c r="BO1721" s="26"/>
      <c r="BP1721" s="16" t="n">
        <v>45684</v>
      </c>
      <c r="BQ1721" s="28" t="str">
        <f>HYPERLINK("https://organic.ams.usda.gov/Integrity/Certificate.aspx?cid=68&amp;nopid=8210001086")</f>
        <v>https://organic.ams.usda.gov/Integrity/Certificate.aspx?cid=68&amp;nopid=8210001086</v>
      </c>
    </row>
    <row r="1722">
      <c r="A1722" t="s">
        <v>3</v>
      </c>
      <c r="B1722" s="6" t="s">
        <v>10</v>
      </c>
      <c r="C1722" s="6" t="s">
        <v>57</v>
      </c>
      <c r="D1722" s="6" t="s">
        <v>103</v>
      </c>
      <c r="E1722" s="10" t="s">
        <v>1863</v>
      </c>
      <c r="F1722" s="6" t="s">
        <v>4584</v>
      </c>
      <c r="G1722" s="6" t="s">
        <v>81</v>
      </c>
      <c r="H1722" s="6" t="s">
        <v>7473</v>
      </c>
      <c r="I1722" s="6" t="s">
        <v>9257</v>
      </c>
      <c r="J1722" s="6" t="s">
        <v>9665</v>
      </c>
      <c r="K1722" s="6" t="s">
        <v>10886</v>
      </c>
      <c r="L1722" s="16" t="n">
        <v>43060</v>
      </c>
      <c r="M1722" s="16" t="n">
        <v>45748</v>
      </c>
      <c r="N1722" s="6" t="s">
        <v>10886</v>
      </c>
      <c r="O1722" s="16" t="n">
        <v>43060</v>
      </c>
      <c r="P1722" s="6" t="s">
        <v>11921</v>
      </c>
      <c r="Q1722" s="6" t="s">
        <v>81</v>
      </c>
      <c r="R1722" s="6" t="s">
        <v>12910</v>
      </c>
      <c r="S1722" s="6" t="s">
        <v>10886</v>
      </c>
      <c r="T1722" s="16" t="n">
        <v>44562</v>
      </c>
      <c r="U1722" s="6" t="s">
        <v>13163</v>
      </c>
      <c r="V1722" s="6" t="s">
        <v>81</v>
      </c>
      <c r="W1722" s="6" t="s">
        <v>81</v>
      </c>
      <c r="X1722" s="6" t="s">
        <v>81</v>
      </c>
      <c r="Y1722" s="21" t="s">
        <v>81</v>
      </c>
      <c r="Z1722" s="6" t="s">
        <v>81</v>
      </c>
      <c r="AA1722" s="6" t="s">
        <v>81</v>
      </c>
      <c r="AB1722" s="6" t="s">
        <v>81</v>
      </c>
      <c r="AC1722" s="6" t="s">
        <v>81</v>
      </c>
      <c r="AD1722" s="21" t="s">
        <v>81</v>
      </c>
      <c r="AE1722" s="6" t="s">
        <v>81</v>
      </c>
      <c r="AF1722" s="6" t="s">
        <v>81</v>
      </c>
      <c r="AG1722" s="6" t="s">
        <v>81</v>
      </c>
      <c r="AH1722" s="6" t="s">
        <v>16284</v>
      </c>
      <c r="AI1722" s="6" t="s">
        <v>81</v>
      </c>
      <c r="AJ1722" s="6" t="s">
        <v>17324</v>
      </c>
      <c r="AK1722" s="6" t="s">
        <v>18378</v>
      </c>
      <c r="AL1722" s="6" t="s">
        <v>18444</v>
      </c>
      <c r="AM1722" s="6" t="s">
        <v>18476</v>
      </c>
      <c r="AN1722" s="6" t="s">
        <v>19640</v>
      </c>
      <c r="AO1722" s="6" t="s">
        <v>19726</v>
      </c>
      <c r="AP1722" s="6" t="s">
        <v>16284</v>
      </c>
      <c r="AQ1722" s="6" t="s">
        <v>81</v>
      </c>
      <c r="AR1722" s="6" t="s">
        <v>17324</v>
      </c>
      <c r="AS1722" s="6" t="s">
        <v>18378</v>
      </c>
      <c r="AT1722" s="6" t="s">
        <v>18444</v>
      </c>
      <c r="AU1722" s="6" t="s">
        <v>18476</v>
      </c>
      <c r="AV1722" s="6" t="s">
        <v>81</v>
      </c>
      <c r="AW1722" s="6" t="s">
        <v>81</v>
      </c>
      <c r="AX1722" s="6" t="s">
        <v>21847</v>
      </c>
      <c r="AY1722" s="6" t="s">
        <v>81</v>
      </c>
      <c r="AZ1722" s="6" t="s">
        <v>81</v>
      </c>
      <c r="BA1722" s="6" t="s">
        <v>81</v>
      </c>
      <c r="BB1722" s="24" t="n">
        <v>124</v>
      </c>
      <c r="BC1722" s="26"/>
      <c r="BD1722" s="26"/>
      <c r="BE1722" s="26"/>
      <c r="BF1722" s="26"/>
      <c r="BG1722" s="26"/>
      <c r="BH1722" s="26"/>
      <c r="BI1722" s="26"/>
      <c r="BJ1722" s="26"/>
      <c r="BK1722" s="26"/>
      <c r="BL1722" s="26"/>
      <c r="BM1722" s="26"/>
      <c r="BN1722" s="26"/>
      <c r="BO1722" s="26"/>
      <c r="BP1722" s="16" t="n">
        <v>45730</v>
      </c>
      <c r="BQ1722" s="28" t="str">
        <f>HYPERLINK("https://organic.ams.usda.gov/Integrity/Certificate.aspx?cid=90&amp;nopid=7170220436")</f>
        <v>https://organic.ams.usda.gov/Integrity/Certificate.aspx?cid=90&amp;nopid=7170220436</v>
      </c>
    </row>
    <row r="1723">
      <c r="A1723" t="s">
        <v>3</v>
      </c>
      <c r="B1723" s="6" t="s">
        <v>7</v>
      </c>
      <c r="C1723" s="6" t="s">
        <v>54</v>
      </c>
      <c r="D1723" s="6" t="s">
        <v>100</v>
      </c>
      <c r="E1723" s="10" t="s">
        <v>1864</v>
      </c>
      <c r="F1723" s="6" t="s">
        <v>4585</v>
      </c>
      <c r="G1723" s="6" t="s">
        <v>81</v>
      </c>
      <c r="H1723" s="6" t="s">
        <v>7474</v>
      </c>
      <c r="I1723" s="6" t="s">
        <v>9258</v>
      </c>
      <c r="J1723" s="6" t="s">
        <v>9665</v>
      </c>
      <c r="K1723" s="6" t="s">
        <v>10886</v>
      </c>
      <c r="L1723" s="16" t="n">
        <v>43956</v>
      </c>
      <c r="M1723" s="16" t="n">
        <v>45716</v>
      </c>
      <c r="N1723" s="6" t="s">
        <v>10886</v>
      </c>
      <c r="O1723" s="16" t="n">
        <v>43956</v>
      </c>
      <c r="P1723" s="6" t="s">
        <v>11251</v>
      </c>
      <c r="Q1723" s="6" t="s">
        <v>81</v>
      </c>
      <c r="R1723" s="6" t="s">
        <v>81</v>
      </c>
      <c r="S1723" s="6" t="s">
        <v>10886</v>
      </c>
      <c r="T1723" s="16" t="n">
        <v>43956</v>
      </c>
      <c r="U1723" s="6" t="s">
        <v>13169</v>
      </c>
      <c r="V1723" s="6" t="s">
        <v>81</v>
      </c>
      <c r="W1723" s="6" t="s">
        <v>81</v>
      </c>
      <c r="X1723" s="6" t="s">
        <v>81</v>
      </c>
      <c r="Y1723" s="21" t="s">
        <v>81</v>
      </c>
      <c r="Z1723" s="6" t="s">
        <v>81</v>
      </c>
      <c r="AA1723" s="6" t="s">
        <v>81</v>
      </c>
      <c r="AB1723" s="6" t="s">
        <v>81</v>
      </c>
      <c r="AC1723" s="6" t="s">
        <v>81</v>
      </c>
      <c r="AD1723" s="21" t="s">
        <v>81</v>
      </c>
      <c r="AE1723" s="6" t="s">
        <v>81</v>
      </c>
      <c r="AF1723" s="6" t="s">
        <v>81</v>
      </c>
      <c r="AG1723" s="6" t="s">
        <v>81</v>
      </c>
      <c r="AH1723" s="6" t="s">
        <v>16285</v>
      </c>
      <c r="AI1723" s="6" t="s">
        <v>81</v>
      </c>
      <c r="AJ1723" s="6" t="s">
        <v>17382</v>
      </c>
      <c r="AK1723" s="6" t="s">
        <v>17712</v>
      </c>
      <c r="AL1723" s="6" t="s">
        <v>18444</v>
      </c>
      <c r="AM1723" s="6" t="s">
        <v>18535</v>
      </c>
      <c r="AN1723" s="6" t="s">
        <v>19643</v>
      </c>
      <c r="AO1723" s="6" t="s">
        <v>19766</v>
      </c>
      <c r="AP1723" s="6" t="s">
        <v>16285</v>
      </c>
      <c r="AQ1723" s="6" t="s">
        <v>81</v>
      </c>
      <c r="AR1723" s="6" t="s">
        <v>17382</v>
      </c>
      <c r="AS1723" s="6" t="s">
        <v>17712</v>
      </c>
      <c r="AT1723" s="6" t="s">
        <v>18444</v>
      </c>
      <c r="AU1723" s="6" t="s">
        <v>18535</v>
      </c>
      <c r="AV1723" s="6" t="s">
        <v>81</v>
      </c>
      <c r="AW1723" s="6" t="s">
        <v>81</v>
      </c>
      <c r="AX1723" s="6" t="s">
        <v>81</v>
      </c>
      <c r="AY1723" s="6" t="s">
        <v>81</v>
      </c>
      <c r="AZ1723" s="6" t="s">
        <v>81</v>
      </c>
      <c r="BA1723" s="6" t="s">
        <v>81</v>
      </c>
      <c r="BB1723" s="24" t="n">
        <v>150</v>
      </c>
      <c r="BC1723" s="26"/>
      <c r="BD1723" s="26"/>
      <c r="BE1723" s="26"/>
      <c r="BF1723" s="26" t="s">
        <v>23900</v>
      </c>
      <c r="BG1723" s="26"/>
      <c r="BH1723" s="26"/>
      <c r="BI1723" s="26"/>
      <c r="BJ1723" s="26"/>
      <c r="BK1723" s="26"/>
      <c r="BL1723" s="26"/>
      <c r="BM1723" s="26"/>
      <c r="BN1723" s="26"/>
      <c r="BO1723" s="26"/>
      <c r="BP1723" s="16" t="n">
        <v>45595</v>
      </c>
      <c r="BQ1723" s="28" t="str">
        <f>HYPERLINK("https://organic.ams.usda.gov/Integrity/Certificate.aspx?cid=57&amp;nopid=3252020023")</f>
        <v>https://organic.ams.usda.gov/Integrity/Certificate.aspx?cid=57&amp;nopid=3252020023</v>
      </c>
    </row>
    <row r="1724">
      <c r="A1724" t="s">
        <v>3</v>
      </c>
      <c r="B1724" s="6" t="s">
        <v>9</v>
      </c>
      <c r="C1724" s="6" t="s">
        <v>56</v>
      </c>
      <c r="D1724" s="6" t="s">
        <v>102</v>
      </c>
      <c r="E1724" s="10" t="s">
        <v>1865</v>
      </c>
      <c r="F1724" s="6" t="s">
        <v>4586</v>
      </c>
      <c r="G1724" s="6" t="s">
        <v>81</v>
      </c>
      <c r="H1724" s="6" t="s">
        <v>7475</v>
      </c>
      <c r="I1724" s="6" t="s">
        <v>9258</v>
      </c>
      <c r="J1724" s="6" t="s">
        <v>9750</v>
      </c>
      <c r="K1724" s="6" t="s">
        <v>10886</v>
      </c>
      <c r="L1724" s="16" t="n">
        <v>42979</v>
      </c>
      <c r="M1724" s="16" t="n">
        <v>45748</v>
      </c>
      <c r="N1724" s="6" t="s">
        <v>10886</v>
      </c>
      <c r="O1724" s="16" t="n">
        <v>42979</v>
      </c>
      <c r="P1724" s="6" t="s">
        <v>11922</v>
      </c>
      <c r="Q1724" s="6" t="s">
        <v>81</v>
      </c>
      <c r="R1724" s="6" t="s">
        <v>12911</v>
      </c>
      <c r="S1724" s="6" t="s">
        <v>10886</v>
      </c>
      <c r="T1724" s="16" t="n">
        <v>42979</v>
      </c>
      <c r="U1724" s="6" t="s">
        <v>13485</v>
      </c>
      <c r="V1724" s="6" t="s">
        <v>81</v>
      </c>
      <c r="W1724" s="6" t="s">
        <v>12911</v>
      </c>
      <c r="X1724" s="6" t="s">
        <v>81</v>
      </c>
      <c r="Y1724" s="21" t="s">
        <v>81</v>
      </c>
      <c r="Z1724" s="6" t="s">
        <v>81</v>
      </c>
      <c r="AA1724" s="6" t="s">
        <v>81</v>
      </c>
      <c r="AB1724" s="6" t="s">
        <v>81</v>
      </c>
      <c r="AC1724" s="6" t="s">
        <v>81</v>
      </c>
      <c r="AD1724" s="21" t="s">
        <v>81</v>
      </c>
      <c r="AE1724" s="6" t="s">
        <v>81</v>
      </c>
      <c r="AF1724" s="6" t="s">
        <v>81</v>
      </c>
      <c r="AG1724" s="6" t="s">
        <v>81</v>
      </c>
      <c r="AH1724" s="6" t="s">
        <v>16286</v>
      </c>
      <c r="AI1724" s="6" t="s">
        <v>81</v>
      </c>
      <c r="AJ1724" s="6" t="s">
        <v>8696</v>
      </c>
      <c r="AK1724" s="6" t="s">
        <v>18377</v>
      </c>
      <c r="AL1724" s="6" t="s">
        <v>18444</v>
      </c>
      <c r="AM1724" s="6" t="s">
        <v>19285</v>
      </c>
      <c r="AN1724" s="6" t="s">
        <v>19646</v>
      </c>
      <c r="AO1724" s="6" t="s">
        <v>19733</v>
      </c>
      <c r="AP1724" s="6" t="s">
        <v>81</v>
      </c>
      <c r="AQ1724" s="6" t="s">
        <v>81</v>
      </c>
      <c r="AR1724" s="6" t="s">
        <v>81</v>
      </c>
      <c r="AS1724" s="6" t="s">
        <v>81</v>
      </c>
      <c r="AT1724" s="6" t="s">
        <v>81</v>
      </c>
      <c r="AU1724" s="6" t="s">
        <v>81</v>
      </c>
      <c r="AV1724" s="6" t="s">
        <v>81</v>
      </c>
      <c r="AW1724" s="6" t="s">
        <v>81</v>
      </c>
      <c r="AX1724" s="6" t="s">
        <v>21848</v>
      </c>
      <c r="AY1724" s="6" t="s">
        <v>81</v>
      </c>
      <c r="AZ1724" s="6" t="s">
        <v>81</v>
      </c>
      <c r="BA1724" s="6" t="s">
        <v>81</v>
      </c>
      <c r="BB1724" s="24" t="n">
        <v>238</v>
      </c>
      <c r="BC1724" s="26"/>
      <c r="BD1724" s="26"/>
      <c r="BE1724" s="26"/>
      <c r="BF1724" s="26"/>
      <c r="BG1724" s="26"/>
      <c r="BH1724" s="26"/>
      <c r="BI1724" s="26"/>
      <c r="BJ1724" s="26"/>
      <c r="BK1724" s="26"/>
      <c r="BL1724" s="26"/>
      <c r="BM1724" s="26"/>
      <c r="BN1724" s="26"/>
      <c r="BO1724" s="26"/>
      <c r="BP1724" s="16" t="n">
        <v>45738</v>
      </c>
      <c r="BQ1724" s="28" t="str">
        <f>HYPERLINK("https://organic.ams.usda.gov/Integrity/Certificate.aspx?cid=52&amp;nopid=8431701279")</f>
        <v>https://organic.ams.usda.gov/Integrity/Certificate.aspx?cid=52&amp;nopid=8431701279</v>
      </c>
    </row>
    <row r="1725">
      <c r="A1725" t="s">
        <v>3</v>
      </c>
      <c r="B1725" s="6" t="s">
        <v>13</v>
      </c>
      <c r="C1725" s="6" t="s">
        <v>60</v>
      </c>
      <c r="D1725" s="6" t="s">
        <v>106</v>
      </c>
      <c r="E1725" s="10" t="s">
        <v>1866</v>
      </c>
      <c r="F1725" s="6" t="s">
        <v>4587</v>
      </c>
      <c r="G1725" s="6" t="s">
        <v>81</v>
      </c>
      <c r="H1725" s="6" t="s">
        <v>7476</v>
      </c>
      <c r="I1725" s="6" t="s">
        <v>9258</v>
      </c>
      <c r="J1725" s="6" t="s">
        <v>9698</v>
      </c>
      <c r="K1725" s="6" t="s">
        <v>10886</v>
      </c>
      <c r="L1725" s="16" t="n">
        <v>41428</v>
      </c>
      <c r="M1725" s="16" t="n">
        <v>46113</v>
      </c>
      <c r="N1725" s="6" t="s">
        <v>10886</v>
      </c>
      <c r="O1725" s="16" t="n">
        <v>41428</v>
      </c>
      <c r="P1725" s="6" t="s">
        <v>11923</v>
      </c>
      <c r="Q1725" s="6" t="s">
        <v>81</v>
      </c>
      <c r="R1725" s="6" t="s">
        <v>12912</v>
      </c>
      <c r="S1725" s="6" t="s">
        <v>10886</v>
      </c>
      <c r="T1725" s="16" t="n">
        <v>41428</v>
      </c>
      <c r="U1725" s="6" t="s">
        <v>13402</v>
      </c>
      <c r="V1725" s="6" t="s">
        <v>81</v>
      </c>
      <c r="W1725" s="6" t="s">
        <v>12912</v>
      </c>
      <c r="X1725" s="6" t="s">
        <v>81</v>
      </c>
      <c r="Y1725" s="21" t="s">
        <v>81</v>
      </c>
      <c r="Z1725" s="6" t="s">
        <v>81</v>
      </c>
      <c r="AA1725" s="6" t="s">
        <v>81</v>
      </c>
      <c r="AB1725" s="6" t="s">
        <v>81</v>
      </c>
      <c r="AC1725" s="6" t="s">
        <v>81</v>
      </c>
      <c r="AD1725" s="21" t="s">
        <v>81</v>
      </c>
      <c r="AE1725" s="6" t="s">
        <v>81</v>
      </c>
      <c r="AF1725" s="6" t="s">
        <v>81</v>
      </c>
      <c r="AG1725" s="6" t="s">
        <v>81</v>
      </c>
      <c r="AH1725" s="6" t="s">
        <v>16287</v>
      </c>
      <c r="AI1725" s="6" t="s">
        <v>81</v>
      </c>
      <c r="AJ1725" s="6" t="s">
        <v>17448</v>
      </c>
      <c r="AK1725" s="6" t="s">
        <v>18379</v>
      </c>
      <c r="AL1725" s="6" t="s">
        <v>18444</v>
      </c>
      <c r="AM1725" s="6" t="s">
        <v>18606</v>
      </c>
      <c r="AN1725" s="6" t="s">
        <v>19642</v>
      </c>
      <c r="AO1725" s="6" t="s">
        <v>19799</v>
      </c>
      <c r="AP1725" s="6" t="s">
        <v>16287</v>
      </c>
      <c r="AQ1725" s="6" t="s">
        <v>81</v>
      </c>
      <c r="AR1725" s="6" t="s">
        <v>17448</v>
      </c>
      <c r="AS1725" s="6" t="s">
        <v>18379</v>
      </c>
      <c r="AT1725" s="6" t="s">
        <v>18444</v>
      </c>
      <c r="AU1725" s="6" t="s">
        <v>18606</v>
      </c>
      <c r="AV1725" s="6" t="s">
        <v>81</v>
      </c>
      <c r="AW1725" s="6" t="s">
        <v>81</v>
      </c>
      <c r="AX1725" s="6" t="s">
        <v>21849</v>
      </c>
      <c r="AY1725" s="6" t="s">
        <v>81</v>
      </c>
      <c r="AZ1725" s="6" t="s">
        <v>81</v>
      </c>
      <c r="BA1725" s="6" t="s">
        <v>81</v>
      </c>
      <c r="BB1725" s="24" t="n">
        <v>132</v>
      </c>
      <c r="BC1725" s="26"/>
      <c r="BD1725" s="26"/>
      <c r="BE1725" s="26"/>
      <c r="BF1725" s="26" t="s">
        <v>23900</v>
      </c>
      <c r="BG1725" s="26"/>
      <c r="BH1725" s="26"/>
      <c r="BI1725" s="26"/>
      <c r="BJ1725" s="26"/>
      <c r="BK1725" s="26"/>
      <c r="BL1725" s="26"/>
      <c r="BM1725" s="26"/>
      <c r="BN1725" s="26"/>
      <c r="BO1725" s="26"/>
      <c r="BP1725" s="16" t="n">
        <v>45728</v>
      </c>
      <c r="BQ1725" s="28" t="str">
        <f>HYPERLINK("https://organic.ams.usda.gov/Integrity/Certificate.aspx?cid=72&amp;nopid=5870001631")</f>
        <v>https://organic.ams.usda.gov/Integrity/Certificate.aspx?cid=72&amp;nopid=5870001631</v>
      </c>
    </row>
    <row r="1726">
      <c r="A1726" t="s">
        <v>3</v>
      </c>
      <c r="B1726" s="6" t="s">
        <v>29</v>
      </c>
      <c r="C1726" s="6" t="s">
        <v>76</v>
      </c>
      <c r="D1726" s="6" t="s">
        <v>122</v>
      </c>
      <c r="E1726" s="10" t="s">
        <v>1867</v>
      </c>
      <c r="F1726" s="6" t="s">
        <v>4588</v>
      </c>
      <c r="G1726" s="6" t="s">
        <v>81</v>
      </c>
      <c r="H1726" s="6" t="s">
        <v>7477</v>
      </c>
      <c r="I1726" s="6" t="s">
        <v>9259</v>
      </c>
      <c r="J1726" s="6" t="s">
        <v>9671</v>
      </c>
      <c r="K1726" s="6" t="s">
        <v>10886</v>
      </c>
      <c r="L1726" s="16" t="n">
        <v>43638</v>
      </c>
      <c r="M1726" s="16" t="n">
        <v>45870</v>
      </c>
      <c r="N1726" s="6" t="s">
        <v>10886</v>
      </c>
      <c r="O1726" s="16" t="n">
        <v>43638</v>
      </c>
      <c r="P1726" s="6" t="s">
        <v>11866</v>
      </c>
      <c r="Q1726" s="6" t="s">
        <v>81</v>
      </c>
      <c r="R1726" s="6" t="s">
        <v>12913</v>
      </c>
      <c r="S1726" s="6" t="s">
        <v>10886</v>
      </c>
      <c r="T1726" s="16" t="n">
        <v>44489</v>
      </c>
      <c r="U1726" s="6" t="s">
        <v>13446</v>
      </c>
      <c r="V1726" s="6" t="s">
        <v>81</v>
      </c>
      <c r="W1726" s="6" t="s">
        <v>12913</v>
      </c>
      <c r="X1726" s="6" t="s">
        <v>81</v>
      </c>
      <c r="Y1726" s="21" t="s">
        <v>81</v>
      </c>
      <c r="Z1726" s="6" t="s">
        <v>81</v>
      </c>
      <c r="AA1726" s="6" t="s">
        <v>81</v>
      </c>
      <c r="AB1726" s="6" t="s">
        <v>81</v>
      </c>
      <c r="AC1726" s="6" t="s">
        <v>81</v>
      </c>
      <c r="AD1726" s="21" t="s">
        <v>81</v>
      </c>
      <c r="AE1726" s="6" t="s">
        <v>81</v>
      </c>
      <c r="AF1726" s="6" t="s">
        <v>81</v>
      </c>
      <c r="AG1726" s="6" t="s">
        <v>81</v>
      </c>
      <c r="AH1726" s="6" t="s">
        <v>16288</v>
      </c>
      <c r="AI1726" s="6" t="s">
        <v>81</v>
      </c>
      <c r="AJ1726" s="6" t="s">
        <v>17408</v>
      </c>
      <c r="AK1726" s="6" t="s">
        <v>18380</v>
      </c>
      <c r="AL1726" s="6" t="s">
        <v>18444</v>
      </c>
      <c r="AM1726" s="6" t="s">
        <v>18564</v>
      </c>
      <c r="AN1726" s="6" t="s">
        <v>19639</v>
      </c>
      <c r="AO1726" s="6" t="s">
        <v>19725</v>
      </c>
      <c r="AP1726" s="6" t="s">
        <v>81</v>
      </c>
      <c r="AQ1726" s="6" t="s">
        <v>81</v>
      </c>
      <c r="AR1726" s="6" t="s">
        <v>81</v>
      </c>
      <c r="AS1726" s="6" t="s">
        <v>81</v>
      </c>
      <c r="AT1726" s="6" t="s">
        <v>81</v>
      </c>
      <c r="AU1726" s="6" t="s">
        <v>81</v>
      </c>
      <c r="AV1726" s="6" t="s">
        <v>81</v>
      </c>
      <c r="AW1726" s="6" t="s">
        <v>81</v>
      </c>
      <c r="AX1726" s="6" t="s">
        <v>21850</v>
      </c>
      <c r="AY1726" s="6" t="s">
        <v>81</v>
      </c>
      <c r="AZ1726" s="6" t="s">
        <v>81</v>
      </c>
      <c r="BA1726" s="6" t="s">
        <v>81</v>
      </c>
      <c r="BB1726" s="24" t="n">
        <v>74</v>
      </c>
      <c r="BC1726" s="26"/>
      <c r="BD1726" s="26"/>
      <c r="BE1726" s="26"/>
      <c r="BF1726" s="26" t="s">
        <v>23900</v>
      </c>
      <c r="BG1726" s="26"/>
      <c r="BH1726" s="26"/>
      <c r="BI1726" s="26"/>
      <c r="BJ1726" s="26"/>
      <c r="BK1726" s="26"/>
      <c r="BL1726" s="26"/>
      <c r="BM1726" s="26"/>
      <c r="BN1726" s="26"/>
      <c r="BO1726" s="26"/>
      <c r="BP1726" s="16" t="n">
        <v>45737</v>
      </c>
      <c r="BQ1726" s="28" t="str">
        <f>HYPERLINK("https://organic.ams.usda.gov/Integrity/Certificate.aspx?cid=31&amp;nopid=3928972014")</f>
        <v>https://organic.ams.usda.gov/Integrity/Certificate.aspx?cid=31&amp;nopid=3928972014</v>
      </c>
    </row>
    <row r="1727">
      <c r="A1727" t="s">
        <v>3</v>
      </c>
      <c r="B1727" s="6" t="s">
        <v>12</v>
      </c>
      <c r="C1727" s="6" t="s">
        <v>59</v>
      </c>
      <c r="D1727" s="6" t="s">
        <v>105</v>
      </c>
      <c r="E1727" s="10" t="s">
        <v>1868</v>
      </c>
      <c r="F1727" s="6" t="s">
        <v>4589</v>
      </c>
      <c r="G1727" s="6" t="s">
        <v>81</v>
      </c>
      <c r="H1727" s="6" t="s">
        <v>7478</v>
      </c>
      <c r="I1727" s="6" t="s">
        <v>9258</v>
      </c>
      <c r="J1727" s="6" t="s">
        <v>9730</v>
      </c>
      <c r="K1727" s="6" t="s">
        <v>10886</v>
      </c>
      <c r="L1727" s="16" t="n">
        <v>42592</v>
      </c>
      <c r="M1727" s="16" t="n">
        <v>45717</v>
      </c>
      <c r="N1727" s="6" t="s">
        <v>10886</v>
      </c>
      <c r="O1727" s="16" t="n">
        <v>42592</v>
      </c>
      <c r="P1727" s="6" t="s">
        <v>10910</v>
      </c>
      <c r="Q1727" s="6" t="s">
        <v>81</v>
      </c>
      <c r="R1727" s="6" t="s">
        <v>81</v>
      </c>
      <c r="S1727" s="6" t="s">
        <v>10886</v>
      </c>
      <c r="T1727" s="16" t="n">
        <v>42592</v>
      </c>
      <c r="U1727" s="6" t="s">
        <v>13183</v>
      </c>
      <c r="V1727" s="6" t="s">
        <v>81</v>
      </c>
      <c r="W1727" s="6" t="s">
        <v>81</v>
      </c>
      <c r="X1727" s="6" t="s">
        <v>81</v>
      </c>
      <c r="Y1727" s="21" t="s">
        <v>81</v>
      </c>
      <c r="Z1727" s="6" t="s">
        <v>81</v>
      </c>
      <c r="AA1727" s="6" t="s">
        <v>81</v>
      </c>
      <c r="AB1727" s="6" t="s">
        <v>81</v>
      </c>
      <c r="AC1727" s="6" t="s">
        <v>81</v>
      </c>
      <c r="AD1727" s="21" t="s">
        <v>81</v>
      </c>
      <c r="AE1727" s="6" t="s">
        <v>81</v>
      </c>
      <c r="AF1727" s="6" t="s">
        <v>81</v>
      </c>
      <c r="AG1727" s="6" t="s">
        <v>81</v>
      </c>
      <c r="AH1727" s="6" t="s">
        <v>16289</v>
      </c>
      <c r="AI1727" s="6" t="s">
        <v>81</v>
      </c>
      <c r="AJ1727" s="6" t="s">
        <v>17341</v>
      </c>
      <c r="AK1727" s="6" t="s">
        <v>17712</v>
      </c>
      <c r="AL1727" s="6" t="s">
        <v>18444</v>
      </c>
      <c r="AM1727" s="6" t="s">
        <v>18495</v>
      </c>
      <c r="AN1727" s="6" t="s">
        <v>7195</v>
      </c>
      <c r="AO1727" s="6" t="s">
        <v>19735</v>
      </c>
      <c r="AP1727" s="6" t="s">
        <v>16289</v>
      </c>
      <c r="AQ1727" s="6" t="s">
        <v>81</v>
      </c>
      <c r="AR1727" s="6" t="s">
        <v>17341</v>
      </c>
      <c r="AS1727" s="6" t="s">
        <v>17712</v>
      </c>
      <c r="AT1727" s="6" t="s">
        <v>18444</v>
      </c>
      <c r="AU1727" s="6" t="s">
        <v>18495</v>
      </c>
      <c r="AV1727" s="6" t="s">
        <v>81</v>
      </c>
      <c r="AW1727" s="6" t="s">
        <v>81</v>
      </c>
      <c r="AX1727" s="6" t="s">
        <v>21851</v>
      </c>
      <c r="AY1727" s="6" t="s">
        <v>81</v>
      </c>
      <c r="AZ1727" s="6" t="s">
        <v>81</v>
      </c>
      <c r="BA1727" s="6" t="s">
        <v>81</v>
      </c>
      <c r="BB1727" s="24" t="n">
        <v>226</v>
      </c>
      <c r="BC1727" s="26"/>
      <c r="BD1727" s="26"/>
      <c r="BE1727" s="26"/>
      <c r="BF1727" s="26"/>
      <c r="BG1727" s="26"/>
      <c r="BH1727" s="26"/>
      <c r="BI1727" s="26"/>
      <c r="BJ1727" s="26"/>
      <c r="BK1727" s="26"/>
      <c r="BL1727" s="26"/>
      <c r="BM1727" s="26"/>
      <c r="BN1727" s="26"/>
      <c r="BO1727" s="26"/>
      <c r="BP1727" s="16" t="n">
        <v>45684</v>
      </c>
      <c r="BQ1727" s="28" t="str">
        <f>HYPERLINK("https://organic.ams.usda.gov/Integrity/Certificate.aspx?cid=68&amp;nopid=8210003093")</f>
        <v>https://organic.ams.usda.gov/Integrity/Certificate.aspx?cid=68&amp;nopid=8210003093</v>
      </c>
    </row>
    <row r="1728">
      <c r="A1728" t="s">
        <v>3</v>
      </c>
      <c r="B1728" s="6" t="s">
        <v>9</v>
      </c>
      <c r="C1728" s="6" t="s">
        <v>56</v>
      </c>
      <c r="D1728" s="6" t="s">
        <v>102</v>
      </c>
      <c r="E1728" s="10" t="s">
        <v>1869</v>
      </c>
      <c r="F1728" s="6" t="s">
        <v>4590</v>
      </c>
      <c r="G1728" s="6" t="s">
        <v>81</v>
      </c>
      <c r="H1728" s="6" t="s">
        <v>7479</v>
      </c>
      <c r="I1728" s="6" t="s">
        <v>9258</v>
      </c>
      <c r="J1728" s="6" t="s">
        <v>9665</v>
      </c>
      <c r="K1728" s="6" t="s">
        <v>10886</v>
      </c>
      <c r="L1728" s="16" t="n">
        <v>41221</v>
      </c>
      <c r="M1728" s="16" t="n">
        <v>45748</v>
      </c>
      <c r="N1728" s="6" t="s">
        <v>10886</v>
      </c>
      <c r="O1728" s="16" t="n">
        <v>41221</v>
      </c>
      <c r="P1728" s="6" t="s">
        <v>10913</v>
      </c>
      <c r="Q1728" s="6" t="s">
        <v>81</v>
      </c>
      <c r="R1728" s="6" t="s">
        <v>12914</v>
      </c>
      <c r="S1728" s="6" t="s">
        <v>10886</v>
      </c>
      <c r="T1728" s="16" t="n">
        <v>41221</v>
      </c>
      <c r="U1728" s="6" t="s">
        <v>13450</v>
      </c>
      <c r="V1728" s="6" t="s">
        <v>81</v>
      </c>
      <c r="W1728" s="6" t="s">
        <v>12914</v>
      </c>
      <c r="X1728" s="6" t="s">
        <v>81</v>
      </c>
      <c r="Y1728" s="21" t="s">
        <v>81</v>
      </c>
      <c r="Z1728" s="6" t="s">
        <v>81</v>
      </c>
      <c r="AA1728" s="6" t="s">
        <v>81</v>
      </c>
      <c r="AB1728" s="6" t="s">
        <v>81</v>
      </c>
      <c r="AC1728" s="6" t="s">
        <v>81</v>
      </c>
      <c r="AD1728" s="21" t="s">
        <v>81</v>
      </c>
      <c r="AE1728" s="6" t="s">
        <v>81</v>
      </c>
      <c r="AF1728" s="6" t="s">
        <v>81</v>
      </c>
      <c r="AG1728" s="6" t="s">
        <v>81</v>
      </c>
      <c r="AH1728" s="6" t="s">
        <v>16290</v>
      </c>
      <c r="AI1728" s="6" t="s">
        <v>81</v>
      </c>
      <c r="AJ1728" s="6" t="s">
        <v>17831</v>
      </c>
      <c r="AK1728" s="6" t="s">
        <v>18377</v>
      </c>
      <c r="AL1728" s="6" t="s">
        <v>18444</v>
      </c>
      <c r="AM1728" s="6" t="s">
        <v>19012</v>
      </c>
      <c r="AN1728" s="6" t="s">
        <v>19636</v>
      </c>
      <c r="AO1728" s="6" t="s">
        <v>19783</v>
      </c>
      <c r="AP1728" s="6" t="s">
        <v>81</v>
      </c>
      <c r="AQ1728" s="6" t="s">
        <v>81</v>
      </c>
      <c r="AR1728" s="6" t="s">
        <v>81</v>
      </c>
      <c r="AS1728" s="6" t="s">
        <v>81</v>
      </c>
      <c r="AT1728" s="6" t="s">
        <v>81</v>
      </c>
      <c r="AU1728" s="6" t="s">
        <v>81</v>
      </c>
      <c r="AV1728" s="6" t="s">
        <v>81</v>
      </c>
      <c r="AW1728" s="6" t="s">
        <v>81</v>
      </c>
      <c r="AX1728" s="6" t="s">
        <v>81</v>
      </c>
      <c r="AY1728" s="6" t="s">
        <v>81</v>
      </c>
      <c r="AZ1728" s="6" t="s">
        <v>81</v>
      </c>
      <c r="BA1728" s="6" t="s">
        <v>81</v>
      </c>
      <c r="BB1728" s="24" t="n">
        <v>166</v>
      </c>
      <c r="BC1728" s="26"/>
      <c r="BD1728" s="26"/>
      <c r="BE1728" s="26"/>
      <c r="BF1728" s="26"/>
      <c r="BG1728" s="26"/>
      <c r="BH1728" s="26"/>
      <c r="BI1728" s="26"/>
      <c r="BJ1728" s="26"/>
      <c r="BK1728" s="26"/>
      <c r="BL1728" s="26"/>
      <c r="BM1728" s="26"/>
      <c r="BN1728" s="26"/>
      <c r="BO1728" s="26"/>
      <c r="BP1728" s="16" t="n">
        <v>45738</v>
      </c>
      <c r="BQ1728" s="28" t="str">
        <f>HYPERLINK("https://organic.ams.usda.gov/Integrity/Certificate.aspx?cid=52&amp;nopid=8431200389")</f>
        <v>https://organic.ams.usda.gov/Integrity/Certificate.aspx?cid=52&amp;nopid=8431200389</v>
      </c>
    </row>
    <row r="1729">
      <c r="A1729" t="s">
        <v>3</v>
      </c>
      <c r="B1729" s="6" t="s">
        <v>7</v>
      </c>
      <c r="C1729" s="6" t="s">
        <v>54</v>
      </c>
      <c r="D1729" s="6" t="s">
        <v>100</v>
      </c>
      <c r="E1729" s="10" t="s">
        <v>1870</v>
      </c>
      <c r="F1729" s="6" t="s">
        <v>4591</v>
      </c>
      <c r="G1729" s="6" t="s">
        <v>81</v>
      </c>
      <c r="H1729" s="6" t="s">
        <v>7480</v>
      </c>
      <c r="I1729" s="6" t="s">
        <v>9258</v>
      </c>
      <c r="J1729" s="6" t="s">
        <v>9804</v>
      </c>
      <c r="K1729" s="6" t="s">
        <v>10886</v>
      </c>
      <c r="L1729" s="16" t="n">
        <v>42538</v>
      </c>
      <c r="M1729" s="16" t="n">
        <v>45716</v>
      </c>
      <c r="N1729" s="6" t="s">
        <v>10886</v>
      </c>
      <c r="O1729" s="16" t="n">
        <v>42538</v>
      </c>
      <c r="P1729" s="6" t="s">
        <v>11924</v>
      </c>
      <c r="Q1729" s="6" t="s">
        <v>81</v>
      </c>
      <c r="R1729" s="6" t="s">
        <v>81</v>
      </c>
      <c r="S1729" s="6" t="s">
        <v>10886</v>
      </c>
      <c r="T1729" s="16" t="n">
        <v>42564</v>
      </c>
      <c r="U1729" s="6" t="s">
        <v>13169</v>
      </c>
      <c r="V1729" s="6" t="s">
        <v>81</v>
      </c>
      <c r="W1729" s="6" t="s">
        <v>81</v>
      </c>
      <c r="X1729" s="6" t="s">
        <v>81</v>
      </c>
      <c r="Y1729" s="21" t="s">
        <v>81</v>
      </c>
      <c r="Z1729" s="6" t="s">
        <v>81</v>
      </c>
      <c r="AA1729" s="6" t="s">
        <v>81</v>
      </c>
      <c r="AB1729" s="6" t="s">
        <v>81</v>
      </c>
      <c r="AC1729" s="6" t="s">
        <v>81</v>
      </c>
      <c r="AD1729" s="21" t="s">
        <v>81</v>
      </c>
      <c r="AE1729" s="6" t="s">
        <v>81</v>
      </c>
      <c r="AF1729" s="6" t="s">
        <v>81</v>
      </c>
      <c r="AG1729" s="6" t="s">
        <v>81</v>
      </c>
      <c r="AH1729" s="6" t="s">
        <v>16291</v>
      </c>
      <c r="AI1729" s="6" t="s">
        <v>81</v>
      </c>
      <c r="AJ1729" s="6" t="s">
        <v>17406</v>
      </c>
      <c r="AK1729" s="6" t="s">
        <v>17712</v>
      </c>
      <c r="AL1729" s="6" t="s">
        <v>18444</v>
      </c>
      <c r="AM1729" s="6" t="s">
        <v>18562</v>
      </c>
      <c r="AN1729" s="6" t="s">
        <v>19657</v>
      </c>
      <c r="AO1729" s="6" t="s">
        <v>19751</v>
      </c>
      <c r="AP1729" s="6" t="s">
        <v>16291</v>
      </c>
      <c r="AQ1729" s="6" t="s">
        <v>81</v>
      </c>
      <c r="AR1729" s="6" t="s">
        <v>17406</v>
      </c>
      <c r="AS1729" s="6" t="s">
        <v>17712</v>
      </c>
      <c r="AT1729" s="6" t="s">
        <v>18444</v>
      </c>
      <c r="AU1729" s="6" t="s">
        <v>18562</v>
      </c>
      <c r="AV1729" s="6" t="s">
        <v>81</v>
      </c>
      <c r="AW1729" s="6" t="s">
        <v>81</v>
      </c>
      <c r="AX1729" s="6" t="s">
        <v>81</v>
      </c>
      <c r="AY1729" s="6" t="s">
        <v>81</v>
      </c>
      <c r="AZ1729" s="6" t="s">
        <v>81</v>
      </c>
      <c r="BA1729" s="6" t="s">
        <v>81</v>
      </c>
      <c r="BB1729" s="24" t="n">
        <v>83</v>
      </c>
      <c r="BC1729" s="26"/>
      <c r="BD1729" s="26"/>
      <c r="BE1729" s="26"/>
      <c r="BF1729" s="26" t="s">
        <v>23900</v>
      </c>
      <c r="BG1729" s="26"/>
      <c r="BH1729" s="26"/>
      <c r="BI1729" s="26"/>
      <c r="BJ1729" s="26"/>
      <c r="BK1729" s="26"/>
      <c r="BL1729" s="26"/>
      <c r="BM1729" s="26"/>
      <c r="BN1729" s="26"/>
      <c r="BO1729" s="26"/>
      <c r="BP1729" s="16" t="n">
        <v>45644</v>
      </c>
      <c r="BQ1729" s="28" t="str">
        <f>HYPERLINK("https://organic.ams.usda.gov/Integrity/Certificate.aspx?cid=57&amp;nopid=3252016078")</f>
        <v>https://organic.ams.usda.gov/Integrity/Certificate.aspx?cid=57&amp;nopid=3252016078</v>
      </c>
    </row>
    <row r="1730">
      <c r="A1730" t="s">
        <v>3</v>
      </c>
      <c r="B1730" s="6" t="s">
        <v>12</v>
      </c>
      <c r="C1730" s="6" t="s">
        <v>59</v>
      </c>
      <c r="D1730" s="6" t="s">
        <v>105</v>
      </c>
      <c r="E1730" s="10" t="s">
        <v>1871</v>
      </c>
      <c r="F1730" s="6" t="s">
        <v>4592</v>
      </c>
      <c r="G1730" s="6" t="s">
        <v>81</v>
      </c>
      <c r="H1730" s="6" t="s">
        <v>7481</v>
      </c>
      <c r="I1730" s="6" t="s">
        <v>9260</v>
      </c>
      <c r="J1730" s="6" t="s">
        <v>10053</v>
      </c>
      <c r="K1730" s="6" t="s">
        <v>10886</v>
      </c>
      <c r="L1730" s="16" t="n">
        <v>42514</v>
      </c>
      <c r="M1730" s="16" t="n">
        <v>45717</v>
      </c>
      <c r="N1730" s="6" t="s">
        <v>10886</v>
      </c>
      <c r="O1730" s="16" t="n">
        <v>42514</v>
      </c>
      <c r="P1730" s="6" t="s">
        <v>11925</v>
      </c>
      <c r="Q1730" s="6" t="s">
        <v>81</v>
      </c>
      <c r="R1730" s="6" t="s">
        <v>81</v>
      </c>
      <c r="S1730" s="6" t="s">
        <v>10886</v>
      </c>
      <c r="T1730" s="16" t="n">
        <v>42514</v>
      </c>
      <c r="U1730" s="6" t="s">
        <v>13183</v>
      </c>
      <c r="V1730" s="6" t="s">
        <v>81</v>
      </c>
      <c r="W1730" s="6" t="s">
        <v>81</v>
      </c>
      <c r="X1730" s="6" t="s">
        <v>81</v>
      </c>
      <c r="Y1730" s="21" t="s">
        <v>81</v>
      </c>
      <c r="Z1730" s="6" t="s">
        <v>81</v>
      </c>
      <c r="AA1730" s="6" t="s">
        <v>81</v>
      </c>
      <c r="AB1730" s="6" t="s">
        <v>81</v>
      </c>
      <c r="AC1730" s="6" t="s">
        <v>81</v>
      </c>
      <c r="AD1730" s="21" t="s">
        <v>81</v>
      </c>
      <c r="AE1730" s="6" t="s">
        <v>81</v>
      </c>
      <c r="AF1730" s="6" t="s">
        <v>81</v>
      </c>
      <c r="AG1730" s="6" t="s">
        <v>81</v>
      </c>
      <c r="AH1730" s="6" t="s">
        <v>16292</v>
      </c>
      <c r="AI1730" s="6" t="s">
        <v>81</v>
      </c>
      <c r="AJ1730" s="6" t="s">
        <v>17743</v>
      </c>
      <c r="AK1730" s="6" t="s">
        <v>18380</v>
      </c>
      <c r="AL1730" s="6" t="s">
        <v>18444</v>
      </c>
      <c r="AM1730" s="6" t="s">
        <v>18911</v>
      </c>
      <c r="AN1730" s="6" t="s">
        <v>19637</v>
      </c>
      <c r="AO1730" s="6" t="s">
        <v>19904</v>
      </c>
      <c r="AP1730" s="6" t="s">
        <v>16292</v>
      </c>
      <c r="AQ1730" s="6" t="s">
        <v>81</v>
      </c>
      <c r="AR1730" s="6" t="s">
        <v>17743</v>
      </c>
      <c r="AS1730" s="6" t="s">
        <v>18380</v>
      </c>
      <c r="AT1730" s="6" t="s">
        <v>18444</v>
      </c>
      <c r="AU1730" s="6" t="s">
        <v>18911</v>
      </c>
      <c r="AV1730" s="6" t="s">
        <v>81</v>
      </c>
      <c r="AW1730" s="6" t="s">
        <v>81</v>
      </c>
      <c r="AX1730" s="6" t="s">
        <v>21852</v>
      </c>
      <c r="AY1730" s="6" t="s">
        <v>81</v>
      </c>
      <c r="AZ1730" s="6" t="s">
        <v>81</v>
      </c>
      <c r="BA1730" s="6" t="s">
        <v>81</v>
      </c>
      <c r="BB1730" s="24" t="n">
        <v>78</v>
      </c>
      <c r="BC1730" s="26"/>
      <c r="BD1730" s="26"/>
      <c r="BE1730" s="26"/>
      <c r="BF1730" s="26"/>
      <c r="BG1730" s="26"/>
      <c r="BH1730" s="26"/>
      <c r="BI1730" s="26"/>
      <c r="BJ1730" s="26"/>
      <c r="BK1730" s="26"/>
      <c r="BL1730" s="26"/>
      <c r="BM1730" s="26"/>
      <c r="BN1730" s="26"/>
      <c r="BO1730" s="26"/>
      <c r="BP1730" s="16" t="n">
        <v>45684</v>
      </c>
      <c r="BQ1730" s="28" t="str">
        <f>HYPERLINK("https://organic.ams.usda.gov/Integrity/Certificate.aspx?cid=68&amp;nopid=8210004358")</f>
        <v>https://organic.ams.usda.gov/Integrity/Certificate.aspx?cid=68&amp;nopid=8210004358</v>
      </c>
    </row>
    <row r="1731">
      <c r="A1731" t="s">
        <v>3</v>
      </c>
      <c r="B1731" s="6" t="s">
        <v>10</v>
      </c>
      <c r="C1731" s="6" t="s">
        <v>57</v>
      </c>
      <c r="D1731" s="6" t="s">
        <v>103</v>
      </c>
      <c r="E1731" s="10" t="s">
        <v>1872</v>
      </c>
      <c r="F1731" s="6" t="s">
        <v>4593</v>
      </c>
      <c r="G1731" s="6" t="s">
        <v>81</v>
      </c>
      <c r="H1731" s="6" t="s">
        <v>7482</v>
      </c>
      <c r="I1731" s="6" t="s">
        <v>9261</v>
      </c>
      <c r="J1731" s="6" t="s">
        <v>9734</v>
      </c>
      <c r="K1731" s="6" t="s">
        <v>10886</v>
      </c>
      <c r="L1731" s="16" t="n">
        <v>41422</v>
      </c>
      <c r="M1731" s="16" t="n">
        <v>45748</v>
      </c>
      <c r="N1731" s="6" t="s">
        <v>10886</v>
      </c>
      <c r="O1731" s="16" t="n">
        <v>41422</v>
      </c>
      <c r="P1731" s="6" t="s">
        <v>11036</v>
      </c>
      <c r="Q1731" s="6" t="s">
        <v>81</v>
      </c>
      <c r="R1731" s="6" t="s">
        <v>12915</v>
      </c>
      <c r="S1731" s="6" t="s">
        <v>10886</v>
      </c>
      <c r="T1731" s="16" t="n">
        <v>41422</v>
      </c>
      <c r="U1731" s="6" t="s">
        <v>13163</v>
      </c>
      <c r="V1731" s="6" t="s">
        <v>81</v>
      </c>
      <c r="W1731" s="6" t="s">
        <v>81</v>
      </c>
      <c r="X1731" s="6" t="s">
        <v>81</v>
      </c>
      <c r="Y1731" s="21" t="s">
        <v>81</v>
      </c>
      <c r="Z1731" s="6" t="s">
        <v>81</v>
      </c>
      <c r="AA1731" s="6" t="s">
        <v>81</v>
      </c>
      <c r="AB1731" s="6" t="s">
        <v>81</v>
      </c>
      <c r="AC1731" s="6" t="s">
        <v>81</v>
      </c>
      <c r="AD1731" s="21" t="s">
        <v>81</v>
      </c>
      <c r="AE1731" s="6" t="s">
        <v>81</v>
      </c>
      <c r="AF1731" s="6" t="s">
        <v>81</v>
      </c>
      <c r="AG1731" s="6" t="s">
        <v>81</v>
      </c>
      <c r="AH1731" s="6" t="s">
        <v>16293</v>
      </c>
      <c r="AI1731" s="6" t="s">
        <v>81</v>
      </c>
      <c r="AJ1731" s="6" t="s">
        <v>17315</v>
      </c>
      <c r="AK1731" s="6" t="s">
        <v>18379</v>
      </c>
      <c r="AL1731" s="6" t="s">
        <v>18444</v>
      </c>
      <c r="AM1731" s="6" t="s">
        <v>18467</v>
      </c>
      <c r="AN1731" s="6" t="s">
        <v>19637</v>
      </c>
      <c r="AO1731" s="6" t="s">
        <v>19723</v>
      </c>
      <c r="AP1731" s="6" t="s">
        <v>16293</v>
      </c>
      <c r="AQ1731" s="6" t="s">
        <v>81</v>
      </c>
      <c r="AR1731" s="6" t="s">
        <v>17315</v>
      </c>
      <c r="AS1731" s="6" t="s">
        <v>18379</v>
      </c>
      <c r="AT1731" s="6" t="s">
        <v>18444</v>
      </c>
      <c r="AU1731" s="6" t="s">
        <v>18467</v>
      </c>
      <c r="AV1731" s="6" t="s">
        <v>81</v>
      </c>
      <c r="AW1731" s="6" t="s">
        <v>81</v>
      </c>
      <c r="AX1731" s="6" t="s">
        <v>21853</v>
      </c>
      <c r="AY1731" s="6" t="s">
        <v>81</v>
      </c>
      <c r="AZ1731" s="6" t="s">
        <v>81</v>
      </c>
      <c r="BA1731" s="6" t="s">
        <v>81</v>
      </c>
      <c r="BB1731" s="24" t="n">
        <v>99</v>
      </c>
      <c r="BC1731" s="26"/>
      <c r="BD1731" s="26"/>
      <c r="BE1731" s="26"/>
      <c r="BF1731" s="26"/>
      <c r="BG1731" s="26"/>
      <c r="BH1731" s="26"/>
      <c r="BI1731" s="26"/>
      <c r="BJ1731" s="26"/>
      <c r="BK1731" s="26"/>
      <c r="BL1731" s="26"/>
      <c r="BM1731" s="26"/>
      <c r="BN1731" s="26"/>
      <c r="BO1731" s="26"/>
      <c r="BP1731" s="16" t="n">
        <v>45730</v>
      </c>
      <c r="BQ1731" s="28" t="str">
        <f>HYPERLINK("https://organic.ams.usda.gov/Integrity/Certificate.aspx?cid=90&amp;nopid=7170020091")</f>
        <v>https://organic.ams.usda.gov/Integrity/Certificate.aspx?cid=90&amp;nopid=7170020091</v>
      </c>
    </row>
    <row r="1732">
      <c r="A1732" t="s">
        <v>3</v>
      </c>
      <c r="B1732" s="6" t="s">
        <v>10</v>
      </c>
      <c r="C1732" s="6" t="s">
        <v>57</v>
      </c>
      <c r="D1732" s="6" t="s">
        <v>103</v>
      </c>
      <c r="E1732" s="10" t="s">
        <v>1873</v>
      </c>
      <c r="F1732" s="6" t="s">
        <v>4594</v>
      </c>
      <c r="G1732" s="6" t="s">
        <v>81</v>
      </c>
      <c r="H1732" s="6" t="s">
        <v>7483</v>
      </c>
      <c r="I1732" s="6" t="s">
        <v>9258</v>
      </c>
      <c r="J1732" s="6" t="s">
        <v>9803</v>
      </c>
      <c r="K1732" s="6" t="s">
        <v>10886</v>
      </c>
      <c r="L1732" s="16" t="n">
        <v>44832</v>
      </c>
      <c r="M1732" s="16" t="n">
        <v>45748</v>
      </c>
      <c r="N1732" s="6" t="s">
        <v>10886</v>
      </c>
      <c r="O1732" s="16" t="n">
        <v>44832</v>
      </c>
      <c r="P1732" s="6" t="s">
        <v>10910</v>
      </c>
      <c r="Q1732" s="6" t="s">
        <v>81</v>
      </c>
      <c r="R1732" s="6" t="s">
        <v>12916</v>
      </c>
      <c r="S1732" s="6" t="s">
        <v>10886</v>
      </c>
      <c r="T1732" s="16" t="n">
        <v>44851</v>
      </c>
      <c r="U1732" s="6" t="s">
        <v>13695</v>
      </c>
      <c r="V1732" s="6" t="s">
        <v>81</v>
      </c>
      <c r="W1732" s="6" t="s">
        <v>81</v>
      </c>
      <c r="X1732" s="6" t="s">
        <v>81</v>
      </c>
      <c r="Y1732" s="21" t="s">
        <v>81</v>
      </c>
      <c r="Z1732" s="6" t="s">
        <v>81</v>
      </c>
      <c r="AA1732" s="6" t="s">
        <v>81</v>
      </c>
      <c r="AB1732" s="6" t="s">
        <v>81</v>
      </c>
      <c r="AC1732" s="6" t="s">
        <v>81</v>
      </c>
      <c r="AD1732" s="21" t="s">
        <v>81</v>
      </c>
      <c r="AE1732" s="6" t="s">
        <v>81</v>
      </c>
      <c r="AF1732" s="6" t="s">
        <v>81</v>
      </c>
      <c r="AG1732" s="6" t="s">
        <v>81</v>
      </c>
      <c r="AH1732" s="6" t="s">
        <v>16294</v>
      </c>
      <c r="AI1732" s="6" t="s">
        <v>81</v>
      </c>
      <c r="AJ1732" s="6" t="s">
        <v>10457</v>
      </c>
      <c r="AK1732" s="6" t="s">
        <v>18378</v>
      </c>
      <c r="AL1732" s="6" t="s">
        <v>18444</v>
      </c>
      <c r="AM1732" s="6" t="s">
        <v>18573</v>
      </c>
      <c r="AN1732" s="6" t="s">
        <v>19673</v>
      </c>
      <c r="AO1732" s="6" t="s">
        <v>19786</v>
      </c>
      <c r="AP1732" s="6" t="s">
        <v>16294</v>
      </c>
      <c r="AQ1732" s="6" t="s">
        <v>81</v>
      </c>
      <c r="AR1732" s="6" t="s">
        <v>10457</v>
      </c>
      <c r="AS1732" s="6" t="s">
        <v>18378</v>
      </c>
      <c r="AT1732" s="6" t="s">
        <v>18444</v>
      </c>
      <c r="AU1732" s="6" t="s">
        <v>18573</v>
      </c>
      <c r="AV1732" s="6" t="s">
        <v>81</v>
      </c>
      <c r="AW1732" s="6" t="s">
        <v>81</v>
      </c>
      <c r="AX1732" s="6" t="s">
        <v>21854</v>
      </c>
      <c r="AY1732" s="6" t="s">
        <v>81</v>
      </c>
      <c r="AZ1732" s="6" t="s">
        <v>81</v>
      </c>
      <c r="BA1732" s="6" t="s">
        <v>81</v>
      </c>
      <c r="BB1732" s="24" t="n">
        <v>116</v>
      </c>
      <c r="BC1732" s="26"/>
      <c r="BD1732" s="26"/>
      <c r="BE1732" s="26"/>
      <c r="BF1732" s="26"/>
      <c r="BG1732" s="26"/>
      <c r="BH1732" s="26"/>
      <c r="BI1732" s="26"/>
      <c r="BJ1732" s="26"/>
      <c r="BK1732" s="26"/>
      <c r="BL1732" s="26"/>
      <c r="BM1732" s="26"/>
      <c r="BN1732" s="26"/>
      <c r="BO1732" s="26"/>
      <c r="BP1732" s="16" t="n">
        <v>45730</v>
      </c>
      <c r="BQ1732" s="28" t="str">
        <f>HYPERLINK("https://organic.ams.usda.gov/Integrity/Certificate.aspx?cid=90&amp;nopid=7170220583")</f>
        <v>https://organic.ams.usda.gov/Integrity/Certificate.aspx?cid=90&amp;nopid=7170220583</v>
      </c>
    </row>
    <row r="1733">
      <c r="A1733" t="s">
        <v>3</v>
      </c>
      <c r="B1733" s="6" t="s">
        <v>7</v>
      </c>
      <c r="C1733" s="6" t="s">
        <v>54</v>
      </c>
      <c r="D1733" s="6" t="s">
        <v>100</v>
      </c>
      <c r="E1733" s="10" t="s">
        <v>1874</v>
      </c>
      <c r="F1733" s="6" t="s">
        <v>4595</v>
      </c>
      <c r="G1733" s="6" t="s">
        <v>5749</v>
      </c>
      <c r="H1733" s="6" t="s">
        <v>7484</v>
      </c>
      <c r="I1733" s="6" t="s">
        <v>9258</v>
      </c>
      <c r="J1733" s="6" t="s">
        <v>9763</v>
      </c>
      <c r="K1733" s="6" t="s">
        <v>10886</v>
      </c>
      <c r="L1733" s="16" t="n">
        <v>42298</v>
      </c>
      <c r="M1733" s="16" t="n">
        <v>45716</v>
      </c>
      <c r="N1733" s="6" t="s">
        <v>10886</v>
      </c>
      <c r="O1733" s="16" t="n">
        <v>42298</v>
      </c>
      <c r="P1733" s="6" t="s">
        <v>10993</v>
      </c>
      <c r="Q1733" s="6" t="s">
        <v>81</v>
      </c>
      <c r="R1733" s="6" t="s">
        <v>81</v>
      </c>
      <c r="S1733" s="6" t="s">
        <v>10886</v>
      </c>
      <c r="T1733" s="16" t="n">
        <v>42514</v>
      </c>
      <c r="U1733" s="6" t="s">
        <v>13169</v>
      </c>
      <c r="V1733" s="6" t="s">
        <v>81</v>
      </c>
      <c r="W1733" s="6" t="s">
        <v>81</v>
      </c>
      <c r="X1733" s="6" t="s">
        <v>81</v>
      </c>
      <c r="Y1733" s="21" t="s">
        <v>81</v>
      </c>
      <c r="Z1733" s="6" t="s">
        <v>81</v>
      </c>
      <c r="AA1733" s="6" t="s">
        <v>81</v>
      </c>
      <c r="AB1733" s="6" t="s">
        <v>81</v>
      </c>
      <c r="AC1733" s="6" t="s">
        <v>81</v>
      </c>
      <c r="AD1733" s="21" t="s">
        <v>81</v>
      </c>
      <c r="AE1733" s="6" t="s">
        <v>81</v>
      </c>
      <c r="AF1733" s="6" t="s">
        <v>81</v>
      </c>
      <c r="AG1733" s="6" t="s">
        <v>81</v>
      </c>
      <c r="AH1733" s="6" t="s">
        <v>16295</v>
      </c>
      <c r="AI1733" s="6" t="s">
        <v>81</v>
      </c>
      <c r="AJ1733" s="6" t="s">
        <v>18088</v>
      </c>
      <c r="AK1733" s="6" t="s">
        <v>17712</v>
      </c>
      <c r="AL1733" s="6" t="s">
        <v>18444</v>
      </c>
      <c r="AM1733" s="6" t="s">
        <v>19286</v>
      </c>
      <c r="AN1733" s="6" t="s">
        <v>19657</v>
      </c>
      <c r="AO1733" s="6" t="s">
        <v>19751</v>
      </c>
      <c r="AP1733" s="6" t="s">
        <v>16295</v>
      </c>
      <c r="AQ1733" s="6" t="s">
        <v>81</v>
      </c>
      <c r="AR1733" s="6" t="s">
        <v>18088</v>
      </c>
      <c r="AS1733" s="6" t="s">
        <v>17712</v>
      </c>
      <c r="AT1733" s="6" t="s">
        <v>18444</v>
      </c>
      <c r="AU1733" s="6" t="s">
        <v>19286</v>
      </c>
      <c r="AV1733" s="6" t="s">
        <v>81</v>
      </c>
      <c r="AW1733" s="6" t="s">
        <v>81</v>
      </c>
      <c r="AX1733" s="6" t="s">
        <v>21855</v>
      </c>
      <c r="AY1733" s="6" t="s">
        <v>81</v>
      </c>
      <c r="AZ1733" s="6" t="s">
        <v>81</v>
      </c>
      <c r="BA1733" s="6" t="s">
        <v>81</v>
      </c>
      <c r="BB1733" s="24" t="n">
        <v>200</v>
      </c>
      <c r="BC1733" s="26"/>
      <c r="BD1733" s="26"/>
      <c r="BE1733" s="26"/>
      <c r="BF1733" s="26"/>
      <c r="BG1733" s="26"/>
      <c r="BH1733" s="26"/>
      <c r="BI1733" s="26"/>
      <c r="BJ1733" s="26"/>
      <c r="BK1733" s="26"/>
      <c r="BL1733" s="26"/>
      <c r="BM1733" s="26"/>
      <c r="BN1733" s="26"/>
      <c r="BO1733" s="26"/>
      <c r="BP1733" s="16" t="n">
        <v>45595</v>
      </c>
      <c r="BQ1733" s="28" t="str">
        <f>HYPERLINK("https://organic.ams.usda.gov/Integrity/Certificate.aspx?cid=57&amp;nopid=3252015126")</f>
        <v>https://organic.ams.usda.gov/Integrity/Certificate.aspx?cid=57&amp;nopid=3252015126</v>
      </c>
    </row>
    <row r="1734">
      <c r="A1734" t="s">
        <v>3</v>
      </c>
      <c r="B1734" s="6" t="s">
        <v>12</v>
      </c>
      <c r="C1734" s="6" t="s">
        <v>59</v>
      </c>
      <c r="D1734" s="6" t="s">
        <v>105</v>
      </c>
      <c r="E1734" s="10" t="s">
        <v>1875</v>
      </c>
      <c r="F1734" s="6" t="s">
        <v>4596</v>
      </c>
      <c r="G1734" s="6" t="s">
        <v>81</v>
      </c>
      <c r="H1734" s="6" t="s">
        <v>7485</v>
      </c>
      <c r="I1734" s="6" t="s">
        <v>9262</v>
      </c>
      <c r="J1734" s="6" t="s">
        <v>9923</v>
      </c>
      <c r="K1734" s="6" t="s">
        <v>10886</v>
      </c>
      <c r="L1734" s="16" t="n">
        <v>41004</v>
      </c>
      <c r="M1734" s="16" t="n">
        <v>45717</v>
      </c>
      <c r="N1734" s="6" t="s">
        <v>10886</v>
      </c>
      <c r="O1734" s="16" t="n">
        <v>41004</v>
      </c>
      <c r="P1734" s="6" t="s">
        <v>11926</v>
      </c>
      <c r="Q1734" s="6" t="s">
        <v>81</v>
      </c>
      <c r="R1734" s="6" t="s">
        <v>81</v>
      </c>
      <c r="S1734" s="6" t="s">
        <v>10886</v>
      </c>
      <c r="T1734" s="16" t="n">
        <v>41004</v>
      </c>
      <c r="U1734" s="6" t="s">
        <v>13166</v>
      </c>
      <c r="V1734" s="6" t="s">
        <v>81</v>
      </c>
      <c r="W1734" s="6" t="s">
        <v>81</v>
      </c>
      <c r="X1734" s="6" t="s">
        <v>81</v>
      </c>
      <c r="Y1734" s="21" t="s">
        <v>81</v>
      </c>
      <c r="Z1734" s="6" t="s">
        <v>81</v>
      </c>
      <c r="AA1734" s="6" t="s">
        <v>81</v>
      </c>
      <c r="AB1734" s="6" t="s">
        <v>81</v>
      </c>
      <c r="AC1734" s="6" t="s">
        <v>81</v>
      </c>
      <c r="AD1734" s="21" t="s">
        <v>81</v>
      </c>
      <c r="AE1734" s="6" t="s">
        <v>81</v>
      </c>
      <c r="AF1734" s="6" t="s">
        <v>81</v>
      </c>
      <c r="AG1734" s="6" t="s">
        <v>81</v>
      </c>
      <c r="AH1734" s="6" t="s">
        <v>16296</v>
      </c>
      <c r="AI1734" s="6" t="s">
        <v>81</v>
      </c>
      <c r="AJ1734" s="6" t="s">
        <v>17608</v>
      </c>
      <c r="AK1734" s="6" t="s">
        <v>18380</v>
      </c>
      <c r="AL1734" s="6" t="s">
        <v>18444</v>
      </c>
      <c r="AM1734" s="6" t="s">
        <v>18774</v>
      </c>
      <c r="AN1734" s="6" t="s">
        <v>19639</v>
      </c>
      <c r="AO1734" s="6" t="s">
        <v>19725</v>
      </c>
      <c r="AP1734" s="6" t="s">
        <v>16296</v>
      </c>
      <c r="AQ1734" s="6" t="s">
        <v>81</v>
      </c>
      <c r="AR1734" s="6" t="s">
        <v>17608</v>
      </c>
      <c r="AS1734" s="6" t="s">
        <v>18380</v>
      </c>
      <c r="AT1734" s="6" t="s">
        <v>18444</v>
      </c>
      <c r="AU1734" s="6" t="s">
        <v>18774</v>
      </c>
      <c r="AV1734" s="6" t="s">
        <v>81</v>
      </c>
      <c r="AW1734" s="6" t="s">
        <v>81</v>
      </c>
      <c r="AX1734" s="6" t="s">
        <v>21856</v>
      </c>
      <c r="AY1734" s="6" t="s">
        <v>81</v>
      </c>
      <c r="AZ1734" s="6" t="s">
        <v>81</v>
      </c>
      <c r="BA1734" s="6" t="s">
        <v>81</v>
      </c>
      <c r="BB1734" s="24" t="n">
        <v>74</v>
      </c>
      <c r="BC1734" s="26"/>
      <c r="BD1734" s="26"/>
      <c r="BE1734" s="26"/>
      <c r="BF1734" s="26"/>
      <c r="BG1734" s="26"/>
      <c r="BH1734" s="26"/>
      <c r="BI1734" s="26"/>
      <c r="BJ1734" s="26"/>
      <c r="BK1734" s="26"/>
      <c r="BL1734" s="26"/>
      <c r="BM1734" s="26"/>
      <c r="BN1734" s="26"/>
      <c r="BO1734" s="26"/>
      <c r="BP1734" s="16" t="n">
        <v>45684</v>
      </c>
      <c r="BQ1734" s="28" t="str">
        <f>HYPERLINK("https://organic.ams.usda.gov/Integrity/Certificate.aspx?cid=68&amp;nopid=8210001415")</f>
        <v>https://organic.ams.usda.gov/Integrity/Certificate.aspx?cid=68&amp;nopid=8210001415</v>
      </c>
    </row>
    <row r="1735">
      <c r="A1735" t="s">
        <v>3</v>
      </c>
      <c r="B1735" s="6" t="s">
        <v>18</v>
      </c>
      <c r="C1735" s="6" t="s">
        <v>65</v>
      </c>
      <c r="D1735" s="6" t="s">
        <v>111</v>
      </c>
      <c r="E1735" s="10" t="s">
        <v>1876</v>
      </c>
      <c r="F1735" s="6" t="s">
        <v>4597</v>
      </c>
      <c r="G1735" s="6" t="s">
        <v>81</v>
      </c>
      <c r="H1735" s="6" t="s">
        <v>1876</v>
      </c>
      <c r="I1735" s="6" t="s">
        <v>9263</v>
      </c>
      <c r="J1735" s="6" t="s">
        <v>10305</v>
      </c>
      <c r="K1735" s="6" t="s">
        <v>10886</v>
      </c>
      <c r="L1735" s="16" t="n">
        <v>45708</v>
      </c>
      <c r="M1735" s="16" t="n">
        <v>46068</v>
      </c>
      <c r="N1735" s="6" t="s">
        <v>10886</v>
      </c>
      <c r="O1735" s="16" t="n">
        <v>45708</v>
      </c>
      <c r="P1735" s="6" t="s">
        <v>11556</v>
      </c>
      <c r="Q1735" s="6" t="s">
        <v>81</v>
      </c>
      <c r="R1735" s="6" t="s">
        <v>4597</v>
      </c>
      <c r="S1735" s="6" t="s">
        <v>10886</v>
      </c>
      <c r="T1735" s="16" t="n">
        <v>45708</v>
      </c>
      <c r="U1735" s="6" t="s">
        <v>13696</v>
      </c>
      <c r="V1735" s="6" t="s">
        <v>81</v>
      </c>
      <c r="W1735" s="6" t="s">
        <v>4597</v>
      </c>
      <c r="X1735" s="6" t="s">
        <v>81</v>
      </c>
      <c r="Y1735" s="21" t="s">
        <v>81</v>
      </c>
      <c r="Z1735" s="6" t="s">
        <v>81</v>
      </c>
      <c r="AA1735" s="6" t="s">
        <v>81</v>
      </c>
      <c r="AB1735" s="6" t="s">
        <v>81</v>
      </c>
      <c r="AC1735" s="6" t="s">
        <v>81</v>
      </c>
      <c r="AD1735" s="21" t="s">
        <v>81</v>
      </c>
      <c r="AE1735" s="6" t="s">
        <v>81</v>
      </c>
      <c r="AF1735" s="6" t="s">
        <v>81</v>
      </c>
      <c r="AG1735" s="6" t="s">
        <v>81</v>
      </c>
      <c r="AH1735" s="6" t="s">
        <v>16297</v>
      </c>
      <c r="AI1735" s="6" t="s">
        <v>81</v>
      </c>
      <c r="AJ1735" s="6" t="s">
        <v>17971</v>
      </c>
      <c r="AK1735" s="6" t="s">
        <v>17712</v>
      </c>
      <c r="AL1735" s="6" t="s">
        <v>18444</v>
      </c>
      <c r="AM1735" s="6" t="s">
        <v>19158</v>
      </c>
      <c r="AN1735" s="6" t="s">
        <v>81</v>
      </c>
      <c r="AO1735" s="6" t="s">
        <v>81</v>
      </c>
      <c r="AP1735" s="6" t="s">
        <v>16297</v>
      </c>
      <c r="AQ1735" s="6" t="s">
        <v>81</v>
      </c>
      <c r="AR1735" s="6" t="s">
        <v>17971</v>
      </c>
      <c r="AS1735" s="6" t="s">
        <v>17712</v>
      </c>
      <c r="AT1735" s="6" t="s">
        <v>18444</v>
      </c>
      <c r="AU1735" s="6" t="s">
        <v>19158</v>
      </c>
      <c r="AV1735" s="6" t="s">
        <v>81</v>
      </c>
      <c r="AW1735" s="6" t="s">
        <v>81</v>
      </c>
      <c r="AX1735" s="6" t="s">
        <v>81</v>
      </c>
      <c r="AY1735" s="6" t="s">
        <v>81</v>
      </c>
      <c r="AZ1735" s="6" t="s">
        <v>81</v>
      </c>
      <c r="BA1735" s="6" t="s">
        <v>81</v>
      </c>
      <c r="BB1735" s="24" t="n">
        <v>134</v>
      </c>
      <c r="BC1735" s="26"/>
      <c r="BD1735" s="26"/>
      <c r="BE1735" s="26"/>
      <c r="BF1735" s="26" t="s">
        <v>23900</v>
      </c>
      <c r="BG1735" s="26"/>
      <c r="BH1735" s="26"/>
      <c r="BI1735" s="26"/>
      <c r="BJ1735" s="26"/>
      <c r="BK1735" s="26"/>
      <c r="BL1735" s="26"/>
      <c r="BM1735" s="26"/>
      <c r="BN1735" s="26"/>
      <c r="BO1735" s="26"/>
      <c r="BP1735" s="16" t="n">
        <v>45708</v>
      </c>
      <c r="BQ1735" s="28" t="str">
        <f>HYPERLINK("https://organic.ams.usda.gov/Integrity/Certificate.aspx?cid=8&amp;nopid=2202501100")</f>
        <v>https://organic.ams.usda.gov/Integrity/Certificate.aspx?cid=8&amp;nopid=2202501100</v>
      </c>
    </row>
    <row r="1736">
      <c r="A1736" t="s">
        <v>3</v>
      </c>
      <c r="B1736" s="6" t="s">
        <v>29</v>
      </c>
      <c r="C1736" s="6" t="s">
        <v>76</v>
      </c>
      <c r="D1736" s="6" t="s">
        <v>122</v>
      </c>
      <c r="E1736" s="10" t="s">
        <v>1877</v>
      </c>
      <c r="F1736" s="6" t="s">
        <v>4598</v>
      </c>
      <c r="G1736" s="6" t="s">
        <v>81</v>
      </c>
      <c r="H1736" s="6" t="s">
        <v>7486</v>
      </c>
      <c r="I1736" s="6" t="s">
        <v>9264</v>
      </c>
      <c r="J1736" s="6" t="s">
        <v>9665</v>
      </c>
      <c r="K1736" s="6" t="s">
        <v>10886</v>
      </c>
      <c r="L1736" s="16" t="n">
        <v>40708</v>
      </c>
      <c r="M1736" s="16" t="n">
        <v>45870</v>
      </c>
      <c r="N1736" s="6" t="s">
        <v>10886</v>
      </c>
      <c r="O1736" s="16" t="n">
        <v>40708</v>
      </c>
      <c r="P1736" s="6" t="s">
        <v>11927</v>
      </c>
      <c r="Q1736" s="6" t="s">
        <v>81</v>
      </c>
      <c r="R1736" s="6" t="s">
        <v>12917</v>
      </c>
      <c r="S1736" s="6" t="s">
        <v>10886</v>
      </c>
      <c r="T1736" s="16" t="n">
        <v>40708</v>
      </c>
      <c r="U1736" s="6" t="s">
        <v>13384</v>
      </c>
      <c r="V1736" s="6" t="s">
        <v>81</v>
      </c>
      <c r="W1736" s="6" t="s">
        <v>12917</v>
      </c>
      <c r="X1736" s="6" t="s">
        <v>81</v>
      </c>
      <c r="Y1736" s="21" t="s">
        <v>81</v>
      </c>
      <c r="Z1736" s="6" t="s">
        <v>81</v>
      </c>
      <c r="AA1736" s="6" t="s">
        <v>81</v>
      </c>
      <c r="AB1736" s="6" t="s">
        <v>81</v>
      </c>
      <c r="AC1736" s="6" t="s">
        <v>81</v>
      </c>
      <c r="AD1736" s="21" t="s">
        <v>81</v>
      </c>
      <c r="AE1736" s="6" t="s">
        <v>81</v>
      </c>
      <c r="AF1736" s="6" t="s">
        <v>81</v>
      </c>
      <c r="AG1736" s="6" t="s">
        <v>81</v>
      </c>
      <c r="AH1736" s="6" t="s">
        <v>16298</v>
      </c>
      <c r="AI1736" s="6" t="s">
        <v>81</v>
      </c>
      <c r="AJ1736" s="6" t="s">
        <v>18089</v>
      </c>
      <c r="AK1736" s="6" t="s">
        <v>18391</v>
      </c>
      <c r="AL1736" s="6" t="s">
        <v>18444</v>
      </c>
      <c r="AM1736" s="6" t="s">
        <v>19287</v>
      </c>
      <c r="AN1736" s="6" t="s">
        <v>5924</v>
      </c>
      <c r="AO1736" s="6" t="s">
        <v>19796</v>
      </c>
      <c r="AP1736" s="6" t="s">
        <v>81</v>
      </c>
      <c r="AQ1736" s="6" t="s">
        <v>81</v>
      </c>
      <c r="AR1736" s="6" t="s">
        <v>81</v>
      </c>
      <c r="AS1736" s="6" t="s">
        <v>81</v>
      </c>
      <c r="AT1736" s="6" t="s">
        <v>81</v>
      </c>
      <c r="AU1736" s="6" t="s">
        <v>81</v>
      </c>
      <c r="AV1736" s="6" t="s">
        <v>81</v>
      </c>
      <c r="AW1736" s="6" t="s">
        <v>81</v>
      </c>
      <c r="AX1736" s="6" t="s">
        <v>81</v>
      </c>
      <c r="AY1736" s="6" t="s">
        <v>81</v>
      </c>
      <c r="AZ1736" s="6" t="s">
        <v>81</v>
      </c>
      <c r="BA1736" s="6" t="s">
        <v>81</v>
      </c>
      <c r="BB1736" s="24" t="n">
        <v>74</v>
      </c>
      <c r="BC1736" s="26"/>
      <c r="BD1736" s="26"/>
      <c r="BE1736" s="26"/>
      <c r="BF1736" s="26" t="s">
        <v>23900</v>
      </c>
      <c r="BG1736" s="26"/>
      <c r="BH1736" s="26"/>
      <c r="BI1736" s="26"/>
      <c r="BJ1736" s="26"/>
      <c r="BK1736" s="26"/>
      <c r="BL1736" s="26"/>
      <c r="BM1736" s="26"/>
      <c r="BN1736" s="26"/>
      <c r="BO1736" s="26"/>
      <c r="BP1736" s="16" t="n">
        <v>45737</v>
      </c>
      <c r="BQ1736" s="28" t="str">
        <f>HYPERLINK("https://organic.ams.usda.gov/Integrity/Certificate.aspx?cid=31&amp;nopid=3928971035")</f>
        <v>https://organic.ams.usda.gov/Integrity/Certificate.aspx?cid=31&amp;nopid=3928971035</v>
      </c>
    </row>
    <row r="1737">
      <c r="A1737" t="s">
        <v>3</v>
      </c>
      <c r="B1737" s="6" t="s">
        <v>8</v>
      </c>
      <c r="C1737" s="6" t="s">
        <v>55</v>
      </c>
      <c r="D1737" s="6" t="s">
        <v>101</v>
      </c>
      <c r="E1737" s="10" t="s">
        <v>1878</v>
      </c>
      <c r="F1737" s="6" t="s">
        <v>4599</v>
      </c>
      <c r="G1737" s="6" t="s">
        <v>81</v>
      </c>
      <c r="H1737" s="6" t="s">
        <v>7487</v>
      </c>
      <c r="I1737" s="6" t="s">
        <v>8508</v>
      </c>
      <c r="J1737" s="6" t="s">
        <v>9733</v>
      </c>
      <c r="K1737" s="6" t="s">
        <v>10886</v>
      </c>
      <c r="L1737" s="16" t="n">
        <v>43640</v>
      </c>
      <c r="M1737" s="16" t="n">
        <v>45748</v>
      </c>
      <c r="N1737" s="6" t="s">
        <v>10886</v>
      </c>
      <c r="O1737" s="16" t="n">
        <v>43640</v>
      </c>
      <c r="P1737" s="6" t="s">
        <v>11928</v>
      </c>
      <c r="Q1737" s="6" t="s">
        <v>81</v>
      </c>
      <c r="R1737" s="6" t="s">
        <v>7487</v>
      </c>
      <c r="S1737" s="6" t="s">
        <v>10886</v>
      </c>
      <c r="T1737" s="16" t="n">
        <v>43640</v>
      </c>
      <c r="U1737" s="6" t="s">
        <v>13697</v>
      </c>
      <c r="V1737" s="6" t="s">
        <v>81</v>
      </c>
      <c r="W1737" s="6" t="s">
        <v>7487</v>
      </c>
      <c r="X1737" s="6" t="s">
        <v>81</v>
      </c>
      <c r="Y1737" s="21" t="s">
        <v>81</v>
      </c>
      <c r="Z1737" s="6" t="s">
        <v>81</v>
      </c>
      <c r="AA1737" s="6" t="s">
        <v>81</v>
      </c>
      <c r="AB1737" s="6" t="s">
        <v>81</v>
      </c>
      <c r="AC1737" s="6" t="s">
        <v>81</v>
      </c>
      <c r="AD1737" s="21" t="s">
        <v>81</v>
      </c>
      <c r="AE1737" s="6" t="s">
        <v>81</v>
      </c>
      <c r="AF1737" s="6" t="s">
        <v>81</v>
      </c>
      <c r="AG1737" s="6" t="s">
        <v>81</v>
      </c>
      <c r="AH1737" s="6" t="s">
        <v>16299</v>
      </c>
      <c r="AI1737" s="6" t="s">
        <v>81</v>
      </c>
      <c r="AJ1737" s="6" t="s">
        <v>17643</v>
      </c>
      <c r="AK1737" s="6" t="s">
        <v>18377</v>
      </c>
      <c r="AL1737" s="6" t="s">
        <v>18444</v>
      </c>
      <c r="AM1737" s="6" t="s">
        <v>18812</v>
      </c>
      <c r="AN1737" s="6" t="s">
        <v>19646</v>
      </c>
      <c r="AO1737" s="6" t="s">
        <v>19733</v>
      </c>
      <c r="AP1737" s="6" t="s">
        <v>81</v>
      </c>
      <c r="AQ1737" s="6" t="s">
        <v>81</v>
      </c>
      <c r="AR1737" s="6" t="s">
        <v>81</v>
      </c>
      <c r="AS1737" s="6" t="s">
        <v>81</v>
      </c>
      <c r="AT1737" s="6" t="s">
        <v>81</v>
      </c>
      <c r="AU1737" s="6" t="s">
        <v>81</v>
      </c>
      <c r="AV1737" s="6" t="s">
        <v>81</v>
      </c>
      <c r="AW1737" s="6" t="s">
        <v>81</v>
      </c>
      <c r="AX1737" s="6" t="s">
        <v>81</v>
      </c>
      <c r="AY1737" s="6" t="s">
        <v>81</v>
      </c>
      <c r="AZ1737" s="6" t="s">
        <v>81</v>
      </c>
      <c r="BA1737" s="6" t="s">
        <v>23824</v>
      </c>
      <c r="BB1737" s="24" t="n">
        <v>135</v>
      </c>
      <c r="BC1737" s="26"/>
      <c r="BD1737" s="26"/>
      <c r="BE1737" s="26"/>
      <c r="BF1737" s="26" t="s">
        <v>23900</v>
      </c>
      <c r="BG1737" s="26"/>
      <c r="BH1737" s="26"/>
      <c r="BI1737" s="26"/>
      <c r="BJ1737" s="26"/>
      <c r="BK1737" s="26"/>
      <c r="BL1737" s="26"/>
      <c r="BM1737" s="26"/>
      <c r="BN1737" s="26"/>
      <c r="BO1737" s="26"/>
      <c r="BP1737" s="16" t="n">
        <v>45616</v>
      </c>
      <c r="BQ1737" s="28" t="str">
        <f>HYPERLINK("https://organic.ams.usda.gov/Integrity/Certificate.aspx?cid=45&amp;nopid=9950009648")</f>
        <v>https://organic.ams.usda.gov/Integrity/Certificate.aspx?cid=45&amp;nopid=9950009648</v>
      </c>
    </row>
    <row r="1738">
      <c r="A1738" t="s">
        <v>3</v>
      </c>
      <c r="B1738" s="6" t="s">
        <v>9</v>
      </c>
      <c r="C1738" s="6" t="s">
        <v>56</v>
      </c>
      <c r="D1738" s="6" t="s">
        <v>102</v>
      </c>
      <c r="E1738" s="10" t="s">
        <v>1879</v>
      </c>
      <c r="F1738" s="6" t="s">
        <v>4599</v>
      </c>
      <c r="G1738" s="6" t="s">
        <v>81</v>
      </c>
      <c r="H1738" s="6" t="s">
        <v>7488</v>
      </c>
      <c r="I1738" s="6" t="s">
        <v>8508</v>
      </c>
      <c r="J1738" s="6" t="s">
        <v>9733</v>
      </c>
      <c r="K1738" s="6" t="s">
        <v>10886</v>
      </c>
      <c r="L1738" s="16" t="n">
        <v>42217</v>
      </c>
      <c r="M1738" s="16" t="n">
        <v>45748</v>
      </c>
      <c r="N1738" s="6" t="s">
        <v>10886</v>
      </c>
      <c r="O1738" s="16" t="n">
        <v>42217</v>
      </c>
      <c r="P1738" s="6" t="s">
        <v>11098</v>
      </c>
      <c r="Q1738" s="6" t="s">
        <v>81</v>
      </c>
      <c r="R1738" s="6" t="s">
        <v>12918</v>
      </c>
      <c r="S1738" s="6" t="s">
        <v>10886</v>
      </c>
      <c r="T1738" s="16" t="n">
        <v>42217</v>
      </c>
      <c r="U1738" s="6" t="s">
        <v>13680</v>
      </c>
      <c r="V1738" s="6" t="s">
        <v>81</v>
      </c>
      <c r="W1738" s="6" t="s">
        <v>12918</v>
      </c>
      <c r="X1738" s="6" t="s">
        <v>81</v>
      </c>
      <c r="Y1738" s="21" t="s">
        <v>81</v>
      </c>
      <c r="Z1738" s="6" t="s">
        <v>81</v>
      </c>
      <c r="AA1738" s="6" t="s">
        <v>81</v>
      </c>
      <c r="AB1738" s="6" t="s">
        <v>81</v>
      </c>
      <c r="AC1738" s="6" t="s">
        <v>81</v>
      </c>
      <c r="AD1738" s="21" t="s">
        <v>81</v>
      </c>
      <c r="AE1738" s="6" t="s">
        <v>81</v>
      </c>
      <c r="AF1738" s="6" t="s">
        <v>81</v>
      </c>
      <c r="AG1738" s="6" t="s">
        <v>81</v>
      </c>
      <c r="AH1738" s="6" t="s">
        <v>16300</v>
      </c>
      <c r="AI1738" s="6" t="s">
        <v>81</v>
      </c>
      <c r="AJ1738" s="6" t="s">
        <v>17340</v>
      </c>
      <c r="AK1738" s="6" t="s">
        <v>18377</v>
      </c>
      <c r="AL1738" s="6" t="s">
        <v>18444</v>
      </c>
      <c r="AM1738" s="6" t="s">
        <v>18494</v>
      </c>
      <c r="AN1738" s="6" t="s">
        <v>19666</v>
      </c>
      <c r="AO1738" s="6" t="s">
        <v>19771</v>
      </c>
      <c r="AP1738" s="6" t="s">
        <v>81</v>
      </c>
      <c r="AQ1738" s="6" t="s">
        <v>81</v>
      </c>
      <c r="AR1738" s="6" t="s">
        <v>81</v>
      </c>
      <c r="AS1738" s="6" t="s">
        <v>81</v>
      </c>
      <c r="AT1738" s="6" t="s">
        <v>81</v>
      </c>
      <c r="AU1738" s="6" t="s">
        <v>81</v>
      </c>
      <c r="AV1738" s="6" t="s">
        <v>81</v>
      </c>
      <c r="AW1738" s="6" t="s">
        <v>81</v>
      </c>
      <c r="AX1738" s="6" t="s">
        <v>21857</v>
      </c>
      <c r="AY1738" s="6" t="s">
        <v>81</v>
      </c>
      <c r="AZ1738" s="6" t="s">
        <v>81</v>
      </c>
      <c r="BA1738" s="6" t="s">
        <v>81</v>
      </c>
      <c r="BB1738" s="24" t="n">
        <v>166</v>
      </c>
      <c r="BC1738" s="26"/>
      <c r="BD1738" s="26"/>
      <c r="BE1738" s="26"/>
      <c r="BF1738" s="26"/>
      <c r="BG1738" s="26"/>
      <c r="BH1738" s="26"/>
      <c r="BI1738" s="26"/>
      <c r="BJ1738" s="26"/>
      <c r="BK1738" s="26"/>
      <c r="BL1738" s="26"/>
      <c r="BM1738" s="26"/>
      <c r="BN1738" s="26"/>
      <c r="BO1738" s="26"/>
      <c r="BP1738" s="16" t="n">
        <v>45738</v>
      </c>
      <c r="BQ1738" s="28" t="str">
        <f>HYPERLINK("https://organic.ams.usda.gov/Integrity/Certificate.aspx?cid=52&amp;nopid=8431501023")</f>
        <v>https://organic.ams.usda.gov/Integrity/Certificate.aspx?cid=52&amp;nopid=8431501023</v>
      </c>
    </row>
    <row r="1739">
      <c r="A1739" t="s">
        <v>3</v>
      </c>
      <c r="B1739" s="6" t="s">
        <v>7</v>
      </c>
      <c r="C1739" s="6" t="s">
        <v>54</v>
      </c>
      <c r="D1739" s="6" t="s">
        <v>100</v>
      </c>
      <c r="E1739" s="10" t="s">
        <v>1880</v>
      </c>
      <c r="F1739" s="6" t="s">
        <v>4600</v>
      </c>
      <c r="G1739" s="6" t="s">
        <v>81</v>
      </c>
      <c r="H1739" s="6" t="s">
        <v>7489</v>
      </c>
      <c r="I1739" s="6" t="s">
        <v>8508</v>
      </c>
      <c r="J1739" s="6" t="s">
        <v>9726</v>
      </c>
      <c r="K1739" s="6" t="s">
        <v>10886</v>
      </c>
      <c r="L1739" s="16" t="n">
        <v>37649</v>
      </c>
      <c r="M1739" s="16" t="n">
        <v>45716</v>
      </c>
      <c r="N1739" s="6" t="s">
        <v>10886</v>
      </c>
      <c r="O1739" s="16" t="n">
        <v>37649</v>
      </c>
      <c r="P1739" s="6" t="s">
        <v>11929</v>
      </c>
      <c r="Q1739" s="6" t="s">
        <v>81</v>
      </c>
      <c r="R1739" s="6" t="s">
        <v>81</v>
      </c>
      <c r="S1739" s="6" t="s">
        <v>10886</v>
      </c>
      <c r="T1739" s="16" t="n">
        <v>37649</v>
      </c>
      <c r="U1739" s="6" t="s">
        <v>13169</v>
      </c>
      <c r="V1739" s="6" t="s">
        <v>81</v>
      </c>
      <c r="W1739" s="6" t="s">
        <v>81</v>
      </c>
      <c r="X1739" s="6" t="s">
        <v>81</v>
      </c>
      <c r="Y1739" s="21" t="s">
        <v>81</v>
      </c>
      <c r="Z1739" s="6" t="s">
        <v>81</v>
      </c>
      <c r="AA1739" s="6" t="s">
        <v>81</v>
      </c>
      <c r="AB1739" s="6" t="s">
        <v>81</v>
      </c>
      <c r="AC1739" s="6" t="s">
        <v>81</v>
      </c>
      <c r="AD1739" s="21" t="s">
        <v>81</v>
      </c>
      <c r="AE1739" s="6" t="s">
        <v>81</v>
      </c>
      <c r="AF1739" s="6" t="s">
        <v>81</v>
      </c>
      <c r="AG1739" s="6" t="s">
        <v>81</v>
      </c>
      <c r="AH1739" s="6" t="s">
        <v>16301</v>
      </c>
      <c r="AI1739" s="6" t="s">
        <v>81</v>
      </c>
      <c r="AJ1739" s="6" t="s">
        <v>17752</v>
      </c>
      <c r="AK1739" s="6" t="s">
        <v>17712</v>
      </c>
      <c r="AL1739" s="6" t="s">
        <v>18444</v>
      </c>
      <c r="AM1739" s="6" t="s">
        <v>18921</v>
      </c>
      <c r="AN1739" s="6" t="s">
        <v>7926</v>
      </c>
      <c r="AO1739" s="6" t="s">
        <v>19842</v>
      </c>
      <c r="AP1739" s="6" t="s">
        <v>16301</v>
      </c>
      <c r="AQ1739" s="6" t="s">
        <v>81</v>
      </c>
      <c r="AR1739" s="6" t="s">
        <v>17752</v>
      </c>
      <c r="AS1739" s="6" t="s">
        <v>17712</v>
      </c>
      <c r="AT1739" s="6" t="s">
        <v>18444</v>
      </c>
      <c r="AU1739" s="6" t="s">
        <v>20677</v>
      </c>
      <c r="AV1739" s="6" t="s">
        <v>81</v>
      </c>
      <c r="AW1739" s="6" t="s">
        <v>81</v>
      </c>
      <c r="AX1739" s="6" t="s">
        <v>81</v>
      </c>
      <c r="AY1739" s="6" t="s">
        <v>81</v>
      </c>
      <c r="AZ1739" s="6" t="s">
        <v>81</v>
      </c>
      <c r="BA1739" s="6" t="s">
        <v>81</v>
      </c>
      <c r="BB1739" s="24" t="n">
        <v>257</v>
      </c>
      <c r="BC1739" s="26"/>
      <c r="BD1739" s="26"/>
      <c r="BE1739" s="26"/>
      <c r="BF1739" s="26"/>
      <c r="BG1739" s="26"/>
      <c r="BH1739" s="26"/>
      <c r="BI1739" s="26"/>
      <c r="BJ1739" s="26"/>
      <c r="BK1739" s="26"/>
      <c r="BL1739" s="26"/>
      <c r="BM1739" s="26"/>
      <c r="BN1739" s="26"/>
      <c r="BO1739" s="26"/>
      <c r="BP1739" s="16" t="n">
        <v>45595</v>
      </c>
      <c r="BQ1739" s="28" t="str">
        <f>HYPERLINK("https://organic.ams.usda.gov/Integrity/Certificate.aspx?cid=57&amp;nopid=3250200056")</f>
        <v>https://organic.ams.usda.gov/Integrity/Certificate.aspx?cid=57&amp;nopid=3250200056</v>
      </c>
    </row>
    <row r="1740">
      <c r="A1740" t="s">
        <v>3</v>
      </c>
      <c r="B1740" s="6" t="s">
        <v>31</v>
      </c>
      <c r="C1740" s="6" t="s">
        <v>78</v>
      </c>
      <c r="D1740" s="6" t="s">
        <v>124</v>
      </c>
      <c r="E1740" s="10" t="s">
        <v>1881</v>
      </c>
      <c r="F1740" s="6" t="s">
        <v>4601</v>
      </c>
      <c r="G1740" s="6" t="s">
        <v>5606</v>
      </c>
      <c r="H1740" s="6" t="s">
        <v>7490</v>
      </c>
      <c r="I1740" s="6" t="s">
        <v>9147</v>
      </c>
      <c r="J1740" s="6" t="s">
        <v>10347</v>
      </c>
      <c r="K1740" s="6" t="s">
        <v>10886</v>
      </c>
      <c r="L1740" s="16" t="n">
        <v>38943</v>
      </c>
      <c r="M1740" s="16" t="n">
        <v>45900</v>
      </c>
      <c r="N1740" s="6" t="s">
        <v>81</v>
      </c>
      <c r="O1740" s="21" t="s">
        <v>81</v>
      </c>
      <c r="P1740" s="6" t="s">
        <v>81</v>
      </c>
      <c r="Q1740" s="6" t="s">
        <v>81</v>
      </c>
      <c r="R1740" s="6" t="s">
        <v>81</v>
      </c>
      <c r="S1740" s="6" t="s">
        <v>81</v>
      </c>
      <c r="T1740" s="21" t="s">
        <v>81</v>
      </c>
      <c r="U1740" s="6" t="s">
        <v>81</v>
      </c>
      <c r="V1740" s="6" t="s">
        <v>81</v>
      </c>
      <c r="W1740" s="6" t="s">
        <v>81</v>
      </c>
      <c r="X1740" s="6" t="s">
        <v>81</v>
      </c>
      <c r="Y1740" s="21" t="s">
        <v>81</v>
      </c>
      <c r="Z1740" s="6" t="s">
        <v>81</v>
      </c>
      <c r="AA1740" s="6" t="s">
        <v>81</v>
      </c>
      <c r="AB1740" s="6" t="s">
        <v>81</v>
      </c>
      <c r="AC1740" s="6" t="s">
        <v>10886</v>
      </c>
      <c r="AD1740" s="16" t="n">
        <v>38943</v>
      </c>
      <c r="AE1740" s="6" t="s">
        <v>14302</v>
      </c>
      <c r="AF1740" s="6" t="s">
        <v>81</v>
      </c>
      <c r="AG1740" s="6" t="s">
        <v>7490</v>
      </c>
      <c r="AH1740" s="6" t="s">
        <v>16302</v>
      </c>
      <c r="AI1740" s="6" t="s">
        <v>17294</v>
      </c>
      <c r="AJ1740" s="6" t="s">
        <v>18090</v>
      </c>
      <c r="AK1740" s="6" t="s">
        <v>18333</v>
      </c>
      <c r="AL1740" s="6" t="s">
        <v>17856</v>
      </c>
      <c r="AM1740" s="6" t="s">
        <v>19201</v>
      </c>
      <c r="AN1740" s="6" t="s">
        <v>81</v>
      </c>
      <c r="AO1740" s="6" t="s">
        <v>81</v>
      </c>
      <c r="AP1740" s="6" t="s">
        <v>16302</v>
      </c>
      <c r="AQ1740" s="6" t="s">
        <v>17294</v>
      </c>
      <c r="AR1740" s="6" t="s">
        <v>18090</v>
      </c>
      <c r="AS1740" s="6" t="s">
        <v>18333</v>
      </c>
      <c r="AT1740" s="6" t="s">
        <v>17856</v>
      </c>
      <c r="AU1740" s="6" t="s">
        <v>19201</v>
      </c>
      <c r="AV1740" s="6" t="s">
        <v>81</v>
      </c>
      <c r="AW1740" s="6" t="s">
        <v>81</v>
      </c>
      <c r="AX1740" s="6" t="s">
        <v>21858</v>
      </c>
      <c r="AY1740" s="6" t="s">
        <v>23172</v>
      </c>
      <c r="AZ1740" s="6" t="s">
        <v>81</v>
      </c>
      <c r="BA1740" s="6" t="s">
        <v>23830</v>
      </c>
      <c r="BB1740" s="24" t="n">
        <v>0</v>
      </c>
      <c r="BC1740" s="26"/>
      <c r="BD1740" s="26"/>
      <c r="BE1740" s="26"/>
      <c r="BF1740" s="26"/>
      <c r="BG1740" s="26"/>
      <c r="BH1740" s="26"/>
      <c r="BI1740" s="26"/>
      <c r="BJ1740" s="26"/>
      <c r="BK1740" s="26"/>
      <c r="BL1740" s="26"/>
      <c r="BM1740" s="26"/>
      <c r="BN1740" s="26"/>
      <c r="BO1740" s="26"/>
      <c r="BP1740" s="16" t="n">
        <v>45673</v>
      </c>
      <c r="BQ1740" s="28" t="str">
        <f>HYPERLINK("https://organic.ams.usda.gov/Integrity/Certificate.aspx?cid=7&amp;nopid=3950000199")</f>
        <v>https://organic.ams.usda.gov/Integrity/Certificate.aspx?cid=7&amp;nopid=3950000199</v>
      </c>
    </row>
    <row r="1741">
      <c r="A1741" t="s">
        <v>3</v>
      </c>
      <c r="B1741" s="6" t="s">
        <v>15</v>
      </c>
      <c r="C1741" s="6" t="s">
        <v>62</v>
      </c>
      <c r="D1741" s="6" t="s">
        <v>108</v>
      </c>
      <c r="E1741" s="10" t="s">
        <v>1882</v>
      </c>
      <c r="F1741" s="6" t="s">
        <v>4602</v>
      </c>
      <c r="G1741" s="6" t="s">
        <v>5750</v>
      </c>
      <c r="H1741" s="6" t="s">
        <v>6634</v>
      </c>
      <c r="I1741" s="6" t="s">
        <v>9033</v>
      </c>
      <c r="J1741" s="6" t="s">
        <v>9743</v>
      </c>
      <c r="K1741" s="6" t="s">
        <v>10886</v>
      </c>
      <c r="L1741" s="16" t="n">
        <v>39764</v>
      </c>
      <c r="M1741" s="16" t="n">
        <v>45792</v>
      </c>
      <c r="N1741" s="6" t="s">
        <v>10886</v>
      </c>
      <c r="O1741" s="16" t="n">
        <v>39764</v>
      </c>
      <c r="P1741" s="6" t="s">
        <v>10927</v>
      </c>
      <c r="Q1741" s="6" t="s">
        <v>81</v>
      </c>
      <c r="R1741" s="6" t="s">
        <v>81</v>
      </c>
      <c r="S1741" s="6" t="s">
        <v>10886</v>
      </c>
      <c r="T1741" s="16" t="n">
        <v>39764</v>
      </c>
      <c r="U1741" s="6" t="s">
        <v>13698</v>
      </c>
      <c r="V1741" s="6" t="s">
        <v>81</v>
      </c>
      <c r="W1741" s="6" t="s">
        <v>81</v>
      </c>
      <c r="X1741" s="6" t="s">
        <v>81</v>
      </c>
      <c r="Y1741" s="21" t="s">
        <v>81</v>
      </c>
      <c r="Z1741" s="6" t="s">
        <v>81</v>
      </c>
      <c r="AA1741" s="6" t="s">
        <v>81</v>
      </c>
      <c r="AB1741" s="6" t="s">
        <v>81</v>
      </c>
      <c r="AC1741" s="6" t="s">
        <v>81</v>
      </c>
      <c r="AD1741" s="21" t="s">
        <v>81</v>
      </c>
      <c r="AE1741" s="6" t="s">
        <v>81</v>
      </c>
      <c r="AF1741" s="6" t="s">
        <v>81</v>
      </c>
      <c r="AG1741" s="6" t="s">
        <v>81</v>
      </c>
      <c r="AH1741" s="6" t="s">
        <v>16303</v>
      </c>
      <c r="AI1741" s="6" t="s">
        <v>81</v>
      </c>
      <c r="AJ1741" s="6" t="s">
        <v>17426</v>
      </c>
      <c r="AK1741" s="6" t="s">
        <v>18384</v>
      </c>
      <c r="AL1741" s="6" t="s">
        <v>18444</v>
      </c>
      <c r="AM1741" s="6" t="s">
        <v>18583</v>
      </c>
      <c r="AN1741" s="6" t="s">
        <v>19690</v>
      </c>
      <c r="AO1741" s="6" t="s">
        <v>19852</v>
      </c>
      <c r="AP1741" s="6" t="s">
        <v>20321</v>
      </c>
      <c r="AQ1741" s="6" t="s">
        <v>81</v>
      </c>
      <c r="AR1741" s="6" t="s">
        <v>17426</v>
      </c>
      <c r="AS1741" s="6" t="s">
        <v>18384</v>
      </c>
      <c r="AT1741" s="6" t="s">
        <v>18444</v>
      </c>
      <c r="AU1741" s="6" t="s">
        <v>18583</v>
      </c>
      <c r="AV1741" s="6" t="s">
        <v>81</v>
      </c>
      <c r="AW1741" s="6" t="s">
        <v>81</v>
      </c>
      <c r="AX1741" s="6" t="s">
        <v>21859</v>
      </c>
      <c r="AY1741" s="6" t="s">
        <v>23173</v>
      </c>
      <c r="AZ1741" s="6" t="s">
        <v>81</v>
      </c>
      <c r="BA1741" s="6" t="s">
        <v>81</v>
      </c>
      <c r="BB1741" s="24" t="n">
        <v>1050</v>
      </c>
      <c r="BC1741" s="26"/>
      <c r="BD1741" s="26"/>
      <c r="BE1741" s="26"/>
      <c r="BF1741" s="26" t="s">
        <v>23900</v>
      </c>
      <c r="BG1741" s="26"/>
      <c r="BH1741" s="26"/>
      <c r="BI1741" s="26"/>
      <c r="BJ1741" s="26"/>
      <c r="BK1741" s="26" t="s">
        <v>23900</v>
      </c>
      <c r="BL1741" s="26"/>
      <c r="BM1741" s="26"/>
      <c r="BN1741" s="26"/>
      <c r="BO1741" s="26"/>
      <c r="BP1741" s="16" t="n">
        <v>45737</v>
      </c>
      <c r="BQ1741" s="28" t="str">
        <f>HYPERLINK("https://organic.ams.usda.gov/Integrity/Certificate.aspx?cid=58&amp;nopid=1600001395")</f>
        <v>https://organic.ams.usda.gov/Integrity/Certificate.aspx?cid=58&amp;nopid=1600001395</v>
      </c>
    </row>
    <row r="1742">
      <c r="A1742" t="s">
        <v>3</v>
      </c>
      <c r="B1742" s="6" t="s">
        <v>13</v>
      </c>
      <c r="C1742" s="6" t="s">
        <v>60</v>
      </c>
      <c r="D1742" s="6" t="s">
        <v>106</v>
      </c>
      <c r="E1742" s="10" t="s">
        <v>1883</v>
      </c>
      <c r="F1742" s="6" t="s">
        <v>4603</v>
      </c>
      <c r="G1742" s="6" t="s">
        <v>81</v>
      </c>
      <c r="H1742" s="6" t="s">
        <v>7491</v>
      </c>
      <c r="I1742" s="6" t="s">
        <v>9265</v>
      </c>
      <c r="J1742" s="6" t="s">
        <v>9665</v>
      </c>
      <c r="K1742" s="6" t="s">
        <v>10886</v>
      </c>
      <c r="L1742" s="16" t="n">
        <v>41253</v>
      </c>
      <c r="M1742" s="16" t="n">
        <v>45992</v>
      </c>
      <c r="N1742" s="6" t="s">
        <v>10886</v>
      </c>
      <c r="O1742" s="16" t="n">
        <v>41253</v>
      </c>
      <c r="P1742" s="6" t="s">
        <v>11930</v>
      </c>
      <c r="Q1742" s="6" t="s">
        <v>81</v>
      </c>
      <c r="R1742" s="6" t="s">
        <v>12919</v>
      </c>
      <c r="S1742" s="6" t="s">
        <v>10886</v>
      </c>
      <c r="T1742" s="16" t="n">
        <v>41253</v>
      </c>
      <c r="U1742" s="6" t="s">
        <v>13699</v>
      </c>
      <c r="V1742" s="6" t="s">
        <v>81</v>
      </c>
      <c r="W1742" s="6" t="s">
        <v>12919</v>
      </c>
      <c r="X1742" s="6" t="s">
        <v>81</v>
      </c>
      <c r="Y1742" s="21" t="s">
        <v>81</v>
      </c>
      <c r="Z1742" s="6" t="s">
        <v>81</v>
      </c>
      <c r="AA1742" s="6" t="s">
        <v>81</v>
      </c>
      <c r="AB1742" s="6" t="s">
        <v>81</v>
      </c>
      <c r="AC1742" s="6" t="s">
        <v>81</v>
      </c>
      <c r="AD1742" s="21" t="s">
        <v>81</v>
      </c>
      <c r="AE1742" s="6" t="s">
        <v>81</v>
      </c>
      <c r="AF1742" s="6" t="s">
        <v>81</v>
      </c>
      <c r="AG1742" s="6" t="s">
        <v>81</v>
      </c>
      <c r="AH1742" s="6" t="s">
        <v>16304</v>
      </c>
      <c r="AI1742" s="6" t="s">
        <v>81</v>
      </c>
      <c r="AJ1742" s="6" t="s">
        <v>18012</v>
      </c>
      <c r="AK1742" s="6" t="s">
        <v>18379</v>
      </c>
      <c r="AL1742" s="6" t="s">
        <v>18444</v>
      </c>
      <c r="AM1742" s="6" t="s">
        <v>19203</v>
      </c>
      <c r="AN1742" s="6" t="s">
        <v>19678</v>
      </c>
      <c r="AO1742" s="6" t="s">
        <v>19994</v>
      </c>
      <c r="AP1742" s="6" t="s">
        <v>16304</v>
      </c>
      <c r="AQ1742" s="6" t="s">
        <v>81</v>
      </c>
      <c r="AR1742" s="6" t="s">
        <v>18012</v>
      </c>
      <c r="AS1742" s="6" t="s">
        <v>18379</v>
      </c>
      <c r="AT1742" s="6" t="s">
        <v>18444</v>
      </c>
      <c r="AU1742" s="6" t="s">
        <v>19203</v>
      </c>
      <c r="AV1742" s="6" t="s">
        <v>81</v>
      </c>
      <c r="AW1742" s="6" t="s">
        <v>81</v>
      </c>
      <c r="AX1742" s="6" t="s">
        <v>21860</v>
      </c>
      <c r="AY1742" s="6" t="s">
        <v>81</v>
      </c>
      <c r="AZ1742" s="6" t="s">
        <v>81</v>
      </c>
      <c r="BA1742" s="6" t="s">
        <v>81</v>
      </c>
      <c r="BB1742" s="24" t="n">
        <v>80</v>
      </c>
      <c r="BC1742" s="26"/>
      <c r="BD1742" s="26"/>
      <c r="BE1742" s="26"/>
      <c r="BF1742" s="26" t="s">
        <v>23900</v>
      </c>
      <c r="BG1742" s="26"/>
      <c r="BH1742" s="26"/>
      <c r="BI1742" s="26"/>
      <c r="BJ1742" s="26"/>
      <c r="BK1742" s="26"/>
      <c r="BL1742" s="26"/>
      <c r="BM1742" s="26"/>
      <c r="BN1742" s="26"/>
      <c r="BO1742" s="26"/>
      <c r="BP1742" s="16" t="n">
        <v>45663</v>
      </c>
      <c r="BQ1742" s="28" t="str">
        <f>HYPERLINK("https://organic.ams.usda.gov/Integrity/Certificate.aspx?cid=72&amp;nopid=5870001469")</f>
        <v>https://organic.ams.usda.gov/Integrity/Certificate.aspx?cid=72&amp;nopid=5870001469</v>
      </c>
    </row>
    <row r="1743">
      <c r="A1743" t="s">
        <v>3</v>
      </c>
      <c r="B1743" s="6" t="s">
        <v>10</v>
      </c>
      <c r="C1743" s="6" t="s">
        <v>57</v>
      </c>
      <c r="D1743" s="6" t="s">
        <v>103</v>
      </c>
      <c r="E1743" s="10" t="s">
        <v>1884</v>
      </c>
      <c r="F1743" s="6" t="s">
        <v>4604</v>
      </c>
      <c r="G1743" s="6" t="s">
        <v>81</v>
      </c>
      <c r="H1743" s="6" t="s">
        <v>7492</v>
      </c>
      <c r="I1743" s="6" t="s">
        <v>9266</v>
      </c>
      <c r="J1743" s="6" t="s">
        <v>9675</v>
      </c>
      <c r="K1743" s="6" t="s">
        <v>10886</v>
      </c>
      <c r="L1743" s="16" t="n">
        <v>45401</v>
      </c>
      <c r="M1743" s="16" t="n">
        <v>45748</v>
      </c>
      <c r="N1743" s="6" t="s">
        <v>10886</v>
      </c>
      <c r="O1743" s="16" t="n">
        <v>45401</v>
      </c>
      <c r="P1743" s="6" t="s">
        <v>11424</v>
      </c>
      <c r="Q1743" s="6" t="s">
        <v>81</v>
      </c>
      <c r="R1743" s="6" t="s">
        <v>12920</v>
      </c>
      <c r="S1743" s="6" t="s">
        <v>10886</v>
      </c>
      <c r="T1743" s="16" t="n">
        <v>45401</v>
      </c>
      <c r="U1743" s="6" t="s">
        <v>13163</v>
      </c>
      <c r="V1743" s="6" t="s">
        <v>81</v>
      </c>
      <c r="W1743" s="6" t="s">
        <v>81</v>
      </c>
      <c r="X1743" s="6" t="s">
        <v>81</v>
      </c>
      <c r="Y1743" s="21" t="s">
        <v>81</v>
      </c>
      <c r="Z1743" s="6" t="s">
        <v>81</v>
      </c>
      <c r="AA1743" s="6" t="s">
        <v>81</v>
      </c>
      <c r="AB1743" s="6" t="s">
        <v>81</v>
      </c>
      <c r="AC1743" s="6" t="s">
        <v>81</v>
      </c>
      <c r="AD1743" s="21" t="s">
        <v>81</v>
      </c>
      <c r="AE1743" s="6" t="s">
        <v>81</v>
      </c>
      <c r="AF1743" s="6" t="s">
        <v>81</v>
      </c>
      <c r="AG1743" s="6" t="s">
        <v>81</v>
      </c>
      <c r="AH1743" s="6" t="s">
        <v>16305</v>
      </c>
      <c r="AI1743" s="6" t="s">
        <v>81</v>
      </c>
      <c r="AJ1743" s="6" t="s">
        <v>18064</v>
      </c>
      <c r="AK1743" s="6" t="s">
        <v>18378</v>
      </c>
      <c r="AL1743" s="6" t="s">
        <v>18444</v>
      </c>
      <c r="AM1743" s="6" t="s">
        <v>19257</v>
      </c>
      <c r="AN1743" s="6" t="s">
        <v>81</v>
      </c>
      <c r="AO1743" s="6" t="s">
        <v>81</v>
      </c>
      <c r="AP1743" s="6" t="s">
        <v>16305</v>
      </c>
      <c r="AQ1743" s="6" t="s">
        <v>81</v>
      </c>
      <c r="AR1743" s="6" t="s">
        <v>18064</v>
      </c>
      <c r="AS1743" s="6" t="s">
        <v>18378</v>
      </c>
      <c r="AT1743" s="6" t="s">
        <v>18444</v>
      </c>
      <c r="AU1743" s="6" t="s">
        <v>19257</v>
      </c>
      <c r="AV1743" s="6" t="s">
        <v>81</v>
      </c>
      <c r="AW1743" s="6" t="s">
        <v>81</v>
      </c>
      <c r="AX1743" s="6" t="s">
        <v>21861</v>
      </c>
      <c r="AY1743" s="6" t="s">
        <v>81</v>
      </c>
      <c r="AZ1743" s="6" t="s">
        <v>81</v>
      </c>
      <c r="BA1743" s="6" t="s">
        <v>81</v>
      </c>
      <c r="BB1743" s="24" t="n">
        <v>113</v>
      </c>
      <c r="BC1743" s="26"/>
      <c r="BD1743" s="26"/>
      <c r="BE1743" s="26"/>
      <c r="BF1743" s="26"/>
      <c r="BG1743" s="26"/>
      <c r="BH1743" s="26"/>
      <c r="BI1743" s="26"/>
      <c r="BJ1743" s="26"/>
      <c r="BK1743" s="26"/>
      <c r="BL1743" s="26"/>
      <c r="BM1743" s="26"/>
      <c r="BN1743" s="26"/>
      <c r="BO1743" s="26"/>
      <c r="BP1743" s="16" t="n">
        <v>45730</v>
      </c>
      <c r="BQ1743" s="28" t="str">
        <f>HYPERLINK("https://organic.ams.usda.gov/Integrity/Certificate.aspx?cid=90&amp;nopid=7170240770")</f>
        <v>https://organic.ams.usda.gov/Integrity/Certificate.aspx?cid=90&amp;nopid=7170240770</v>
      </c>
    </row>
    <row r="1744">
      <c r="A1744" t="s">
        <v>3</v>
      </c>
      <c r="B1744" s="6" t="s">
        <v>10</v>
      </c>
      <c r="C1744" s="6" t="s">
        <v>57</v>
      </c>
      <c r="D1744" s="6" t="s">
        <v>103</v>
      </c>
      <c r="E1744" s="10" t="s">
        <v>1885</v>
      </c>
      <c r="F1744" s="6" t="s">
        <v>4605</v>
      </c>
      <c r="G1744" s="6" t="s">
        <v>81</v>
      </c>
      <c r="H1744" s="6" t="s">
        <v>7493</v>
      </c>
      <c r="I1744" s="6" t="s">
        <v>9267</v>
      </c>
      <c r="J1744" s="6" t="s">
        <v>9665</v>
      </c>
      <c r="K1744" s="6" t="s">
        <v>10886</v>
      </c>
      <c r="L1744" s="16" t="n">
        <v>41831</v>
      </c>
      <c r="M1744" s="16" t="n">
        <v>45748</v>
      </c>
      <c r="N1744" s="6" t="s">
        <v>10886</v>
      </c>
      <c r="O1744" s="16" t="n">
        <v>41831</v>
      </c>
      <c r="P1744" s="6" t="s">
        <v>11294</v>
      </c>
      <c r="Q1744" s="6" t="s">
        <v>81</v>
      </c>
      <c r="R1744" s="6" t="s">
        <v>12921</v>
      </c>
      <c r="S1744" s="6" t="s">
        <v>10886</v>
      </c>
      <c r="T1744" s="16" t="n">
        <v>41831</v>
      </c>
      <c r="U1744" s="6" t="s">
        <v>13163</v>
      </c>
      <c r="V1744" s="6" t="s">
        <v>81</v>
      </c>
      <c r="W1744" s="6" t="s">
        <v>81</v>
      </c>
      <c r="X1744" s="6" t="s">
        <v>81</v>
      </c>
      <c r="Y1744" s="21" t="s">
        <v>81</v>
      </c>
      <c r="Z1744" s="6" t="s">
        <v>81</v>
      </c>
      <c r="AA1744" s="6" t="s">
        <v>81</v>
      </c>
      <c r="AB1744" s="6" t="s">
        <v>81</v>
      </c>
      <c r="AC1744" s="6" t="s">
        <v>81</v>
      </c>
      <c r="AD1744" s="21" t="s">
        <v>81</v>
      </c>
      <c r="AE1744" s="6" t="s">
        <v>81</v>
      </c>
      <c r="AF1744" s="6" t="s">
        <v>81</v>
      </c>
      <c r="AG1744" s="6" t="s">
        <v>81</v>
      </c>
      <c r="AH1744" s="6" t="s">
        <v>16306</v>
      </c>
      <c r="AI1744" s="6" t="s">
        <v>81</v>
      </c>
      <c r="AJ1744" s="6" t="s">
        <v>17392</v>
      </c>
      <c r="AK1744" s="6" t="s">
        <v>18379</v>
      </c>
      <c r="AL1744" s="6" t="s">
        <v>18444</v>
      </c>
      <c r="AM1744" s="6" t="s">
        <v>18548</v>
      </c>
      <c r="AN1744" s="6" t="s">
        <v>81</v>
      </c>
      <c r="AO1744" s="6" t="s">
        <v>81</v>
      </c>
      <c r="AP1744" s="6" t="s">
        <v>16306</v>
      </c>
      <c r="AQ1744" s="6" t="s">
        <v>81</v>
      </c>
      <c r="AR1744" s="6" t="s">
        <v>17392</v>
      </c>
      <c r="AS1744" s="6" t="s">
        <v>18379</v>
      </c>
      <c r="AT1744" s="6" t="s">
        <v>18444</v>
      </c>
      <c r="AU1744" s="6" t="s">
        <v>18548</v>
      </c>
      <c r="AV1744" s="6" t="s">
        <v>81</v>
      </c>
      <c r="AW1744" s="6" t="s">
        <v>81</v>
      </c>
      <c r="AX1744" s="6" t="s">
        <v>21862</v>
      </c>
      <c r="AY1744" s="6" t="s">
        <v>81</v>
      </c>
      <c r="AZ1744" s="6" t="s">
        <v>81</v>
      </c>
      <c r="BA1744" s="6" t="s">
        <v>81</v>
      </c>
      <c r="BB1744" s="24" t="n">
        <v>106</v>
      </c>
      <c r="BC1744" s="26"/>
      <c r="BD1744" s="26"/>
      <c r="BE1744" s="26"/>
      <c r="BF1744" s="26"/>
      <c r="BG1744" s="26"/>
      <c r="BH1744" s="26"/>
      <c r="BI1744" s="26"/>
      <c r="BJ1744" s="26"/>
      <c r="BK1744" s="26"/>
      <c r="BL1744" s="26"/>
      <c r="BM1744" s="26"/>
      <c r="BN1744" s="26"/>
      <c r="BO1744" s="26"/>
      <c r="BP1744" s="16" t="n">
        <v>45730</v>
      </c>
      <c r="BQ1744" s="28" t="str">
        <f>HYPERLINK("https://organic.ams.usda.gov/Integrity/Certificate.aspx?cid=90&amp;nopid=7170240758")</f>
        <v>https://organic.ams.usda.gov/Integrity/Certificate.aspx?cid=90&amp;nopid=7170240758</v>
      </c>
    </row>
    <row r="1745">
      <c r="A1745" t="s">
        <v>3</v>
      </c>
      <c r="B1745" s="6" t="s">
        <v>30</v>
      </c>
      <c r="C1745" s="6" t="s">
        <v>77</v>
      </c>
      <c r="D1745" s="6" t="s">
        <v>123</v>
      </c>
      <c r="E1745" s="10" t="s">
        <v>1886</v>
      </c>
      <c r="F1745" s="6" t="s">
        <v>4606</v>
      </c>
      <c r="G1745" s="6" t="s">
        <v>81</v>
      </c>
      <c r="H1745" s="6" t="s">
        <v>7494</v>
      </c>
      <c r="I1745" s="6" t="s">
        <v>9266</v>
      </c>
      <c r="J1745" s="6" t="s">
        <v>9666</v>
      </c>
      <c r="K1745" s="6" t="s">
        <v>10886</v>
      </c>
      <c r="L1745" s="16" t="n">
        <v>45160</v>
      </c>
      <c r="M1745" s="16" t="n">
        <v>45747</v>
      </c>
      <c r="N1745" s="6" t="s">
        <v>10886</v>
      </c>
      <c r="O1745" s="16" t="n">
        <v>45160</v>
      </c>
      <c r="P1745" s="6" t="s">
        <v>10922</v>
      </c>
      <c r="Q1745" s="6" t="s">
        <v>81</v>
      </c>
      <c r="R1745" s="6" t="s">
        <v>81</v>
      </c>
      <c r="S1745" s="6" t="s">
        <v>10886</v>
      </c>
      <c r="T1745" s="16" t="n">
        <v>45160</v>
      </c>
      <c r="U1745" s="6" t="s">
        <v>13216</v>
      </c>
      <c r="V1745" s="6" t="s">
        <v>81</v>
      </c>
      <c r="W1745" s="6" t="s">
        <v>81</v>
      </c>
      <c r="X1745" s="6" t="s">
        <v>81</v>
      </c>
      <c r="Y1745" s="21" t="s">
        <v>81</v>
      </c>
      <c r="Z1745" s="6" t="s">
        <v>81</v>
      </c>
      <c r="AA1745" s="6" t="s">
        <v>81</v>
      </c>
      <c r="AB1745" s="6" t="s">
        <v>81</v>
      </c>
      <c r="AC1745" s="6" t="s">
        <v>81</v>
      </c>
      <c r="AD1745" s="21" t="s">
        <v>81</v>
      </c>
      <c r="AE1745" s="6" t="s">
        <v>81</v>
      </c>
      <c r="AF1745" s="6" t="s">
        <v>81</v>
      </c>
      <c r="AG1745" s="6" t="s">
        <v>81</v>
      </c>
      <c r="AH1745" s="6" t="s">
        <v>16307</v>
      </c>
      <c r="AI1745" s="6" t="s">
        <v>81</v>
      </c>
      <c r="AJ1745" s="6" t="s">
        <v>17873</v>
      </c>
      <c r="AK1745" s="6" t="s">
        <v>17712</v>
      </c>
      <c r="AL1745" s="6" t="s">
        <v>18444</v>
      </c>
      <c r="AM1745" s="6" t="s">
        <v>19056</v>
      </c>
      <c r="AN1745" s="6" t="s">
        <v>19652</v>
      </c>
      <c r="AO1745" s="6" t="s">
        <v>19742</v>
      </c>
      <c r="AP1745" s="6" t="s">
        <v>81</v>
      </c>
      <c r="AQ1745" s="6" t="s">
        <v>81</v>
      </c>
      <c r="AR1745" s="6" t="s">
        <v>81</v>
      </c>
      <c r="AS1745" s="6" t="s">
        <v>81</v>
      </c>
      <c r="AT1745" s="6" t="s">
        <v>81</v>
      </c>
      <c r="AU1745" s="6" t="s">
        <v>81</v>
      </c>
      <c r="AV1745" s="6" t="s">
        <v>81</v>
      </c>
      <c r="AW1745" s="6" t="s">
        <v>81</v>
      </c>
      <c r="AX1745" s="6" t="s">
        <v>21863</v>
      </c>
      <c r="AY1745" s="6" t="s">
        <v>81</v>
      </c>
      <c r="AZ1745" s="6" t="s">
        <v>81</v>
      </c>
      <c r="BA1745" s="6" t="s">
        <v>81</v>
      </c>
      <c r="BB1745" s="24" t="n">
        <v>116</v>
      </c>
      <c r="BC1745" s="26"/>
      <c r="BD1745" s="26"/>
      <c r="BE1745" s="26"/>
      <c r="BF1745" s="26"/>
      <c r="BG1745" s="26"/>
      <c r="BH1745" s="26"/>
      <c r="BI1745" s="26"/>
      <c r="BJ1745" s="26"/>
      <c r="BK1745" s="26"/>
      <c r="BL1745" s="26"/>
      <c r="BM1745" s="26"/>
      <c r="BN1745" s="26"/>
      <c r="BO1745" s="26"/>
      <c r="BP1745" s="16" t="n">
        <v>45603</v>
      </c>
      <c r="BQ1745" s="28" t="str">
        <f>HYPERLINK("https://organic.ams.usda.gov/Integrity/Certificate.aspx?cid=70&amp;nopid=6432319640")</f>
        <v>https://organic.ams.usda.gov/Integrity/Certificate.aspx?cid=70&amp;nopid=6432319640</v>
      </c>
    </row>
    <row r="1746">
      <c r="A1746" t="s">
        <v>3</v>
      </c>
      <c r="B1746" s="6" t="s">
        <v>9</v>
      </c>
      <c r="C1746" s="6" t="s">
        <v>56</v>
      </c>
      <c r="D1746" s="6" t="s">
        <v>102</v>
      </c>
      <c r="E1746" s="10" t="s">
        <v>1887</v>
      </c>
      <c r="F1746" s="6" t="s">
        <v>4607</v>
      </c>
      <c r="G1746" s="6" t="s">
        <v>81</v>
      </c>
      <c r="H1746" s="6" t="s">
        <v>7495</v>
      </c>
      <c r="I1746" s="6" t="s">
        <v>9266</v>
      </c>
      <c r="J1746" s="6" t="s">
        <v>9976</v>
      </c>
      <c r="K1746" s="6" t="s">
        <v>10886</v>
      </c>
      <c r="L1746" s="16" t="n">
        <v>45440</v>
      </c>
      <c r="M1746" s="16" t="n">
        <v>45748</v>
      </c>
      <c r="N1746" s="6" t="s">
        <v>10886</v>
      </c>
      <c r="O1746" s="16" t="n">
        <v>45440</v>
      </c>
      <c r="P1746" s="6" t="s">
        <v>10907</v>
      </c>
      <c r="Q1746" s="6" t="s">
        <v>81</v>
      </c>
      <c r="R1746" s="6" t="s">
        <v>12922</v>
      </c>
      <c r="S1746" s="6" t="s">
        <v>10886</v>
      </c>
      <c r="T1746" s="16" t="n">
        <v>45440</v>
      </c>
      <c r="U1746" s="6" t="s">
        <v>13640</v>
      </c>
      <c r="V1746" s="6" t="s">
        <v>81</v>
      </c>
      <c r="W1746" s="6" t="s">
        <v>12922</v>
      </c>
      <c r="X1746" s="6" t="s">
        <v>81</v>
      </c>
      <c r="Y1746" s="21" t="s">
        <v>81</v>
      </c>
      <c r="Z1746" s="6" t="s">
        <v>81</v>
      </c>
      <c r="AA1746" s="6" t="s">
        <v>81</v>
      </c>
      <c r="AB1746" s="6" t="s">
        <v>81</v>
      </c>
      <c r="AC1746" s="6" t="s">
        <v>81</v>
      </c>
      <c r="AD1746" s="21" t="s">
        <v>81</v>
      </c>
      <c r="AE1746" s="6" t="s">
        <v>81</v>
      </c>
      <c r="AF1746" s="6" t="s">
        <v>81</v>
      </c>
      <c r="AG1746" s="6" t="s">
        <v>81</v>
      </c>
      <c r="AH1746" s="6" t="s">
        <v>16308</v>
      </c>
      <c r="AI1746" s="6" t="s">
        <v>81</v>
      </c>
      <c r="AJ1746" s="6" t="s">
        <v>17394</v>
      </c>
      <c r="AK1746" s="6" t="s">
        <v>18377</v>
      </c>
      <c r="AL1746" s="6" t="s">
        <v>18444</v>
      </c>
      <c r="AM1746" s="6" t="s">
        <v>18550</v>
      </c>
      <c r="AN1746" s="6" t="s">
        <v>81</v>
      </c>
      <c r="AO1746" s="6" t="s">
        <v>81</v>
      </c>
      <c r="AP1746" s="6" t="s">
        <v>81</v>
      </c>
      <c r="AQ1746" s="6" t="s">
        <v>81</v>
      </c>
      <c r="AR1746" s="6" t="s">
        <v>81</v>
      </c>
      <c r="AS1746" s="6" t="s">
        <v>81</v>
      </c>
      <c r="AT1746" s="6" t="s">
        <v>81</v>
      </c>
      <c r="AU1746" s="6" t="s">
        <v>81</v>
      </c>
      <c r="AV1746" s="6" t="s">
        <v>81</v>
      </c>
      <c r="AW1746" s="6" t="s">
        <v>81</v>
      </c>
      <c r="AX1746" s="6" t="s">
        <v>21864</v>
      </c>
      <c r="AY1746" s="6" t="s">
        <v>81</v>
      </c>
      <c r="AZ1746" s="6" t="s">
        <v>81</v>
      </c>
      <c r="BA1746" s="6" t="s">
        <v>81</v>
      </c>
      <c r="BB1746" s="24" t="n">
        <v>140</v>
      </c>
      <c r="BC1746" s="26"/>
      <c r="BD1746" s="26"/>
      <c r="BE1746" s="26"/>
      <c r="BF1746" s="26"/>
      <c r="BG1746" s="26"/>
      <c r="BH1746" s="26"/>
      <c r="BI1746" s="26"/>
      <c r="BJ1746" s="26"/>
      <c r="BK1746" s="26"/>
      <c r="BL1746" s="26"/>
      <c r="BM1746" s="26"/>
      <c r="BN1746" s="26"/>
      <c r="BO1746" s="26"/>
      <c r="BP1746" s="16" t="n">
        <v>45738</v>
      </c>
      <c r="BQ1746" s="28" t="str">
        <f>HYPERLINK("https://organic.ams.usda.gov/Integrity/Certificate.aspx?cid=52&amp;nopid=8432402190")</f>
        <v>https://organic.ams.usda.gov/Integrity/Certificate.aspx?cid=52&amp;nopid=8432402190</v>
      </c>
    </row>
    <row r="1747">
      <c r="A1747" t="s">
        <v>3</v>
      </c>
      <c r="B1747" s="6" t="s">
        <v>10</v>
      </c>
      <c r="C1747" s="6" t="s">
        <v>57</v>
      </c>
      <c r="D1747" s="6" t="s">
        <v>103</v>
      </c>
      <c r="E1747" s="10" t="s">
        <v>1888</v>
      </c>
      <c r="F1747" s="6" t="s">
        <v>4608</v>
      </c>
      <c r="G1747" s="6" t="s">
        <v>81</v>
      </c>
      <c r="H1747" s="6" t="s">
        <v>7496</v>
      </c>
      <c r="I1747" s="6" t="s">
        <v>9266</v>
      </c>
      <c r="J1747" s="6" t="s">
        <v>9959</v>
      </c>
      <c r="K1747" s="6" t="s">
        <v>10886</v>
      </c>
      <c r="L1747" s="16" t="n">
        <v>45483</v>
      </c>
      <c r="M1747" s="16" t="n">
        <v>45748</v>
      </c>
      <c r="N1747" s="6" t="s">
        <v>10886</v>
      </c>
      <c r="O1747" s="16" t="n">
        <v>45483</v>
      </c>
      <c r="P1747" s="6" t="s">
        <v>10910</v>
      </c>
      <c r="Q1747" s="6" t="s">
        <v>81</v>
      </c>
      <c r="R1747" s="6" t="s">
        <v>12923</v>
      </c>
      <c r="S1747" s="6" t="s">
        <v>10886</v>
      </c>
      <c r="T1747" s="16" t="n">
        <v>45483</v>
      </c>
      <c r="U1747" s="6" t="s">
        <v>13163</v>
      </c>
      <c r="V1747" s="6" t="s">
        <v>81</v>
      </c>
      <c r="W1747" s="6" t="s">
        <v>81</v>
      </c>
      <c r="X1747" s="6" t="s">
        <v>81</v>
      </c>
      <c r="Y1747" s="21" t="s">
        <v>81</v>
      </c>
      <c r="Z1747" s="6" t="s">
        <v>81</v>
      </c>
      <c r="AA1747" s="6" t="s">
        <v>81</v>
      </c>
      <c r="AB1747" s="6" t="s">
        <v>81</v>
      </c>
      <c r="AC1747" s="6" t="s">
        <v>81</v>
      </c>
      <c r="AD1747" s="21" t="s">
        <v>81</v>
      </c>
      <c r="AE1747" s="6" t="s">
        <v>81</v>
      </c>
      <c r="AF1747" s="6" t="s">
        <v>81</v>
      </c>
      <c r="AG1747" s="6" t="s">
        <v>81</v>
      </c>
      <c r="AH1747" s="6" t="s">
        <v>16309</v>
      </c>
      <c r="AI1747" s="6" t="s">
        <v>81</v>
      </c>
      <c r="AJ1747" s="6" t="s">
        <v>17335</v>
      </c>
      <c r="AK1747" s="6" t="s">
        <v>18378</v>
      </c>
      <c r="AL1747" s="6" t="s">
        <v>18444</v>
      </c>
      <c r="AM1747" s="6" t="s">
        <v>18489</v>
      </c>
      <c r="AN1747" s="6" t="s">
        <v>81</v>
      </c>
      <c r="AO1747" s="6" t="s">
        <v>81</v>
      </c>
      <c r="AP1747" s="6" t="s">
        <v>16309</v>
      </c>
      <c r="AQ1747" s="6" t="s">
        <v>81</v>
      </c>
      <c r="AR1747" s="6" t="s">
        <v>17335</v>
      </c>
      <c r="AS1747" s="6" t="s">
        <v>18378</v>
      </c>
      <c r="AT1747" s="6" t="s">
        <v>18444</v>
      </c>
      <c r="AU1747" s="6" t="s">
        <v>18489</v>
      </c>
      <c r="AV1747" s="6" t="s">
        <v>81</v>
      </c>
      <c r="AW1747" s="6" t="s">
        <v>81</v>
      </c>
      <c r="AX1747" s="6" t="s">
        <v>21865</v>
      </c>
      <c r="AY1747" s="6" t="s">
        <v>81</v>
      </c>
      <c r="AZ1747" s="6" t="s">
        <v>81</v>
      </c>
      <c r="BA1747" s="6" t="s">
        <v>81</v>
      </c>
      <c r="BB1747" s="24" t="n">
        <v>63</v>
      </c>
      <c r="BC1747" s="26"/>
      <c r="BD1747" s="26"/>
      <c r="BE1747" s="26"/>
      <c r="BF1747" s="26"/>
      <c r="BG1747" s="26"/>
      <c r="BH1747" s="26"/>
      <c r="BI1747" s="26"/>
      <c r="BJ1747" s="26"/>
      <c r="BK1747" s="26"/>
      <c r="BL1747" s="26"/>
      <c r="BM1747" s="26"/>
      <c r="BN1747" s="26"/>
      <c r="BO1747" s="26"/>
      <c r="BP1747" s="16" t="n">
        <v>45730</v>
      </c>
      <c r="BQ1747" s="28" t="str">
        <f>HYPERLINK("https://organic.ams.usda.gov/Integrity/Certificate.aspx?cid=90&amp;nopid=7170240819")</f>
        <v>https://organic.ams.usda.gov/Integrity/Certificate.aspx?cid=90&amp;nopid=7170240819</v>
      </c>
    </row>
    <row r="1748">
      <c r="A1748" t="s">
        <v>3</v>
      </c>
      <c r="B1748" s="6" t="s">
        <v>30</v>
      </c>
      <c r="C1748" s="6" t="s">
        <v>77</v>
      </c>
      <c r="D1748" s="6" t="s">
        <v>123</v>
      </c>
      <c r="E1748" s="10" t="s">
        <v>1889</v>
      </c>
      <c r="F1748" s="6" t="s">
        <v>4609</v>
      </c>
      <c r="G1748" s="6" t="s">
        <v>81</v>
      </c>
      <c r="H1748" s="6" t="s">
        <v>7497</v>
      </c>
      <c r="I1748" s="6" t="s">
        <v>9268</v>
      </c>
      <c r="J1748" s="6" t="s">
        <v>9665</v>
      </c>
      <c r="K1748" s="6" t="s">
        <v>10886</v>
      </c>
      <c r="L1748" s="16" t="n">
        <v>43444</v>
      </c>
      <c r="M1748" s="16" t="n">
        <v>45747</v>
      </c>
      <c r="N1748" s="6" t="s">
        <v>10886</v>
      </c>
      <c r="O1748" s="16" t="n">
        <v>43444</v>
      </c>
      <c r="P1748" s="6" t="s">
        <v>10922</v>
      </c>
      <c r="Q1748" s="6" t="s">
        <v>81</v>
      </c>
      <c r="R1748" s="6" t="s">
        <v>81</v>
      </c>
      <c r="S1748" s="6" t="s">
        <v>10886</v>
      </c>
      <c r="T1748" s="16" t="n">
        <v>43474</v>
      </c>
      <c r="U1748" s="6" t="s">
        <v>13700</v>
      </c>
      <c r="V1748" s="6" t="s">
        <v>81</v>
      </c>
      <c r="W1748" s="6" t="s">
        <v>13979</v>
      </c>
      <c r="X1748" s="6" t="s">
        <v>81</v>
      </c>
      <c r="Y1748" s="21" t="s">
        <v>81</v>
      </c>
      <c r="Z1748" s="6" t="s">
        <v>81</v>
      </c>
      <c r="AA1748" s="6" t="s">
        <v>81</v>
      </c>
      <c r="AB1748" s="6" t="s">
        <v>81</v>
      </c>
      <c r="AC1748" s="6" t="s">
        <v>81</v>
      </c>
      <c r="AD1748" s="21" t="s">
        <v>81</v>
      </c>
      <c r="AE1748" s="6" t="s">
        <v>81</v>
      </c>
      <c r="AF1748" s="6" t="s">
        <v>81</v>
      </c>
      <c r="AG1748" s="6" t="s">
        <v>81</v>
      </c>
      <c r="AH1748" s="6" t="s">
        <v>16310</v>
      </c>
      <c r="AI1748" s="6" t="s">
        <v>81</v>
      </c>
      <c r="AJ1748" s="6" t="s">
        <v>17695</v>
      </c>
      <c r="AK1748" s="6" t="s">
        <v>17712</v>
      </c>
      <c r="AL1748" s="6" t="s">
        <v>18444</v>
      </c>
      <c r="AM1748" s="6" t="s">
        <v>18861</v>
      </c>
      <c r="AN1748" s="6" t="s">
        <v>19652</v>
      </c>
      <c r="AO1748" s="6" t="s">
        <v>19742</v>
      </c>
      <c r="AP1748" s="6" t="s">
        <v>16310</v>
      </c>
      <c r="AQ1748" s="6" t="s">
        <v>81</v>
      </c>
      <c r="AR1748" s="6" t="s">
        <v>17695</v>
      </c>
      <c r="AS1748" s="6" t="s">
        <v>17712</v>
      </c>
      <c r="AT1748" s="6" t="s">
        <v>18444</v>
      </c>
      <c r="AU1748" s="6" t="s">
        <v>18861</v>
      </c>
      <c r="AV1748" s="6" t="s">
        <v>81</v>
      </c>
      <c r="AW1748" s="6" t="s">
        <v>81</v>
      </c>
      <c r="AX1748" s="6" t="s">
        <v>21866</v>
      </c>
      <c r="AY1748" s="6" t="s">
        <v>81</v>
      </c>
      <c r="AZ1748" s="6" t="s">
        <v>81</v>
      </c>
      <c r="BA1748" s="6" t="s">
        <v>81</v>
      </c>
      <c r="BB1748" s="24" t="n">
        <v>240</v>
      </c>
      <c r="BC1748" s="26"/>
      <c r="BD1748" s="26"/>
      <c r="BE1748" s="26"/>
      <c r="BF1748" s="26"/>
      <c r="BG1748" s="26"/>
      <c r="BH1748" s="26"/>
      <c r="BI1748" s="26"/>
      <c r="BJ1748" s="26"/>
      <c r="BK1748" s="26"/>
      <c r="BL1748" s="26"/>
      <c r="BM1748" s="26"/>
      <c r="BN1748" s="26"/>
      <c r="BO1748" s="26"/>
      <c r="BP1748" s="16" t="n">
        <v>45679</v>
      </c>
      <c r="BQ1748" s="28" t="str">
        <f>HYPERLINK("https://organic.ams.usda.gov/Integrity/Certificate.aspx?cid=70&amp;nopid=6431814240")</f>
        <v>https://organic.ams.usda.gov/Integrity/Certificate.aspx?cid=70&amp;nopid=6431814240</v>
      </c>
    </row>
    <row r="1749">
      <c r="A1749" t="s">
        <v>3</v>
      </c>
      <c r="B1749" s="6" t="s">
        <v>10</v>
      </c>
      <c r="C1749" s="6" t="s">
        <v>57</v>
      </c>
      <c r="D1749" s="6" t="s">
        <v>103</v>
      </c>
      <c r="E1749" s="10" t="s">
        <v>1890</v>
      </c>
      <c r="F1749" s="6" t="s">
        <v>4610</v>
      </c>
      <c r="G1749" s="6" t="s">
        <v>81</v>
      </c>
      <c r="H1749" s="6" t="s">
        <v>7498</v>
      </c>
      <c r="I1749" s="6" t="s">
        <v>9269</v>
      </c>
      <c r="J1749" s="6" t="s">
        <v>9742</v>
      </c>
      <c r="K1749" s="6" t="s">
        <v>10886</v>
      </c>
      <c r="L1749" s="16" t="n">
        <v>41851</v>
      </c>
      <c r="M1749" s="16" t="n">
        <v>45748</v>
      </c>
      <c r="N1749" s="6" t="s">
        <v>10886</v>
      </c>
      <c r="O1749" s="16" t="n">
        <v>41851</v>
      </c>
      <c r="P1749" s="6" t="s">
        <v>11931</v>
      </c>
      <c r="Q1749" s="6" t="s">
        <v>81</v>
      </c>
      <c r="R1749" s="6" t="s">
        <v>12924</v>
      </c>
      <c r="S1749" s="6" t="s">
        <v>10886</v>
      </c>
      <c r="T1749" s="16" t="n">
        <v>41851</v>
      </c>
      <c r="U1749" s="6" t="s">
        <v>13164</v>
      </c>
      <c r="V1749" s="6" t="s">
        <v>81</v>
      </c>
      <c r="W1749" s="6" t="s">
        <v>81</v>
      </c>
      <c r="X1749" s="6" t="s">
        <v>81</v>
      </c>
      <c r="Y1749" s="21" t="s">
        <v>81</v>
      </c>
      <c r="Z1749" s="6" t="s">
        <v>81</v>
      </c>
      <c r="AA1749" s="6" t="s">
        <v>81</v>
      </c>
      <c r="AB1749" s="6" t="s">
        <v>81</v>
      </c>
      <c r="AC1749" s="6" t="s">
        <v>81</v>
      </c>
      <c r="AD1749" s="21" t="s">
        <v>81</v>
      </c>
      <c r="AE1749" s="6" t="s">
        <v>81</v>
      </c>
      <c r="AF1749" s="6" t="s">
        <v>81</v>
      </c>
      <c r="AG1749" s="6" t="s">
        <v>81</v>
      </c>
      <c r="AH1749" s="6" t="s">
        <v>16311</v>
      </c>
      <c r="AI1749" s="6" t="s">
        <v>81</v>
      </c>
      <c r="AJ1749" s="6" t="s">
        <v>17391</v>
      </c>
      <c r="AK1749" s="6" t="s">
        <v>18379</v>
      </c>
      <c r="AL1749" s="6" t="s">
        <v>18444</v>
      </c>
      <c r="AM1749" s="6" t="s">
        <v>18467</v>
      </c>
      <c r="AN1749" s="6" t="s">
        <v>81</v>
      </c>
      <c r="AO1749" s="6" t="s">
        <v>81</v>
      </c>
      <c r="AP1749" s="6" t="s">
        <v>16311</v>
      </c>
      <c r="AQ1749" s="6" t="s">
        <v>81</v>
      </c>
      <c r="AR1749" s="6" t="s">
        <v>17391</v>
      </c>
      <c r="AS1749" s="6" t="s">
        <v>18379</v>
      </c>
      <c r="AT1749" s="6" t="s">
        <v>18444</v>
      </c>
      <c r="AU1749" s="6" t="s">
        <v>18467</v>
      </c>
      <c r="AV1749" s="6" t="s">
        <v>81</v>
      </c>
      <c r="AW1749" s="6" t="s">
        <v>81</v>
      </c>
      <c r="AX1749" s="6" t="s">
        <v>21867</v>
      </c>
      <c r="AY1749" s="6" t="s">
        <v>81</v>
      </c>
      <c r="AZ1749" s="6" t="s">
        <v>81</v>
      </c>
      <c r="BA1749" s="6" t="s">
        <v>81</v>
      </c>
      <c r="BB1749" s="24" t="n">
        <v>50</v>
      </c>
      <c r="BC1749" s="26"/>
      <c r="BD1749" s="26"/>
      <c r="BE1749" s="26"/>
      <c r="BF1749" s="26"/>
      <c r="BG1749" s="26"/>
      <c r="BH1749" s="26"/>
      <c r="BI1749" s="26"/>
      <c r="BJ1749" s="26"/>
      <c r="BK1749" s="26"/>
      <c r="BL1749" s="26"/>
      <c r="BM1749" s="26"/>
      <c r="BN1749" s="26"/>
      <c r="BO1749" s="26"/>
      <c r="BP1749" s="16" t="n">
        <v>45730</v>
      </c>
      <c r="BQ1749" s="28" t="str">
        <f>HYPERLINK("https://organic.ams.usda.gov/Integrity/Certificate.aspx?cid=90&amp;nopid=7170230624")</f>
        <v>https://organic.ams.usda.gov/Integrity/Certificate.aspx?cid=90&amp;nopid=7170230624</v>
      </c>
    </row>
    <row r="1750">
      <c r="A1750" t="s">
        <v>3</v>
      </c>
      <c r="B1750" s="6" t="s">
        <v>24</v>
      </c>
      <c r="C1750" s="6" t="s">
        <v>71</v>
      </c>
      <c r="D1750" s="6" t="s">
        <v>117</v>
      </c>
      <c r="E1750" s="10" t="s">
        <v>1891</v>
      </c>
      <c r="F1750" s="6" t="s">
        <v>4611</v>
      </c>
      <c r="G1750" s="6" t="s">
        <v>81</v>
      </c>
      <c r="H1750" s="6" t="s">
        <v>81</v>
      </c>
      <c r="I1750" s="6" t="s">
        <v>9268</v>
      </c>
      <c r="J1750" s="6" t="s">
        <v>9233</v>
      </c>
      <c r="K1750" s="6" t="s">
        <v>10886</v>
      </c>
      <c r="L1750" s="16" t="n">
        <v>44631</v>
      </c>
      <c r="M1750" s="16" t="n">
        <v>45809</v>
      </c>
      <c r="N1750" s="6" t="s">
        <v>10886</v>
      </c>
      <c r="O1750" s="16" t="n">
        <v>44631</v>
      </c>
      <c r="P1750" s="6" t="s">
        <v>11006</v>
      </c>
      <c r="Q1750" s="6" t="s">
        <v>81</v>
      </c>
      <c r="R1750" s="6" t="s">
        <v>81</v>
      </c>
      <c r="S1750" s="6" t="s">
        <v>10886</v>
      </c>
      <c r="T1750" s="16" t="n">
        <v>44631</v>
      </c>
      <c r="U1750" s="6" t="s">
        <v>13701</v>
      </c>
      <c r="V1750" s="6" t="s">
        <v>81</v>
      </c>
      <c r="W1750" s="6" t="s">
        <v>81</v>
      </c>
      <c r="X1750" s="6" t="s">
        <v>81</v>
      </c>
      <c r="Y1750" s="21" t="s">
        <v>81</v>
      </c>
      <c r="Z1750" s="6" t="s">
        <v>81</v>
      </c>
      <c r="AA1750" s="6" t="s">
        <v>81</v>
      </c>
      <c r="AB1750" s="6" t="s">
        <v>81</v>
      </c>
      <c r="AC1750" s="6" t="s">
        <v>10886</v>
      </c>
      <c r="AD1750" s="16" t="n">
        <v>44631</v>
      </c>
      <c r="AE1750" s="6" t="s">
        <v>14303</v>
      </c>
      <c r="AF1750" s="6" t="s">
        <v>81</v>
      </c>
      <c r="AG1750" s="6" t="s">
        <v>81</v>
      </c>
      <c r="AH1750" s="6" t="s">
        <v>16312</v>
      </c>
      <c r="AI1750" s="6" t="s">
        <v>81</v>
      </c>
      <c r="AJ1750" s="6" t="s">
        <v>17347</v>
      </c>
      <c r="AK1750" s="6" t="s">
        <v>17712</v>
      </c>
      <c r="AL1750" s="6" t="s">
        <v>18444</v>
      </c>
      <c r="AM1750" s="6" t="s">
        <v>18659</v>
      </c>
      <c r="AN1750" s="6" t="s">
        <v>19634</v>
      </c>
      <c r="AO1750" s="6" t="s">
        <v>19719</v>
      </c>
      <c r="AP1750" s="6" t="s">
        <v>16312</v>
      </c>
      <c r="AQ1750" s="6" t="s">
        <v>81</v>
      </c>
      <c r="AR1750" s="6" t="s">
        <v>17347</v>
      </c>
      <c r="AS1750" s="6" t="s">
        <v>17712</v>
      </c>
      <c r="AT1750" s="6" t="s">
        <v>18444</v>
      </c>
      <c r="AU1750" s="6" t="s">
        <v>18659</v>
      </c>
      <c r="AV1750" s="6" t="s">
        <v>81</v>
      </c>
      <c r="AW1750" s="6" t="s">
        <v>81</v>
      </c>
      <c r="AX1750" s="6" t="s">
        <v>81</v>
      </c>
      <c r="AY1750" s="6" t="s">
        <v>81</v>
      </c>
      <c r="AZ1750" s="6" t="s">
        <v>81</v>
      </c>
      <c r="BA1750" s="6" t="s">
        <v>81</v>
      </c>
      <c r="BB1750" s="24" t="n">
        <v>129</v>
      </c>
      <c r="BC1750" s="26"/>
      <c r="BD1750" s="26"/>
      <c r="BE1750" s="26"/>
      <c r="BF1750" s="26"/>
      <c r="BG1750" s="26"/>
      <c r="BH1750" s="26"/>
      <c r="BI1750" s="26"/>
      <c r="BJ1750" s="26"/>
      <c r="BK1750" s="26"/>
      <c r="BL1750" s="26"/>
      <c r="BM1750" s="26"/>
      <c r="BN1750" s="26"/>
      <c r="BO1750" s="26"/>
      <c r="BP1750" s="16" t="n">
        <v>45628</v>
      </c>
      <c r="BQ1750" s="28" t="str">
        <f>HYPERLINK("https://organic.ams.usda.gov/Integrity/Certificate.aspx?cid=1&amp;nopid=9092135403")</f>
        <v>https://organic.ams.usda.gov/Integrity/Certificate.aspx?cid=1&amp;nopid=9092135403</v>
      </c>
    </row>
    <row r="1751">
      <c r="A1751" t="s">
        <v>3</v>
      </c>
      <c r="B1751" s="6" t="s">
        <v>11</v>
      </c>
      <c r="C1751" s="6" t="s">
        <v>58</v>
      </c>
      <c r="D1751" s="6" t="s">
        <v>104</v>
      </c>
      <c r="E1751" s="10" t="s">
        <v>1892</v>
      </c>
      <c r="F1751" s="6" t="s">
        <v>4612</v>
      </c>
      <c r="G1751" s="6" t="s">
        <v>81</v>
      </c>
      <c r="H1751" s="6" t="s">
        <v>81</v>
      </c>
      <c r="I1751" s="6" t="s">
        <v>9270</v>
      </c>
      <c r="J1751" s="6" t="s">
        <v>9665</v>
      </c>
      <c r="K1751" s="6" t="s">
        <v>10886</v>
      </c>
      <c r="L1751" s="16" t="n">
        <v>44984</v>
      </c>
      <c r="M1751" s="16" t="n">
        <v>45748</v>
      </c>
      <c r="N1751" s="6" t="s">
        <v>10886</v>
      </c>
      <c r="O1751" s="16" t="n">
        <v>44984</v>
      </c>
      <c r="P1751" s="6" t="s">
        <v>11932</v>
      </c>
      <c r="Q1751" s="6" t="s">
        <v>81</v>
      </c>
      <c r="R1751" s="6" t="s">
        <v>81</v>
      </c>
      <c r="S1751" s="6" t="s">
        <v>10886</v>
      </c>
      <c r="T1751" s="16" t="n">
        <v>44984</v>
      </c>
      <c r="U1751" s="6" t="s">
        <v>13702</v>
      </c>
      <c r="V1751" s="6" t="s">
        <v>81</v>
      </c>
      <c r="W1751" s="6" t="s">
        <v>81</v>
      </c>
      <c r="X1751" s="6" t="s">
        <v>10886</v>
      </c>
      <c r="Y1751" s="16" t="n">
        <v>44984</v>
      </c>
      <c r="Z1751" s="6" t="s">
        <v>13987</v>
      </c>
      <c r="AA1751" s="6" t="s">
        <v>81</v>
      </c>
      <c r="AB1751" s="6" t="s">
        <v>81</v>
      </c>
      <c r="AC1751" s="6" t="s">
        <v>81</v>
      </c>
      <c r="AD1751" s="21" t="s">
        <v>81</v>
      </c>
      <c r="AE1751" s="6" t="s">
        <v>81</v>
      </c>
      <c r="AF1751" s="6" t="s">
        <v>81</v>
      </c>
      <c r="AG1751" s="6" t="s">
        <v>81</v>
      </c>
      <c r="AH1751" s="6" t="s">
        <v>16313</v>
      </c>
      <c r="AI1751" s="6" t="s">
        <v>81</v>
      </c>
      <c r="AJ1751" s="6" t="s">
        <v>17385</v>
      </c>
      <c r="AK1751" s="6" t="s">
        <v>18377</v>
      </c>
      <c r="AL1751" s="6" t="s">
        <v>18444</v>
      </c>
      <c r="AM1751" s="6" t="s">
        <v>18539</v>
      </c>
      <c r="AN1751" s="6" t="s">
        <v>19634</v>
      </c>
      <c r="AO1751" s="6" t="s">
        <v>19764</v>
      </c>
      <c r="AP1751" s="6" t="s">
        <v>16313</v>
      </c>
      <c r="AQ1751" s="6" t="s">
        <v>81</v>
      </c>
      <c r="AR1751" s="6" t="s">
        <v>17385</v>
      </c>
      <c r="AS1751" s="6" t="s">
        <v>18377</v>
      </c>
      <c r="AT1751" s="6" t="s">
        <v>18444</v>
      </c>
      <c r="AU1751" s="6" t="s">
        <v>18539</v>
      </c>
      <c r="AV1751" s="6" t="s">
        <v>81</v>
      </c>
      <c r="AW1751" s="6" t="s">
        <v>81</v>
      </c>
      <c r="AX1751" s="6" t="s">
        <v>81</v>
      </c>
      <c r="AY1751" s="6" t="s">
        <v>81</v>
      </c>
      <c r="AZ1751" s="6" t="s">
        <v>81</v>
      </c>
      <c r="BA1751" s="6" t="s">
        <v>23820</v>
      </c>
      <c r="BB1751" s="24" t="n">
        <v>158</v>
      </c>
      <c r="BC1751" s="26"/>
      <c r="BD1751" s="26"/>
      <c r="BE1751" s="26"/>
      <c r="BF1751" s="26"/>
      <c r="BG1751" s="26"/>
      <c r="BH1751" s="26"/>
      <c r="BI1751" s="26"/>
      <c r="BJ1751" s="26"/>
      <c r="BK1751" s="26"/>
      <c r="BL1751" s="26"/>
      <c r="BM1751" s="26"/>
      <c r="BN1751" s="26"/>
      <c r="BO1751" s="26"/>
      <c r="BP1751" s="16" t="n">
        <v>45518</v>
      </c>
      <c r="BQ1751" s="28" t="str">
        <f>HYPERLINK("https://organic.ams.usda.gov/Integrity/Certificate.aspx?cid=46&amp;nopid=3672300001")</f>
        <v>https://organic.ams.usda.gov/Integrity/Certificate.aspx?cid=46&amp;nopid=3672300001</v>
      </c>
    </row>
    <row r="1752">
      <c r="A1752" t="s">
        <v>3</v>
      </c>
      <c r="B1752" s="6" t="s">
        <v>10</v>
      </c>
      <c r="C1752" s="6" t="s">
        <v>57</v>
      </c>
      <c r="D1752" s="6" t="s">
        <v>103</v>
      </c>
      <c r="E1752" s="10" t="s">
        <v>1893</v>
      </c>
      <c r="F1752" s="6" t="s">
        <v>4613</v>
      </c>
      <c r="G1752" s="6" t="s">
        <v>81</v>
      </c>
      <c r="H1752" s="6" t="s">
        <v>7499</v>
      </c>
      <c r="I1752" s="6" t="s">
        <v>9271</v>
      </c>
      <c r="J1752" s="6" t="s">
        <v>9665</v>
      </c>
      <c r="K1752" s="6" t="s">
        <v>10886</v>
      </c>
      <c r="L1752" s="16" t="n">
        <v>41827</v>
      </c>
      <c r="M1752" s="16" t="n">
        <v>45748</v>
      </c>
      <c r="N1752" s="6" t="s">
        <v>10886</v>
      </c>
      <c r="O1752" s="16" t="n">
        <v>41827</v>
      </c>
      <c r="P1752" s="6" t="s">
        <v>11294</v>
      </c>
      <c r="Q1752" s="6" t="s">
        <v>81</v>
      </c>
      <c r="R1752" s="6" t="s">
        <v>12925</v>
      </c>
      <c r="S1752" s="6" t="s">
        <v>10886</v>
      </c>
      <c r="T1752" s="16" t="n">
        <v>41827</v>
      </c>
      <c r="U1752" s="6" t="s">
        <v>13377</v>
      </c>
      <c r="V1752" s="6" t="s">
        <v>81</v>
      </c>
      <c r="W1752" s="6" t="s">
        <v>81</v>
      </c>
      <c r="X1752" s="6" t="s">
        <v>81</v>
      </c>
      <c r="Y1752" s="21" t="s">
        <v>81</v>
      </c>
      <c r="Z1752" s="6" t="s">
        <v>81</v>
      </c>
      <c r="AA1752" s="6" t="s">
        <v>81</v>
      </c>
      <c r="AB1752" s="6" t="s">
        <v>81</v>
      </c>
      <c r="AC1752" s="6" t="s">
        <v>81</v>
      </c>
      <c r="AD1752" s="21" t="s">
        <v>81</v>
      </c>
      <c r="AE1752" s="6" t="s">
        <v>81</v>
      </c>
      <c r="AF1752" s="6" t="s">
        <v>81</v>
      </c>
      <c r="AG1752" s="6" t="s">
        <v>81</v>
      </c>
      <c r="AH1752" s="6" t="s">
        <v>16314</v>
      </c>
      <c r="AI1752" s="6" t="s">
        <v>81</v>
      </c>
      <c r="AJ1752" s="6" t="s">
        <v>17315</v>
      </c>
      <c r="AK1752" s="6" t="s">
        <v>18379</v>
      </c>
      <c r="AL1752" s="6" t="s">
        <v>18444</v>
      </c>
      <c r="AM1752" s="6" t="s">
        <v>18467</v>
      </c>
      <c r="AN1752" s="6" t="s">
        <v>19637</v>
      </c>
      <c r="AO1752" s="6" t="s">
        <v>19723</v>
      </c>
      <c r="AP1752" s="6" t="s">
        <v>16314</v>
      </c>
      <c r="AQ1752" s="6" t="s">
        <v>81</v>
      </c>
      <c r="AR1752" s="6" t="s">
        <v>17315</v>
      </c>
      <c r="AS1752" s="6" t="s">
        <v>18379</v>
      </c>
      <c r="AT1752" s="6" t="s">
        <v>18444</v>
      </c>
      <c r="AU1752" s="6" t="s">
        <v>18467</v>
      </c>
      <c r="AV1752" s="6" t="s">
        <v>81</v>
      </c>
      <c r="AW1752" s="6" t="s">
        <v>81</v>
      </c>
      <c r="AX1752" s="6" t="s">
        <v>21868</v>
      </c>
      <c r="AY1752" s="6" t="s">
        <v>81</v>
      </c>
      <c r="AZ1752" s="6" t="s">
        <v>81</v>
      </c>
      <c r="BA1752" s="6" t="s">
        <v>81</v>
      </c>
      <c r="BB1752" s="24" t="n">
        <v>102</v>
      </c>
      <c r="BC1752" s="26"/>
      <c r="BD1752" s="26"/>
      <c r="BE1752" s="26"/>
      <c r="BF1752" s="26"/>
      <c r="BG1752" s="26"/>
      <c r="BH1752" s="26"/>
      <c r="BI1752" s="26"/>
      <c r="BJ1752" s="26"/>
      <c r="BK1752" s="26"/>
      <c r="BL1752" s="26"/>
      <c r="BM1752" s="26"/>
      <c r="BN1752" s="26"/>
      <c r="BO1752" s="26"/>
      <c r="BP1752" s="16" t="n">
        <v>45730</v>
      </c>
      <c r="BQ1752" s="28" t="str">
        <f>HYPERLINK("https://organic.ams.usda.gov/Integrity/Certificate.aspx?cid=90&amp;nopid=7170020075")</f>
        <v>https://organic.ams.usda.gov/Integrity/Certificate.aspx?cid=90&amp;nopid=7170020075</v>
      </c>
    </row>
    <row r="1753">
      <c r="A1753" t="s">
        <v>3</v>
      </c>
      <c r="B1753" s="6" t="s">
        <v>8</v>
      </c>
      <c r="C1753" s="6" t="s">
        <v>55</v>
      </c>
      <c r="D1753" s="6" t="s">
        <v>101</v>
      </c>
      <c r="E1753" s="10" t="s">
        <v>1894</v>
      </c>
      <c r="F1753" s="6" t="s">
        <v>4614</v>
      </c>
      <c r="G1753" s="6" t="s">
        <v>81</v>
      </c>
      <c r="H1753" s="6" t="s">
        <v>7500</v>
      </c>
      <c r="I1753" s="6" t="s">
        <v>9268</v>
      </c>
      <c r="J1753" s="6" t="s">
        <v>9666</v>
      </c>
      <c r="K1753" s="6" t="s">
        <v>10886</v>
      </c>
      <c r="L1753" s="16" t="n">
        <v>41789</v>
      </c>
      <c r="M1753" s="16" t="n">
        <v>45383</v>
      </c>
      <c r="N1753" s="6" t="s">
        <v>10886</v>
      </c>
      <c r="O1753" s="16" t="n">
        <v>41789</v>
      </c>
      <c r="P1753" s="6" t="s">
        <v>11933</v>
      </c>
      <c r="Q1753" s="6" t="s">
        <v>81</v>
      </c>
      <c r="R1753" s="6" t="s">
        <v>7500</v>
      </c>
      <c r="S1753" s="6" t="s">
        <v>10886</v>
      </c>
      <c r="T1753" s="16" t="n">
        <v>41789</v>
      </c>
      <c r="U1753" s="6" t="s">
        <v>13703</v>
      </c>
      <c r="V1753" s="6" t="s">
        <v>81</v>
      </c>
      <c r="W1753" s="6" t="s">
        <v>7500</v>
      </c>
      <c r="X1753" s="6" t="s">
        <v>81</v>
      </c>
      <c r="Y1753" s="21" t="s">
        <v>81</v>
      </c>
      <c r="Z1753" s="6" t="s">
        <v>81</v>
      </c>
      <c r="AA1753" s="6" t="s">
        <v>81</v>
      </c>
      <c r="AB1753" s="6" t="s">
        <v>81</v>
      </c>
      <c r="AC1753" s="6" t="s">
        <v>81</v>
      </c>
      <c r="AD1753" s="21" t="s">
        <v>81</v>
      </c>
      <c r="AE1753" s="6" t="s">
        <v>81</v>
      </c>
      <c r="AF1753" s="6" t="s">
        <v>81</v>
      </c>
      <c r="AG1753" s="6" t="s">
        <v>81</v>
      </c>
      <c r="AH1753" s="6" t="s">
        <v>16315</v>
      </c>
      <c r="AI1753" s="6" t="s">
        <v>81</v>
      </c>
      <c r="AJ1753" s="6" t="s">
        <v>17315</v>
      </c>
      <c r="AK1753" s="6" t="s">
        <v>18379</v>
      </c>
      <c r="AL1753" s="6" t="s">
        <v>18444</v>
      </c>
      <c r="AM1753" s="6" t="s">
        <v>18467</v>
      </c>
      <c r="AN1753" s="6" t="s">
        <v>19637</v>
      </c>
      <c r="AO1753" s="6" t="s">
        <v>19723</v>
      </c>
      <c r="AP1753" s="6" t="s">
        <v>81</v>
      </c>
      <c r="AQ1753" s="6" t="s">
        <v>81</v>
      </c>
      <c r="AR1753" s="6" t="s">
        <v>81</v>
      </c>
      <c r="AS1753" s="6" t="s">
        <v>81</v>
      </c>
      <c r="AT1753" s="6" t="s">
        <v>81</v>
      </c>
      <c r="AU1753" s="6" t="s">
        <v>81</v>
      </c>
      <c r="AV1753" s="6" t="s">
        <v>81</v>
      </c>
      <c r="AW1753" s="6" t="s">
        <v>81</v>
      </c>
      <c r="AX1753" s="6" t="s">
        <v>81</v>
      </c>
      <c r="AY1753" s="6" t="s">
        <v>81</v>
      </c>
      <c r="AZ1753" s="6" t="s">
        <v>81</v>
      </c>
      <c r="BA1753" s="6" t="s">
        <v>7500</v>
      </c>
      <c r="BB1753" s="24" t="n">
        <v>140</v>
      </c>
      <c r="BC1753" s="26"/>
      <c r="BD1753" s="26"/>
      <c r="BE1753" s="26"/>
      <c r="BF1753" s="26"/>
      <c r="BG1753" s="26"/>
      <c r="BH1753" s="26"/>
      <c r="BI1753" s="26"/>
      <c r="BJ1753" s="26"/>
      <c r="BK1753" s="26"/>
      <c r="BL1753" s="26"/>
      <c r="BM1753" s="26"/>
      <c r="BN1753" s="26"/>
      <c r="BO1753" s="26"/>
      <c r="BP1753" s="16" t="n">
        <v>45425</v>
      </c>
      <c r="BQ1753" s="28" t="str">
        <f>HYPERLINK("https://organic.ams.usda.gov/Integrity/Certificate.aspx?cid=45&amp;nopid=9950007009")</f>
        <v>https://organic.ams.usda.gov/Integrity/Certificate.aspx?cid=45&amp;nopid=9950007009</v>
      </c>
    </row>
    <row r="1754">
      <c r="A1754" t="s">
        <v>3</v>
      </c>
      <c r="B1754" s="6" t="s">
        <v>10</v>
      </c>
      <c r="C1754" s="6" t="s">
        <v>57</v>
      </c>
      <c r="D1754" s="6" t="s">
        <v>103</v>
      </c>
      <c r="E1754" s="10" t="s">
        <v>1895</v>
      </c>
      <c r="F1754" s="6" t="s">
        <v>4615</v>
      </c>
      <c r="G1754" s="6" t="s">
        <v>81</v>
      </c>
      <c r="H1754" s="6" t="s">
        <v>7501</v>
      </c>
      <c r="I1754" s="6" t="s">
        <v>9272</v>
      </c>
      <c r="J1754" s="6" t="s">
        <v>9899</v>
      </c>
      <c r="K1754" s="6" t="s">
        <v>10886</v>
      </c>
      <c r="L1754" s="16" t="n">
        <v>44289</v>
      </c>
      <c r="M1754" s="16" t="n">
        <v>45748</v>
      </c>
      <c r="N1754" s="6" t="s">
        <v>10886</v>
      </c>
      <c r="O1754" s="16" t="n">
        <v>44289</v>
      </c>
      <c r="P1754" s="6" t="s">
        <v>11934</v>
      </c>
      <c r="Q1754" s="6" t="s">
        <v>81</v>
      </c>
      <c r="R1754" s="6" t="s">
        <v>12926</v>
      </c>
      <c r="S1754" s="6" t="s">
        <v>10886</v>
      </c>
      <c r="T1754" s="16" t="n">
        <v>44289</v>
      </c>
      <c r="U1754" s="6" t="s">
        <v>13163</v>
      </c>
      <c r="V1754" s="6" t="s">
        <v>81</v>
      </c>
      <c r="W1754" s="6" t="s">
        <v>81</v>
      </c>
      <c r="X1754" s="6" t="s">
        <v>81</v>
      </c>
      <c r="Y1754" s="21" t="s">
        <v>81</v>
      </c>
      <c r="Z1754" s="6" t="s">
        <v>81</v>
      </c>
      <c r="AA1754" s="6" t="s">
        <v>81</v>
      </c>
      <c r="AB1754" s="6" t="s">
        <v>81</v>
      </c>
      <c r="AC1754" s="6" t="s">
        <v>81</v>
      </c>
      <c r="AD1754" s="21" t="s">
        <v>81</v>
      </c>
      <c r="AE1754" s="6" t="s">
        <v>81</v>
      </c>
      <c r="AF1754" s="6" t="s">
        <v>81</v>
      </c>
      <c r="AG1754" s="6" t="s">
        <v>81</v>
      </c>
      <c r="AH1754" s="6" t="s">
        <v>16316</v>
      </c>
      <c r="AI1754" s="6" t="s">
        <v>81</v>
      </c>
      <c r="AJ1754" s="6" t="s">
        <v>18091</v>
      </c>
      <c r="AK1754" s="6" t="s">
        <v>18385</v>
      </c>
      <c r="AL1754" s="6" t="s">
        <v>18444</v>
      </c>
      <c r="AM1754" s="6" t="s">
        <v>19288</v>
      </c>
      <c r="AN1754" s="6" t="s">
        <v>6817</v>
      </c>
      <c r="AO1754" s="6" t="s">
        <v>19933</v>
      </c>
      <c r="AP1754" s="6" t="s">
        <v>16316</v>
      </c>
      <c r="AQ1754" s="6" t="s">
        <v>81</v>
      </c>
      <c r="AR1754" s="6" t="s">
        <v>18091</v>
      </c>
      <c r="AS1754" s="6" t="s">
        <v>18385</v>
      </c>
      <c r="AT1754" s="6" t="s">
        <v>18444</v>
      </c>
      <c r="AU1754" s="6" t="s">
        <v>19288</v>
      </c>
      <c r="AV1754" s="6" t="s">
        <v>81</v>
      </c>
      <c r="AW1754" s="6" t="s">
        <v>81</v>
      </c>
      <c r="AX1754" s="6" t="s">
        <v>21869</v>
      </c>
      <c r="AY1754" s="6" t="s">
        <v>81</v>
      </c>
      <c r="AZ1754" s="6" t="s">
        <v>81</v>
      </c>
      <c r="BA1754" s="6" t="s">
        <v>81</v>
      </c>
      <c r="BB1754" s="24" t="n">
        <v>160</v>
      </c>
      <c r="BC1754" s="26"/>
      <c r="BD1754" s="26"/>
      <c r="BE1754" s="26"/>
      <c r="BF1754" s="26"/>
      <c r="BG1754" s="26"/>
      <c r="BH1754" s="26"/>
      <c r="BI1754" s="26"/>
      <c r="BJ1754" s="26"/>
      <c r="BK1754" s="26"/>
      <c r="BL1754" s="26"/>
      <c r="BM1754" s="26"/>
      <c r="BN1754" s="26"/>
      <c r="BO1754" s="26"/>
      <c r="BP1754" s="16" t="n">
        <v>45730</v>
      </c>
      <c r="BQ1754" s="28" t="str">
        <f>HYPERLINK("https://organic.ams.usda.gov/Integrity/Certificate.aspx?cid=90&amp;nopid=7170230658")</f>
        <v>https://organic.ams.usda.gov/Integrity/Certificate.aspx?cid=90&amp;nopid=7170230658</v>
      </c>
    </row>
    <row r="1755">
      <c r="A1755" t="s">
        <v>3</v>
      </c>
      <c r="B1755" s="6" t="s">
        <v>21</v>
      </c>
      <c r="C1755" s="6" t="s">
        <v>68</v>
      </c>
      <c r="D1755" s="6" t="s">
        <v>114</v>
      </c>
      <c r="E1755" s="10" t="s">
        <v>1896</v>
      </c>
      <c r="F1755" s="6" t="s">
        <v>4616</v>
      </c>
      <c r="G1755" s="6" t="s">
        <v>81</v>
      </c>
      <c r="H1755" s="6" t="s">
        <v>7502</v>
      </c>
      <c r="I1755" s="6" t="s">
        <v>8957</v>
      </c>
      <c r="J1755" s="6" t="s">
        <v>10443</v>
      </c>
      <c r="K1755" s="6" t="s">
        <v>10886</v>
      </c>
      <c r="L1755" s="16" t="n">
        <v>43476</v>
      </c>
      <c r="M1755" s="16" t="n">
        <v>46023</v>
      </c>
      <c r="N1755" s="6" t="s">
        <v>81</v>
      </c>
      <c r="O1755" s="21" t="s">
        <v>81</v>
      </c>
      <c r="P1755" s="6" t="s">
        <v>81</v>
      </c>
      <c r="Q1755" s="6" t="s">
        <v>81</v>
      </c>
      <c r="R1755" s="6" t="s">
        <v>81</v>
      </c>
      <c r="S1755" s="6" t="s">
        <v>81</v>
      </c>
      <c r="T1755" s="21" t="s">
        <v>81</v>
      </c>
      <c r="U1755" s="6" t="s">
        <v>81</v>
      </c>
      <c r="V1755" s="6" t="s">
        <v>81</v>
      </c>
      <c r="W1755" s="6" t="s">
        <v>81</v>
      </c>
      <c r="X1755" s="6" t="s">
        <v>81</v>
      </c>
      <c r="Y1755" s="21" t="s">
        <v>81</v>
      </c>
      <c r="Z1755" s="6" t="s">
        <v>81</v>
      </c>
      <c r="AA1755" s="6" t="s">
        <v>81</v>
      </c>
      <c r="AB1755" s="6" t="s">
        <v>81</v>
      </c>
      <c r="AC1755" s="6" t="s">
        <v>10886</v>
      </c>
      <c r="AD1755" s="16" t="n">
        <v>43476</v>
      </c>
      <c r="AE1755" s="6" t="s">
        <v>14304</v>
      </c>
      <c r="AF1755" s="6" t="s">
        <v>81</v>
      </c>
      <c r="AG1755" s="6" t="s">
        <v>81</v>
      </c>
      <c r="AH1755" s="6" t="s">
        <v>81</v>
      </c>
      <c r="AI1755" s="6" t="s">
        <v>81</v>
      </c>
      <c r="AJ1755" s="6" t="s">
        <v>81</v>
      </c>
      <c r="AK1755" s="6" t="s">
        <v>81</v>
      </c>
      <c r="AL1755" s="6" t="s">
        <v>81</v>
      </c>
      <c r="AM1755" s="6" t="s">
        <v>81</v>
      </c>
      <c r="AN1755" s="6" t="s">
        <v>81</v>
      </c>
      <c r="AO1755" s="6" t="s">
        <v>81</v>
      </c>
      <c r="AP1755" s="6" t="s">
        <v>20322</v>
      </c>
      <c r="AQ1755" s="6" t="s">
        <v>81</v>
      </c>
      <c r="AR1755" s="6" t="s">
        <v>20550</v>
      </c>
      <c r="AS1755" s="6" t="s">
        <v>18386</v>
      </c>
      <c r="AT1755" s="6" t="s">
        <v>18444</v>
      </c>
      <c r="AU1755" s="6" t="s">
        <v>20678</v>
      </c>
      <c r="AV1755" s="6" t="s">
        <v>19661</v>
      </c>
      <c r="AW1755" s="6" t="s">
        <v>20737</v>
      </c>
      <c r="AX1755" s="6" t="s">
        <v>21870</v>
      </c>
      <c r="AY1755" s="6" t="s">
        <v>23174</v>
      </c>
      <c r="AZ1755" s="6" t="s">
        <v>81</v>
      </c>
      <c r="BA1755" s="6" t="s">
        <v>81</v>
      </c>
      <c r="BB1755" s="6" t="s">
        <v>81</v>
      </c>
      <c r="BC1755" s="26"/>
      <c r="BD1755" s="26"/>
      <c r="BE1755" s="26"/>
      <c r="BF1755" s="26"/>
      <c r="BG1755" s="26"/>
      <c r="BH1755" s="26"/>
      <c r="BI1755" s="26"/>
      <c r="BJ1755" s="26"/>
      <c r="BK1755" s="26"/>
      <c r="BL1755" s="26"/>
      <c r="BM1755" s="26"/>
      <c r="BN1755" s="26"/>
      <c r="BO1755" s="26"/>
      <c r="BP1755" s="16" t="n">
        <v>45709</v>
      </c>
      <c r="BQ1755" s="28" t="str">
        <f>HYPERLINK("https://organic.ams.usda.gov/Integrity/Certificate.aspx?cid=62&amp;nopid=8150006766")</f>
        <v>https://organic.ams.usda.gov/Integrity/Certificate.aspx?cid=62&amp;nopid=8150006766</v>
      </c>
    </row>
    <row r="1756">
      <c r="A1756" t="s">
        <v>3</v>
      </c>
      <c r="B1756" s="6" t="s">
        <v>22</v>
      </c>
      <c r="C1756" s="6" t="s">
        <v>69</v>
      </c>
      <c r="D1756" s="6" t="s">
        <v>115</v>
      </c>
      <c r="E1756" s="10" t="s">
        <v>1897</v>
      </c>
      <c r="F1756" s="6" t="s">
        <v>4617</v>
      </c>
      <c r="G1756" s="6" t="s">
        <v>81</v>
      </c>
      <c r="H1756" s="6" t="s">
        <v>1897</v>
      </c>
      <c r="I1756" s="6" t="s">
        <v>9273</v>
      </c>
      <c r="J1756" s="6" t="s">
        <v>10444</v>
      </c>
      <c r="K1756" s="6" t="s">
        <v>10886</v>
      </c>
      <c r="L1756" s="16" t="n">
        <v>41914</v>
      </c>
      <c r="M1756" s="16" t="n">
        <v>45962</v>
      </c>
      <c r="N1756" s="6" t="s">
        <v>81</v>
      </c>
      <c r="O1756" s="21" t="s">
        <v>81</v>
      </c>
      <c r="P1756" s="6" t="s">
        <v>81</v>
      </c>
      <c r="Q1756" s="6" t="s">
        <v>81</v>
      </c>
      <c r="R1756" s="6" t="s">
        <v>81</v>
      </c>
      <c r="S1756" s="6" t="s">
        <v>81</v>
      </c>
      <c r="T1756" s="21" t="s">
        <v>81</v>
      </c>
      <c r="U1756" s="6" t="s">
        <v>81</v>
      </c>
      <c r="V1756" s="6" t="s">
        <v>81</v>
      </c>
      <c r="W1756" s="6" t="s">
        <v>81</v>
      </c>
      <c r="X1756" s="6" t="s">
        <v>81</v>
      </c>
      <c r="Y1756" s="21" t="s">
        <v>81</v>
      </c>
      <c r="Z1756" s="6" t="s">
        <v>81</v>
      </c>
      <c r="AA1756" s="6" t="s">
        <v>81</v>
      </c>
      <c r="AB1756" s="6" t="s">
        <v>81</v>
      </c>
      <c r="AC1756" s="6" t="s">
        <v>10886</v>
      </c>
      <c r="AD1756" s="16" t="n">
        <v>41914</v>
      </c>
      <c r="AE1756" s="6" t="s">
        <v>14305</v>
      </c>
      <c r="AF1756" s="6" t="s">
        <v>81</v>
      </c>
      <c r="AG1756" s="6" t="s">
        <v>81</v>
      </c>
      <c r="AH1756" s="6" t="s">
        <v>16317</v>
      </c>
      <c r="AI1756" s="6" t="s">
        <v>81</v>
      </c>
      <c r="AJ1756" s="6" t="s">
        <v>81</v>
      </c>
      <c r="AK1756" s="6" t="s">
        <v>81</v>
      </c>
      <c r="AL1756" s="6" t="s">
        <v>18449</v>
      </c>
      <c r="AM1756" s="6" t="s">
        <v>81</v>
      </c>
      <c r="AN1756" s="6" t="s">
        <v>81</v>
      </c>
      <c r="AO1756" s="6" t="s">
        <v>81</v>
      </c>
      <c r="AP1756" s="6" t="s">
        <v>81</v>
      </c>
      <c r="AQ1756" s="6" t="s">
        <v>81</v>
      </c>
      <c r="AR1756" s="6" t="s">
        <v>81</v>
      </c>
      <c r="AS1756" s="6" t="s">
        <v>81</v>
      </c>
      <c r="AT1756" s="6" t="s">
        <v>81</v>
      </c>
      <c r="AU1756" s="6" t="s">
        <v>81</v>
      </c>
      <c r="AV1756" s="6" t="s">
        <v>81</v>
      </c>
      <c r="AW1756" s="6" t="s">
        <v>81</v>
      </c>
      <c r="AX1756" s="6" t="s">
        <v>21871</v>
      </c>
      <c r="AY1756" s="6" t="s">
        <v>23175</v>
      </c>
      <c r="AZ1756" s="6" t="s">
        <v>81</v>
      </c>
      <c r="BA1756" s="6" t="s">
        <v>81</v>
      </c>
      <c r="BB1756" s="6" t="s">
        <v>81</v>
      </c>
      <c r="BC1756" s="26"/>
      <c r="BD1756" s="26"/>
      <c r="BE1756" s="26"/>
      <c r="BF1756" s="26"/>
      <c r="BG1756" s="26"/>
      <c r="BH1756" s="26"/>
      <c r="BI1756" s="26"/>
      <c r="BJ1756" s="26"/>
      <c r="BK1756" s="26"/>
      <c r="BL1756" s="26"/>
      <c r="BM1756" s="26"/>
      <c r="BN1756" s="26"/>
      <c r="BO1756" s="26"/>
      <c r="BP1756" s="16" t="n">
        <v>45622</v>
      </c>
      <c r="BQ1756" s="28" t="str">
        <f>HYPERLINK("https://organic.ams.usda.gov/Integrity/Certificate.aspx?cid=21&amp;nopid=1780833577")</f>
        <v>https://organic.ams.usda.gov/Integrity/Certificate.aspx?cid=21&amp;nopid=1780833577</v>
      </c>
    </row>
    <row r="1757">
      <c r="A1757" t="s">
        <v>3</v>
      </c>
      <c r="B1757" s="6" t="s">
        <v>7</v>
      </c>
      <c r="C1757" s="6" t="s">
        <v>54</v>
      </c>
      <c r="D1757" s="6" t="s">
        <v>100</v>
      </c>
      <c r="E1757" s="10" t="s">
        <v>1898</v>
      </c>
      <c r="F1757" s="6" t="s">
        <v>4618</v>
      </c>
      <c r="G1757" s="6" t="s">
        <v>81</v>
      </c>
      <c r="H1757" s="6" t="s">
        <v>7503</v>
      </c>
      <c r="I1757" s="6" t="s">
        <v>8713</v>
      </c>
      <c r="J1757" s="6" t="s">
        <v>10445</v>
      </c>
      <c r="K1757" s="6" t="s">
        <v>10886</v>
      </c>
      <c r="L1757" s="16" t="n">
        <v>42657</v>
      </c>
      <c r="M1757" s="16" t="n">
        <v>45716</v>
      </c>
      <c r="N1757" s="6" t="s">
        <v>10886</v>
      </c>
      <c r="O1757" s="16" t="n">
        <v>42657</v>
      </c>
      <c r="P1757" s="6" t="s">
        <v>11935</v>
      </c>
      <c r="Q1757" s="6" t="s">
        <v>81</v>
      </c>
      <c r="R1757" s="6" t="s">
        <v>81</v>
      </c>
      <c r="S1757" s="6" t="s">
        <v>10886</v>
      </c>
      <c r="T1757" s="16" t="n">
        <v>42856</v>
      </c>
      <c r="U1757" s="6" t="s">
        <v>13169</v>
      </c>
      <c r="V1757" s="6" t="s">
        <v>81</v>
      </c>
      <c r="W1757" s="6" t="s">
        <v>81</v>
      </c>
      <c r="X1757" s="6" t="s">
        <v>81</v>
      </c>
      <c r="Y1757" s="21" t="s">
        <v>81</v>
      </c>
      <c r="Z1757" s="6" t="s">
        <v>81</v>
      </c>
      <c r="AA1757" s="6" t="s">
        <v>81</v>
      </c>
      <c r="AB1757" s="6" t="s">
        <v>81</v>
      </c>
      <c r="AC1757" s="6" t="s">
        <v>81</v>
      </c>
      <c r="AD1757" s="21" t="s">
        <v>81</v>
      </c>
      <c r="AE1757" s="6" t="s">
        <v>81</v>
      </c>
      <c r="AF1757" s="6" t="s">
        <v>81</v>
      </c>
      <c r="AG1757" s="6" t="s">
        <v>81</v>
      </c>
      <c r="AH1757" s="6" t="s">
        <v>16318</v>
      </c>
      <c r="AI1757" s="6" t="s">
        <v>81</v>
      </c>
      <c r="AJ1757" s="6" t="s">
        <v>17556</v>
      </c>
      <c r="AK1757" s="6" t="s">
        <v>17712</v>
      </c>
      <c r="AL1757" s="6" t="s">
        <v>18444</v>
      </c>
      <c r="AM1757" s="6" t="s">
        <v>18719</v>
      </c>
      <c r="AN1757" s="6" t="s">
        <v>6842</v>
      </c>
      <c r="AO1757" s="6" t="s">
        <v>19815</v>
      </c>
      <c r="AP1757" s="6" t="s">
        <v>16318</v>
      </c>
      <c r="AQ1757" s="6" t="s">
        <v>81</v>
      </c>
      <c r="AR1757" s="6" t="s">
        <v>17556</v>
      </c>
      <c r="AS1757" s="6" t="s">
        <v>17712</v>
      </c>
      <c r="AT1757" s="6" t="s">
        <v>18444</v>
      </c>
      <c r="AU1757" s="6" t="s">
        <v>18719</v>
      </c>
      <c r="AV1757" s="6" t="s">
        <v>81</v>
      </c>
      <c r="AW1757" s="6" t="s">
        <v>81</v>
      </c>
      <c r="AX1757" s="6" t="s">
        <v>21872</v>
      </c>
      <c r="AY1757" s="6" t="s">
        <v>81</v>
      </c>
      <c r="AZ1757" s="6" t="s">
        <v>81</v>
      </c>
      <c r="BA1757" s="6" t="s">
        <v>81</v>
      </c>
      <c r="BB1757" s="24" t="n">
        <v>290</v>
      </c>
      <c r="BC1757" s="26"/>
      <c r="BD1757" s="26"/>
      <c r="BE1757" s="26"/>
      <c r="BF1757" s="26" t="s">
        <v>23900</v>
      </c>
      <c r="BG1757" s="26"/>
      <c r="BH1757" s="26"/>
      <c r="BI1757" s="26"/>
      <c r="BJ1757" s="26"/>
      <c r="BK1757" s="26"/>
      <c r="BL1757" s="26"/>
      <c r="BM1757" s="26"/>
      <c r="BN1757" s="26"/>
      <c r="BO1757" s="26"/>
      <c r="BP1757" s="16" t="n">
        <v>45686</v>
      </c>
      <c r="BQ1757" s="28" t="str">
        <f>HYPERLINK("https://organic.ams.usda.gov/Integrity/Certificate.aspx?cid=57&amp;nopid=3252016022")</f>
        <v>https://organic.ams.usda.gov/Integrity/Certificate.aspx?cid=57&amp;nopid=3252016022</v>
      </c>
    </row>
    <row r="1758">
      <c r="A1758" t="s">
        <v>3</v>
      </c>
      <c r="B1758" s="6" t="s">
        <v>9</v>
      </c>
      <c r="C1758" s="6" t="s">
        <v>56</v>
      </c>
      <c r="D1758" s="6" t="s">
        <v>102</v>
      </c>
      <c r="E1758" s="10" t="s">
        <v>1899</v>
      </c>
      <c r="F1758" s="6" t="s">
        <v>4619</v>
      </c>
      <c r="G1758" s="6" t="s">
        <v>81</v>
      </c>
      <c r="H1758" s="6" t="s">
        <v>7504</v>
      </c>
      <c r="I1758" s="6" t="s">
        <v>9274</v>
      </c>
      <c r="J1758" s="6" t="s">
        <v>9675</v>
      </c>
      <c r="K1758" s="6" t="s">
        <v>10886</v>
      </c>
      <c r="L1758" s="16" t="n">
        <v>41124</v>
      </c>
      <c r="M1758" s="16" t="n">
        <v>45748</v>
      </c>
      <c r="N1758" s="6" t="s">
        <v>10886</v>
      </c>
      <c r="O1758" s="16" t="n">
        <v>41124</v>
      </c>
      <c r="P1758" s="6" t="s">
        <v>10922</v>
      </c>
      <c r="Q1758" s="6" t="s">
        <v>81</v>
      </c>
      <c r="R1758" s="6" t="s">
        <v>12927</v>
      </c>
      <c r="S1758" s="6" t="s">
        <v>10886</v>
      </c>
      <c r="T1758" s="16" t="n">
        <v>41124</v>
      </c>
      <c r="U1758" s="6" t="s">
        <v>13162</v>
      </c>
      <c r="V1758" s="6" t="s">
        <v>81</v>
      </c>
      <c r="W1758" s="6" t="s">
        <v>12927</v>
      </c>
      <c r="X1758" s="6" t="s">
        <v>81</v>
      </c>
      <c r="Y1758" s="21" t="s">
        <v>81</v>
      </c>
      <c r="Z1758" s="6" t="s">
        <v>81</v>
      </c>
      <c r="AA1758" s="6" t="s">
        <v>81</v>
      </c>
      <c r="AB1758" s="6" t="s">
        <v>81</v>
      </c>
      <c r="AC1758" s="6" t="s">
        <v>81</v>
      </c>
      <c r="AD1758" s="21" t="s">
        <v>81</v>
      </c>
      <c r="AE1758" s="6" t="s">
        <v>81</v>
      </c>
      <c r="AF1758" s="6" t="s">
        <v>81</v>
      </c>
      <c r="AG1758" s="6" t="s">
        <v>81</v>
      </c>
      <c r="AH1758" s="6" t="s">
        <v>16319</v>
      </c>
      <c r="AI1758" s="6" t="s">
        <v>81</v>
      </c>
      <c r="AJ1758" s="6" t="s">
        <v>17335</v>
      </c>
      <c r="AK1758" s="6" t="s">
        <v>18378</v>
      </c>
      <c r="AL1758" s="6" t="s">
        <v>18444</v>
      </c>
      <c r="AM1758" s="6" t="s">
        <v>18489</v>
      </c>
      <c r="AN1758" s="6" t="s">
        <v>19707</v>
      </c>
      <c r="AO1758" s="6" t="s">
        <v>20013</v>
      </c>
      <c r="AP1758" s="6" t="s">
        <v>81</v>
      </c>
      <c r="AQ1758" s="6" t="s">
        <v>81</v>
      </c>
      <c r="AR1758" s="6" t="s">
        <v>81</v>
      </c>
      <c r="AS1758" s="6" t="s">
        <v>81</v>
      </c>
      <c r="AT1758" s="6" t="s">
        <v>81</v>
      </c>
      <c r="AU1758" s="6" t="s">
        <v>81</v>
      </c>
      <c r="AV1758" s="6" t="s">
        <v>81</v>
      </c>
      <c r="AW1758" s="6" t="s">
        <v>81</v>
      </c>
      <c r="AX1758" s="6" t="s">
        <v>21873</v>
      </c>
      <c r="AY1758" s="6" t="s">
        <v>81</v>
      </c>
      <c r="AZ1758" s="6" t="s">
        <v>81</v>
      </c>
      <c r="BA1758" s="6" t="s">
        <v>81</v>
      </c>
      <c r="BB1758" s="24" t="n">
        <v>136</v>
      </c>
      <c r="BC1758" s="26"/>
      <c r="BD1758" s="26"/>
      <c r="BE1758" s="26"/>
      <c r="BF1758" s="26"/>
      <c r="BG1758" s="26"/>
      <c r="BH1758" s="26"/>
      <c r="BI1758" s="26"/>
      <c r="BJ1758" s="26"/>
      <c r="BK1758" s="26"/>
      <c r="BL1758" s="26"/>
      <c r="BM1758" s="26"/>
      <c r="BN1758" s="26"/>
      <c r="BO1758" s="26"/>
      <c r="BP1758" s="16" t="n">
        <v>45738</v>
      </c>
      <c r="BQ1758" s="28" t="str">
        <f>HYPERLINK("https://organic.ams.usda.gov/Integrity/Certificate.aspx?cid=52&amp;nopid=8431200339")</f>
        <v>https://organic.ams.usda.gov/Integrity/Certificate.aspx?cid=52&amp;nopid=8431200339</v>
      </c>
    </row>
    <row r="1759">
      <c r="A1759" t="s">
        <v>3</v>
      </c>
      <c r="B1759" s="6" t="s">
        <v>15</v>
      </c>
      <c r="C1759" s="6" t="s">
        <v>62</v>
      </c>
      <c r="D1759" s="6" t="s">
        <v>108</v>
      </c>
      <c r="E1759" s="10" t="s">
        <v>1900</v>
      </c>
      <c r="F1759" s="6" t="s">
        <v>4620</v>
      </c>
      <c r="G1759" s="6" t="s">
        <v>5751</v>
      </c>
      <c r="H1759" s="6" t="s">
        <v>7505</v>
      </c>
      <c r="I1759" s="6" t="s">
        <v>8591</v>
      </c>
      <c r="J1759" s="6" t="s">
        <v>10258</v>
      </c>
      <c r="K1759" s="6" t="s">
        <v>10886</v>
      </c>
      <c r="L1759" s="16" t="n">
        <v>38352</v>
      </c>
      <c r="M1759" s="16" t="n">
        <v>45901</v>
      </c>
      <c r="N1759" s="6" t="s">
        <v>81</v>
      </c>
      <c r="O1759" s="21" t="s">
        <v>81</v>
      </c>
      <c r="P1759" s="6" t="s">
        <v>81</v>
      </c>
      <c r="Q1759" s="6" t="s">
        <v>81</v>
      </c>
      <c r="R1759" s="6" t="s">
        <v>81</v>
      </c>
      <c r="S1759" s="6" t="s">
        <v>81</v>
      </c>
      <c r="T1759" s="21" t="s">
        <v>81</v>
      </c>
      <c r="U1759" s="6" t="s">
        <v>81</v>
      </c>
      <c r="V1759" s="6" t="s">
        <v>81</v>
      </c>
      <c r="W1759" s="6" t="s">
        <v>81</v>
      </c>
      <c r="X1759" s="6" t="s">
        <v>81</v>
      </c>
      <c r="Y1759" s="21" t="s">
        <v>81</v>
      </c>
      <c r="Z1759" s="6" t="s">
        <v>81</v>
      </c>
      <c r="AA1759" s="6" t="s">
        <v>81</v>
      </c>
      <c r="AB1759" s="6" t="s">
        <v>81</v>
      </c>
      <c r="AC1759" s="6" t="s">
        <v>10886</v>
      </c>
      <c r="AD1759" s="16" t="n">
        <v>38352</v>
      </c>
      <c r="AE1759" s="6" t="s">
        <v>14306</v>
      </c>
      <c r="AF1759" s="6" t="s">
        <v>81</v>
      </c>
      <c r="AG1759" s="6" t="s">
        <v>81</v>
      </c>
      <c r="AH1759" s="6" t="s">
        <v>16320</v>
      </c>
      <c r="AI1759" s="6" t="s">
        <v>81</v>
      </c>
      <c r="AJ1759" s="6" t="s">
        <v>18092</v>
      </c>
      <c r="AK1759" s="6" t="s">
        <v>18378</v>
      </c>
      <c r="AL1759" s="6" t="s">
        <v>18444</v>
      </c>
      <c r="AM1759" s="6" t="s">
        <v>19289</v>
      </c>
      <c r="AN1759" s="6" t="s">
        <v>6139</v>
      </c>
      <c r="AO1759" s="6" t="s">
        <v>20014</v>
      </c>
      <c r="AP1759" s="6" t="s">
        <v>16320</v>
      </c>
      <c r="AQ1759" s="6" t="s">
        <v>81</v>
      </c>
      <c r="AR1759" s="6" t="s">
        <v>18092</v>
      </c>
      <c r="AS1759" s="6" t="s">
        <v>18378</v>
      </c>
      <c r="AT1759" s="6" t="s">
        <v>18444</v>
      </c>
      <c r="AU1759" s="6" t="s">
        <v>19289</v>
      </c>
      <c r="AV1759" s="6" t="s">
        <v>81</v>
      </c>
      <c r="AW1759" s="6" t="s">
        <v>81</v>
      </c>
      <c r="AX1759" s="6" t="s">
        <v>21874</v>
      </c>
      <c r="AY1759" s="6" t="s">
        <v>23176</v>
      </c>
      <c r="AZ1759" s="6" t="s">
        <v>81</v>
      </c>
      <c r="BA1759" s="6" t="s">
        <v>81</v>
      </c>
      <c r="BB1759" s="6" t="s">
        <v>81</v>
      </c>
      <c r="BC1759" s="26"/>
      <c r="BD1759" s="26"/>
      <c r="BE1759" s="26" t="s">
        <v>23900</v>
      </c>
      <c r="BF1759" s="26"/>
      <c r="BG1759" s="26"/>
      <c r="BH1759" s="26"/>
      <c r="BI1759" s="26"/>
      <c r="BJ1759" s="26"/>
      <c r="BK1759" s="26"/>
      <c r="BL1759" s="26"/>
      <c r="BM1759" s="26"/>
      <c r="BN1759" s="26"/>
      <c r="BO1759" s="26"/>
      <c r="BP1759" s="16" t="n">
        <v>45737</v>
      </c>
      <c r="BQ1759" s="28" t="str">
        <f>HYPERLINK("https://organic.ams.usda.gov/Integrity/Certificate.aspx?cid=58&amp;nopid=1600000936")</f>
        <v>https://organic.ams.usda.gov/Integrity/Certificate.aspx?cid=58&amp;nopid=1600000936</v>
      </c>
    </row>
    <row r="1760">
      <c r="A1760" t="s">
        <v>3</v>
      </c>
      <c r="B1760" s="6" t="s">
        <v>13</v>
      </c>
      <c r="C1760" s="6" t="s">
        <v>60</v>
      </c>
      <c r="D1760" s="6" t="s">
        <v>106</v>
      </c>
      <c r="E1760" s="10" t="s">
        <v>1901</v>
      </c>
      <c r="F1760" s="6" t="s">
        <v>4621</v>
      </c>
      <c r="G1760" s="6" t="s">
        <v>81</v>
      </c>
      <c r="H1760" s="6" t="s">
        <v>7506</v>
      </c>
      <c r="I1760" s="6" t="s">
        <v>9275</v>
      </c>
      <c r="J1760" s="6" t="s">
        <v>9665</v>
      </c>
      <c r="K1760" s="6" t="s">
        <v>10886</v>
      </c>
      <c r="L1760" s="16" t="n">
        <v>44014</v>
      </c>
      <c r="M1760" s="16" t="n">
        <v>45748</v>
      </c>
      <c r="N1760" s="6" t="s">
        <v>10886</v>
      </c>
      <c r="O1760" s="16" t="n">
        <v>44014</v>
      </c>
      <c r="P1760" s="6" t="s">
        <v>11936</v>
      </c>
      <c r="Q1760" s="6" t="s">
        <v>81</v>
      </c>
      <c r="R1760" s="6" t="s">
        <v>12928</v>
      </c>
      <c r="S1760" s="6" t="s">
        <v>10886</v>
      </c>
      <c r="T1760" s="16" t="n">
        <v>45201</v>
      </c>
      <c r="U1760" s="6" t="s">
        <v>13704</v>
      </c>
      <c r="V1760" s="6" t="s">
        <v>81</v>
      </c>
      <c r="W1760" s="6" t="s">
        <v>12928</v>
      </c>
      <c r="X1760" s="6" t="s">
        <v>81</v>
      </c>
      <c r="Y1760" s="21" t="s">
        <v>81</v>
      </c>
      <c r="Z1760" s="6" t="s">
        <v>81</v>
      </c>
      <c r="AA1760" s="6" t="s">
        <v>81</v>
      </c>
      <c r="AB1760" s="6" t="s">
        <v>81</v>
      </c>
      <c r="AC1760" s="6" t="s">
        <v>81</v>
      </c>
      <c r="AD1760" s="21" t="s">
        <v>81</v>
      </c>
      <c r="AE1760" s="6" t="s">
        <v>81</v>
      </c>
      <c r="AF1760" s="6" t="s">
        <v>81</v>
      </c>
      <c r="AG1760" s="6" t="s">
        <v>81</v>
      </c>
      <c r="AH1760" s="6" t="s">
        <v>16321</v>
      </c>
      <c r="AI1760" s="6" t="s">
        <v>81</v>
      </c>
      <c r="AJ1760" s="6" t="s">
        <v>18012</v>
      </c>
      <c r="AK1760" s="6" t="s">
        <v>18379</v>
      </c>
      <c r="AL1760" s="6" t="s">
        <v>18444</v>
      </c>
      <c r="AM1760" s="6" t="s">
        <v>19203</v>
      </c>
      <c r="AN1760" s="6" t="s">
        <v>19678</v>
      </c>
      <c r="AO1760" s="6" t="s">
        <v>19994</v>
      </c>
      <c r="AP1760" s="6" t="s">
        <v>16321</v>
      </c>
      <c r="AQ1760" s="6" t="s">
        <v>81</v>
      </c>
      <c r="AR1760" s="6" t="s">
        <v>18012</v>
      </c>
      <c r="AS1760" s="6" t="s">
        <v>18379</v>
      </c>
      <c r="AT1760" s="6" t="s">
        <v>18444</v>
      </c>
      <c r="AU1760" s="6" t="s">
        <v>19203</v>
      </c>
      <c r="AV1760" s="6" t="s">
        <v>81</v>
      </c>
      <c r="AW1760" s="6" t="s">
        <v>81</v>
      </c>
      <c r="AX1760" s="6" t="s">
        <v>21875</v>
      </c>
      <c r="AY1760" s="6" t="s">
        <v>81</v>
      </c>
      <c r="AZ1760" s="6" t="s">
        <v>81</v>
      </c>
      <c r="BA1760" s="6" t="s">
        <v>81</v>
      </c>
      <c r="BB1760" s="24" t="n">
        <v>72</v>
      </c>
      <c r="BC1760" s="26"/>
      <c r="BD1760" s="26"/>
      <c r="BE1760" s="26"/>
      <c r="BF1760" s="26" t="s">
        <v>23900</v>
      </c>
      <c r="BG1760" s="26"/>
      <c r="BH1760" s="26"/>
      <c r="BI1760" s="26"/>
      <c r="BJ1760" s="26"/>
      <c r="BK1760" s="26"/>
      <c r="BL1760" s="26"/>
      <c r="BM1760" s="26"/>
      <c r="BN1760" s="26"/>
      <c r="BO1760" s="26"/>
      <c r="BP1760" s="16" t="n">
        <v>45663</v>
      </c>
      <c r="BQ1760" s="28" t="str">
        <f>HYPERLINK("https://organic.ams.usda.gov/Integrity/Certificate.aspx?cid=72&amp;nopid=5873483460")</f>
        <v>https://organic.ams.usda.gov/Integrity/Certificate.aspx?cid=72&amp;nopid=5873483460</v>
      </c>
    </row>
    <row r="1761">
      <c r="A1761" t="s">
        <v>3</v>
      </c>
      <c r="B1761" s="6" t="s">
        <v>12</v>
      </c>
      <c r="C1761" s="6" t="s">
        <v>59</v>
      </c>
      <c r="D1761" s="6" t="s">
        <v>105</v>
      </c>
      <c r="E1761" s="10" t="s">
        <v>1902</v>
      </c>
      <c r="F1761" s="6" t="s">
        <v>4622</v>
      </c>
      <c r="G1761" s="6" t="s">
        <v>81</v>
      </c>
      <c r="H1761" s="6" t="s">
        <v>7507</v>
      </c>
      <c r="I1761" s="6" t="s">
        <v>8514</v>
      </c>
      <c r="J1761" s="6" t="s">
        <v>9395</v>
      </c>
      <c r="K1761" s="6" t="s">
        <v>10886</v>
      </c>
      <c r="L1761" s="16" t="n">
        <v>43273</v>
      </c>
      <c r="M1761" s="16" t="n">
        <v>45717</v>
      </c>
      <c r="N1761" s="6" t="s">
        <v>10886</v>
      </c>
      <c r="O1761" s="16" t="n">
        <v>43273</v>
      </c>
      <c r="P1761" s="6" t="s">
        <v>10910</v>
      </c>
      <c r="Q1761" s="6" t="s">
        <v>81</v>
      </c>
      <c r="R1761" s="6" t="s">
        <v>81</v>
      </c>
      <c r="S1761" s="6" t="s">
        <v>10886</v>
      </c>
      <c r="T1761" s="16" t="n">
        <v>43273</v>
      </c>
      <c r="U1761" s="6" t="s">
        <v>13262</v>
      </c>
      <c r="V1761" s="6" t="s">
        <v>81</v>
      </c>
      <c r="W1761" s="6" t="s">
        <v>81</v>
      </c>
      <c r="X1761" s="6" t="s">
        <v>81</v>
      </c>
      <c r="Y1761" s="21" t="s">
        <v>81</v>
      </c>
      <c r="Z1761" s="6" t="s">
        <v>81</v>
      </c>
      <c r="AA1761" s="6" t="s">
        <v>81</v>
      </c>
      <c r="AB1761" s="6" t="s">
        <v>81</v>
      </c>
      <c r="AC1761" s="6" t="s">
        <v>81</v>
      </c>
      <c r="AD1761" s="21" t="s">
        <v>81</v>
      </c>
      <c r="AE1761" s="6" t="s">
        <v>81</v>
      </c>
      <c r="AF1761" s="6" t="s">
        <v>81</v>
      </c>
      <c r="AG1761" s="6" t="s">
        <v>81</v>
      </c>
      <c r="AH1761" s="6" t="s">
        <v>16322</v>
      </c>
      <c r="AI1761" s="6" t="s">
        <v>81</v>
      </c>
      <c r="AJ1761" s="6" t="s">
        <v>18093</v>
      </c>
      <c r="AK1761" s="6" t="s">
        <v>17712</v>
      </c>
      <c r="AL1761" s="6" t="s">
        <v>18444</v>
      </c>
      <c r="AM1761" s="6" t="s">
        <v>19290</v>
      </c>
      <c r="AN1761" s="6" t="s">
        <v>6842</v>
      </c>
      <c r="AO1761" s="6" t="s">
        <v>19815</v>
      </c>
      <c r="AP1761" s="6" t="s">
        <v>16322</v>
      </c>
      <c r="AQ1761" s="6" t="s">
        <v>81</v>
      </c>
      <c r="AR1761" s="6" t="s">
        <v>18093</v>
      </c>
      <c r="AS1761" s="6" t="s">
        <v>17712</v>
      </c>
      <c r="AT1761" s="6" t="s">
        <v>18444</v>
      </c>
      <c r="AU1761" s="6" t="s">
        <v>19290</v>
      </c>
      <c r="AV1761" s="6" t="s">
        <v>81</v>
      </c>
      <c r="AW1761" s="6" t="s">
        <v>81</v>
      </c>
      <c r="AX1761" s="6" t="s">
        <v>21876</v>
      </c>
      <c r="AY1761" s="6" t="s">
        <v>81</v>
      </c>
      <c r="AZ1761" s="6" t="s">
        <v>81</v>
      </c>
      <c r="BA1761" s="6" t="s">
        <v>81</v>
      </c>
      <c r="BB1761" s="24" t="n">
        <v>359</v>
      </c>
      <c r="BC1761" s="26"/>
      <c r="BD1761" s="26"/>
      <c r="BE1761" s="26"/>
      <c r="BF1761" s="26"/>
      <c r="BG1761" s="26"/>
      <c r="BH1761" s="26"/>
      <c r="BI1761" s="26"/>
      <c r="BJ1761" s="26"/>
      <c r="BK1761" s="26"/>
      <c r="BL1761" s="26"/>
      <c r="BM1761" s="26"/>
      <c r="BN1761" s="26"/>
      <c r="BO1761" s="26"/>
      <c r="BP1761" s="16" t="n">
        <v>45721</v>
      </c>
      <c r="BQ1761" s="28" t="str">
        <f>HYPERLINK("https://organic.ams.usda.gov/Integrity/Certificate.aspx?cid=68&amp;nopid=8210005592")</f>
        <v>https://organic.ams.usda.gov/Integrity/Certificate.aspx?cid=68&amp;nopid=8210005592</v>
      </c>
    </row>
    <row r="1762">
      <c r="A1762" t="s">
        <v>3</v>
      </c>
      <c r="B1762" s="6" t="s">
        <v>8</v>
      </c>
      <c r="C1762" s="6" t="s">
        <v>55</v>
      </c>
      <c r="D1762" s="6" t="s">
        <v>101</v>
      </c>
      <c r="E1762" s="10" t="s">
        <v>1903</v>
      </c>
      <c r="F1762" s="6" t="s">
        <v>4623</v>
      </c>
      <c r="G1762" s="6" t="s">
        <v>81</v>
      </c>
      <c r="H1762" s="6" t="s">
        <v>7508</v>
      </c>
      <c r="I1762" s="6" t="s">
        <v>8514</v>
      </c>
      <c r="J1762" s="6" t="s">
        <v>10446</v>
      </c>
      <c r="K1762" s="6" t="s">
        <v>10886</v>
      </c>
      <c r="L1762" s="16" t="n">
        <v>43395</v>
      </c>
      <c r="M1762" s="16" t="n">
        <v>45383</v>
      </c>
      <c r="N1762" s="6" t="s">
        <v>10886</v>
      </c>
      <c r="O1762" s="16" t="n">
        <v>43395</v>
      </c>
      <c r="P1762" s="6" t="s">
        <v>11937</v>
      </c>
      <c r="Q1762" s="6" t="s">
        <v>81</v>
      </c>
      <c r="R1762" s="6" t="s">
        <v>7508</v>
      </c>
      <c r="S1762" s="6" t="s">
        <v>10886</v>
      </c>
      <c r="T1762" s="16" t="n">
        <v>43395</v>
      </c>
      <c r="U1762" s="6" t="s">
        <v>13179</v>
      </c>
      <c r="V1762" s="6" t="s">
        <v>81</v>
      </c>
      <c r="W1762" s="6" t="s">
        <v>7508</v>
      </c>
      <c r="X1762" s="6" t="s">
        <v>81</v>
      </c>
      <c r="Y1762" s="21" t="s">
        <v>81</v>
      </c>
      <c r="Z1762" s="6" t="s">
        <v>81</v>
      </c>
      <c r="AA1762" s="6" t="s">
        <v>81</v>
      </c>
      <c r="AB1762" s="6" t="s">
        <v>81</v>
      </c>
      <c r="AC1762" s="6" t="s">
        <v>81</v>
      </c>
      <c r="AD1762" s="21" t="s">
        <v>81</v>
      </c>
      <c r="AE1762" s="6" t="s">
        <v>81</v>
      </c>
      <c r="AF1762" s="6" t="s">
        <v>81</v>
      </c>
      <c r="AG1762" s="6" t="s">
        <v>81</v>
      </c>
      <c r="AH1762" s="6" t="s">
        <v>16323</v>
      </c>
      <c r="AI1762" s="6" t="s">
        <v>81</v>
      </c>
      <c r="AJ1762" s="6" t="s">
        <v>18094</v>
      </c>
      <c r="AK1762" s="6" t="s">
        <v>18381</v>
      </c>
      <c r="AL1762" s="6" t="s">
        <v>18444</v>
      </c>
      <c r="AM1762" s="6" t="s">
        <v>19291</v>
      </c>
      <c r="AN1762" s="6" t="s">
        <v>19705</v>
      </c>
      <c r="AO1762" s="6" t="s">
        <v>19961</v>
      </c>
      <c r="AP1762" s="6" t="s">
        <v>81</v>
      </c>
      <c r="AQ1762" s="6" t="s">
        <v>81</v>
      </c>
      <c r="AR1762" s="6" t="s">
        <v>81</v>
      </c>
      <c r="AS1762" s="6" t="s">
        <v>81</v>
      </c>
      <c r="AT1762" s="6" t="s">
        <v>81</v>
      </c>
      <c r="AU1762" s="6" t="s">
        <v>81</v>
      </c>
      <c r="AV1762" s="6" t="s">
        <v>81</v>
      </c>
      <c r="AW1762" s="6" t="s">
        <v>81</v>
      </c>
      <c r="AX1762" s="6" t="s">
        <v>21877</v>
      </c>
      <c r="AY1762" s="6" t="s">
        <v>23177</v>
      </c>
      <c r="AZ1762" s="6" t="s">
        <v>81</v>
      </c>
      <c r="BA1762" s="6" t="s">
        <v>23819</v>
      </c>
      <c r="BB1762" s="24" t="n">
        <v>395</v>
      </c>
      <c r="BC1762" s="26"/>
      <c r="BD1762" s="26"/>
      <c r="BE1762" s="26"/>
      <c r="BF1762" s="26" t="s">
        <v>23900</v>
      </c>
      <c r="BG1762" s="26"/>
      <c r="BH1762" s="26"/>
      <c r="BI1762" s="26"/>
      <c r="BJ1762" s="26"/>
      <c r="BK1762" s="26"/>
      <c r="BL1762" s="26"/>
      <c r="BM1762" s="26"/>
      <c r="BN1762" s="26"/>
      <c r="BO1762" s="26"/>
      <c r="BP1762" s="16" t="n">
        <v>45405</v>
      </c>
      <c r="BQ1762" s="28" t="str">
        <f>HYPERLINK("https://organic.ams.usda.gov/Integrity/Certificate.aspx?cid=45&amp;nopid=9950011319")</f>
        <v>https://organic.ams.usda.gov/Integrity/Certificate.aspx?cid=45&amp;nopid=9950011319</v>
      </c>
    </row>
    <row r="1763">
      <c r="A1763" t="s">
        <v>3</v>
      </c>
      <c r="B1763" s="6" t="s">
        <v>8</v>
      </c>
      <c r="C1763" s="6" t="s">
        <v>55</v>
      </c>
      <c r="D1763" s="6" t="s">
        <v>101</v>
      </c>
      <c r="E1763" s="10" t="s">
        <v>1904</v>
      </c>
      <c r="F1763" s="6" t="s">
        <v>4624</v>
      </c>
      <c r="G1763" s="6" t="s">
        <v>81</v>
      </c>
      <c r="H1763" s="6" t="s">
        <v>7509</v>
      </c>
      <c r="I1763" s="6" t="s">
        <v>8514</v>
      </c>
      <c r="J1763" s="6" t="s">
        <v>9664</v>
      </c>
      <c r="K1763" s="6" t="s">
        <v>10886</v>
      </c>
      <c r="L1763" s="16" t="n">
        <v>42156</v>
      </c>
      <c r="M1763" s="16" t="n">
        <v>45748</v>
      </c>
      <c r="N1763" s="6" t="s">
        <v>10886</v>
      </c>
      <c r="O1763" s="16" t="n">
        <v>42156</v>
      </c>
      <c r="P1763" s="6" t="s">
        <v>11938</v>
      </c>
      <c r="Q1763" s="6" t="s">
        <v>81</v>
      </c>
      <c r="R1763" s="6" t="s">
        <v>7509</v>
      </c>
      <c r="S1763" s="6" t="s">
        <v>10886</v>
      </c>
      <c r="T1763" s="16" t="n">
        <v>42156</v>
      </c>
      <c r="U1763" s="6" t="s">
        <v>13705</v>
      </c>
      <c r="V1763" s="6" t="s">
        <v>81</v>
      </c>
      <c r="W1763" s="6" t="s">
        <v>7509</v>
      </c>
      <c r="X1763" s="6" t="s">
        <v>81</v>
      </c>
      <c r="Y1763" s="21" t="s">
        <v>81</v>
      </c>
      <c r="Z1763" s="6" t="s">
        <v>81</v>
      </c>
      <c r="AA1763" s="6" t="s">
        <v>81</v>
      </c>
      <c r="AB1763" s="6" t="s">
        <v>81</v>
      </c>
      <c r="AC1763" s="6" t="s">
        <v>81</v>
      </c>
      <c r="AD1763" s="21" t="s">
        <v>81</v>
      </c>
      <c r="AE1763" s="6" t="s">
        <v>81</v>
      </c>
      <c r="AF1763" s="6" t="s">
        <v>81</v>
      </c>
      <c r="AG1763" s="6" t="s">
        <v>81</v>
      </c>
      <c r="AH1763" s="6" t="s">
        <v>16324</v>
      </c>
      <c r="AI1763" s="6" t="s">
        <v>81</v>
      </c>
      <c r="AJ1763" s="6" t="s">
        <v>18095</v>
      </c>
      <c r="AK1763" s="6" t="s">
        <v>18380</v>
      </c>
      <c r="AL1763" s="6" t="s">
        <v>18444</v>
      </c>
      <c r="AM1763" s="6" t="s">
        <v>19292</v>
      </c>
      <c r="AN1763" s="6" t="s">
        <v>19683</v>
      </c>
      <c r="AO1763" s="6" t="s">
        <v>19867</v>
      </c>
      <c r="AP1763" s="6" t="s">
        <v>81</v>
      </c>
      <c r="AQ1763" s="6" t="s">
        <v>81</v>
      </c>
      <c r="AR1763" s="6" t="s">
        <v>81</v>
      </c>
      <c r="AS1763" s="6" t="s">
        <v>81</v>
      </c>
      <c r="AT1763" s="6" t="s">
        <v>81</v>
      </c>
      <c r="AU1763" s="6" t="s">
        <v>81</v>
      </c>
      <c r="AV1763" s="6" t="s">
        <v>81</v>
      </c>
      <c r="AW1763" s="6" t="s">
        <v>81</v>
      </c>
      <c r="AX1763" s="6" t="s">
        <v>81</v>
      </c>
      <c r="AY1763" s="6" t="s">
        <v>81</v>
      </c>
      <c r="AZ1763" s="6" t="s">
        <v>81</v>
      </c>
      <c r="BA1763" s="6" t="s">
        <v>23819</v>
      </c>
      <c r="BB1763" s="24" t="n">
        <v>105</v>
      </c>
      <c r="BC1763" s="26"/>
      <c r="BD1763" s="26"/>
      <c r="BE1763" s="26"/>
      <c r="BF1763" s="26" t="s">
        <v>23900</v>
      </c>
      <c r="BG1763" s="26"/>
      <c r="BH1763" s="26"/>
      <c r="BI1763" s="26"/>
      <c r="BJ1763" s="26"/>
      <c r="BK1763" s="26"/>
      <c r="BL1763" s="26"/>
      <c r="BM1763" s="26"/>
      <c r="BN1763" s="26"/>
      <c r="BO1763" s="26"/>
      <c r="BP1763" s="16" t="n">
        <v>45610</v>
      </c>
      <c r="BQ1763" s="28" t="str">
        <f>HYPERLINK("https://organic.ams.usda.gov/Integrity/Certificate.aspx?cid=45&amp;nopid=9950006620")</f>
        <v>https://organic.ams.usda.gov/Integrity/Certificate.aspx?cid=45&amp;nopid=9950006620</v>
      </c>
    </row>
    <row r="1764">
      <c r="A1764" t="s">
        <v>3</v>
      </c>
      <c r="B1764" s="6" t="s">
        <v>24</v>
      </c>
      <c r="C1764" s="6" t="s">
        <v>71</v>
      </c>
      <c r="D1764" s="6" t="s">
        <v>117</v>
      </c>
      <c r="E1764" s="10" t="s">
        <v>1905</v>
      </c>
      <c r="F1764" s="6" t="s">
        <v>4625</v>
      </c>
      <c r="G1764" s="6" t="s">
        <v>81</v>
      </c>
      <c r="H1764" s="6" t="s">
        <v>81</v>
      </c>
      <c r="I1764" s="6" t="s">
        <v>8514</v>
      </c>
      <c r="J1764" s="6" t="s">
        <v>9705</v>
      </c>
      <c r="K1764" s="6" t="s">
        <v>10886</v>
      </c>
      <c r="L1764" s="16" t="n">
        <v>44692</v>
      </c>
      <c r="M1764" s="16" t="n">
        <v>45901</v>
      </c>
      <c r="N1764" s="6" t="s">
        <v>10886</v>
      </c>
      <c r="O1764" s="16" t="n">
        <v>44692</v>
      </c>
      <c r="P1764" s="6" t="s">
        <v>11031</v>
      </c>
      <c r="Q1764" s="6" t="s">
        <v>81</v>
      </c>
      <c r="R1764" s="6" t="s">
        <v>12929</v>
      </c>
      <c r="S1764" s="6" t="s">
        <v>10886</v>
      </c>
      <c r="T1764" s="16" t="n">
        <v>44692</v>
      </c>
      <c r="U1764" s="6" t="s">
        <v>13706</v>
      </c>
      <c r="V1764" s="6" t="s">
        <v>81</v>
      </c>
      <c r="W1764" s="6" t="s">
        <v>81</v>
      </c>
      <c r="X1764" s="6" t="s">
        <v>81</v>
      </c>
      <c r="Y1764" s="21" t="s">
        <v>81</v>
      </c>
      <c r="Z1764" s="6" t="s">
        <v>81</v>
      </c>
      <c r="AA1764" s="6" t="s">
        <v>81</v>
      </c>
      <c r="AB1764" s="6" t="s">
        <v>81</v>
      </c>
      <c r="AC1764" s="6" t="s">
        <v>10886</v>
      </c>
      <c r="AD1764" s="16" t="n">
        <v>44692</v>
      </c>
      <c r="AE1764" s="6" t="s">
        <v>14014</v>
      </c>
      <c r="AF1764" s="6" t="s">
        <v>81</v>
      </c>
      <c r="AG1764" s="6" t="s">
        <v>81</v>
      </c>
      <c r="AH1764" s="6" t="s">
        <v>16325</v>
      </c>
      <c r="AI1764" s="6" t="s">
        <v>81</v>
      </c>
      <c r="AJ1764" s="6" t="s">
        <v>18096</v>
      </c>
      <c r="AK1764" s="6" t="s">
        <v>18400</v>
      </c>
      <c r="AL1764" s="6" t="s">
        <v>18444</v>
      </c>
      <c r="AM1764" s="6" t="s">
        <v>19293</v>
      </c>
      <c r="AN1764" s="6" t="s">
        <v>7595</v>
      </c>
      <c r="AO1764" s="6" t="s">
        <v>20015</v>
      </c>
      <c r="AP1764" s="6" t="s">
        <v>20323</v>
      </c>
      <c r="AQ1764" s="6" t="s">
        <v>81</v>
      </c>
      <c r="AR1764" s="6" t="s">
        <v>20551</v>
      </c>
      <c r="AS1764" s="6" t="s">
        <v>18400</v>
      </c>
      <c r="AT1764" s="6" t="s">
        <v>18444</v>
      </c>
      <c r="AU1764" s="6" t="s">
        <v>20679</v>
      </c>
      <c r="AV1764" s="6" t="s">
        <v>81</v>
      </c>
      <c r="AW1764" s="6" t="s">
        <v>81</v>
      </c>
      <c r="AX1764" s="6" t="s">
        <v>81</v>
      </c>
      <c r="AY1764" s="6" t="s">
        <v>23178</v>
      </c>
      <c r="AZ1764" s="6" t="s">
        <v>81</v>
      </c>
      <c r="BA1764" s="6" t="s">
        <v>81</v>
      </c>
      <c r="BB1764" s="24" t="n">
        <v>40</v>
      </c>
      <c r="BC1764" s="26"/>
      <c r="BD1764" s="26"/>
      <c r="BE1764" s="26"/>
      <c r="BF1764" s="26"/>
      <c r="BG1764" s="26"/>
      <c r="BH1764" s="26"/>
      <c r="BI1764" s="26"/>
      <c r="BJ1764" s="26"/>
      <c r="BK1764" s="26"/>
      <c r="BL1764" s="26"/>
      <c r="BM1764" s="26"/>
      <c r="BN1764" s="26"/>
      <c r="BO1764" s="26"/>
      <c r="BP1764" s="16" t="n">
        <v>45714</v>
      </c>
      <c r="BQ1764" s="28" t="str">
        <f>HYPERLINK("https://organic.ams.usda.gov/Integrity/Certificate.aspx?cid=1&amp;nopid=9092202105")</f>
        <v>https://organic.ams.usda.gov/Integrity/Certificate.aspx?cid=1&amp;nopid=9092202105</v>
      </c>
    </row>
    <row r="1765">
      <c r="A1765" t="s">
        <v>3</v>
      </c>
      <c r="B1765" s="6" t="s">
        <v>8</v>
      </c>
      <c r="C1765" s="6" t="s">
        <v>55</v>
      </c>
      <c r="D1765" s="6" t="s">
        <v>101</v>
      </c>
      <c r="E1765" s="10" t="s">
        <v>1906</v>
      </c>
      <c r="F1765" s="6" t="s">
        <v>4626</v>
      </c>
      <c r="G1765" s="6" t="s">
        <v>81</v>
      </c>
      <c r="H1765" s="6" t="s">
        <v>7510</v>
      </c>
      <c r="I1765" s="6" t="s">
        <v>8514</v>
      </c>
      <c r="J1765" s="6" t="s">
        <v>9666</v>
      </c>
      <c r="K1765" s="6" t="s">
        <v>10886</v>
      </c>
      <c r="L1765" s="16" t="n">
        <v>41180</v>
      </c>
      <c r="M1765" s="16" t="n">
        <v>45383</v>
      </c>
      <c r="N1765" s="6" t="s">
        <v>10886</v>
      </c>
      <c r="O1765" s="16" t="n">
        <v>41180</v>
      </c>
      <c r="P1765" s="6" t="s">
        <v>11939</v>
      </c>
      <c r="Q1765" s="6" t="s">
        <v>81</v>
      </c>
      <c r="R1765" s="6" t="s">
        <v>7510</v>
      </c>
      <c r="S1765" s="6" t="s">
        <v>10886</v>
      </c>
      <c r="T1765" s="16" t="n">
        <v>41180</v>
      </c>
      <c r="U1765" s="6" t="s">
        <v>13265</v>
      </c>
      <c r="V1765" s="6" t="s">
        <v>81</v>
      </c>
      <c r="W1765" s="6" t="s">
        <v>7510</v>
      </c>
      <c r="X1765" s="6" t="s">
        <v>81</v>
      </c>
      <c r="Y1765" s="21" t="s">
        <v>81</v>
      </c>
      <c r="Z1765" s="6" t="s">
        <v>81</v>
      </c>
      <c r="AA1765" s="6" t="s">
        <v>81</v>
      </c>
      <c r="AB1765" s="6" t="s">
        <v>81</v>
      </c>
      <c r="AC1765" s="6" t="s">
        <v>81</v>
      </c>
      <c r="AD1765" s="21" t="s">
        <v>81</v>
      </c>
      <c r="AE1765" s="6" t="s">
        <v>81</v>
      </c>
      <c r="AF1765" s="6" t="s">
        <v>81</v>
      </c>
      <c r="AG1765" s="6" t="s">
        <v>81</v>
      </c>
      <c r="AH1765" s="6" t="s">
        <v>16326</v>
      </c>
      <c r="AI1765" s="6" t="s">
        <v>81</v>
      </c>
      <c r="AJ1765" s="6" t="s">
        <v>17579</v>
      </c>
      <c r="AK1765" s="6" t="s">
        <v>18391</v>
      </c>
      <c r="AL1765" s="6" t="s">
        <v>18444</v>
      </c>
      <c r="AM1765" s="6" t="s">
        <v>18743</v>
      </c>
      <c r="AN1765" s="6" t="s">
        <v>19661</v>
      </c>
      <c r="AO1765" s="6" t="s">
        <v>19947</v>
      </c>
      <c r="AP1765" s="6" t="s">
        <v>81</v>
      </c>
      <c r="AQ1765" s="6" t="s">
        <v>81</v>
      </c>
      <c r="AR1765" s="6" t="s">
        <v>81</v>
      </c>
      <c r="AS1765" s="6" t="s">
        <v>81</v>
      </c>
      <c r="AT1765" s="6" t="s">
        <v>81</v>
      </c>
      <c r="AU1765" s="6" t="s">
        <v>81</v>
      </c>
      <c r="AV1765" s="6" t="s">
        <v>81</v>
      </c>
      <c r="AW1765" s="6" t="s">
        <v>81</v>
      </c>
      <c r="AX1765" s="6" t="s">
        <v>81</v>
      </c>
      <c r="AY1765" s="6" t="s">
        <v>81</v>
      </c>
      <c r="AZ1765" s="6" t="s">
        <v>81</v>
      </c>
      <c r="BA1765" s="6" t="s">
        <v>23824</v>
      </c>
      <c r="BB1765" s="24" t="n">
        <v>162</v>
      </c>
      <c r="BC1765" s="26"/>
      <c r="BD1765" s="26"/>
      <c r="BE1765" s="26"/>
      <c r="BF1765" s="26" t="s">
        <v>23900</v>
      </c>
      <c r="BG1765" s="26"/>
      <c r="BH1765" s="26"/>
      <c r="BI1765" s="26"/>
      <c r="BJ1765" s="26"/>
      <c r="BK1765" s="26"/>
      <c r="BL1765" s="26"/>
      <c r="BM1765" s="26"/>
      <c r="BN1765" s="26"/>
      <c r="BO1765" s="26"/>
      <c r="BP1765" s="16" t="n">
        <v>45414</v>
      </c>
      <c r="BQ1765" s="28" t="str">
        <f>HYPERLINK("https://organic.ams.usda.gov/Integrity/Certificate.aspx?cid=45&amp;nopid=9950004844")</f>
        <v>https://organic.ams.usda.gov/Integrity/Certificate.aspx?cid=45&amp;nopid=9950004844</v>
      </c>
    </row>
    <row r="1766">
      <c r="A1766" t="s">
        <v>3</v>
      </c>
      <c r="B1766" s="6" t="s">
        <v>11</v>
      </c>
      <c r="C1766" s="6" t="s">
        <v>58</v>
      </c>
      <c r="D1766" s="6" t="s">
        <v>104</v>
      </c>
      <c r="E1766" s="10" t="s">
        <v>1907</v>
      </c>
      <c r="F1766" s="6" t="s">
        <v>4627</v>
      </c>
      <c r="G1766" s="6" t="s">
        <v>81</v>
      </c>
      <c r="H1766" s="6" t="s">
        <v>81</v>
      </c>
      <c r="I1766" s="6" t="s">
        <v>9276</v>
      </c>
      <c r="J1766" s="6" t="s">
        <v>9725</v>
      </c>
      <c r="K1766" s="6" t="s">
        <v>10886</v>
      </c>
      <c r="L1766" s="16" t="n">
        <v>43343</v>
      </c>
      <c r="M1766" s="16" t="n">
        <v>45383</v>
      </c>
      <c r="N1766" s="6" t="s">
        <v>10886</v>
      </c>
      <c r="O1766" s="16" t="n">
        <v>43343</v>
      </c>
      <c r="P1766" s="6" t="s">
        <v>11940</v>
      </c>
      <c r="Q1766" s="6" t="s">
        <v>81</v>
      </c>
      <c r="R1766" s="6" t="s">
        <v>81</v>
      </c>
      <c r="S1766" s="6" t="s">
        <v>10886</v>
      </c>
      <c r="T1766" s="16" t="n">
        <v>43343</v>
      </c>
      <c r="U1766" s="6" t="s">
        <v>13707</v>
      </c>
      <c r="V1766" s="6" t="s">
        <v>81</v>
      </c>
      <c r="W1766" s="6" t="s">
        <v>81</v>
      </c>
      <c r="X1766" s="6" t="s">
        <v>81</v>
      </c>
      <c r="Y1766" s="21" t="s">
        <v>81</v>
      </c>
      <c r="Z1766" s="6" t="s">
        <v>81</v>
      </c>
      <c r="AA1766" s="6" t="s">
        <v>81</v>
      </c>
      <c r="AB1766" s="6" t="s">
        <v>81</v>
      </c>
      <c r="AC1766" s="6" t="s">
        <v>81</v>
      </c>
      <c r="AD1766" s="21" t="s">
        <v>81</v>
      </c>
      <c r="AE1766" s="6" t="s">
        <v>81</v>
      </c>
      <c r="AF1766" s="6" t="s">
        <v>81</v>
      </c>
      <c r="AG1766" s="6" t="s">
        <v>81</v>
      </c>
      <c r="AH1766" s="6" t="s">
        <v>16327</v>
      </c>
      <c r="AI1766" s="6" t="s">
        <v>81</v>
      </c>
      <c r="AJ1766" s="6" t="s">
        <v>17379</v>
      </c>
      <c r="AK1766" s="6" t="s">
        <v>18381</v>
      </c>
      <c r="AL1766" s="6" t="s">
        <v>18444</v>
      </c>
      <c r="AM1766" s="6" t="s">
        <v>18532</v>
      </c>
      <c r="AN1766" s="6" t="s">
        <v>19663</v>
      </c>
      <c r="AO1766" s="6" t="s">
        <v>19763</v>
      </c>
      <c r="AP1766" s="6" t="s">
        <v>16327</v>
      </c>
      <c r="AQ1766" s="6" t="s">
        <v>81</v>
      </c>
      <c r="AR1766" s="6" t="s">
        <v>17379</v>
      </c>
      <c r="AS1766" s="6" t="s">
        <v>18381</v>
      </c>
      <c r="AT1766" s="6" t="s">
        <v>18444</v>
      </c>
      <c r="AU1766" s="6" t="s">
        <v>18532</v>
      </c>
      <c r="AV1766" s="6" t="s">
        <v>81</v>
      </c>
      <c r="AW1766" s="6" t="s">
        <v>81</v>
      </c>
      <c r="AX1766" s="6" t="s">
        <v>81</v>
      </c>
      <c r="AY1766" s="6" t="s">
        <v>23179</v>
      </c>
      <c r="AZ1766" s="6" t="s">
        <v>81</v>
      </c>
      <c r="BA1766" s="6" t="s">
        <v>81</v>
      </c>
      <c r="BB1766" s="24" t="n">
        <v>262</v>
      </c>
      <c r="BC1766" s="26"/>
      <c r="BD1766" s="26"/>
      <c r="BE1766" s="26"/>
      <c r="BF1766" s="26"/>
      <c r="BG1766" s="26"/>
      <c r="BH1766" s="26"/>
      <c r="BI1766" s="26"/>
      <c r="BJ1766" s="26"/>
      <c r="BK1766" s="26"/>
      <c r="BL1766" s="26"/>
      <c r="BM1766" s="26"/>
      <c r="BN1766" s="26"/>
      <c r="BO1766" s="26"/>
      <c r="BP1766" s="16" t="n">
        <v>45443</v>
      </c>
      <c r="BQ1766" s="28" t="str">
        <f>HYPERLINK("https://organic.ams.usda.gov/Integrity/Certificate.aspx?cid=46&amp;nopid=3671800056")</f>
        <v>https://organic.ams.usda.gov/Integrity/Certificate.aspx?cid=46&amp;nopid=3671800056</v>
      </c>
    </row>
    <row r="1767">
      <c r="A1767" t="s">
        <v>3</v>
      </c>
      <c r="B1767" s="6" t="s">
        <v>7</v>
      </c>
      <c r="C1767" s="6" t="s">
        <v>54</v>
      </c>
      <c r="D1767" s="6" t="s">
        <v>100</v>
      </c>
      <c r="E1767" s="10" t="s">
        <v>1908</v>
      </c>
      <c r="F1767" s="6" t="s">
        <v>4628</v>
      </c>
      <c r="G1767" s="6" t="s">
        <v>81</v>
      </c>
      <c r="H1767" s="6" t="s">
        <v>7511</v>
      </c>
      <c r="I1767" s="6" t="s">
        <v>8573</v>
      </c>
      <c r="J1767" s="6" t="s">
        <v>9936</v>
      </c>
      <c r="K1767" s="6" t="s">
        <v>10886</v>
      </c>
      <c r="L1767" s="16" t="n">
        <v>43616</v>
      </c>
      <c r="M1767" s="16" t="n">
        <v>45716</v>
      </c>
      <c r="N1767" s="6" t="s">
        <v>10886</v>
      </c>
      <c r="O1767" s="16" t="n">
        <v>43619</v>
      </c>
      <c r="P1767" s="6" t="s">
        <v>11146</v>
      </c>
      <c r="Q1767" s="6" t="s">
        <v>81</v>
      </c>
      <c r="R1767" s="6" t="s">
        <v>81</v>
      </c>
      <c r="S1767" s="6" t="s">
        <v>10886</v>
      </c>
      <c r="T1767" s="16" t="n">
        <v>44043</v>
      </c>
      <c r="U1767" s="6" t="s">
        <v>13169</v>
      </c>
      <c r="V1767" s="6" t="s">
        <v>81</v>
      </c>
      <c r="W1767" s="6" t="s">
        <v>81</v>
      </c>
      <c r="X1767" s="6" t="s">
        <v>81</v>
      </c>
      <c r="Y1767" s="21" t="s">
        <v>81</v>
      </c>
      <c r="Z1767" s="6" t="s">
        <v>81</v>
      </c>
      <c r="AA1767" s="6" t="s">
        <v>81</v>
      </c>
      <c r="AB1767" s="6" t="s">
        <v>81</v>
      </c>
      <c r="AC1767" s="6" t="s">
        <v>81</v>
      </c>
      <c r="AD1767" s="21" t="s">
        <v>81</v>
      </c>
      <c r="AE1767" s="6" t="s">
        <v>81</v>
      </c>
      <c r="AF1767" s="6" t="s">
        <v>81</v>
      </c>
      <c r="AG1767" s="6" t="s">
        <v>81</v>
      </c>
      <c r="AH1767" s="6" t="s">
        <v>16328</v>
      </c>
      <c r="AI1767" s="6" t="s">
        <v>81</v>
      </c>
      <c r="AJ1767" s="6" t="s">
        <v>18097</v>
      </c>
      <c r="AK1767" s="6" t="s">
        <v>17712</v>
      </c>
      <c r="AL1767" s="6" t="s">
        <v>18444</v>
      </c>
      <c r="AM1767" s="6" t="s">
        <v>19294</v>
      </c>
      <c r="AN1767" s="6" t="s">
        <v>19652</v>
      </c>
      <c r="AO1767" s="6" t="s">
        <v>19742</v>
      </c>
      <c r="AP1767" s="6" t="s">
        <v>16328</v>
      </c>
      <c r="AQ1767" s="6" t="s">
        <v>81</v>
      </c>
      <c r="AR1767" s="6" t="s">
        <v>18097</v>
      </c>
      <c r="AS1767" s="6" t="s">
        <v>17712</v>
      </c>
      <c r="AT1767" s="6" t="s">
        <v>18444</v>
      </c>
      <c r="AU1767" s="6" t="s">
        <v>19294</v>
      </c>
      <c r="AV1767" s="6" t="s">
        <v>81</v>
      </c>
      <c r="AW1767" s="6" t="s">
        <v>81</v>
      </c>
      <c r="AX1767" s="6" t="s">
        <v>81</v>
      </c>
      <c r="AY1767" s="6" t="s">
        <v>81</v>
      </c>
      <c r="AZ1767" s="6" t="s">
        <v>81</v>
      </c>
      <c r="BA1767" s="6" t="s">
        <v>81</v>
      </c>
      <c r="BB1767" s="24" t="n">
        <v>68</v>
      </c>
      <c r="BC1767" s="26"/>
      <c r="BD1767" s="26"/>
      <c r="BE1767" s="26"/>
      <c r="BF1767" s="26"/>
      <c r="BG1767" s="26"/>
      <c r="BH1767" s="26"/>
      <c r="BI1767" s="26"/>
      <c r="BJ1767" s="26"/>
      <c r="BK1767" s="26"/>
      <c r="BL1767" s="26"/>
      <c r="BM1767" s="26"/>
      <c r="BN1767" s="26"/>
      <c r="BO1767" s="26"/>
      <c r="BP1767" s="16" t="n">
        <v>45595</v>
      </c>
      <c r="BQ1767" s="28" t="str">
        <f>HYPERLINK("https://organic.ams.usda.gov/Integrity/Certificate.aspx?cid=57&amp;nopid=3252019035")</f>
        <v>https://organic.ams.usda.gov/Integrity/Certificate.aspx?cid=57&amp;nopid=3252019035</v>
      </c>
    </row>
    <row r="1768">
      <c r="A1768" t="s">
        <v>3</v>
      </c>
      <c r="B1768" s="6" t="s">
        <v>8</v>
      </c>
      <c r="C1768" s="6" t="s">
        <v>55</v>
      </c>
      <c r="D1768" s="6" t="s">
        <v>101</v>
      </c>
      <c r="E1768" s="10" t="s">
        <v>1909</v>
      </c>
      <c r="F1768" s="6" t="s">
        <v>4629</v>
      </c>
      <c r="G1768" s="6" t="s">
        <v>81</v>
      </c>
      <c r="H1768" s="6" t="s">
        <v>7512</v>
      </c>
      <c r="I1768" s="6" t="s">
        <v>8707</v>
      </c>
      <c r="J1768" s="6" t="s">
        <v>9725</v>
      </c>
      <c r="K1768" s="6" t="s">
        <v>10886</v>
      </c>
      <c r="L1768" s="16" t="n">
        <v>41253</v>
      </c>
      <c r="M1768" s="16" t="n">
        <v>45748</v>
      </c>
      <c r="N1768" s="6" t="s">
        <v>10886</v>
      </c>
      <c r="O1768" s="16" t="n">
        <v>41253</v>
      </c>
      <c r="P1768" s="6" t="s">
        <v>11941</v>
      </c>
      <c r="Q1768" s="6" t="s">
        <v>81</v>
      </c>
      <c r="R1768" s="6" t="s">
        <v>7512</v>
      </c>
      <c r="S1768" s="6" t="s">
        <v>10886</v>
      </c>
      <c r="T1768" s="16" t="n">
        <v>41253</v>
      </c>
      <c r="U1768" s="6" t="s">
        <v>13173</v>
      </c>
      <c r="V1768" s="6" t="s">
        <v>81</v>
      </c>
      <c r="W1768" s="6" t="s">
        <v>7512</v>
      </c>
      <c r="X1768" s="6" t="s">
        <v>81</v>
      </c>
      <c r="Y1768" s="21" t="s">
        <v>81</v>
      </c>
      <c r="Z1768" s="6" t="s">
        <v>81</v>
      </c>
      <c r="AA1768" s="6" t="s">
        <v>81</v>
      </c>
      <c r="AB1768" s="6" t="s">
        <v>81</v>
      </c>
      <c r="AC1768" s="6" t="s">
        <v>81</v>
      </c>
      <c r="AD1768" s="21" t="s">
        <v>81</v>
      </c>
      <c r="AE1768" s="6" t="s">
        <v>81</v>
      </c>
      <c r="AF1768" s="6" t="s">
        <v>81</v>
      </c>
      <c r="AG1768" s="6" t="s">
        <v>81</v>
      </c>
      <c r="AH1768" s="6" t="s">
        <v>16329</v>
      </c>
      <c r="AI1768" s="6" t="s">
        <v>81</v>
      </c>
      <c r="AJ1768" s="6" t="s">
        <v>18098</v>
      </c>
      <c r="AK1768" s="6" t="s">
        <v>18381</v>
      </c>
      <c r="AL1768" s="6" t="s">
        <v>18444</v>
      </c>
      <c r="AM1768" s="6" t="s">
        <v>19295</v>
      </c>
      <c r="AN1768" s="6" t="s">
        <v>19705</v>
      </c>
      <c r="AO1768" s="6" t="s">
        <v>19961</v>
      </c>
      <c r="AP1768" s="6" t="s">
        <v>20324</v>
      </c>
      <c r="AQ1768" s="6" t="s">
        <v>81</v>
      </c>
      <c r="AR1768" s="6" t="s">
        <v>20552</v>
      </c>
      <c r="AS1768" s="6" t="s">
        <v>18381</v>
      </c>
      <c r="AT1768" s="6" t="s">
        <v>18444</v>
      </c>
      <c r="AU1768" s="6" t="s">
        <v>19295</v>
      </c>
      <c r="AV1768" s="6" t="s">
        <v>81</v>
      </c>
      <c r="AW1768" s="6" t="s">
        <v>81</v>
      </c>
      <c r="AX1768" s="6" t="s">
        <v>21878</v>
      </c>
      <c r="AY1768" s="6" t="s">
        <v>23180</v>
      </c>
      <c r="AZ1768" s="6" t="s">
        <v>81</v>
      </c>
      <c r="BA1768" s="6" t="s">
        <v>23819</v>
      </c>
      <c r="BB1768" s="24" t="n">
        <v>670</v>
      </c>
      <c r="BC1768" s="26"/>
      <c r="BD1768" s="26"/>
      <c r="BE1768" s="26"/>
      <c r="BF1768" s="26" t="s">
        <v>23900</v>
      </c>
      <c r="BG1768" s="26"/>
      <c r="BH1768" s="26"/>
      <c r="BI1768" s="26"/>
      <c r="BJ1768" s="26"/>
      <c r="BK1768" s="26"/>
      <c r="BL1768" s="26"/>
      <c r="BM1768" s="26"/>
      <c r="BN1768" s="26"/>
      <c r="BO1768" s="26"/>
      <c r="BP1768" s="16" t="n">
        <v>45588</v>
      </c>
      <c r="BQ1768" s="28" t="str">
        <f>HYPERLINK("https://organic.ams.usda.gov/Integrity/Certificate.aspx?cid=45&amp;nopid=9950004958")</f>
        <v>https://organic.ams.usda.gov/Integrity/Certificate.aspx?cid=45&amp;nopid=9950004958</v>
      </c>
    </row>
    <row r="1769">
      <c r="A1769" t="s">
        <v>3</v>
      </c>
      <c r="B1769" s="6" t="s">
        <v>23</v>
      </c>
      <c r="C1769" s="6" t="s">
        <v>70</v>
      </c>
      <c r="D1769" s="6" t="s">
        <v>116</v>
      </c>
      <c r="E1769" s="10" t="s">
        <v>1910</v>
      </c>
      <c r="F1769" s="6" t="s">
        <v>4630</v>
      </c>
      <c r="G1769" s="6" t="s">
        <v>81</v>
      </c>
      <c r="H1769" s="6" t="s">
        <v>7513</v>
      </c>
      <c r="I1769" s="6" t="s">
        <v>8590</v>
      </c>
      <c r="J1769" s="6" t="s">
        <v>10447</v>
      </c>
      <c r="K1769" s="6" t="s">
        <v>10886</v>
      </c>
      <c r="L1769" s="16" t="n">
        <v>43816</v>
      </c>
      <c r="M1769" s="16" t="n">
        <v>45277</v>
      </c>
      <c r="N1769" s="6" t="s">
        <v>10886</v>
      </c>
      <c r="O1769" s="16" t="n">
        <v>43816</v>
      </c>
      <c r="P1769" s="6" t="s">
        <v>11031</v>
      </c>
      <c r="Q1769" s="6" t="s">
        <v>81</v>
      </c>
      <c r="R1769" s="6" t="s">
        <v>12930</v>
      </c>
      <c r="S1769" s="6" t="s">
        <v>10886</v>
      </c>
      <c r="T1769" s="16" t="n">
        <v>43816</v>
      </c>
      <c r="U1769" s="6" t="s">
        <v>13708</v>
      </c>
      <c r="V1769" s="6" t="s">
        <v>81</v>
      </c>
      <c r="W1769" s="6" t="s">
        <v>12930</v>
      </c>
      <c r="X1769" s="6" t="s">
        <v>81</v>
      </c>
      <c r="Y1769" s="21" t="s">
        <v>81</v>
      </c>
      <c r="Z1769" s="6" t="s">
        <v>81</v>
      </c>
      <c r="AA1769" s="6" t="s">
        <v>81</v>
      </c>
      <c r="AB1769" s="6" t="s">
        <v>81</v>
      </c>
      <c r="AC1769" s="6" t="s">
        <v>81</v>
      </c>
      <c r="AD1769" s="21" t="s">
        <v>81</v>
      </c>
      <c r="AE1769" s="6" t="s">
        <v>81</v>
      </c>
      <c r="AF1769" s="6" t="s">
        <v>81</v>
      </c>
      <c r="AG1769" s="6" t="s">
        <v>81</v>
      </c>
      <c r="AH1769" s="6" t="s">
        <v>81</v>
      </c>
      <c r="AI1769" s="6" t="s">
        <v>81</v>
      </c>
      <c r="AJ1769" s="6" t="s">
        <v>81</v>
      </c>
      <c r="AK1769" s="6" t="s">
        <v>81</v>
      </c>
      <c r="AL1769" s="6" t="s">
        <v>81</v>
      </c>
      <c r="AM1769" s="6" t="s">
        <v>81</v>
      </c>
      <c r="AN1769" s="6" t="s">
        <v>81</v>
      </c>
      <c r="AO1769" s="6" t="s">
        <v>81</v>
      </c>
      <c r="AP1769" s="6" t="s">
        <v>20325</v>
      </c>
      <c r="AQ1769" s="6" t="s">
        <v>81</v>
      </c>
      <c r="AR1769" s="6" t="s">
        <v>17561</v>
      </c>
      <c r="AS1769" s="6" t="s">
        <v>18386</v>
      </c>
      <c r="AT1769" s="6" t="s">
        <v>18444</v>
      </c>
      <c r="AU1769" s="6" t="s">
        <v>18760</v>
      </c>
      <c r="AV1769" s="6" t="s">
        <v>19674</v>
      </c>
      <c r="AW1769" s="6" t="s">
        <v>19803</v>
      </c>
      <c r="AX1769" s="6" t="s">
        <v>21879</v>
      </c>
      <c r="AY1769" s="6" t="s">
        <v>23181</v>
      </c>
      <c r="AZ1769" s="6" t="s">
        <v>81</v>
      </c>
      <c r="BA1769" s="6" t="s">
        <v>81</v>
      </c>
      <c r="BB1769" s="24" t="n">
        <v>702</v>
      </c>
      <c r="BC1769" s="26"/>
      <c r="BD1769" s="26"/>
      <c r="BE1769" s="26"/>
      <c r="BF1769" s="26"/>
      <c r="BG1769" s="26"/>
      <c r="BH1769" s="26"/>
      <c r="BI1769" s="26"/>
      <c r="BJ1769" s="26"/>
      <c r="BK1769" s="26"/>
      <c r="BL1769" s="26"/>
      <c r="BM1769" s="26"/>
      <c r="BN1769" s="26"/>
      <c r="BO1769" s="26"/>
      <c r="BP1769" s="16" t="n">
        <v>45392</v>
      </c>
      <c r="BQ1769" s="28" t="str">
        <f>HYPERLINK("https://organic.ams.usda.gov/Integrity/Certificate.aspx?cid=63&amp;nopid=6220008035")</f>
        <v>https://organic.ams.usda.gov/Integrity/Certificate.aspx?cid=63&amp;nopid=6220008035</v>
      </c>
    </row>
    <row r="1770">
      <c r="A1770" t="s">
        <v>3</v>
      </c>
      <c r="B1770" s="6" t="s">
        <v>8</v>
      </c>
      <c r="C1770" s="6" t="s">
        <v>55</v>
      </c>
      <c r="D1770" s="6" t="s">
        <v>101</v>
      </c>
      <c r="E1770" s="10" t="s">
        <v>1911</v>
      </c>
      <c r="F1770" s="6" t="s">
        <v>4631</v>
      </c>
      <c r="G1770" s="6" t="s">
        <v>81</v>
      </c>
      <c r="H1770" s="6" t="s">
        <v>7514</v>
      </c>
      <c r="I1770" s="6" t="s">
        <v>8590</v>
      </c>
      <c r="J1770" s="6" t="s">
        <v>10448</v>
      </c>
      <c r="K1770" s="6" t="s">
        <v>10886</v>
      </c>
      <c r="L1770" s="16" t="n">
        <v>37270</v>
      </c>
      <c r="M1770" s="16" t="n">
        <v>45689</v>
      </c>
      <c r="N1770" s="6" t="s">
        <v>10886</v>
      </c>
      <c r="O1770" s="16" t="n">
        <v>37270</v>
      </c>
      <c r="P1770" s="6" t="s">
        <v>11942</v>
      </c>
      <c r="Q1770" s="6" t="s">
        <v>81</v>
      </c>
      <c r="R1770" s="6" t="s">
        <v>7514</v>
      </c>
      <c r="S1770" s="6" t="s">
        <v>10886</v>
      </c>
      <c r="T1770" s="16" t="n">
        <v>37270</v>
      </c>
      <c r="U1770" s="6" t="s">
        <v>13161</v>
      </c>
      <c r="V1770" s="6" t="s">
        <v>81</v>
      </c>
      <c r="W1770" s="6" t="s">
        <v>7514</v>
      </c>
      <c r="X1770" s="6" t="s">
        <v>81</v>
      </c>
      <c r="Y1770" s="21" t="s">
        <v>81</v>
      </c>
      <c r="Z1770" s="6" t="s">
        <v>81</v>
      </c>
      <c r="AA1770" s="6" t="s">
        <v>81</v>
      </c>
      <c r="AB1770" s="6" t="s">
        <v>81</v>
      </c>
      <c r="AC1770" s="6" t="s">
        <v>81</v>
      </c>
      <c r="AD1770" s="21" t="s">
        <v>81</v>
      </c>
      <c r="AE1770" s="6" t="s">
        <v>81</v>
      </c>
      <c r="AF1770" s="6" t="s">
        <v>81</v>
      </c>
      <c r="AG1770" s="6" t="s">
        <v>81</v>
      </c>
      <c r="AH1770" s="6" t="s">
        <v>16330</v>
      </c>
      <c r="AI1770" s="6" t="s">
        <v>81</v>
      </c>
      <c r="AJ1770" s="6" t="s">
        <v>17427</v>
      </c>
      <c r="AK1770" s="6" t="s">
        <v>18377</v>
      </c>
      <c r="AL1770" s="6" t="s">
        <v>18444</v>
      </c>
      <c r="AM1770" s="6" t="s">
        <v>18584</v>
      </c>
      <c r="AN1770" s="6" t="s">
        <v>19634</v>
      </c>
      <c r="AO1770" s="6" t="s">
        <v>19764</v>
      </c>
      <c r="AP1770" s="6" t="s">
        <v>20326</v>
      </c>
      <c r="AQ1770" s="6" t="s">
        <v>81</v>
      </c>
      <c r="AR1770" s="6" t="s">
        <v>17427</v>
      </c>
      <c r="AS1770" s="6" t="s">
        <v>18377</v>
      </c>
      <c r="AT1770" s="6" t="s">
        <v>18444</v>
      </c>
      <c r="AU1770" s="6" t="s">
        <v>18584</v>
      </c>
      <c r="AV1770" s="6" t="s">
        <v>81</v>
      </c>
      <c r="AW1770" s="6" t="s">
        <v>81</v>
      </c>
      <c r="AX1770" s="6" t="s">
        <v>21880</v>
      </c>
      <c r="AY1770" s="6" t="s">
        <v>23182</v>
      </c>
      <c r="AZ1770" s="6" t="s">
        <v>23713</v>
      </c>
      <c r="BA1770" s="6" t="s">
        <v>23819</v>
      </c>
      <c r="BB1770" s="24" t="n">
        <v>89</v>
      </c>
      <c r="BC1770" s="26"/>
      <c r="BD1770" s="26"/>
      <c r="BE1770" s="26"/>
      <c r="BF1770" s="26"/>
      <c r="BG1770" s="26"/>
      <c r="BH1770" s="26"/>
      <c r="BI1770" s="26"/>
      <c r="BJ1770" s="26"/>
      <c r="BK1770" s="26"/>
      <c r="BL1770" s="26"/>
      <c r="BM1770" s="26"/>
      <c r="BN1770" s="26"/>
      <c r="BO1770" s="26"/>
      <c r="BP1770" s="16" t="n">
        <v>45713</v>
      </c>
      <c r="BQ1770" s="28" t="str">
        <f>HYPERLINK("https://organic.ams.usda.gov/Integrity/Certificate.aspx?cid=45&amp;nopid=9950000825")</f>
        <v>https://organic.ams.usda.gov/Integrity/Certificate.aspx?cid=45&amp;nopid=9950000825</v>
      </c>
    </row>
    <row r="1771">
      <c r="A1771" t="s">
        <v>3</v>
      </c>
      <c r="B1771" s="6" t="s">
        <v>8</v>
      </c>
      <c r="C1771" s="6" t="s">
        <v>55</v>
      </c>
      <c r="D1771" s="6" t="s">
        <v>101</v>
      </c>
      <c r="E1771" s="10" t="s">
        <v>1912</v>
      </c>
      <c r="F1771" s="6" t="s">
        <v>4632</v>
      </c>
      <c r="G1771" s="6" t="s">
        <v>5752</v>
      </c>
      <c r="H1771" s="6" t="s">
        <v>7515</v>
      </c>
      <c r="I1771" s="6" t="s">
        <v>8590</v>
      </c>
      <c r="J1771" s="6" t="s">
        <v>9638</v>
      </c>
      <c r="K1771" s="6" t="s">
        <v>10886</v>
      </c>
      <c r="L1771" s="16" t="n">
        <v>39752</v>
      </c>
      <c r="M1771" s="16" t="n">
        <v>45383</v>
      </c>
      <c r="N1771" s="6" t="s">
        <v>10886</v>
      </c>
      <c r="O1771" s="16" t="n">
        <v>39752</v>
      </c>
      <c r="P1771" s="6" t="s">
        <v>11943</v>
      </c>
      <c r="Q1771" s="6" t="s">
        <v>81</v>
      </c>
      <c r="R1771" s="6" t="s">
        <v>7515</v>
      </c>
      <c r="S1771" s="6" t="s">
        <v>10886</v>
      </c>
      <c r="T1771" s="16" t="n">
        <v>42257</v>
      </c>
      <c r="U1771" s="6" t="s">
        <v>13271</v>
      </c>
      <c r="V1771" s="6" t="s">
        <v>81</v>
      </c>
      <c r="W1771" s="6" t="s">
        <v>7515</v>
      </c>
      <c r="X1771" s="6" t="s">
        <v>81</v>
      </c>
      <c r="Y1771" s="21" t="s">
        <v>81</v>
      </c>
      <c r="Z1771" s="6" t="s">
        <v>81</v>
      </c>
      <c r="AA1771" s="6" t="s">
        <v>81</v>
      </c>
      <c r="AB1771" s="6" t="s">
        <v>81</v>
      </c>
      <c r="AC1771" s="6" t="s">
        <v>81</v>
      </c>
      <c r="AD1771" s="21" t="s">
        <v>81</v>
      </c>
      <c r="AE1771" s="6" t="s">
        <v>81</v>
      </c>
      <c r="AF1771" s="6" t="s">
        <v>81</v>
      </c>
      <c r="AG1771" s="6" t="s">
        <v>81</v>
      </c>
      <c r="AH1771" s="6" t="s">
        <v>16331</v>
      </c>
      <c r="AI1771" s="6" t="s">
        <v>81</v>
      </c>
      <c r="AJ1771" s="6" t="s">
        <v>18099</v>
      </c>
      <c r="AK1771" s="6" t="s">
        <v>18377</v>
      </c>
      <c r="AL1771" s="6" t="s">
        <v>18444</v>
      </c>
      <c r="AM1771" s="6" t="s">
        <v>19296</v>
      </c>
      <c r="AN1771" s="6" t="s">
        <v>19634</v>
      </c>
      <c r="AO1771" s="6" t="s">
        <v>19764</v>
      </c>
      <c r="AP1771" s="6" t="s">
        <v>81</v>
      </c>
      <c r="AQ1771" s="6" t="s">
        <v>81</v>
      </c>
      <c r="AR1771" s="6" t="s">
        <v>81</v>
      </c>
      <c r="AS1771" s="6" t="s">
        <v>81</v>
      </c>
      <c r="AT1771" s="6" t="s">
        <v>81</v>
      </c>
      <c r="AU1771" s="6" t="s">
        <v>81</v>
      </c>
      <c r="AV1771" s="6" t="s">
        <v>81</v>
      </c>
      <c r="AW1771" s="6" t="s">
        <v>81</v>
      </c>
      <c r="AX1771" s="6" t="s">
        <v>81</v>
      </c>
      <c r="AY1771" s="6" t="s">
        <v>23183</v>
      </c>
      <c r="AZ1771" s="6" t="s">
        <v>81</v>
      </c>
      <c r="BA1771" s="6" t="s">
        <v>23819</v>
      </c>
      <c r="BB1771" s="24" t="n">
        <v>131</v>
      </c>
      <c r="BC1771" s="26"/>
      <c r="BD1771" s="26"/>
      <c r="BE1771" s="26"/>
      <c r="BF1771" s="26"/>
      <c r="BG1771" s="26"/>
      <c r="BH1771" s="26"/>
      <c r="BI1771" s="26"/>
      <c r="BJ1771" s="26"/>
      <c r="BK1771" s="26"/>
      <c r="BL1771" s="26"/>
      <c r="BM1771" s="26"/>
      <c r="BN1771" s="26"/>
      <c r="BO1771" s="26"/>
      <c r="BP1771" s="16" t="n">
        <v>45615</v>
      </c>
      <c r="BQ1771" s="28" t="str">
        <f>HYPERLINK("https://organic.ams.usda.gov/Integrity/Certificate.aspx?cid=45&amp;nopid=9950003265")</f>
        <v>https://organic.ams.usda.gov/Integrity/Certificate.aspx?cid=45&amp;nopid=9950003265</v>
      </c>
    </row>
    <row r="1772">
      <c r="A1772" t="s">
        <v>3</v>
      </c>
      <c r="B1772" s="6" t="s">
        <v>7</v>
      </c>
      <c r="C1772" s="6" t="s">
        <v>54</v>
      </c>
      <c r="D1772" s="6" t="s">
        <v>100</v>
      </c>
      <c r="E1772" s="10" t="s">
        <v>1913</v>
      </c>
      <c r="F1772" s="6" t="s">
        <v>4633</v>
      </c>
      <c r="G1772" s="6" t="s">
        <v>81</v>
      </c>
      <c r="H1772" s="6" t="s">
        <v>7516</v>
      </c>
      <c r="I1772" s="6" t="s">
        <v>9277</v>
      </c>
      <c r="J1772" s="6" t="s">
        <v>9770</v>
      </c>
      <c r="K1772" s="6" t="s">
        <v>10886</v>
      </c>
      <c r="L1772" s="16" t="n">
        <v>40046</v>
      </c>
      <c r="M1772" s="16" t="n">
        <v>45716</v>
      </c>
      <c r="N1772" s="6" t="s">
        <v>10886</v>
      </c>
      <c r="O1772" s="16" t="n">
        <v>40046</v>
      </c>
      <c r="P1772" s="6" t="s">
        <v>11532</v>
      </c>
      <c r="Q1772" s="6" t="s">
        <v>81</v>
      </c>
      <c r="R1772" s="6" t="s">
        <v>81</v>
      </c>
      <c r="S1772" s="6" t="s">
        <v>10886</v>
      </c>
      <c r="T1772" s="16" t="n">
        <v>40046</v>
      </c>
      <c r="U1772" s="6" t="s">
        <v>13169</v>
      </c>
      <c r="V1772" s="6" t="s">
        <v>81</v>
      </c>
      <c r="W1772" s="6" t="s">
        <v>81</v>
      </c>
      <c r="X1772" s="6" t="s">
        <v>81</v>
      </c>
      <c r="Y1772" s="21" t="s">
        <v>81</v>
      </c>
      <c r="Z1772" s="6" t="s">
        <v>81</v>
      </c>
      <c r="AA1772" s="6" t="s">
        <v>81</v>
      </c>
      <c r="AB1772" s="6" t="s">
        <v>81</v>
      </c>
      <c r="AC1772" s="6" t="s">
        <v>81</v>
      </c>
      <c r="AD1772" s="21" t="s">
        <v>81</v>
      </c>
      <c r="AE1772" s="6" t="s">
        <v>81</v>
      </c>
      <c r="AF1772" s="6" t="s">
        <v>81</v>
      </c>
      <c r="AG1772" s="6" t="s">
        <v>81</v>
      </c>
      <c r="AH1772" s="6" t="s">
        <v>16332</v>
      </c>
      <c r="AI1772" s="6" t="s">
        <v>81</v>
      </c>
      <c r="AJ1772" s="6" t="s">
        <v>17454</v>
      </c>
      <c r="AK1772" s="6" t="s">
        <v>17712</v>
      </c>
      <c r="AL1772" s="6" t="s">
        <v>18444</v>
      </c>
      <c r="AM1772" s="6" t="s">
        <v>7228</v>
      </c>
      <c r="AN1772" s="6" t="s">
        <v>19661</v>
      </c>
      <c r="AO1772" s="6" t="s">
        <v>19841</v>
      </c>
      <c r="AP1772" s="6" t="s">
        <v>16332</v>
      </c>
      <c r="AQ1772" s="6" t="s">
        <v>81</v>
      </c>
      <c r="AR1772" s="6" t="s">
        <v>17454</v>
      </c>
      <c r="AS1772" s="6" t="s">
        <v>17712</v>
      </c>
      <c r="AT1772" s="6" t="s">
        <v>18444</v>
      </c>
      <c r="AU1772" s="6" t="s">
        <v>7228</v>
      </c>
      <c r="AV1772" s="6" t="s">
        <v>81</v>
      </c>
      <c r="AW1772" s="6" t="s">
        <v>81</v>
      </c>
      <c r="AX1772" s="6" t="s">
        <v>21881</v>
      </c>
      <c r="AY1772" s="6" t="s">
        <v>81</v>
      </c>
      <c r="AZ1772" s="6" t="s">
        <v>81</v>
      </c>
      <c r="BA1772" s="6" t="s">
        <v>81</v>
      </c>
      <c r="BB1772" s="24" t="n">
        <v>176</v>
      </c>
      <c r="BC1772" s="26"/>
      <c r="BD1772" s="26"/>
      <c r="BE1772" s="26"/>
      <c r="BF1772" s="26" t="s">
        <v>23900</v>
      </c>
      <c r="BG1772" s="26"/>
      <c r="BH1772" s="26"/>
      <c r="BI1772" s="26"/>
      <c r="BJ1772" s="26"/>
      <c r="BK1772" s="26"/>
      <c r="BL1772" s="26"/>
      <c r="BM1772" s="26"/>
      <c r="BN1772" s="26"/>
      <c r="BO1772" s="26"/>
      <c r="BP1772" s="16" t="n">
        <v>45700</v>
      </c>
      <c r="BQ1772" s="28" t="str">
        <f>HYPERLINK("https://organic.ams.usda.gov/Integrity/Certificate.aspx?cid=57&amp;nopid=3252009016")</f>
        <v>https://organic.ams.usda.gov/Integrity/Certificate.aspx?cid=57&amp;nopid=3252009016</v>
      </c>
    </row>
    <row r="1773">
      <c r="A1773" t="s">
        <v>3</v>
      </c>
      <c r="B1773" s="6" t="s">
        <v>9</v>
      </c>
      <c r="C1773" s="6" t="s">
        <v>56</v>
      </c>
      <c r="D1773" s="6" t="s">
        <v>102</v>
      </c>
      <c r="E1773" s="10" t="s">
        <v>1914</v>
      </c>
      <c r="F1773" s="6" t="s">
        <v>4634</v>
      </c>
      <c r="G1773" s="6" t="s">
        <v>81</v>
      </c>
      <c r="H1773" s="6" t="s">
        <v>7517</v>
      </c>
      <c r="I1773" s="6" t="s">
        <v>9278</v>
      </c>
      <c r="J1773" s="6" t="s">
        <v>9665</v>
      </c>
      <c r="K1773" s="6" t="s">
        <v>10886</v>
      </c>
      <c r="L1773" s="16" t="n">
        <v>41477</v>
      </c>
      <c r="M1773" s="16" t="n">
        <v>46113</v>
      </c>
      <c r="N1773" s="6" t="s">
        <v>10886</v>
      </c>
      <c r="O1773" s="16" t="n">
        <v>41477</v>
      </c>
      <c r="P1773" s="6" t="s">
        <v>11944</v>
      </c>
      <c r="Q1773" s="6" t="s">
        <v>81</v>
      </c>
      <c r="R1773" s="6" t="s">
        <v>12931</v>
      </c>
      <c r="S1773" s="6" t="s">
        <v>10886</v>
      </c>
      <c r="T1773" s="16" t="n">
        <v>41477</v>
      </c>
      <c r="U1773" s="6" t="s">
        <v>13709</v>
      </c>
      <c r="V1773" s="6" t="s">
        <v>81</v>
      </c>
      <c r="W1773" s="6" t="s">
        <v>12931</v>
      </c>
      <c r="X1773" s="6" t="s">
        <v>81</v>
      </c>
      <c r="Y1773" s="21" t="s">
        <v>81</v>
      </c>
      <c r="Z1773" s="6" t="s">
        <v>81</v>
      </c>
      <c r="AA1773" s="6" t="s">
        <v>81</v>
      </c>
      <c r="AB1773" s="6" t="s">
        <v>81</v>
      </c>
      <c r="AC1773" s="6" t="s">
        <v>81</v>
      </c>
      <c r="AD1773" s="21" t="s">
        <v>81</v>
      </c>
      <c r="AE1773" s="6" t="s">
        <v>81</v>
      </c>
      <c r="AF1773" s="6" t="s">
        <v>81</v>
      </c>
      <c r="AG1773" s="6" t="s">
        <v>81</v>
      </c>
      <c r="AH1773" s="6" t="s">
        <v>16333</v>
      </c>
      <c r="AI1773" s="6" t="s">
        <v>81</v>
      </c>
      <c r="AJ1773" s="6" t="s">
        <v>9295</v>
      </c>
      <c r="AK1773" s="6" t="s">
        <v>18377</v>
      </c>
      <c r="AL1773" s="6" t="s">
        <v>18444</v>
      </c>
      <c r="AM1773" s="6" t="s">
        <v>19297</v>
      </c>
      <c r="AN1773" s="6" t="s">
        <v>19669</v>
      </c>
      <c r="AO1773" s="6" t="s">
        <v>19913</v>
      </c>
      <c r="AP1773" s="6" t="s">
        <v>81</v>
      </c>
      <c r="AQ1773" s="6" t="s">
        <v>81</v>
      </c>
      <c r="AR1773" s="6" t="s">
        <v>81</v>
      </c>
      <c r="AS1773" s="6" t="s">
        <v>81</v>
      </c>
      <c r="AT1773" s="6" t="s">
        <v>81</v>
      </c>
      <c r="AU1773" s="6" t="s">
        <v>81</v>
      </c>
      <c r="AV1773" s="6" t="s">
        <v>81</v>
      </c>
      <c r="AW1773" s="6" t="s">
        <v>81</v>
      </c>
      <c r="AX1773" s="6" t="s">
        <v>21882</v>
      </c>
      <c r="AY1773" s="6" t="s">
        <v>23144</v>
      </c>
      <c r="AZ1773" s="6" t="s">
        <v>81</v>
      </c>
      <c r="BA1773" s="6" t="s">
        <v>81</v>
      </c>
      <c r="BB1773" s="24" t="n">
        <v>369</v>
      </c>
      <c r="BC1773" s="26"/>
      <c r="BD1773" s="26"/>
      <c r="BE1773" s="26"/>
      <c r="BF1773" s="26"/>
      <c r="BG1773" s="26"/>
      <c r="BH1773" s="26"/>
      <c r="BI1773" s="26"/>
      <c r="BJ1773" s="26"/>
      <c r="BK1773" s="26"/>
      <c r="BL1773" s="26"/>
      <c r="BM1773" s="26"/>
      <c r="BN1773" s="26"/>
      <c r="BO1773" s="26"/>
      <c r="BP1773" s="16" t="n">
        <v>45738</v>
      </c>
      <c r="BQ1773" s="28" t="str">
        <f>HYPERLINK("https://organic.ams.usda.gov/Integrity/Certificate.aspx?cid=52&amp;nopid=8431300505")</f>
        <v>https://organic.ams.usda.gov/Integrity/Certificate.aspx?cid=52&amp;nopid=8431300505</v>
      </c>
    </row>
    <row r="1774">
      <c r="A1774" t="s">
        <v>3</v>
      </c>
      <c r="B1774" s="6" t="s">
        <v>9</v>
      </c>
      <c r="C1774" s="6" t="s">
        <v>56</v>
      </c>
      <c r="D1774" s="6" t="s">
        <v>102</v>
      </c>
      <c r="E1774" s="10" t="s">
        <v>1915</v>
      </c>
      <c r="F1774" s="6" t="s">
        <v>4635</v>
      </c>
      <c r="G1774" s="6" t="s">
        <v>81</v>
      </c>
      <c r="H1774" s="6" t="s">
        <v>7518</v>
      </c>
      <c r="I1774" s="6" t="s">
        <v>9278</v>
      </c>
      <c r="J1774" s="6" t="s">
        <v>10364</v>
      </c>
      <c r="K1774" s="6" t="s">
        <v>10886</v>
      </c>
      <c r="L1774" s="16" t="n">
        <v>41747</v>
      </c>
      <c r="M1774" s="16" t="n">
        <v>45748</v>
      </c>
      <c r="N1774" s="6" t="s">
        <v>10886</v>
      </c>
      <c r="O1774" s="16" t="n">
        <v>41747</v>
      </c>
      <c r="P1774" s="6" t="s">
        <v>11945</v>
      </c>
      <c r="Q1774" s="6" t="s">
        <v>81</v>
      </c>
      <c r="R1774" s="6" t="s">
        <v>12932</v>
      </c>
      <c r="S1774" s="6" t="s">
        <v>10886</v>
      </c>
      <c r="T1774" s="16" t="n">
        <v>41747</v>
      </c>
      <c r="U1774" s="6" t="s">
        <v>13710</v>
      </c>
      <c r="V1774" s="6" t="s">
        <v>81</v>
      </c>
      <c r="W1774" s="6" t="s">
        <v>12932</v>
      </c>
      <c r="X1774" s="6" t="s">
        <v>81</v>
      </c>
      <c r="Y1774" s="21" t="s">
        <v>81</v>
      </c>
      <c r="Z1774" s="6" t="s">
        <v>81</v>
      </c>
      <c r="AA1774" s="6" t="s">
        <v>81</v>
      </c>
      <c r="AB1774" s="6" t="s">
        <v>81</v>
      </c>
      <c r="AC1774" s="6" t="s">
        <v>81</v>
      </c>
      <c r="AD1774" s="21" t="s">
        <v>81</v>
      </c>
      <c r="AE1774" s="6" t="s">
        <v>81</v>
      </c>
      <c r="AF1774" s="6" t="s">
        <v>81</v>
      </c>
      <c r="AG1774" s="6" t="s">
        <v>81</v>
      </c>
      <c r="AH1774" s="6" t="s">
        <v>16334</v>
      </c>
      <c r="AI1774" s="6" t="s">
        <v>81</v>
      </c>
      <c r="AJ1774" s="6" t="s">
        <v>17426</v>
      </c>
      <c r="AK1774" s="6" t="s">
        <v>18384</v>
      </c>
      <c r="AL1774" s="6" t="s">
        <v>18444</v>
      </c>
      <c r="AM1774" s="6" t="s">
        <v>18583</v>
      </c>
      <c r="AN1774" s="6" t="s">
        <v>19690</v>
      </c>
      <c r="AO1774" s="6" t="s">
        <v>19852</v>
      </c>
      <c r="AP1774" s="6" t="s">
        <v>81</v>
      </c>
      <c r="AQ1774" s="6" t="s">
        <v>81</v>
      </c>
      <c r="AR1774" s="6" t="s">
        <v>81</v>
      </c>
      <c r="AS1774" s="6" t="s">
        <v>81</v>
      </c>
      <c r="AT1774" s="6" t="s">
        <v>81</v>
      </c>
      <c r="AU1774" s="6" t="s">
        <v>81</v>
      </c>
      <c r="AV1774" s="6" t="s">
        <v>81</v>
      </c>
      <c r="AW1774" s="6" t="s">
        <v>81</v>
      </c>
      <c r="AX1774" s="6" t="s">
        <v>81</v>
      </c>
      <c r="AY1774" s="6" t="s">
        <v>81</v>
      </c>
      <c r="AZ1774" s="6" t="s">
        <v>81</v>
      </c>
      <c r="BA1774" s="6" t="s">
        <v>81</v>
      </c>
      <c r="BB1774" s="24" t="n">
        <v>96</v>
      </c>
      <c r="BC1774" s="26"/>
      <c r="BD1774" s="26"/>
      <c r="BE1774" s="26"/>
      <c r="BF1774" s="26"/>
      <c r="BG1774" s="26"/>
      <c r="BH1774" s="26"/>
      <c r="BI1774" s="26"/>
      <c r="BJ1774" s="26"/>
      <c r="BK1774" s="26"/>
      <c r="BL1774" s="26"/>
      <c r="BM1774" s="26"/>
      <c r="BN1774" s="26"/>
      <c r="BO1774" s="26"/>
      <c r="BP1774" s="16" t="n">
        <v>45738</v>
      </c>
      <c r="BQ1774" s="28" t="str">
        <f>HYPERLINK("https://organic.ams.usda.gov/Integrity/Certificate.aspx?cid=52&amp;nopid=8431400660")</f>
        <v>https://organic.ams.usda.gov/Integrity/Certificate.aspx?cid=52&amp;nopid=8431400660</v>
      </c>
    </row>
    <row r="1775">
      <c r="A1775" t="s">
        <v>3</v>
      </c>
      <c r="B1775" s="6" t="s">
        <v>24</v>
      </c>
      <c r="C1775" s="6" t="s">
        <v>71</v>
      </c>
      <c r="D1775" s="6" t="s">
        <v>117</v>
      </c>
      <c r="E1775" s="10" t="s">
        <v>1916</v>
      </c>
      <c r="F1775" s="6" t="s">
        <v>4636</v>
      </c>
      <c r="G1775" s="6" t="s">
        <v>81</v>
      </c>
      <c r="H1775" s="6" t="s">
        <v>81</v>
      </c>
      <c r="I1775" s="6" t="s">
        <v>9279</v>
      </c>
      <c r="J1775" s="6" t="s">
        <v>10449</v>
      </c>
      <c r="K1775" s="6" t="s">
        <v>10886</v>
      </c>
      <c r="L1775" s="16" t="n">
        <v>44750</v>
      </c>
      <c r="M1775" s="16" t="n">
        <v>45901</v>
      </c>
      <c r="N1775" s="6" t="s">
        <v>81</v>
      </c>
      <c r="O1775" s="21" t="s">
        <v>81</v>
      </c>
      <c r="P1775" s="6" t="s">
        <v>81</v>
      </c>
      <c r="Q1775" s="6" t="s">
        <v>81</v>
      </c>
      <c r="R1775" s="6" t="s">
        <v>81</v>
      </c>
      <c r="S1775" s="6" t="s">
        <v>81</v>
      </c>
      <c r="T1775" s="21" t="s">
        <v>81</v>
      </c>
      <c r="U1775" s="6" t="s">
        <v>81</v>
      </c>
      <c r="V1775" s="6" t="s">
        <v>81</v>
      </c>
      <c r="W1775" s="6" t="s">
        <v>81</v>
      </c>
      <c r="X1775" s="6" t="s">
        <v>81</v>
      </c>
      <c r="Y1775" s="21" t="s">
        <v>81</v>
      </c>
      <c r="Z1775" s="6" t="s">
        <v>81</v>
      </c>
      <c r="AA1775" s="6" t="s">
        <v>81</v>
      </c>
      <c r="AB1775" s="6" t="s">
        <v>81</v>
      </c>
      <c r="AC1775" s="6" t="s">
        <v>10886</v>
      </c>
      <c r="AD1775" s="16" t="n">
        <v>44750</v>
      </c>
      <c r="AE1775" s="6" t="s">
        <v>14307</v>
      </c>
      <c r="AF1775" s="6" t="s">
        <v>81</v>
      </c>
      <c r="AG1775" s="6" t="s">
        <v>81</v>
      </c>
      <c r="AH1775" s="6" t="s">
        <v>16335</v>
      </c>
      <c r="AI1775" s="6" t="s">
        <v>81</v>
      </c>
      <c r="AJ1775" s="6" t="s">
        <v>18100</v>
      </c>
      <c r="AK1775" s="6" t="s">
        <v>18413</v>
      </c>
      <c r="AL1775" s="6" t="s">
        <v>18444</v>
      </c>
      <c r="AM1775" s="6" t="s">
        <v>19298</v>
      </c>
      <c r="AN1775" s="6" t="s">
        <v>19682</v>
      </c>
      <c r="AO1775" s="6" t="s">
        <v>20016</v>
      </c>
      <c r="AP1775" s="6" t="s">
        <v>16335</v>
      </c>
      <c r="AQ1775" s="6" t="s">
        <v>81</v>
      </c>
      <c r="AR1775" s="6" t="s">
        <v>18100</v>
      </c>
      <c r="AS1775" s="6" t="s">
        <v>18413</v>
      </c>
      <c r="AT1775" s="6" t="s">
        <v>18444</v>
      </c>
      <c r="AU1775" s="6" t="s">
        <v>19298</v>
      </c>
      <c r="AV1775" s="6" t="s">
        <v>81</v>
      </c>
      <c r="AW1775" s="6" t="s">
        <v>81</v>
      </c>
      <c r="AX1775" s="6" t="s">
        <v>81</v>
      </c>
      <c r="AY1775" s="6" t="s">
        <v>23184</v>
      </c>
      <c r="AZ1775" s="6" t="s">
        <v>81</v>
      </c>
      <c r="BA1775" s="6" t="s">
        <v>81</v>
      </c>
      <c r="BB1775" s="6" t="s">
        <v>81</v>
      </c>
      <c r="BC1775" s="26"/>
      <c r="BD1775" s="26"/>
      <c r="BE1775" s="26"/>
      <c r="BF1775" s="26"/>
      <c r="BG1775" s="26"/>
      <c r="BH1775" s="26"/>
      <c r="BI1775" s="26"/>
      <c r="BJ1775" s="26"/>
      <c r="BK1775" s="26"/>
      <c r="BL1775" s="26"/>
      <c r="BM1775" s="26"/>
      <c r="BN1775" s="26"/>
      <c r="BO1775" s="26"/>
      <c r="BP1775" s="16" t="n">
        <v>45628</v>
      </c>
      <c r="BQ1775" s="28" t="str">
        <f>HYPERLINK("https://organic.ams.usda.gov/Integrity/Certificate.aspx?cid=1&amp;nopid=9092206701")</f>
        <v>https://organic.ams.usda.gov/Integrity/Certificate.aspx?cid=1&amp;nopid=9092206701</v>
      </c>
    </row>
    <row r="1776">
      <c r="A1776" t="s">
        <v>3</v>
      </c>
      <c r="B1776" s="6" t="s">
        <v>29</v>
      </c>
      <c r="C1776" s="6" t="s">
        <v>76</v>
      </c>
      <c r="D1776" s="6" t="s">
        <v>122</v>
      </c>
      <c r="E1776" s="10" t="s">
        <v>1917</v>
      </c>
      <c r="F1776" s="6" t="s">
        <v>4637</v>
      </c>
      <c r="G1776" s="6" t="s">
        <v>5753</v>
      </c>
      <c r="H1776" s="6" t="s">
        <v>7519</v>
      </c>
      <c r="I1776" s="6" t="s">
        <v>9280</v>
      </c>
      <c r="J1776" s="6" t="s">
        <v>9665</v>
      </c>
      <c r="K1776" s="6" t="s">
        <v>10886</v>
      </c>
      <c r="L1776" s="16" t="n">
        <v>41543</v>
      </c>
      <c r="M1776" s="16" t="n">
        <v>45505</v>
      </c>
      <c r="N1776" s="6" t="s">
        <v>10886</v>
      </c>
      <c r="O1776" s="16" t="n">
        <v>41543</v>
      </c>
      <c r="P1776" s="6" t="s">
        <v>11946</v>
      </c>
      <c r="Q1776" s="6" t="s">
        <v>81</v>
      </c>
      <c r="R1776" s="6" t="s">
        <v>12933</v>
      </c>
      <c r="S1776" s="6" t="s">
        <v>10886</v>
      </c>
      <c r="T1776" s="16" t="n">
        <v>41543</v>
      </c>
      <c r="U1776" s="6" t="s">
        <v>13222</v>
      </c>
      <c r="V1776" s="6" t="s">
        <v>81</v>
      </c>
      <c r="W1776" s="6" t="s">
        <v>12933</v>
      </c>
      <c r="X1776" s="6" t="s">
        <v>81</v>
      </c>
      <c r="Y1776" s="21" t="s">
        <v>81</v>
      </c>
      <c r="Z1776" s="6" t="s">
        <v>81</v>
      </c>
      <c r="AA1776" s="6" t="s">
        <v>81</v>
      </c>
      <c r="AB1776" s="6" t="s">
        <v>81</v>
      </c>
      <c r="AC1776" s="6" t="s">
        <v>81</v>
      </c>
      <c r="AD1776" s="21" t="s">
        <v>81</v>
      </c>
      <c r="AE1776" s="6" t="s">
        <v>81</v>
      </c>
      <c r="AF1776" s="6" t="s">
        <v>81</v>
      </c>
      <c r="AG1776" s="6" t="s">
        <v>81</v>
      </c>
      <c r="AH1776" s="6" t="s">
        <v>16336</v>
      </c>
      <c r="AI1776" s="6" t="s">
        <v>81</v>
      </c>
      <c r="AJ1776" s="6" t="s">
        <v>17820</v>
      </c>
      <c r="AK1776" s="6" t="s">
        <v>18391</v>
      </c>
      <c r="AL1776" s="6" t="s">
        <v>18444</v>
      </c>
      <c r="AM1776" s="6" t="s">
        <v>18999</v>
      </c>
      <c r="AN1776" s="6" t="s">
        <v>5924</v>
      </c>
      <c r="AO1776" s="6" t="s">
        <v>19796</v>
      </c>
      <c r="AP1776" s="6" t="s">
        <v>81</v>
      </c>
      <c r="AQ1776" s="6" t="s">
        <v>81</v>
      </c>
      <c r="AR1776" s="6" t="s">
        <v>81</v>
      </c>
      <c r="AS1776" s="6" t="s">
        <v>81</v>
      </c>
      <c r="AT1776" s="6" t="s">
        <v>81</v>
      </c>
      <c r="AU1776" s="6" t="s">
        <v>81</v>
      </c>
      <c r="AV1776" s="6" t="s">
        <v>81</v>
      </c>
      <c r="AW1776" s="6" t="s">
        <v>81</v>
      </c>
      <c r="AX1776" s="6" t="s">
        <v>81</v>
      </c>
      <c r="AY1776" s="6" t="s">
        <v>81</v>
      </c>
      <c r="AZ1776" s="6" t="s">
        <v>81</v>
      </c>
      <c r="BA1776" s="6" t="s">
        <v>81</v>
      </c>
      <c r="BB1776" s="24" t="n">
        <v>115</v>
      </c>
      <c r="BC1776" s="26"/>
      <c r="BD1776" s="26"/>
      <c r="BE1776" s="26"/>
      <c r="BF1776" s="26" t="s">
        <v>23900</v>
      </c>
      <c r="BG1776" s="26"/>
      <c r="BH1776" s="26"/>
      <c r="BI1776" s="26"/>
      <c r="BJ1776" s="26"/>
      <c r="BK1776" s="26"/>
      <c r="BL1776" s="26"/>
      <c r="BM1776" s="26"/>
      <c r="BN1776" s="26"/>
      <c r="BO1776" s="26"/>
      <c r="BP1776" s="16" t="n">
        <v>45737</v>
      </c>
      <c r="BQ1776" s="28" t="str">
        <f>HYPERLINK("https://organic.ams.usda.gov/Integrity/Certificate.aspx?cid=31&amp;nopid=3928971332")</f>
        <v>https://organic.ams.usda.gov/Integrity/Certificate.aspx?cid=31&amp;nopid=3928971332</v>
      </c>
    </row>
    <row r="1777">
      <c r="A1777" t="s">
        <v>3</v>
      </c>
      <c r="B1777" s="6" t="s">
        <v>7</v>
      </c>
      <c r="C1777" s="6" t="s">
        <v>54</v>
      </c>
      <c r="D1777" s="6" t="s">
        <v>100</v>
      </c>
      <c r="E1777" s="10" t="s">
        <v>1918</v>
      </c>
      <c r="F1777" s="6" t="s">
        <v>4638</v>
      </c>
      <c r="G1777" s="6" t="s">
        <v>81</v>
      </c>
      <c r="H1777" s="6" t="s">
        <v>7520</v>
      </c>
      <c r="I1777" s="6" t="s">
        <v>8866</v>
      </c>
      <c r="J1777" s="6" t="s">
        <v>9665</v>
      </c>
      <c r="K1777" s="6" t="s">
        <v>10886</v>
      </c>
      <c r="L1777" s="16" t="n">
        <v>42145</v>
      </c>
      <c r="M1777" s="16" t="n">
        <v>45716</v>
      </c>
      <c r="N1777" s="6" t="s">
        <v>10886</v>
      </c>
      <c r="O1777" s="16" t="n">
        <v>42145</v>
      </c>
      <c r="P1777" s="6" t="s">
        <v>11947</v>
      </c>
      <c r="Q1777" s="6" t="s">
        <v>81</v>
      </c>
      <c r="R1777" s="6" t="s">
        <v>81</v>
      </c>
      <c r="S1777" s="6" t="s">
        <v>10886</v>
      </c>
      <c r="T1777" s="16" t="n">
        <v>42177</v>
      </c>
      <c r="U1777" s="6" t="s">
        <v>13169</v>
      </c>
      <c r="V1777" s="6" t="s">
        <v>81</v>
      </c>
      <c r="W1777" s="6" t="s">
        <v>81</v>
      </c>
      <c r="X1777" s="6" t="s">
        <v>81</v>
      </c>
      <c r="Y1777" s="21" t="s">
        <v>81</v>
      </c>
      <c r="Z1777" s="6" t="s">
        <v>81</v>
      </c>
      <c r="AA1777" s="6" t="s">
        <v>81</v>
      </c>
      <c r="AB1777" s="6" t="s">
        <v>81</v>
      </c>
      <c r="AC1777" s="6" t="s">
        <v>81</v>
      </c>
      <c r="AD1777" s="21" t="s">
        <v>81</v>
      </c>
      <c r="AE1777" s="6" t="s">
        <v>81</v>
      </c>
      <c r="AF1777" s="6" t="s">
        <v>81</v>
      </c>
      <c r="AG1777" s="6" t="s">
        <v>81</v>
      </c>
      <c r="AH1777" s="6" t="s">
        <v>16337</v>
      </c>
      <c r="AI1777" s="6" t="s">
        <v>81</v>
      </c>
      <c r="AJ1777" s="6" t="s">
        <v>17717</v>
      </c>
      <c r="AK1777" s="6" t="s">
        <v>17712</v>
      </c>
      <c r="AL1777" s="6" t="s">
        <v>18444</v>
      </c>
      <c r="AM1777" s="6" t="s">
        <v>18884</v>
      </c>
      <c r="AN1777" s="6" t="s">
        <v>7195</v>
      </c>
      <c r="AO1777" s="6" t="s">
        <v>19735</v>
      </c>
      <c r="AP1777" s="6" t="s">
        <v>16337</v>
      </c>
      <c r="AQ1777" s="6" t="s">
        <v>81</v>
      </c>
      <c r="AR1777" s="6" t="s">
        <v>17717</v>
      </c>
      <c r="AS1777" s="6" t="s">
        <v>17712</v>
      </c>
      <c r="AT1777" s="6" t="s">
        <v>18444</v>
      </c>
      <c r="AU1777" s="6" t="s">
        <v>18884</v>
      </c>
      <c r="AV1777" s="6" t="s">
        <v>81</v>
      </c>
      <c r="AW1777" s="6" t="s">
        <v>81</v>
      </c>
      <c r="AX1777" s="6" t="s">
        <v>21883</v>
      </c>
      <c r="AY1777" s="6" t="s">
        <v>81</v>
      </c>
      <c r="AZ1777" s="6" t="s">
        <v>81</v>
      </c>
      <c r="BA1777" s="6" t="s">
        <v>81</v>
      </c>
      <c r="BB1777" s="24" t="n">
        <v>198</v>
      </c>
      <c r="BC1777" s="26"/>
      <c r="BD1777" s="26"/>
      <c r="BE1777" s="26"/>
      <c r="BF1777" s="26" t="s">
        <v>23900</v>
      </c>
      <c r="BG1777" s="26"/>
      <c r="BH1777" s="26"/>
      <c r="BI1777" s="26"/>
      <c r="BJ1777" s="26"/>
      <c r="BK1777" s="26"/>
      <c r="BL1777" s="26"/>
      <c r="BM1777" s="26"/>
      <c r="BN1777" s="26"/>
      <c r="BO1777" s="26"/>
      <c r="BP1777" s="16" t="n">
        <v>45656</v>
      </c>
      <c r="BQ1777" s="28" t="str">
        <f>HYPERLINK("https://organic.ams.usda.gov/Integrity/Certificate.aspx?cid=57&amp;nopid=3252015026")</f>
        <v>https://organic.ams.usda.gov/Integrity/Certificate.aspx?cid=57&amp;nopid=3252015026</v>
      </c>
    </row>
    <row r="1778">
      <c r="A1778" t="s">
        <v>3</v>
      </c>
      <c r="B1778" s="6" t="s">
        <v>11</v>
      </c>
      <c r="C1778" s="6" t="s">
        <v>58</v>
      </c>
      <c r="D1778" s="6" t="s">
        <v>104</v>
      </c>
      <c r="E1778" s="10" t="s">
        <v>1919</v>
      </c>
      <c r="F1778" s="6" t="s">
        <v>4639</v>
      </c>
      <c r="G1778" s="6" t="s">
        <v>81</v>
      </c>
      <c r="H1778" s="6" t="s">
        <v>81</v>
      </c>
      <c r="I1778" s="6" t="s">
        <v>9281</v>
      </c>
      <c r="J1778" s="6" t="s">
        <v>9665</v>
      </c>
      <c r="K1778" s="6" t="s">
        <v>10886</v>
      </c>
      <c r="L1778" s="16" t="n">
        <v>42916</v>
      </c>
      <c r="M1778" s="16" t="n">
        <v>45383</v>
      </c>
      <c r="N1778" s="6" t="s">
        <v>10886</v>
      </c>
      <c r="O1778" s="16" t="n">
        <v>42916</v>
      </c>
      <c r="P1778" s="6" t="s">
        <v>10982</v>
      </c>
      <c r="Q1778" s="6" t="s">
        <v>81</v>
      </c>
      <c r="R1778" s="6" t="s">
        <v>81</v>
      </c>
      <c r="S1778" s="6" t="s">
        <v>10886</v>
      </c>
      <c r="T1778" s="16" t="n">
        <v>42916</v>
      </c>
      <c r="U1778" s="6" t="s">
        <v>13711</v>
      </c>
      <c r="V1778" s="6" t="s">
        <v>81</v>
      </c>
      <c r="W1778" s="6" t="s">
        <v>81</v>
      </c>
      <c r="X1778" s="6" t="s">
        <v>81</v>
      </c>
      <c r="Y1778" s="21" t="s">
        <v>81</v>
      </c>
      <c r="Z1778" s="6" t="s">
        <v>81</v>
      </c>
      <c r="AA1778" s="6" t="s">
        <v>81</v>
      </c>
      <c r="AB1778" s="6" t="s">
        <v>81</v>
      </c>
      <c r="AC1778" s="6" t="s">
        <v>81</v>
      </c>
      <c r="AD1778" s="21" t="s">
        <v>81</v>
      </c>
      <c r="AE1778" s="6" t="s">
        <v>81</v>
      </c>
      <c r="AF1778" s="6" t="s">
        <v>81</v>
      </c>
      <c r="AG1778" s="6" t="s">
        <v>81</v>
      </c>
      <c r="AH1778" s="6" t="s">
        <v>16338</v>
      </c>
      <c r="AI1778" s="6" t="s">
        <v>81</v>
      </c>
      <c r="AJ1778" s="6" t="s">
        <v>18101</v>
      </c>
      <c r="AK1778" s="6" t="s">
        <v>18381</v>
      </c>
      <c r="AL1778" s="6" t="s">
        <v>18444</v>
      </c>
      <c r="AM1778" s="6" t="s">
        <v>19299</v>
      </c>
      <c r="AN1778" s="6" t="s">
        <v>19676</v>
      </c>
      <c r="AO1778" s="6" t="s">
        <v>19797</v>
      </c>
      <c r="AP1778" s="6" t="s">
        <v>16338</v>
      </c>
      <c r="AQ1778" s="6" t="s">
        <v>81</v>
      </c>
      <c r="AR1778" s="6" t="s">
        <v>18101</v>
      </c>
      <c r="AS1778" s="6" t="s">
        <v>18381</v>
      </c>
      <c r="AT1778" s="6" t="s">
        <v>18444</v>
      </c>
      <c r="AU1778" s="6" t="s">
        <v>19299</v>
      </c>
      <c r="AV1778" s="6" t="s">
        <v>81</v>
      </c>
      <c r="AW1778" s="6" t="s">
        <v>81</v>
      </c>
      <c r="AX1778" s="6" t="s">
        <v>81</v>
      </c>
      <c r="AY1778" s="6" t="s">
        <v>81</v>
      </c>
      <c r="AZ1778" s="6" t="s">
        <v>81</v>
      </c>
      <c r="BA1778" s="6" t="s">
        <v>81</v>
      </c>
      <c r="BB1778" s="24" t="n">
        <v>28</v>
      </c>
      <c r="BC1778" s="26"/>
      <c r="BD1778" s="26"/>
      <c r="BE1778" s="26"/>
      <c r="BF1778" s="26"/>
      <c r="BG1778" s="26"/>
      <c r="BH1778" s="26"/>
      <c r="BI1778" s="26"/>
      <c r="BJ1778" s="26"/>
      <c r="BK1778" s="26"/>
      <c r="BL1778" s="26"/>
      <c r="BM1778" s="26"/>
      <c r="BN1778" s="26"/>
      <c r="BO1778" s="26"/>
      <c r="BP1778" s="16" t="n">
        <v>45443</v>
      </c>
      <c r="BQ1778" s="28" t="str">
        <f>HYPERLINK("https://organic.ams.usda.gov/Integrity/Certificate.aspx?cid=46&amp;nopid=3671700026")</f>
        <v>https://organic.ams.usda.gov/Integrity/Certificate.aspx?cid=46&amp;nopid=3671700026</v>
      </c>
    </row>
    <row r="1779">
      <c r="A1779" t="s">
        <v>3</v>
      </c>
      <c r="B1779" s="6" t="s">
        <v>7</v>
      </c>
      <c r="C1779" s="6" t="s">
        <v>54</v>
      </c>
      <c r="D1779" s="6" t="s">
        <v>100</v>
      </c>
      <c r="E1779" s="10" t="s">
        <v>1920</v>
      </c>
      <c r="F1779" s="6" t="s">
        <v>4640</v>
      </c>
      <c r="G1779" s="6" t="s">
        <v>81</v>
      </c>
      <c r="H1779" s="6" t="s">
        <v>7521</v>
      </c>
      <c r="I1779" s="6" t="s">
        <v>9282</v>
      </c>
      <c r="J1779" s="6" t="s">
        <v>9665</v>
      </c>
      <c r="K1779" s="6" t="s">
        <v>10886</v>
      </c>
      <c r="L1779" s="16" t="n">
        <v>42662</v>
      </c>
      <c r="M1779" s="16" t="n">
        <v>45716</v>
      </c>
      <c r="N1779" s="6" t="s">
        <v>10886</v>
      </c>
      <c r="O1779" s="16" t="n">
        <v>42662</v>
      </c>
      <c r="P1779" s="6" t="s">
        <v>10993</v>
      </c>
      <c r="Q1779" s="6" t="s">
        <v>81</v>
      </c>
      <c r="R1779" s="6" t="s">
        <v>81</v>
      </c>
      <c r="S1779" s="6" t="s">
        <v>10886</v>
      </c>
      <c r="T1779" s="16" t="n">
        <v>42945</v>
      </c>
      <c r="U1779" s="6" t="s">
        <v>13169</v>
      </c>
      <c r="V1779" s="6" t="s">
        <v>81</v>
      </c>
      <c r="W1779" s="6" t="s">
        <v>81</v>
      </c>
      <c r="X1779" s="6" t="s">
        <v>81</v>
      </c>
      <c r="Y1779" s="21" t="s">
        <v>81</v>
      </c>
      <c r="Z1779" s="6" t="s">
        <v>81</v>
      </c>
      <c r="AA1779" s="6" t="s">
        <v>81</v>
      </c>
      <c r="AB1779" s="6" t="s">
        <v>81</v>
      </c>
      <c r="AC1779" s="6" t="s">
        <v>81</v>
      </c>
      <c r="AD1779" s="21" t="s">
        <v>81</v>
      </c>
      <c r="AE1779" s="6" t="s">
        <v>81</v>
      </c>
      <c r="AF1779" s="6" t="s">
        <v>81</v>
      </c>
      <c r="AG1779" s="6" t="s">
        <v>81</v>
      </c>
      <c r="AH1779" s="6" t="s">
        <v>16339</v>
      </c>
      <c r="AI1779" s="6" t="s">
        <v>81</v>
      </c>
      <c r="AJ1779" s="6" t="s">
        <v>17553</v>
      </c>
      <c r="AK1779" s="6" t="s">
        <v>17712</v>
      </c>
      <c r="AL1779" s="6" t="s">
        <v>18444</v>
      </c>
      <c r="AM1779" s="6" t="s">
        <v>18716</v>
      </c>
      <c r="AN1779" s="6" t="s">
        <v>19683</v>
      </c>
      <c r="AO1779" s="6" t="s">
        <v>19868</v>
      </c>
      <c r="AP1779" s="6" t="s">
        <v>16339</v>
      </c>
      <c r="AQ1779" s="6" t="s">
        <v>81</v>
      </c>
      <c r="AR1779" s="6" t="s">
        <v>17553</v>
      </c>
      <c r="AS1779" s="6" t="s">
        <v>17712</v>
      </c>
      <c r="AT1779" s="6" t="s">
        <v>18444</v>
      </c>
      <c r="AU1779" s="6" t="s">
        <v>18716</v>
      </c>
      <c r="AV1779" s="6" t="s">
        <v>81</v>
      </c>
      <c r="AW1779" s="6" t="s">
        <v>81</v>
      </c>
      <c r="AX1779" s="6" t="s">
        <v>21884</v>
      </c>
      <c r="AY1779" s="6" t="s">
        <v>23185</v>
      </c>
      <c r="AZ1779" s="6" t="s">
        <v>81</v>
      </c>
      <c r="BA1779" s="6" t="s">
        <v>81</v>
      </c>
      <c r="BB1779" s="24" t="n">
        <v>235</v>
      </c>
      <c r="BC1779" s="26"/>
      <c r="BD1779" s="26"/>
      <c r="BE1779" s="26"/>
      <c r="BF1779" s="26"/>
      <c r="BG1779" s="26"/>
      <c r="BH1779" s="26"/>
      <c r="BI1779" s="26"/>
      <c r="BJ1779" s="26"/>
      <c r="BK1779" s="26"/>
      <c r="BL1779" s="26"/>
      <c r="BM1779" s="26"/>
      <c r="BN1779" s="26"/>
      <c r="BO1779" s="26"/>
      <c r="BP1779" s="16" t="n">
        <v>45595</v>
      </c>
      <c r="BQ1779" s="28" t="str">
        <f>HYPERLINK("https://organic.ams.usda.gov/Integrity/Certificate.aspx?cid=57&amp;nopid=3252016157")</f>
        <v>https://organic.ams.usda.gov/Integrity/Certificate.aspx?cid=57&amp;nopid=3252016157</v>
      </c>
    </row>
    <row r="1780">
      <c r="A1780" t="s">
        <v>3</v>
      </c>
      <c r="B1780" s="6" t="s">
        <v>16</v>
      </c>
      <c r="C1780" s="6" t="s">
        <v>63</v>
      </c>
      <c r="D1780" s="6" t="s">
        <v>109</v>
      </c>
      <c r="E1780" s="10" t="s">
        <v>1921</v>
      </c>
      <c r="F1780" s="6" t="s">
        <v>4640</v>
      </c>
      <c r="G1780" s="6" t="s">
        <v>5754</v>
      </c>
      <c r="H1780" s="6" t="s">
        <v>7522</v>
      </c>
      <c r="I1780" s="6" t="s">
        <v>8621</v>
      </c>
      <c r="J1780" s="6" t="s">
        <v>9665</v>
      </c>
      <c r="K1780" s="6" t="s">
        <v>10886</v>
      </c>
      <c r="L1780" s="16" t="n">
        <v>40147</v>
      </c>
      <c r="M1780" s="16" t="n">
        <v>45731</v>
      </c>
      <c r="N1780" s="6" t="s">
        <v>10886</v>
      </c>
      <c r="O1780" s="16" t="n">
        <v>40147</v>
      </c>
      <c r="P1780" s="6" t="s">
        <v>11948</v>
      </c>
      <c r="Q1780" s="6" t="s">
        <v>81</v>
      </c>
      <c r="R1780" s="6" t="s">
        <v>81</v>
      </c>
      <c r="S1780" s="6" t="s">
        <v>10886</v>
      </c>
      <c r="T1780" s="16" t="n">
        <v>40147</v>
      </c>
      <c r="U1780" s="6" t="s">
        <v>13281</v>
      </c>
      <c r="V1780" s="6" t="s">
        <v>81</v>
      </c>
      <c r="W1780" s="6" t="s">
        <v>81</v>
      </c>
      <c r="X1780" s="6" t="s">
        <v>81</v>
      </c>
      <c r="Y1780" s="21" t="s">
        <v>81</v>
      </c>
      <c r="Z1780" s="6" t="s">
        <v>81</v>
      </c>
      <c r="AA1780" s="6" t="s">
        <v>81</v>
      </c>
      <c r="AB1780" s="6" t="s">
        <v>81</v>
      </c>
      <c r="AC1780" s="6" t="s">
        <v>10886</v>
      </c>
      <c r="AD1780" s="16" t="n">
        <v>40147</v>
      </c>
      <c r="AE1780" s="6" t="s">
        <v>14308</v>
      </c>
      <c r="AF1780" s="6" t="s">
        <v>81</v>
      </c>
      <c r="AG1780" s="6" t="s">
        <v>81</v>
      </c>
      <c r="AH1780" s="6" t="s">
        <v>16340</v>
      </c>
      <c r="AI1780" s="6" t="s">
        <v>81</v>
      </c>
      <c r="AJ1780" s="6" t="s">
        <v>8814</v>
      </c>
      <c r="AK1780" s="6" t="s">
        <v>18383</v>
      </c>
      <c r="AL1780" s="6" t="s">
        <v>18444</v>
      </c>
      <c r="AM1780" s="6" t="s">
        <v>19300</v>
      </c>
      <c r="AN1780" s="6" t="s">
        <v>19696</v>
      </c>
      <c r="AO1780" s="6" t="s">
        <v>19935</v>
      </c>
      <c r="AP1780" s="6" t="s">
        <v>81</v>
      </c>
      <c r="AQ1780" s="6" t="s">
        <v>81</v>
      </c>
      <c r="AR1780" s="6" t="s">
        <v>81</v>
      </c>
      <c r="AS1780" s="6" t="s">
        <v>81</v>
      </c>
      <c r="AT1780" s="6" t="s">
        <v>81</v>
      </c>
      <c r="AU1780" s="6" t="s">
        <v>81</v>
      </c>
      <c r="AV1780" s="6" t="s">
        <v>81</v>
      </c>
      <c r="AW1780" s="6" t="s">
        <v>81</v>
      </c>
      <c r="AX1780" s="6" t="s">
        <v>21885</v>
      </c>
      <c r="AY1780" s="6" t="s">
        <v>81</v>
      </c>
      <c r="AZ1780" s="6" t="s">
        <v>23714</v>
      </c>
      <c r="BA1780" s="6" t="s">
        <v>81</v>
      </c>
      <c r="BB1780" s="24" t="n">
        <v>756</v>
      </c>
      <c r="BC1780" s="26"/>
      <c r="BD1780" s="26"/>
      <c r="BE1780" s="26"/>
      <c r="BF1780" s="26"/>
      <c r="BG1780" s="26"/>
      <c r="BH1780" s="26"/>
      <c r="BI1780" s="26"/>
      <c r="BJ1780" s="26"/>
      <c r="BK1780" s="26"/>
      <c r="BL1780" s="26"/>
      <c r="BM1780" s="26"/>
      <c r="BN1780" s="26"/>
      <c r="BO1780" s="26"/>
      <c r="BP1780" s="16" t="n">
        <v>45701</v>
      </c>
      <c r="BQ1780" s="28" t="str">
        <f>HYPERLINK("https://organic.ams.usda.gov/Integrity/Certificate.aspx?cid=81&amp;nopid=4210009050")</f>
        <v>https://organic.ams.usda.gov/Integrity/Certificate.aspx?cid=81&amp;nopid=4210009050</v>
      </c>
    </row>
    <row r="1781">
      <c r="A1781" t="s">
        <v>3</v>
      </c>
      <c r="B1781" s="6" t="s">
        <v>11</v>
      </c>
      <c r="C1781" s="6" t="s">
        <v>58</v>
      </c>
      <c r="D1781" s="6" t="s">
        <v>104</v>
      </c>
      <c r="E1781" s="10" t="s">
        <v>1922</v>
      </c>
      <c r="F1781" s="6" t="s">
        <v>4641</v>
      </c>
      <c r="G1781" s="6" t="s">
        <v>81</v>
      </c>
      <c r="H1781" s="6" t="s">
        <v>81</v>
      </c>
      <c r="I1781" s="6" t="s">
        <v>9283</v>
      </c>
      <c r="J1781" s="6" t="s">
        <v>9665</v>
      </c>
      <c r="K1781" s="6" t="s">
        <v>10886</v>
      </c>
      <c r="L1781" s="16" t="n">
        <v>45244</v>
      </c>
      <c r="M1781" s="16" t="n">
        <v>45748</v>
      </c>
      <c r="N1781" s="6" t="s">
        <v>10886</v>
      </c>
      <c r="O1781" s="16" t="n">
        <v>45244</v>
      </c>
      <c r="P1781" s="6" t="s">
        <v>11949</v>
      </c>
      <c r="Q1781" s="6" t="s">
        <v>81</v>
      </c>
      <c r="R1781" s="6" t="s">
        <v>81</v>
      </c>
      <c r="S1781" s="6" t="s">
        <v>10886</v>
      </c>
      <c r="T1781" s="16" t="n">
        <v>45244</v>
      </c>
      <c r="U1781" s="6" t="s">
        <v>13712</v>
      </c>
      <c r="V1781" s="6" t="s">
        <v>81</v>
      </c>
      <c r="W1781" s="6" t="s">
        <v>81</v>
      </c>
      <c r="X1781" s="6" t="s">
        <v>81</v>
      </c>
      <c r="Y1781" s="21" t="s">
        <v>81</v>
      </c>
      <c r="Z1781" s="6" t="s">
        <v>81</v>
      </c>
      <c r="AA1781" s="6" t="s">
        <v>81</v>
      </c>
      <c r="AB1781" s="6" t="s">
        <v>81</v>
      </c>
      <c r="AC1781" s="6" t="s">
        <v>81</v>
      </c>
      <c r="AD1781" s="21" t="s">
        <v>81</v>
      </c>
      <c r="AE1781" s="6" t="s">
        <v>81</v>
      </c>
      <c r="AF1781" s="6" t="s">
        <v>81</v>
      </c>
      <c r="AG1781" s="6" t="s">
        <v>81</v>
      </c>
      <c r="AH1781" s="6" t="s">
        <v>16341</v>
      </c>
      <c r="AI1781" s="6" t="s">
        <v>81</v>
      </c>
      <c r="AJ1781" s="6" t="s">
        <v>17385</v>
      </c>
      <c r="AK1781" s="6" t="s">
        <v>18377</v>
      </c>
      <c r="AL1781" s="6" t="s">
        <v>18444</v>
      </c>
      <c r="AM1781" s="6" t="s">
        <v>18539</v>
      </c>
      <c r="AN1781" s="6" t="s">
        <v>81</v>
      </c>
      <c r="AO1781" s="6" t="s">
        <v>81</v>
      </c>
      <c r="AP1781" s="6" t="s">
        <v>16341</v>
      </c>
      <c r="AQ1781" s="6" t="s">
        <v>81</v>
      </c>
      <c r="AR1781" s="6" t="s">
        <v>17385</v>
      </c>
      <c r="AS1781" s="6" t="s">
        <v>18377</v>
      </c>
      <c r="AT1781" s="6" t="s">
        <v>18444</v>
      </c>
      <c r="AU1781" s="6" t="s">
        <v>18539</v>
      </c>
      <c r="AV1781" s="6" t="s">
        <v>81</v>
      </c>
      <c r="AW1781" s="6" t="s">
        <v>81</v>
      </c>
      <c r="AX1781" s="6" t="s">
        <v>81</v>
      </c>
      <c r="AY1781" s="6" t="s">
        <v>81</v>
      </c>
      <c r="AZ1781" s="6" t="s">
        <v>81</v>
      </c>
      <c r="BA1781" s="6" t="s">
        <v>81</v>
      </c>
      <c r="BB1781" s="24" t="n">
        <v>114</v>
      </c>
      <c r="BC1781" s="26"/>
      <c r="BD1781" s="26"/>
      <c r="BE1781" s="26"/>
      <c r="BF1781" s="26"/>
      <c r="BG1781" s="26"/>
      <c r="BH1781" s="26"/>
      <c r="BI1781" s="26"/>
      <c r="BJ1781" s="26"/>
      <c r="BK1781" s="26"/>
      <c r="BL1781" s="26"/>
      <c r="BM1781" s="26"/>
      <c r="BN1781" s="26"/>
      <c r="BO1781" s="26"/>
      <c r="BP1781" s="16" t="n">
        <v>45702</v>
      </c>
      <c r="BQ1781" s="28" t="str">
        <f>HYPERLINK("https://organic.ams.usda.gov/Integrity/Certificate.aspx?cid=46&amp;nopid=3672300073")</f>
        <v>https://organic.ams.usda.gov/Integrity/Certificate.aspx?cid=46&amp;nopid=3672300073</v>
      </c>
    </row>
    <row r="1782">
      <c r="A1782" t="s">
        <v>3</v>
      </c>
      <c r="B1782" s="6" t="s">
        <v>8</v>
      </c>
      <c r="C1782" s="6" t="s">
        <v>55</v>
      </c>
      <c r="D1782" s="6" t="s">
        <v>101</v>
      </c>
      <c r="E1782" s="10" t="s">
        <v>1923</v>
      </c>
      <c r="F1782" s="6" t="s">
        <v>4642</v>
      </c>
      <c r="G1782" s="6" t="s">
        <v>81</v>
      </c>
      <c r="H1782" s="6" t="s">
        <v>7523</v>
      </c>
      <c r="I1782" s="6" t="s">
        <v>8851</v>
      </c>
      <c r="J1782" s="6" t="s">
        <v>9665</v>
      </c>
      <c r="K1782" s="6" t="s">
        <v>10886</v>
      </c>
      <c r="L1782" s="16" t="n">
        <v>42108</v>
      </c>
      <c r="M1782" s="16" t="n">
        <v>45383</v>
      </c>
      <c r="N1782" s="6" t="s">
        <v>10886</v>
      </c>
      <c r="O1782" s="16" t="n">
        <v>42108</v>
      </c>
      <c r="P1782" s="6" t="s">
        <v>11950</v>
      </c>
      <c r="Q1782" s="6" t="s">
        <v>81</v>
      </c>
      <c r="R1782" s="6" t="s">
        <v>7523</v>
      </c>
      <c r="S1782" s="6" t="s">
        <v>10886</v>
      </c>
      <c r="T1782" s="16" t="n">
        <v>42108</v>
      </c>
      <c r="U1782" s="6" t="s">
        <v>13713</v>
      </c>
      <c r="V1782" s="6" t="s">
        <v>81</v>
      </c>
      <c r="W1782" s="6" t="s">
        <v>7523</v>
      </c>
      <c r="X1782" s="6" t="s">
        <v>81</v>
      </c>
      <c r="Y1782" s="21" t="s">
        <v>81</v>
      </c>
      <c r="Z1782" s="6" t="s">
        <v>81</v>
      </c>
      <c r="AA1782" s="6" t="s">
        <v>81</v>
      </c>
      <c r="AB1782" s="6" t="s">
        <v>81</v>
      </c>
      <c r="AC1782" s="6" t="s">
        <v>81</v>
      </c>
      <c r="AD1782" s="21" t="s">
        <v>81</v>
      </c>
      <c r="AE1782" s="6" t="s">
        <v>81</v>
      </c>
      <c r="AF1782" s="6" t="s">
        <v>81</v>
      </c>
      <c r="AG1782" s="6" t="s">
        <v>81</v>
      </c>
      <c r="AH1782" s="6" t="s">
        <v>16342</v>
      </c>
      <c r="AI1782" s="6" t="s">
        <v>81</v>
      </c>
      <c r="AJ1782" s="6" t="s">
        <v>17893</v>
      </c>
      <c r="AK1782" s="6" t="s">
        <v>18377</v>
      </c>
      <c r="AL1782" s="6" t="s">
        <v>18444</v>
      </c>
      <c r="AM1782" s="6" t="s">
        <v>19080</v>
      </c>
      <c r="AN1782" s="6" t="s">
        <v>19681</v>
      </c>
      <c r="AO1782" s="6" t="s">
        <v>19853</v>
      </c>
      <c r="AP1782" s="6" t="s">
        <v>81</v>
      </c>
      <c r="AQ1782" s="6" t="s">
        <v>81</v>
      </c>
      <c r="AR1782" s="6" t="s">
        <v>81</v>
      </c>
      <c r="AS1782" s="6" t="s">
        <v>81</v>
      </c>
      <c r="AT1782" s="6" t="s">
        <v>81</v>
      </c>
      <c r="AU1782" s="6" t="s">
        <v>81</v>
      </c>
      <c r="AV1782" s="6" t="s">
        <v>81</v>
      </c>
      <c r="AW1782" s="6" t="s">
        <v>81</v>
      </c>
      <c r="AX1782" s="6" t="s">
        <v>81</v>
      </c>
      <c r="AY1782" s="6" t="s">
        <v>81</v>
      </c>
      <c r="AZ1782" s="6" t="s">
        <v>81</v>
      </c>
      <c r="BA1782" s="6" t="s">
        <v>23819</v>
      </c>
      <c r="BB1782" s="24" t="n">
        <v>201</v>
      </c>
      <c r="BC1782" s="26"/>
      <c r="BD1782" s="26"/>
      <c r="BE1782" s="26"/>
      <c r="BF1782" s="26" t="s">
        <v>23900</v>
      </c>
      <c r="BG1782" s="26"/>
      <c r="BH1782" s="26"/>
      <c r="BI1782" s="26"/>
      <c r="BJ1782" s="26"/>
      <c r="BK1782" s="26"/>
      <c r="BL1782" s="26"/>
      <c r="BM1782" s="26"/>
      <c r="BN1782" s="26"/>
      <c r="BO1782" s="26"/>
      <c r="BP1782" s="16" t="n">
        <v>45520</v>
      </c>
      <c r="BQ1782" s="28" t="str">
        <f>HYPERLINK("https://organic.ams.usda.gov/Integrity/Certificate.aspx?cid=45&amp;nopid=9950009127")</f>
        <v>https://organic.ams.usda.gov/Integrity/Certificate.aspx?cid=45&amp;nopid=9950009127</v>
      </c>
    </row>
    <row r="1783">
      <c r="A1783" t="s">
        <v>3</v>
      </c>
      <c r="B1783" s="6" t="s">
        <v>7</v>
      </c>
      <c r="C1783" s="6" t="s">
        <v>54</v>
      </c>
      <c r="D1783" s="6" t="s">
        <v>100</v>
      </c>
      <c r="E1783" s="10" t="s">
        <v>1924</v>
      </c>
      <c r="F1783" s="6" t="s">
        <v>4642</v>
      </c>
      <c r="G1783" s="6" t="s">
        <v>81</v>
      </c>
      <c r="H1783" s="6" t="s">
        <v>7524</v>
      </c>
      <c r="I1783" s="6" t="s">
        <v>9284</v>
      </c>
      <c r="J1783" s="6" t="s">
        <v>9665</v>
      </c>
      <c r="K1783" s="6" t="s">
        <v>10886</v>
      </c>
      <c r="L1783" s="16" t="n">
        <v>41872</v>
      </c>
      <c r="M1783" s="16" t="n">
        <v>45716</v>
      </c>
      <c r="N1783" s="6" t="s">
        <v>10886</v>
      </c>
      <c r="O1783" s="16" t="n">
        <v>41872</v>
      </c>
      <c r="P1783" s="6" t="s">
        <v>11015</v>
      </c>
      <c r="Q1783" s="6" t="s">
        <v>81</v>
      </c>
      <c r="R1783" s="6" t="s">
        <v>81</v>
      </c>
      <c r="S1783" s="6" t="s">
        <v>10886</v>
      </c>
      <c r="T1783" s="16" t="n">
        <v>42600</v>
      </c>
      <c r="U1783" s="6" t="s">
        <v>13160</v>
      </c>
      <c r="V1783" s="6" t="s">
        <v>81</v>
      </c>
      <c r="W1783" s="6" t="s">
        <v>81</v>
      </c>
      <c r="X1783" s="6" t="s">
        <v>81</v>
      </c>
      <c r="Y1783" s="21" t="s">
        <v>81</v>
      </c>
      <c r="Z1783" s="6" t="s">
        <v>81</v>
      </c>
      <c r="AA1783" s="6" t="s">
        <v>81</v>
      </c>
      <c r="AB1783" s="6" t="s">
        <v>81</v>
      </c>
      <c r="AC1783" s="6" t="s">
        <v>81</v>
      </c>
      <c r="AD1783" s="21" t="s">
        <v>81</v>
      </c>
      <c r="AE1783" s="6" t="s">
        <v>81</v>
      </c>
      <c r="AF1783" s="6" t="s">
        <v>81</v>
      </c>
      <c r="AG1783" s="6" t="s">
        <v>81</v>
      </c>
      <c r="AH1783" s="6" t="s">
        <v>16343</v>
      </c>
      <c r="AI1783" s="6" t="s">
        <v>81</v>
      </c>
      <c r="AJ1783" s="6" t="s">
        <v>18102</v>
      </c>
      <c r="AK1783" s="6" t="s">
        <v>17712</v>
      </c>
      <c r="AL1783" s="6" t="s">
        <v>18444</v>
      </c>
      <c r="AM1783" s="6" t="s">
        <v>19301</v>
      </c>
      <c r="AN1783" s="6" t="s">
        <v>19662</v>
      </c>
      <c r="AO1783" s="6" t="s">
        <v>19762</v>
      </c>
      <c r="AP1783" s="6" t="s">
        <v>16343</v>
      </c>
      <c r="AQ1783" s="6" t="s">
        <v>81</v>
      </c>
      <c r="AR1783" s="6" t="s">
        <v>18102</v>
      </c>
      <c r="AS1783" s="6" t="s">
        <v>17712</v>
      </c>
      <c r="AT1783" s="6" t="s">
        <v>18444</v>
      </c>
      <c r="AU1783" s="6" t="s">
        <v>19301</v>
      </c>
      <c r="AV1783" s="6" t="s">
        <v>81</v>
      </c>
      <c r="AW1783" s="6" t="s">
        <v>81</v>
      </c>
      <c r="AX1783" s="6" t="s">
        <v>81</v>
      </c>
      <c r="AY1783" s="6" t="s">
        <v>81</v>
      </c>
      <c r="AZ1783" s="6" t="s">
        <v>81</v>
      </c>
      <c r="BA1783" s="6" t="s">
        <v>81</v>
      </c>
      <c r="BB1783" s="24" t="n">
        <v>108</v>
      </c>
      <c r="BC1783" s="26"/>
      <c r="BD1783" s="26"/>
      <c r="BE1783" s="26"/>
      <c r="BF1783" s="26" t="s">
        <v>23900</v>
      </c>
      <c r="BG1783" s="26"/>
      <c r="BH1783" s="26"/>
      <c r="BI1783" s="26"/>
      <c r="BJ1783" s="26"/>
      <c r="BK1783" s="26"/>
      <c r="BL1783" s="26"/>
      <c r="BM1783" s="26"/>
      <c r="BN1783" s="26"/>
      <c r="BO1783" s="26"/>
      <c r="BP1783" s="16" t="n">
        <v>45700</v>
      </c>
      <c r="BQ1783" s="28" t="str">
        <f>HYPERLINK("https://organic.ams.usda.gov/Integrity/Certificate.aspx?cid=57&amp;nopid=3252014065")</f>
        <v>https://organic.ams.usda.gov/Integrity/Certificate.aspx?cid=57&amp;nopid=3252014065</v>
      </c>
    </row>
    <row r="1784">
      <c r="A1784" t="s">
        <v>3</v>
      </c>
      <c r="B1784" s="6" t="s">
        <v>7</v>
      </c>
      <c r="C1784" s="6" t="s">
        <v>54</v>
      </c>
      <c r="D1784" s="6" t="s">
        <v>100</v>
      </c>
      <c r="E1784" s="10" t="s">
        <v>1925</v>
      </c>
      <c r="F1784" s="6" t="s">
        <v>4643</v>
      </c>
      <c r="G1784" s="6" t="s">
        <v>81</v>
      </c>
      <c r="H1784" s="6" t="s">
        <v>7525</v>
      </c>
      <c r="I1784" s="6" t="s">
        <v>9285</v>
      </c>
      <c r="J1784" s="6" t="s">
        <v>9665</v>
      </c>
      <c r="K1784" s="6" t="s">
        <v>10886</v>
      </c>
      <c r="L1784" s="16" t="n">
        <v>37593</v>
      </c>
      <c r="M1784" s="16" t="n">
        <v>45716</v>
      </c>
      <c r="N1784" s="6" t="s">
        <v>10886</v>
      </c>
      <c r="O1784" s="16" t="n">
        <v>37593</v>
      </c>
      <c r="P1784" s="6" t="s">
        <v>11951</v>
      </c>
      <c r="Q1784" s="6" t="s">
        <v>81</v>
      </c>
      <c r="R1784" s="6" t="s">
        <v>81</v>
      </c>
      <c r="S1784" s="6" t="s">
        <v>10886</v>
      </c>
      <c r="T1784" s="16" t="n">
        <v>37593</v>
      </c>
      <c r="U1784" s="6" t="s">
        <v>13169</v>
      </c>
      <c r="V1784" s="6" t="s">
        <v>81</v>
      </c>
      <c r="W1784" s="6" t="s">
        <v>81</v>
      </c>
      <c r="X1784" s="6" t="s">
        <v>81</v>
      </c>
      <c r="Y1784" s="21" t="s">
        <v>81</v>
      </c>
      <c r="Z1784" s="6" t="s">
        <v>81</v>
      </c>
      <c r="AA1784" s="6" t="s">
        <v>81</v>
      </c>
      <c r="AB1784" s="6" t="s">
        <v>81</v>
      </c>
      <c r="AC1784" s="6" t="s">
        <v>81</v>
      </c>
      <c r="AD1784" s="21" t="s">
        <v>81</v>
      </c>
      <c r="AE1784" s="6" t="s">
        <v>81</v>
      </c>
      <c r="AF1784" s="6" t="s">
        <v>81</v>
      </c>
      <c r="AG1784" s="6" t="s">
        <v>81</v>
      </c>
      <c r="AH1784" s="6" t="s">
        <v>15679</v>
      </c>
      <c r="AI1784" s="6" t="s">
        <v>81</v>
      </c>
      <c r="AJ1784" s="6" t="s">
        <v>17618</v>
      </c>
      <c r="AK1784" s="6" t="s">
        <v>17712</v>
      </c>
      <c r="AL1784" s="6" t="s">
        <v>18444</v>
      </c>
      <c r="AM1784" s="6" t="s">
        <v>18786</v>
      </c>
      <c r="AN1784" s="6" t="s">
        <v>7195</v>
      </c>
      <c r="AO1784" s="6" t="s">
        <v>19735</v>
      </c>
      <c r="AP1784" s="6" t="s">
        <v>15679</v>
      </c>
      <c r="AQ1784" s="6" t="s">
        <v>81</v>
      </c>
      <c r="AR1784" s="6" t="s">
        <v>17618</v>
      </c>
      <c r="AS1784" s="6" t="s">
        <v>17712</v>
      </c>
      <c r="AT1784" s="6" t="s">
        <v>18444</v>
      </c>
      <c r="AU1784" s="6" t="s">
        <v>20680</v>
      </c>
      <c r="AV1784" s="6" t="s">
        <v>81</v>
      </c>
      <c r="AW1784" s="6" t="s">
        <v>81</v>
      </c>
      <c r="AX1784" s="6" t="s">
        <v>21886</v>
      </c>
      <c r="AY1784" s="6" t="s">
        <v>81</v>
      </c>
      <c r="AZ1784" s="6" t="s">
        <v>81</v>
      </c>
      <c r="BA1784" s="6" t="s">
        <v>81</v>
      </c>
      <c r="BB1784" s="24" t="n">
        <v>480</v>
      </c>
      <c r="BC1784" s="26"/>
      <c r="BD1784" s="26"/>
      <c r="BE1784" s="26"/>
      <c r="BF1784" s="26" t="s">
        <v>23900</v>
      </c>
      <c r="BG1784" s="26"/>
      <c r="BH1784" s="26"/>
      <c r="BI1784" s="26"/>
      <c r="BJ1784" s="26"/>
      <c r="BK1784" s="26"/>
      <c r="BL1784" s="26"/>
      <c r="BM1784" s="26"/>
      <c r="BN1784" s="26"/>
      <c r="BO1784" s="26"/>
      <c r="BP1784" s="16" t="n">
        <v>45672</v>
      </c>
      <c r="BQ1784" s="28" t="str">
        <f>HYPERLINK("https://organic.ams.usda.gov/Integrity/Certificate.aspx?cid=57&amp;nopid=3250970055")</f>
        <v>https://organic.ams.usda.gov/Integrity/Certificate.aspx?cid=57&amp;nopid=3250970055</v>
      </c>
    </row>
    <row r="1785">
      <c r="A1785" t="s">
        <v>3</v>
      </c>
      <c r="B1785" s="6" t="s">
        <v>11</v>
      </c>
      <c r="C1785" s="6" t="s">
        <v>58</v>
      </c>
      <c r="D1785" s="6" t="s">
        <v>104</v>
      </c>
      <c r="E1785" s="10" t="s">
        <v>1926</v>
      </c>
      <c r="F1785" s="6" t="s">
        <v>4644</v>
      </c>
      <c r="G1785" s="6" t="s">
        <v>81</v>
      </c>
      <c r="H1785" s="6" t="s">
        <v>81</v>
      </c>
      <c r="I1785" s="6" t="s">
        <v>9286</v>
      </c>
      <c r="J1785" s="6" t="s">
        <v>9665</v>
      </c>
      <c r="K1785" s="6" t="s">
        <v>10886</v>
      </c>
      <c r="L1785" s="16" t="n">
        <v>43217</v>
      </c>
      <c r="M1785" s="16" t="n">
        <v>45383</v>
      </c>
      <c r="N1785" s="6" t="s">
        <v>10886</v>
      </c>
      <c r="O1785" s="16" t="n">
        <v>43217</v>
      </c>
      <c r="P1785" s="6" t="s">
        <v>11952</v>
      </c>
      <c r="Q1785" s="6" t="s">
        <v>81</v>
      </c>
      <c r="R1785" s="6" t="s">
        <v>81</v>
      </c>
      <c r="S1785" s="6" t="s">
        <v>10886</v>
      </c>
      <c r="T1785" s="16" t="n">
        <v>43217</v>
      </c>
      <c r="U1785" s="6" t="s">
        <v>13540</v>
      </c>
      <c r="V1785" s="6" t="s">
        <v>81</v>
      </c>
      <c r="W1785" s="6" t="s">
        <v>81</v>
      </c>
      <c r="X1785" s="6" t="s">
        <v>81</v>
      </c>
      <c r="Y1785" s="21" t="s">
        <v>81</v>
      </c>
      <c r="Z1785" s="6" t="s">
        <v>81</v>
      </c>
      <c r="AA1785" s="6" t="s">
        <v>81</v>
      </c>
      <c r="AB1785" s="6" t="s">
        <v>81</v>
      </c>
      <c r="AC1785" s="6" t="s">
        <v>10893</v>
      </c>
      <c r="AD1785" s="16" t="n">
        <v>45281</v>
      </c>
      <c r="AE1785" s="6" t="s">
        <v>81</v>
      </c>
      <c r="AF1785" s="6" t="s">
        <v>81</v>
      </c>
      <c r="AG1785" s="6" t="s">
        <v>81</v>
      </c>
      <c r="AH1785" s="6" t="s">
        <v>16344</v>
      </c>
      <c r="AI1785" s="6" t="s">
        <v>81</v>
      </c>
      <c r="AJ1785" s="6" t="s">
        <v>17377</v>
      </c>
      <c r="AK1785" s="6" t="s">
        <v>18377</v>
      </c>
      <c r="AL1785" s="6" t="s">
        <v>18444</v>
      </c>
      <c r="AM1785" s="6" t="s">
        <v>18530</v>
      </c>
      <c r="AN1785" s="6" t="s">
        <v>19634</v>
      </c>
      <c r="AO1785" s="6" t="s">
        <v>19764</v>
      </c>
      <c r="AP1785" s="6" t="s">
        <v>16344</v>
      </c>
      <c r="AQ1785" s="6" t="s">
        <v>81</v>
      </c>
      <c r="AR1785" s="6" t="s">
        <v>17377</v>
      </c>
      <c r="AS1785" s="6" t="s">
        <v>18377</v>
      </c>
      <c r="AT1785" s="6" t="s">
        <v>18444</v>
      </c>
      <c r="AU1785" s="6" t="s">
        <v>18530</v>
      </c>
      <c r="AV1785" s="6" t="s">
        <v>81</v>
      </c>
      <c r="AW1785" s="6" t="s">
        <v>81</v>
      </c>
      <c r="AX1785" s="6" t="s">
        <v>81</v>
      </c>
      <c r="AY1785" s="6" t="s">
        <v>81</v>
      </c>
      <c r="AZ1785" s="6" t="s">
        <v>81</v>
      </c>
      <c r="BA1785" s="6" t="s">
        <v>23820</v>
      </c>
      <c r="BB1785" s="24" t="n">
        <v>54</v>
      </c>
      <c r="BC1785" s="26"/>
      <c r="BD1785" s="26"/>
      <c r="BE1785" s="26"/>
      <c r="BF1785" s="26"/>
      <c r="BG1785" s="26"/>
      <c r="BH1785" s="26"/>
      <c r="BI1785" s="26"/>
      <c r="BJ1785" s="26"/>
      <c r="BK1785" s="26"/>
      <c r="BL1785" s="26"/>
      <c r="BM1785" s="26"/>
      <c r="BN1785" s="26"/>
      <c r="BO1785" s="26"/>
      <c r="BP1785" s="16" t="n">
        <v>45443</v>
      </c>
      <c r="BQ1785" s="28" t="str">
        <f>HYPERLINK("https://organic.ams.usda.gov/Integrity/Certificate.aspx?cid=46&amp;nopid=3671800015")</f>
        <v>https://organic.ams.usda.gov/Integrity/Certificate.aspx?cid=46&amp;nopid=3671800015</v>
      </c>
    </row>
    <row r="1786">
      <c r="A1786" t="s">
        <v>3</v>
      </c>
      <c r="B1786" s="6" t="s">
        <v>18</v>
      </c>
      <c r="C1786" s="6" t="s">
        <v>65</v>
      </c>
      <c r="D1786" s="6" t="s">
        <v>111</v>
      </c>
      <c r="E1786" s="10" t="s">
        <v>1927</v>
      </c>
      <c r="F1786" s="6" t="s">
        <v>4645</v>
      </c>
      <c r="G1786" s="6" t="s">
        <v>81</v>
      </c>
      <c r="H1786" s="6" t="s">
        <v>7526</v>
      </c>
      <c r="I1786" s="6" t="s">
        <v>9287</v>
      </c>
      <c r="J1786" s="6" t="s">
        <v>10450</v>
      </c>
      <c r="K1786" s="6" t="s">
        <v>10886</v>
      </c>
      <c r="L1786" s="16" t="n">
        <v>45640</v>
      </c>
      <c r="M1786" s="16" t="n">
        <v>46068</v>
      </c>
      <c r="N1786" s="6" t="s">
        <v>10886</v>
      </c>
      <c r="O1786" s="16" t="n">
        <v>45640</v>
      </c>
      <c r="P1786" s="6" t="s">
        <v>10910</v>
      </c>
      <c r="Q1786" s="6" t="s">
        <v>81</v>
      </c>
      <c r="R1786" s="6" t="s">
        <v>81</v>
      </c>
      <c r="S1786" s="6" t="s">
        <v>10886</v>
      </c>
      <c r="T1786" s="16" t="n">
        <v>45640</v>
      </c>
      <c r="U1786" s="6" t="s">
        <v>13714</v>
      </c>
      <c r="V1786" s="6" t="s">
        <v>81</v>
      </c>
      <c r="W1786" s="6" t="s">
        <v>81</v>
      </c>
      <c r="X1786" s="6" t="s">
        <v>81</v>
      </c>
      <c r="Y1786" s="21" t="s">
        <v>81</v>
      </c>
      <c r="Z1786" s="6" t="s">
        <v>81</v>
      </c>
      <c r="AA1786" s="6" t="s">
        <v>81</v>
      </c>
      <c r="AB1786" s="6" t="s">
        <v>81</v>
      </c>
      <c r="AC1786" s="6" t="s">
        <v>81</v>
      </c>
      <c r="AD1786" s="21" t="s">
        <v>81</v>
      </c>
      <c r="AE1786" s="6" t="s">
        <v>81</v>
      </c>
      <c r="AF1786" s="6" t="s">
        <v>81</v>
      </c>
      <c r="AG1786" s="6" t="s">
        <v>81</v>
      </c>
      <c r="AH1786" s="6" t="s">
        <v>16345</v>
      </c>
      <c r="AI1786" s="6" t="s">
        <v>81</v>
      </c>
      <c r="AJ1786" s="6" t="s">
        <v>18103</v>
      </c>
      <c r="AK1786" s="6" t="s">
        <v>17712</v>
      </c>
      <c r="AL1786" s="6" t="s">
        <v>18444</v>
      </c>
      <c r="AM1786" s="6" t="s">
        <v>19077</v>
      </c>
      <c r="AN1786" s="6" t="s">
        <v>81</v>
      </c>
      <c r="AO1786" s="6" t="s">
        <v>81</v>
      </c>
      <c r="AP1786" s="6" t="s">
        <v>20327</v>
      </c>
      <c r="AQ1786" s="6" t="s">
        <v>81</v>
      </c>
      <c r="AR1786" s="6" t="s">
        <v>17701</v>
      </c>
      <c r="AS1786" s="6" t="s">
        <v>17712</v>
      </c>
      <c r="AT1786" s="6" t="s">
        <v>18444</v>
      </c>
      <c r="AU1786" s="6" t="s">
        <v>18867</v>
      </c>
      <c r="AV1786" s="6" t="s">
        <v>81</v>
      </c>
      <c r="AW1786" s="6" t="s">
        <v>81</v>
      </c>
      <c r="AX1786" s="6" t="s">
        <v>21887</v>
      </c>
      <c r="AY1786" s="6" t="s">
        <v>23186</v>
      </c>
      <c r="AZ1786" s="6" t="s">
        <v>81</v>
      </c>
      <c r="BA1786" s="6" t="s">
        <v>81</v>
      </c>
      <c r="BB1786" s="24" t="n">
        <v>332</v>
      </c>
      <c r="BC1786" s="26"/>
      <c r="BD1786" s="26"/>
      <c r="BE1786" s="26"/>
      <c r="BF1786" s="26" t="s">
        <v>23900</v>
      </c>
      <c r="BG1786" s="26"/>
      <c r="BH1786" s="26"/>
      <c r="BI1786" s="26"/>
      <c r="BJ1786" s="26"/>
      <c r="BK1786" s="26"/>
      <c r="BL1786" s="26"/>
      <c r="BM1786" s="26"/>
      <c r="BN1786" s="26"/>
      <c r="BO1786" s="26"/>
      <c r="BP1786" s="16" t="n">
        <v>45641</v>
      </c>
      <c r="BQ1786" s="28" t="str">
        <f>HYPERLINK("https://organic.ams.usda.gov/Integrity/Certificate.aspx?cid=8&amp;nopid=2202609164")</f>
        <v>https://organic.ams.usda.gov/Integrity/Certificate.aspx?cid=8&amp;nopid=2202609164</v>
      </c>
    </row>
    <row r="1787">
      <c r="A1787" t="s">
        <v>3</v>
      </c>
      <c r="B1787" s="6" t="s">
        <v>10</v>
      </c>
      <c r="C1787" s="6" t="s">
        <v>57</v>
      </c>
      <c r="D1787" s="6" t="s">
        <v>103</v>
      </c>
      <c r="E1787" s="10" t="s">
        <v>1928</v>
      </c>
      <c r="F1787" s="6" t="s">
        <v>4646</v>
      </c>
      <c r="G1787" s="6" t="s">
        <v>81</v>
      </c>
      <c r="H1787" s="6" t="s">
        <v>7527</v>
      </c>
      <c r="I1787" s="6" t="s">
        <v>9288</v>
      </c>
      <c r="J1787" s="6" t="s">
        <v>9742</v>
      </c>
      <c r="K1787" s="6" t="s">
        <v>10886</v>
      </c>
      <c r="L1787" s="16" t="n">
        <v>45472</v>
      </c>
      <c r="M1787" s="16" t="n">
        <v>45748</v>
      </c>
      <c r="N1787" s="6" t="s">
        <v>10886</v>
      </c>
      <c r="O1787" s="16" t="n">
        <v>45472</v>
      </c>
      <c r="P1787" s="6" t="s">
        <v>11953</v>
      </c>
      <c r="Q1787" s="6" t="s">
        <v>81</v>
      </c>
      <c r="R1787" s="6" t="s">
        <v>12934</v>
      </c>
      <c r="S1787" s="6" t="s">
        <v>10886</v>
      </c>
      <c r="T1787" s="16" t="n">
        <v>45472</v>
      </c>
      <c r="U1787" s="6" t="s">
        <v>13163</v>
      </c>
      <c r="V1787" s="6" t="s">
        <v>81</v>
      </c>
      <c r="W1787" s="6" t="s">
        <v>81</v>
      </c>
      <c r="X1787" s="6" t="s">
        <v>81</v>
      </c>
      <c r="Y1787" s="21" t="s">
        <v>81</v>
      </c>
      <c r="Z1787" s="6" t="s">
        <v>81</v>
      </c>
      <c r="AA1787" s="6" t="s">
        <v>81</v>
      </c>
      <c r="AB1787" s="6" t="s">
        <v>81</v>
      </c>
      <c r="AC1787" s="6" t="s">
        <v>81</v>
      </c>
      <c r="AD1787" s="21" t="s">
        <v>81</v>
      </c>
      <c r="AE1787" s="6" t="s">
        <v>81</v>
      </c>
      <c r="AF1787" s="6" t="s">
        <v>81</v>
      </c>
      <c r="AG1787" s="6" t="s">
        <v>81</v>
      </c>
      <c r="AH1787" s="6" t="s">
        <v>16346</v>
      </c>
      <c r="AI1787" s="6" t="s">
        <v>81</v>
      </c>
      <c r="AJ1787" s="6" t="s">
        <v>17380</v>
      </c>
      <c r="AK1787" s="6" t="s">
        <v>18379</v>
      </c>
      <c r="AL1787" s="6" t="s">
        <v>18444</v>
      </c>
      <c r="AM1787" s="6" t="s">
        <v>18533</v>
      </c>
      <c r="AN1787" s="6" t="s">
        <v>81</v>
      </c>
      <c r="AO1787" s="6" t="s">
        <v>81</v>
      </c>
      <c r="AP1787" s="6" t="s">
        <v>16346</v>
      </c>
      <c r="AQ1787" s="6" t="s">
        <v>81</v>
      </c>
      <c r="AR1787" s="6" t="s">
        <v>17380</v>
      </c>
      <c r="AS1787" s="6" t="s">
        <v>18379</v>
      </c>
      <c r="AT1787" s="6" t="s">
        <v>18444</v>
      </c>
      <c r="AU1787" s="6" t="s">
        <v>18533</v>
      </c>
      <c r="AV1787" s="6" t="s">
        <v>81</v>
      </c>
      <c r="AW1787" s="6" t="s">
        <v>81</v>
      </c>
      <c r="AX1787" s="6" t="s">
        <v>21888</v>
      </c>
      <c r="AY1787" s="6" t="s">
        <v>81</v>
      </c>
      <c r="AZ1787" s="6" t="s">
        <v>81</v>
      </c>
      <c r="BA1787" s="6" t="s">
        <v>81</v>
      </c>
      <c r="BB1787" s="24" t="n">
        <v>86</v>
      </c>
      <c r="BC1787" s="26"/>
      <c r="BD1787" s="26"/>
      <c r="BE1787" s="26"/>
      <c r="BF1787" s="26"/>
      <c r="BG1787" s="26"/>
      <c r="BH1787" s="26"/>
      <c r="BI1787" s="26"/>
      <c r="BJ1787" s="26"/>
      <c r="BK1787" s="26"/>
      <c r="BL1787" s="26"/>
      <c r="BM1787" s="26"/>
      <c r="BN1787" s="26"/>
      <c r="BO1787" s="26"/>
      <c r="BP1787" s="16" t="n">
        <v>45730</v>
      </c>
      <c r="BQ1787" s="28" t="str">
        <f>HYPERLINK("https://organic.ams.usda.gov/Integrity/Certificate.aspx?cid=90&amp;nopid=7170240811")</f>
        <v>https://organic.ams.usda.gov/Integrity/Certificate.aspx?cid=90&amp;nopid=7170240811</v>
      </c>
    </row>
    <row r="1788">
      <c r="A1788" t="s">
        <v>3</v>
      </c>
      <c r="B1788" s="6" t="s">
        <v>23</v>
      </c>
      <c r="C1788" s="6" t="s">
        <v>70</v>
      </c>
      <c r="D1788" s="6" t="s">
        <v>116</v>
      </c>
      <c r="E1788" s="10" t="s">
        <v>1929</v>
      </c>
      <c r="F1788" s="6" t="s">
        <v>4647</v>
      </c>
      <c r="G1788" s="6" t="s">
        <v>81</v>
      </c>
      <c r="H1788" s="6" t="s">
        <v>7528</v>
      </c>
      <c r="I1788" s="6" t="s">
        <v>8955</v>
      </c>
      <c r="J1788" s="6" t="s">
        <v>10148</v>
      </c>
      <c r="K1788" s="6" t="s">
        <v>10886</v>
      </c>
      <c r="L1788" s="16" t="n">
        <v>40145</v>
      </c>
      <c r="M1788" s="16" t="n">
        <v>45624</v>
      </c>
      <c r="N1788" s="6" t="s">
        <v>10886</v>
      </c>
      <c r="O1788" s="16" t="n">
        <v>40145</v>
      </c>
      <c r="P1788" s="6" t="s">
        <v>11954</v>
      </c>
      <c r="Q1788" s="6" t="s">
        <v>81</v>
      </c>
      <c r="R1788" s="6" t="s">
        <v>12935</v>
      </c>
      <c r="S1788" s="6" t="s">
        <v>10886</v>
      </c>
      <c r="T1788" s="16" t="n">
        <v>40145</v>
      </c>
      <c r="U1788" s="6" t="s">
        <v>13715</v>
      </c>
      <c r="V1788" s="6" t="s">
        <v>81</v>
      </c>
      <c r="W1788" s="6" t="s">
        <v>12935</v>
      </c>
      <c r="X1788" s="6" t="s">
        <v>81</v>
      </c>
      <c r="Y1788" s="21" t="s">
        <v>81</v>
      </c>
      <c r="Z1788" s="6" t="s">
        <v>81</v>
      </c>
      <c r="AA1788" s="6" t="s">
        <v>81</v>
      </c>
      <c r="AB1788" s="6" t="s">
        <v>81</v>
      </c>
      <c r="AC1788" s="6" t="s">
        <v>81</v>
      </c>
      <c r="AD1788" s="21" t="s">
        <v>81</v>
      </c>
      <c r="AE1788" s="6" t="s">
        <v>81</v>
      </c>
      <c r="AF1788" s="6" t="s">
        <v>81</v>
      </c>
      <c r="AG1788" s="6" t="s">
        <v>81</v>
      </c>
      <c r="AH1788" s="6" t="s">
        <v>81</v>
      </c>
      <c r="AI1788" s="6" t="s">
        <v>81</v>
      </c>
      <c r="AJ1788" s="6" t="s">
        <v>81</v>
      </c>
      <c r="AK1788" s="6" t="s">
        <v>81</v>
      </c>
      <c r="AL1788" s="6" t="s">
        <v>81</v>
      </c>
      <c r="AM1788" s="6" t="s">
        <v>81</v>
      </c>
      <c r="AN1788" s="6" t="s">
        <v>81</v>
      </c>
      <c r="AO1788" s="6" t="s">
        <v>81</v>
      </c>
      <c r="AP1788" s="6" t="s">
        <v>20328</v>
      </c>
      <c r="AQ1788" s="6" t="s">
        <v>81</v>
      </c>
      <c r="AR1788" s="6" t="s">
        <v>20503</v>
      </c>
      <c r="AS1788" s="6" t="s">
        <v>18386</v>
      </c>
      <c r="AT1788" s="6" t="s">
        <v>18444</v>
      </c>
      <c r="AU1788" s="6" t="s">
        <v>18667</v>
      </c>
      <c r="AV1788" s="6" t="s">
        <v>19651</v>
      </c>
      <c r="AW1788" s="6" t="s">
        <v>19864</v>
      </c>
      <c r="AX1788" s="6" t="s">
        <v>21360</v>
      </c>
      <c r="AY1788" s="6" t="s">
        <v>22914</v>
      </c>
      <c r="AZ1788" s="6" t="s">
        <v>81</v>
      </c>
      <c r="BA1788" s="6" t="s">
        <v>81</v>
      </c>
      <c r="BB1788" s="24" t="n">
        <v>737</v>
      </c>
      <c r="BC1788" s="26"/>
      <c r="BD1788" s="26"/>
      <c r="BE1788" s="26"/>
      <c r="BF1788" s="26"/>
      <c r="BG1788" s="26"/>
      <c r="BH1788" s="26"/>
      <c r="BI1788" s="26"/>
      <c r="BJ1788" s="26"/>
      <c r="BK1788" s="26"/>
      <c r="BL1788" s="26"/>
      <c r="BM1788" s="26"/>
      <c r="BN1788" s="26"/>
      <c r="BO1788" s="26"/>
      <c r="BP1788" s="16" t="n">
        <v>45530</v>
      </c>
      <c r="BQ1788" s="28" t="str">
        <f>HYPERLINK("https://organic.ams.usda.gov/Integrity/Certificate.aspx?cid=63&amp;nopid=6220005332")</f>
        <v>https://organic.ams.usda.gov/Integrity/Certificate.aspx?cid=63&amp;nopid=6220005332</v>
      </c>
    </row>
    <row r="1789">
      <c r="A1789" t="s">
        <v>3</v>
      </c>
      <c r="B1789" s="6" t="s">
        <v>41</v>
      </c>
      <c r="C1789" s="6" t="s">
        <v>88</v>
      </c>
      <c r="D1789" s="6" t="s">
        <v>133</v>
      </c>
      <c r="E1789" s="10" t="s">
        <v>1930</v>
      </c>
      <c r="F1789" s="6" t="s">
        <v>4648</v>
      </c>
      <c r="G1789" s="6" t="s">
        <v>81</v>
      </c>
      <c r="H1789" s="6" t="s">
        <v>7529</v>
      </c>
      <c r="I1789" s="6" t="s">
        <v>81</v>
      </c>
      <c r="J1789" s="6" t="s">
        <v>81</v>
      </c>
      <c r="K1789" s="6" t="s">
        <v>10886</v>
      </c>
      <c r="L1789" s="16" t="n">
        <v>44573</v>
      </c>
      <c r="M1789" s="16" t="n">
        <v>45564</v>
      </c>
      <c r="N1789" s="6" t="s">
        <v>81</v>
      </c>
      <c r="O1789" s="21" t="s">
        <v>81</v>
      </c>
      <c r="P1789" s="6" t="s">
        <v>81</v>
      </c>
      <c r="Q1789" s="6" t="s">
        <v>81</v>
      </c>
      <c r="R1789" s="6" t="s">
        <v>81</v>
      </c>
      <c r="S1789" s="6" t="s">
        <v>81</v>
      </c>
      <c r="T1789" s="21" t="s">
        <v>81</v>
      </c>
      <c r="U1789" s="6" t="s">
        <v>81</v>
      </c>
      <c r="V1789" s="6" t="s">
        <v>81</v>
      </c>
      <c r="W1789" s="6" t="s">
        <v>81</v>
      </c>
      <c r="X1789" s="6" t="s">
        <v>81</v>
      </c>
      <c r="Y1789" s="21" t="s">
        <v>81</v>
      </c>
      <c r="Z1789" s="6" t="s">
        <v>81</v>
      </c>
      <c r="AA1789" s="6" t="s">
        <v>81</v>
      </c>
      <c r="AB1789" s="6" t="s">
        <v>81</v>
      </c>
      <c r="AC1789" s="6" t="s">
        <v>10886</v>
      </c>
      <c r="AD1789" s="16" t="n">
        <v>44573</v>
      </c>
      <c r="AE1789" s="6" t="s">
        <v>14309</v>
      </c>
      <c r="AF1789" s="6" t="s">
        <v>81</v>
      </c>
      <c r="AG1789" s="6" t="s">
        <v>14575</v>
      </c>
      <c r="AH1789" s="6" t="s">
        <v>16347</v>
      </c>
      <c r="AI1789" s="6" t="s">
        <v>81</v>
      </c>
      <c r="AJ1789" s="6" t="s">
        <v>18104</v>
      </c>
      <c r="AK1789" s="6" t="s">
        <v>18386</v>
      </c>
      <c r="AL1789" s="6" t="s">
        <v>18444</v>
      </c>
      <c r="AM1789" s="6" t="s">
        <v>19302</v>
      </c>
      <c r="AN1789" s="6" t="s">
        <v>81</v>
      </c>
      <c r="AO1789" s="6" t="s">
        <v>81</v>
      </c>
      <c r="AP1789" s="6" t="s">
        <v>81</v>
      </c>
      <c r="AQ1789" s="6" t="s">
        <v>81</v>
      </c>
      <c r="AR1789" s="6" t="s">
        <v>81</v>
      </c>
      <c r="AS1789" s="6" t="s">
        <v>81</v>
      </c>
      <c r="AT1789" s="6" t="s">
        <v>81</v>
      </c>
      <c r="AU1789" s="6" t="s">
        <v>81</v>
      </c>
      <c r="AV1789" s="6" t="s">
        <v>81</v>
      </c>
      <c r="AW1789" s="6" t="s">
        <v>81</v>
      </c>
      <c r="AX1789" s="6" t="s">
        <v>81</v>
      </c>
      <c r="AY1789" s="6" t="s">
        <v>81</v>
      </c>
      <c r="AZ1789" s="6" t="s">
        <v>81</v>
      </c>
      <c r="BA1789" s="6" t="s">
        <v>81</v>
      </c>
      <c r="BB1789" s="24" t="n">
        <v>0</v>
      </c>
      <c r="BC1789" s="26"/>
      <c r="BD1789" s="26"/>
      <c r="BE1789" s="26"/>
      <c r="BF1789" s="26"/>
      <c r="BG1789" s="26"/>
      <c r="BH1789" s="26"/>
      <c r="BI1789" s="26"/>
      <c r="BJ1789" s="26"/>
      <c r="BK1789" s="26"/>
      <c r="BL1789" s="26"/>
      <c r="BM1789" s="26"/>
      <c r="BN1789" s="26"/>
      <c r="BO1789" s="26"/>
      <c r="BP1789" s="16" t="n">
        <v>45384</v>
      </c>
      <c r="BQ1789" s="28" t="str">
        <f>HYPERLINK("https://organic.ams.usda.gov/Integrity/Certificate.aspx?cid=12&amp;nopid=8699694035")</f>
        <v>https://organic.ams.usda.gov/Integrity/Certificate.aspx?cid=12&amp;nopid=8699694035</v>
      </c>
    </row>
    <row r="1790">
      <c r="A1790" t="s">
        <v>3</v>
      </c>
      <c r="B1790" s="6" t="s">
        <v>35</v>
      </c>
      <c r="C1790" s="6" t="s">
        <v>82</v>
      </c>
      <c r="D1790" s="6" t="s">
        <v>127</v>
      </c>
      <c r="E1790" s="10" t="s">
        <v>1931</v>
      </c>
      <c r="F1790" s="6" t="s">
        <v>4649</v>
      </c>
      <c r="G1790" s="6" t="s">
        <v>81</v>
      </c>
      <c r="H1790" s="6" t="s">
        <v>7530</v>
      </c>
      <c r="I1790" s="6" t="s">
        <v>9289</v>
      </c>
      <c r="J1790" s="6" t="s">
        <v>9704</v>
      </c>
      <c r="K1790" s="6" t="s">
        <v>10886</v>
      </c>
      <c r="L1790" s="16" t="n">
        <v>41788</v>
      </c>
      <c r="M1790" s="16" t="n">
        <v>45762</v>
      </c>
      <c r="N1790" s="6" t="s">
        <v>10886</v>
      </c>
      <c r="O1790" s="16" t="n">
        <v>41788</v>
      </c>
      <c r="P1790" s="6" t="s">
        <v>11955</v>
      </c>
      <c r="Q1790" s="6" t="s">
        <v>81</v>
      </c>
      <c r="R1790" s="6" t="s">
        <v>12936</v>
      </c>
      <c r="S1790" s="6" t="s">
        <v>10886</v>
      </c>
      <c r="T1790" s="16" t="n">
        <v>41788</v>
      </c>
      <c r="U1790" s="6" t="s">
        <v>13716</v>
      </c>
      <c r="V1790" s="6" t="s">
        <v>81</v>
      </c>
      <c r="W1790" s="6" t="s">
        <v>12936</v>
      </c>
      <c r="X1790" s="6" t="s">
        <v>81</v>
      </c>
      <c r="Y1790" s="21" t="s">
        <v>81</v>
      </c>
      <c r="Z1790" s="6" t="s">
        <v>81</v>
      </c>
      <c r="AA1790" s="6" t="s">
        <v>81</v>
      </c>
      <c r="AB1790" s="6" t="s">
        <v>81</v>
      </c>
      <c r="AC1790" s="6" t="s">
        <v>10886</v>
      </c>
      <c r="AD1790" s="16" t="n">
        <v>41788</v>
      </c>
      <c r="AE1790" s="6" t="s">
        <v>14310</v>
      </c>
      <c r="AF1790" s="6" t="s">
        <v>81</v>
      </c>
      <c r="AG1790" s="6" t="s">
        <v>12936</v>
      </c>
      <c r="AH1790" s="6" t="s">
        <v>16348</v>
      </c>
      <c r="AI1790" s="6" t="s">
        <v>81</v>
      </c>
      <c r="AJ1790" s="6" t="s">
        <v>17848</v>
      </c>
      <c r="AK1790" s="6" t="s">
        <v>18405</v>
      </c>
      <c r="AL1790" s="6" t="s">
        <v>18444</v>
      </c>
      <c r="AM1790" s="6" t="s">
        <v>19303</v>
      </c>
      <c r="AN1790" s="6" t="s">
        <v>19683</v>
      </c>
      <c r="AO1790" s="6" t="s">
        <v>20017</v>
      </c>
      <c r="AP1790" s="6" t="s">
        <v>16348</v>
      </c>
      <c r="AQ1790" s="6" t="s">
        <v>81</v>
      </c>
      <c r="AR1790" s="6" t="s">
        <v>17848</v>
      </c>
      <c r="AS1790" s="6" t="s">
        <v>18405</v>
      </c>
      <c r="AT1790" s="6" t="s">
        <v>18444</v>
      </c>
      <c r="AU1790" s="6" t="s">
        <v>19303</v>
      </c>
      <c r="AV1790" s="6" t="s">
        <v>81</v>
      </c>
      <c r="AW1790" s="6" t="s">
        <v>81</v>
      </c>
      <c r="AX1790" s="6" t="s">
        <v>21889</v>
      </c>
      <c r="AY1790" s="6" t="s">
        <v>23187</v>
      </c>
      <c r="AZ1790" s="6" t="s">
        <v>23715</v>
      </c>
      <c r="BA1790" s="6" t="s">
        <v>81</v>
      </c>
      <c r="BB1790" s="24" t="n">
        <v>926</v>
      </c>
      <c r="BC1790" s="26"/>
      <c r="BD1790" s="26"/>
      <c r="BE1790" s="26"/>
      <c r="BF1790" s="26"/>
      <c r="BG1790" s="26"/>
      <c r="BH1790" s="26"/>
      <c r="BI1790" s="26"/>
      <c r="BJ1790" s="26"/>
      <c r="BK1790" s="26"/>
      <c r="BL1790" s="26"/>
      <c r="BM1790" s="26"/>
      <c r="BN1790" s="26"/>
      <c r="BO1790" s="26"/>
      <c r="BP1790" s="16" t="n">
        <v>45738</v>
      </c>
      <c r="BQ1790" s="28" t="str">
        <f>HYPERLINK("https://organic.ams.usda.gov/Integrity/Certificate.aspx?cid=47&amp;nopid=7142074245")</f>
        <v>https://organic.ams.usda.gov/Integrity/Certificate.aspx?cid=47&amp;nopid=7142074245</v>
      </c>
    </row>
    <row r="1791">
      <c r="A1791" t="s">
        <v>3</v>
      </c>
      <c r="B1791" s="6" t="s">
        <v>16</v>
      </c>
      <c r="C1791" s="6" t="s">
        <v>63</v>
      </c>
      <c r="D1791" s="6" t="s">
        <v>109</v>
      </c>
      <c r="E1791" s="10" t="s">
        <v>1932</v>
      </c>
      <c r="F1791" s="6" t="s">
        <v>4650</v>
      </c>
      <c r="G1791" s="6" t="s">
        <v>81</v>
      </c>
      <c r="H1791" s="6" t="s">
        <v>7531</v>
      </c>
      <c r="I1791" s="6" t="s">
        <v>8707</v>
      </c>
      <c r="J1791" s="6" t="s">
        <v>10451</v>
      </c>
      <c r="K1791" s="6" t="s">
        <v>10886</v>
      </c>
      <c r="L1791" s="16" t="n">
        <v>40914</v>
      </c>
      <c r="M1791" s="16" t="n">
        <v>45731</v>
      </c>
      <c r="N1791" s="6" t="s">
        <v>10886</v>
      </c>
      <c r="O1791" s="16" t="n">
        <v>40914</v>
      </c>
      <c r="P1791" s="6" t="s">
        <v>11544</v>
      </c>
      <c r="Q1791" s="6" t="s">
        <v>81</v>
      </c>
      <c r="R1791" s="6" t="s">
        <v>81</v>
      </c>
      <c r="S1791" s="6" t="s">
        <v>10886</v>
      </c>
      <c r="T1791" s="16" t="n">
        <v>40914</v>
      </c>
      <c r="U1791" s="6" t="s">
        <v>13551</v>
      </c>
      <c r="V1791" s="6" t="s">
        <v>81</v>
      </c>
      <c r="W1791" s="6" t="s">
        <v>81</v>
      </c>
      <c r="X1791" s="6" t="s">
        <v>81</v>
      </c>
      <c r="Y1791" s="21" t="s">
        <v>81</v>
      </c>
      <c r="Z1791" s="6" t="s">
        <v>81</v>
      </c>
      <c r="AA1791" s="6" t="s">
        <v>81</v>
      </c>
      <c r="AB1791" s="6" t="s">
        <v>81</v>
      </c>
      <c r="AC1791" s="6" t="s">
        <v>10886</v>
      </c>
      <c r="AD1791" s="16" t="n">
        <v>40914</v>
      </c>
      <c r="AE1791" s="6" t="s">
        <v>81</v>
      </c>
      <c r="AF1791" s="6" t="s">
        <v>81</v>
      </c>
      <c r="AG1791" s="6" t="s">
        <v>81</v>
      </c>
      <c r="AH1791" s="6" t="s">
        <v>16349</v>
      </c>
      <c r="AI1791" s="6" t="s">
        <v>81</v>
      </c>
      <c r="AJ1791" s="6" t="s">
        <v>17334</v>
      </c>
      <c r="AK1791" s="6" t="s">
        <v>18383</v>
      </c>
      <c r="AL1791" s="6" t="s">
        <v>18444</v>
      </c>
      <c r="AM1791" s="6" t="s">
        <v>19304</v>
      </c>
      <c r="AN1791" s="6" t="s">
        <v>19683</v>
      </c>
      <c r="AO1791" s="6" t="s">
        <v>19751</v>
      </c>
      <c r="AP1791" s="6" t="s">
        <v>20329</v>
      </c>
      <c r="AQ1791" s="6" t="s">
        <v>81</v>
      </c>
      <c r="AR1791" s="6" t="s">
        <v>17334</v>
      </c>
      <c r="AS1791" s="6" t="s">
        <v>18383</v>
      </c>
      <c r="AT1791" s="6" t="s">
        <v>18444</v>
      </c>
      <c r="AU1791" s="6" t="s">
        <v>19304</v>
      </c>
      <c r="AV1791" s="6" t="s">
        <v>81</v>
      </c>
      <c r="AW1791" s="6" t="s">
        <v>81</v>
      </c>
      <c r="AX1791" s="6" t="s">
        <v>21890</v>
      </c>
      <c r="AY1791" s="6" t="s">
        <v>81</v>
      </c>
      <c r="AZ1791" s="6" t="s">
        <v>81</v>
      </c>
      <c r="BA1791" s="6" t="s">
        <v>81</v>
      </c>
      <c r="BB1791" s="24" t="n">
        <v>983</v>
      </c>
      <c r="BC1791" s="26"/>
      <c r="BD1791" s="26"/>
      <c r="BE1791" s="26"/>
      <c r="BF1791" s="26"/>
      <c r="BG1791" s="26"/>
      <c r="BH1791" s="26"/>
      <c r="BI1791" s="26"/>
      <c r="BJ1791" s="26"/>
      <c r="BK1791" s="26"/>
      <c r="BL1791" s="26"/>
      <c r="BM1791" s="26"/>
      <c r="BN1791" s="26"/>
      <c r="BO1791" s="26"/>
      <c r="BP1791" s="16" t="n">
        <v>45701</v>
      </c>
      <c r="BQ1791" s="28" t="str">
        <f>HYPERLINK("https://organic.ams.usda.gov/Integrity/Certificate.aspx?cid=81&amp;nopid=4210012001")</f>
        <v>https://organic.ams.usda.gov/Integrity/Certificate.aspx?cid=81&amp;nopid=4210012001</v>
      </c>
    </row>
    <row r="1792">
      <c r="A1792" t="s">
        <v>3</v>
      </c>
      <c r="B1792" s="6" t="s">
        <v>29</v>
      </c>
      <c r="C1792" s="6" t="s">
        <v>76</v>
      </c>
      <c r="D1792" s="6" t="s">
        <v>122</v>
      </c>
      <c r="E1792" s="10" t="s">
        <v>1933</v>
      </c>
      <c r="F1792" s="6" t="s">
        <v>4651</v>
      </c>
      <c r="G1792" s="6" t="s">
        <v>81</v>
      </c>
      <c r="H1792" s="6" t="s">
        <v>7532</v>
      </c>
      <c r="I1792" s="6" t="s">
        <v>8407</v>
      </c>
      <c r="J1792" s="6" t="s">
        <v>9740</v>
      </c>
      <c r="K1792" s="6" t="s">
        <v>10886</v>
      </c>
      <c r="L1792" s="16" t="n">
        <v>42716</v>
      </c>
      <c r="M1792" s="16" t="n">
        <v>45870</v>
      </c>
      <c r="N1792" s="6" t="s">
        <v>10886</v>
      </c>
      <c r="O1792" s="16" t="n">
        <v>42716</v>
      </c>
      <c r="P1792" s="6" t="s">
        <v>11956</v>
      </c>
      <c r="Q1792" s="6" t="s">
        <v>81</v>
      </c>
      <c r="R1792" s="6" t="s">
        <v>12937</v>
      </c>
      <c r="S1792" s="6" t="s">
        <v>10886</v>
      </c>
      <c r="T1792" s="16" t="n">
        <v>42840</v>
      </c>
      <c r="U1792" s="6" t="s">
        <v>13222</v>
      </c>
      <c r="V1792" s="6" t="s">
        <v>81</v>
      </c>
      <c r="W1792" s="6" t="s">
        <v>12937</v>
      </c>
      <c r="X1792" s="6" t="s">
        <v>81</v>
      </c>
      <c r="Y1792" s="21" t="s">
        <v>81</v>
      </c>
      <c r="Z1792" s="6" t="s">
        <v>81</v>
      </c>
      <c r="AA1792" s="6" t="s">
        <v>81</v>
      </c>
      <c r="AB1792" s="6" t="s">
        <v>81</v>
      </c>
      <c r="AC1792" s="6" t="s">
        <v>81</v>
      </c>
      <c r="AD1792" s="21" t="s">
        <v>81</v>
      </c>
      <c r="AE1792" s="6" t="s">
        <v>81</v>
      </c>
      <c r="AF1792" s="6" t="s">
        <v>81</v>
      </c>
      <c r="AG1792" s="6" t="s">
        <v>81</v>
      </c>
      <c r="AH1792" s="6" t="s">
        <v>16350</v>
      </c>
      <c r="AI1792" s="6" t="s">
        <v>81</v>
      </c>
      <c r="AJ1792" s="6" t="s">
        <v>18105</v>
      </c>
      <c r="AK1792" s="6" t="s">
        <v>18391</v>
      </c>
      <c r="AL1792" s="6" t="s">
        <v>18444</v>
      </c>
      <c r="AM1792" s="6" t="s">
        <v>18743</v>
      </c>
      <c r="AN1792" s="6" t="s">
        <v>81</v>
      </c>
      <c r="AO1792" s="6" t="s">
        <v>81</v>
      </c>
      <c r="AP1792" s="6" t="s">
        <v>81</v>
      </c>
      <c r="AQ1792" s="6" t="s">
        <v>81</v>
      </c>
      <c r="AR1792" s="6" t="s">
        <v>81</v>
      </c>
      <c r="AS1792" s="6" t="s">
        <v>81</v>
      </c>
      <c r="AT1792" s="6" t="s">
        <v>81</v>
      </c>
      <c r="AU1792" s="6" t="s">
        <v>81</v>
      </c>
      <c r="AV1792" s="6" t="s">
        <v>81</v>
      </c>
      <c r="AW1792" s="6" t="s">
        <v>81</v>
      </c>
      <c r="AX1792" s="6" t="s">
        <v>21891</v>
      </c>
      <c r="AY1792" s="6" t="s">
        <v>81</v>
      </c>
      <c r="AZ1792" s="6" t="s">
        <v>81</v>
      </c>
      <c r="BA1792" s="6" t="s">
        <v>81</v>
      </c>
      <c r="BB1792" s="24" t="n">
        <v>186</v>
      </c>
      <c r="BC1792" s="26"/>
      <c r="BD1792" s="26"/>
      <c r="BE1792" s="26"/>
      <c r="BF1792" s="26" t="s">
        <v>23900</v>
      </c>
      <c r="BG1792" s="26"/>
      <c r="BH1792" s="26"/>
      <c r="BI1792" s="26"/>
      <c r="BJ1792" s="26"/>
      <c r="BK1792" s="26"/>
      <c r="BL1792" s="26"/>
      <c r="BM1792" s="26"/>
      <c r="BN1792" s="26"/>
      <c r="BO1792" s="26"/>
      <c r="BP1792" s="16" t="n">
        <v>45737</v>
      </c>
      <c r="BQ1792" s="28" t="str">
        <f>HYPERLINK("https://organic.ams.usda.gov/Integrity/Certificate.aspx?cid=31&amp;nopid=3928971757")</f>
        <v>https://organic.ams.usda.gov/Integrity/Certificate.aspx?cid=31&amp;nopid=3928971757</v>
      </c>
    </row>
    <row r="1793">
      <c r="A1793" t="s">
        <v>3</v>
      </c>
      <c r="B1793" s="6" t="s">
        <v>25</v>
      </c>
      <c r="C1793" s="6" t="s">
        <v>72</v>
      </c>
      <c r="D1793" s="6" t="s">
        <v>118</v>
      </c>
      <c r="E1793" s="10" t="s">
        <v>1934</v>
      </c>
      <c r="F1793" s="6" t="s">
        <v>4652</v>
      </c>
      <c r="G1793" s="6" t="s">
        <v>81</v>
      </c>
      <c r="H1793" s="6" t="s">
        <v>7533</v>
      </c>
      <c r="I1793" s="6" t="s">
        <v>9290</v>
      </c>
      <c r="J1793" s="6" t="s">
        <v>10452</v>
      </c>
      <c r="K1793" s="6" t="s">
        <v>10886</v>
      </c>
      <c r="L1793" s="16" t="n">
        <v>45384</v>
      </c>
      <c r="M1793" s="16" t="n">
        <v>46023</v>
      </c>
      <c r="N1793" s="6" t="s">
        <v>10886</v>
      </c>
      <c r="O1793" s="16" t="n">
        <v>45384</v>
      </c>
      <c r="P1793" s="6" t="s">
        <v>11957</v>
      </c>
      <c r="Q1793" s="6" t="s">
        <v>81</v>
      </c>
      <c r="R1793" s="6" t="s">
        <v>81</v>
      </c>
      <c r="S1793" s="6" t="s">
        <v>10886</v>
      </c>
      <c r="T1793" s="16" t="n">
        <v>45432</v>
      </c>
      <c r="U1793" s="6" t="s">
        <v>13717</v>
      </c>
      <c r="V1793" s="6" t="s">
        <v>81</v>
      </c>
      <c r="W1793" s="6" t="s">
        <v>81</v>
      </c>
      <c r="X1793" s="6" t="s">
        <v>81</v>
      </c>
      <c r="Y1793" s="21" t="s">
        <v>81</v>
      </c>
      <c r="Z1793" s="6" t="s">
        <v>81</v>
      </c>
      <c r="AA1793" s="6" t="s">
        <v>81</v>
      </c>
      <c r="AB1793" s="6" t="s">
        <v>81</v>
      </c>
      <c r="AC1793" s="6" t="s">
        <v>10886</v>
      </c>
      <c r="AD1793" s="16" t="n">
        <v>45432</v>
      </c>
      <c r="AE1793" s="6" t="s">
        <v>14081</v>
      </c>
      <c r="AF1793" s="6" t="s">
        <v>81</v>
      </c>
      <c r="AG1793" s="6" t="s">
        <v>81</v>
      </c>
      <c r="AH1793" s="6" t="s">
        <v>16351</v>
      </c>
      <c r="AI1793" s="6" t="s">
        <v>81</v>
      </c>
      <c r="AJ1793" s="6" t="s">
        <v>17661</v>
      </c>
      <c r="AK1793" s="6" t="s">
        <v>18152</v>
      </c>
      <c r="AL1793" s="6" t="s">
        <v>18444</v>
      </c>
      <c r="AM1793" s="6" t="s">
        <v>18829</v>
      </c>
      <c r="AN1793" s="6" t="s">
        <v>81</v>
      </c>
      <c r="AO1793" s="6" t="s">
        <v>81</v>
      </c>
      <c r="AP1793" s="6" t="s">
        <v>20330</v>
      </c>
      <c r="AQ1793" s="6" t="s">
        <v>81</v>
      </c>
      <c r="AR1793" s="6" t="s">
        <v>20553</v>
      </c>
      <c r="AS1793" s="6" t="s">
        <v>18152</v>
      </c>
      <c r="AT1793" s="6" t="s">
        <v>18444</v>
      </c>
      <c r="AU1793" s="6" t="s">
        <v>20681</v>
      </c>
      <c r="AV1793" s="6" t="s">
        <v>81</v>
      </c>
      <c r="AW1793" s="6" t="s">
        <v>81</v>
      </c>
      <c r="AX1793" s="6" t="s">
        <v>21892</v>
      </c>
      <c r="AY1793" s="6" t="s">
        <v>23188</v>
      </c>
      <c r="AZ1793" s="6" t="s">
        <v>81</v>
      </c>
      <c r="BA1793" s="6" t="s">
        <v>23827</v>
      </c>
      <c r="BB1793" s="24" t="n">
        <v>915</v>
      </c>
      <c r="BC1793" s="26"/>
      <c r="BD1793" s="26"/>
      <c r="BE1793" s="26"/>
      <c r="BF1793" s="26" t="s">
        <v>23900</v>
      </c>
      <c r="BG1793" s="26"/>
      <c r="BH1793" s="26"/>
      <c r="BI1793" s="26"/>
      <c r="BJ1793" s="26"/>
      <c r="BK1793" s="26"/>
      <c r="BL1793" s="26"/>
      <c r="BM1793" s="26"/>
      <c r="BN1793" s="26"/>
      <c r="BO1793" s="26"/>
      <c r="BP1793" s="16" t="n">
        <v>45714</v>
      </c>
      <c r="BQ1793" s="28" t="str">
        <f>HYPERLINK("https://organic.ams.usda.gov/Integrity/Certificate.aspx?cid=15&amp;nopid=5561008353")</f>
        <v>https://organic.ams.usda.gov/Integrity/Certificate.aspx?cid=15&amp;nopid=5561008353</v>
      </c>
    </row>
    <row r="1794">
      <c r="A1794" t="s">
        <v>3</v>
      </c>
      <c r="B1794" s="6" t="s">
        <v>9</v>
      </c>
      <c r="C1794" s="6" t="s">
        <v>56</v>
      </c>
      <c r="D1794" s="6" t="s">
        <v>102</v>
      </c>
      <c r="E1794" s="10" t="s">
        <v>1935</v>
      </c>
      <c r="F1794" s="6" t="s">
        <v>4653</v>
      </c>
      <c r="G1794" s="6" t="s">
        <v>81</v>
      </c>
      <c r="H1794" s="6" t="s">
        <v>7534</v>
      </c>
      <c r="I1794" s="6" t="s">
        <v>9291</v>
      </c>
      <c r="J1794" s="6" t="s">
        <v>10453</v>
      </c>
      <c r="K1794" s="6" t="s">
        <v>10886</v>
      </c>
      <c r="L1794" s="16" t="n">
        <v>42527</v>
      </c>
      <c r="M1794" s="16" t="n">
        <v>45748</v>
      </c>
      <c r="N1794" s="6" t="s">
        <v>10886</v>
      </c>
      <c r="O1794" s="16" t="n">
        <v>42527</v>
      </c>
      <c r="P1794" s="6" t="s">
        <v>11239</v>
      </c>
      <c r="Q1794" s="6" t="s">
        <v>81</v>
      </c>
      <c r="R1794" s="6" t="s">
        <v>12938</v>
      </c>
      <c r="S1794" s="6" t="s">
        <v>10886</v>
      </c>
      <c r="T1794" s="16" t="n">
        <v>42527</v>
      </c>
      <c r="U1794" s="6" t="s">
        <v>13718</v>
      </c>
      <c r="V1794" s="6" t="s">
        <v>81</v>
      </c>
      <c r="W1794" s="6" t="s">
        <v>12938</v>
      </c>
      <c r="X1794" s="6" t="s">
        <v>81</v>
      </c>
      <c r="Y1794" s="21" t="s">
        <v>81</v>
      </c>
      <c r="Z1794" s="6" t="s">
        <v>81</v>
      </c>
      <c r="AA1794" s="6" t="s">
        <v>81</v>
      </c>
      <c r="AB1794" s="6" t="s">
        <v>81</v>
      </c>
      <c r="AC1794" s="6" t="s">
        <v>81</v>
      </c>
      <c r="AD1794" s="21" t="s">
        <v>81</v>
      </c>
      <c r="AE1794" s="6" t="s">
        <v>81</v>
      </c>
      <c r="AF1794" s="6" t="s">
        <v>81</v>
      </c>
      <c r="AG1794" s="6" t="s">
        <v>81</v>
      </c>
      <c r="AH1794" s="6" t="s">
        <v>16352</v>
      </c>
      <c r="AI1794" s="6" t="s">
        <v>81</v>
      </c>
      <c r="AJ1794" s="6" t="s">
        <v>17818</v>
      </c>
      <c r="AK1794" s="6" t="s">
        <v>18377</v>
      </c>
      <c r="AL1794" s="6" t="s">
        <v>18444</v>
      </c>
      <c r="AM1794" s="6" t="s">
        <v>18997</v>
      </c>
      <c r="AN1794" s="6" t="s">
        <v>6332</v>
      </c>
      <c r="AO1794" s="6" t="s">
        <v>19885</v>
      </c>
      <c r="AP1794" s="6" t="s">
        <v>81</v>
      </c>
      <c r="AQ1794" s="6" t="s">
        <v>81</v>
      </c>
      <c r="AR1794" s="6" t="s">
        <v>81</v>
      </c>
      <c r="AS1794" s="6" t="s">
        <v>81</v>
      </c>
      <c r="AT1794" s="6" t="s">
        <v>81</v>
      </c>
      <c r="AU1794" s="6" t="s">
        <v>81</v>
      </c>
      <c r="AV1794" s="6" t="s">
        <v>81</v>
      </c>
      <c r="AW1794" s="6" t="s">
        <v>81</v>
      </c>
      <c r="AX1794" s="6" t="s">
        <v>21893</v>
      </c>
      <c r="AY1794" s="6" t="s">
        <v>81</v>
      </c>
      <c r="AZ1794" s="6" t="s">
        <v>81</v>
      </c>
      <c r="BA1794" s="6" t="s">
        <v>81</v>
      </c>
      <c r="BB1794" s="24" t="n">
        <v>229</v>
      </c>
      <c r="BC1794" s="26"/>
      <c r="BD1794" s="26"/>
      <c r="BE1794" s="26"/>
      <c r="BF1794" s="26"/>
      <c r="BG1794" s="26"/>
      <c r="BH1794" s="26"/>
      <c r="BI1794" s="26"/>
      <c r="BJ1794" s="26"/>
      <c r="BK1794" s="26"/>
      <c r="BL1794" s="26"/>
      <c r="BM1794" s="26"/>
      <c r="BN1794" s="26"/>
      <c r="BO1794" s="26"/>
      <c r="BP1794" s="16" t="n">
        <v>45738</v>
      </c>
      <c r="BQ1794" s="28" t="str">
        <f>HYPERLINK("https://organic.ams.usda.gov/Integrity/Certificate.aspx?cid=52&amp;nopid=8431501153")</f>
        <v>https://organic.ams.usda.gov/Integrity/Certificate.aspx?cid=52&amp;nopid=8431501153</v>
      </c>
    </row>
    <row r="1795">
      <c r="A1795" t="s">
        <v>3</v>
      </c>
      <c r="B1795" s="6" t="s">
        <v>29</v>
      </c>
      <c r="C1795" s="6" t="s">
        <v>76</v>
      </c>
      <c r="D1795" s="6" t="s">
        <v>122</v>
      </c>
      <c r="E1795" s="10" t="s">
        <v>1936</v>
      </c>
      <c r="F1795" s="6" t="s">
        <v>4654</v>
      </c>
      <c r="G1795" s="6" t="s">
        <v>81</v>
      </c>
      <c r="H1795" s="6" t="s">
        <v>7535</v>
      </c>
      <c r="I1795" s="6" t="s">
        <v>8744</v>
      </c>
      <c r="J1795" s="6" t="s">
        <v>9760</v>
      </c>
      <c r="K1795" s="6" t="s">
        <v>10886</v>
      </c>
      <c r="L1795" s="16" t="n">
        <v>40116</v>
      </c>
      <c r="M1795" s="16" t="n">
        <v>45870</v>
      </c>
      <c r="N1795" s="6" t="s">
        <v>10886</v>
      </c>
      <c r="O1795" s="16" t="n">
        <v>40116</v>
      </c>
      <c r="P1795" s="6" t="s">
        <v>11958</v>
      </c>
      <c r="Q1795" s="6" t="s">
        <v>81</v>
      </c>
      <c r="R1795" s="6" t="s">
        <v>12939</v>
      </c>
      <c r="S1795" s="6" t="s">
        <v>10886</v>
      </c>
      <c r="T1795" s="16" t="n">
        <v>40116</v>
      </c>
      <c r="U1795" s="6" t="s">
        <v>13719</v>
      </c>
      <c r="V1795" s="6" t="s">
        <v>81</v>
      </c>
      <c r="W1795" s="6" t="s">
        <v>12939</v>
      </c>
      <c r="X1795" s="6" t="s">
        <v>81</v>
      </c>
      <c r="Y1795" s="21" t="s">
        <v>81</v>
      </c>
      <c r="Z1795" s="6" t="s">
        <v>81</v>
      </c>
      <c r="AA1795" s="6" t="s">
        <v>81</v>
      </c>
      <c r="AB1795" s="6" t="s">
        <v>81</v>
      </c>
      <c r="AC1795" s="6" t="s">
        <v>81</v>
      </c>
      <c r="AD1795" s="21" t="s">
        <v>81</v>
      </c>
      <c r="AE1795" s="6" t="s">
        <v>81</v>
      </c>
      <c r="AF1795" s="6" t="s">
        <v>81</v>
      </c>
      <c r="AG1795" s="6" t="s">
        <v>81</v>
      </c>
      <c r="AH1795" s="6" t="s">
        <v>16353</v>
      </c>
      <c r="AI1795" s="6" t="s">
        <v>81</v>
      </c>
      <c r="AJ1795" s="6" t="s">
        <v>17324</v>
      </c>
      <c r="AK1795" s="6" t="s">
        <v>18378</v>
      </c>
      <c r="AL1795" s="6" t="s">
        <v>18444</v>
      </c>
      <c r="AM1795" s="6" t="s">
        <v>18476</v>
      </c>
      <c r="AN1795" s="6" t="s">
        <v>19647</v>
      </c>
      <c r="AO1795" s="6" t="s">
        <v>19734</v>
      </c>
      <c r="AP1795" s="6" t="s">
        <v>81</v>
      </c>
      <c r="AQ1795" s="6" t="s">
        <v>81</v>
      </c>
      <c r="AR1795" s="6" t="s">
        <v>81</v>
      </c>
      <c r="AS1795" s="6" t="s">
        <v>81</v>
      </c>
      <c r="AT1795" s="6" t="s">
        <v>81</v>
      </c>
      <c r="AU1795" s="6" t="s">
        <v>81</v>
      </c>
      <c r="AV1795" s="6" t="s">
        <v>81</v>
      </c>
      <c r="AW1795" s="6" t="s">
        <v>81</v>
      </c>
      <c r="AX1795" s="6" t="s">
        <v>21894</v>
      </c>
      <c r="AY1795" s="6" t="s">
        <v>81</v>
      </c>
      <c r="AZ1795" s="6" t="s">
        <v>81</v>
      </c>
      <c r="BA1795" s="6" t="s">
        <v>81</v>
      </c>
      <c r="BB1795" s="24" t="n">
        <v>125</v>
      </c>
      <c r="BC1795" s="26"/>
      <c r="BD1795" s="26"/>
      <c r="BE1795" s="26"/>
      <c r="BF1795" s="26" t="s">
        <v>23900</v>
      </c>
      <c r="BG1795" s="26"/>
      <c r="BH1795" s="26"/>
      <c r="BI1795" s="26"/>
      <c r="BJ1795" s="26"/>
      <c r="BK1795" s="26"/>
      <c r="BL1795" s="26"/>
      <c r="BM1795" s="26"/>
      <c r="BN1795" s="26"/>
      <c r="BO1795" s="26"/>
      <c r="BP1795" s="16" t="n">
        <v>45737</v>
      </c>
      <c r="BQ1795" s="28" t="str">
        <f>HYPERLINK("https://organic.ams.usda.gov/Integrity/Certificate.aspx?cid=31&amp;nopid=3920897899")</f>
        <v>https://organic.ams.usda.gov/Integrity/Certificate.aspx?cid=31&amp;nopid=3920897899</v>
      </c>
    </row>
    <row r="1796">
      <c r="A1796" t="s">
        <v>3</v>
      </c>
      <c r="B1796" s="6" t="s">
        <v>21</v>
      </c>
      <c r="C1796" s="6" t="s">
        <v>68</v>
      </c>
      <c r="D1796" s="6" t="s">
        <v>114</v>
      </c>
      <c r="E1796" s="10" t="s">
        <v>1937</v>
      </c>
      <c r="F1796" s="6" t="s">
        <v>4655</v>
      </c>
      <c r="G1796" s="6" t="s">
        <v>81</v>
      </c>
      <c r="H1796" s="6" t="s">
        <v>7536</v>
      </c>
      <c r="I1796" s="6" t="s">
        <v>8850</v>
      </c>
      <c r="J1796" s="6" t="s">
        <v>10062</v>
      </c>
      <c r="K1796" s="6" t="s">
        <v>10886</v>
      </c>
      <c r="L1796" s="16" t="n">
        <v>37375</v>
      </c>
      <c r="M1796" s="16" t="n">
        <v>46023</v>
      </c>
      <c r="N1796" s="6" t="s">
        <v>81</v>
      </c>
      <c r="O1796" s="21" t="s">
        <v>81</v>
      </c>
      <c r="P1796" s="6" t="s">
        <v>81</v>
      </c>
      <c r="Q1796" s="6" t="s">
        <v>81</v>
      </c>
      <c r="R1796" s="6" t="s">
        <v>81</v>
      </c>
      <c r="S1796" s="6" t="s">
        <v>81</v>
      </c>
      <c r="T1796" s="21" t="s">
        <v>81</v>
      </c>
      <c r="U1796" s="6" t="s">
        <v>81</v>
      </c>
      <c r="V1796" s="6" t="s">
        <v>81</v>
      </c>
      <c r="W1796" s="6" t="s">
        <v>81</v>
      </c>
      <c r="X1796" s="6" t="s">
        <v>81</v>
      </c>
      <c r="Y1796" s="21" t="s">
        <v>81</v>
      </c>
      <c r="Z1796" s="6" t="s">
        <v>81</v>
      </c>
      <c r="AA1796" s="6" t="s">
        <v>81</v>
      </c>
      <c r="AB1796" s="6" t="s">
        <v>81</v>
      </c>
      <c r="AC1796" s="6" t="s">
        <v>10886</v>
      </c>
      <c r="AD1796" s="16" t="n">
        <v>37375</v>
      </c>
      <c r="AE1796" s="6" t="s">
        <v>14311</v>
      </c>
      <c r="AF1796" s="6" t="s">
        <v>81</v>
      </c>
      <c r="AG1796" s="6" t="s">
        <v>81</v>
      </c>
      <c r="AH1796" s="6" t="s">
        <v>81</v>
      </c>
      <c r="AI1796" s="6" t="s">
        <v>81</v>
      </c>
      <c r="AJ1796" s="6" t="s">
        <v>81</v>
      </c>
      <c r="AK1796" s="6" t="s">
        <v>81</v>
      </c>
      <c r="AL1796" s="6" t="s">
        <v>81</v>
      </c>
      <c r="AM1796" s="6" t="s">
        <v>81</v>
      </c>
      <c r="AN1796" s="6" t="s">
        <v>81</v>
      </c>
      <c r="AO1796" s="6" t="s">
        <v>81</v>
      </c>
      <c r="AP1796" s="6" t="s">
        <v>20331</v>
      </c>
      <c r="AQ1796" s="6" t="s">
        <v>81</v>
      </c>
      <c r="AR1796" s="6" t="s">
        <v>20520</v>
      </c>
      <c r="AS1796" s="6" t="s">
        <v>18386</v>
      </c>
      <c r="AT1796" s="6" t="s">
        <v>18444</v>
      </c>
      <c r="AU1796" s="6" t="s">
        <v>20635</v>
      </c>
      <c r="AV1796" s="6" t="s">
        <v>19642</v>
      </c>
      <c r="AW1796" s="6" t="s">
        <v>19798</v>
      </c>
      <c r="AX1796" s="6" t="s">
        <v>21239</v>
      </c>
      <c r="AY1796" s="6" t="s">
        <v>22842</v>
      </c>
      <c r="AZ1796" s="6" t="s">
        <v>23716</v>
      </c>
      <c r="BA1796" s="6" t="s">
        <v>81</v>
      </c>
      <c r="BB1796" s="6" t="s">
        <v>81</v>
      </c>
      <c r="BC1796" s="26" t="s">
        <v>23900</v>
      </c>
      <c r="BD1796" s="26"/>
      <c r="BE1796" s="26"/>
      <c r="BF1796" s="26"/>
      <c r="BG1796" s="26"/>
      <c r="BH1796" s="26"/>
      <c r="BI1796" s="26"/>
      <c r="BJ1796" s="26"/>
      <c r="BK1796" s="26"/>
      <c r="BL1796" s="26"/>
      <c r="BM1796" s="26"/>
      <c r="BN1796" s="26"/>
      <c r="BO1796" s="26"/>
      <c r="BP1796" s="16" t="n">
        <v>45720</v>
      </c>
      <c r="BQ1796" s="28" t="str">
        <f>HYPERLINK("https://organic.ams.usda.gov/Integrity/Certificate.aspx?cid=62&amp;nopid=8150001559")</f>
        <v>https://organic.ams.usda.gov/Integrity/Certificate.aspx?cid=62&amp;nopid=8150001559</v>
      </c>
    </row>
    <row r="1797">
      <c r="A1797" t="s">
        <v>3</v>
      </c>
      <c r="B1797" s="6" t="s">
        <v>8</v>
      </c>
      <c r="C1797" s="6" t="s">
        <v>55</v>
      </c>
      <c r="D1797" s="6" t="s">
        <v>101</v>
      </c>
      <c r="E1797" s="10" t="s">
        <v>1938</v>
      </c>
      <c r="F1797" s="6" t="s">
        <v>4656</v>
      </c>
      <c r="G1797" s="6" t="s">
        <v>81</v>
      </c>
      <c r="H1797" s="6" t="s">
        <v>7537</v>
      </c>
      <c r="I1797" s="6" t="s">
        <v>9292</v>
      </c>
      <c r="J1797" s="6" t="s">
        <v>10454</v>
      </c>
      <c r="K1797" s="6" t="s">
        <v>10886</v>
      </c>
      <c r="L1797" s="16" t="n">
        <v>38243</v>
      </c>
      <c r="M1797" s="18" t="s">
        <v>81</v>
      </c>
      <c r="N1797" s="6" t="s">
        <v>10886</v>
      </c>
      <c r="O1797" s="16" t="n">
        <v>38243</v>
      </c>
      <c r="P1797" s="6" t="s">
        <v>11959</v>
      </c>
      <c r="Q1797" s="6" t="s">
        <v>81</v>
      </c>
      <c r="R1797" s="6" t="s">
        <v>81</v>
      </c>
      <c r="S1797" s="6" t="s">
        <v>10886</v>
      </c>
      <c r="T1797" s="16" t="n">
        <v>38243</v>
      </c>
      <c r="U1797" s="6" t="s">
        <v>13720</v>
      </c>
      <c r="V1797" s="6" t="s">
        <v>81</v>
      </c>
      <c r="W1797" s="6" t="s">
        <v>81</v>
      </c>
      <c r="X1797" s="6" t="s">
        <v>81</v>
      </c>
      <c r="Y1797" s="21" t="s">
        <v>81</v>
      </c>
      <c r="Z1797" s="6" t="s">
        <v>81</v>
      </c>
      <c r="AA1797" s="6" t="s">
        <v>81</v>
      </c>
      <c r="AB1797" s="6" t="s">
        <v>81</v>
      </c>
      <c r="AC1797" s="6" t="s">
        <v>81</v>
      </c>
      <c r="AD1797" s="21" t="s">
        <v>81</v>
      </c>
      <c r="AE1797" s="6" t="s">
        <v>81</v>
      </c>
      <c r="AF1797" s="6" t="s">
        <v>81</v>
      </c>
      <c r="AG1797" s="6" t="s">
        <v>81</v>
      </c>
      <c r="AH1797" s="6" t="s">
        <v>16354</v>
      </c>
      <c r="AI1797" s="6" t="s">
        <v>81</v>
      </c>
      <c r="AJ1797" s="6" t="s">
        <v>18106</v>
      </c>
      <c r="AK1797" s="6" t="s">
        <v>18381</v>
      </c>
      <c r="AL1797" s="6" t="s">
        <v>18444</v>
      </c>
      <c r="AM1797" s="6" t="s">
        <v>19305</v>
      </c>
      <c r="AN1797" s="6" t="s">
        <v>19707</v>
      </c>
      <c r="AO1797" s="6" t="s">
        <v>20018</v>
      </c>
      <c r="AP1797" s="6" t="s">
        <v>20332</v>
      </c>
      <c r="AQ1797" s="6" t="s">
        <v>81</v>
      </c>
      <c r="AR1797" s="6" t="s">
        <v>18106</v>
      </c>
      <c r="AS1797" s="6" t="s">
        <v>18381</v>
      </c>
      <c r="AT1797" s="6" t="s">
        <v>18444</v>
      </c>
      <c r="AU1797" s="6" t="s">
        <v>19305</v>
      </c>
      <c r="AV1797" s="6" t="s">
        <v>81</v>
      </c>
      <c r="AW1797" s="6" t="s">
        <v>81</v>
      </c>
      <c r="AX1797" s="6" t="s">
        <v>81</v>
      </c>
      <c r="AY1797" s="6" t="s">
        <v>81</v>
      </c>
      <c r="AZ1797" s="6" t="s">
        <v>81</v>
      </c>
      <c r="BA1797" s="6" t="s">
        <v>81</v>
      </c>
      <c r="BB1797" s="24" t="n">
        <v>456</v>
      </c>
      <c r="BC1797" s="26"/>
      <c r="BD1797" s="26"/>
      <c r="BE1797" s="26"/>
      <c r="BF1797" s="26"/>
      <c r="BG1797" s="26"/>
      <c r="BH1797" s="26"/>
      <c r="BI1797" s="26"/>
      <c r="BJ1797" s="26"/>
      <c r="BK1797" s="26"/>
      <c r="BL1797" s="26"/>
      <c r="BM1797" s="26"/>
      <c r="BN1797" s="26"/>
      <c r="BO1797" s="26"/>
      <c r="BP1797" s="16" t="n">
        <v>45292</v>
      </c>
      <c r="BQ1797" s="28" t="str">
        <f>HYPERLINK("https://organic.ams.usda.gov/Integrity/Certificate.aspx?cid=45&amp;nopid=9950001674")</f>
        <v>https://organic.ams.usda.gov/Integrity/Certificate.aspx?cid=45&amp;nopid=9950001674</v>
      </c>
    </row>
    <row r="1798">
      <c r="A1798" t="s">
        <v>3</v>
      </c>
      <c r="B1798" s="6" t="s">
        <v>8</v>
      </c>
      <c r="C1798" s="6" t="s">
        <v>55</v>
      </c>
      <c r="D1798" s="6" t="s">
        <v>101</v>
      </c>
      <c r="E1798" s="10" t="s">
        <v>1939</v>
      </c>
      <c r="F1798" s="6" t="s">
        <v>4657</v>
      </c>
      <c r="G1798" s="6" t="s">
        <v>81</v>
      </c>
      <c r="H1798" s="6" t="s">
        <v>7538</v>
      </c>
      <c r="I1798" s="6" t="s">
        <v>8651</v>
      </c>
      <c r="J1798" s="6" t="s">
        <v>10455</v>
      </c>
      <c r="K1798" s="6" t="s">
        <v>10886</v>
      </c>
      <c r="L1798" s="16" t="n">
        <v>38572</v>
      </c>
      <c r="M1798" s="16" t="n">
        <v>46054</v>
      </c>
      <c r="N1798" s="6" t="s">
        <v>10886</v>
      </c>
      <c r="O1798" s="16" t="n">
        <v>38572</v>
      </c>
      <c r="P1798" s="6" t="s">
        <v>11960</v>
      </c>
      <c r="Q1798" s="6" t="s">
        <v>81</v>
      </c>
      <c r="R1798" s="6" t="s">
        <v>7538</v>
      </c>
      <c r="S1798" s="6" t="s">
        <v>10886</v>
      </c>
      <c r="T1798" s="16" t="n">
        <v>38572</v>
      </c>
      <c r="U1798" s="6" t="s">
        <v>13179</v>
      </c>
      <c r="V1798" s="6" t="s">
        <v>81</v>
      </c>
      <c r="W1798" s="6" t="s">
        <v>7538</v>
      </c>
      <c r="X1798" s="6" t="s">
        <v>81</v>
      </c>
      <c r="Y1798" s="21" t="s">
        <v>81</v>
      </c>
      <c r="Z1798" s="6" t="s">
        <v>81</v>
      </c>
      <c r="AA1798" s="6" t="s">
        <v>81</v>
      </c>
      <c r="AB1798" s="6" t="s">
        <v>81</v>
      </c>
      <c r="AC1798" s="6" t="s">
        <v>81</v>
      </c>
      <c r="AD1798" s="21" t="s">
        <v>81</v>
      </c>
      <c r="AE1798" s="6" t="s">
        <v>81</v>
      </c>
      <c r="AF1798" s="6" t="s">
        <v>81</v>
      </c>
      <c r="AG1798" s="6" t="s">
        <v>81</v>
      </c>
      <c r="AH1798" s="6" t="s">
        <v>16355</v>
      </c>
      <c r="AI1798" s="6" t="s">
        <v>81</v>
      </c>
      <c r="AJ1798" s="6" t="s">
        <v>18107</v>
      </c>
      <c r="AK1798" s="6" t="s">
        <v>18381</v>
      </c>
      <c r="AL1798" s="6" t="s">
        <v>18444</v>
      </c>
      <c r="AM1798" s="6" t="s">
        <v>19306</v>
      </c>
      <c r="AN1798" s="6" t="s">
        <v>19658</v>
      </c>
      <c r="AO1798" s="6" t="s">
        <v>19752</v>
      </c>
      <c r="AP1798" s="6" t="s">
        <v>81</v>
      </c>
      <c r="AQ1798" s="6" t="s">
        <v>81</v>
      </c>
      <c r="AR1798" s="6" t="s">
        <v>81</v>
      </c>
      <c r="AS1798" s="6" t="s">
        <v>81</v>
      </c>
      <c r="AT1798" s="6" t="s">
        <v>81</v>
      </c>
      <c r="AU1798" s="6" t="s">
        <v>81</v>
      </c>
      <c r="AV1798" s="6" t="s">
        <v>81</v>
      </c>
      <c r="AW1798" s="6" t="s">
        <v>81</v>
      </c>
      <c r="AX1798" s="6" t="s">
        <v>81</v>
      </c>
      <c r="AY1798" s="6" t="s">
        <v>23189</v>
      </c>
      <c r="AZ1798" s="6" t="s">
        <v>81</v>
      </c>
      <c r="BA1798" s="6" t="s">
        <v>23819</v>
      </c>
      <c r="BB1798" s="24" t="n">
        <v>1162</v>
      </c>
      <c r="BC1798" s="26"/>
      <c r="BD1798" s="26"/>
      <c r="BE1798" s="26"/>
      <c r="BF1798" s="26" t="s">
        <v>23900</v>
      </c>
      <c r="BG1798" s="26"/>
      <c r="BH1798" s="26"/>
      <c r="BI1798" s="26"/>
      <c r="BJ1798" s="26"/>
      <c r="BK1798" s="26"/>
      <c r="BL1798" s="26"/>
      <c r="BM1798" s="26"/>
      <c r="BN1798" s="26"/>
      <c r="BO1798" s="26"/>
      <c r="BP1798" s="16" t="n">
        <v>45721</v>
      </c>
      <c r="BQ1798" s="28" t="str">
        <f>HYPERLINK("https://organic.ams.usda.gov/Integrity/Certificate.aspx?cid=45&amp;nopid=9950001864")</f>
        <v>https://organic.ams.usda.gov/Integrity/Certificate.aspx?cid=45&amp;nopid=9950001864</v>
      </c>
    </row>
    <row r="1799">
      <c r="A1799" t="s">
        <v>3</v>
      </c>
      <c r="B1799" s="6" t="s">
        <v>16</v>
      </c>
      <c r="C1799" s="6" t="s">
        <v>63</v>
      </c>
      <c r="D1799" s="6" t="s">
        <v>109</v>
      </c>
      <c r="E1799" s="10" t="s">
        <v>1940</v>
      </c>
      <c r="F1799" s="6" t="s">
        <v>4658</v>
      </c>
      <c r="G1799" s="6" t="s">
        <v>81</v>
      </c>
      <c r="H1799" s="6" t="s">
        <v>7539</v>
      </c>
      <c r="I1799" s="6" t="s">
        <v>9293</v>
      </c>
      <c r="J1799" s="6" t="s">
        <v>9665</v>
      </c>
      <c r="K1799" s="6" t="s">
        <v>10886</v>
      </c>
      <c r="L1799" s="16" t="n">
        <v>43101</v>
      </c>
      <c r="M1799" s="16" t="n">
        <v>45731</v>
      </c>
      <c r="N1799" s="6" t="s">
        <v>10886</v>
      </c>
      <c r="O1799" s="16" t="n">
        <v>43101</v>
      </c>
      <c r="P1799" s="6" t="s">
        <v>10933</v>
      </c>
      <c r="Q1799" s="6" t="s">
        <v>81</v>
      </c>
      <c r="R1799" s="6" t="s">
        <v>81</v>
      </c>
      <c r="S1799" s="6" t="s">
        <v>10886</v>
      </c>
      <c r="T1799" s="16" t="n">
        <v>43101</v>
      </c>
      <c r="U1799" s="6" t="s">
        <v>13272</v>
      </c>
      <c r="V1799" s="6" t="s">
        <v>81</v>
      </c>
      <c r="W1799" s="6" t="s">
        <v>81</v>
      </c>
      <c r="X1799" s="6" t="s">
        <v>81</v>
      </c>
      <c r="Y1799" s="21" t="s">
        <v>81</v>
      </c>
      <c r="Z1799" s="6" t="s">
        <v>81</v>
      </c>
      <c r="AA1799" s="6" t="s">
        <v>81</v>
      </c>
      <c r="AB1799" s="6" t="s">
        <v>81</v>
      </c>
      <c r="AC1799" s="6" t="s">
        <v>10886</v>
      </c>
      <c r="AD1799" s="16" t="n">
        <v>43101</v>
      </c>
      <c r="AE1799" s="6" t="s">
        <v>14120</v>
      </c>
      <c r="AF1799" s="6" t="s">
        <v>81</v>
      </c>
      <c r="AG1799" s="6" t="s">
        <v>81</v>
      </c>
      <c r="AH1799" s="6" t="s">
        <v>16356</v>
      </c>
      <c r="AI1799" s="6" t="s">
        <v>81</v>
      </c>
      <c r="AJ1799" s="6" t="s">
        <v>17552</v>
      </c>
      <c r="AK1799" s="6" t="s">
        <v>18383</v>
      </c>
      <c r="AL1799" s="6" t="s">
        <v>18444</v>
      </c>
      <c r="AM1799" s="6" t="s">
        <v>18715</v>
      </c>
      <c r="AN1799" s="6" t="s">
        <v>19651</v>
      </c>
      <c r="AO1799" s="6" t="s">
        <v>19721</v>
      </c>
      <c r="AP1799" s="6" t="s">
        <v>16356</v>
      </c>
      <c r="AQ1799" s="6" t="s">
        <v>81</v>
      </c>
      <c r="AR1799" s="6" t="s">
        <v>18205</v>
      </c>
      <c r="AS1799" s="6" t="s">
        <v>18383</v>
      </c>
      <c r="AT1799" s="6" t="s">
        <v>18444</v>
      </c>
      <c r="AU1799" s="6" t="s">
        <v>19419</v>
      </c>
      <c r="AV1799" s="6" t="s">
        <v>81</v>
      </c>
      <c r="AW1799" s="6" t="s">
        <v>81</v>
      </c>
      <c r="AX1799" s="6" t="s">
        <v>21895</v>
      </c>
      <c r="AY1799" s="6" t="s">
        <v>81</v>
      </c>
      <c r="AZ1799" s="6" t="s">
        <v>23717</v>
      </c>
      <c r="BA1799" s="6" t="s">
        <v>81</v>
      </c>
      <c r="BB1799" s="24" t="n">
        <v>239</v>
      </c>
      <c r="BC1799" s="26"/>
      <c r="BD1799" s="26"/>
      <c r="BE1799" s="26"/>
      <c r="BF1799" s="26"/>
      <c r="BG1799" s="26"/>
      <c r="BH1799" s="26"/>
      <c r="BI1799" s="26"/>
      <c r="BJ1799" s="26"/>
      <c r="BK1799" s="26"/>
      <c r="BL1799" s="26"/>
      <c r="BM1799" s="26"/>
      <c r="BN1799" s="26"/>
      <c r="BO1799" s="26"/>
      <c r="BP1799" s="16" t="n">
        <v>45701</v>
      </c>
      <c r="BQ1799" s="28" t="str">
        <f>HYPERLINK("https://organic.ams.usda.gov/Integrity/Certificate.aspx?cid=81&amp;nopid=4213724478")</f>
        <v>https://organic.ams.usda.gov/Integrity/Certificate.aspx?cid=81&amp;nopid=4213724478</v>
      </c>
    </row>
    <row r="1800">
      <c r="A1800" t="s">
        <v>3</v>
      </c>
      <c r="B1800" s="6" t="s">
        <v>9</v>
      </c>
      <c r="C1800" s="6" t="s">
        <v>56</v>
      </c>
      <c r="D1800" s="6" t="s">
        <v>102</v>
      </c>
      <c r="E1800" s="10" t="s">
        <v>1941</v>
      </c>
      <c r="F1800" s="6" t="s">
        <v>4659</v>
      </c>
      <c r="G1800" s="6" t="s">
        <v>81</v>
      </c>
      <c r="H1800" s="6" t="s">
        <v>7540</v>
      </c>
      <c r="I1800" s="6" t="s">
        <v>9294</v>
      </c>
      <c r="J1800" s="6" t="s">
        <v>9666</v>
      </c>
      <c r="K1800" s="6" t="s">
        <v>10886</v>
      </c>
      <c r="L1800" s="16" t="n">
        <v>42942</v>
      </c>
      <c r="M1800" s="16" t="n">
        <v>45748</v>
      </c>
      <c r="N1800" s="6" t="s">
        <v>10886</v>
      </c>
      <c r="O1800" s="16" t="n">
        <v>42942</v>
      </c>
      <c r="P1800" s="6" t="s">
        <v>10900</v>
      </c>
      <c r="Q1800" s="6" t="s">
        <v>81</v>
      </c>
      <c r="R1800" s="6" t="s">
        <v>12940</v>
      </c>
      <c r="S1800" s="6" t="s">
        <v>10886</v>
      </c>
      <c r="T1800" s="16" t="n">
        <v>42942</v>
      </c>
      <c r="U1800" s="6" t="s">
        <v>13168</v>
      </c>
      <c r="V1800" s="6" t="s">
        <v>81</v>
      </c>
      <c r="W1800" s="6" t="s">
        <v>12940</v>
      </c>
      <c r="X1800" s="6" t="s">
        <v>81</v>
      </c>
      <c r="Y1800" s="21" t="s">
        <v>81</v>
      </c>
      <c r="Z1800" s="6" t="s">
        <v>81</v>
      </c>
      <c r="AA1800" s="6" t="s">
        <v>81</v>
      </c>
      <c r="AB1800" s="6" t="s">
        <v>81</v>
      </c>
      <c r="AC1800" s="6" t="s">
        <v>81</v>
      </c>
      <c r="AD1800" s="21" t="s">
        <v>81</v>
      </c>
      <c r="AE1800" s="6" t="s">
        <v>81</v>
      </c>
      <c r="AF1800" s="6" t="s">
        <v>81</v>
      </c>
      <c r="AG1800" s="6" t="s">
        <v>81</v>
      </c>
      <c r="AH1800" s="6" t="s">
        <v>16357</v>
      </c>
      <c r="AI1800" s="6" t="s">
        <v>81</v>
      </c>
      <c r="AJ1800" s="6" t="s">
        <v>17335</v>
      </c>
      <c r="AK1800" s="6" t="s">
        <v>18378</v>
      </c>
      <c r="AL1800" s="6" t="s">
        <v>18444</v>
      </c>
      <c r="AM1800" s="6" t="s">
        <v>18489</v>
      </c>
      <c r="AN1800" s="6" t="s">
        <v>19707</v>
      </c>
      <c r="AO1800" s="6" t="s">
        <v>20013</v>
      </c>
      <c r="AP1800" s="6" t="s">
        <v>81</v>
      </c>
      <c r="AQ1800" s="6" t="s">
        <v>81</v>
      </c>
      <c r="AR1800" s="6" t="s">
        <v>81</v>
      </c>
      <c r="AS1800" s="6" t="s">
        <v>81</v>
      </c>
      <c r="AT1800" s="6" t="s">
        <v>81</v>
      </c>
      <c r="AU1800" s="6" t="s">
        <v>81</v>
      </c>
      <c r="AV1800" s="6" t="s">
        <v>81</v>
      </c>
      <c r="AW1800" s="6" t="s">
        <v>81</v>
      </c>
      <c r="AX1800" s="6" t="s">
        <v>21896</v>
      </c>
      <c r="AY1800" s="6" t="s">
        <v>81</v>
      </c>
      <c r="AZ1800" s="6" t="s">
        <v>81</v>
      </c>
      <c r="BA1800" s="6" t="s">
        <v>81</v>
      </c>
      <c r="BB1800" s="24" t="n">
        <v>155</v>
      </c>
      <c r="BC1800" s="26"/>
      <c r="BD1800" s="26"/>
      <c r="BE1800" s="26"/>
      <c r="BF1800" s="26"/>
      <c r="BG1800" s="26"/>
      <c r="BH1800" s="26"/>
      <c r="BI1800" s="26"/>
      <c r="BJ1800" s="26"/>
      <c r="BK1800" s="26"/>
      <c r="BL1800" s="26"/>
      <c r="BM1800" s="26"/>
      <c r="BN1800" s="26"/>
      <c r="BO1800" s="26"/>
      <c r="BP1800" s="16" t="n">
        <v>45738</v>
      </c>
      <c r="BQ1800" s="28" t="str">
        <f>HYPERLINK("https://organic.ams.usda.gov/Integrity/Certificate.aspx?cid=52&amp;nopid=8431701240")</f>
        <v>https://organic.ams.usda.gov/Integrity/Certificate.aspx?cid=52&amp;nopid=8431701240</v>
      </c>
    </row>
    <row r="1801">
      <c r="A1801" t="s">
        <v>3</v>
      </c>
      <c r="B1801" s="6" t="s">
        <v>9</v>
      </c>
      <c r="C1801" s="6" t="s">
        <v>56</v>
      </c>
      <c r="D1801" s="6" t="s">
        <v>102</v>
      </c>
      <c r="E1801" s="10" t="s">
        <v>1942</v>
      </c>
      <c r="F1801" s="6" t="s">
        <v>4660</v>
      </c>
      <c r="G1801" s="6" t="s">
        <v>81</v>
      </c>
      <c r="H1801" s="6" t="s">
        <v>7541</v>
      </c>
      <c r="I1801" s="6" t="s">
        <v>9295</v>
      </c>
      <c r="J1801" s="6" t="s">
        <v>9744</v>
      </c>
      <c r="K1801" s="6" t="s">
        <v>10886</v>
      </c>
      <c r="L1801" s="16" t="n">
        <v>44106</v>
      </c>
      <c r="M1801" s="16" t="n">
        <v>45748</v>
      </c>
      <c r="N1801" s="6" t="s">
        <v>10886</v>
      </c>
      <c r="O1801" s="16" t="n">
        <v>44106</v>
      </c>
      <c r="P1801" s="6" t="s">
        <v>10922</v>
      </c>
      <c r="Q1801" s="6" t="s">
        <v>81</v>
      </c>
      <c r="R1801" s="6" t="s">
        <v>12941</v>
      </c>
      <c r="S1801" s="6" t="s">
        <v>10886</v>
      </c>
      <c r="T1801" s="16" t="n">
        <v>44106</v>
      </c>
      <c r="U1801" s="6" t="s">
        <v>13168</v>
      </c>
      <c r="V1801" s="6" t="s">
        <v>81</v>
      </c>
      <c r="W1801" s="6" t="s">
        <v>12941</v>
      </c>
      <c r="X1801" s="6" t="s">
        <v>81</v>
      </c>
      <c r="Y1801" s="21" t="s">
        <v>81</v>
      </c>
      <c r="Z1801" s="6" t="s">
        <v>81</v>
      </c>
      <c r="AA1801" s="6" t="s">
        <v>81</v>
      </c>
      <c r="AB1801" s="6" t="s">
        <v>81</v>
      </c>
      <c r="AC1801" s="6" t="s">
        <v>81</v>
      </c>
      <c r="AD1801" s="21" t="s">
        <v>81</v>
      </c>
      <c r="AE1801" s="6" t="s">
        <v>81</v>
      </c>
      <c r="AF1801" s="6" t="s">
        <v>81</v>
      </c>
      <c r="AG1801" s="6" t="s">
        <v>81</v>
      </c>
      <c r="AH1801" s="6" t="s">
        <v>16358</v>
      </c>
      <c r="AI1801" s="6" t="s">
        <v>81</v>
      </c>
      <c r="AJ1801" s="6" t="s">
        <v>10457</v>
      </c>
      <c r="AK1801" s="6" t="s">
        <v>18378</v>
      </c>
      <c r="AL1801" s="6" t="s">
        <v>18444</v>
      </c>
      <c r="AM1801" s="6" t="s">
        <v>18573</v>
      </c>
      <c r="AN1801" s="6" t="s">
        <v>19673</v>
      </c>
      <c r="AO1801" s="6" t="s">
        <v>19786</v>
      </c>
      <c r="AP1801" s="6" t="s">
        <v>20333</v>
      </c>
      <c r="AQ1801" s="6" t="s">
        <v>81</v>
      </c>
      <c r="AR1801" s="6" t="s">
        <v>10457</v>
      </c>
      <c r="AS1801" s="6" t="s">
        <v>18378</v>
      </c>
      <c r="AT1801" s="6" t="s">
        <v>18444</v>
      </c>
      <c r="AU1801" s="6" t="s">
        <v>18573</v>
      </c>
      <c r="AV1801" s="6" t="s">
        <v>81</v>
      </c>
      <c r="AW1801" s="6" t="s">
        <v>81</v>
      </c>
      <c r="AX1801" s="6" t="s">
        <v>21897</v>
      </c>
      <c r="AY1801" s="6" t="s">
        <v>81</v>
      </c>
      <c r="AZ1801" s="6" t="s">
        <v>81</v>
      </c>
      <c r="BA1801" s="6" t="s">
        <v>81</v>
      </c>
      <c r="BB1801" s="24" t="n">
        <v>63</v>
      </c>
      <c r="BC1801" s="26"/>
      <c r="BD1801" s="26"/>
      <c r="BE1801" s="26"/>
      <c r="BF1801" s="26"/>
      <c r="BG1801" s="26"/>
      <c r="BH1801" s="26"/>
      <c r="BI1801" s="26"/>
      <c r="BJ1801" s="26"/>
      <c r="BK1801" s="26"/>
      <c r="BL1801" s="26"/>
      <c r="BM1801" s="26"/>
      <c r="BN1801" s="26"/>
      <c r="BO1801" s="26"/>
      <c r="BP1801" s="16" t="n">
        <v>45738</v>
      </c>
      <c r="BQ1801" s="28" t="str">
        <f>HYPERLINK("https://organic.ams.usda.gov/Integrity/Certificate.aspx?cid=52&amp;nopid=8432001850")</f>
        <v>https://organic.ams.usda.gov/Integrity/Certificate.aspx?cid=52&amp;nopid=8432001850</v>
      </c>
    </row>
    <row r="1802">
      <c r="A1802" t="s">
        <v>3</v>
      </c>
      <c r="B1802" s="6" t="s">
        <v>7</v>
      </c>
      <c r="C1802" s="6" t="s">
        <v>54</v>
      </c>
      <c r="D1802" s="6" t="s">
        <v>100</v>
      </c>
      <c r="E1802" s="10" t="s">
        <v>1943</v>
      </c>
      <c r="F1802" s="6" t="s">
        <v>4661</v>
      </c>
      <c r="G1802" s="6" t="s">
        <v>81</v>
      </c>
      <c r="H1802" s="6" t="s">
        <v>7542</v>
      </c>
      <c r="I1802" s="6" t="s">
        <v>8384</v>
      </c>
      <c r="J1802" s="6" t="s">
        <v>9831</v>
      </c>
      <c r="K1802" s="6" t="s">
        <v>10886</v>
      </c>
      <c r="L1802" s="16" t="n">
        <v>39206</v>
      </c>
      <c r="M1802" s="16" t="n">
        <v>45716</v>
      </c>
      <c r="N1802" s="6" t="s">
        <v>10886</v>
      </c>
      <c r="O1802" s="16" t="n">
        <v>39206</v>
      </c>
      <c r="P1802" s="6" t="s">
        <v>10910</v>
      </c>
      <c r="Q1802" s="6" t="s">
        <v>81</v>
      </c>
      <c r="R1802" s="6" t="s">
        <v>81</v>
      </c>
      <c r="S1802" s="6" t="s">
        <v>10886</v>
      </c>
      <c r="T1802" s="16" t="n">
        <v>39239</v>
      </c>
      <c r="U1802" s="6" t="s">
        <v>13160</v>
      </c>
      <c r="V1802" s="6" t="s">
        <v>81</v>
      </c>
      <c r="W1802" s="6" t="s">
        <v>81</v>
      </c>
      <c r="X1802" s="6" t="s">
        <v>81</v>
      </c>
      <c r="Y1802" s="21" t="s">
        <v>81</v>
      </c>
      <c r="Z1802" s="6" t="s">
        <v>81</v>
      </c>
      <c r="AA1802" s="6" t="s">
        <v>81</v>
      </c>
      <c r="AB1802" s="6" t="s">
        <v>81</v>
      </c>
      <c r="AC1802" s="6" t="s">
        <v>81</v>
      </c>
      <c r="AD1802" s="21" t="s">
        <v>81</v>
      </c>
      <c r="AE1802" s="6" t="s">
        <v>81</v>
      </c>
      <c r="AF1802" s="6" t="s">
        <v>81</v>
      </c>
      <c r="AG1802" s="6" t="s">
        <v>81</v>
      </c>
      <c r="AH1802" s="6" t="s">
        <v>16359</v>
      </c>
      <c r="AI1802" s="6" t="s">
        <v>81</v>
      </c>
      <c r="AJ1802" s="6" t="s">
        <v>18108</v>
      </c>
      <c r="AK1802" s="6" t="s">
        <v>17712</v>
      </c>
      <c r="AL1802" s="6" t="s">
        <v>18444</v>
      </c>
      <c r="AM1802" s="6" t="s">
        <v>19307</v>
      </c>
      <c r="AN1802" s="6" t="s">
        <v>6842</v>
      </c>
      <c r="AO1802" s="6" t="s">
        <v>19815</v>
      </c>
      <c r="AP1802" s="6" t="s">
        <v>16359</v>
      </c>
      <c r="AQ1802" s="6" t="s">
        <v>81</v>
      </c>
      <c r="AR1802" s="6" t="s">
        <v>18108</v>
      </c>
      <c r="AS1802" s="6" t="s">
        <v>17712</v>
      </c>
      <c r="AT1802" s="6" t="s">
        <v>18444</v>
      </c>
      <c r="AU1802" s="6" t="s">
        <v>19307</v>
      </c>
      <c r="AV1802" s="6" t="s">
        <v>81</v>
      </c>
      <c r="AW1802" s="6" t="s">
        <v>81</v>
      </c>
      <c r="AX1802" s="6" t="s">
        <v>21898</v>
      </c>
      <c r="AY1802" s="6" t="s">
        <v>23190</v>
      </c>
      <c r="AZ1802" s="6" t="s">
        <v>81</v>
      </c>
      <c r="BA1802" s="6" t="s">
        <v>81</v>
      </c>
      <c r="BB1802" s="24" t="n">
        <v>182</v>
      </c>
      <c r="BC1802" s="26"/>
      <c r="BD1802" s="26"/>
      <c r="BE1802" s="26"/>
      <c r="BF1802" s="26" t="s">
        <v>23900</v>
      </c>
      <c r="BG1802" s="26"/>
      <c r="BH1802" s="26"/>
      <c r="BI1802" s="26"/>
      <c r="BJ1802" s="26"/>
      <c r="BK1802" s="26"/>
      <c r="BL1802" s="26"/>
      <c r="BM1802" s="26"/>
      <c r="BN1802" s="26"/>
      <c r="BO1802" s="26"/>
      <c r="BP1802" s="16" t="n">
        <v>45595</v>
      </c>
      <c r="BQ1802" s="28" t="str">
        <f>HYPERLINK("https://organic.ams.usda.gov/Integrity/Certificate.aspx?cid=57&amp;nopid=3252006155")</f>
        <v>https://organic.ams.usda.gov/Integrity/Certificate.aspx?cid=57&amp;nopid=3252006155</v>
      </c>
    </row>
    <row r="1803">
      <c r="A1803" t="s">
        <v>3</v>
      </c>
      <c r="B1803" s="6" t="s">
        <v>8</v>
      </c>
      <c r="C1803" s="6" t="s">
        <v>55</v>
      </c>
      <c r="D1803" s="6" t="s">
        <v>101</v>
      </c>
      <c r="E1803" s="10" t="s">
        <v>1944</v>
      </c>
      <c r="F1803" s="6" t="s">
        <v>4662</v>
      </c>
      <c r="G1803" s="6" t="s">
        <v>5755</v>
      </c>
      <c r="H1803" s="6" t="s">
        <v>7543</v>
      </c>
      <c r="I1803" s="6" t="s">
        <v>9296</v>
      </c>
      <c r="J1803" s="6" t="s">
        <v>10376</v>
      </c>
      <c r="K1803" s="6" t="s">
        <v>10886</v>
      </c>
      <c r="L1803" s="16" t="n">
        <v>44147</v>
      </c>
      <c r="M1803" s="16" t="n">
        <v>45748</v>
      </c>
      <c r="N1803" s="6" t="s">
        <v>10886</v>
      </c>
      <c r="O1803" s="16" t="n">
        <v>44147</v>
      </c>
      <c r="P1803" s="6" t="s">
        <v>11961</v>
      </c>
      <c r="Q1803" s="6" t="s">
        <v>81</v>
      </c>
      <c r="R1803" s="6" t="s">
        <v>7543</v>
      </c>
      <c r="S1803" s="6" t="s">
        <v>10886</v>
      </c>
      <c r="T1803" s="16" t="n">
        <v>44147</v>
      </c>
      <c r="U1803" s="6" t="s">
        <v>13721</v>
      </c>
      <c r="V1803" s="6" t="s">
        <v>81</v>
      </c>
      <c r="W1803" s="6" t="s">
        <v>7543</v>
      </c>
      <c r="X1803" s="6" t="s">
        <v>10886</v>
      </c>
      <c r="Y1803" s="16" t="n">
        <v>44147</v>
      </c>
      <c r="Z1803" s="6" t="s">
        <v>13988</v>
      </c>
      <c r="AA1803" s="6" t="s">
        <v>81</v>
      </c>
      <c r="AB1803" s="6" t="s">
        <v>7543</v>
      </c>
      <c r="AC1803" s="6" t="s">
        <v>81</v>
      </c>
      <c r="AD1803" s="21" t="s">
        <v>81</v>
      </c>
      <c r="AE1803" s="6" t="s">
        <v>81</v>
      </c>
      <c r="AF1803" s="6" t="s">
        <v>81</v>
      </c>
      <c r="AG1803" s="6" t="s">
        <v>81</v>
      </c>
      <c r="AH1803" s="6" t="s">
        <v>16360</v>
      </c>
      <c r="AI1803" s="6" t="s">
        <v>81</v>
      </c>
      <c r="AJ1803" s="6" t="s">
        <v>17675</v>
      </c>
      <c r="AK1803" s="6" t="s">
        <v>17712</v>
      </c>
      <c r="AL1803" s="6" t="s">
        <v>18444</v>
      </c>
      <c r="AM1803" s="6" t="s">
        <v>7231</v>
      </c>
      <c r="AN1803" s="6" t="s">
        <v>7450</v>
      </c>
      <c r="AO1803" s="6" t="s">
        <v>19897</v>
      </c>
      <c r="AP1803" s="6" t="s">
        <v>81</v>
      </c>
      <c r="AQ1803" s="6" t="s">
        <v>81</v>
      </c>
      <c r="AR1803" s="6" t="s">
        <v>81</v>
      </c>
      <c r="AS1803" s="6" t="s">
        <v>81</v>
      </c>
      <c r="AT1803" s="6" t="s">
        <v>81</v>
      </c>
      <c r="AU1803" s="6" t="s">
        <v>81</v>
      </c>
      <c r="AV1803" s="6" t="s">
        <v>81</v>
      </c>
      <c r="AW1803" s="6" t="s">
        <v>81</v>
      </c>
      <c r="AX1803" s="6" t="s">
        <v>81</v>
      </c>
      <c r="AY1803" s="6" t="s">
        <v>23191</v>
      </c>
      <c r="AZ1803" s="6" t="s">
        <v>81</v>
      </c>
      <c r="BA1803" s="6" t="s">
        <v>23824</v>
      </c>
      <c r="BB1803" s="24" t="n">
        <v>624</v>
      </c>
      <c r="BC1803" s="26"/>
      <c r="BD1803" s="26"/>
      <c r="BE1803" s="26"/>
      <c r="BF1803" s="26" t="s">
        <v>23900</v>
      </c>
      <c r="BG1803" s="26"/>
      <c r="BH1803" s="26"/>
      <c r="BI1803" s="26"/>
      <c r="BJ1803" s="26"/>
      <c r="BK1803" s="26"/>
      <c r="BL1803" s="26"/>
      <c r="BM1803" s="26"/>
      <c r="BN1803" s="26"/>
      <c r="BO1803" s="26"/>
      <c r="BP1803" s="16" t="n">
        <v>45615</v>
      </c>
      <c r="BQ1803" s="28" t="str">
        <f>HYPERLINK("https://organic.ams.usda.gov/Integrity/Certificate.aspx?cid=45&amp;nopid=9950011292")</f>
        <v>https://organic.ams.usda.gov/Integrity/Certificate.aspx?cid=45&amp;nopid=9950011292</v>
      </c>
    </row>
    <row r="1804">
      <c r="A1804" t="s">
        <v>3</v>
      </c>
      <c r="B1804" s="6" t="s">
        <v>29</v>
      </c>
      <c r="C1804" s="6" t="s">
        <v>76</v>
      </c>
      <c r="D1804" s="6" t="s">
        <v>122</v>
      </c>
      <c r="E1804" s="10" t="s">
        <v>1945</v>
      </c>
      <c r="F1804" s="6" t="s">
        <v>4663</v>
      </c>
      <c r="G1804" s="6" t="s">
        <v>81</v>
      </c>
      <c r="H1804" s="6" t="s">
        <v>7544</v>
      </c>
      <c r="I1804" s="6" t="s">
        <v>9060</v>
      </c>
      <c r="J1804" s="6" t="s">
        <v>10456</v>
      </c>
      <c r="K1804" s="6" t="s">
        <v>10886</v>
      </c>
      <c r="L1804" s="16" t="n">
        <v>38491</v>
      </c>
      <c r="M1804" s="16" t="n">
        <v>45505</v>
      </c>
      <c r="N1804" s="6" t="s">
        <v>10886</v>
      </c>
      <c r="O1804" s="16" t="n">
        <v>38491</v>
      </c>
      <c r="P1804" s="6" t="s">
        <v>11962</v>
      </c>
      <c r="Q1804" s="6" t="s">
        <v>81</v>
      </c>
      <c r="R1804" s="6" t="s">
        <v>12942</v>
      </c>
      <c r="S1804" s="6" t="s">
        <v>10886</v>
      </c>
      <c r="T1804" s="16" t="n">
        <v>38491</v>
      </c>
      <c r="U1804" s="6" t="s">
        <v>13722</v>
      </c>
      <c r="V1804" s="6" t="s">
        <v>81</v>
      </c>
      <c r="W1804" s="6" t="s">
        <v>12942</v>
      </c>
      <c r="X1804" s="6" t="s">
        <v>81</v>
      </c>
      <c r="Y1804" s="21" t="s">
        <v>81</v>
      </c>
      <c r="Z1804" s="6" t="s">
        <v>81</v>
      </c>
      <c r="AA1804" s="6" t="s">
        <v>81</v>
      </c>
      <c r="AB1804" s="6" t="s">
        <v>81</v>
      </c>
      <c r="AC1804" s="6" t="s">
        <v>81</v>
      </c>
      <c r="AD1804" s="21" t="s">
        <v>81</v>
      </c>
      <c r="AE1804" s="6" t="s">
        <v>81</v>
      </c>
      <c r="AF1804" s="6" t="s">
        <v>81</v>
      </c>
      <c r="AG1804" s="6" t="s">
        <v>81</v>
      </c>
      <c r="AH1804" s="6" t="s">
        <v>16361</v>
      </c>
      <c r="AI1804" s="6" t="s">
        <v>81</v>
      </c>
      <c r="AJ1804" s="6" t="s">
        <v>18109</v>
      </c>
      <c r="AK1804" s="6" t="s">
        <v>18377</v>
      </c>
      <c r="AL1804" s="6" t="s">
        <v>18444</v>
      </c>
      <c r="AM1804" s="6" t="s">
        <v>19308</v>
      </c>
      <c r="AN1804" s="6" t="s">
        <v>19653</v>
      </c>
      <c r="AO1804" s="6" t="s">
        <v>19838</v>
      </c>
      <c r="AP1804" s="6" t="s">
        <v>81</v>
      </c>
      <c r="AQ1804" s="6" t="s">
        <v>81</v>
      </c>
      <c r="AR1804" s="6" t="s">
        <v>81</v>
      </c>
      <c r="AS1804" s="6" t="s">
        <v>81</v>
      </c>
      <c r="AT1804" s="6" t="s">
        <v>81</v>
      </c>
      <c r="AU1804" s="6" t="s">
        <v>81</v>
      </c>
      <c r="AV1804" s="6" t="s">
        <v>81</v>
      </c>
      <c r="AW1804" s="6" t="s">
        <v>81</v>
      </c>
      <c r="AX1804" s="6" t="s">
        <v>21899</v>
      </c>
      <c r="AY1804" s="6" t="s">
        <v>23192</v>
      </c>
      <c r="AZ1804" s="6" t="s">
        <v>81</v>
      </c>
      <c r="BA1804" s="6" t="s">
        <v>81</v>
      </c>
      <c r="BB1804" s="24" t="n">
        <v>254</v>
      </c>
      <c r="BC1804" s="26"/>
      <c r="BD1804" s="26"/>
      <c r="BE1804" s="26"/>
      <c r="BF1804" s="26" t="s">
        <v>23900</v>
      </c>
      <c r="BG1804" s="26"/>
      <c r="BH1804" s="26"/>
      <c r="BI1804" s="26"/>
      <c r="BJ1804" s="26"/>
      <c r="BK1804" s="26"/>
      <c r="BL1804" s="26"/>
      <c r="BM1804" s="26"/>
      <c r="BN1804" s="26"/>
      <c r="BO1804" s="26"/>
      <c r="BP1804" s="16" t="n">
        <v>45737</v>
      </c>
      <c r="BQ1804" s="28" t="str">
        <f>HYPERLINK("https://organic.ams.usda.gov/Integrity/Certificate.aspx?cid=31&amp;nopid=3920897439")</f>
        <v>https://organic.ams.usda.gov/Integrity/Certificate.aspx?cid=31&amp;nopid=3920897439</v>
      </c>
    </row>
    <row r="1805">
      <c r="A1805" t="s">
        <v>3</v>
      </c>
      <c r="B1805" s="6" t="s">
        <v>16</v>
      </c>
      <c r="C1805" s="6" t="s">
        <v>63</v>
      </c>
      <c r="D1805" s="6" t="s">
        <v>109</v>
      </c>
      <c r="E1805" s="10" t="s">
        <v>1946</v>
      </c>
      <c r="F1805" s="6" t="s">
        <v>4664</v>
      </c>
      <c r="G1805" s="6" t="s">
        <v>81</v>
      </c>
      <c r="H1805" s="6" t="s">
        <v>7545</v>
      </c>
      <c r="I1805" s="6" t="s">
        <v>8800</v>
      </c>
      <c r="J1805" s="6" t="s">
        <v>10457</v>
      </c>
      <c r="K1805" s="6" t="s">
        <v>10886</v>
      </c>
      <c r="L1805" s="16" t="n">
        <v>42093</v>
      </c>
      <c r="M1805" s="16" t="n">
        <v>45731</v>
      </c>
      <c r="N1805" s="6" t="s">
        <v>10886</v>
      </c>
      <c r="O1805" s="16" t="n">
        <v>42093</v>
      </c>
      <c r="P1805" s="6" t="s">
        <v>11963</v>
      </c>
      <c r="Q1805" s="6" t="s">
        <v>81</v>
      </c>
      <c r="R1805" s="6" t="s">
        <v>81</v>
      </c>
      <c r="S1805" s="6" t="s">
        <v>10886</v>
      </c>
      <c r="T1805" s="16" t="n">
        <v>42093</v>
      </c>
      <c r="U1805" s="6" t="s">
        <v>13350</v>
      </c>
      <c r="V1805" s="6" t="s">
        <v>81</v>
      </c>
      <c r="W1805" s="6" t="s">
        <v>81</v>
      </c>
      <c r="X1805" s="6" t="s">
        <v>81</v>
      </c>
      <c r="Y1805" s="21" t="s">
        <v>81</v>
      </c>
      <c r="Z1805" s="6" t="s">
        <v>81</v>
      </c>
      <c r="AA1805" s="6" t="s">
        <v>81</v>
      </c>
      <c r="AB1805" s="6" t="s">
        <v>81</v>
      </c>
      <c r="AC1805" s="6" t="s">
        <v>10886</v>
      </c>
      <c r="AD1805" s="16" t="n">
        <v>42093</v>
      </c>
      <c r="AE1805" s="6" t="s">
        <v>14134</v>
      </c>
      <c r="AF1805" s="6" t="s">
        <v>81</v>
      </c>
      <c r="AG1805" s="6" t="s">
        <v>81</v>
      </c>
      <c r="AH1805" s="6" t="s">
        <v>16362</v>
      </c>
      <c r="AI1805" s="6" t="s">
        <v>81</v>
      </c>
      <c r="AJ1805" s="6" t="s">
        <v>18110</v>
      </c>
      <c r="AK1805" s="6" t="s">
        <v>18383</v>
      </c>
      <c r="AL1805" s="6" t="s">
        <v>18444</v>
      </c>
      <c r="AM1805" s="6" t="s">
        <v>19309</v>
      </c>
      <c r="AN1805" s="6" t="s">
        <v>19692</v>
      </c>
      <c r="AO1805" s="6" t="s">
        <v>20019</v>
      </c>
      <c r="AP1805" s="6" t="s">
        <v>20334</v>
      </c>
      <c r="AQ1805" s="6" t="s">
        <v>81</v>
      </c>
      <c r="AR1805" s="6" t="s">
        <v>18110</v>
      </c>
      <c r="AS1805" s="6" t="s">
        <v>18383</v>
      </c>
      <c r="AT1805" s="6" t="s">
        <v>18444</v>
      </c>
      <c r="AU1805" s="6" t="s">
        <v>19309</v>
      </c>
      <c r="AV1805" s="6" t="s">
        <v>19692</v>
      </c>
      <c r="AW1805" s="6" t="s">
        <v>20019</v>
      </c>
      <c r="AX1805" s="6" t="s">
        <v>21900</v>
      </c>
      <c r="AY1805" s="6" t="s">
        <v>81</v>
      </c>
      <c r="AZ1805" s="6" t="s">
        <v>23718</v>
      </c>
      <c r="BA1805" s="6" t="s">
        <v>81</v>
      </c>
      <c r="BB1805" s="24" t="n">
        <v>564</v>
      </c>
      <c r="BC1805" s="26"/>
      <c r="BD1805" s="26"/>
      <c r="BE1805" s="26"/>
      <c r="BF1805" s="26"/>
      <c r="BG1805" s="26"/>
      <c r="BH1805" s="26"/>
      <c r="BI1805" s="26"/>
      <c r="BJ1805" s="26"/>
      <c r="BK1805" s="26"/>
      <c r="BL1805" s="26"/>
      <c r="BM1805" s="26"/>
      <c r="BN1805" s="26"/>
      <c r="BO1805" s="26"/>
      <c r="BP1805" s="16" t="n">
        <v>45701</v>
      </c>
      <c r="BQ1805" s="28" t="str">
        <f>HYPERLINK("https://organic.ams.usda.gov/Integrity/Certificate.aspx?cid=81&amp;nopid=4210015007")</f>
        <v>https://organic.ams.usda.gov/Integrity/Certificate.aspx?cid=81&amp;nopid=4210015007</v>
      </c>
    </row>
    <row r="1806">
      <c r="A1806" t="s">
        <v>3</v>
      </c>
      <c r="B1806" s="6" t="s">
        <v>34</v>
      </c>
      <c r="C1806" s="6" t="s">
        <v>81</v>
      </c>
      <c r="D1806" s="6" t="s">
        <v>81</v>
      </c>
      <c r="E1806" s="10" t="s">
        <v>1947</v>
      </c>
      <c r="F1806" s="6" t="s">
        <v>4665</v>
      </c>
      <c r="G1806" s="6" t="s">
        <v>5756</v>
      </c>
      <c r="H1806" s="6" t="s">
        <v>7546</v>
      </c>
      <c r="I1806" s="6" t="s">
        <v>9297</v>
      </c>
      <c r="J1806" s="6" t="s">
        <v>10458</v>
      </c>
      <c r="K1806" s="6" t="s">
        <v>10886</v>
      </c>
      <c r="L1806" s="16" t="n">
        <v>41354</v>
      </c>
      <c r="M1806" s="16" t="n">
        <v>45762</v>
      </c>
      <c r="N1806" s="6" t="s">
        <v>10886</v>
      </c>
      <c r="O1806" s="16" t="n">
        <v>41354</v>
      </c>
      <c r="P1806" s="6" t="s">
        <v>11031</v>
      </c>
      <c r="Q1806" s="6" t="s">
        <v>81</v>
      </c>
      <c r="R1806" s="6" t="s">
        <v>7546</v>
      </c>
      <c r="S1806" s="6" t="s">
        <v>10886</v>
      </c>
      <c r="T1806" s="16" t="n">
        <v>41354</v>
      </c>
      <c r="U1806" s="6" t="s">
        <v>13723</v>
      </c>
      <c r="V1806" s="6" t="s">
        <v>81</v>
      </c>
      <c r="W1806" s="6" t="s">
        <v>7546</v>
      </c>
      <c r="X1806" s="6" t="s">
        <v>81</v>
      </c>
      <c r="Y1806" s="21" t="s">
        <v>81</v>
      </c>
      <c r="Z1806" s="6" t="s">
        <v>81</v>
      </c>
      <c r="AA1806" s="6" t="s">
        <v>81</v>
      </c>
      <c r="AB1806" s="6" t="s">
        <v>81</v>
      </c>
      <c r="AC1806" s="6" t="s">
        <v>10886</v>
      </c>
      <c r="AD1806" s="16" t="n">
        <v>41345</v>
      </c>
      <c r="AE1806" s="6" t="s">
        <v>81</v>
      </c>
      <c r="AF1806" s="6" t="s">
        <v>81</v>
      </c>
      <c r="AG1806" s="6" t="s">
        <v>81</v>
      </c>
      <c r="AH1806" s="6" t="s">
        <v>16363</v>
      </c>
      <c r="AI1806" s="6" t="s">
        <v>81</v>
      </c>
      <c r="AJ1806" s="6" t="s">
        <v>17561</v>
      </c>
      <c r="AK1806" s="6" t="s">
        <v>18386</v>
      </c>
      <c r="AL1806" s="6" t="s">
        <v>18444</v>
      </c>
      <c r="AM1806" s="6" t="s">
        <v>18760</v>
      </c>
      <c r="AN1806" s="6" t="s">
        <v>81</v>
      </c>
      <c r="AO1806" s="6" t="s">
        <v>81</v>
      </c>
      <c r="AP1806" s="6" t="s">
        <v>81</v>
      </c>
      <c r="AQ1806" s="6" t="s">
        <v>81</v>
      </c>
      <c r="AR1806" s="6" t="s">
        <v>81</v>
      </c>
      <c r="AS1806" s="6" t="s">
        <v>81</v>
      </c>
      <c r="AT1806" s="6" t="s">
        <v>81</v>
      </c>
      <c r="AU1806" s="6" t="s">
        <v>81</v>
      </c>
      <c r="AV1806" s="6" t="s">
        <v>81</v>
      </c>
      <c r="AW1806" s="6" t="s">
        <v>81</v>
      </c>
      <c r="AX1806" s="6" t="s">
        <v>21901</v>
      </c>
      <c r="AY1806" s="6" t="s">
        <v>23193</v>
      </c>
      <c r="AZ1806" s="6" t="s">
        <v>81</v>
      </c>
      <c r="BA1806" s="6" t="s">
        <v>23833</v>
      </c>
      <c r="BB1806" s="24" t="n">
        <v>384</v>
      </c>
      <c r="BC1806" s="26"/>
      <c r="BD1806" s="26"/>
      <c r="BE1806" s="26"/>
      <c r="BF1806" s="26" t="s">
        <v>23900</v>
      </c>
      <c r="BG1806" s="26"/>
      <c r="BH1806" s="26"/>
      <c r="BI1806" s="26"/>
      <c r="BJ1806" s="26"/>
      <c r="BK1806" s="26"/>
      <c r="BL1806" s="26"/>
      <c r="BM1806" s="26"/>
      <c r="BN1806" s="26"/>
      <c r="BO1806" s="26"/>
      <c r="BP1806" s="16" t="n">
        <v>45629</v>
      </c>
      <c r="BQ1806" s="28" t="str">
        <f>HYPERLINK("")</f>
      </c>
    </row>
    <row r="1807">
      <c r="A1807" t="s">
        <v>3</v>
      </c>
      <c r="B1807" s="6" t="s">
        <v>8</v>
      </c>
      <c r="C1807" s="6" t="s">
        <v>55</v>
      </c>
      <c r="D1807" s="6" t="s">
        <v>101</v>
      </c>
      <c r="E1807" s="10" t="s">
        <v>1948</v>
      </c>
      <c r="F1807" s="6" t="s">
        <v>4666</v>
      </c>
      <c r="G1807" s="6" t="s">
        <v>81</v>
      </c>
      <c r="H1807" s="6" t="s">
        <v>7547</v>
      </c>
      <c r="I1807" s="6" t="s">
        <v>8794</v>
      </c>
      <c r="J1807" s="6" t="s">
        <v>10459</v>
      </c>
      <c r="K1807" s="6" t="s">
        <v>10886</v>
      </c>
      <c r="L1807" s="16" t="n">
        <v>39106</v>
      </c>
      <c r="M1807" s="16" t="n">
        <v>45383</v>
      </c>
      <c r="N1807" s="6" t="s">
        <v>10886</v>
      </c>
      <c r="O1807" s="16" t="n">
        <v>39106</v>
      </c>
      <c r="P1807" s="6" t="s">
        <v>11964</v>
      </c>
      <c r="Q1807" s="6" t="s">
        <v>81</v>
      </c>
      <c r="R1807" s="6" t="s">
        <v>7547</v>
      </c>
      <c r="S1807" s="6" t="s">
        <v>10886</v>
      </c>
      <c r="T1807" s="16" t="n">
        <v>39106</v>
      </c>
      <c r="U1807" s="6" t="s">
        <v>13179</v>
      </c>
      <c r="V1807" s="6" t="s">
        <v>81</v>
      </c>
      <c r="W1807" s="6" t="s">
        <v>7547</v>
      </c>
      <c r="X1807" s="6" t="s">
        <v>81</v>
      </c>
      <c r="Y1807" s="21" t="s">
        <v>81</v>
      </c>
      <c r="Z1807" s="6" t="s">
        <v>81</v>
      </c>
      <c r="AA1807" s="6" t="s">
        <v>81</v>
      </c>
      <c r="AB1807" s="6" t="s">
        <v>81</v>
      </c>
      <c r="AC1807" s="6" t="s">
        <v>81</v>
      </c>
      <c r="AD1807" s="21" t="s">
        <v>81</v>
      </c>
      <c r="AE1807" s="6" t="s">
        <v>81</v>
      </c>
      <c r="AF1807" s="6" t="s">
        <v>81</v>
      </c>
      <c r="AG1807" s="6" t="s">
        <v>81</v>
      </c>
      <c r="AH1807" s="6" t="s">
        <v>16364</v>
      </c>
      <c r="AI1807" s="6" t="s">
        <v>81</v>
      </c>
      <c r="AJ1807" s="6" t="s">
        <v>17724</v>
      </c>
      <c r="AK1807" s="6" t="s">
        <v>18377</v>
      </c>
      <c r="AL1807" s="6" t="s">
        <v>18444</v>
      </c>
      <c r="AM1807" s="6" t="s">
        <v>18892</v>
      </c>
      <c r="AN1807" s="6" t="s">
        <v>19669</v>
      </c>
      <c r="AO1807" s="6" t="s">
        <v>19913</v>
      </c>
      <c r="AP1807" s="6" t="s">
        <v>81</v>
      </c>
      <c r="AQ1807" s="6" t="s">
        <v>81</v>
      </c>
      <c r="AR1807" s="6" t="s">
        <v>81</v>
      </c>
      <c r="AS1807" s="6" t="s">
        <v>81</v>
      </c>
      <c r="AT1807" s="6" t="s">
        <v>81</v>
      </c>
      <c r="AU1807" s="6" t="s">
        <v>81</v>
      </c>
      <c r="AV1807" s="6" t="s">
        <v>81</v>
      </c>
      <c r="AW1807" s="6" t="s">
        <v>81</v>
      </c>
      <c r="AX1807" s="6" t="s">
        <v>81</v>
      </c>
      <c r="AY1807" s="6" t="s">
        <v>23194</v>
      </c>
      <c r="AZ1807" s="6" t="s">
        <v>81</v>
      </c>
      <c r="BA1807" s="6" t="s">
        <v>23819</v>
      </c>
      <c r="BB1807" s="24" t="n">
        <v>536</v>
      </c>
      <c r="BC1807" s="26"/>
      <c r="BD1807" s="26"/>
      <c r="BE1807" s="26"/>
      <c r="BF1807" s="26" t="s">
        <v>23900</v>
      </c>
      <c r="BG1807" s="26"/>
      <c r="BH1807" s="26"/>
      <c r="BI1807" s="26"/>
      <c r="BJ1807" s="26"/>
      <c r="BK1807" s="26"/>
      <c r="BL1807" s="26"/>
      <c r="BM1807" s="26"/>
      <c r="BN1807" s="26"/>
      <c r="BO1807" s="26"/>
      <c r="BP1807" s="16" t="n">
        <v>45539</v>
      </c>
      <c r="BQ1807" s="28" t="str">
        <f>HYPERLINK("https://organic.ams.usda.gov/Integrity/Certificate.aspx?cid=45&amp;nopid=9950002502")</f>
        <v>https://organic.ams.usda.gov/Integrity/Certificate.aspx?cid=45&amp;nopid=9950002502</v>
      </c>
    </row>
    <row r="1808">
      <c r="A1808" t="s">
        <v>3</v>
      </c>
      <c r="B1808" s="6" t="s">
        <v>12</v>
      </c>
      <c r="C1808" s="6" t="s">
        <v>59</v>
      </c>
      <c r="D1808" s="6" t="s">
        <v>105</v>
      </c>
      <c r="E1808" s="10" t="s">
        <v>1949</v>
      </c>
      <c r="F1808" s="6" t="s">
        <v>4667</v>
      </c>
      <c r="G1808" s="6" t="s">
        <v>81</v>
      </c>
      <c r="H1808" s="6" t="s">
        <v>7548</v>
      </c>
      <c r="I1808" s="6" t="s">
        <v>8599</v>
      </c>
      <c r="J1808" s="6" t="s">
        <v>10460</v>
      </c>
      <c r="K1808" s="6" t="s">
        <v>10886</v>
      </c>
      <c r="L1808" s="16" t="n">
        <v>42916</v>
      </c>
      <c r="M1808" s="16" t="n">
        <v>45717</v>
      </c>
      <c r="N1808" s="6" t="s">
        <v>10886</v>
      </c>
      <c r="O1808" s="16" t="n">
        <v>42916</v>
      </c>
      <c r="P1808" s="6" t="s">
        <v>10977</v>
      </c>
      <c r="Q1808" s="6" t="s">
        <v>81</v>
      </c>
      <c r="R1808" s="6" t="s">
        <v>81</v>
      </c>
      <c r="S1808" s="6" t="s">
        <v>10886</v>
      </c>
      <c r="T1808" s="16" t="n">
        <v>42916</v>
      </c>
      <c r="U1808" s="6" t="s">
        <v>13166</v>
      </c>
      <c r="V1808" s="6" t="s">
        <v>81</v>
      </c>
      <c r="W1808" s="6" t="s">
        <v>81</v>
      </c>
      <c r="X1808" s="6" t="s">
        <v>81</v>
      </c>
      <c r="Y1808" s="21" t="s">
        <v>81</v>
      </c>
      <c r="Z1808" s="6" t="s">
        <v>81</v>
      </c>
      <c r="AA1808" s="6" t="s">
        <v>81</v>
      </c>
      <c r="AB1808" s="6" t="s">
        <v>81</v>
      </c>
      <c r="AC1808" s="6" t="s">
        <v>81</v>
      </c>
      <c r="AD1808" s="21" t="s">
        <v>81</v>
      </c>
      <c r="AE1808" s="6" t="s">
        <v>81</v>
      </c>
      <c r="AF1808" s="6" t="s">
        <v>81</v>
      </c>
      <c r="AG1808" s="6" t="s">
        <v>81</v>
      </c>
      <c r="AH1808" s="6" t="s">
        <v>16365</v>
      </c>
      <c r="AI1808" s="6" t="s">
        <v>81</v>
      </c>
      <c r="AJ1808" s="6" t="s">
        <v>18111</v>
      </c>
      <c r="AK1808" s="6" t="s">
        <v>18380</v>
      </c>
      <c r="AL1808" s="6" t="s">
        <v>18444</v>
      </c>
      <c r="AM1808" s="6" t="s">
        <v>19310</v>
      </c>
      <c r="AN1808" s="6" t="s">
        <v>19649</v>
      </c>
      <c r="AO1808" s="6" t="s">
        <v>19808</v>
      </c>
      <c r="AP1808" s="6" t="s">
        <v>16365</v>
      </c>
      <c r="AQ1808" s="6" t="s">
        <v>81</v>
      </c>
      <c r="AR1808" s="6" t="s">
        <v>18111</v>
      </c>
      <c r="AS1808" s="6" t="s">
        <v>18380</v>
      </c>
      <c r="AT1808" s="6" t="s">
        <v>18444</v>
      </c>
      <c r="AU1808" s="6" t="s">
        <v>19310</v>
      </c>
      <c r="AV1808" s="6" t="s">
        <v>81</v>
      </c>
      <c r="AW1808" s="6" t="s">
        <v>81</v>
      </c>
      <c r="AX1808" s="6" t="s">
        <v>21902</v>
      </c>
      <c r="AY1808" s="6" t="s">
        <v>81</v>
      </c>
      <c r="AZ1808" s="6" t="s">
        <v>81</v>
      </c>
      <c r="BA1808" s="6" t="s">
        <v>81</v>
      </c>
      <c r="BB1808" s="24" t="n">
        <v>447</v>
      </c>
      <c r="BC1808" s="26"/>
      <c r="BD1808" s="26"/>
      <c r="BE1808" s="26"/>
      <c r="BF1808" s="26"/>
      <c r="BG1808" s="26"/>
      <c r="BH1808" s="26"/>
      <c r="BI1808" s="26"/>
      <c r="BJ1808" s="26"/>
      <c r="BK1808" s="26"/>
      <c r="BL1808" s="26"/>
      <c r="BM1808" s="26"/>
      <c r="BN1808" s="26"/>
      <c r="BO1808" s="26"/>
      <c r="BP1808" s="16" t="n">
        <v>45684</v>
      </c>
      <c r="BQ1808" s="28" t="str">
        <f>HYPERLINK("https://organic.ams.usda.gov/Integrity/Certificate.aspx?cid=68&amp;nopid=8210005397")</f>
        <v>https://organic.ams.usda.gov/Integrity/Certificate.aspx?cid=68&amp;nopid=8210005397</v>
      </c>
    </row>
    <row r="1809">
      <c r="A1809" t="s">
        <v>3</v>
      </c>
      <c r="B1809" s="6" t="s">
        <v>25</v>
      </c>
      <c r="C1809" s="6" t="s">
        <v>72</v>
      </c>
      <c r="D1809" s="6" t="s">
        <v>118</v>
      </c>
      <c r="E1809" s="10" t="s">
        <v>1950</v>
      </c>
      <c r="F1809" s="6" t="s">
        <v>4668</v>
      </c>
      <c r="G1809" s="6" t="s">
        <v>5757</v>
      </c>
      <c r="H1809" s="6" t="s">
        <v>7549</v>
      </c>
      <c r="I1809" s="6" t="s">
        <v>8652</v>
      </c>
      <c r="J1809" s="6" t="s">
        <v>9907</v>
      </c>
      <c r="K1809" s="6" t="s">
        <v>10886</v>
      </c>
      <c r="L1809" s="16" t="n">
        <v>38954</v>
      </c>
      <c r="M1809" s="16" t="n">
        <v>46023</v>
      </c>
      <c r="N1809" s="6" t="s">
        <v>10886</v>
      </c>
      <c r="O1809" s="16" t="n">
        <v>38954</v>
      </c>
      <c r="P1809" s="6" t="s">
        <v>11965</v>
      </c>
      <c r="Q1809" s="6" t="s">
        <v>81</v>
      </c>
      <c r="R1809" s="6" t="s">
        <v>81</v>
      </c>
      <c r="S1809" s="6" t="s">
        <v>10886</v>
      </c>
      <c r="T1809" s="16" t="n">
        <v>38954</v>
      </c>
      <c r="U1809" s="6" t="s">
        <v>13636</v>
      </c>
      <c r="V1809" s="6" t="s">
        <v>81</v>
      </c>
      <c r="W1809" s="6" t="s">
        <v>81</v>
      </c>
      <c r="X1809" s="6" t="s">
        <v>81</v>
      </c>
      <c r="Y1809" s="21" t="s">
        <v>81</v>
      </c>
      <c r="Z1809" s="6" t="s">
        <v>81</v>
      </c>
      <c r="AA1809" s="6" t="s">
        <v>81</v>
      </c>
      <c r="AB1809" s="6" t="s">
        <v>81</v>
      </c>
      <c r="AC1809" s="6" t="s">
        <v>10886</v>
      </c>
      <c r="AD1809" s="16" t="n">
        <v>44733</v>
      </c>
      <c r="AE1809" s="6" t="s">
        <v>14081</v>
      </c>
      <c r="AF1809" s="6" t="s">
        <v>81</v>
      </c>
      <c r="AG1809" s="6" t="s">
        <v>81</v>
      </c>
      <c r="AH1809" s="6" t="s">
        <v>16366</v>
      </c>
      <c r="AI1809" s="6" t="s">
        <v>81</v>
      </c>
      <c r="AJ1809" s="6" t="s">
        <v>17421</v>
      </c>
      <c r="AK1809" s="6" t="s">
        <v>18386</v>
      </c>
      <c r="AL1809" s="6" t="s">
        <v>18444</v>
      </c>
      <c r="AM1809" s="6" t="s">
        <v>18578</v>
      </c>
      <c r="AN1809" s="6" t="s">
        <v>19672</v>
      </c>
      <c r="AO1809" s="6" t="s">
        <v>19787</v>
      </c>
      <c r="AP1809" s="6" t="s">
        <v>16366</v>
      </c>
      <c r="AQ1809" s="6" t="s">
        <v>81</v>
      </c>
      <c r="AR1809" s="6" t="s">
        <v>17421</v>
      </c>
      <c r="AS1809" s="6" t="s">
        <v>18386</v>
      </c>
      <c r="AT1809" s="6" t="s">
        <v>18444</v>
      </c>
      <c r="AU1809" s="6" t="s">
        <v>18578</v>
      </c>
      <c r="AV1809" s="6" t="s">
        <v>81</v>
      </c>
      <c r="AW1809" s="6" t="s">
        <v>81</v>
      </c>
      <c r="AX1809" s="6" t="s">
        <v>21903</v>
      </c>
      <c r="AY1809" s="6" t="s">
        <v>23195</v>
      </c>
      <c r="AZ1809" s="6" t="s">
        <v>81</v>
      </c>
      <c r="BA1809" s="6" t="s">
        <v>23875</v>
      </c>
      <c r="BB1809" s="24" t="n">
        <v>2249</v>
      </c>
      <c r="BC1809" s="26"/>
      <c r="BD1809" s="26"/>
      <c r="BE1809" s="26"/>
      <c r="BF1809" s="26" t="s">
        <v>23900</v>
      </c>
      <c r="BG1809" s="26"/>
      <c r="BH1809" s="26"/>
      <c r="BI1809" s="26"/>
      <c r="BJ1809" s="26"/>
      <c r="BK1809" s="26"/>
      <c r="BL1809" s="26"/>
      <c r="BM1809" s="26"/>
      <c r="BN1809" s="26"/>
      <c r="BO1809" s="26"/>
      <c r="BP1809" s="16" t="n">
        <v>45720</v>
      </c>
      <c r="BQ1809" s="28" t="str">
        <f>HYPERLINK("https://organic.ams.usda.gov/Integrity/Certificate.aspx?cid=15&amp;nopid=5561001285")</f>
        <v>https://organic.ams.usda.gov/Integrity/Certificate.aspx?cid=15&amp;nopid=5561001285</v>
      </c>
    </row>
    <row r="1810">
      <c r="A1810" t="s">
        <v>3</v>
      </c>
      <c r="B1810" s="6" t="s">
        <v>16</v>
      </c>
      <c r="C1810" s="6" t="s">
        <v>63</v>
      </c>
      <c r="D1810" s="6" t="s">
        <v>109</v>
      </c>
      <c r="E1810" s="10" t="s">
        <v>1951</v>
      </c>
      <c r="F1810" s="6" t="s">
        <v>4669</v>
      </c>
      <c r="G1810" s="6" t="s">
        <v>81</v>
      </c>
      <c r="H1810" s="6" t="s">
        <v>7550</v>
      </c>
      <c r="I1810" s="6" t="s">
        <v>8514</v>
      </c>
      <c r="J1810" s="6" t="s">
        <v>10461</v>
      </c>
      <c r="K1810" s="6" t="s">
        <v>10886</v>
      </c>
      <c r="L1810" s="16" t="n">
        <v>37452</v>
      </c>
      <c r="M1810" s="16" t="n">
        <v>45823</v>
      </c>
      <c r="N1810" s="6" t="s">
        <v>81</v>
      </c>
      <c r="O1810" s="21" t="s">
        <v>81</v>
      </c>
      <c r="P1810" s="6" t="s">
        <v>81</v>
      </c>
      <c r="Q1810" s="6" t="s">
        <v>81</v>
      </c>
      <c r="R1810" s="6" t="s">
        <v>81</v>
      </c>
      <c r="S1810" s="6" t="s">
        <v>81</v>
      </c>
      <c r="T1810" s="21" t="s">
        <v>81</v>
      </c>
      <c r="U1810" s="6" t="s">
        <v>81</v>
      </c>
      <c r="V1810" s="6" t="s">
        <v>81</v>
      </c>
      <c r="W1810" s="6" t="s">
        <v>81</v>
      </c>
      <c r="X1810" s="6" t="s">
        <v>81</v>
      </c>
      <c r="Y1810" s="21" t="s">
        <v>81</v>
      </c>
      <c r="Z1810" s="6" t="s">
        <v>81</v>
      </c>
      <c r="AA1810" s="6" t="s">
        <v>81</v>
      </c>
      <c r="AB1810" s="6" t="s">
        <v>81</v>
      </c>
      <c r="AC1810" s="6" t="s">
        <v>10886</v>
      </c>
      <c r="AD1810" s="16" t="n">
        <v>37452</v>
      </c>
      <c r="AE1810" s="6" t="s">
        <v>14312</v>
      </c>
      <c r="AF1810" s="6" t="s">
        <v>81</v>
      </c>
      <c r="AG1810" s="6" t="s">
        <v>81</v>
      </c>
      <c r="AH1810" s="6" t="s">
        <v>16367</v>
      </c>
      <c r="AI1810" s="6" t="s">
        <v>81</v>
      </c>
      <c r="AJ1810" s="6" t="s">
        <v>18112</v>
      </c>
      <c r="AK1810" s="6" t="s">
        <v>18383</v>
      </c>
      <c r="AL1810" s="6" t="s">
        <v>18444</v>
      </c>
      <c r="AM1810" s="6" t="s">
        <v>19311</v>
      </c>
      <c r="AN1810" s="6" t="s">
        <v>19636</v>
      </c>
      <c r="AO1810" s="6" t="s">
        <v>19740</v>
      </c>
      <c r="AP1810" s="6" t="s">
        <v>20335</v>
      </c>
      <c r="AQ1810" s="6" t="s">
        <v>81</v>
      </c>
      <c r="AR1810" s="6" t="s">
        <v>18112</v>
      </c>
      <c r="AS1810" s="6" t="s">
        <v>18383</v>
      </c>
      <c r="AT1810" s="6" t="s">
        <v>18444</v>
      </c>
      <c r="AU1810" s="6" t="s">
        <v>19311</v>
      </c>
      <c r="AV1810" s="6" t="s">
        <v>81</v>
      </c>
      <c r="AW1810" s="6" t="s">
        <v>81</v>
      </c>
      <c r="AX1810" s="6" t="s">
        <v>21904</v>
      </c>
      <c r="AY1810" s="6" t="s">
        <v>81</v>
      </c>
      <c r="AZ1810" s="6" t="s">
        <v>23719</v>
      </c>
      <c r="BA1810" s="6" t="s">
        <v>81</v>
      </c>
      <c r="BB1810" s="24" t="n">
        <v>0</v>
      </c>
      <c r="BC1810" s="26"/>
      <c r="BD1810" s="26"/>
      <c r="BE1810" s="26"/>
      <c r="BF1810" s="26"/>
      <c r="BG1810" s="26"/>
      <c r="BH1810" s="26"/>
      <c r="BI1810" s="26"/>
      <c r="BJ1810" s="26"/>
      <c r="BK1810" s="26"/>
      <c r="BL1810" s="26"/>
      <c r="BM1810" s="26"/>
      <c r="BN1810" s="26"/>
      <c r="BO1810" s="26"/>
      <c r="BP1810" s="16" t="n">
        <v>45701</v>
      </c>
      <c r="BQ1810" s="28" t="str">
        <f>HYPERLINK("https://organic.ams.usda.gov/Integrity/Certificate.aspx?cid=81&amp;nopid=4210099118")</f>
        <v>https://organic.ams.usda.gov/Integrity/Certificate.aspx?cid=81&amp;nopid=4210099118</v>
      </c>
    </row>
    <row r="1811">
      <c r="A1811" t="s">
        <v>3</v>
      </c>
      <c r="B1811" s="6" t="s">
        <v>11</v>
      </c>
      <c r="C1811" s="6" t="s">
        <v>58</v>
      </c>
      <c r="D1811" s="6" t="s">
        <v>104</v>
      </c>
      <c r="E1811" s="10" t="s">
        <v>1952</v>
      </c>
      <c r="F1811" s="6" t="s">
        <v>4670</v>
      </c>
      <c r="G1811" s="6" t="s">
        <v>81</v>
      </c>
      <c r="H1811" s="6" t="s">
        <v>81</v>
      </c>
      <c r="I1811" s="6" t="s">
        <v>9298</v>
      </c>
      <c r="J1811" s="6" t="s">
        <v>9743</v>
      </c>
      <c r="K1811" s="6" t="s">
        <v>10886</v>
      </c>
      <c r="L1811" s="16" t="n">
        <v>44148</v>
      </c>
      <c r="M1811" s="16" t="n">
        <v>45383</v>
      </c>
      <c r="N1811" s="6" t="s">
        <v>10886</v>
      </c>
      <c r="O1811" s="16" t="n">
        <v>44148</v>
      </c>
      <c r="P1811" s="6" t="s">
        <v>11966</v>
      </c>
      <c r="Q1811" s="6" t="s">
        <v>81</v>
      </c>
      <c r="R1811" s="6" t="s">
        <v>81</v>
      </c>
      <c r="S1811" s="6" t="s">
        <v>10886</v>
      </c>
      <c r="T1811" s="16" t="n">
        <v>44148</v>
      </c>
      <c r="U1811" s="6" t="s">
        <v>13724</v>
      </c>
      <c r="V1811" s="6" t="s">
        <v>81</v>
      </c>
      <c r="W1811" s="6" t="s">
        <v>81</v>
      </c>
      <c r="X1811" s="6" t="s">
        <v>81</v>
      </c>
      <c r="Y1811" s="21" t="s">
        <v>81</v>
      </c>
      <c r="Z1811" s="6" t="s">
        <v>81</v>
      </c>
      <c r="AA1811" s="6" t="s">
        <v>81</v>
      </c>
      <c r="AB1811" s="6" t="s">
        <v>81</v>
      </c>
      <c r="AC1811" s="6" t="s">
        <v>81</v>
      </c>
      <c r="AD1811" s="21" t="s">
        <v>81</v>
      </c>
      <c r="AE1811" s="6" t="s">
        <v>81</v>
      </c>
      <c r="AF1811" s="6" t="s">
        <v>81</v>
      </c>
      <c r="AG1811" s="6" t="s">
        <v>81</v>
      </c>
      <c r="AH1811" s="6" t="s">
        <v>16368</v>
      </c>
      <c r="AI1811" s="6" t="s">
        <v>81</v>
      </c>
      <c r="AJ1811" s="6" t="s">
        <v>9032</v>
      </c>
      <c r="AK1811" s="6" t="s">
        <v>18377</v>
      </c>
      <c r="AL1811" s="6" t="s">
        <v>18444</v>
      </c>
      <c r="AM1811" s="6" t="s">
        <v>18909</v>
      </c>
      <c r="AN1811" s="6" t="s">
        <v>19652</v>
      </c>
      <c r="AO1811" s="6" t="s">
        <v>19772</v>
      </c>
      <c r="AP1811" s="6" t="s">
        <v>16368</v>
      </c>
      <c r="AQ1811" s="6" t="s">
        <v>81</v>
      </c>
      <c r="AR1811" s="6" t="s">
        <v>9032</v>
      </c>
      <c r="AS1811" s="6" t="s">
        <v>18377</v>
      </c>
      <c r="AT1811" s="6" t="s">
        <v>18444</v>
      </c>
      <c r="AU1811" s="6" t="s">
        <v>18909</v>
      </c>
      <c r="AV1811" s="6" t="s">
        <v>81</v>
      </c>
      <c r="AW1811" s="6" t="s">
        <v>81</v>
      </c>
      <c r="AX1811" s="6" t="s">
        <v>81</v>
      </c>
      <c r="AY1811" s="6" t="s">
        <v>81</v>
      </c>
      <c r="AZ1811" s="6" t="s">
        <v>81</v>
      </c>
      <c r="BA1811" s="6" t="s">
        <v>23820</v>
      </c>
      <c r="BB1811" s="24" t="n">
        <v>43</v>
      </c>
      <c r="BC1811" s="26"/>
      <c r="BD1811" s="26"/>
      <c r="BE1811" s="26"/>
      <c r="BF1811" s="26"/>
      <c r="BG1811" s="26"/>
      <c r="BH1811" s="26"/>
      <c r="BI1811" s="26"/>
      <c r="BJ1811" s="26"/>
      <c r="BK1811" s="26"/>
      <c r="BL1811" s="26"/>
      <c r="BM1811" s="26"/>
      <c r="BN1811" s="26"/>
      <c r="BO1811" s="26"/>
      <c r="BP1811" s="16" t="n">
        <v>45443</v>
      </c>
      <c r="BQ1811" s="28" t="str">
        <f>HYPERLINK("https://organic.ams.usda.gov/Integrity/Certificate.aspx?cid=46&amp;nopid=3672000068")</f>
        <v>https://organic.ams.usda.gov/Integrity/Certificate.aspx?cid=46&amp;nopid=3672000068</v>
      </c>
    </row>
    <row r="1812">
      <c r="A1812" t="s">
        <v>3</v>
      </c>
      <c r="B1812" s="6" t="s">
        <v>7</v>
      </c>
      <c r="C1812" s="6" t="s">
        <v>54</v>
      </c>
      <c r="D1812" s="6" t="s">
        <v>100</v>
      </c>
      <c r="E1812" s="10" t="s">
        <v>1953</v>
      </c>
      <c r="F1812" s="6" t="s">
        <v>4671</v>
      </c>
      <c r="G1812" s="6" t="s">
        <v>81</v>
      </c>
      <c r="H1812" s="6" t="s">
        <v>7551</v>
      </c>
      <c r="I1812" s="6" t="s">
        <v>8909</v>
      </c>
      <c r="J1812" s="6" t="s">
        <v>9672</v>
      </c>
      <c r="K1812" s="6" t="s">
        <v>10886</v>
      </c>
      <c r="L1812" s="16" t="n">
        <v>44785</v>
      </c>
      <c r="M1812" s="16" t="n">
        <v>45716</v>
      </c>
      <c r="N1812" s="6" t="s">
        <v>10886</v>
      </c>
      <c r="O1812" s="16" t="n">
        <v>44785</v>
      </c>
      <c r="P1812" s="6" t="s">
        <v>11031</v>
      </c>
      <c r="Q1812" s="6" t="s">
        <v>81</v>
      </c>
      <c r="R1812" s="6" t="s">
        <v>81</v>
      </c>
      <c r="S1812" s="6" t="s">
        <v>10886</v>
      </c>
      <c r="T1812" s="16" t="n">
        <v>44816</v>
      </c>
      <c r="U1812" s="6" t="s">
        <v>13169</v>
      </c>
      <c r="V1812" s="6" t="s">
        <v>81</v>
      </c>
      <c r="W1812" s="6" t="s">
        <v>81</v>
      </c>
      <c r="X1812" s="6" t="s">
        <v>81</v>
      </c>
      <c r="Y1812" s="21" t="s">
        <v>81</v>
      </c>
      <c r="Z1812" s="6" t="s">
        <v>81</v>
      </c>
      <c r="AA1812" s="6" t="s">
        <v>81</v>
      </c>
      <c r="AB1812" s="6" t="s">
        <v>81</v>
      </c>
      <c r="AC1812" s="6" t="s">
        <v>81</v>
      </c>
      <c r="AD1812" s="21" t="s">
        <v>81</v>
      </c>
      <c r="AE1812" s="6" t="s">
        <v>81</v>
      </c>
      <c r="AF1812" s="6" t="s">
        <v>81</v>
      </c>
      <c r="AG1812" s="6" t="s">
        <v>81</v>
      </c>
      <c r="AH1812" s="6" t="s">
        <v>15434</v>
      </c>
      <c r="AI1812" s="6" t="s">
        <v>81</v>
      </c>
      <c r="AJ1812" s="6" t="s">
        <v>17485</v>
      </c>
      <c r="AK1812" s="6" t="s">
        <v>17712</v>
      </c>
      <c r="AL1812" s="6" t="s">
        <v>18444</v>
      </c>
      <c r="AM1812" s="6" t="s">
        <v>18645</v>
      </c>
      <c r="AN1812" s="6" t="s">
        <v>19642</v>
      </c>
      <c r="AO1812" s="6" t="s">
        <v>19728</v>
      </c>
      <c r="AP1812" s="6" t="s">
        <v>15434</v>
      </c>
      <c r="AQ1812" s="6" t="s">
        <v>81</v>
      </c>
      <c r="AR1812" s="6" t="s">
        <v>17485</v>
      </c>
      <c r="AS1812" s="6" t="s">
        <v>17712</v>
      </c>
      <c r="AT1812" s="6" t="s">
        <v>18444</v>
      </c>
      <c r="AU1812" s="6" t="s">
        <v>18645</v>
      </c>
      <c r="AV1812" s="6" t="s">
        <v>81</v>
      </c>
      <c r="AW1812" s="6" t="s">
        <v>81</v>
      </c>
      <c r="AX1812" s="6" t="s">
        <v>21905</v>
      </c>
      <c r="AY1812" s="6" t="s">
        <v>81</v>
      </c>
      <c r="AZ1812" s="6" t="s">
        <v>81</v>
      </c>
      <c r="BA1812" s="6" t="s">
        <v>81</v>
      </c>
      <c r="BB1812" s="24" t="n">
        <v>48</v>
      </c>
      <c r="BC1812" s="26"/>
      <c r="BD1812" s="26"/>
      <c r="BE1812" s="26"/>
      <c r="BF1812" s="26" t="s">
        <v>23900</v>
      </c>
      <c r="BG1812" s="26"/>
      <c r="BH1812" s="26"/>
      <c r="BI1812" s="26"/>
      <c r="BJ1812" s="26"/>
      <c r="BK1812" s="26"/>
      <c r="BL1812" s="26"/>
      <c r="BM1812" s="26"/>
      <c r="BN1812" s="26"/>
      <c r="BO1812" s="26"/>
      <c r="BP1812" s="16" t="n">
        <v>45595</v>
      </c>
      <c r="BQ1812" s="28" t="str">
        <f>HYPERLINK("https://organic.ams.usda.gov/Integrity/Certificate.aspx?cid=57&amp;nopid=3252022066")</f>
        <v>https://organic.ams.usda.gov/Integrity/Certificate.aspx?cid=57&amp;nopid=3252022066</v>
      </c>
    </row>
    <row r="1813">
      <c r="A1813" t="s">
        <v>3</v>
      </c>
      <c r="B1813" s="6" t="s">
        <v>7</v>
      </c>
      <c r="C1813" s="6" t="s">
        <v>54</v>
      </c>
      <c r="D1813" s="6" t="s">
        <v>100</v>
      </c>
      <c r="E1813" s="10" t="s">
        <v>1954</v>
      </c>
      <c r="F1813" s="6" t="s">
        <v>4672</v>
      </c>
      <c r="G1813" s="6" t="s">
        <v>81</v>
      </c>
      <c r="H1813" s="6" t="s">
        <v>7552</v>
      </c>
      <c r="I1813" s="6" t="s">
        <v>8909</v>
      </c>
      <c r="J1813" s="6" t="s">
        <v>9960</v>
      </c>
      <c r="K1813" s="6" t="s">
        <v>10886</v>
      </c>
      <c r="L1813" s="16" t="n">
        <v>44832</v>
      </c>
      <c r="M1813" s="16" t="n">
        <v>45716</v>
      </c>
      <c r="N1813" s="6" t="s">
        <v>10886</v>
      </c>
      <c r="O1813" s="16" t="n">
        <v>44832</v>
      </c>
      <c r="P1813" s="6" t="s">
        <v>10977</v>
      </c>
      <c r="Q1813" s="6" t="s">
        <v>81</v>
      </c>
      <c r="R1813" s="6" t="s">
        <v>81</v>
      </c>
      <c r="S1813" s="6" t="s">
        <v>10886</v>
      </c>
      <c r="T1813" s="16" t="n">
        <v>44873</v>
      </c>
      <c r="U1813" s="6" t="s">
        <v>13169</v>
      </c>
      <c r="V1813" s="6" t="s">
        <v>81</v>
      </c>
      <c r="W1813" s="6" t="s">
        <v>81</v>
      </c>
      <c r="X1813" s="6" t="s">
        <v>81</v>
      </c>
      <c r="Y1813" s="21" t="s">
        <v>81</v>
      </c>
      <c r="Z1813" s="6" t="s">
        <v>81</v>
      </c>
      <c r="AA1813" s="6" t="s">
        <v>81</v>
      </c>
      <c r="AB1813" s="6" t="s">
        <v>81</v>
      </c>
      <c r="AC1813" s="6" t="s">
        <v>81</v>
      </c>
      <c r="AD1813" s="21" t="s">
        <v>81</v>
      </c>
      <c r="AE1813" s="6" t="s">
        <v>81</v>
      </c>
      <c r="AF1813" s="6" t="s">
        <v>81</v>
      </c>
      <c r="AG1813" s="6" t="s">
        <v>81</v>
      </c>
      <c r="AH1813" s="6" t="s">
        <v>16369</v>
      </c>
      <c r="AI1813" s="6" t="s">
        <v>81</v>
      </c>
      <c r="AJ1813" s="6" t="s">
        <v>17406</v>
      </c>
      <c r="AK1813" s="6" t="s">
        <v>17712</v>
      </c>
      <c r="AL1813" s="6" t="s">
        <v>18444</v>
      </c>
      <c r="AM1813" s="6" t="s">
        <v>18562</v>
      </c>
      <c r="AN1813" s="6" t="s">
        <v>19657</v>
      </c>
      <c r="AO1813" s="6" t="s">
        <v>19751</v>
      </c>
      <c r="AP1813" s="6" t="s">
        <v>16369</v>
      </c>
      <c r="AQ1813" s="6" t="s">
        <v>81</v>
      </c>
      <c r="AR1813" s="6" t="s">
        <v>17406</v>
      </c>
      <c r="AS1813" s="6" t="s">
        <v>17712</v>
      </c>
      <c r="AT1813" s="6" t="s">
        <v>18444</v>
      </c>
      <c r="AU1813" s="6" t="s">
        <v>18562</v>
      </c>
      <c r="AV1813" s="6" t="s">
        <v>81</v>
      </c>
      <c r="AW1813" s="6" t="s">
        <v>81</v>
      </c>
      <c r="AX1813" s="6" t="s">
        <v>81</v>
      </c>
      <c r="AY1813" s="6" t="s">
        <v>81</v>
      </c>
      <c r="AZ1813" s="6" t="s">
        <v>81</v>
      </c>
      <c r="BA1813" s="6" t="s">
        <v>81</v>
      </c>
      <c r="BB1813" s="24" t="n">
        <v>78</v>
      </c>
      <c r="BC1813" s="26"/>
      <c r="BD1813" s="26"/>
      <c r="BE1813" s="26"/>
      <c r="BF1813" s="26" t="s">
        <v>23900</v>
      </c>
      <c r="BG1813" s="26"/>
      <c r="BH1813" s="26"/>
      <c r="BI1813" s="26"/>
      <c r="BJ1813" s="26"/>
      <c r="BK1813" s="26"/>
      <c r="BL1813" s="26"/>
      <c r="BM1813" s="26"/>
      <c r="BN1813" s="26"/>
      <c r="BO1813" s="26"/>
      <c r="BP1813" s="16" t="n">
        <v>45595</v>
      </c>
      <c r="BQ1813" s="28" t="str">
        <f>HYPERLINK("https://organic.ams.usda.gov/Integrity/Certificate.aspx?cid=57&amp;nopid=3252022094")</f>
        <v>https://organic.ams.usda.gov/Integrity/Certificate.aspx?cid=57&amp;nopid=3252022094</v>
      </c>
    </row>
    <row r="1814">
      <c r="A1814" t="s">
        <v>3</v>
      </c>
      <c r="B1814" s="6" t="s">
        <v>12</v>
      </c>
      <c r="C1814" s="6" t="s">
        <v>59</v>
      </c>
      <c r="D1814" s="6" t="s">
        <v>105</v>
      </c>
      <c r="E1814" s="10" t="s">
        <v>1955</v>
      </c>
      <c r="F1814" s="6" t="s">
        <v>4673</v>
      </c>
      <c r="G1814" s="6" t="s">
        <v>81</v>
      </c>
      <c r="H1814" s="6" t="s">
        <v>7553</v>
      </c>
      <c r="I1814" s="6" t="s">
        <v>9299</v>
      </c>
      <c r="J1814" s="6" t="s">
        <v>9679</v>
      </c>
      <c r="K1814" s="6" t="s">
        <v>10886</v>
      </c>
      <c r="L1814" s="16" t="n">
        <v>42215</v>
      </c>
      <c r="M1814" s="16" t="n">
        <v>45717</v>
      </c>
      <c r="N1814" s="6" t="s">
        <v>10886</v>
      </c>
      <c r="O1814" s="16" t="n">
        <v>42215</v>
      </c>
      <c r="P1814" s="6" t="s">
        <v>11967</v>
      </c>
      <c r="Q1814" s="6" t="s">
        <v>81</v>
      </c>
      <c r="R1814" s="6" t="s">
        <v>81</v>
      </c>
      <c r="S1814" s="6" t="s">
        <v>10886</v>
      </c>
      <c r="T1814" s="16" t="n">
        <v>42215</v>
      </c>
      <c r="U1814" s="6" t="s">
        <v>13166</v>
      </c>
      <c r="V1814" s="6" t="s">
        <v>81</v>
      </c>
      <c r="W1814" s="6" t="s">
        <v>81</v>
      </c>
      <c r="X1814" s="6" t="s">
        <v>81</v>
      </c>
      <c r="Y1814" s="21" t="s">
        <v>81</v>
      </c>
      <c r="Z1814" s="6" t="s">
        <v>81</v>
      </c>
      <c r="AA1814" s="6" t="s">
        <v>81</v>
      </c>
      <c r="AB1814" s="6" t="s">
        <v>81</v>
      </c>
      <c r="AC1814" s="6" t="s">
        <v>81</v>
      </c>
      <c r="AD1814" s="21" t="s">
        <v>81</v>
      </c>
      <c r="AE1814" s="6" t="s">
        <v>81</v>
      </c>
      <c r="AF1814" s="6" t="s">
        <v>81</v>
      </c>
      <c r="AG1814" s="6" t="s">
        <v>81</v>
      </c>
      <c r="AH1814" s="6" t="s">
        <v>16370</v>
      </c>
      <c r="AI1814" s="6" t="s">
        <v>81</v>
      </c>
      <c r="AJ1814" s="6" t="s">
        <v>18113</v>
      </c>
      <c r="AK1814" s="6" t="s">
        <v>18380</v>
      </c>
      <c r="AL1814" s="6" t="s">
        <v>18444</v>
      </c>
      <c r="AM1814" s="6" t="s">
        <v>19312</v>
      </c>
      <c r="AN1814" s="6" t="s">
        <v>7195</v>
      </c>
      <c r="AO1814" s="6" t="s">
        <v>19863</v>
      </c>
      <c r="AP1814" s="6" t="s">
        <v>16370</v>
      </c>
      <c r="AQ1814" s="6" t="s">
        <v>81</v>
      </c>
      <c r="AR1814" s="6" t="s">
        <v>18113</v>
      </c>
      <c r="AS1814" s="6" t="s">
        <v>18380</v>
      </c>
      <c r="AT1814" s="6" t="s">
        <v>18444</v>
      </c>
      <c r="AU1814" s="6" t="s">
        <v>19312</v>
      </c>
      <c r="AV1814" s="6" t="s">
        <v>7195</v>
      </c>
      <c r="AW1814" s="6" t="s">
        <v>19863</v>
      </c>
      <c r="AX1814" s="6" t="s">
        <v>21906</v>
      </c>
      <c r="AY1814" s="6" t="s">
        <v>81</v>
      </c>
      <c r="AZ1814" s="6" t="s">
        <v>81</v>
      </c>
      <c r="BA1814" s="6" t="s">
        <v>81</v>
      </c>
      <c r="BB1814" s="24" t="n">
        <v>71</v>
      </c>
      <c r="BC1814" s="26"/>
      <c r="BD1814" s="26"/>
      <c r="BE1814" s="26"/>
      <c r="BF1814" s="26"/>
      <c r="BG1814" s="26"/>
      <c r="BH1814" s="26"/>
      <c r="BI1814" s="26"/>
      <c r="BJ1814" s="26"/>
      <c r="BK1814" s="26"/>
      <c r="BL1814" s="26"/>
      <c r="BM1814" s="26"/>
      <c r="BN1814" s="26"/>
      <c r="BO1814" s="26"/>
      <c r="BP1814" s="16" t="n">
        <v>45684</v>
      </c>
      <c r="BQ1814" s="28" t="str">
        <f>HYPERLINK("https://organic.ams.usda.gov/Integrity/Certificate.aspx?cid=68&amp;nopid=8210003123")</f>
        <v>https://organic.ams.usda.gov/Integrity/Certificate.aspx?cid=68&amp;nopid=8210003123</v>
      </c>
    </row>
    <row r="1815">
      <c r="A1815" t="s">
        <v>3</v>
      </c>
      <c r="B1815" s="6" t="s">
        <v>8</v>
      </c>
      <c r="C1815" s="6" t="s">
        <v>55</v>
      </c>
      <c r="D1815" s="6" t="s">
        <v>101</v>
      </c>
      <c r="E1815" s="10" t="s">
        <v>1956</v>
      </c>
      <c r="F1815" s="6" t="s">
        <v>4674</v>
      </c>
      <c r="G1815" s="6" t="s">
        <v>81</v>
      </c>
      <c r="H1815" s="6" t="s">
        <v>7554</v>
      </c>
      <c r="I1815" s="6" t="s">
        <v>8909</v>
      </c>
      <c r="J1815" s="6" t="s">
        <v>9671</v>
      </c>
      <c r="K1815" s="6" t="s">
        <v>10886</v>
      </c>
      <c r="L1815" s="16" t="n">
        <v>43563</v>
      </c>
      <c r="M1815" s="16" t="n">
        <v>45748</v>
      </c>
      <c r="N1815" s="6" t="s">
        <v>10886</v>
      </c>
      <c r="O1815" s="16" t="n">
        <v>43563</v>
      </c>
      <c r="P1815" s="6" t="s">
        <v>11968</v>
      </c>
      <c r="Q1815" s="6" t="s">
        <v>81</v>
      </c>
      <c r="R1815" s="6" t="s">
        <v>7554</v>
      </c>
      <c r="S1815" s="6" t="s">
        <v>10886</v>
      </c>
      <c r="T1815" s="16" t="n">
        <v>43563</v>
      </c>
      <c r="U1815" s="6" t="s">
        <v>13725</v>
      </c>
      <c r="V1815" s="6" t="s">
        <v>81</v>
      </c>
      <c r="W1815" s="6" t="s">
        <v>7554</v>
      </c>
      <c r="X1815" s="6" t="s">
        <v>81</v>
      </c>
      <c r="Y1815" s="21" t="s">
        <v>81</v>
      </c>
      <c r="Z1815" s="6" t="s">
        <v>81</v>
      </c>
      <c r="AA1815" s="6" t="s">
        <v>81</v>
      </c>
      <c r="AB1815" s="6" t="s">
        <v>81</v>
      </c>
      <c r="AC1815" s="6" t="s">
        <v>81</v>
      </c>
      <c r="AD1815" s="21" t="s">
        <v>81</v>
      </c>
      <c r="AE1815" s="6" t="s">
        <v>81</v>
      </c>
      <c r="AF1815" s="6" t="s">
        <v>81</v>
      </c>
      <c r="AG1815" s="6" t="s">
        <v>81</v>
      </c>
      <c r="AH1815" s="6" t="s">
        <v>16371</v>
      </c>
      <c r="AI1815" s="6" t="s">
        <v>81</v>
      </c>
      <c r="AJ1815" s="6" t="s">
        <v>17376</v>
      </c>
      <c r="AK1815" s="6" t="s">
        <v>18377</v>
      </c>
      <c r="AL1815" s="6" t="s">
        <v>18444</v>
      </c>
      <c r="AM1815" s="6" t="s">
        <v>18528</v>
      </c>
      <c r="AN1815" s="6" t="s">
        <v>19661</v>
      </c>
      <c r="AO1815" s="6" t="s">
        <v>19761</v>
      </c>
      <c r="AP1815" s="6" t="s">
        <v>81</v>
      </c>
      <c r="AQ1815" s="6" t="s">
        <v>81</v>
      </c>
      <c r="AR1815" s="6" t="s">
        <v>81</v>
      </c>
      <c r="AS1815" s="6" t="s">
        <v>81</v>
      </c>
      <c r="AT1815" s="6" t="s">
        <v>81</v>
      </c>
      <c r="AU1815" s="6" t="s">
        <v>81</v>
      </c>
      <c r="AV1815" s="6" t="s">
        <v>81</v>
      </c>
      <c r="AW1815" s="6" t="s">
        <v>81</v>
      </c>
      <c r="AX1815" s="6" t="s">
        <v>81</v>
      </c>
      <c r="AY1815" s="6" t="s">
        <v>81</v>
      </c>
      <c r="AZ1815" s="6" t="s">
        <v>81</v>
      </c>
      <c r="BA1815" s="6" t="s">
        <v>23819</v>
      </c>
      <c r="BB1815" s="24" t="n">
        <v>106</v>
      </c>
      <c r="BC1815" s="26"/>
      <c r="BD1815" s="26"/>
      <c r="BE1815" s="26"/>
      <c r="BF1815" s="26" t="s">
        <v>23900</v>
      </c>
      <c r="BG1815" s="26"/>
      <c r="BH1815" s="26"/>
      <c r="BI1815" s="26"/>
      <c r="BJ1815" s="26"/>
      <c r="BK1815" s="26"/>
      <c r="BL1815" s="26"/>
      <c r="BM1815" s="26"/>
      <c r="BN1815" s="26"/>
      <c r="BO1815" s="26"/>
      <c r="BP1815" s="16" t="n">
        <v>45664</v>
      </c>
      <c r="BQ1815" s="28" t="str">
        <f>HYPERLINK("https://organic.ams.usda.gov/Integrity/Certificate.aspx?cid=45&amp;nopid=9950011561")</f>
        <v>https://organic.ams.usda.gov/Integrity/Certificate.aspx?cid=45&amp;nopid=9950011561</v>
      </c>
    </row>
    <row r="1816">
      <c r="A1816" t="s">
        <v>3</v>
      </c>
      <c r="B1816" s="6" t="s">
        <v>9</v>
      </c>
      <c r="C1816" s="6" t="s">
        <v>56</v>
      </c>
      <c r="D1816" s="6" t="s">
        <v>102</v>
      </c>
      <c r="E1816" s="10" t="s">
        <v>1957</v>
      </c>
      <c r="F1816" s="6" t="s">
        <v>4674</v>
      </c>
      <c r="G1816" s="6" t="s">
        <v>81</v>
      </c>
      <c r="H1816" s="6" t="s">
        <v>7555</v>
      </c>
      <c r="I1816" s="6" t="s">
        <v>8909</v>
      </c>
      <c r="J1816" s="6" t="s">
        <v>9671</v>
      </c>
      <c r="K1816" s="6" t="s">
        <v>10886</v>
      </c>
      <c r="L1816" s="16" t="n">
        <v>44551</v>
      </c>
      <c r="M1816" s="16" t="n">
        <v>46113</v>
      </c>
      <c r="N1816" s="6" t="s">
        <v>10886</v>
      </c>
      <c r="O1816" s="16" t="n">
        <v>44551</v>
      </c>
      <c r="P1816" s="6" t="s">
        <v>10922</v>
      </c>
      <c r="Q1816" s="6" t="s">
        <v>81</v>
      </c>
      <c r="R1816" s="6" t="s">
        <v>12943</v>
      </c>
      <c r="S1816" s="6" t="s">
        <v>10886</v>
      </c>
      <c r="T1816" s="16" t="n">
        <v>44551</v>
      </c>
      <c r="U1816" s="6" t="s">
        <v>13168</v>
      </c>
      <c r="V1816" s="6" t="s">
        <v>81</v>
      </c>
      <c r="W1816" s="6" t="s">
        <v>12943</v>
      </c>
      <c r="X1816" s="6" t="s">
        <v>81</v>
      </c>
      <c r="Y1816" s="21" t="s">
        <v>81</v>
      </c>
      <c r="Z1816" s="6" t="s">
        <v>81</v>
      </c>
      <c r="AA1816" s="6" t="s">
        <v>81</v>
      </c>
      <c r="AB1816" s="6" t="s">
        <v>81</v>
      </c>
      <c r="AC1816" s="6" t="s">
        <v>81</v>
      </c>
      <c r="AD1816" s="21" t="s">
        <v>81</v>
      </c>
      <c r="AE1816" s="6" t="s">
        <v>81</v>
      </c>
      <c r="AF1816" s="6" t="s">
        <v>81</v>
      </c>
      <c r="AG1816" s="6" t="s">
        <v>81</v>
      </c>
      <c r="AH1816" s="6" t="s">
        <v>16372</v>
      </c>
      <c r="AI1816" s="6" t="s">
        <v>81</v>
      </c>
      <c r="AJ1816" s="6" t="s">
        <v>17376</v>
      </c>
      <c r="AK1816" s="6" t="s">
        <v>18377</v>
      </c>
      <c r="AL1816" s="6" t="s">
        <v>18444</v>
      </c>
      <c r="AM1816" s="6" t="s">
        <v>18528</v>
      </c>
      <c r="AN1816" s="6" t="s">
        <v>19661</v>
      </c>
      <c r="AO1816" s="6" t="s">
        <v>19761</v>
      </c>
      <c r="AP1816" s="6" t="s">
        <v>81</v>
      </c>
      <c r="AQ1816" s="6" t="s">
        <v>81</v>
      </c>
      <c r="AR1816" s="6" t="s">
        <v>81</v>
      </c>
      <c r="AS1816" s="6" t="s">
        <v>81</v>
      </c>
      <c r="AT1816" s="6" t="s">
        <v>81</v>
      </c>
      <c r="AU1816" s="6" t="s">
        <v>81</v>
      </c>
      <c r="AV1816" s="6" t="s">
        <v>81</v>
      </c>
      <c r="AW1816" s="6" t="s">
        <v>81</v>
      </c>
      <c r="AX1816" s="6" t="s">
        <v>81</v>
      </c>
      <c r="AY1816" s="6" t="s">
        <v>81</v>
      </c>
      <c r="AZ1816" s="6" t="s">
        <v>81</v>
      </c>
      <c r="BA1816" s="6" t="s">
        <v>81</v>
      </c>
      <c r="BB1816" s="24" t="n">
        <v>82</v>
      </c>
      <c r="BC1816" s="26"/>
      <c r="BD1816" s="26"/>
      <c r="BE1816" s="26"/>
      <c r="BF1816" s="26"/>
      <c r="BG1816" s="26"/>
      <c r="BH1816" s="26"/>
      <c r="BI1816" s="26"/>
      <c r="BJ1816" s="26"/>
      <c r="BK1816" s="26"/>
      <c r="BL1816" s="26"/>
      <c r="BM1816" s="26"/>
      <c r="BN1816" s="26"/>
      <c r="BO1816" s="26"/>
      <c r="BP1816" s="16" t="n">
        <v>45738</v>
      </c>
      <c r="BQ1816" s="28" t="str">
        <f>HYPERLINK("https://organic.ams.usda.gov/Integrity/Certificate.aspx?cid=52&amp;nopid=8432102004")</f>
        <v>https://organic.ams.usda.gov/Integrity/Certificate.aspx?cid=52&amp;nopid=8432102004</v>
      </c>
    </row>
    <row r="1817">
      <c r="A1817" t="s">
        <v>3</v>
      </c>
      <c r="B1817" s="6" t="s">
        <v>7</v>
      </c>
      <c r="C1817" s="6" t="s">
        <v>54</v>
      </c>
      <c r="D1817" s="6" t="s">
        <v>100</v>
      </c>
      <c r="E1817" s="10" t="s">
        <v>1958</v>
      </c>
      <c r="F1817" s="6" t="s">
        <v>4674</v>
      </c>
      <c r="G1817" s="6" t="s">
        <v>81</v>
      </c>
      <c r="H1817" s="6" t="s">
        <v>7556</v>
      </c>
      <c r="I1817" s="6" t="s">
        <v>8909</v>
      </c>
      <c r="J1817" s="6" t="s">
        <v>9671</v>
      </c>
      <c r="K1817" s="6" t="s">
        <v>10886</v>
      </c>
      <c r="L1817" s="16" t="n">
        <v>45302</v>
      </c>
      <c r="M1817" s="16" t="n">
        <v>45716</v>
      </c>
      <c r="N1817" s="6" t="s">
        <v>10886</v>
      </c>
      <c r="O1817" s="16" t="n">
        <v>45302</v>
      </c>
      <c r="P1817" s="6" t="s">
        <v>11926</v>
      </c>
      <c r="Q1817" s="6" t="s">
        <v>81</v>
      </c>
      <c r="R1817" s="6" t="s">
        <v>81</v>
      </c>
      <c r="S1817" s="6" t="s">
        <v>10886</v>
      </c>
      <c r="T1817" s="16" t="n">
        <v>45315</v>
      </c>
      <c r="U1817" s="6" t="s">
        <v>13188</v>
      </c>
      <c r="V1817" s="6" t="s">
        <v>81</v>
      </c>
      <c r="W1817" s="6" t="s">
        <v>81</v>
      </c>
      <c r="X1817" s="6" t="s">
        <v>81</v>
      </c>
      <c r="Y1817" s="21" t="s">
        <v>81</v>
      </c>
      <c r="Z1817" s="6" t="s">
        <v>81</v>
      </c>
      <c r="AA1817" s="6" t="s">
        <v>81</v>
      </c>
      <c r="AB1817" s="6" t="s">
        <v>81</v>
      </c>
      <c r="AC1817" s="6" t="s">
        <v>81</v>
      </c>
      <c r="AD1817" s="21" t="s">
        <v>81</v>
      </c>
      <c r="AE1817" s="6" t="s">
        <v>81</v>
      </c>
      <c r="AF1817" s="6" t="s">
        <v>81</v>
      </c>
      <c r="AG1817" s="6" t="s">
        <v>81</v>
      </c>
      <c r="AH1817" s="6" t="s">
        <v>16373</v>
      </c>
      <c r="AI1817" s="6" t="s">
        <v>81</v>
      </c>
      <c r="AJ1817" s="6" t="s">
        <v>17490</v>
      </c>
      <c r="AK1817" s="6" t="s">
        <v>17712</v>
      </c>
      <c r="AL1817" s="6" t="s">
        <v>18444</v>
      </c>
      <c r="AM1817" s="6" t="s">
        <v>18650</v>
      </c>
      <c r="AN1817" s="6" t="s">
        <v>81</v>
      </c>
      <c r="AO1817" s="6" t="s">
        <v>81</v>
      </c>
      <c r="AP1817" s="6" t="s">
        <v>20336</v>
      </c>
      <c r="AQ1817" s="6" t="s">
        <v>81</v>
      </c>
      <c r="AR1817" s="6" t="s">
        <v>17490</v>
      </c>
      <c r="AS1817" s="6" t="s">
        <v>17712</v>
      </c>
      <c r="AT1817" s="6" t="s">
        <v>18444</v>
      </c>
      <c r="AU1817" s="6" t="s">
        <v>18650</v>
      </c>
      <c r="AV1817" s="6" t="s">
        <v>81</v>
      </c>
      <c r="AW1817" s="6" t="s">
        <v>81</v>
      </c>
      <c r="AX1817" s="6" t="s">
        <v>81</v>
      </c>
      <c r="AY1817" s="6" t="s">
        <v>81</v>
      </c>
      <c r="AZ1817" s="6" t="s">
        <v>81</v>
      </c>
      <c r="BA1817" s="6" t="s">
        <v>81</v>
      </c>
      <c r="BB1817" s="24" t="n">
        <v>73</v>
      </c>
      <c r="BC1817" s="26"/>
      <c r="BD1817" s="26"/>
      <c r="BE1817" s="26"/>
      <c r="BF1817" s="26" t="s">
        <v>23900</v>
      </c>
      <c r="BG1817" s="26"/>
      <c r="BH1817" s="26"/>
      <c r="BI1817" s="26"/>
      <c r="BJ1817" s="26"/>
      <c r="BK1817" s="26"/>
      <c r="BL1817" s="26"/>
      <c r="BM1817" s="26"/>
      <c r="BN1817" s="26"/>
      <c r="BO1817" s="26"/>
      <c r="BP1817" s="16" t="n">
        <v>45713</v>
      </c>
      <c r="BQ1817" s="28" t="str">
        <f>HYPERLINK("https://organic.ams.usda.gov/Integrity/Certificate.aspx?cid=57&amp;nopid=3252023093")</f>
        <v>https://organic.ams.usda.gov/Integrity/Certificate.aspx?cid=57&amp;nopid=3252023093</v>
      </c>
    </row>
    <row r="1818">
      <c r="A1818" t="s">
        <v>3</v>
      </c>
      <c r="B1818" s="6" t="s">
        <v>29</v>
      </c>
      <c r="C1818" s="6" t="s">
        <v>76</v>
      </c>
      <c r="D1818" s="6" t="s">
        <v>122</v>
      </c>
      <c r="E1818" s="10" t="s">
        <v>1959</v>
      </c>
      <c r="F1818" s="6" t="s">
        <v>4675</v>
      </c>
      <c r="G1818" s="6" t="s">
        <v>81</v>
      </c>
      <c r="H1818" s="6" t="s">
        <v>7557</v>
      </c>
      <c r="I1818" s="6" t="s">
        <v>9300</v>
      </c>
      <c r="J1818" s="6" t="s">
        <v>9671</v>
      </c>
      <c r="K1818" s="6" t="s">
        <v>10886</v>
      </c>
      <c r="L1818" s="16" t="n">
        <v>44399</v>
      </c>
      <c r="M1818" s="16" t="n">
        <v>45870</v>
      </c>
      <c r="N1818" s="6" t="s">
        <v>10886</v>
      </c>
      <c r="O1818" s="16" t="n">
        <v>44399</v>
      </c>
      <c r="P1818" s="6" t="s">
        <v>11969</v>
      </c>
      <c r="Q1818" s="6" t="s">
        <v>81</v>
      </c>
      <c r="R1818" s="6" t="s">
        <v>12944</v>
      </c>
      <c r="S1818" s="6" t="s">
        <v>10886</v>
      </c>
      <c r="T1818" s="16" t="n">
        <v>44399</v>
      </c>
      <c r="U1818" s="6" t="s">
        <v>13726</v>
      </c>
      <c r="V1818" s="6" t="s">
        <v>81</v>
      </c>
      <c r="W1818" s="6" t="s">
        <v>12944</v>
      </c>
      <c r="X1818" s="6" t="s">
        <v>81</v>
      </c>
      <c r="Y1818" s="21" t="s">
        <v>81</v>
      </c>
      <c r="Z1818" s="6" t="s">
        <v>81</v>
      </c>
      <c r="AA1818" s="6" t="s">
        <v>81</v>
      </c>
      <c r="AB1818" s="6" t="s">
        <v>81</v>
      </c>
      <c r="AC1818" s="6" t="s">
        <v>81</v>
      </c>
      <c r="AD1818" s="21" t="s">
        <v>81</v>
      </c>
      <c r="AE1818" s="6" t="s">
        <v>81</v>
      </c>
      <c r="AF1818" s="6" t="s">
        <v>81</v>
      </c>
      <c r="AG1818" s="6" t="s">
        <v>81</v>
      </c>
      <c r="AH1818" s="6" t="s">
        <v>16374</v>
      </c>
      <c r="AI1818" s="6" t="s">
        <v>81</v>
      </c>
      <c r="AJ1818" s="6" t="s">
        <v>17734</v>
      </c>
      <c r="AK1818" s="6" t="s">
        <v>18380</v>
      </c>
      <c r="AL1818" s="6" t="s">
        <v>18444</v>
      </c>
      <c r="AM1818" s="6" t="s">
        <v>18903</v>
      </c>
      <c r="AN1818" s="6" t="s">
        <v>19639</v>
      </c>
      <c r="AO1818" s="6" t="s">
        <v>19725</v>
      </c>
      <c r="AP1818" s="6" t="s">
        <v>81</v>
      </c>
      <c r="AQ1818" s="6" t="s">
        <v>81</v>
      </c>
      <c r="AR1818" s="6" t="s">
        <v>81</v>
      </c>
      <c r="AS1818" s="6" t="s">
        <v>81</v>
      </c>
      <c r="AT1818" s="6" t="s">
        <v>81</v>
      </c>
      <c r="AU1818" s="6" t="s">
        <v>81</v>
      </c>
      <c r="AV1818" s="6" t="s">
        <v>81</v>
      </c>
      <c r="AW1818" s="6" t="s">
        <v>81</v>
      </c>
      <c r="AX1818" s="6" t="s">
        <v>81</v>
      </c>
      <c r="AY1818" s="6" t="s">
        <v>81</v>
      </c>
      <c r="AZ1818" s="6" t="s">
        <v>81</v>
      </c>
      <c r="BA1818" s="6" t="s">
        <v>81</v>
      </c>
      <c r="BB1818" s="24" t="n">
        <v>55</v>
      </c>
      <c r="BC1818" s="26"/>
      <c r="BD1818" s="26"/>
      <c r="BE1818" s="26"/>
      <c r="BF1818" s="26" t="s">
        <v>23900</v>
      </c>
      <c r="BG1818" s="26"/>
      <c r="BH1818" s="26"/>
      <c r="BI1818" s="26"/>
      <c r="BJ1818" s="26"/>
      <c r="BK1818" s="26"/>
      <c r="BL1818" s="26"/>
      <c r="BM1818" s="26"/>
      <c r="BN1818" s="26"/>
      <c r="BO1818" s="26"/>
      <c r="BP1818" s="16" t="n">
        <v>45737</v>
      </c>
      <c r="BQ1818" s="28" t="str">
        <f>HYPERLINK("https://organic.ams.usda.gov/Integrity/Certificate.aspx?cid=31&amp;nopid=3928972200")</f>
        <v>https://organic.ams.usda.gov/Integrity/Certificate.aspx?cid=31&amp;nopid=3928972200</v>
      </c>
    </row>
    <row r="1819">
      <c r="A1819" t="s">
        <v>3</v>
      </c>
      <c r="B1819" s="6" t="s">
        <v>30</v>
      </c>
      <c r="C1819" s="6" t="s">
        <v>77</v>
      </c>
      <c r="D1819" s="6" t="s">
        <v>123</v>
      </c>
      <c r="E1819" s="10" t="s">
        <v>1960</v>
      </c>
      <c r="F1819" s="6" t="s">
        <v>4676</v>
      </c>
      <c r="G1819" s="6" t="s">
        <v>81</v>
      </c>
      <c r="H1819" s="6" t="s">
        <v>7558</v>
      </c>
      <c r="I1819" s="6" t="s">
        <v>9301</v>
      </c>
      <c r="J1819" s="6" t="s">
        <v>9960</v>
      </c>
      <c r="K1819" s="6" t="s">
        <v>10886</v>
      </c>
      <c r="L1819" s="16" t="n">
        <v>39658</v>
      </c>
      <c r="M1819" s="16" t="n">
        <v>45747</v>
      </c>
      <c r="N1819" s="6" t="s">
        <v>10886</v>
      </c>
      <c r="O1819" s="16" t="n">
        <v>39658</v>
      </c>
      <c r="P1819" s="6" t="s">
        <v>10900</v>
      </c>
      <c r="Q1819" s="6" t="s">
        <v>81</v>
      </c>
      <c r="R1819" s="6" t="s">
        <v>7558</v>
      </c>
      <c r="S1819" s="6" t="s">
        <v>10886</v>
      </c>
      <c r="T1819" s="16" t="n">
        <v>39658</v>
      </c>
      <c r="U1819" s="6" t="s">
        <v>13216</v>
      </c>
      <c r="V1819" s="6" t="s">
        <v>81</v>
      </c>
      <c r="W1819" s="6" t="s">
        <v>7558</v>
      </c>
      <c r="X1819" s="6" t="s">
        <v>81</v>
      </c>
      <c r="Y1819" s="21" t="s">
        <v>81</v>
      </c>
      <c r="Z1819" s="6" t="s">
        <v>81</v>
      </c>
      <c r="AA1819" s="6" t="s">
        <v>81</v>
      </c>
      <c r="AB1819" s="6" t="s">
        <v>81</v>
      </c>
      <c r="AC1819" s="6" t="s">
        <v>81</v>
      </c>
      <c r="AD1819" s="21" t="s">
        <v>81</v>
      </c>
      <c r="AE1819" s="6" t="s">
        <v>81</v>
      </c>
      <c r="AF1819" s="6" t="s">
        <v>81</v>
      </c>
      <c r="AG1819" s="6" t="s">
        <v>81</v>
      </c>
      <c r="AH1819" s="6" t="s">
        <v>16375</v>
      </c>
      <c r="AI1819" s="6" t="s">
        <v>81</v>
      </c>
      <c r="AJ1819" s="6" t="s">
        <v>17406</v>
      </c>
      <c r="AK1819" s="6" t="s">
        <v>17712</v>
      </c>
      <c r="AL1819" s="6" t="s">
        <v>18444</v>
      </c>
      <c r="AM1819" s="6" t="s">
        <v>18562</v>
      </c>
      <c r="AN1819" s="6" t="s">
        <v>19657</v>
      </c>
      <c r="AO1819" s="6" t="s">
        <v>19751</v>
      </c>
      <c r="AP1819" s="6" t="s">
        <v>16375</v>
      </c>
      <c r="AQ1819" s="6" t="s">
        <v>81</v>
      </c>
      <c r="AR1819" s="6" t="s">
        <v>17406</v>
      </c>
      <c r="AS1819" s="6" t="s">
        <v>17712</v>
      </c>
      <c r="AT1819" s="6" t="s">
        <v>18444</v>
      </c>
      <c r="AU1819" s="6" t="s">
        <v>18562</v>
      </c>
      <c r="AV1819" s="6" t="s">
        <v>81</v>
      </c>
      <c r="AW1819" s="6" t="s">
        <v>81</v>
      </c>
      <c r="AX1819" s="6" t="s">
        <v>81</v>
      </c>
      <c r="AY1819" s="6" t="s">
        <v>81</v>
      </c>
      <c r="AZ1819" s="6" t="s">
        <v>81</v>
      </c>
      <c r="BA1819" s="6" t="s">
        <v>81</v>
      </c>
      <c r="BB1819" s="24" t="n">
        <v>100</v>
      </c>
      <c r="BC1819" s="26"/>
      <c r="BD1819" s="26"/>
      <c r="BE1819" s="26"/>
      <c r="BF1819" s="26"/>
      <c r="BG1819" s="26"/>
      <c r="BH1819" s="26"/>
      <c r="BI1819" s="26"/>
      <c r="BJ1819" s="26"/>
      <c r="BK1819" s="26"/>
      <c r="BL1819" s="26"/>
      <c r="BM1819" s="26"/>
      <c r="BN1819" s="26"/>
      <c r="BO1819" s="26"/>
      <c r="BP1819" s="16" t="n">
        <v>45530</v>
      </c>
      <c r="BQ1819" s="28" t="str">
        <f>HYPERLINK("https://organic.ams.usda.gov/Integrity/Certificate.aspx?cid=70&amp;nopid=6430813940")</f>
        <v>https://organic.ams.usda.gov/Integrity/Certificate.aspx?cid=70&amp;nopid=6430813940</v>
      </c>
    </row>
    <row r="1820">
      <c r="A1820" t="s">
        <v>3</v>
      </c>
      <c r="B1820" s="6" t="s">
        <v>18</v>
      </c>
      <c r="C1820" s="6" t="s">
        <v>65</v>
      </c>
      <c r="D1820" s="6" t="s">
        <v>111</v>
      </c>
      <c r="E1820" s="10" t="s">
        <v>1961</v>
      </c>
      <c r="F1820" s="6" t="s">
        <v>4677</v>
      </c>
      <c r="G1820" s="6" t="s">
        <v>81</v>
      </c>
      <c r="H1820" s="6" t="s">
        <v>1961</v>
      </c>
      <c r="I1820" s="6" t="s">
        <v>9302</v>
      </c>
      <c r="J1820" s="6" t="s">
        <v>10462</v>
      </c>
      <c r="K1820" s="6" t="s">
        <v>10886</v>
      </c>
      <c r="L1820" s="16" t="n">
        <v>45713</v>
      </c>
      <c r="M1820" s="16" t="n">
        <v>46068</v>
      </c>
      <c r="N1820" s="6" t="s">
        <v>10886</v>
      </c>
      <c r="O1820" s="16" t="n">
        <v>45713</v>
      </c>
      <c r="P1820" s="6" t="s">
        <v>11253</v>
      </c>
      <c r="Q1820" s="6" t="s">
        <v>81</v>
      </c>
      <c r="R1820" s="6" t="s">
        <v>4677</v>
      </c>
      <c r="S1820" s="6" t="s">
        <v>10886</v>
      </c>
      <c r="T1820" s="16" t="n">
        <v>45713</v>
      </c>
      <c r="U1820" s="6" t="s">
        <v>13497</v>
      </c>
      <c r="V1820" s="6" t="s">
        <v>81</v>
      </c>
      <c r="W1820" s="6" t="s">
        <v>4677</v>
      </c>
      <c r="X1820" s="6" t="s">
        <v>81</v>
      </c>
      <c r="Y1820" s="21" t="s">
        <v>81</v>
      </c>
      <c r="Z1820" s="6" t="s">
        <v>81</v>
      </c>
      <c r="AA1820" s="6" t="s">
        <v>81</v>
      </c>
      <c r="AB1820" s="6" t="s">
        <v>81</v>
      </c>
      <c r="AC1820" s="6" t="s">
        <v>81</v>
      </c>
      <c r="AD1820" s="21" t="s">
        <v>81</v>
      </c>
      <c r="AE1820" s="6" t="s">
        <v>81</v>
      </c>
      <c r="AF1820" s="6" t="s">
        <v>81</v>
      </c>
      <c r="AG1820" s="6" t="s">
        <v>81</v>
      </c>
      <c r="AH1820" s="6" t="s">
        <v>16376</v>
      </c>
      <c r="AI1820" s="6" t="s">
        <v>81</v>
      </c>
      <c r="AJ1820" s="6" t="s">
        <v>18114</v>
      </c>
      <c r="AK1820" s="6" t="s">
        <v>17712</v>
      </c>
      <c r="AL1820" s="6" t="s">
        <v>18444</v>
      </c>
      <c r="AM1820" s="6" t="s">
        <v>19313</v>
      </c>
      <c r="AN1820" s="6" t="s">
        <v>81</v>
      </c>
      <c r="AO1820" s="6" t="s">
        <v>81</v>
      </c>
      <c r="AP1820" s="6" t="s">
        <v>16376</v>
      </c>
      <c r="AQ1820" s="6" t="s">
        <v>81</v>
      </c>
      <c r="AR1820" s="6" t="s">
        <v>18114</v>
      </c>
      <c r="AS1820" s="6" t="s">
        <v>17712</v>
      </c>
      <c r="AT1820" s="6" t="s">
        <v>18444</v>
      </c>
      <c r="AU1820" s="6" t="s">
        <v>19313</v>
      </c>
      <c r="AV1820" s="6" t="s">
        <v>81</v>
      </c>
      <c r="AW1820" s="6" t="s">
        <v>81</v>
      </c>
      <c r="AX1820" s="6" t="s">
        <v>81</v>
      </c>
      <c r="AY1820" s="6" t="s">
        <v>81</v>
      </c>
      <c r="AZ1820" s="6" t="s">
        <v>81</v>
      </c>
      <c r="BA1820" s="6" t="s">
        <v>81</v>
      </c>
      <c r="BB1820" s="24" t="n">
        <v>83</v>
      </c>
      <c r="BC1820" s="26"/>
      <c r="BD1820" s="26"/>
      <c r="BE1820" s="26"/>
      <c r="BF1820" s="26" t="s">
        <v>23900</v>
      </c>
      <c r="BG1820" s="26"/>
      <c r="BH1820" s="26"/>
      <c r="BI1820" s="26"/>
      <c r="BJ1820" s="26"/>
      <c r="BK1820" s="26"/>
      <c r="BL1820" s="26"/>
      <c r="BM1820" s="26"/>
      <c r="BN1820" s="26"/>
      <c r="BO1820" s="26"/>
      <c r="BP1820" s="16" t="n">
        <v>45713</v>
      </c>
      <c r="BQ1820" s="28" t="str">
        <f>HYPERLINK("https://organic.ams.usda.gov/Integrity/Certificate.aspx?cid=8&amp;nopid=2202500900")</f>
        <v>https://organic.ams.usda.gov/Integrity/Certificate.aspx?cid=8&amp;nopid=2202500900</v>
      </c>
    </row>
    <row r="1821">
      <c r="A1821" t="s">
        <v>3</v>
      </c>
      <c r="B1821" s="6" t="s">
        <v>15</v>
      </c>
      <c r="C1821" s="6" t="s">
        <v>62</v>
      </c>
      <c r="D1821" s="6" t="s">
        <v>108</v>
      </c>
      <c r="E1821" s="10" t="s">
        <v>1962</v>
      </c>
      <c r="F1821" s="6" t="s">
        <v>4678</v>
      </c>
      <c r="G1821" s="6" t="s">
        <v>5758</v>
      </c>
      <c r="H1821" s="6" t="s">
        <v>7559</v>
      </c>
      <c r="I1821" s="6" t="s">
        <v>9303</v>
      </c>
      <c r="J1821" s="6" t="s">
        <v>9893</v>
      </c>
      <c r="K1821" s="6" t="s">
        <v>10886</v>
      </c>
      <c r="L1821" s="16" t="n">
        <v>41865</v>
      </c>
      <c r="M1821" s="16" t="n">
        <v>45747</v>
      </c>
      <c r="N1821" s="6" t="s">
        <v>81</v>
      </c>
      <c r="O1821" s="21" t="s">
        <v>81</v>
      </c>
      <c r="P1821" s="6" t="s">
        <v>81</v>
      </c>
      <c r="Q1821" s="6" t="s">
        <v>81</v>
      </c>
      <c r="R1821" s="6" t="s">
        <v>81</v>
      </c>
      <c r="S1821" s="6" t="s">
        <v>81</v>
      </c>
      <c r="T1821" s="21" t="s">
        <v>81</v>
      </c>
      <c r="U1821" s="6" t="s">
        <v>81</v>
      </c>
      <c r="V1821" s="6" t="s">
        <v>81</v>
      </c>
      <c r="W1821" s="6" t="s">
        <v>81</v>
      </c>
      <c r="X1821" s="6" t="s">
        <v>81</v>
      </c>
      <c r="Y1821" s="21" t="s">
        <v>81</v>
      </c>
      <c r="Z1821" s="6" t="s">
        <v>81</v>
      </c>
      <c r="AA1821" s="6" t="s">
        <v>81</v>
      </c>
      <c r="AB1821" s="6" t="s">
        <v>81</v>
      </c>
      <c r="AC1821" s="6" t="s">
        <v>10886</v>
      </c>
      <c r="AD1821" s="16" t="n">
        <v>41865</v>
      </c>
      <c r="AE1821" s="6" t="s">
        <v>14313</v>
      </c>
      <c r="AF1821" s="6" t="s">
        <v>81</v>
      </c>
      <c r="AG1821" s="6" t="s">
        <v>81</v>
      </c>
      <c r="AH1821" s="6" t="s">
        <v>16377</v>
      </c>
      <c r="AI1821" s="6" t="s">
        <v>81</v>
      </c>
      <c r="AJ1821" s="6" t="s">
        <v>17580</v>
      </c>
      <c r="AK1821" s="6" t="s">
        <v>8428</v>
      </c>
      <c r="AL1821" s="6" t="s">
        <v>18444</v>
      </c>
      <c r="AM1821" s="6" t="s">
        <v>18744</v>
      </c>
      <c r="AN1821" s="6" t="s">
        <v>19695</v>
      </c>
      <c r="AO1821" s="6" t="s">
        <v>19862</v>
      </c>
      <c r="AP1821" s="6" t="s">
        <v>16377</v>
      </c>
      <c r="AQ1821" s="6" t="s">
        <v>81</v>
      </c>
      <c r="AR1821" s="6" t="s">
        <v>17580</v>
      </c>
      <c r="AS1821" s="6" t="s">
        <v>8428</v>
      </c>
      <c r="AT1821" s="6" t="s">
        <v>18444</v>
      </c>
      <c r="AU1821" s="6" t="s">
        <v>18744</v>
      </c>
      <c r="AV1821" s="6" t="s">
        <v>81</v>
      </c>
      <c r="AW1821" s="6" t="s">
        <v>81</v>
      </c>
      <c r="AX1821" s="6" t="s">
        <v>21907</v>
      </c>
      <c r="AY1821" s="6" t="s">
        <v>81</v>
      </c>
      <c r="AZ1821" s="6" t="s">
        <v>81</v>
      </c>
      <c r="BA1821" s="6" t="s">
        <v>81</v>
      </c>
      <c r="BB1821" s="6" t="s">
        <v>81</v>
      </c>
      <c r="BC1821" s="26"/>
      <c r="BD1821" s="26"/>
      <c r="BE1821" s="26"/>
      <c r="BF1821" s="26"/>
      <c r="BG1821" s="26"/>
      <c r="BH1821" s="26"/>
      <c r="BI1821" s="26"/>
      <c r="BJ1821" s="26"/>
      <c r="BK1821" s="26"/>
      <c r="BL1821" s="26"/>
      <c r="BM1821" s="26"/>
      <c r="BN1821" s="26"/>
      <c r="BO1821" s="26"/>
      <c r="BP1821" s="16" t="n">
        <v>45737</v>
      </c>
      <c r="BQ1821" s="28" t="str">
        <f>HYPERLINK("https://organic.ams.usda.gov/Integrity/Certificate.aspx?cid=58&amp;nopid=1600003633")</f>
        <v>https://organic.ams.usda.gov/Integrity/Certificate.aspx?cid=58&amp;nopid=1600003633</v>
      </c>
    </row>
    <row r="1822">
      <c r="A1822" t="s">
        <v>3</v>
      </c>
      <c r="B1822" s="6" t="s">
        <v>35</v>
      </c>
      <c r="C1822" s="6" t="s">
        <v>82</v>
      </c>
      <c r="D1822" s="6" t="s">
        <v>127</v>
      </c>
      <c r="E1822" s="10" t="s">
        <v>1963</v>
      </c>
      <c r="F1822" s="6" t="s">
        <v>4679</v>
      </c>
      <c r="G1822" s="6" t="s">
        <v>81</v>
      </c>
      <c r="H1822" s="6" t="s">
        <v>6582</v>
      </c>
      <c r="I1822" s="6" t="s">
        <v>9304</v>
      </c>
      <c r="J1822" s="6" t="s">
        <v>10463</v>
      </c>
      <c r="K1822" s="6" t="s">
        <v>10886</v>
      </c>
      <c r="L1822" s="16" t="n">
        <v>42513</v>
      </c>
      <c r="M1822" s="16" t="n">
        <v>45762</v>
      </c>
      <c r="N1822" s="6" t="s">
        <v>10886</v>
      </c>
      <c r="O1822" s="16" t="n">
        <v>42513</v>
      </c>
      <c r="P1822" s="6" t="s">
        <v>11970</v>
      </c>
      <c r="Q1822" s="6" t="s">
        <v>81</v>
      </c>
      <c r="R1822" s="6" t="s">
        <v>12945</v>
      </c>
      <c r="S1822" s="6" t="s">
        <v>10886</v>
      </c>
      <c r="T1822" s="16" t="n">
        <v>42513</v>
      </c>
      <c r="U1822" s="6" t="s">
        <v>13282</v>
      </c>
      <c r="V1822" s="6" t="s">
        <v>81</v>
      </c>
      <c r="W1822" s="6" t="s">
        <v>12945</v>
      </c>
      <c r="X1822" s="6" t="s">
        <v>81</v>
      </c>
      <c r="Y1822" s="21" t="s">
        <v>81</v>
      </c>
      <c r="Z1822" s="6" t="s">
        <v>81</v>
      </c>
      <c r="AA1822" s="6" t="s">
        <v>81</v>
      </c>
      <c r="AB1822" s="6" t="s">
        <v>81</v>
      </c>
      <c r="AC1822" s="6" t="s">
        <v>81</v>
      </c>
      <c r="AD1822" s="21" t="s">
        <v>81</v>
      </c>
      <c r="AE1822" s="6" t="s">
        <v>81</v>
      </c>
      <c r="AF1822" s="6" t="s">
        <v>81</v>
      </c>
      <c r="AG1822" s="6" t="s">
        <v>81</v>
      </c>
      <c r="AH1822" s="6" t="s">
        <v>16378</v>
      </c>
      <c r="AI1822" s="6" t="s">
        <v>81</v>
      </c>
      <c r="AJ1822" s="6" t="s">
        <v>18115</v>
      </c>
      <c r="AK1822" s="6" t="s">
        <v>18405</v>
      </c>
      <c r="AL1822" s="6" t="s">
        <v>18444</v>
      </c>
      <c r="AM1822" s="6" t="s">
        <v>19314</v>
      </c>
      <c r="AN1822" s="6" t="s">
        <v>19646</v>
      </c>
      <c r="AO1822" s="6" t="s">
        <v>19869</v>
      </c>
      <c r="AP1822" s="6" t="s">
        <v>16378</v>
      </c>
      <c r="AQ1822" s="6" t="s">
        <v>81</v>
      </c>
      <c r="AR1822" s="6" t="s">
        <v>18115</v>
      </c>
      <c r="AS1822" s="6" t="s">
        <v>18405</v>
      </c>
      <c r="AT1822" s="6" t="s">
        <v>18444</v>
      </c>
      <c r="AU1822" s="6" t="s">
        <v>19314</v>
      </c>
      <c r="AV1822" s="6" t="s">
        <v>81</v>
      </c>
      <c r="AW1822" s="6" t="s">
        <v>81</v>
      </c>
      <c r="AX1822" s="6" t="s">
        <v>21908</v>
      </c>
      <c r="AY1822" s="6" t="s">
        <v>23196</v>
      </c>
      <c r="AZ1822" s="6" t="s">
        <v>81</v>
      </c>
      <c r="BA1822" s="6" t="s">
        <v>81</v>
      </c>
      <c r="BB1822" s="24" t="n">
        <v>326</v>
      </c>
      <c r="BC1822" s="26"/>
      <c r="BD1822" s="26"/>
      <c r="BE1822" s="26"/>
      <c r="BF1822" s="26"/>
      <c r="BG1822" s="26"/>
      <c r="BH1822" s="26"/>
      <c r="BI1822" s="26"/>
      <c r="BJ1822" s="26"/>
      <c r="BK1822" s="26"/>
      <c r="BL1822" s="26"/>
      <c r="BM1822" s="26"/>
      <c r="BN1822" s="26"/>
      <c r="BO1822" s="26"/>
      <c r="BP1822" s="16" t="n">
        <v>45694</v>
      </c>
      <c r="BQ1822" s="28" t="str">
        <f>HYPERLINK("https://organic.ams.usda.gov/Integrity/Certificate.aspx?cid=47&amp;nopid=7142074605")</f>
        <v>https://organic.ams.usda.gov/Integrity/Certificate.aspx?cid=47&amp;nopid=7142074605</v>
      </c>
    </row>
    <row r="1823">
      <c r="A1823" t="s">
        <v>3</v>
      </c>
      <c r="B1823" s="6" t="s">
        <v>23</v>
      </c>
      <c r="C1823" s="6" t="s">
        <v>70</v>
      </c>
      <c r="D1823" s="6" t="s">
        <v>116</v>
      </c>
      <c r="E1823" s="10" t="s">
        <v>1964</v>
      </c>
      <c r="F1823" s="6" t="s">
        <v>4680</v>
      </c>
      <c r="G1823" s="6" t="s">
        <v>81</v>
      </c>
      <c r="H1823" s="6" t="s">
        <v>7560</v>
      </c>
      <c r="I1823" s="6" t="s">
        <v>8412</v>
      </c>
      <c r="J1823" s="6" t="s">
        <v>10127</v>
      </c>
      <c r="K1823" s="6" t="s">
        <v>10886</v>
      </c>
      <c r="L1823" s="16" t="n">
        <v>41053</v>
      </c>
      <c r="M1823" s="16" t="n">
        <v>45436</v>
      </c>
      <c r="N1823" s="6" t="s">
        <v>10886</v>
      </c>
      <c r="O1823" s="16" t="n">
        <v>41053</v>
      </c>
      <c r="P1823" s="6" t="s">
        <v>11971</v>
      </c>
      <c r="Q1823" s="6" t="s">
        <v>81</v>
      </c>
      <c r="R1823" s="6" t="s">
        <v>12946</v>
      </c>
      <c r="S1823" s="6" t="s">
        <v>10886</v>
      </c>
      <c r="T1823" s="16" t="n">
        <v>41053</v>
      </c>
      <c r="U1823" s="6" t="s">
        <v>13727</v>
      </c>
      <c r="V1823" s="6" t="s">
        <v>81</v>
      </c>
      <c r="W1823" s="6" t="s">
        <v>12946</v>
      </c>
      <c r="X1823" s="6" t="s">
        <v>81</v>
      </c>
      <c r="Y1823" s="21" t="s">
        <v>81</v>
      </c>
      <c r="Z1823" s="6" t="s">
        <v>81</v>
      </c>
      <c r="AA1823" s="6" t="s">
        <v>81</v>
      </c>
      <c r="AB1823" s="6" t="s">
        <v>81</v>
      </c>
      <c r="AC1823" s="6" t="s">
        <v>81</v>
      </c>
      <c r="AD1823" s="21" t="s">
        <v>81</v>
      </c>
      <c r="AE1823" s="6" t="s">
        <v>81</v>
      </c>
      <c r="AF1823" s="6" t="s">
        <v>81</v>
      </c>
      <c r="AG1823" s="6" t="s">
        <v>81</v>
      </c>
      <c r="AH1823" s="6" t="s">
        <v>81</v>
      </c>
      <c r="AI1823" s="6" t="s">
        <v>81</v>
      </c>
      <c r="AJ1823" s="6" t="s">
        <v>81</v>
      </c>
      <c r="AK1823" s="6" t="s">
        <v>81</v>
      </c>
      <c r="AL1823" s="6" t="s">
        <v>81</v>
      </c>
      <c r="AM1823" s="6" t="s">
        <v>81</v>
      </c>
      <c r="AN1823" s="6" t="s">
        <v>81</v>
      </c>
      <c r="AO1823" s="6" t="s">
        <v>81</v>
      </c>
      <c r="AP1823" s="6" t="s">
        <v>20337</v>
      </c>
      <c r="AQ1823" s="6" t="s">
        <v>81</v>
      </c>
      <c r="AR1823" s="6" t="s">
        <v>20554</v>
      </c>
      <c r="AS1823" s="6" t="s">
        <v>18386</v>
      </c>
      <c r="AT1823" s="6" t="s">
        <v>18444</v>
      </c>
      <c r="AU1823" s="6" t="s">
        <v>19093</v>
      </c>
      <c r="AV1823" s="6" t="s">
        <v>19672</v>
      </c>
      <c r="AW1823" s="6" t="s">
        <v>19787</v>
      </c>
      <c r="AX1823" s="6" t="s">
        <v>81</v>
      </c>
      <c r="AY1823" s="6" t="s">
        <v>23197</v>
      </c>
      <c r="AZ1823" s="6" t="s">
        <v>81</v>
      </c>
      <c r="BA1823" s="6" t="s">
        <v>81</v>
      </c>
      <c r="BB1823" s="24" t="n">
        <v>1776</v>
      </c>
      <c r="BC1823" s="26"/>
      <c r="BD1823" s="26"/>
      <c r="BE1823" s="26"/>
      <c r="BF1823" s="26"/>
      <c r="BG1823" s="26"/>
      <c r="BH1823" s="26"/>
      <c r="BI1823" s="26"/>
      <c r="BJ1823" s="26"/>
      <c r="BK1823" s="26"/>
      <c r="BL1823" s="26"/>
      <c r="BM1823" s="26"/>
      <c r="BN1823" s="26"/>
      <c r="BO1823" s="26"/>
      <c r="BP1823" s="16" t="n">
        <v>45383</v>
      </c>
      <c r="BQ1823" s="28" t="str">
        <f>HYPERLINK("https://organic.ams.usda.gov/Integrity/Certificate.aspx?cid=63&amp;nopid=6220005762")</f>
        <v>https://organic.ams.usda.gov/Integrity/Certificate.aspx?cid=63&amp;nopid=6220005762</v>
      </c>
    </row>
    <row r="1824">
      <c r="A1824" t="s">
        <v>3</v>
      </c>
      <c r="B1824" s="6" t="s">
        <v>29</v>
      </c>
      <c r="C1824" s="6" t="s">
        <v>76</v>
      </c>
      <c r="D1824" s="6" t="s">
        <v>122</v>
      </c>
      <c r="E1824" s="10" t="s">
        <v>1965</v>
      </c>
      <c r="F1824" s="6" t="s">
        <v>4681</v>
      </c>
      <c r="G1824" s="6" t="s">
        <v>81</v>
      </c>
      <c r="H1824" s="6" t="s">
        <v>7561</v>
      </c>
      <c r="I1824" s="6" t="s">
        <v>9305</v>
      </c>
      <c r="J1824" s="6" t="s">
        <v>9762</v>
      </c>
      <c r="K1824" s="6" t="s">
        <v>10886</v>
      </c>
      <c r="L1824" s="16" t="n">
        <v>40752</v>
      </c>
      <c r="M1824" s="16" t="n">
        <v>45505</v>
      </c>
      <c r="N1824" s="6" t="s">
        <v>10886</v>
      </c>
      <c r="O1824" s="16" t="n">
        <v>40752</v>
      </c>
      <c r="P1824" s="6" t="s">
        <v>11972</v>
      </c>
      <c r="Q1824" s="6" t="s">
        <v>81</v>
      </c>
      <c r="R1824" s="6" t="s">
        <v>12947</v>
      </c>
      <c r="S1824" s="6" t="s">
        <v>10886</v>
      </c>
      <c r="T1824" s="16" t="n">
        <v>40752</v>
      </c>
      <c r="U1824" s="6" t="s">
        <v>13610</v>
      </c>
      <c r="V1824" s="6" t="s">
        <v>81</v>
      </c>
      <c r="W1824" s="6" t="s">
        <v>12947</v>
      </c>
      <c r="X1824" s="6" t="s">
        <v>81</v>
      </c>
      <c r="Y1824" s="21" t="s">
        <v>81</v>
      </c>
      <c r="Z1824" s="6" t="s">
        <v>81</v>
      </c>
      <c r="AA1824" s="6" t="s">
        <v>81</v>
      </c>
      <c r="AB1824" s="6" t="s">
        <v>81</v>
      </c>
      <c r="AC1824" s="6" t="s">
        <v>81</v>
      </c>
      <c r="AD1824" s="21" t="s">
        <v>81</v>
      </c>
      <c r="AE1824" s="6" t="s">
        <v>81</v>
      </c>
      <c r="AF1824" s="6" t="s">
        <v>81</v>
      </c>
      <c r="AG1824" s="6" t="s">
        <v>81</v>
      </c>
      <c r="AH1824" s="6" t="s">
        <v>16379</v>
      </c>
      <c r="AI1824" s="6" t="s">
        <v>81</v>
      </c>
      <c r="AJ1824" s="6" t="s">
        <v>17615</v>
      </c>
      <c r="AK1824" s="6" t="s">
        <v>18380</v>
      </c>
      <c r="AL1824" s="6" t="s">
        <v>18444</v>
      </c>
      <c r="AM1824" s="6" t="s">
        <v>19315</v>
      </c>
      <c r="AN1824" s="6" t="s">
        <v>19638</v>
      </c>
      <c r="AO1824" s="6" t="s">
        <v>20020</v>
      </c>
      <c r="AP1824" s="6" t="s">
        <v>81</v>
      </c>
      <c r="AQ1824" s="6" t="s">
        <v>81</v>
      </c>
      <c r="AR1824" s="6" t="s">
        <v>81</v>
      </c>
      <c r="AS1824" s="6" t="s">
        <v>81</v>
      </c>
      <c r="AT1824" s="6" t="s">
        <v>81</v>
      </c>
      <c r="AU1824" s="6" t="s">
        <v>81</v>
      </c>
      <c r="AV1824" s="6" t="s">
        <v>81</v>
      </c>
      <c r="AW1824" s="6" t="s">
        <v>81</v>
      </c>
      <c r="AX1824" s="6" t="s">
        <v>21909</v>
      </c>
      <c r="AY1824" s="6" t="s">
        <v>81</v>
      </c>
      <c r="AZ1824" s="6" t="s">
        <v>81</v>
      </c>
      <c r="BA1824" s="6" t="s">
        <v>81</v>
      </c>
      <c r="BB1824" s="24" t="n">
        <v>82</v>
      </c>
      <c r="BC1824" s="26"/>
      <c r="BD1824" s="26"/>
      <c r="BE1824" s="26"/>
      <c r="BF1824" s="26" t="s">
        <v>23900</v>
      </c>
      <c r="BG1824" s="26"/>
      <c r="BH1824" s="26"/>
      <c r="BI1824" s="26"/>
      <c r="BJ1824" s="26"/>
      <c r="BK1824" s="26"/>
      <c r="BL1824" s="26"/>
      <c r="BM1824" s="26"/>
      <c r="BN1824" s="26"/>
      <c r="BO1824" s="26"/>
      <c r="BP1824" s="16" t="n">
        <v>45737</v>
      </c>
      <c r="BQ1824" s="28" t="str">
        <f>HYPERLINK("https://organic.ams.usda.gov/Integrity/Certificate.aspx?cid=31&amp;nopid=3928971046")</f>
        <v>https://organic.ams.usda.gov/Integrity/Certificate.aspx?cid=31&amp;nopid=3928971046</v>
      </c>
    </row>
    <row r="1825">
      <c r="A1825" t="s">
        <v>3</v>
      </c>
      <c r="B1825" s="6" t="s">
        <v>35</v>
      </c>
      <c r="C1825" s="6" t="s">
        <v>82</v>
      </c>
      <c r="D1825" s="6" t="s">
        <v>127</v>
      </c>
      <c r="E1825" s="10" t="s">
        <v>1966</v>
      </c>
      <c r="F1825" s="6" t="s">
        <v>4682</v>
      </c>
      <c r="G1825" s="6" t="s">
        <v>81</v>
      </c>
      <c r="H1825" s="6" t="s">
        <v>7562</v>
      </c>
      <c r="I1825" s="6" t="s">
        <v>9306</v>
      </c>
      <c r="J1825" s="6" t="s">
        <v>10429</v>
      </c>
      <c r="K1825" s="6" t="s">
        <v>10886</v>
      </c>
      <c r="L1825" s="16" t="n">
        <v>39175</v>
      </c>
      <c r="M1825" s="16" t="n">
        <v>45798</v>
      </c>
      <c r="N1825" s="6" t="s">
        <v>10886</v>
      </c>
      <c r="O1825" s="16" t="n">
        <v>39175</v>
      </c>
      <c r="P1825" s="6" t="s">
        <v>11973</v>
      </c>
      <c r="Q1825" s="6" t="s">
        <v>81</v>
      </c>
      <c r="R1825" s="6" t="s">
        <v>12948</v>
      </c>
      <c r="S1825" s="6" t="s">
        <v>10886</v>
      </c>
      <c r="T1825" s="16" t="n">
        <v>39175</v>
      </c>
      <c r="U1825" s="6" t="s">
        <v>13320</v>
      </c>
      <c r="V1825" s="6" t="s">
        <v>81</v>
      </c>
      <c r="W1825" s="6" t="s">
        <v>12948</v>
      </c>
      <c r="X1825" s="6" t="s">
        <v>81</v>
      </c>
      <c r="Y1825" s="21" t="s">
        <v>81</v>
      </c>
      <c r="Z1825" s="6" t="s">
        <v>81</v>
      </c>
      <c r="AA1825" s="6" t="s">
        <v>81</v>
      </c>
      <c r="AB1825" s="6" t="s">
        <v>81</v>
      </c>
      <c r="AC1825" s="6" t="s">
        <v>81</v>
      </c>
      <c r="AD1825" s="21" t="s">
        <v>81</v>
      </c>
      <c r="AE1825" s="6" t="s">
        <v>81</v>
      </c>
      <c r="AF1825" s="6" t="s">
        <v>81</v>
      </c>
      <c r="AG1825" s="6" t="s">
        <v>81</v>
      </c>
      <c r="AH1825" s="6" t="s">
        <v>16380</v>
      </c>
      <c r="AI1825" s="6" t="s">
        <v>81</v>
      </c>
      <c r="AJ1825" s="6" t="s">
        <v>9070</v>
      </c>
      <c r="AK1825" s="6" t="s">
        <v>18405</v>
      </c>
      <c r="AL1825" s="6" t="s">
        <v>18444</v>
      </c>
      <c r="AM1825" s="6" t="s">
        <v>19134</v>
      </c>
      <c r="AN1825" s="6" t="s">
        <v>19692</v>
      </c>
      <c r="AO1825" s="6" t="s">
        <v>19751</v>
      </c>
      <c r="AP1825" s="6" t="s">
        <v>16380</v>
      </c>
      <c r="AQ1825" s="6" t="s">
        <v>81</v>
      </c>
      <c r="AR1825" s="6" t="s">
        <v>9070</v>
      </c>
      <c r="AS1825" s="6" t="s">
        <v>18405</v>
      </c>
      <c r="AT1825" s="6" t="s">
        <v>18444</v>
      </c>
      <c r="AU1825" s="6" t="s">
        <v>19134</v>
      </c>
      <c r="AV1825" s="6" t="s">
        <v>81</v>
      </c>
      <c r="AW1825" s="6" t="s">
        <v>81</v>
      </c>
      <c r="AX1825" s="6" t="s">
        <v>21910</v>
      </c>
      <c r="AY1825" s="6" t="s">
        <v>23198</v>
      </c>
      <c r="AZ1825" s="6" t="s">
        <v>81</v>
      </c>
      <c r="BA1825" s="6" t="s">
        <v>81</v>
      </c>
      <c r="BB1825" s="24" t="n">
        <v>301</v>
      </c>
      <c r="BC1825" s="26"/>
      <c r="BD1825" s="26"/>
      <c r="BE1825" s="26"/>
      <c r="BF1825" s="26"/>
      <c r="BG1825" s="26"/>
      <c r="BH1825" s="26"/>
      <c r="BI1825" s="26"/>
      <c r="BJ1825" s="26"/>
      <c r="BK1825" s="26"/>
      <c r="BL1825" s="26"/>
      <c r="BM1825" s="26"/>
      <c r="BN1825" s="26"/>
      <c r="BO1825" s="26"/>
      <c r="BP1825" s="16" t="n">
        <v>45694</v>
      </c>
      <c r="BQ1825" s="28" t="str">
        <f>HYPERLINK("https://organic.ams.usda.gov/Integrity/Certificate.aspx?cid=47&amp;nopid=7142073390")</f>
        <v>https://organic.ams.usda.gov/Integrity/Certificate.aspx?cid=47&amp;nopid=7142073390</v>
      </c>
    </row>
    <row r="1826">
      <c r="A1826" t="s">
        <v>3</v>
      </c>
      <c r="B1826" s="6" t="s">
        <v>8</v>
      </c>
      <c r="C1826" s="6" t="s">
        <v>55</v>
      </c>
      <c r="D1826" s="6" t="s">
        <v>101</v>
      </c>
      <c r="E1826" s="10" t="s">
        <v>1967</v>
      </c>
      <c r="F1826" s="6" t="s">
        <v>4683</v>
      </c>
      <c r="G1826" s="6" t="s">
        <v>81</v>
      </c>
      <c r="H1826" s="6" t="s">
        <v>7563</v>
      </c>
      <c r="I1826" s="6" t="s">
        <v>8713</v>
      </c>
      <c r="J1826" s="6" t="s">
        <v>10250</v>
      </c>
      <c r="K1826" s="6" t="s">
        <v>10886</v>
      </c>
      <c r="L1826" s="16" t="n">
        <v>44028</v>
      </c>
      <c r="M1826" s="18" t="s">
        <v>81</v>
      </c>
      <c r="N1826" s="6" t="s">
        <v>10886</v>
      </c>
      <c r="O1826" s="16" t="n">
        <v>44028</v>
      </c>
      <c r="P1826" s="6" t="s">
        <v>11974</v>
      </c>
      <c r="Q1826" s="6" t="s">
        <v>81</v>
      </c>
      <c r="R1826" s="6" t="s">
        <v>81</v>
      </c>
      <c r="S1826" s="6" t="s">
        <v>10886</v>
      </c>
      <c r="T1826" s="16" t="n">
        <v>44028</v>
      </c>
      <c r="U1826" s="6" t="s">
        <v>13728</v>
      </c>
      <c r="V1826" s="6" t="s">
        <v>81</v>
      </c>
      <c r="W1826" s="6" t="s">
        <v>81</v>
      </c>
      <c r="X1826" s="6" t="s">
        <v>81</v>
      </c>
      <c r="Y1826" s="21" t="s">
        <v>81</v>
      </c>
      <c r="Z1826" s="6" t="s">
        <v>81</v>
      </c>
      <c r="AA1826" s="6" t="s">
        <v>81</v>
      </c>
      <c r="AB1826" s="6" t="s">
        <v>81</v>
      </c>
      <c r="AC1826" s="6" t="s">
        <v>81</v>
      </c>
      <c r="AD1826" s="21" t="s">
        <v>81</v>
      </c>
      <c r="AE1826" s="6" t="s">
        <v>81</v>
      </c>
      <c r="AF1826" s="6" t="s">
        <v>81</v>
      </c>
      <c r="AG1826" s="6" t="s">
        <v>81</v>
      </c>
      <c r="AH1826" s="6" t="s">
        <v>16381</v>
      </c>
      <c r="AI1826" s="6" t="s">
        <v>81</v>
      </c>
      <c r="AJ1826" s="6" t="s">
        <v>18116</v>
      </c>
      <c r="AK1826" s="6" t="s">
        <v>18380</v>
      </c>
      <c r="AL1826" s="6" t="s">
        <v>18444</v>
      </c>
      <c r="AM1826" s="6" t="s">
        <v>19316</v>
      </c>
      <c r="AN1826" s="6" t="s">
        <v>19639</v>
      </c>
      <c r="AO1826" s="6" t="s">
        <v>19725</v>
      </c>
      <c r="AP1826" s="6" t="s">
        <v>81</v>
      </c>
      <c r="AQ1826" s="6" t="s">
        <v>81</v>
      </c>
      <c r="AR1826" s="6" t="s">
        <v>81</v>
      </c>
      <c r="AS1826" s="6" t="s">
        <v>81</v>
      </c>
      <c r="AT1826" s="6" t="s">
        <v>81</v>
      </c>
      <c r="AU1826" s="6" t="s">
        <v>81</v>
      </c>
      <c r="AV1826" s="6" t="s">
        <v>81</v>
      </c>
      <c r="AW1826" s="6" t="s">
        <v>81</v>
      </c>
      <c r="AX1826" s="6" t="s">
        <v>81</v>
      </c>
      <c r="AY1826" s="6" t="s">
        <v>81</v>
      </c>
      <c r="AZ1826" s="6" t="s">
        <v>81</v>
      </c>
      <c r="BA1826" s="6" t="s">
        <v>81</v>
      </c>
      <c r="BB1826" s="24" t="n">
        <v>54</v>
      </c>
      <c r="BC1826" s="26"/>
      <c r="BD1826" s="26"/>
      <c r="BE1826" s="26"/>
      <c r="BF1826" s="26"/>
      <c r="BG1826" s="26"/>
      <c r="BH1826" s="26"/>
      <c r="BI1826" s="26"/>
      <c r="BJ1826" s="26"/>
      <c r="BK1826" s="26"/>
      <c r="BL1826" s="26"/>
      <c r="BM1826" s="26"/>
      <c r="BN1826" s="26"/>
      <c r="BO1826" s="26"/>
      <c r="BP1826" s="16" t="n">
        <v>45292</v>
      </c>
      <c r="BQ1826" s="28" t="str">
        <f>HYPERLINK("https://organic.ams.usda.gov/Integrity/Certificate.aspx?cid=45&amp;nopid=9950012300")</f>
        <v>https://organic.ams.usda.gov/Integrity/Certificate.aspx?cid=45&amp;nopid=9950012300</v>
      </c>
    </row>
    <row r="1827">
      <c r="A1827" t="s">
        <v>3</v>
      </c>
      <c r="B1827" s="6" t="s">
        <v>15</v>
      </c>
      <c r="C1827" s="6" t="s">
        <v>62</v>
      </c>
      <c r="D1827" s="6" t="s">
        <v>108</v>
      </c>
      <c r="E1827" s="10" t="s">
        <v>1968</v>
      </c>
      <c r="F1827" s="6" t="s">
        <v>4684</v>
      </c>
      <c r="G1827" s="6" t="s">
        <v>5759</v>
      </c>
      <c r="H1827" s="6" t="s">
        <v>7564</v>
      </c>
      <c r="I1827" s="6" t="s">
        <v>9133</v>
      </c>
      <c r="J1827" s="6" t="s">
        <v>10198</v>
      </c>
      <c r="K1827" s="6" t="s">
        <v>10886</v>
      </c>
      <c r="L1827" s="16" t="n">
        <v>42761</v>
      </c>
      <c r="M1827" s="16" t="n">
        <v>45901</v>
      </c>
      <c r="N1827" s="6" t="s">
        <v>81</v>
      </c>
      <c r="O1827" s="21" t="s">
        <v>81</v>
      </c>
      <c r="P1827" s="6" t="s">
        <v>81</v>
      </c>
      <c r="Q1827" s="6" t="s">
        <v>81</v>
      </c>
      <c r="R1827" s="6" t="s">
        <v>81</v>
      </c>
      <c r="S1827" s="6" t="s">
        <v>81</v>
      </c>
      <c r="T1827" s="21" t="s">
        <v>81</v>
      </c>
      <c r="U1827" s="6" t="s">
        <v>81</v>
      </c>
      <c r="V1827" s="6" t="s">
        <v>81</v>
      </c>
      <c r="W1827" s="6" t="s">
        <v>81</v>
      </c>
      <c r="X1827" s="6" t="s">
        <v>81</v>
      </c>
      <c r="Y1827" s="21" t="s">
        <v>81</v>
      </c>
      <c r="Z1827" s="6" t="s">
        <v>81</v>
      </c>
      <c r="AA1827" s="6" t="s">
        <v>81</v>
      </c>
      <c r="AB1827" s="6" t="s">
        <v>81</v>
      </c>
      <c r="AC1827" s="6" t="s">
        <v>10886</v>
      </c>
      <c r="AD1827" s="16" t="n">
        <v>42761</v>
      </c>
      <c r="AE1827" s="6" t="s">
        <v>14314</v>
      </c>
      <c r="AF1827" s="6" t="s">
        <v>81</v>
      </c>
      <c r="AG1827" s="6" t="s">
        <v>81</v>
      </c>
      <c r="AH1827" s="6" t="s">
        <v>16382</v>
      </c>
      <c r="AI1827" s="6" t="s">
        <v>81</v>
      </c>
      <c r="AJ1827" s="6" t="s">
        <v>17335</v>
      </c>
      <c r="AK1827" s="6" t="s">
        <v>18378</v>
      </c>
      <c r="AL1827" s="6" t="s">
        <v>18444</v>
      </c>
      <c r="AM1827" s="6" t="s">
        <v>18489</v>
      </c>
      <c r="AN1827" s="6" t="s">
        <v>19707</v>
      </c>
      <c r="AO1827" s="6" t="s">
        <v>20013</v>
      </c>
      <c r="AP1827" s="6" t="s">
        <v>16382</v>
      </c>
      <c r="AQ1827" s="6" t="s">
        <v>81</v>
      </c>
      <c r="AR1827" s="6" t="s">
        <v>17335</v>
      </c>
      <c r="AS1827" s="6" t="s">
        <v>18378</v>
      </c>
      <c r="AT1827" s="6" t="s">
        <v>18444</v>
      </c>
      <c r="AU1827" s="6" t="s">
        <v>18489</v>
      </c>
      <c r="AV1827" s="6" t="s">
        <v>81</v>
      </c>
      <c r="AW1827" s="6" t="s">
        <v>81</v>
      </c>
      <c r="AX1827" s="6" t="s">
        <v>21911</v>
      </c>
      <c r="AY1827" s="6" t="s">
        <v>23199</v>
      </c>
      <c r="AZ1827" s="6" t="s">
        <v>81</v>
      </c>
      <c r="BA1827" s="6" t="s">
        <v>81</v>
      </c>
      <c r="BB1827" s="6" t="s">
        <v>81</v>
      </c>
      <c r="BC1827" s="26"/>
      <c r="BD1827" s="26"/>
      <c r="BE1827" s="26"/>
      <c r="BF1827" s="26"/>
      <c r="BG1827" s="26" t="s">
        <v>23900</v>
      </c>
      <c r="BH1827" s="26"/>
      <c r="BI1827" s="26"/>
      <c r="BJ1827" s="26"/>
      <c r="BK1827" s="26"/>
      <c r="BL1827" s="26"/>
      <c r="BM1827" s="26"/>
      <c r="BN1827" s="26" t="s">
        <v>23900</v>
      </c>
      <c r="BO1827" s="26"/>
      <c r="BP1827" s="16" t="n">
        <v>45737</v>
      </c>
      <c r="BQ1827" s="28" t="str">
        <f>HYPERLINK("https://organic.ams.usda.gov/Integrity/Certificate.aspx?cid=58&amp;nopid=1600002813")</f>
        <v>https://organic.ams.usda.gov/Integrity/Certificate.aspx?cid=58&amp;nopid=1600002813</v>
      </c>
    </row>
    <row r="1828">
      <c r="A1828" t="s">
        <v>3</v>
      </c>
      <c r="B1828" s="6" t="s">
        <v>7</v>
      </c>
      <c r="C1828" s="6" t="s">
        <v>54</v>
      </c>
      <c r="D1828" s="6" t="s">
        <v>100</v>
      </c>
      <c r="E1828" s="10" t="s">
        <v>1969</v>
      </c>
      <c r="F1828" s="6" t="s">
        <v>4685</v>
      </c>
      <c r="G1828" s="6" t="s">
        <v>81</v>
      </c>
      <c r="H1828" s="6" t="s">
        <v>7565</v>
      </c>
      <c r="I1828" s="6" t="s">
        <v>9033</v>
      </c>
      <c r="J1828" s="6" t="s">
        <v>9851</v>
      </c>
      <c r="K1828" s="6" t="s">
        <v>10886</v>
      </c>
      <c r="L1828" s="16" t="n">
        <v>41170</v>
      </c>
      <c r="M1828" s="16" t="n">
        <v>45716</v>
      </c>
      <c r="N1828" s="6" t="s">
        <v>10886</v>
      </c>
      <c r="O1828" s="16" t="n">
        <v>41160</v>
      </c>
      <c r="P1828" s="6" t="s">
        <v>11380</v>
      </c>
      <c r="Q1828" s="6" t="s">
        <v>81</v>
      </c>
      <c r="R1828" s="6" t="s">
        <v>81</v>
      </c>
      <c r="S1828" s="6" t="s">
        <v>10886</v>
      </c>
      <c r="T1828" s="16" t="n">
        <v>41008</v>
      </c>
      <c r="U1828" s="6" t="s">
        <v>13160</v>
      </c>
      <c r="V1828" s="6" t="s">
        <v>81</v>
      </c>
      <c r="W1828" s="6" t="s">
        <v>81</v>
      </c>
      <c r="X1828" s="6" t="s">
        <v>81</v>
      </c>
      <c r="Y1828" s="21" t="s">
        <v>81</v>
      </c>
      <c r="Z1828" s="6" t="s">
        <v>81</v>
      </c>
      <c r="AA1828" s="6" t="s">
        <v>81</v>
      </c>
      <c r="AB1828" s="6" t="s">
        <v>81</v>
      </c>
      <c r="AC1828" s="6" t="s">
        <v>81</v>
      </c>
      <c r="AD1828" s="21" t="s">
        <v>81</v>
      </c>
      <c r="AE1828" s="6" t="s">
        <v>81</v>
      </c>
      <c r="AF1828" s="6" t="s">
        <v>81</v>
      </c>
      <c r="AG1828" s="6" t="s">
        <v>81</v>
      </c>
      <c r="AH1828" s="6" t="s">
        <v>16383</v>
      </c>
      <c r="AI1828" s="6" t="s">
        <v>81</v>
      </c>
      <c r="AJ1828" s="6" t="s">
        <v>17526</v>
      </c>
      <c r="AK1828" s="6" t="s">
        <v>17712</v>
      </c>
      <c r="AL1828" s="6" t="s">
        <v>18444</v>
      </c>
      <c r="AM1828" s="6" t="s">
        <v>18499</v>
      </c>
      <c r="AN1828" s="6" t="s">
        <v>19651</v>
      </c>
      <c r="AO1828" s="6" t="s">
        <v>19741</v>
      </c>
      <c r="AP1828" s="6" t="s">
        <v>20338</v>
      </c>
      <c r="AQ1828" s="6" t="s">
        <v>81</v>
      </c>
      <c r="AR1828" s="6" t="s">
        <v>17526</v>
      </c>
      <c r="AS1828" s="6" t="s">
        <v>17712</v>
      </c>
      <c r="AT1828" s="6" t="s">
        <v>18444</v>
      </c>
      <c r="AU1828" s="6" t="s">
        <v>18499</v>
      </c>
      <c r="AV1828" s="6" t="s">
        <v>81</v>
      </c>
      <c r="AW1828" s="6" t="s">
        <v>81</v>
      </c>
      <c r="AX1828" s="6" t="s">
        <v>21912</v>
      </c>
      <c r="AY1828" s="6" t="s">
        <v>81</v>
      </c>
      <c r="AZ1828" s="6" t="s">
        <v>81</v>
      </c>
      <c r="BA1828" s="6" t="s">
        <v>81</v>
      </c>
      <c r="BB1828" s="24" t="n">
        <v>574</v>
      </c>
      <c r="BC1828" s="26"/>
      <c r="BD1828" s="26"/>
      <c r="BE1828" s="26"/>
      <c r="BF1828" s="26" t="s">
        <v>23900</v>
      </c>
      <c r="BG1828" s="26"/>
      <c r="BH1828" s="26"/>
      <c r="BI1828" s="26"/>
      <c r="BJ1828" s="26"/>
      <c r="BK1828" s="26"/>
      <c r="BL1828" s="26"/>
      <c r="BM1828" s="26"/>
      <c r="BN1828" s="26"/>
      <c r="BO1828" s="26"/>
      <c r="BP1828" s="16" t="n">
        <v>45721</v>
      </c>
      <c r="BQ1828" s="28" t="str">
        <f>HYPERLINK("https://organic.ams.usda.gov/Integrity/Certificate.aspx?cid=57&amp;nopid=3252012029")</f>
        <v>https://organic.ams.usda.gov/Integrity/Certificate.aspx?cid=57&amp;nopid=3252012029</v>
      </c>
    </row>
    <row r="1829">
      <c r="A1829" t="s">
        <v>3</v>
      </c>
      <c r="B1829" s="6" t="s">
        <v>8</v>
      </c>
      <c r="C1829" s="6" t="s">
        <v>55</v>
      </c>
      <c r="D1829" s="6" t="s">
        <v>101</v>
      </c>
      <c r="E1829" s="10" t="s">
        <v>1970</v>
      </c>
      <c r="F1829" s="6" t="s">
        <v>4686</v>
      </c>
      <c r="G1829" s="6" t="s">
        <v>81</v>
      </c>
      <c r="H1829" s="6" t="s">
        <v>7566</v>
      </c>
      <c r="I1829" s="6" t="s">
        <v>8451</v>
      </c>
      <c r="J1829" s="6" t="s">
        <v>10464</v>
      </c>
      <c r="K1829" s="6" t="s">
        <v>10886</v>
      </c>
      <c r="L1829" s="16" t="n">
        <v>39098</v>
      </c>
      <c r="M1829" s="18" t="s">
        <v>81</v>
      </c>
      <c r="N1829" s="6" t="s">
        <v>10886</v>
      </c>
      <c r="O1829" s="16" t="n">
        <v>39098</v>
      </c>
      <c r="P1829" s="6" t="s">
        <v>11975</v>
      </c>
      <c r="Q1829" s="6" t="s">
        <v>81</v>
      </c>
      <c r="R1829" s="6" t="s">
        <v>81</v>
      </c>
      <c r="S1829" s="6" t="s">
        <v>10886</v>
      </c>
      <c r="T1829" s="16" t="n">
        <v>39098</v>
      </c>
      <c r="U1829" s="6" t="s">
        <v>13729</v>
      </c>
      <c r="V1829" s="6" t="s">
        <v>81</v>
      </c>
      <c r="W1829" s="6" t="s">
        <v>81</v>
      </c>
      <c r="X1829" s="6" t="s">
        <v>81</v>
      </c>
      <c r="Y1829" s="21" t="s">
        <v>81</v>
      </c>
      <c r="Z1829" s="6" t="s">
        <v>81</v>
      </c>
      <c r="AA1829" s="6" t="s">
        <v>81</v>
      </c>
      <c r="AB1829" s="6" t="s">
        <v>81</v>
      </c>
      <c r="AC1829" s="6" t="s">
        <v>81</v>
      </c>
      <c r="AD1829" s="21" t="s">
        <v>81</v>
      </c>
      <c r="AE1829" s="6" t="s">
        <v>81</v>
      </c>
      <c r="AF1829" s="6" t="s">
        <v>81</v>
      </c>
      <c r="AG1829" s="6" t="s">
        <v>81</v>
      </c>
      <c r="AH1829" s="6" t="s">
        <v>16384</v>
      </c>
      <c r="AI1829" s="6" t="s">
        <v>81</v>
      </c>
      <c r="AJ1829" s="6" t="s">
        <v>18117</v>
      </c>
      <c r="AK1829" s="6" t="s">
        <v>18381</v>
      </c>
      <c r="AL1829" s="6" t="s">
        <v>18444</v>
      </c>
      <c r="AM1829" s="6" t="s">
        <v>19317</v>
      </c>
      <c r="AN1829" s="6" t="s">
        <v>19697</v>
      </c>
      <c r="AO1829" s="6" t="s">
        <v>19873</v>
      </c>
      <c r="AP1829" s="6" t="s">
        <v>20339</v>
      </c>
      <c r="AQ1829" s="6" t="s">
        <v>81</v>
      </c>
      <c r="AR1829" s="6" t="s">
        <v>18117</v>
      </c>
      <c r="AS1829" s="6" t="s">
        <v>18381</v>
      </c>
      <c r="AT1829" s="6" t="s">
        <v>18444</v>
      </c>
      <c r="AU1829" s="6" t="s">
        <v>19317</v>
      </c>
      <c r="AV1829" s="6" t="s">
        <v>81</v>
      </c>
      <c r="AW1829" s="6" t="s">
        <v>81</v>
      </c>
      <c r="AX1829" s="6" t="s">
        <v>81</v>
      </c>
      <c r="AY1829" s="6" t="s">
        <v>81</v>
      </c>
      <c r="AZ1829" s="6" t="s">
        <v>81</v>
      </c>
      <c r="BA1829" s="6" t="s">
        <v>81</v>
      </c>
      <c r="BB1829" s="24" t="n">
        <v>204</v>
      </c>
      <c r="BC1829" s="26"/>
      <c r="BD1829" s="26"/>
      <c r="BE1829" s="26"/>
      <c r="BF1829" s="26"/>
      <c r="BG1829" s="26"/>
      <c r="BH1829" s="26"/>
      <c r="BI1829" s="26"/>
      <c r="BJ1829" s="26"/>
      <c r="BK1829" s="26"/>
      <c r="BL1829" s="26"/>
      <c r="BM1829" s="26"/>
      <c r="BN1829" s="26"/>
      <c r="BO1829" s="26"/>
      <c r="BP1829" s="16" t="n">
        <v>45292</v>
      </c>
      <c r="BQ1829" s="28" t="str">
        <f>HYPERLINK("https://organic.ams.usda.gov/Integrity/Certificate.aspx?cid=45&amp;nopid=9950002562")</f>
        <v>https://organic.ams.usda.gov/Integrity/Certificate.aspx?cid=45&amp;nopid=9950002562</v>
      </c>
    </row>
    <row r="1830">
      <c r="A1830" t="s">
        <v>3</v>
      </c>
      <c r="B1830" s="6" t="s">
        <v>8</v>
      </c>
      <c r="C1830" s="6" t="s">
        <v>55</v>
      </c>
      <c r="D1830" s="6" t="s">
        <v>101</v>
      </c>
      <c r="E1830" s="10" t="s">
        <v>1971</v>
      </c>
      <c r="F1830" s="6" t="s">
        <v>4687</v>
      </c>
      <c r="G1830" s="6" t="s">
        <v>81</v>
      </c>
      <c r="H1830" s="6" t="s">
        <v>7567</v>
      </c>
      <c r="I1830" s="6" t="s">
        <v>8916</v>
      </c>
      <c r="J1830" s="6" t="s">
        <v>9927</v>
      </c>
      <c r="K1830" s="6" t="s">
        <v>10886</v>
      </c>
      <c r="L1830" s="16" t="n">
        <v>40730</v>
      </c>
      <c r="M1830" s="16" t="n">
        <v>45689</v>
      </c>
      <c r="N1830" s="6" t="s">
        <v>10886</v>
      </c>
      <c r="O1830" s="16" t="n">
        <v>40730</v>
      </c>
      <c r="P1830" s="6" t="s">
        <v>11976</v>
      </c>
      <c r="Q1830" s="6" t="s">
        <v>81</v>
      </c>
      <c r="R1830" s="6" t="s">
        <v>7567</v>
      </c>
      <c r="S1830" s="6" t="s">
        <v>10886</v>
      </c>
      <c r="T1830" s="16" t="n">
        <v>40730</v>
      </c>
      <c r="U1830" s="6" t="s">
        <v>13161</v>
      </c>
      <c r="V1830" s="6" t="s">
        <v>81</v>
      </c>
      <c r="W1830" s="6" t="s">
        <v>7567</v>
      </c>
      <c r="X1830" s="6" t="s">
        <v>81</v>
      </c>
      <c r="Y1830" s="21" t="s">
        <v>81</v>
      </c>
      <c r="Z1830" s="6" t="s">
        <v>81</v>
      </c>
      <c r="AA1830" s="6" t="s">
        <v>81</v>
      </c>
      <c r="AB1830" s="6" t="s">
        <v>81</v>
      </c>
      <c r="AC1830" s="6" t="s">
        <v>81</v>
      </c>
      <c r="AD1830" s="21" t="s">
        <v>81</v>
      </c>
      <c r="AE1830" s="6" t="s">
        <v>81</v>
      </c>
      <c r="AF1830" s="6" t="s">
        <v>81</v>
      </c>
      <c r="AG1830" s="6" t="s">
        <v>81</v>
      </c>
      <c r="AH1830" s="6" t="s">
        <v>16385</v>
      </c>
      <c r="AI1830" s="6" t="s">
        <v>81</v>
      </c>
      <c r="AJ1830" s="6" t="s">
        <v>17377</v>
      </c>
      <c r="AK1830" s="6" t="s">
        <v>18377</v>
      </c>
      <c r="AL1830" s="6" t="s">
        <v>18444</v>
      </c>
      <c r="AM1830" s="6" t="s">
        <v>18530</v>
      </c>
      <c r="AN1830" s="6" t="s">
        <v>19638</v>
      </c>
      <c r="AO1830" s="6" t="s">
        <v>19724</v>
      </c>
      <c r="AP1830" s="6" t="s">
        <v>81</v>
      </c>
      <c r="AQ1830" s="6" t="s">
        <v>81</v>
      </c>
      <c r="AR1830" s="6" t="s">
        <v>81</v>
      </c>
      <c r="AS1830" s="6" t="s">
        <v>81</v>
      </c>
      <c r="AT1830" s="6" t="s">
        <v>81</v>
      </c>
      <c r="AU1830" s="6" t="s">
        <v>81</v>
      </c>
      <c r="AV1830" s="6" t="s">
        <v>81</v>
      </c>
      <c r="AW1830" s="6" t="s">
        <v>81</v>
      </c>
      <c r="AX1830" s="6" t="s">
        <v>81</v>
      </c>
      <c r="AY1830" s="6" t="s">
        <v>23200</v>
      </c>
      <c r="AZ1830" s="6" t="s">
        <v>81</v>
      </c>
      <c r="BA1830" s="6" t="s">
        <v>23819</v>
      </c>
      <c r="BB1830" s="24" t="n">
        <v>287</v>
      </c>
      <c r="BC1830" s="26"/>
      <c r="BD1830" s="26"/>
      <c r="BE1830" s="26"/>
      <c r="BF1830" s="26"/>
      <c r="BG1830" s="26"/>
      <c r="BH1830" s="26"/>
      <c r="BI1830" s="26"/>
      <c r="BJ1830" s="26"/>
      <c r="BK1830" s="26"/>
      <c r="BL1830" s="26"/>
      <c r="BM1830" s="26"/>
      <c r="BN1830" s="26"/>
      <c r="BO1830" s="26"/>
      <c r="BP1830" s="16" t="n">
        <v>45733</v>
      </c>
      <c r="BQ1830" s="28" t="str">
        <f>HYPERLINK("https://organic.ams.usda.gov/Integrity/Certificate.aspx?cid=45&amp;nopid=9950004339")</f>
        <v>https://organic.ams.usda.gov/Integrity/Certificate.aspx?cid=45&amp;nopid=9950004339</v>
      </c>
    </row>
    <row r="1831">
      <c r="A1831" t="s">
        <v>3</v>
      </c>
      <c r="B1831" s="6" t="s">
        <v>10</v>
      </c>
      <c r="C1831" s="6" t="s">
        <v>57</v>
      </c>
      <c r="D1831" s="6" t="s">
        <v>103</v>
      </c>
      <c r="E1831" s="10" t="s">
        <v>1972</v>
      </c>
      <c r="F1831" s="6" t="s">
        <v>4688</v>
      </c>
      <c r="G1831" s="6" t="s">
        <v>81</v>
      </c>
      <c r="H1831" s="6" t="s">
        <v>7568</v>
      </c>
      <c r="I1831" s="6" t="s">
        <v>9307</v>
      </c>
      <c r="J1831" s="6" t="s">
        <v>9665</v>
      </c>
      <c r="K1831" s="6" t="s">
        <v>10886</v>
      </c>
      <c r="L1831" s="16" t="n">
        <v>44011</v>
      </c>
      <c r="M1831" s="16" t="n">
        <v>45748</v>
      </c>
      <c r="N1831" s="6" t="s">
        <v>10886</v>
      </c>
      <c r="O1831" s="16" t="n">
        <v>44011</v>
      </c>
      <c r="P1831" s="6" t="s">
        <v>11977</v>
      </c>
      <c r="Q1831" s="6" t="s">
        <v>81</v>
      </c>
      <c r="R1831" s="6" t="s">
        <v>12949</v>
      </c>
      <c r="S1831" s="6" t="s">
        <v>10886</v>
      </c>
      <c r="T1831" s="16" t="n">
        <v>44011</v>
      </c>
      <c r="U1831" s="6" t="s">
        <v>13163</v>
      </c>
      <c r="V1831" s="6" t="s">
        <v>81</v>
      </c>
      <c r="W1831" s="6" t="s">
        <v>81</v>
      </c>
      <c r="X1831" s="6" t="s">
        <v>81</v>
      </c>
      <c r="Y1831" s="21" t="s">
        <v>81</v>
      </c>
      <c r="Z1831" s="6" t="s">
        <v>81</v>
      </c>
      <c r="AA1831" s="6" t="s">
        <v>81</v>
      </c>
      <c r="AB1831" s="6" t="s">
        <v>81</v>
      </c>
      <c r="AC1831" s="6" t="s">
        <v>81</v>
      </c>
      <c r="AD1831" s="21" t="s">
        <v>81</v>
      </c>
      <c r="AE1831" s="6" t="s">
        <v>81</v>
      </c>
      <c r="AF1831" s="6" t="s">
        <v>81</v>
      </c>
      <c r="AG1831" s="6" t="s">
        <v>81</v>
      </c>
      <c r="AH1831" s="6" t="s">
        <v>16386</v>
      </c>
      <c r="AI1831" s="6" t="s">
        <v>81</v>
      </c>
      <c r="AJ1831" s="6" t="s">
        <v>17645</v>
      </c>
      <c r="AK1831" s="6" t="s">
        <v>18379</v>
      </c>
      <c r="AL1831" s="6" t="s">
        <v>18444</v>
      </c>
      <c r="AM1831" s="6" t="s">
        <v>18814</v>
      </c>
      <c r="AN1831" s="6" t="s">
        <v>19654</v>
      </c>
      <c r="AO1831" s="6" t="s">
        <v>19765</v>
      </c>
      <c r="AP1831" s="6" t="s">
        <v>16386</v>
      </c>
      <c r="AQ1831" s="6" t="s">
        <v>81</v>
      </c>
      <c r="AR1831" s="6" t="s">
        <v>17645</v>
      </c>
      <c r="AS1831" s="6" t="s">
        <v>18379</v>
      </c>
      <c r="AT1831" s="6" t="s">
        <v>18444</v>
      </c>
      <c r="AU1831" s="6" t="s">
        <v>18814</v>
      </c>
      <c r="AV1831" s="6" t="s">
        <v>81</v>
      </c>
      <c r="AW1831" s="6" t="s">
        <v>81</v>
      </c>
      <c r="AX1831" s="6" t="s">
        <v>21913</v>
      </c>
      <c r="AY1831" s="6" t="s">
        <v>81</v>
      </c>
      <c r="AZ1831" s="6" t="s">
        <v>81</v>
      </c>
      <c r="BA1831" s="6" t="s">
        <v>81</v>
      </c>
      <c r="BB1831" s="24" t="n">
        <v>89</v>
      </c>
      <c r="BC1831" s="26"/>
      <c r="BD1831" s="26"/>
      <c r="BE1831" s="26"/>
      <c r="BF1831" s="26"/>
      <c r="BG1831" s="26"/>
      <c r="BH1831" s="26"/>
      <c r="BI1831" s="26"/>
      <c r="BJ1831" s="26"/>
      <c r="BK1831" s="26"/>
      <c r="BL1831" s="26"/>
      <c r="BM1831" s="26"/>
      <c r="BN1831" s="26"/>
      <c r="BO1831" s="26"/>
      <c r="BP1831" s="16" t="n">
        <v>45730</v>
      </c>
      <c r="BQ1831" s="28" t="str">
        <f>HYPERLINK("https://organic.ams.usda.gov/Integrity/Certificate.aspx?cid=90&amp;nopid=7170020199")</f>
        <v>https://organic.ams.usda.gov/Integrity/Certificate.aspx?cid=90&amp;nopid=7170020199</v>
      </c>
    </row>
    <row r="1832">
      <c r="A1832" t="s">
        <v>3</v>
      </c>
      <c r="B1832" s="6" t="s">
        <v>10</v>
      </c>
      <c r="C1832" s="6" t="s">
        <v>57</v>
      </c>
      <c r="D1832" s="6" t="s">
        <v>103</v>
      </c>
      <c r="E1832" s="10" t="s">
        <v>1973</v>
      </c>
      <c r="F1832" s="6" t="s">
        <v>4689</v>
      </c>
      <c r="G1832" s="6" t="s">
        <v>81</v>
      </c>
      <c r="H1832" s="6" t="s">
        <v>7569</v>
      </c>
      <c r="I1832" s="6" t="s">
        <v>9308</v>
      </c>
      <c r="J1832" s="6" t="s">
        <v>9233</v>
      </c>
      <c r="K1832" s="6" t="s">
        <v>10886</v>
      </c>
      <c r="L1832" s="16" t="n">
        <v>45440</v>
      </c>
      <c r="M1832" s="16" t="n">
        <v>45748</v>
      </c>
      <c r="N1832" s="6" t="s">
        <v>10886</v>
      </c>
      <c r="O1832" s="16" t="n">
        <v>45440</v>
      </c>
      <c r="P1832" s="6" t="s">
        <v>10925</v>
      </c>
      <c r="Q1832" s="6" t="s">
        <v>81</v>
      </c>
      <c r="R1832" s="6" t="s">
        <v>12950</v>
      </c>
      <c r="S1832" s="6" t="s">
        <v>10886</v>
      </c>
      <c r="T1832" s="16" t="n">
        <v>45440</v>
      </c>
      <c r="U1832" s="6" t="s">
        <v>13163</v>
      </c>
      <c r="V1832" s="6" t="s">
        <v>81</v>
      </c>
      <c r="W1832" s="6" t="s">
        <v>81</v>
      </c>
      <c r="X1832" s="6" t="s">
        <v>81</v>
      </c>
      <c r="Y1832" s="21" t="s">
        <v>81</v>
      </c>
      <c r="Z1832" s="6" t="s">
        <v>81</v>
      </c>
      <c r="AA1832" s="6" t="s">
        <v>81</v>
      </c>
      <c r="AB1832" s="6" t="s">
        <v>81</v>
      </c>
      <c r="AC1832" s="6" t="s">
        <v>81</v>
      </c>
      <c r="AD1832" s="21" t="s">
        <v>81</v>
      </c>
      <c r="AE1832" s="6" t="s">
        <v>81</v>
      </c>
      <c r="AF1832" s="6" t="s">
        <v>81</v>
      </c>
      <c r="AG1832" s="6" t="s">
        <v>81</v>
      </c>
      <c r="AH1832" s="6" t="s">
        <v>16387</v>
      </c>
      <c r="AI1832" s="6" t="s">
        <v>81</v>
      </c>
      <c r="AJ1832" s="6" t="s">
        <v>18118</v>
      </c>
      <c r="AK1832" s="6" t="s">
        <v>18391</v>
      </c>
      <c r="AL1832" s="6" t="s">
        <v>18444</v>
      </c>
      <c r="AM1832" s="6" t="s">
        <v>19318</v>
      </c>
      <c r="AN1832" s="6" t="s">
        <v>81</v>
      </c>
      <c r="AO1832" s="6" t="s">
        <v>81</v>
      </c>
      <c r="AP1832" s="6" t="s">
        <v>16387</v>
      </c>
      <c r="AQ1832" s="6" t="s">
        <v>81</v>
      </c>
      <c r="AR1832" s="6" t="s">
        <v>18118</v>
      </c>
      <c r="AS1832" s="6" t="s">
        <v>18391</v>
      </c>
      <c r="AT1832" s="6" t="s">
        <v>18444</v>
      </c>
      <c r="AU1832" s="6" t="s">
        <v>19318</v>
      </c>
      <c r="AV1832" s="6" t="s">
        <v>81</v>
      </c>
      <c r="AW1832" s="6" t="s">
        <v>81</v>
      </c>
      <c r="AX1832" s="6" t="s">
        <v>21914</v>
      </c>
      <c r="AY1832" s="6" t="s">
        <v>81</v>
      </c>
      <c r="AZ1832" s="6" t="s">
        <v>81</v>
      </c>
      <c r="BA1832" s="6" t="s">
        <v>81</v>
      </c>
      <c r="BB1832" s="24" t="n">
        <v>171</v>
      </c>
      <c r="BC1832" s="26"/>
      <c r="BD1832" s="26"/>
      <c r="BE1832" s="26"/>
      <c r="BF1832" s="26"/>
      <c r="BG1832" s="26"/>
      <c r="BH1832" s="26"/>
      <c r="BI1832" s="26"/>
      <c r="BJ1832" s="26"/>
      <c r="BK1832" s="26"/>
      <c r="BL1832" s="26"/>
      <c r="BM1832" s="26"/>
      <c r="BN1832" s="26"/>
      <c r="BO1832" s="26"/>
      <c r="BP1832" s="16" t="n">
        <v>45730</v>
      </c>
      <c r="BQ1832" s="28" t="str">
        <f>HYPERLINK("https://organic.ams.usda.gov/Integrity/Certificate.aspx?cid=90&amp;nopid=7170240796")</f>
        <v>https://organic.ams.usda.gov/Integrity/Certificate.aspx?cid=90&amp;nopid=7170240796</v>
      </c>
    </row>
    <row r="1833">
      <c r="A1833" t="s">
        <v>3</v>
      </c>
      <c r="B1833" s="6" t="s">
        <v>22</v>
      </c>
      <c r="C1833" s="6" t="s">
        <v>69</v>
      </c>
      <c r="D1833" s="6" t="s">
        <v>115</v>
      </c>
      <c r="E1833" s="10" t="s">
        <v>1974</v>
      </c>
      <c r="F1833" s="6" t="s">
        <v>4690</v>
      </c>
      <c r="G1833" s="6" t="s">
        <v>81</v>
      </c>
      <c r="H1833" s="6" t="s">
        <v>7570</v>
      </c>
      <c r="I1833" s="6" t="s">
        <v>9309</v>
      </c>
      <c r="J1833" s="6" t="s">
        <v>10465</v>
      </c>
      <c r="K1833" s="6" t="s">
        <v>10886</v>
      </c>
      <c r="L1833" s="16" t="n">
        <v>42926</v>
      </c>
      <c r="M1833" s="16" t="n">
        <v>45848</v>
      </c>
      <c r="N1833" s="6" t="s">
        <v>81</v>
      </c>
      <c r="O1833" s="21" t="s">
        <v>81</v>
      </c>
      <c r="P1833" s="6" t="s">
        <v>81</v>
      </c>
      <c r="Q1833" s="6" t="s">
        <v>81</v>
      </c>
      <c r="R1833" s="6" t="s">
        <v>81</v>
      </c>
      <c r="S1833" s="6" t="s">
        <v>81</v>
      </c>
      <c r="T1833" s="21" t="s">
        <v>81</v>
      </c>
      <c r="U1833" s="6" t="s">
        <v>81</v>
      </c>
      <c r="V1833" s="6" t="s">
        <v>81</v>
      </c>
      <c r="W1833" s="6" t="s">
        <v>81</v>
      </c>
      <c r="X1833" s="6" t="s">
        <v>81</v>
      </c>
      <c r="Y1833" s="21" t="s">
        <v>81</v>
      </c>
      <c r="Z1833" s="6" t="s">
        <v>81</v>
      </c>
      <c r="AA1833" s="6" t="s">
        <v>81</v>
      </c>
      <c r="AB1833" s="6" t="s">
        <v>81</v>
      </c>
      <c r="AC1833" s="6" t="s">
        <v>10886</v>
      </c>
      <c r="AD1833" s="16" t="n">
        <v>42926</v>
      </c>
      <c r="AE1833" s="6" t="s">
        <v>14315</v>
      </c>
      <c r="AF1833" s="6" t="s">
        <v>81</v>
      </c>
      <c r="AG1833" s="6" t="s">
        <v>7570</v>
      </c>
      <c r="AH1833" s="6" t="s">
        <v>16388</v>
      </c>
      <c r="AI1833" s="6" t="s">
        <v>81</v>
      </c>
      <c r="AJ1833" s="6" t="s">
        <v>18119</v>
      </c>
      <c r="AK1833" s="6" t="s">
        <v>18430</v>
      </c>
      <c r="AL1833" s="6" t="s">
        <v>18447</v>
      </c>
      <c r="AM1833" s="6" t="s">
        <v>81</v>
      </c>
      <c r="AN1833" s="6" t="s">
        <v>81</v>
      </c>
      <c r="AO1833" s="6" t="s">
        <v>81</v>
      </c>
      <c r="AP1833" s="6" t="s">
        <v>20340</v>
      </c>
      <c r="AQ1833" s="6" t="s">
        <v>20484</v>
      </c>
      <c r="AR1833" s="6" t="s">
        <v>20555</v>
      </c>
      <c r="AS1833" s="6" t="s">
        <v>18430</v>
      </c>
      <c r="AT1833" s="6" t="s">
        <v>18447</v>
      </c>
      <c r="AU1833" s="6" t="s">
        <v>20682</v>
      </c>
      <c r="AV1833" s="6" t="s">
        <v>81</v>
      </c>
      <c r="AW1833" s="6" t="s">
        <v>81</v>
      </c>
      <c r="AX1833" s="6" t="s">
        <v>21915</v>
      </c>
      <c r="AY1833" s="6" t="s">
        <v>23201</v>
      </c>
      <c r="AZ1833" s="6" t="s">
        <v>81</v>
      </c>
      <c r="BA1833" s="6" t="s">
        <v>81</v>
      </c>
      <c r="BB1833" s="6" t="s">
        <v>81</v>
      </c>
      <c r="BC1833" s="26"/>
      <c r="BD1833" s="26"/>
      <c r="BE1833" s="26"/>
      <c r="BF1833" s="26"/>
      <c r="BG1833" s="26"/>
      <c r="BH1833" s="26"/>
      <c r="BI1833" s="26"/>
      <c r="BJ1833" s="26"/>
      <c r="BK1833" s="26"/>
      <c r="BL1833" s="26"/>
      <c r="BM1833" s="26"/>
      <c r="BN1833" s="26"/>
      <c r="BO1833" s="26"/>
      <c r="BP1833" s="16" t="n">
        <v>45478</v>
      </c>
      <c r="BQ1833" s="28" t="str">
        <f>HYPERLINK("https://organic.ams.usda.gov/Integrity/Certificate.aspx?cid=21&amp;nopid=1780853435")</f>
        <v>https://organic.ams.usda.gov/Integrity/Certificate.aspx?cid=21&amp;nopid=1780853435</v>
      </c>
    </row>
    <row r="1834">
      <c r="A1834" t="s">
        <v>3</v>
      </c>
      <c r="B1834" s="6" t="s">
        <v>8</v>
      </c>
      <c r="C1834" s="6" t="s">
        <v>55</v>
      </c>
      <c r="D1834" s="6" t="s">
        <v>101</v>
      </c>
      <c r="E1834" s="10" t="s">
        <v>1975</v>
      </c>
      <c r="F1834" s="6" t="s">
        <v>4691</v>
      </c>
      <c r="G1834" s="6" t="s">
        <v>81</v>
      </c>
      <c r="H1834" s="6" t="s">
        <v>7571</v>
      </c>
      <c r="I1834" s="6" t="s">
        <v>8478</v>
      </c>
      <c r="J1834" s="6" t="s">
        <v>10466</v>
      </c>
      <c r="K1834" s="6" t="s">
        <v>10886</v>
      </c>
      <c r="L1834" s="16" t="n">
        <v>39636</v>
      </c>
      <c r="M1834" s="16" t="n">
        <v>45748</v>
      </c>
      <c r="N1834" s="6" t="s">
        <v>10886</v>
      </c>
      <c r="O1834" s="16" t="n">
        <v>39636</v>
      </c>
      <c r="P1834" s="6" t="s">
        <v>11978</v>
      </c>
      <c r="Q1834" s="6" t="s">
        <v>81</v>
      </c>
      <c r="R1834" s="6" t="s">
        <v>7571</v>
      </c>
      <c r="S1834" s="6" t="s">
        <v>10886</v>
      </c>
      <c r="T1834" s="16" t="n">
        <v>39636</v>
      </c>
      <c r="U1834" s="6" t="s">
        <v>13286</v>
      </c>
      <c r="V1834" s="6" t="s">
        <v>81</v>
      </c>
      <c r="W1834" s="6" t="s">
        <v>7571</v>
      </c>
      <c r="X1834" s="6" t="s">
        <v>81</v>
      </c>
      <c r="Y1834" s="21" t="s">
        <v>81</v>
      </c>
      <c r="Z1834" s="6" t="s">
        <v>81</v>
      </c>
      <c r="AA1834" s="6" t="s">
        <v>81</v>
      </c>
      <c r="AB1834" s="6" t="s">
        <v>81</v>
      </c>
      <c r="AC1834" s="6" t="s">
        <v>81</v>
      </c>
      <c r="AD1834" s="21" t="s">
        <v>81</v>
      </c>
      <c r="AE1834" s="6" t="s">
        <v>81</v>
      </c>
      <c r="AF1834" s="6" t="s">
        <v>81</v>
      </c>
      <c r="AG1834" s="6" t="s">
        <v>81</v>
      </c>
      <c r="AH1834" s="6" t="s">
        <v>16389</v>
      </c>
      <c r="AI1834" s="6" t="s">
        <v>81</v>
      </c>
      <c r="AJ1834" s="6" t="s">
        <v>17859</v>
      </c>
      <c r="AK1834" s="6" t="s">
        <v>18377</v>
      </c>
      <c r="AL1834" s="6" t="s">
        <v>18444</v>
      </c>
      <c r="AM1834" s="6" t="s">
        <v>19041</v>
      </c>
      <c r="AN1834" s="6" t="s">
        <v>19667</v>
      </c>
      <c r="AO1834" s="6" t="s">
        <v>19967</v>
      </c>
      <c r="AP1834" s="6" t="s">
        <v>81</v>
      </c>
      <c r="AQ1834" s="6" t="s">
        <v>81</v>
      </c>
      <c r="AR1834" s="6" t="s">
        <v>81</v>
      </c>
      <c r="AS1834" s="6" t="s">
        <v>81</v>
      </c>
      <c r="AT1834" s="6" t="s">
        <v>81</v>
      </c>
      <c r="AU1834" s="6" t="s">
        <v>81</v>
      </c>
      <c r="AV1834" s="6" t="s">
        <v>81</v>
      </c>
      <c r="AW1834" s="6" t="s">
        <v>81</v>
      </c>
      <c r="AX1834" s="6" t="s">
        <v>81</v>
      </c>
      <c r="AY1834" s="6" t="s">
        <v>23202</v>
      </c>
      <c r="AZ1834" s="6" t="s">
        <v>81</v>
      </c>
      <c r="BA1834" s="6" t="s">
        <v>23819</v>
      </c>
      <c r="BB1834" s="24" t="n">
        <v>432</v>
      </c>
      <c r="BC1834" s="26"/>
      <c r="BD1834" s="26"/>
      <c r="BE1834" s="26"/>
      <c r="BF1834" s="26" t="s">
        <v>23900</v>
      </c>
      <c r="BG1834" s="26"/>
      <c r="BH1834" s="26"/>
      <c r="BI1834" s="26"/>
      <c r="BJ1834" s="26"/>
      <c r="BK1834" s="26"/>
      <c r="BL1834" s="26"/>
      <c r="BM1834" s="26"/>
      <c r="BN1834" s="26"/>
      <c r="BO1834" s="26"/>
      <c r="BP1834" s="16" t="n">
        <v>45558</v>
      </c>
      <c r="BQ1834" s="28" t="str">
        <f>HYPERLINK("https://organic.ams.usda.gov/Integrity/Certificate.aspx?cid=45&amp;nopid=9950003082")</f>
        <v>https://organic.ams.usda.gov/Integrity/Certificate.aspx?cid=45&amp;nopid=9950003082</v>
      </c>
    </row>
    <row r="1835">
      <c r="A1835" t="s">
        <v>3</v>
      </c>
      <c r="B1835" s="6" t="s">
        <v>8</v>
      </c>
      <c r="C1835" s="6" t="s">
        <v>55</v>
      </c>
      <c r="D1835" s="6" t="s">
        <v>101</v>
      </c>
      <c r="E1835" s="10" t="s">
        <v>1976</v>
      </c>
      <c r="F1835" s="6" t="s">
        <v>4692</v>
      </c>
      <c r="G1835" s="6" t="s">
        <v>81</v>
      </c>
      <c r="H1835" s="6" t="s">
        <v>7572</v>
      </c>
      <c r="I1835" s="6" t="s">
        <v>8675</v>
      </c>
      <c r="J1835" s="6" t="s">
        <v>9726</v>
      </c>
      <c r="K1835" s="6" t="s">
        <v>10886</v>
      </c>
      <c r="L1835" s="16" t="n">
        <v>42482</v>
      </c>
      <c r="M1835" s="16" t="n">
        <v>45383</v>
      </c>
      <c r="N1835" s="6" t="s">
        <v>10886</v>
      </c>
      <c r="O1835" s="16" t="n">
        <v>42482</v>
      </c>
      <c r="P1835" s="6" t="s">
        <v>11979</v>
      </c>
      <c r="Q1835" s="6" t="s">
        <v>81</v>
      </c>
      <c r="R1835" s="6" t="s">
        <v>7572</v>
      </c>
      <c r="S1835" s="6" t="s">
        <v>10886</v>
      </c>
      <c r="T1835" s="16" t="n">
        <v>42482</v>
      </c>
      <c r="U1835" s="6" t="s">
        <v>13173</v>
      </c>
      <c r="V1835" s="6" t="s">
        <v>81</v>
      </c>
      <c r="W1835" s="6" t="s">
        <v>7572</v>
      </c>
      <c r="X1835" s="6" t="s">
        <v>81</v>
      </c>
      <c r="Y1835" s="21" t="s">
        <v>81</v>
      </c>
      <c r="Z1835" s="6" t="s">
        <v>81</v>
      </c>
      <c r="AA1835" s="6" t="s">
        <v>81</v>
      </c>
      <c r="AB1835" s="6" t="s">
        <v>81</v>
      </c>
      <c r="AC1835" s="6" t="s">
        <v>81</v>
      </c>
      <c r="AD1835" s="21" t="s">
        <v>81</v>
      </c>
      <c r="AE1835" s="6" t="s">
        <v>81</v>
      </c>
      <c r="AF1835" s="6" t="s">
        <v>81</v>
      </c>
      <c r="AG1835" s="6" t="s">
        <v>81</v>
      </c>
      <c r="AH1835" s="6" t="s">
        <v>16390</v>
      </c>
      <c r="AI1835" s="6" t="s">
        <v>81</v>
      </c>
      <c r="AJ1835" s="6" t="s">
        <v>18120</v>
      </c>
      <c r="AK1835" s="6" t="s">
        <v>18377</v>
      </c>
      <c r="AL1835" s="6" t="s">
        <v>18444</v>
      </c>
      <c r="AM1835" s="6" t="s">
        <v>19319</v>
      </c>
      <c r="AN1835" s="6" t="s">
        <v>19681</v>
      </c>
      <c r="AO1835" s="6" t="s">
        <v>19853</v>
      </c>
      <c r="AP1835" s="6" t="s">
        <v>81</v>
      </c>
      <c r="AQ1835" s="6" t="s">
        <v>81</v>
      </c>
      <c r="AR1835" s="6" t="s">
        <v>81</v>
      </c>
      <c r="AS1835" s="6" t="s">
        <v>81</v>
      </c>
      <c r="AT1835" s="6" t="s">
        <v>81</v>
      </c>
      <c r="AU1835" s="6" t="s">
        <v>81</v>
      </c>
      <c r="AV1835" s="6" t="s">
        <v>81</v>
      </c>
      <c r="AW1835" s="6" t="s">
        <v>81</v>
      </c>
      <c r="AX1835" s="6" t="s">
        <v>81</v>
      </c>
      <c r="AY1835" s="6" t="s">
        <v>81</v>
      </c>
      <c r="AZ1835" s="6" t="s">
        <v>81</v>
      </c>
      <c r="BA1835" s="6" t="s">
        <v>23819</v>
      </c>
      <c r="BB1835" s="24" t="n">
        <v>100</v>
      </c>
      <c r="BC1835" s="26"/>
      <c r="BD1835" s="26"/>
      <c r="BE1835" s="26"/>
      <c r="BF1835" s="26" t="s">
        <v>23900</v>
      </c>
      <c r="BG1835" s="26"/>
      <c r="BH1835" s="26"/>
      <c r="BI1835" s="26"/>
      <c r="BJ1835" s="26"/>
      <c r="BK1835" s="26"/>
      <c r="BL1835" s="26"/>
      <c r="BM1835" s="26"/>
      <c r="BN1835" s="26"/>
      <c r="BO1835" s="26"/>
      <c r="BP1835" s="16" t="n">
        <v>45474</v>
      </c>
      <c r="BQ1835" s="28" t="str">
        <f>HYPERLINK("https://organic.ams.usda.gov/Integrity/Certificate.aspx?cid=45&amp;nopid=9950008782")</f>
        <v>https://organic.ams.usda.gov/Integrity/Certificate.aspx?cid=45&amp;nopid=9950008782</v>
      </c>
    </row>
    <row r="1836">
      <c r="A1836" t="s">
        <v>3</v>
      </c>
      <c r="B1836" s="6" t="s">
        <v>15</v>
      </c>
      <c r="C1836" s="6" t="s">
        <v>62</v>
      </c>
      <c r="D1836" s="6" t="s">
        <v>108</v>
      </c>
      <c r="E1836" s="10" t="s">
        <v>1977</v>
      </c>
      <c r="F1836" s="6" t="s">
        <v>4693</v>
      </c>
      <c r="G1836" s="6" t="s">
        <v>5760</v>
      </c>
      <c r="H1836" s="6" t="s">
        <v>7573</v>
      </c>
      <c r="I1836" s="6" t="s">
        <v>8586</v>
      </c>
      <c r="J1836" s="6" t="s">
        <v>9233</v>
      </c>
      <c r="K1836" s="6" t="s">
        <v>10886</v>
      </c>
      <c r="L1836" s="16" t="n">
        <v>39415</v>
      </c>
      <c r="M1836" s="16" t="n">
        <v>45792</v>
      </c>
      <c r="N1836" s="6" t="s">
        <v>10886</v>
      </c>
      <c r="O1836" s="16" t="n">
        <v>39415</v>
      </c>
      <c r="P1836" s="6" t="s">
        <v>11980</v>
      </c>
      <c r="Q1836" s="6" t="s">
        <v>81</v>
      </c>
      <c r="R1836" s="6" t="s">
        <v>81</v>
      </c>
      <c r="S1836" s="6" t="s">
        <v>10886</v>
      </c>
      <c r="T1836" s="16" t="n">
        <v>39415</v>
      </c>
      <c r="U1836" s="6" t="s">
        <v>13316</v>
      </c>
      <c r="V1836" s="6" t="s">
        <v>81</v>
      </c>
      <c r="W1836" s="6" t="s">
        <v>81</v>
      </c>
      <c r="X1836" s="6" t="s">
        <v>81</v>
      </c>
      <c r="Y1836" s="21" t="s">
        <v>81</v>
      </c>
      <c r="Z1836" s="6" t="s">
        <v>81</v>
      </c>
      <c r="AA1836" s="6" t="s">
        <v>81</v>
      </c>
      <c r="AB1836" s="6" t="s">
        <v>81</v>
      </c>
      <c r="AC1836" s="6" t="s">
        <v>81</v>
      </c>
      <c r="AD1836" s="21" t="s">
        <v>81</v>
      </c>
      <c r="AE1836" s="6" t="s">
        <v>81</v>
      </c>
      <c r="AF1836" s="6" t="s">
        <v>81</v>
      </c>
      <c r="AG1836" s="6" t="s">
        <v>81</v>
      </c>
      <c r="AH1836" s="6" t="s">
        <v>16391</v>
      </c>
      <c r="AI1836" s="6" t="s">
        <v>81</v>
      </c>
      <c r="AJ1836" s="6" t="s">
        <v>18121</v>
      </c>
      <c r="AK1836" s="6" t="s">
        <v>18384</v>
      </c>
      <c r="AL1836" s="6" t="s">
        <v>18444</v>
      </c>
      <c r="AM1836" s="6" t="s">
        <v>19320</v>
      </c>
      <c r="AN1836" s="6" t="s">
        <v>8053</v>
      </c>
      <c r="AO1836" s="6" t="s">
        <v>19894</v>
      </c>
      <c r="AP1836" s="6" t="s">
        <v>16391</v>
      </c>
      <c r="AQ1836" s="6" t="s">
        <v>81</v>
      </c>
      <c r="AR1836" s="6" t="s">
        <v>18121</v>
      </c>
      <c r="AS1836" s="6" t="s">
        <v>18384</v>
      </c>
      <c r="AT1836" s="6" t="s">
        <v>18444</v>
      </c>
      <c r="AU1836" s="6" t="s">
        <v>19320</v>
      </c>
      <c r="AV1836" s="6" t="s">
        <v>81</v>
      </c>
      <c r="AW1836" s="6" t="s">
        <v>81</v>
      </c>
      <c r="AX1836" s="6" t="s">
        <v>21916</v>
      </c>
      <c r="AY1836" s="6" t="s">
        <v>81</v>
      </c>
      <c r="AZ1836" s="6" t="s">
        <v>81</v>
      </c>
      <c r="BA1836" s="6" t="s">
        <v>81</v>
      </c>
      <c r="BB1836" s="24" t="n">
        <v>302</v>
      </c>
      <c r="BC1836" s="26"/>
      <c r="BD1836" s="26"/>
      <c r="BE1836" s="26"/>
      <c r="BF1836" s="26" t="s">
        <v>23900</v>
      </c>
      <c r="BG1836" s="26"/>
      <c r="BH1836" s="26"/>
      <c r="BI1836" s="26"/>
      <c r="BJ1836" s="26"/>
      <c r="BK1836" s="26"/>
      <c r="BL1836" s="26"/>
      <c r="BM1836" s="26"/>
      <c r="BN1836" s="26"/>
      <c r="BO1836" s="26"/>
      <c r="BP1836" s="16" t="n">
        <v>45737</v>
      </c>
      <c r="BQ1836" s="28" t="str">
        <f>HYPERLINK("https://organic.ams.usda.gov/Integrity/Certificate.aspx?cid=58&amp;nopid=1600001356")</f>
        <v>https://organic.ams.usda.gov/Integrity/Certificate.aspx?cid=58&amp;nopid=1600001356</v>
      </c>
    </row>
    <row r="1837">
      <c r="A1837" t="s">
        <v>3</v>
      </c>
      <c r="B1837" s="6" t="s">
        <v>9</v>
      </c>
      <c r="C1837" s="6" t="s">
        <v>56</v>
      </c>
      <c r="D1837" s="6" t="s">
        <v>102</v>
      </c>
      <c r="E1837" s="10" t="s">
        <v>1978</v>
      </c>
      <c r="F1837" s="6" t="s">
        <v>4694</v>
      </c>
      <c r="G1837" s="6" t="s">
        <v>81</v>
      </c>
      <c r="H1837" s="6" t="s">
        <v>7574</v>
      </c>
      <c r="I1837" s="6" t="s">
        <v>9310</v>
      </c>
      <c r="J1837" s="6" t="s">
        <v>9726</v>
      </c>
      <c r="K1837" s="6" t="s">
        <v>10886</v>
      </c>
      <c r="L1837" s="16" t="n">
        <v>44651</v>
      </c>
      <c r="M1837" s="16" t="n">
        <v>45748</v>
      </c>
      <c r="N1837" s="6" t="s">
        <v>10886</v>
      </c>
      <c r="O1837" s="16" t="n">
        <v>44651</v>
      </c>
      <c r="P1837" s="6" t="s">
        <v>10941</v>
      </c>
      <c r="Q1837" s="6" t="s">
        <v>81</v>
      </c>
      <c r="R1837" s="6" t="s">
        <v>12951</v>
      </c>
      <c r="S1837" s="6" t="s">
        <v>10886</v>
      </c>
      <c r="T1837" s="16" t="n">
        <v>44651</v>
      </c>
      <c r="U1837" s="6" t="s">
        <v>13168</v>
      </c>
      <c r="V1837" s="6" t="s">
        <v>81</v>
      </c>
      <c r="W1837" s="6" t="s">
        <v>12951</v>
      </c>
      <c r="X1837" s="6" t="s">
        <v>81</v>
      </c>
      <c r="Y1837" s="21" t="s">
        <v>81</v>
      </c>
      <c r="Z1837" s="6" t="s">
        <v>81</v>
      </c>
      <c r="AA1837" s="6" t="s">
        <v>81</v>
      </c>
      <c r="AB1837" s="6" t="s">
        <v>81</v>
      </c>
      <c r="AC1837" s="6" t="s">
        <v>81</v>
      </c>
      <c r="AD1837" s="21" t="s">
        <v>81</v>
      </c>
      <c r="AE1837" s="6" t="s">
        <v>81</v>
      </c>
      <c r="AF1837" s="6" t="s">
        <v>81</v>
      </c>
      <c r="AG1837" s="6" t="s">
        <v>81</v>
      </c>
      <c r="AH1837" s="6" t="s">
        <v>16392</v>
      </c>
      <c r="AI1837" s="6" t="s">
        <v>81</v>
      </c>
      <c r="AJ1837" s="6" t="s">
        <v>17493</v>
      </c>
      <c r="AK1837" s="6" t="s">
        <v>18377</v>
      </c>
      <c r="AL1837" s="6" t="s">
        <v>18444</v>
      </c>
      <c r="AM1837" s="6" t="s">
        <v>18653</v>
      </c>
      <c r="AN1837" s="6" t="s">
        <v>7450</v>
      </c>
      <c r="AO1837" s="6" t="s">
        <v>19887</v>
      </c>
      <c r="AP1837" s="6" t="s">
        <v>81</v>
      </c>
      <c r="AQ1837" s="6" t="s">
        <v>81</v>
      </c>
      <c r="AR1837" s="6" t="s">
        <v>81</v>
      </c>
      <c r="AS1837" s="6" t="s">
        <v>81</v>
      </c>
      <c r="AT1837" s="6" t="s">
        <v>81</v>
      </c>
      <c r="AU1837" s="6" t="s">
        <v>81</v>
      </c>
      <c r="AV1837" s="6" t="s">
        <v>81</v>
      </c>
      <c r="AW1837" s="6" t="s">
        <v>81</v>
      </c>
      <c r="AX1837" s="6" t="s">
        <v>21917</v>
      </c>
      <c r="AY1837" s="6" t="s">
        <v>81</v>
      </c>
      <c r="AZ1837" s="6" t="s">
        <v>81</v>
      </c>
      <c r="BA1837" s="6" t="s">
        <v>81</v>
      </c>
      <c r="BB1837" s="24" t="n">
        <v>302</v>
      </c>
      <c r="BC1837" s="26"/>
      <c r="BD1837" s="26"/>
      <c r="BE1837" s="26"/>
      <c r="BF1837" s="26"/>
      <c r="BG1837" s="26"/>
      <c r="BH1837" s="26"/>
      <c r="BI1837" s="26"/>
      <c r="BJ1837" s="26"/>
      <c r="BK1837" s="26"/>
      <c r="BL1837" s="26"/>
      <c r="BM1837" s="26"/>
      <c r="BN1837" s="26"/>
      <c r="BO1837" s="26"/>
      <c r="BP1837" s="16" t="n">
        <v>45738</v>
      </c>
      <c r="BQ1837" s="28" t="str">
        <f>HYPERLINK("https://organic.ams.usda.gov/Integrity/Certificate.aspx?cid=52&amp;nopid=8432202014")</f>
        <v>https://organic.ams.usda.gov/Integrity/Certificate.aspx?cid=52&amp;nopid=8432202014</v>
      </c>
    </row>
    <row r="1838">
      <c r="A1838" t="s">
        <v>3</v>
      </c>
      <c r="B1838" s="6" t="s">
        <v>12</v>
      </c>
      <c r="C1838" s="6" t="s">
        <v>59</v>
      </c>
      <c r="D1838" s="6" t="s">
        <v>105</v>
      </c>
      <c r="E1838" s="10" t="s">
        <v>1979</v>
      </c>
      <c r="F1838" s="6" t="s">
        <v>4695</v>
      </c>
      <c r="G1838" s="6" t="s">
        <v>81</v>
      </c>
      <c r="H1838" s="6" t="s">
        <v>7575</v>
      </c>
      <c r="I1838" s="6" t="s">
        <v>9311</v>
      </c>
      <c r="J1838" s="6" t="s">
        <v>9665</v>
      </c>
      <c r="K1838" s="6" t="s">
        <v>10886</v>
      </c>
      <c r="L1838" s="16" t="n">
        <v>43032</v>
      </c>
      <c r="M1838" s="16" t="n">
        <v>45717</v>
      </c>
      <c r="N1838" s="6" t="s">
        <v>10886</v>
      </c>
      <c r="O1838" s="16" t="n">
        <v>43032</v>
      </c>
      <c r="P1838" s="6" t="s">
        <v>11981</v>
      </c>
      <c r="Q1838" s="6" t="s">
        <v>81</v>
      </c>
      <c r="R1838" s="6" t="s">
        <v>81</v>
      </c>
      <c r="S1838" s="6" t="s">
        <v>10886</v>
      </c>
      <c r="T1838" s="16" t="n">
        <v>43032</v>
      </c>
      <c r="U1838" s="6" t="s">
        <v>13187</v>
      </c>
      <c r="V1838" s="6" t="s">
        <v>81</v>
      </c>
      <c r="W1838" s="6" t="s">
        <v>81</v>
      </c>
      <c r="X1838" s="6" t="s">
        <v>81</v>
      </c>
      <c r="Y1838" s="21" t="s">
        <v>81</v>
      </c>
      <c r="Z1838" s="6" t="s">
        <v>81</v>
      </c>
      <c r="AA1838" s="6" t="s">
        <v>81</v>
      </c>
      <c r="AB1838" s="6" t="s">
        <v>81</v>
      </c>
      <c r="AC1838" s="6" t="s">
        <v>81</v>
      </c>
      <c r="AD1838" s="21" t="s">
        <v>81</v>
      </c>
      <c r="AE1838" s="6" t="s">
        <v>81</v>
      </c>
      <c r="AF1838" s="6" t="s">
        <v>81</v>
      </c>
      <c r="AG1838" s="6" t="s">
        <v>81</v>
      </c>
      <c r="AH1838" s="6" t="s">
        <v>16393</v>
      </c>
      <c r="AI1838" s="6" t="s">
        <v>81</v>
      </c>
      <c r="AJ1838" s="6" t="s">
        <v>17532</v>
      </c>
      <c r="AK1838" s="6" t="s">
        <v>17712</v>
      </c>
      <c r="AL1838" s="6" t="s">
        <v>18444</v>
      </c>
      <c r="AM1838" s="6" t="s">
        <v>18696</v>
      </c>
      <c r="AN1838" s="6" t="s">
        <v>7926</v>
      </c>
      <c r="AO1838" s="6" t="s">
        <v>19842</v>
      </c>
      <c r="AP1838" s="6" t="s">
        <v>16393</v>
      </c>
      <c r="AQ1838" s="6" t="s">
        <v>81</v>
      </c>
      <c r="AR1838" s="6" t="s">
        <v>17532</v>
      </c>
      <c r="AS1838" s="6" t="s">
        <v>17712</v>
      </c>
      <c r="AT1838" s="6" t="s">
        <v>18444</v>
      </c>
      <c r="AU1838" s="6" t="s">
        <v>18696</v>
      </c>
      <c r="AV1838" s="6" t="s">
        <v>81</v>
      </c>
      <c r="AW1838" s="6" t="s">
        <v>81</v>
      </c>
      <c r="AX1838" s="6" t="s">
        <v>81</v>
      </c>
      <c r="AY1838" s="6" t="s">
        <v>81</v>
      </c>
      <c r="AZ1838" s="6" t="s">
        <v>81</v>
      </c>
      <c r="BA1838" s="6" t="s">
        <v>81</v>
      </c>
      <c r="BB1838" s="24" t="n">
        <v>152</v>
      </c>
      <c r="BC1838" s="26"/>
      <c r="BD1838" s="26"/>
      <c r="BE1838" s="26"/>
      <c r="BF1838" s="26"/>
      <c r="BG1838" s="26"/>
      <c r="BH1838" s="26"/>
      <c r="BI1838" s="26"/>
      <c r="BJ1838" s="26"/>
      <c r="BK1838" s="26"/>
      <c r="BL1838" s="26"/>
      <c r="BM1838" s="26"/>
      <c r="BN1838" s="26"/>
      <c r="BO1838" s="26"/>
      <c r="BP1838" s="16" t="n">
        <v>45709</v>
      </c>
      <c r="BQ1838" s="28" t="str">
        <f>HYPERLINK("https://organic.ams.usda.gov/Integrity/Certificate.aspx?cid=68&amp;nopid=8210004696")</f>
        <v>https://organic.ams.usda.gov/Integrity/Certificate.aspx?cid=68&amp;nopid=8210004696</v>
      </c>
    </row>
    <row r="1839">
      <c r="A1839" t="s">
        <v>3</v>
      </c>
      <c r="B1839" s="6" t="s">
        <v>12</v>
      </c>
      <c r="C1839" s="6" t="s">
        <v>59</v>
      </c>
      <c r="D1839" s="6" t="s">
        <v>105</v>
      </c>
      <c r="E1839" s="10" t="s">
        <v>1980</v>
      </c>
      <c r="F1839" s="6" t="s">
        <v>4696</v>
      </c>
      <c r="G1839" s="6" t="s">
        <v>81</v>
      </c>
      <c r="H1839" s="6" t="s">
        <v>7576</v>
      </c>
      <c r="I1839" s="6" t="s">
        <v>8586</v>
      </c>
      <c r="J1839" s="6" t="s">
        <v>9759</v>
      </c>
      <c r="K1839" s="6" t="s">
        <v>10886</v>
      </c>
      <c r="L1839" s="16" t="n">
        <v>37550</v>
      </c>
      <c r="M1839" s="16" t="n">
        <v>45717</v>
      </c>
      <c r="N1839" s="6" t="s">
        <v>10886</v>
      </c>
      <c r="O1839" s="16" t="n">
        <v>37550</v>
      </c>
      <c r="P1839" s="6" t="s">
        <v>11982</v>
      </c>
      <c r="Q1839" s="6" t="s">
        <v>81</v>
      </c>
      <c r="R1839" s="6" t="s">
        <v>81</v>
      </c>
      <c r="S1839" s="6" t="s">
        <v>10886</v>
      </c>
      <c r="T1839" s="16" t="n">
        <v>37550</v>
      </c>
      <c r="U1839" s="6" t="s">
        <v>13183</v>
      </c>
      <c r="V1839" s="6" t="s">
        <v>81</v>
      </c>
      <c r="W1839" s="6" t="s">
        <v>81</v>
      </c>
      <c r="X1839" s="6" t="s">
        <v>81</v>
      </c>
      <c r="Y1839" s="21" t="s">
        <v>81</v>
      </c>
      <c r="Z1839" s="6" t="s">
        <v>81</v>
      </c>
      <c r="AA1839" s="6" t="s">
        <v>81</v>
      </c>
      <c r="AB1839" s="6" t="s">
        <v>81</v>
      </c>
      <c r="AC1839" s="6" t="s">
        <v>81</v>
      </c>
      <c r="AD1839" s="21" t="s">
        <v>81</v>
      </c>
      <c r="AE1839" s="6" t="s">
        <v>81</v>
      </c>
      <c r="AF1839" s="6" t="s">
        <v>81</v>
      </c>
      <c r="AG1839" s="6" t="s">
        <v>81</v>
      </c>
      <c r="AH1839" s="6" t="s">
        <v>16394</v>
      </c>
      <c r="AI1839" s="6" t="s">
        <v>81</v>
      </c>
      <c r="AJ1839" s="6" t="s">
        <v>17534</v>
      </c>
      <c r="AK1839" s="6" t="s">
        <v>18380</v>
      </c>
      <c r="AL1839" s="6" t="s">
        <v>18444</v>
      </c>
      <c r="AM1839" s="6" t="s">
        <v>18698</v>
      </c>
      <c r="AN1839" s="6" t="s">
        <v>6132</v>
      </c>
      <c r="AO1839" s="6" t="s">
        <v>19751</v>
      </c>
      <c r="AP1839" s="6" t="s">
        <v>16394</v>
      </c>
      <c r="AQ1839" s="6" t="s">
        <v>81</v>
      </c>
      <c r="AR1839" s="6" t="s">
        <v>17534</v>
      </c>
      <c r="AS1839" s="6" t="s">
        <v>18380</v>
      </c>
      <c r="AT1839" s="6" t="s">
        <v>18444</v>
      </c>
      <c r="AU1839" s="6" t="s">
        <v>18698</v>
      </c>
      <c r="AV1839" s="6" t="s">
        <v>81</v>
      </c>
      <c r="AW1839" s="6" t="s">
        <v>81</v>
      </c>
      <c r="AX1839" s="6" t="s">
        <v>21918</v>
      </c>
      <c r="AY1839" s="6" t="s">
        <v>81</v>
      </c>
      <c r="AZ1839" s="6" t="s">
        <v>81</v>
      </c>
      <c r="BA1839" s="6" t="s">
        <v>81</v>
      </c>
      <c r="BB1839" s="24" t="n">
        <v>238</v>
      </c>
      <c r="BC1839" s="26"/>
      <c r="BD1839" s="26"/>
      <c r="BE1839" s="26"/>
      <c r="BF1839" s="26"/>
      <c r="BG1839" s="26"/>
      <c r="BH1839" s="26"/>
      <c r="BI1839" s="26"/>
      <c r="BJ1839" s="26"/>
      <c r="BK1839" s="26"/>
      <c r="BL1839" s="26"/>
      <c r="BM1839" s="26"/>
      <c r="BN1839" s="26"/>
      <c r="BO1839" s="26"/>
      <c r="BP1839" s="16" t="n">
        <v>45684</v>
      </c>
      <c r="BQ1839" s="28" t="str">
        <f>HYPERLINK("https://organic.ams.usda.gov/Integrity/Certificate.aspx?cid=68&amp;nopid=8210003128")</f>
        <v>https://organic.ams.usda.gov/Integrity/Certificate.aspx?cid=68&amp;nopid=8210003128</v>
      </c>
    </row>
    <row r="1840">
      <c r="A1840" t="s">
        <v>3</v>
      </c>
      <c r="B1840" s="6" t="s">
        <v>10</v>
      </c>
      <c r="C1840" s="6" t="s">
        <v>57</v>
      </c>
      <c r="D1840" s="6" t="s">
        <v>103</v>
      </c>
      <c r="E1840" s="10" t="s">
        <v>1981</v>
      </c>
      <c r="F1840" s="6" t="s">
        <v>4697</v>
      </c>
      <c r="G1840" s="6" t="s">
        <v>81</v>
      </c>
      <c r="H1840" s="6" t="s">
        <v>7577</v>
      </c>
      <c r="I1840" s="6" t="s">
        <v>9312</v>
      </c>
      <c r="J1840" s="6" t="s">
        <v>9665</v>
      </c>
      <c r="K1840" s="6" t="s">
        <v>10886</v>
      </c>
      <c r="L1840" s="16" t="n">
        <v>41584</v>
      </c>
      <c r="M1840" s="16" t="n">
        <v>45748</v>
      </c>
      <c r="N1840" s="6" t="s">
        <v>10886</v>
      </c>
      <c r="O1840" s="16" t="n">
        <v>41584</v>
      </c>
      <c r="P1840" s="6" t="s">
        <v>11036</v>
      </c>
      <c r="Q1840" s="6" t="s">
        <v>81</v>
      </c>
      <c r="R1840" s="6" t="s">
        <v>12952</v>
      </c>
      <c r="S1840" s="6" t="s">
        <v>10886</v>
      </c>
      <c r="T1840" s="16" t="n">
        <v>41584</v>
      </c>
      <c r="U1840" s="6" t="s">
        <v>13163</v>
      </c>
      <c r="V1840" s="6" t="s">
        <v>81</v>
      </c>
      <c r="W1840" s="6" t="s">
        <v>81</v>
      </c>
      <c r="X1840" s="6" t="s">
        <v>81</v>
      </c>
      <c r="Y1840" s="21" t="s">
        <v>81</v>
      </c>
      <c r="Z1840" s="6" t="s">
        <v>81</v>
      </c>
      <c r="AA1840" s="6" t="s">
        <v>81</v>
      </c>
      <c r="AB1840" s="6" t="s">
        <v>81</v>
      </c>
      <c r="AC1840" s="6" t="s">
        <v>81</v>
      </c>
      <c r="AD1840" s="21" t="s">
        <v>81</v>
      </c>
      <c r="AE1840" s="6" t="s">
        <v>81</v>
      </c>
      <c r="AF1840" s="6" t="s">
        <v>81</v>
      </c>
      <c r="AG1840" s="6" t="s">
        <v>81</v>
      </c>
      <c r="AH1840" s="6" t="s">
        <v>16395</v>
      </c>
      <c r="AI1840" s="6" t="s">
        <v>81</v>
      </c>
      <c r="AJ1840" s="6" t="s">
        <v>17635</v>
      </c>
      <c r="AK1840" s="6" t="s">
        <v>18379</v>
      </c>
      <c r="AL1840" s="6" t="s">
        <v>18444</v>
      </c>
      <c r="AM1840" s="6" t="s">
        <v>18804</v>
      </c>
      <c r="AN1840" s="6" t="s">
        <v>19637</v>
      </c>
      <c r="AO1840" s="6" t="s">
        <v>19723</v>
      </c>
      <c r="AP1840" s="6" t="s">
        <v>16395</v>
      </c>
      <c r="AQ1840" s="6" t="s">
        <v>81</v>
      </c>
      <c r="AR1840" s="6" t="s">
        <v>17635</v>
      </c>
      <c r="AS1840" s="6" t="s">
        <v>18379</v>
      </c>
      <c r="AT1840" s="6" t="s">
        <v>18444</v>
      </c>
      <c r="AU1840" s="6" t="s">
        <v>18804</v>
      </c>
      <c r="AV1840" s="6" t="s">
        <v>81</v>
      </c>
      <c r="AW1840" s="6" t="s">
        <v>81</v>
      </c>
      <c r="AX1840" s="6" t="s">
        <v>21919</v>
      </c>
      <c r="AY1840" s="6" t="s">
        <v>81</v>
      </c>
      <c r="AZ1840" s="6" t="s">
        <v>81</v>
      </c>
      <c r="BA1840" s="6" t="s">
        <v>81</v>
      </c>
      <c r="BB1840" s="24" t="n">
        <v>89</v>
      </c>
      <c r="BC1840" s="26"/>
      <c r="BD1840" s="26"/>
      <c r="BE1840" s="26"/>
      <c r="BF1840" s="26"/>
      <c r="BG1840" s="26"/>
      <c r="BH1840" s="26"/>
      <c r="BI1840" s="26"/>
      <c r="BJ1840" s="26"/>
      <c r="BK1840" s="26"/>
      <c r="BL1840" s="26"/>
      <c r="BM1840" s="26"/>
      <c r="BN1840" s="26"/>
      <c r="BO1840" s="26"/>
      <c r="BP1840" s="16" t="n">
        <v>45730</v>
      </c>
      <c r="BQ1840" s="28" t="str">
        <f>HYPERLINK("https://organic.ams.usda.gov/Integrity/Certificate.aspx?cid=90&amp;nopid=7170020185")</f>
        <v>https://organic.ams.usda.gov/Integrity/Certificate.aspx?cid=90&amp;nopid=7170020185</v>
      </c>
    </row>
    <row r="1841">
      <c r="A1841" t="s">
        <v>3</v>
      </c>
      <c r="B1841" s="6" t="s">
        <v>12</v>
      </c>
      <c r="C1841" s="6" t="s">
        <v>59</v>
      </c>
      <c r="D1841" s="6" t="s">
        <v>105</v>
      </c>
      <c r="E1841" s="10" t="s">
        <v>1982</v>
      </c>
      <c r="F1841" s="6" t="s">
        <v>4698</v>
      </c>
      <c r="G1841" s="6" t="s">
        <v>81</v>
      </c>
      <c r="H1841" s="6" t="s">
        <v>7578</v>
      </c>
      <c r="I1841" s="6" t="s">
        <v>9313</v>
      </c>
      <c r="J1841" s="6" t="s">
        <v>9674</v>
      </c>
      <c r="K1841" s="6" t="s">
        <v>10886</v>
      </c>
      <c r="L1841" s="16" t="n">
        <v>44041</v>
      </c>
      <c r="M1841" s="16" t="n">
        <v>46082</v>
      </c>
      <c r="N1841" s="6" t="s">
        <v>10886</v>
      </c>
      <c r="O1841" s="16" t="n">
        <v>44041</v>
      </c>
      <c r="P1841" s="6" t="s">
        <v>11983</v>
      </c>
      <c r="Q1841" s="6" t="s">
        <v>81</v>
      </c>
      <c r="R1841" s="6" t="s">
        <v>81</v>
      </c>
      <c r="S1841" s="6" t="s">
        <v>10886</v>
      </c>
      <c r="T1841" s="16" t="n">
        <v>44041</v>
      </c>
      <c r="U1841" s="6" t="s">
        <v>13290</v>
      </c>
      <c r="V1841" s="6" t="s">
        <v>81</v>
      </c>
      <c r="W1841" s="6" t="s">
        <v>81</v>
      </c>
      <c r="X1841" s="6" t="s">
        <v>81</v>
      </c>
      <c r="Y1841" s="21" t="s">
        <v>81</v>
      </c>
      <c r="Z1841" s="6" t="s">
        <v>81</v>
      </c>
      <c r="AA1841" s="6" t="s">
        <v>81</v>
      </c>
      <c r="AB1841" s="6" t="s">
        <v>81</v>
      </c>
      <c r="AC1841" s="6" t="s">
        <v>81</v>
      </c>
      <c r="AD1841" s="21" t="s">
        <v>81</v>
      </c>
      <c r="AE1841" s="6" t="s">
        <v>81</v>
      </c>
      <c r="AF1841" s="6" t="s">
        <v>81</v>
      </c>
      <c r="AG1841" s="6" t="s">
        <v>81</v>
      </c>
      <c r="AH1841" s="6" t="s">
        <v>16396</v>
      </c>
      <c r="AI1841" s="6" t="s">
        <v>81</v>
      </c>
      <c r="AJ1841" s="6" t="s">
        <v>17929</v>
      </c>
      <c r="AK1841" s="6" t="s">
        <v>17712</v>
      </c>
      <c r="AL1841" s="6" t="s">
        <v>18444</v>
      </c>
      <c r="AM1841" s="6" t="s">
        <v>19118</v>
      </c>
      <c r="AN1841" s="6" t="s">
        <v>19672</v>
      </c>
      <c r="AO1841" s="6" t="s">
        <v>19977</v>
      </c>
      <c r="AP1841" s="6" t="s">
        <v>16396</v>
      </c>
      <c r="AQ1841" s="6" t="s">
        <v>81</v>
      </c>
      <c r="AR1841" s="6" t="s">
        <v>17929</v>
      </c>
      <c r="AS1841" s="6" t="s">
        <v>17712</v>
      </c>
      <c r="AT1841" s="6" t="s">
        <v>18444</v>
      </c>
      <c r="AU1841" s="6" t="s">
        <v>19118</v>
      </c>
      <c r="AV1841" s="6" t="s">
        <v>81</v>
      </c>
      <c r="AW1841" s="6" t="s">
        <v>81</v>
      </c>
      <c r="AX1841" s="6" t="s">
        <v>21920</v>
      </c>
      <c r="AY1841" s="6" t="s">
        <v>81</v>
      </c>
      <c r="AZ1841" s="6" t="s">
        <v>81</v>
      </c>
      <c r="BA1841" s="6" t="s">
        <v>81</v>
      </c>
      <c r="BB1841" s="24" t="n">
        <v>198</v>
      </c>
      <c r="BC1841" s="26"/>
      <c r="BD1841" s="26"/>
      <c r="BE1841" s="26"/>
      <c r="BF1841" s="26" t="s">
        <v>23900</v>
      </c>
      <c r="BG1841" s="26"/>
      <c r="BH1841" s="26"/>
      <c r="BI1841" s="26"/>
      <c r="BJ1841" s="26"/>
      <c r="BK1841" s="26"/>
      <c r="BL1841" s="26"/>
      <c r="BM1841" s="26"/>
      <c r="BN1841" s="26"/>
      <c r="BO1841" s="26"/>
      <c r="BP1841" s="16" t="n">
        <v>45730</v>
      </c>
      <c r="BQ1841" s="28" t="str">
        <f>HYPERLINK("https://organic.ams.usda.gov/Integrity/Certificate.aspx?cid=68&amp;nopid=8210007298")</f>
        <v>https://organic.ams.usda.gov/Integrity/Certificate.aspx?cid=68&amp;nopid=8210007298</v>
      </c>
    </row>
    <row r="1842">
      <c r="A1842" t="s">
        <v>3</v>
      </c>
      <c r="B1842" s="6" t="s">
        <v>8</v>
      </c>
      <c r="C1842" s="6" t="s">
        <v>55</v>
      </c>
      <c r="D1842" s="6" t="s">
        <v>101</v>
      </c>
      <c r="E1842" s="10" t="s">
        <v>1983</v>
      </c>
      <c r="F1842" s="6" t="s">
        <v>4699</v>
      </c>
      <c r="G1842" s="6" t="s">
        <v>81</v>
      </c>
      <c r="H1842" s="6" t="s">
        <v>7579</v>
      </c>
      <c r="I1842" s="6" t="s">
        <v>8586</v>
      </c>
      <c r="J1842" s="6" t="s">
        <v>9675</v>
      </c>
      <c r="K1842" s="6" t="s">
        <v>10886</v>
      </c>
      <c r="L1842" s="16" t="n">
        <v>43424</v>
      </c>
      <c r="M1842" s="16" t="n">
        <v>45689</v>
      </c>
      <c r="N1842" s="6" t="s">
        <v>10886</v>
      </c>
      <c r="O1842" s="16" t="n">
        <v>43424</v>
      </c>
      <c r="P1842" s="6" t="s">
        <v>11984</v>
      </c>
      <c r="Q1842" s="6" t="s">
        <v>81</v>
      </c>
      <c r="R1842" s="6" t="s">
        <v>7579</v>
      </c>
      <c r="S1842" s="6" t="s">
        <v>10886</v>
      </c>
      <c r="T1842" s="16" t="n">
        <v>43424</v>
      </c>
      <c r="U1842" s="6" t="s">
        <v>13730</v>
      </c>
      <c r="V1842" s="6" t="s">
        <v>81</v>
      </c>
      <c r="W1842" s="6" t="s">
        <v>7579</v>
      </c>
      <c r="X1842" s="6" t="s">
        <v>81</v>
      </c>
      <c r="Y1842" s="21" t="s">
        <v>81</v>
      </c>
      <c r="Z1842" s="6" t="s">
        <v>81</v>
      </c>
      <c r="AA1842" s="6" t="s">
        <v>81</v>
      </c>
      <c r="AB1842" s="6" t="s">
        <v>81</v>
      </c>
      <c r="AC1842" s="6" t="s">
        <v>81</v>
      </c>
      <c r="AD1842" s="21" t="s">
        <v>81</v>
      </c>
      <c r="AE1842" s="6" t="s">
        <v>81</v>
      </c>
      <c r="AF1842" s="6" t="s">
        <v>81</v>
      </c>
      <c r="AG1842" s="6" t="s">
        <v>81</v>
      </c>
      <c r="AH1842" s="6" t="s">
        <v>16397</v>
      </c>
      <c r="AI1842" s="6" t="s">
        <v>81</v>
      </c>
      <c r="AJ1842" s="6" t="s">
        <v>17695</v>
      </c>
      <c r="AK1842" s="6" t="s">
        <v>17712</v>
      </c>
      <c r="AL1842" s="6" t="s">
        <v>18444</v>
      </c>
      <c r="AM1842" s="6" t="s">
        <v>18861</v>
      </c>
      <c r="AN1842" s="6" t="s">
        <v>19652</v>
      </c>
      <c r="AO1842" s="6" t="s">
        <v>19742</v>
      </c>
      <c r="AP1842" s="6" t="s">
        <v>81</v>
      </c>
      <c r="AQ1842" s="6" t="s">
        <v>81</v>
      </c>
      <c r="AR1842" s="6" t="s">
        <v>81</v>
      </c>
      <c r="AS1842" s="6" t="s">
        <v>81</v>
      </c>
      <c r="AT1842" s="6" t="s">
        <v>81</v>
      </c>
      <c r="AU1842" s="6" t="s">
        <v>81</v>
      </c>
      <c r="AV1842" s="6" t="s">
        <v>81</v>
      </c>
      <c r="AW1842" s="6" t="s">
        <v>81</v>
      </c>
      <c r="AX1842" s="6" t="s">
        <v>81</v>
      </c>
      <c r="AY1842" s="6" t="s">
        <v>81</v>
      </c>
      <c r="AZ1842" s="6" t="s">
        <v>81</v>
      </c>
      <c r="BA1842" s="6" t="s">
        <v>23824</v>
      </c>
      <c r="BB1842" s="24" t="n">
        <v>130</v>
      </c>
      <c r="BC1842" s="26"/>
      <c r="BD1842" s="26"/>
      <c r="BE1842" s="26"/>
      <c r="BF1842" s="26" t="s">
        <v>23900</v>
      </c>
      <c r="BG1842" s="26"/>
      <c r="BH1842" s="26"/>
      <c r="BI1842" s="26"/>
      <c r="BJ1842" s="26"/>
      <c r="BK1842" s="26"/>
      <c r="BL1842" s="26"/>
      <c r="BM1842" s="26"/>
      <c r="BN1842" s="26"/>
      <c r="BO1842" s="26"/>
      <c r="BP1842" s="16" t="n">
        <v>45698</v>
      </c>
      <c r="BQ1842" s="28" t="str">
        <f>HYPERLINK("https://organic.ams.usda.gov/Integrity/Certificate.aspx?cid=45&amp;nopid=9950011242")</f>
        <v>https://organic.ams.usda.gov/Integrity/Certificate.aspx?cid=45&amp;nopid=9950011242</v>
      </c>
    </row>
    <row r="1843">
      <c r="A1843" t="s">
        <v>3</v>
      </c>
      <c r="B1843" s="6" t="s">
        <v>8</v>
      </c>
      <c r="C1843" s="6" t="s">
        <v>55</v>
      </c>
      <c r="D1843" s="6" t="s">
        <v>101</v>
      </c>
      <c r="E1843" s="10" t="s">
        <v>1984</v>
      </c>
      <c r="F1843" s="6" t="s">
        <v>4700</v>
      </c>
      <c r="G1843" s="6" t="s">
        <v>81</v>
      </c>
      <c r="H1843" s="6" t="s">
        <v>7580</v>
      </c>
      <c r="I1843" s="6" t="s">
        <v>8586</v>
      </c>
      <c r="J1843" s="6" t="s">
        <v>10467</v>
      </c>
      <c r="K1843" s="6" t="s">
        <v>10886</v>
      </c>
      <c r="L1843" s="16" t="n">
        <v>42667</v>
      </c>
      <c r="M1843" s="18" t="s">
        <v>81</v>
      </c>
      <c r="N1843" s="6" t="s">
        <v>10886</v>
      </c>
      <c r="O1843" s="16" t="n">
        <v>42667</v>
      </c>
      <c r="P1843" s="6" t="s">
        <v>11985</v>
      </c>
      <c r="Q1843" s="6" t="s">
        <v>81</v>
      </c>
      <c r="R1843" s="6" t="s">
        <v>81</v>
      </c>
      <c r="S1843" s="6" t="s">
        <v>10886</v>
      </c>
      <c r="T1843" s="16" t="n">
        <v>42667</v>
      </c>
      <c r="U1843" s="6" t="s">
        <v>13229</v>
      </c>
      <c r="V1843" s="6" t="s">
        <v>81</v>
      </c>
      <c r="W1843" s="6" t="s">
        <v>81</v>
      </c>
      <c r="X1843" s="6" t="s">
        <v>81</v>
      </c>
      <c r="Y1843" s="21" t="s">
        <v>81</v>
      </c>
      <c r="Z1843" s="6" t="s">
        <v>81</v>
      </c>
      <c r="AA1843" s="6" t="s">
        <v>81</v>
      </c>
      <c r="AB1843" s="6" t="s">
        <v>81</v>
      </c>
      <c r="AC1843" s="6" t="s">
        <v>81</v>
      </c>
      <c r="AD1843" s="21" t="s">
        <v>81</v>
      </c>
      <c r="AE1843" s="6" t="s">
        <v>81</v>
      </c>
      <c r="AF1843" s="6" t="s">
        <v>81</v>
      </c>
      <c r="AG1843" s="6" t="s">
        <v>81</v>
      </c>
      <c r="AH1843" s="6" t="s">
        <v>16398</v>
      </c>
      <c r="AI1843" s="6" t="s">
        <v>81</v>
      </c>
      <c r="AJ1843" s="6" t="s">
        <v>17475</v>
      </c>
      <c r="AK1843" s="6" t="s">
        <v>18377</v>
      </c>
      <c r="AL1843" s="6" t="s">
        <v>18444</v>
      </c>
      <c r="AM1843" s="6" t="s">
        <v>18637</v>
      </c>
      <c r="AN1843" s="6" t="s">
        <v>6139</v>
      </c>
      <c r="AO1843" s="6" t="s">
        <v>19814</v>
      </c>
      <c r="AP1843" s="6" t="s">
        <v>81</v>
      </c>
      <c r="AQ1843" s="6" t="s">
        <v>81</v>
      </c>
      <c r="AR1843" s="6" t="s">
        <v>81</v>
      </c>
      <c r="AS1843" s="6" t="s">
        <v>81</v>
      </c>
      <c r="AT1843" s="6" t="s">
        <v>81</v>
      </c>
      <c r="AU1843" s="6" t="s">
        <v>81</v>
      </c>
      <c r="AV1843" s="6" t="s">
        <v>81</v>
      </c>
      <c r="AW1843" s="6" t="s">
        <v>81</v>
      </c>
      <c r="AX1843" s="6" t="s">
        <v>81</v>
      </c>
      <c r="AY1843" s="6" t="s">
        <v>81</v>
      </c>
      <c r="AZ1843" s="6" t="s">
        <v>81</v>
      </c>
      <c r="BA1843" s="6" t="s">
        <v>81</v>
      </c>
      <c r="BB1843" s="24" t="n">
        <v>470</v>
      </c>
      <c r="BC1843" s="26"/>
      <c r="BD1843" s="26"/>
      <c r="BE1843" s="26"/>
      <c r="BF1843" s="26"/>
      <c r="BG1843" s="26"/>
      <c r="BH1843" s="26"/>
      <c r="BI1843" s="26"/>
      <c r="BJ1843" s="26"/>
      <c r="BK1843" s="26"/>
      <c r="BL1843" s="26"/>
      <c r="BM1843" s="26"/>
      <c r="BN1843" s="26"/>
      <c r="BO1843" s="26"/>
      <c r="BP1843" s="16" t="n">
        <v>45292</v>
      </c>
      <c r="BQ1843" s="28" t="str">
        <f>HYPERLINK("https://organic.ams.usda.gov/Integrity/Certificate.aspx?cid=45&amp;nopid=9950009184")</f>
        <v>https://organic.ams.usda.gov/Integrity/Certificate.aspx?cid=45&amp;nopid=9950009184</v>
      </c>
    </row>
    <row r="1844">
      <c r="A1844" t="s">
        <v>3</v>
      </c>
      <c r="B1844" s="6" t="s">
        <v>12</v>
      </c>
      <c r="C1844" s="6" t="s">
        <v>59</v>
      </c>
      <c r="D1844" s="6" t="s">
        <v>105</v>
      </c>
      <c r="E1844" s="10" t="s">
        <v>1985</v>
      </c>
      <c r="F1844" s="6" t="s">
        <v>4701</v>
      </c>
      <c r="G1844" s="6" t="s">
        <v>81</v>
      </c>
      <c r="H1844" s="6" t="s">
        <v>7581</v>
      </c>
      <c r="I1844" s="6" t="s">
        <v>8586</v>
      </c>
      <c r="J1844" s="6" t="s">
        <v>9763</v>
      </c>
      <c r="K1844" s="6" t="s">
        <v>10886</v>
      </c>
      <c r="L1844" s="16" t="n">
        <v>40669</v>
      </c>
      <c r="M1844" s="16" t="n">
        <v>46082</v>
      </c>
      <c r="N1844" s="6" t="s">
        <v>10886</v>
      </c>
      <c r="O1844" s="16" t="n">
        <v>40669</v>
      </c>
      <c r="P1844" s="6" t="s">
        <v>11986</v>
      </c>
      <c r="Q1844" s="6" t="s">
        <v>81</v>
      </c>
      <c r="R1844" s="6" t="s">
        <v>81</v>
      </c>
      <c r="S1844" s="6" t="s">
        <v>10886</v>
      </c>
      <c r="T1844" s="16" t="n">
        <v>40669</v>
      </c>
      <c r="U1844" s="6" t="s">
        <v>13187</v>
      </c>
      <c r="V1844" s="6" t="s">
        <v>81</v>
      </c>
      <c r="W1844" s="6" t="s">
        <v>81</v>
      </c>
      <c r="X1844" s="6" t="s">
        <v>81</v>
      </c>
      <c r="Y1844" s="21" t="s">
        <v>81</v>
      </c>
      <c r="Z1844" s="6" t="s">
        <v>81</v>
      </c>
      <c r="AA1844" s="6" t="s">
        <v>81</v>
      </c>
      <c r="AB1844" s="6" t="s">
        <v>81</v>
      </c>
      <c r="AC1844" s="6" t="s">
        <v>81</v>
      </c>
      <c r="AD1844" s="21" t="s">
        <v>81</v>
      </c>
      <c r="AE1844" s="6" t="s">
        <v>81</v>
      </c>
      <c r="AF1844" s="6" t="s">
        <v>81</v>
      </c>
      <c r="AG1844" s="6" t="s">
        <v>81</v>
      </c>
      <c r="AH1844" s="6" t="s">
        <v>16399</v>
      </c>
      <c r="AI1844" s="6" t="s">
        <v>81</v>
      </c>
      <c r="AJ1844" s="6" t="s">
        <v>17311</v>
      </c>
      <c r="AK1844" s="6" t="s">
        <v>17712</v>
      </c>
      <c r="AL1844" s="6" t="s">
        <v>18444</v>
      </c>
      <c r="AM1844" s="6" t="s">
        <v>18463</v>
      </c>
      <c r="AN1844" s="6" t="s">
        <v>19634</v>
      </c>
      <c r="AO1844" s="6" t="s">
        <v>19719</v>
      </c>
      <c r="AP1844" s="6" t="s">
        <v>16399</v>
      </c>
      <c r="AQ1844" s="6" t="s">
        <v>81</v>
      </c>
      <c r="AR1844" s="6" t="s">
        <v>17311</v>
      </c>
      <c r="AS1844" s="6" t="s">
        <v>17712</v>
      </c>
      <c r="AT1844" s="6" t="s">
        <v>18444</v>
      </c>
      <c r="AU1844" s="6" t="s">
        <v>18463</v>
      </c>
      <c r="AV1844" s="6" t="s">
        <v>81</v>
      </c>
      <c r="AW1844" s="6" t="s">
        <v>81</v>
      </c>
      <c r="AX1844" s="6" t="s">
        <v>21921</v>
      </c>
      <c r="AY1844" s="6" t="s">
        <v>81</v>
      </c>
      <c r="AZ1844" s="6" t="s">
        <v>81</v>
      </c>
      <c r="BA1844" s="6" t="s">
        <v>81</v>
      </c>
      <c r="BB1844" s="24" t="n">
        <v>123</v>
      </c>
      <c r="BC1844" s="26"/>
      <c r="BD1844" s="26"/>
      <c r="BE1844" s="26"/>
      <c r="BF1844" s="26" t="s">
        <v>23900</v>
      </c>
      <c r="BG1844" s="26"/>
      <c r="BH1844" s="26"/>
      <c r="BI1844" s="26"/>
      <c r="BJ1844" s="26"/>
      <c r="BK1844" s="26"/>
      <c r="BL1844" s="26"/>
      <c r="BM1844" s="26"/>
      <c r="BN1844" s="26"/>
      <c r="BO1844" s="26"/>
      <c r="BP1844" s="16" t="n">
        <v>45737</v>
      </c>
      <c r="BQ1844" s="28" t="str">
        <f>HYPERLINK("https://organic.ams.usda.gov/Integrity/Certificate.aspx?cid=68&amp;nopid=8210003127")</f>
        <v>https://organic.ams.usda.gov/Integrity/Certificate.aspx?cid=68&amp;nopid=8210003127</v>
      </c>
    </row>
    <row r="1845">
      <c r="A1845" t="s">
        <v>3</v>
      </c>
      <c r="B1845" s="6" t="s">
        <v>7</v>
      </c>
      <c r="C1845" s="6" t="s">
        <v>54</v>
      </c>
      <c r="D1845" s="6" t="s">
        <v>100</v>
      </c>
      <c r="E1845" s="10" t="s">
        <v>1986</v>
      </c>
      <c r="F1845" s="6" t="s">
        <v>4702</v>
      </c>
      <c r="G1845" s="6" t="s">
        <v>81</v>
      </c>
      <c r="H1845" s="6" t="s">
        <v>7582</v>
      </c>
      <c r="I1845" s="6" t="s">
        <v>8586</v>
      </c>
      <c r="J1845" s="6" t="s">
        <v>9699</v>
      </c>
      <c r="K1845" s="6" t="s">
        <v>10886</v>
      </c>
      <c r="L1845" s="16" t="n">
        <v>40862</v>
      </c>
      <c r="M1845" s="16" t="n">
        <v>45716</v>
      </c>
      <c r="N1845" s="6" t="s">
        <v>10886</v>
      </c>
      <c r="O1845" s="16" t="n">
        <v>45138</v>
      </c>
      <c r="P1845" s="6" t="s">
        <v>10910</v>
      </c>
      <c r="Q1845" s="6" t="s">
        <v>81</v>
      </c>
      <c r="R1845" s="6" t="s">
        <v>81</v>
      </c>
      <c r="S1845" s="6" t="s">
        <v>10886</v>
      </c>
      <c r="T1845" s="16" t="n">
        <v>45138</v>
      </c>
      <c r="U1845" s="6" t="s">
        <v>13169</v>
      </c>
      <c r="V1845" s="6" t="s">
        <v>81</v>
      </c>
      <c r="W1845" s="6" t="s">
        <v>81</v>
      </c>
      <c r="X1845" s="6" t="s">
        <v>81</v>
      </c>
      <c r="Y1845" s="21" t="s">
        <v>81</v>
      </c>
      <c r="Z1845" s="6" t="s">
        <v>81</v>
      </c>
      <c r="AA1845" s="6" t="s">
        <v>81</v>
      </c>
      <c r="AB1845" s="6" t="s">
        <v>81</v>
      </c>
      <c r="AC1845" s="6" t="s">
        <v>81</v>
      </c>
      <c r="AD1845" s="21" t="s">
        <v>81</v>
      </c>
      <c r="AE1845" s="6" t="s">
        <v>81</v>
      </c>
      <c r="AF1845" s="6" t="s">
        <v>81</v>
      </c>
      <c r="AG1845" s="6" t="s">
        <v>81</v>
      </c>
      <c r="AH1845" s="6" t="s">
        <v>16400</v>
      </c>
      <c r="AI1845" s="6" t="s">
        <v>81</v>
      </c>
      <c r="AJ1845" s="6" t="s">
        <v>17873</v>
      </c>
      <c r="AK1845" s="6" t="s">
        <v>17712</v>
      </c>
      <c r="AL1845" s="6" t="s">
        <v>18444</v>
      </c>
      <c r="AM1845" s="6" t="s">
        <v>19056</v>
      </c>
      <c r="AN1845" s="6" t="s">
        <v>81</v>
      </c>
      <c r="AO1845" s="6" t="s">
        <v>81</v>
      </c>
      <c r="AP1845" s="6" t="s">
        <v>16400</v>
      </c>
      <c r="AQ1845" s="6" t="s">
        <v>81</v>
      </c>
      <c r="AR1845" s="6" t="s">
        <v>17873</v>
      </c>
      <c r="AS1845" s="6" t="s">
        <v>17712</v>
      </c>
      <c r="AT1845" s="6" t="s">
        <v>18444</v>
      </c>
      <c r="AU1845" s="6" t="s">
        <v>19056</v>
      </c>
      <c r="AV1845" s="6" t="s">
        <v>81</v>
      </c>
      <c r="AW1845" s="6" t="s">
        <v>81</v>
      </c>
      <c r="AX1845" s="6" t="s">
        <v>21922</v>
      </c>
      <c r="AY1845" s="6" t="s">
        <v>81</v>
      </c>
      <c r="AZ1845" s="6" t="s">
        <v>81</v>
      </c>
      <c r="BA1845" s="6" t="s">
        <v>81</v>
      </c>
      <c r="BB1845" s="24" t="n">
        <v>169</v>
      </c>
      <c r="BC1845" s="26"/>
      <c r="BD1845" s="26"/>
      <c r="BE1845" s="26"/>
      <c r="BF1845" s="26" t="s">
        <v>23900</v>
      </c>
      <c r="BG1845" s="26"/>
      <c r="BH1845" s="26"/>
      <c r="BI1845" s="26"/>
      <c r="BJ1845" s="26"/>
      <c r="BK1845" s="26"/>
      <c r="BL1845" s="26"/>
      <c r="BM1845" s="26"/>
      <c r="BN1845" s="26"/>
      <c r="BO1845" s="26"/>
      <c r="BP1845" s="16" t="n">
        <v>45595</v>
      </c>
      <c r="BQ1845" s="28" t="str">
        <f>HYPERLINK("https://organic.ams.usda.gov/Integrity/Certificate.aspx?cid=57&amp;nopid=3252023050")</f>
        <v>https://organic.ams.usda.gov/Integrity/Certificate.aspx?cid=57&amp;nopid=3252023050</v>
      </c>
    </row>
    <row r="1846">
      <c r="A1846" t="s">
        <v>3</v>
      </c>
      <c r="B1846" s="6" t="s">
        <v>19</v>
      </c>
      <c r="C1846" s="6" t="s">
        <v>66</v>
      </c>
      <c r="D1846" s="6" t="s">
        <v>112</v>
      </c>
      <c r="E1846" s="10" t="s">
        <v>1987</v>
      </c>
      <c r="F1846" s="6" t="s">
        <v>4703</v>
      </c>
      <c r="G1846" s="6" t="s">
        <v>81</v>
      </c>
      <c r="H1846" s="6" t="s">
        <v>7583</v>
      </c>
      <c r="I1846" s="6" t="s">
        <v>81</v>
      </c>
      <c r="J1846" s="6" t="s">
        <v>10468</v>
      </c>
      <c r="K1846" s="6" t="s">
        <v>10886</v>
      </c>
      <c r="L1846" s="16" t="n">
        <v>44207</v>
      </c>
      <c r="M1846" s="16" t="n">
        <v>46054</v>
      </c>
      <c r="N1846" s="6" t="s">
        <v>10886</v>
      </c>
      <c r="O1846" s="16" t="n">
        <v>44207</v>
      </c>
      <c r="P1846" s="6" t="s">
        <v>11987</v>
      </c>
      <c r="Q1846" s="6" t="s">
        <v>81</v>
      </c>
      <c r="R1846" s="6" t="s">
        <v>81</v>
      </c>
      <c r="S1846" s="6" t="s">
        <v>10886</v>
      </c>
      <c r="T1846" s="16" t="n">
        <v>44207</v>
      </c>
      <c r="U1846" s="6" t="s">
        <v>13439</v>
      </c>
      <c r="V1846" s="6" t="s">
        <v>81</v>
      </c>
      <c r="W1846" s="6" t="s">
        <v>81</v>
      </c>
      <c r="X1846" s="6" t="s">
        <v>81</v>
      </c>
      <c r="Y1846" s="21" t="s">
        <v>81</v>
      </c>
      <c r="Z1846" s="6" t="s">
        <v>81</v>
      </c>
      <c r="AA1846" s="6" t="s">
        <v>81</v>
      </c>
      <c r="AB1846" s="6" t="s">
        <v>81</v>
      </c>
      <c r="AC1846" s="6" t="s">
        <v>81</v>
      </c>
      <c r="AD1846" s="21" t="s">
        <v>81</v>
      </c>
      <c r="AE1846" s="6" t="s">
        <v>81</v>
      </c>
      <c r="AF1846" s="6" t="s">
        <v>81</v>
      </c>
      <c r="AG1846" s="6" t="s">
        <v>81</v>
      </c>
      <c r="AH1846" s="6" t="s">
        <v>16401</v>
      </c>
      <c r="AI1846" s="6" t="s">
        <v>81</v>
      </c>
      <c r="AJ1846" s="6" t="s">
        <v>18122</v>
      </c>
      <c r="AK1846" s="6" t="s">
        <v>18403</v>
      </c>
      <c r="AL1846" s="6" t="s">
        <v>18444</v>
      </c>
      <c r="AM1846" s="6" t="s">
        <v>19321</v>
      </c>
      <c r="AN1846" s="6" t="s">
        <v>19701</v>
      </c>
      <c r="AO1846" s="6" t="s">
        <v>19918</v>
      </c>
      <c r="AP1846" s="6" t="s">
        <v>81</v>
      </c>
      <c r="AQ1846" s="6" t="s">
        <v>81</v>
      </c>
      <c r="AR1846" s="6" t="s">
        <v>81</v>
      </c>
      <c r="AS1846" s="6" t="s">
        <v>81</v>
      </c>
      <c r="AT1846" s="6" t="s">
        <v>81</v>
      </c>
      <c r="AU1846" s="6" t="s">
        <v>81</v>
      </c>
      <c r="AV1846" s="6" t="s">
        <v>81</v>
      </c>
      <c r="AW1846" s="6" t="s">
        <v>81</v>
      </c>
      <c r="AX1846" s="6" t="s">
        <v>21923</v>
      </c>
      <c r="AY1846" s="6" t="s">
        <v>81</v>
      </c>
      <c r="AZ1846" s="6" t="s">
        <v>81</v>
      </c>
      <c r="BA1846" s="6" t="s">
        <v>81</v>
      </c>
      <c r="BB1846" s="24" t="n">
        <v>157</v>
      </c>
      <c r="BC1846" s="26"/>
      <c r="BD1846" s="26"/>
      <c r="BE1846" s="26"/>
      <c r="BF1846" s="26"/>
      <c r="BG1846" s="26"/>
      <c r="BH1846" s="26"/>
      <c r="BI1846" s="26"/>
      <c r="BJ1846" s="26"/>
      <c r="BK1846" s="26"/>
      <c r="BL1846" s="26"/>
      <c r="BM1846" s="26"/>
      <c r="BN1846" s="26"/>
      <c r="BO1846" s="26"/>
      <c r="BP1846" s="16" t="n">
        <v>45704</v>
      </c>
      <c r="BQ1846" s="28" t="str">
        <f>HYPERLINK("https://organic.ams.usda.gov/Integrity/Certificate.aspx?cid=24&amp;nopid=7881334230")</f>
        <v>https://organic.ams.usda.gov/Integrity/Certificate.aspx?cid=24&amp;nopid=7881334230</v>
      </c>
    </row>
    <row r="1847">
      <c r="A1847" t="s">
        <v>3</v>
      </c>
      <c r="B1847" s="6" t="s">
        <v>36</v>
      </c>
      <c r="C1847" s="6" t="s">
        <v>83</v>
      </c>
      <c r="D1847" s="6" t="s">
        <v>128</v>
      </c>
      <c r="E1847" s="10" t="s">
        <v>1988</v>
      </c>
      <c r="F1847" s="6" t="s">
        <v>4704</v>
      </c>
      <c r="G1847" s="6" t="s">
        <v>81</v>
      </c>
      <c r="H1847" s="6" t="s">
        <v>7584</v>
      </c>
      <c r="I1847" s="6" t="s">
        <v>9128</v>
      </c>
      <c r="J1847" s="6" t="s">
        <v>10469</v>
      </c>
      <c r="K1847" s="6" t="s">
        <v>10886</v>
      </c>
      <c r="L1847" s="16" t="n">
        <v>44334</v>
      </c>
      <c r="M1847" s="16" t="n">
        <v>45808</v>
      </c>
      <c r="N1847" s="6" t="s">
        <v>81</v>
      </c>
      <c r="O1847" s="21" t="s">
        <v>81</v>
      </c>
      <c r="P1847" s="6" t="s">
        <v>81</v>
      </c>
      <c r="Q1847" s="6" t="s">
        <v>81</v>
      </c>
      <c r="R1847" s="6" t="s">
        <v>81</v>
      </c>
      <c r="S1847" s="6" t="s">
        <v>81</v>
      </c>
      <c r="T1847" s="21" t="s">
        <v>81</v>
      </c>
      <c r="U1847" s="6" t="s">
        <v>81</v>
      </c>
      <c r="V1847" s="6" t="s">
        <v>81</v>
      </c>
      <c r="W1847" s="6" t="s">
        <v>81</v>
      </c>
      <c r="X1847" s="6" t="s">
        <v>81</v>
      </c>
      <c r="Y1847" s="21" t="s">
        <v>81</v>
      </c>
      <c r="Z1847" s="6" t="s">
        <v>81</v>
      </c>
      <c r="AA1847" s="6" t="s">
        <v>81</v>
      </c>
      <c r="AB1847" s="6" t="s">
        <v>81</v>
      </c>
      <c r="AC1847" s="6" t="s">
        <v>10886</v>
      </c>
      <c r="AD1847" s="16" t="n">
        <v>44334</v>
      </c>
      <c r="AE1847" s="6" t="s">
        <v>14316</v>
      </c>
      <c r="AF1847" s="6" t="s">
        <v>81</v>
      </c>
      <c r="AG1847" s="6" t="s">
        <v>7584</v>
      </c>
      <c r="AH1847" s="6" t="s">
        <v>16402</v>
      </c>
      <c r="AI1847" s="6" t="s">
        <v>81</v>
      </c>
      <c r="AJ1847" s="6" t="s">
        <v>18123</v>
      </c>
      <c r="AK1847" s="6" t="s">
        <v>18395</v>
      </c>
      <c r="AL1847" s="6" t="s">
        <v>18444</v>
      </c>
      <c r="AM1847" s="6" t="s">
        <v>19322</v>
      </c>
      <c r="AN1847" s="6" t="s">
        <v>19678</v>
      </c>
      <c r="AO1847" s="6" t="s">
        <v>20021</v>
      </c>
      <c r="AP1847" s="6" t="s">
        <v>16402</v>
      </c>
      <c r="AQ1847" s="6" t="s">
        <v>81</v>
      </c>
      <c r="AR1847" s="6" t="s">
        <v>18123</v>
      </c>
      <c r="AS1847" s="6" t="s">
        <v>18395</v>
      </c>
      <c r="AT1847" s="6" t="s">
        <v>18444</v>
      </c>
      <c r="AU1847" s="6" t="s">
        <v>19322</v>
      </c>
      <c r="AV1847" s="6" t="s">
        <v>81</v>
      </c>
      <c r="AW1847" s="6" t="s">
        <v>81</v>
      </c>
      <c r="AX1847" s="6" t="s">
        <v>21924</v>
      </c>
      <c r="AY1847" s="6" t="s">
        <v>23203</v>
      </c>
      <c r="AZ1847" s="6" t="s">
        <v>81</v>
      </c>
      <c r="BA1847" s="6" t="s">
        <v>81</v>
      </c>
      <c r="BB1847" s="6" t="s">
        <v>81</v>
      </c>
      <c r="BC1847" s="26"/>
      <c r="BD1847" s="26"/>
      <c r="BE1847" s="26"/>
      <c r="BF1847" s="26"/>
      <c r="BG1847" s="26"/>
      <c r="BH1847" s="26"/>
      <c r="BI1847" s="26"/>
      <c r="BJ1847" s="26"/>
      <c r="BK1847" s="26"/>
      <c r="BL1847" s="26"/>
      <c r="BM1847" s="26"/>
      <c r="BN1847" s="26"/>
      <c r="BO1847" s="26"/>
      <c r="BP1847" s="16" t="n">
        <v>45469</v>
      </c>
      <c r="BQ1847" s="28" t="str">
        <f>HYPERLINK("https://organic.ams.usda.gov/Integrity/Certificate.aspx?cid=77&amp;nopid=3510851539")</f>
        <v>https://organic.ams.usda.gov/Integrity/Certificate.aspx?cid=77&amp;nopid=3510851539</v>
      </c>
    </row>
    <row r="1848">
      <c r="A1848" t="s">
        <v>3</v>
      </c>
      <c r="B1848" s="6" t="s">
        <v>12</v>
      </c>
      <c r="C1848" s="6" t="s">
        <v>59</v>
      </c>
      <c r="D1848" s="6" t="s">
        <v>105</v>
      </c>
      <c r="E1848" s="10" t="s">
        <v>1989</v>
      </c>
      <c r="F1848" s="6" t="s">
        <v>4705</v>
      </c>
      <c r="G1848" s="6" t="s">
        <v>81</v>
      </c>
      <c r="H1848" s="6" t="s">
        <v>7585</v>
      </c>
      <c r="I1848" s="6" t="s">
        <v>8425</v>
      </c>
      <c r="J1848" s="6" t="s">
        <v>10470</v>
      </c>
      <c r="K1848" s="6" t="s">
        <v>10886</v>
      </c>
      <c r="L1848" s="16" t="n">
        <v>37550</v>
      </c>
      <c r="M1848" s="16" t="n">
        <v>45717</v>
      </c>
      <c r="N1848" s="6" t="s">
        <v>81</v>
      </c>
      <c r="O1848" s="21" t="s">
        <v>81</v>
      </c>
      <c r="P1848" s="6" t="s">
        <v>81</v>
      </c>
      <c r="Q1848" s="6" t="s">
        <v>81</v>
      </c>
      <c r="R1848" s="6" t="s">
        <v>81</v>
      </c>
      <c r="S1848" s="6" t="s">
        <v>81</v>
      </c>
      <c r="T1848" s="21" t="s">
        <v>81</v>
      </c>
      <c r="U1848" s="6" t="s">
        <v>81</v>
      </c>
      <c r="V1848" s="6" t="s">
        <v>81</v>
      </c>
      <c r="W1848" s="6" t="s">
        <v>81</v>
      </c>
      <c r="X1848" s="6" t="s">
        <v>81</v>
      </c>
      <c r="Y1848" s="21" t="s">
        <v>81</v>
      </c>
      <c r="Z1848" s="6" t="s">
        <v>81</v>
      </c>
      <c r="AA1848" s="6" t="s">
        <v>81</v>
      </c>
      <c r="AB1848" s="6" t="s">
        <v>81</v>
      </c>
      <c r="AC1848" s="6" t="s">
        <v>10886</v>
      </c>
      <c r="AD1848" s="16" t="n">
        <v>37550</v>
      </c>
      <c r="AE1848" s="6" t="s">
        <v>14317</v>
      </c>
      <c r="AF1848" s="6" t="s">
        <v>81</v>
      </c>
      <c r="AG1848" s="6" t="s">
        <v>81</v>
      </c>
      <c r="AH1848" s="6" t="s">
        <v>16403</v>
      </c>
      <c r="AI1848" s="6" t="s">
        <v>81</v>
      </c>
      <c r="AJ1848" s="6" t="s">
        <v>18124</v>
      </c>
      <c r="AK1848" s="6" t="s">
        <v>18431</v>
      </c>
      <c r="AL1848" s="6" t="s">
        <v>18444</v>
      </c>
      <c r="AM1848" s="6" t="s">
        <v>19323</v>
      </c>
      <c r="AN1848" s="6" t="s">
        <v>19662</v>
      </c>
      <c r="AO1848" s="6" t="s">
        <v>20022</v>
      </c>
      <c r="AP1848" s="6" t="s">
        <v>16403</v>
      </c>
      <c r="AQ1848" s="6" t="s">
        <v>81</v>
      </c>
      <c r="AR1848" s="6" t="s">
        <v>18124</v>
      </c>
      <c r="AS1848" s="6" t="s">
        <v>18431</v>
      </c>
      <c r="AT1848" s="6" t="s">
        <v>18444</v>
      </c>
      <c r="AU1848" s="6" t="s">
        <v>19323</v>
      </c>
      <c r="AV1848" s="6" t="s">
        <v>81</v>
      </c>
      <c r="AW1848" s="6" t="s">
        <v>81</v>
      </c>
      <c r="AX1848" s="6" t="s">
        <v>21925</v>
      </c>
      <c r="AY1848" s="6" t="s">
        <v>23204</v>
      </c>
      <c r="AZ1848" s="6" t="s">
        <v>81</v>
      </c>
      <c r="BA1848" s="6" t="s">
        <v>81</v>
      </c>
      <c r="BB1848" s="6" t="s">
        <v>81</v>
      </c>
      <c r="BC1848" s="26"/>
      <c r="BD1848" s="26"/>
      <c r="BE1848" s="26"/>
      <c r="BF1848" s="26"/>
      <c r="BG1848" s="26"/>
      <c r="BH1848" s="26"/>
      <c r="BI1848" s="26"/>
      <c r="BJ1848" s="26"/>
      <c r="BK1848" s="26"/>
      <c r="BL1848" s="26"/>
      <c r="BM1848" s="26"/>
      <c r="BN1848" s="26"/>
      <c r="BO1848" s="26"/>
      <c r="BP1848" s="16" t="n">
        <v>45691</v>
      </c>
      <c r="BQ1848" s="28" t="str">
        <f>HYPERLINK("https://organic.ams.usda.gov/Integrity/Certificate.aspx?cid=68&amp;nopid=8210002271")</f>
        <v>https://organic.ams.usda.gov/Integrity/Certificate.aspx?cid=68&amp;nopid=8210002271</v>
      </c>
    </row>
    <row r="1849">
      <c r="A1849" t="s">
        <v>3</v>
      </c>
      <c r="B1849" s="6" t="s">
        <v>25</v>
      </c>
      <c r="C1849" s="6" t="s">
        <v>72</v>
      </c>
      <c r="D1849" s="6" t="s">
        <v>118</v>
      </c>
      <c r="E1849" s="10" t="s">
        <v>1990</v>
      </c>
      <c r="F1849" s="6" t="s">
        <v>4706</v>
      </c>
      <c r="G1849" s="6" t="s">
        <v>81</v>
      </c>
      <c r="H1849" s="6" t="s">
        <v>7586</v>
      </c>
      <c r="I1849" s="6" t="s">
        <v>8952</v>
      </c>
      <c r="J1849" s="6" t="s">
        <v>10471</v>
      </c>
      <c r="K1849" s="6" t="s">
        <v>10886</v>
      </c>
      <c r="L1849" s="16" t="n">
        <v>45065</v>
      </c>
      <c r="M1849" s="16" t="n">
        <v>46023</v>
      </c>
      <c r="N1849" s="6" t="s">
        <v>81</v>
      </c>
      <c r="O1849" s="21" t="s">
        <v>81</v>
      </c>
      <c r="P1849" s="6" t="s">
        <v>81</v>
      </c>
      <c r="Q1849" s="6" t="s">
        <v>81</v>
      </c>
      <c r="R1849" s="6" t="s">
        <v>81</v>
      </c>
      <c r="S1849" s="6" t="s">
        <v>10886</v>
      </c>
      <c r="T1849" s="16" t="n">
        <v>45065</v>
      </c>
      <c r="U1849" s="6" t="s">
        <v>13731</v>
      </c>
      <c r="V1849" s="6" t="s">
        <v>81</v>
      </c>
      <c r="W1849" s="6" t="s">
        <v>81</v>
      </c>
      <c r="X1849" s="6" t="s">
        <v>81</v>
      </c>
      <c r="Y1849" s="21" t="s">
        <v>81</v>
      </c>
      <c r="Z1849" s="6" t="s">
        <v>81</v>
      </c>
      <c r="AA1849" s="6" t="s">
        <v>81</v>
      </c>
      <c r="AB1849" s="6" t="s">
        <v>81</v>
      </c>
      <c r="AC1849" s="6" t="s">
        <v>10886</v>
      </c>
      <c r="AD1849" s="16" t="n">
        <v>45065</v>
      </c>
      <c r="AE1849" s="6" t="s">
        <v>14081</v>
      </c>
      <c r="AF1849" s="6" t="s">
        <v>81</v>
      </c>
      <c r="AG1849" s="6" t="s">
        <v>81</v>
      </c>
      <c r="AH1849" s="6" t="s">
        <v>16404</v>
      </c>
      <c r="AI1849" s="6" t="s">
        <v>81</v>
      </c>
      <c r="AJ1849" s="6" t="s">
        <v>18125</v>
      </c>
      <c r="AK1849" s="6" t="s">
        <v>18152</v>
      </c>
      <c r="AL1849" s="6" t="s">
        <v>18444</v>
      </c>
      <c r="AM1849" s="6" t="s">
        <v>19324</v>
      </c>
      <c r="AN1849" s="6" t="s">
        <v>19700</v>
      </c>
      <c r="AO1849" s="6" t="s">
        <v>20023</v>
      </c>
      <c r="AP1849" s="6" t="s">
        <v>20341</v>
      </c>
      <c r="AQ1849" s="6" t="s">
        <v>81</v>
      </c>
      <c r="AR1849" s="6" t="s">
        <v>18125</v>
      </c>
      <c r="AS1849" s="6" t="s">
        <v>18152</v>
      </c>
      <c r="AT1849" s="6" t="s">
        <v>18444</v>
      </c>
      <c r="AU1849" s="6" t="s">
        <v>19324</v>
      </c>
      <c r="AV1849" s="6" t="s">
        <v>81</v>
      </c>
      <c r="AW1849" s="6" t="s">
        <v>81</v>
      </c>
      <c r="AX1849" s="6" t="s">
        <v>21926</v>
      </c>
      <c r="AY1849" s="6" t="s">
        <v>23205</v>
      </c>
      <c r="AZ1849" s="6" t="s">
        <v>81</v>
      </c>
      <c r="BA1849" s="6" t="s">
        <v>23827</v>
      </c>
      <c r="BB1849" s="6" t="s">
        <v>81</v>
      </c>
      <c r="BC1849" s="26"/>
      <c r="BD1849" s="26"/>
      <c r="BE1849" s="26"/>
      <c r="BF1849" s="26" t="s">
        <v>23900</v>
      </c>
      <c r="BG1849" s="26"/>
      <c r="BH1849" s="26"/>
      <c r="BI1849" s="26"/>
      <c r="BJ1849" s="26"/>
      <c r="BK1849" s="26"/>
      <c r="BL1849" s="26"/>
      <c r="BM1849" s="26"/>
      <c r="BN1849" s="26"/>
      <c r="BO1849" s="26"/>
      <c r="BP1849" s="16" t="n">
        <v>45699</v>
      </c>
      <c r="BQ1849" s="28" t="str">
        <f>HYPERLINK("https://organic.ams.usda.gov/Integrity/Certificate.aspx?cid=15&amp;nopid=5561007377")</f>
        <v>https://organic.ams.usda.gov/Integrity/Certificate.aspx?cid=15&amp;nopid=5561007377</v>
      </c>
    </row>
    <row r="1850">
      <c r="A1850" t="s">
        <v>3</v>
      </c>
      <c r="B1850" s="6" t="s">
        <v>36</v>
      </c>
      <c r="C1850" s="6" t="s">
        <v>83</v>
      </c>
      <c r="D1850" s="6" t="s">
        <v>128</v>
      </c>
      <c r="E1850" s="10" t="s">
        <v>1991</v>
      </c>
      <c r="F1850" s="6" t="s">
        <v>4707</v>
      </c>
      <c r="G1850" s="6" t="s">
        <v>81</v>
      </c>
      <c r="H1850" s="6" t="s">
        <v>7587</v>
      </c>
      <c r="I1850" s="6" t="s">
        <v>9314</v>
      </c>
      <c r="J1850" s="6" t="s">
        <v>10472</v>
      </c>
      <c r="K1850" s="6" t="s">
        <v>10886</v>
      </c>
      <c r="L1850" s="16" t="n">
        <v>38621</v>
      </c>
      <c r="M1850" s="16" t="n">
        <v>45900</v>
      </c>
      <c r="N1850" s="6" t="s">
        <v>81</v>
      </c>
      <c r="O1850" s="21" t="s">
        <v>81</v>
      </c>
      <c r="P1850" s="6" t="s">
        <v>81</v>
      </c>
      <c r="Q1850" s="6" t="s">
        <v>81</v>
      </c>
      <c r="R1850" s="6" t="s">
        <v>81</v>
      </c>
      <c r="S1850" s="6" t="s">
        <v>81</v>
      </c>
      <c r="T1850" s="21" t="s">
        <v>81</v>
      </c>
      <c r="U1850" s="6" t="s">
        <v>81</v>
      </c>
      <c r="V1850" s="6" t="s">
        <v>81</v>
      </c>
      <c r="W1850" s="6" t="s">
        <v>81</v>
      </c>
      <c r="X1850" s="6" t="s">
        <v>81</v>
      </c>
      <c r="Y1850" s="21" t="s">
        <v>81</v>
      </c>
      <c r="Z1850" s="6" t="s">
        <v>81</v>
      </c>
      <c r="AA1850" s="6" t="s">
        <v>81</v>
      </c>
      <c r="AB1850" s="6" t="s">
        <v>81</v>
      </c>
      <c r="AC1850" s="6" t="s">
        <v>10886</v>
      </c>
      <c r="AD1850" s="16" t="n">
        <v>38621</v>
      </c>
      <c r="AE1850" s="6" t="s">
        <v>14318</v>
      </c>
      <c r="AF1850" s="6" t="s">
        <v>81</v>
      </c>
      <c r="AG1850" s="6" t="s">
        <v>7587</v>
      </c>
      <c r="AH1850" s="6" t="s">
        <v>16405</v>
      </c>
      <c r="AI1850" s="6" t="s">
        <v>81</v>
      </c>
      <c r="AJ1850" s="6" t="s">
        <v>18126</v>
      </c>
      <c r="AK1850" s="6" t="s">
        <v>18395</v>
      </c>
      <c r="AL1850" s="6" t="s">
        <v>18444</v>
      </c>
      <c r="AM1850" s="6" t="s">
        <v>19325</v>
      </c>
      <c r="AN1850" s="6" t="s">
        <v>19712</v>
      </c>
      <c r="AO1850" s="6" t="s">
        <v>20024</v>
      </c>
      <c r="AP1850" s="6" t="s">
        <v>20342</v>
      </c>
      <c r="AQ1850" s="6" t="s">
        <v>81</v>
      </c>
      <c r="AR1850" s="6" t="s">
        <v>20556</v>
      </c>
      <c r="AS1850" s="6" t="s">
        <v>18395</v>
      </c>
      <c r="AT1850" s="6" t="s">
        <v>18444</v>
      </c>
      <c r="AU1850" s="6" t="s">
        <v>20683</v>
      </c>
      <c r="AV1850" s="6" t="s">
        <v>81</v>
      </c>
      <c r="AW1850" s="6" t="s">
        <v>81</v>
      </c>
      <c r="AX1850" s="6" t="s">
        <v>21927</v>
      </c>
      <c r="AY1850" s="6" t="s">
        <v>23206</v>
      </c>
      <c r="AZ1850" s="6" t="s">
        <v>81</v>
      </c>
      <c r="BA1850" s="6" t="s">
        <v>81</v>
      </c>
      <c r="BB1850" s="6" t="s">
        <v>81</v>
      </c>
      <c r="BC1850" s="26"/>
      <c r="BD1850" s="26"/>
      <c r="BE1850" s="26"/>
      <c r="BF1850" s="26"/>
      <c r="BG1850" s="26"/>
      <c r="BH1850" s="26"/>
      <c r="BI1850" s="26"/>
      <c r="BJ1850" s="26"/>
      <c r="BK1850" s="26"/>
      <c r="BL1850" s="26"/>
      <c r="BM1850" s="26"/>
      <c r="BN1850" s="26"/>
      <c r="BO1850" s="26"/>
      <c r="BP1850" s="16" t="n">
        <v>45562</v>
      </c>
      <c r="BQ1850" s="28" t="str">
        <f>HYPERLINK("https://organic.ams.usda.gov/Integrity/Certificate.aspx?cid=77&amp;nopid=3510440723")</f>
        <v>https://organic.ams.usda.gov/Integrity/Certificate.aspx?cid=77&amp;nopid=3510440723</v>
      </c>
    </row>
    <row r="1851">
      <c r="A1851" t="s">
        <v>3</v>
      </c>
      <c r="B1851" s="6" t="s">
        <v>36</v>
      </c>
      <c r="C1851" s="6" t="s">
        <v>83</v>
      </c>
      <c r="D1851" s="6" t="s">
        <v>128</v>
      </c>
      <c r="E1851" s="10" t="s">
        <v>1992</v>
      </c>
      <c r="F1851" s="6" t="s">
        <v>4707</v>
      </c>
      <c r="G1851" s="6" t="s">
        <v>81</v>
      </c>
      <c r="H1851" s="6" t="s">
        <v>7588</v>
      </c>
      <c r="I1851" s="6" t="s">
        <v>9314</v>
      </c>
      <c r="J1851" s="6" t="s">
        <v>10472</v>
      </c>
      <c r="K1851" s="6" t="s">
        <v>10886</v>
      </c>
      <c r="L1851" s="16" t="n">
        <v>38621</v>
      </c>
      <c r="M1851" s="16" t="n">
        <v>45747</v>
      </c>
      <c r="N1851" s="6" t="s">
        <v>81</v>
      </c>
      <c r="O1851" s="21" t="s">
        <v>81</v>
      </c>
      <c r="P1851" s="6" t="s">
        <v>81</v>
      </c>
      <c r="Q1851" s="6" t="s">
        <v>81</v>
      </c>
      <c r="R1851" s="6" t="s">
        <v>81</v>
      </c>
      <c r="S1851" s="6" t="s">
        <v>10886</v>
      </c>
      <c r="T1851" s="16" t="n">
        <v>38621</v>
      </c>
      <c r="U1851" s="6" t="s">
        <v>13732</v>
      </c>
      <c r="V1851" s="6" t="s">
        <v>81</v>
      </c>
      <c r="W1851" s="6" t="s">
        <v>7588</v>
      </c>
      <c r="X1851" s="6" t="s">
        <v>81</v>
      </c>
      <c r="Y1851" s="21" t="s">
        <v>81</v>
      </c>
      <c r="Z1851" s="6" t="s">
        <v>81</v>
      </c>
      <c r="AA1851" s="6" t="s">
        <v>81</v>
      </c>
      <c r="AB1851" s="6" t="s">
        <v>81</v>
      </c>
      <c r="AC1851" s="6" t="s">
        <v>81</v>
      </c>
      <c r="AD1851" s="21" t="s">
        <v>81</v>
      </c>
      <c r="AE1851" s="6" t="s">
        <v>81</v>
      </c>
      <c r="AF1851" s="6" t="s">
        <v>81</v>
      </c>
      <c r="AG1851" s="6" t="s">
        <v>81</v>
      </c>
      <c r="AH1851" s="6" t="s">
        <v>16405</v>
      </c>
      <c r="AI1851" s="6" t="s">
        <v>81</v>
      </c>
      <c r="AJ1851" s="6" t="s">
        <v>18126</v>
      </c>
      <c r="AK1851" s="6" t="s">
        <v>18395</v>
      </c>
      <c r="AL1851" s="6" t="s">
        <v>18444</v>
      </c>
      <c r="AM1851" s="6" t="s">
        <v>19325</v>
      </c>
      <c r="AN1851" s="6" t="s">
        <v>19712</v>
      </c>
      <c r="AO1851" s="6" t="s">
        <v>20024</v>
      </c>
      <c r="AP1851" s="6" t="s">
        <v>20342</v>
      </c>
      <c r="AQ1851" s="6" t="s">
        <v>81</v>
      </c>
      <c r="AR1851" s="6" t="s">
        <v>20556</v>
      </c>
      <c r="AS1851" s="6" t="s">
        <v>18395</v>
      </c>
      <c r="AT1851" s="6" t="s">
        <v>18444</v>
      </c>
      <c r="AU1851" s="6" t="s">
        <v>20683</v>
      </c>
      <c r="AV1851" s="6" t="s">
        <v>81</v>
      </c>
      <c r="AW1851" s="6" t="s">
        <v>81</v>
      </c>
      <c r="AX1851" s="6" t="s">
        <v>21927</v>
      </c>
      <c r="AY1851" s="6" t="s">
        <v>23206</v>
      </c>
      <c r="AZ1851" s="6" t="s">
        <v>81</v>
      </c>
      <c r="BA1851" s="6" t="s">
        <v>81</v>
      </c>
      <c r="BB1851" s="24" t="n">
        <v>28200</v>
      </c>
      <c r="BC1851" s="26"/>
      <c r="BD1851" s="26"/>
      <c r="BE1851" s="26"/>
      <c r="BF1851" s="26"/>
      <c r="BG1851" s="26"/>
      <c r="BH1851" s="26"/>
      <c r="BI1851" s="26"/>
      <c r="BJ1851" s="26"/>
      <c r="BK1851" s="26"/>
      <c r="BL1851" s="26"/>
      <c r="BM1851" s="26"/>
      <c r="BN1851" s="26"/>
      <c r="BO1851" s="26"/>
      <c r="BP1851" s="16" t="n">
        <v>45447</v>
      </c>
      <c r="BQ1851" s="28" t="str">
        <f>HYPERLINK("https://organic.ams.usda.gov/Integrity/Certificate.aspx?cid=77&amp;nopid=3510440222")</f>
        <v>https://organic.ams.usda.gov/Integrity/Certificate.aspx?cid=77&amp;nopid=3510440222</v>
      </c>
    </row>
    <row r="1852">
      <c r="A1852" t="s">
        <v>3</v>
      </c>
      <c r="B1852" s="6" t="s">
        <v>32</v>
      </c>
      <c r="C1852" s="6" t="s">
        <v>79</v>
      </c>
      <c r="D1852" s="6" t="s">
        <v>125</v>
      </c>
      <c r="E1852" s="10" t="s">
        <v>1993</v>
      </c>
      <c r="F1852" s="6" t="s">
        <v>4708</v>
      </c>
      <c r="G1852" s="6" t="s">
        <v>81</v>
      </c>
      <c r="H1852" s="6" t="s">
        <v>7589</v>
      </c>
      <c r="I1852" s="6" t="s">
        <v>9315</v>
      </c>
      <c r="J1852" s="6" t="s">
        <v>10473</v>
      </c>
      <c r="K1852" s="6" t="s">
        <v>10886</v>
      </c>
      <c r="L1852" s="16" t="n">
        <v>43024</v>
      </c>
      <c r="M1852" s="16" t="n">
        <v>46082</v>
      </c>
      <c r="N1852" s="6" t="s">
        <v>81</v>
      </c>
      <c r="O1852" s="21" t="s">
        <v>81</v>
      </c>
      <c r="P1852" s="6" t="s">
        <v>81</v>
      </c>
      <c r="Q1852" s="6" t="s">
        <v>81</v>
      </c>
      <c r="R1852" s="6" t="s">
        <v>81</v>
      </c>
      <c r="S1852" s="6" t="s">
        <v>81</v>
      </c>
      <c r="T1852" s="21" t="s">
        <v>81</v>
      </c>
      <c r="U1852" s="6" t="s">
        <v>81</v>
      </c>
      <c r="V1852" s="6" t="s">
        <v>81</v>
      </c>
      <c r="W1852" s="6" t="s">
        <v>81</v>
      </c>
      <c r="X1852" s="6" t="s">
        <v>81</v>
      </c>
      <c r="Y1852" s="21" t="s">
        <v>81</v>
      </c>
      <c r="Z1852" s="6" t="s">
        <v>81</v>
      </c>
      <c r="AA1852" s="6" t="s">
        <v>81</v>
      </c>
      <c r="AB1852" s="6" t="s">
        <v>81</v>
      </c>
      <c r="AC1852" s="6" t="s">
        <v>10886</v>
      </c>
      <c r="AD1852" s="16" t="n">
        <v>43024</v>
      </c>
      <c r="AE1852" s="6" t="s">
        <v>14319</v>
      </c>
      <c r="AF1852" s="6" t="s">
        <v>81</v>
      </c>
      <c r="AG1852" s="6" t="s">
        <v>5606</v>
      </c>
      <c r="AH1852" s="6" t="s">
        <v>16406</v>
      </c>
      <c r="AI1852" s="6" t="s">
        <v>81</v>
      </c>
      <c r="AJ1852" s="6" t="s">
        <v>18127</v>
      </c>
      <c r="AK1852" s="6" t="s">
        <v>18152</v>
      </c>
      <c r="AL1852" s="6" t="s">
        <v>18444</v>
      </c>
      <c r="AM1852" s="6" t="s">
        <v>19326</v>
      </c>
      <c r="AN1852" s="6" t="s">
        <v>81</v>
      </c>
      <c r="AO1852" s="6" t="s">
        <v>81</v>
      </c>
      <c r="AP1852" s="6" t="s">
        <v>20343</v>
      </c>
      <c r="AQ1852" s="6" t="s">
        <v>81</v>
      </c>
      <c r="AR1852" s="6" t="s">
        <v>20557</v>
      </c>
      <c r="AS1852" s="6" t="s">
        <v>18152</v>
      </c>
      <c r="AT1852" s="6" t="s">
        <v>18444</v>
      </c>
      <c r="AU1852" s="6" t="s">
        <v>20684</v>
      </c>
      <c r="AV1852" s="6" t="s">
        <v>19683</v>
      </c>
      <c r="AW1852" s="6" t="s">
        <v>19733</v>
      </c>
      <c r="AX1852" s="6" t="s">
        <v>21928</v>
      </c>
      <c r="AY1852" s="6" t="s">
        <v>23207</v>
      </c>
      <c r="AZ1852" s="6" t="s">
        <v>23720</v>
      </c>
      <c r="BA1852" s="6" t="s">
        <v>81</v>
      </c>
      <c r="BB1852" s="6" t="s">
        <v>81</v>
      </c>
      <c r="BC1852" s="26"/>
      <c r="BD1852" s="26"/>
      <c r="BE1852" s="26" t="s">
        <v>23900</v>
      </c>
      <c r="BF1852" s="26"/>
      <c r="BG1852" s="26"/>
      <c r="BH1852" s="26"/>
      <c r="BI1852" s="26"/>
      <c r="BJ1852" s="26"/>
      <c r="BK1852" s="26"/>
      <c r="BL1852" s="26"/>
      <c r="BM1852" s="26"/>
      <c r="BN1852" s="26"/>
      <c r="BO1852" s="26"/>
      <c r="BP1852" s="16" t="n">
        <v>45739</v>
      </c>
      <c r="BQ1852" s="28" t="str">
        <f>HYPERLINK("https://organic.ams.usda.gov/Integrity/Certificate.aspx?cid=82&amp;nopid=2780003276")</f>
        <v>https://organic.ams.usda.gov/Integrity/Certificate.aspx?cid=82&amp;nopid=2780003276</v>
      </c>
    </row>
    <row r="1853">
      <c r="A1853" t="s">
        <v>3</v>
      </c>
      <c r="B1853" s="6" t="s">
        <v>38</v>
      </c>
      <c r="C1853" s="6" t="s">
        <v>85</v>
      </c>
      <c r="D1853" s="6" t="s">
        <v>130</v>
      </c>
      <c r="E1853" s="10" t="s">
        <v>1994</v>
      </c>
      <c r="F1853" s="6" t="s">
        <v>4709</v>
      </c>
      <c r="G1853" s="6" t="s">
        <v>81</v>
      </c>
      <c r="H1853" s="6" t="s">
        <v>7590</v>
      </c>
      <c r="I1853" s="6" t="s">
        <v>9316</v>
      </c>
      <c r="J1853" s="6" t="s">
        <v>9949</v>
      </c>
      <c r="K1853" s="6" t="s">
        <v>10886</v>
      </c>
      <c r="L1853" s="16" t="n">
        <v>42740</v>
      </c>
      <c r="M1853" s="16" t="n">
        <v>45839</v>
      </c>
      <c r="N1853" s="6" t="s">
        <v>81</v>
      </c>
      <c r="O1853" s="21" t="s">
        <v>81</v>
      </c>
      <c r="P1853" s="6" t="s">
        <v>81</v>
      </c>
      <c r="Q1853" s="6" t="s">
        <v>81</v>
      </c>
      <c r="R1853" s="6" t="s">
        <v>81</v>
      </c>
      <c r="S1853" s="6" t="s">
        <v>10886</v>
      </c>
      <c r="T1853" s="16" t="n">
        <v>42740</v>
      </c>
      <c r="U1853" s="6" t="s">
        <v>13733</v>
      </c>
      <c r="V1853" s="6" t="s">
        <v>81</v>
      </c>
      <c r="W1853" s="6" t="s">
        <v>81</v>
      </c>
      <c r="X1853" s="6" t="s">
        <v>81</v>
      </c>
      <c r="Y1853" s="21" t="s">
        <v>81</v>
      </c>
      <c r="Z1853" s="6" t="s">
        <v>81</v>
      </c>
      <c r="AA1853" s="6" t="s">
        <v>81</v>
      </c>
      <c r="AB1853" s="6" t="s">
        <v>81</v>
      </c>
      <c r="AC1853" s="6" t="s">
        <v>81</v>
      </c>
      <c r="AD1853" s="21" t="s">
        <v>81</v>
      </c>
      <c r="AE1853" s="6" t="s">
        <v>81</v>
      </c>
      <c r="AF1853" s="6" t="s">
        <v>81</v>
      </c>
      <c r="AG1853" s="6" t="s">
        <v>81</v>
      </c>
      <c r="AH1853" s="6" t="s">
        <v>16407</v>
      </c>
      <c r="AI1853" s="6" t="s">
        <v>81</v>
      </c>
      <c r="AJ1853" s="6" t="s">
        <v>18128</v>
      </c>
      <c r="AK1853" s="6" t="s">
        <v>18412</v>
      </c>
      <c r="AL1853" s="6" t="s">
        <v>18444</v>
      </c>
      <c r="AM1853" s="6" t="s">
        <v>19327</v>
      </c>
      <c r="AN1853" s="6" t="s">
        <v>19645</v>
      </c>
      <c r="AO1853" s="6" t="s">
        <v>20025</v>
      </c>
      <c r="AP1853" s="6" t="s">
        <v>20344</v>
      </c>
      <c r="AQ1853" s="6" t="s">
        <v>81</v>
      </c>
      <c r="AR1853" s="6" t="s">
        <v>18128</v>
      </c>
      <c r="AS1853" s="6" t="s">
        <v>18412</v>
      </c>
      <c r="AT1853" s="6" t="s">
        <v>18444</v>
      </c>
      <c r="AU1853" s="6" t="s">
        <v>19327</v>
      </c>
      <c r="AV1853" s="6" t="s">
        <v>81</v>
      </c>
      <c r="AW1853" s="6" t="s">
        <v>81</v>
      </c>
      <c r="AX1853" s="6" t="s">
        <v>21929</v>
      </c>
      <c r="AY1853" s="6" t="s">
        <v>23208</v>
      </c>
      <c r="AZ1853" s="6" t="s">
        <v>81</v>
      </c>
      <c r="BA1853" s="6" t="s">
        <v>81</v>
      </c>
      <c r="BB1853" s="24" t="n">
        <v>0</v>
      </c>
      <c r="BC1853" s="26"/>
      <c r="BD1853" s="26"/>
      <c r="BE1853" s="26"/>
      <c r="BF1853" s="26"/>
      <c r="BG1853" s="26"/>
      <c r="BH1853" s="26"/>
      <c r="BI1853" s="26"/>
      <c r="BJ1853" s="26"/>
      <c r="BK1853" s="26"/>
      <c r="BL1853" s="26"/>
      <c r="BM1853" s="26"/>
      <c r="BN1853" s="26"/>
      <c r="BO1853" s="26"/>
      <c r="BP1853" s="16" t="n">
        <v>45712</v>
      </c>
      <c r="BQ1853" s="28" t="str">
        <f>HYPERLINK("https://organic.ams.usda.gov/Integrity/Certificate.aspx?cid=33&amp;nopid=2170161008")</f>
        <v>https://organic.ams.usda.gov/Integrity/Certificate.aspx?cid=33&amp;nopid=2170161008</v>
      </c>
    </row>
    <row r="1854">
      <c r="A1854" t="s">
        <v>3</v>
      </c>
      <c r="B1854" s="6" t="s">
        <v>20</v>
      </c>
      <c r="C1854" s="6" t="s">
        <v>67</v>
      </c>
      <c r="D1854" s="6" t="s">
        <v>113</v>
      </c>
      <c r="E1854" s="10" t="s">
        <v>1995</v>
      </c>
      <c r="F1854" s="6" t="s">
        <v>4710</v>
      </c>
      <c r="G1854" s="6" t="s">
        <v>81</v>
      </c>
      <c r="H1854" s="6" t="s">
        <v>7591</v>
      </c>
      <c r="I1854" s="6" t="s">
        <v>8666</v>
      </c>
      <c r="J1854" s="6" t="s">
        <v>10474</v>
      </c>
      <c r="K1854" s="6" t="s">
        <v>10886</v>
      </c>
      <c r="L1854" s="16" t="n">
        <v>44791</v>
      </c>
      <c r="M1854" s="16" t="n">
        <v>45650</v>
      </c>
      <c r="N1854" s="6" t="s">
        <v>81</v>
      </c>
      <c r="O1854" s="21" t="s">
        <v>81</v>
      </c>
      <c r="P1854" s="6" t="s">
        <v>81</v>
      </c>
      <c r="Q1854" s="6" t="s">
        <v>81</v>
      </c>
      <c r="R1854" s="6" t="s">
        <v>81</v>
      </c>
      <c r="S1854" s="6" t="s">
        <v>81</v>
      </c>
      <c r="T1854" s="21" t="s">
        <v>81</v>
      </c>
      <c r="U1854" s="6" t="s">
        <v>81</v>
      </c>
      <c r="V1854" s="6" t="s">
        <v>81</v>
      </c>
      <c r="W1854" s="6" t="s">
        <v>81</v>
      </c>
      <c r="X1854" s="6" t="s">
        <v>81</v>
      </c>
      <c r="Y1854" s="21" t="s">
        <v>81</v>
      </c>
      <c r="Z1854" s="6" t="s">
        <v>81</v>
      </c>
      <c r="AA1854" s="6" t="s">
        <v>81</v>
      </c>
      <c r="AB1854" s="6" t="s">
        <v>81</v>
      </c>
      <c r="AC1854" s="6" t="s">
        <v>10886</v>
      </c>
      <c r="AD1854" s="16" t="n">
        <v>44791</v>
      </c>
      <c r="AE1854" s="6" t="s">
        <v>14320</v>
      </c>
      <c r="AF1854" s="6" t="s">
        <v>81</v>
      </c>
      <c r="AG1854" s="6" t="s">
        <v>14576</v>
      </c>
      <c r="AH1854" s="6" t="s">
        <v>16408</v>
      </c>
      <c r="AI1854" s="6" t="s">
        <v>81</v>
      </c>
      <c r="AJ1854" s="6" t="s">
        <v>18129</v>
      </c>
      <c r="AK1854" s="6" t="s">
        <v>18378</v>
      </c>
      <c r="AL1854" s="6" t="s">
        <v>18444</v>
      </c>
      <c r="AM1854" s="6" t="s">
        <v>19328</v>
      </c>
      <c r="AN1854" s="6" t="s">
        <v>19670</v>
      </c>
      <c r="AO1854" s="6" t="s">
        <v>20026</v>
      </c>
      <c r="AP1854" s="6" t="s">
        <v>20345</v>
      </c>
      <c r="AQ1854" s="6" t="s">
        <v>81</v>
      </c>
      <c r="AR1854" s="6" t="s">
        <v>18129</v>
      </c>
      <c r="AS1854" s="6" t="s">
        <v>18378</v>
      </c>
      <c r="AT1854" s="6" t="s">
        <v>18444</v>
      </c>
      <c r="AU1854" s="6" t="s">
        <v>19328</v>
      </c>
      <c r="AV1854" s="6" t="s">
        <v>81</v>
      </c>
      <c r="AW1854" s="6" t="s">
        <v>81</v>
      </c>
      <c r="AX1854" s="6" t="s">
        <v>21930</v>
      </c>
      <c r="AY1854" s="6" t="s">
        <v>81</v>
      </c>
      <c r="AZ1854" s="6" t="s">
        <v>23721</v>
      </c>
      <c r="BA1854" s="6" t="s">
        <v>81</v>
      </c>
      <c r="BB1854" s="6" t="s">
        <v>81</v>
      </c>
      <c r="BC1854" s="26"/>
      <c r="BD1854" s="26"/>
      <c r="BE1854" s="26" t="s">
        <v>23900</v>
      </c>
      <c r="BF1854" s="26"/>
      <c r="BG1854" s="26"/>
      <c r="BH1854" s="26"/>
      <c r="BI1854" s="26"/>
      <c r="BJ1854" s="26"/>
      <c r="BK1854" s="26"/>
      <c r="BL1854" s="26"/>
      <c r="BM1854" s="26"/>
      <c r="BN1854" s="26"/>
      <c r="BO1854" s="26"/>
      <c r="BP1854" s="16" t="n">
        <v>45737</v>
      </c>
      <c r="BQ1854" s="28" t="str">
        <f>HYPERLINK("https://organic.ams.usda.gov/Integrity/Certificate.aspx?cid=71&amp;nopid=5520670392")</f>
        <v>https://organic.ams.usda.gov/Integrity/Certificate.aspx?cid=71&amp;nopid=5520670392</v>
      </c>
    </row>
    <row r="1855">
      <c r="A1855" t="s">
        <v>3</v>
      </c>
      <c r="B1855" s="6" t="s">
        <v>25</v>
      </c>
      <c r="C1855" s="6" t="s">
        <v>72</v>
      </c>
      <c r="D1855" s="6" t="s">
        <v>118</v>
      </c>
      <c r="E1855" s="10" t="s">
        <v>1996</v>
      </c>
      <c r="F1855" s="6" t="s">
        <v>4711</v>
      </c>
      <c r="G1855" s="6" t="s">
        <v>5761</v>
      </c>
      <c r="H1855" s="6" t="s">
        <v>7592</v>
      </c>
      <c r="I1855" s="6" t="s">
        <v>9317</v>
      </c>
      <c r="J1855" s="6" t="s">
        <v>10475</v>
      </c>
      <c r="K1855" s="6" t="s">
        <v>10886</v>
      </c>
      <c r="L1855" s="16" t="n">
        <v>43552</v>
      </c>
      <c r="M1855" s="16" t="n">
        <v>46023</v>
      </c>
      <c r="N1855" s="6" t="s">
        <v>81</v>
      </c>
      <c r="O1855" s="21" t="s">
        <v>81</v>
      </c>
      <c r="P1855" s="6" t="s">
        <v>81</v>
      </c>
      <c r="Q1855" s="6" t="s">
        <v>81</v>
      </c>
      <c r="R1855" s="6" t="s">
        <v>81</v>
      </c>
      <c r="S1855" s="6" t="s">
        <v>81</v>
      </c>
      <c r="T1855" s="21" t="s">
        <v>81</v>
      </c>
      <c r="U1855" s="6" t="s">
        <v>81</v>
      </c>
      <c r="V1855" s="6" t="s">
        <v>81</v>
      </c>
      <c r="W1855" s="6" t="s">
        <v>81</v>
      </c>
      <c r="X1855" s="6" t="s">
        <v>81</v>
      </c>
      <c r="Y1855" s="21" t="s">
        <v>81</v>
      </c>
      <c r="Z1855" s="6" t="s">
        <v>81</v>
      </c>
      <c r="AA1855" s="6" t="s">
        <v>81</v>
      </c>
      <c r="AB1855" s="6" t="s">
        <v>81</v>
      </c>
      <c r="AC1855" s="6" t="s">
        <v>10886</v>
      </c>
      <c r="AD1855" s="16" t="n">
        <v>43552</v>
      </c>
      <c r="AE1855" s="6" t="s">
        <v>14321</v>
      </c>
      <c r="AF1855" s="6" t="s">
        <v>81</v>
      </c>
      <c r="AG1855" s="6" t="s">
        <v>81</v>
      </c>
      <c r="AH1855" s="6" t="s">
        <v>16409</v>
      </c>
      <c r="AI1855" s="6" t="s">
        <v>81</v>
      </c>
      <c r="AJ1855" s="6" t="s">
        <v>17816</v>
      </c>
      <c r="AK1855" s="6" t="s">
        <v>18386</v>
      </c>
      <c r="AL1855" s="6" t="s">
        <v>18444</v>
      </c>
      <c r="AM1855" s="6" t="s">
        <v>19329</v>
      </c>
      <c r="AN1855" s="6" t="s">
        <v>19674</v>
      </c>
      <c r="AO1855" s="6" t="s">
        <v>19803</v>
      </c>
      <c r="AP1855" s="6" t="s">
        <v>16409</v>
      </c>
      <c r="AQ1855" s="6" t="s">
        <v>81</v>
      </c>
      <c r="AR1855" s="6" t="s">
        <v>17816</v>
      </c>
      <c r="AS1855" s="6" t="s">
        <v>18386</v>
      </c>
      <c r="AT1855" s="6" t="s">
        <v>18444</v>
      </c>
      <c r="AU1855" s="6" t="s">
        <v>19329</v>
      </c>
      <c r="AV1855" s="6" t="s">
        <v>81</v>
      </c>
      <c r="AW1855" s="6" t="s">
        <v>81</v>
      </c>
      <c r="AX1855" s="6" t="s">
        <v>21931</v>
      </c>
      <c r="AY1855" s="6" t="s">
        <v>23209</v>
      </c>
      <c r="AZ1855" s="6" t="s">
        <v>23722</v>
      </c>
      <c r="BA1855" s="6" t="s">
        <v>81</v>
      </c>
      <c r="BB1855" s="6" t="s">
        <v>81</v>
      </c>
      <c r="BC1855" s="26"/>
      <c r="BD1855" s="26"/>
      <c r="BE1855" s="26"/>
      <c r="BF1855" s="26"/>
      <c r="BG1855" s="26"/>
      <c r="BH1855" s="26"/>
      <c r="BI1855" s="26"/>
      <c r="BJ1855" s="26"/>
      <c r="BK1855" s="26"/>
      <c r="BL1855" s="26"/>
      <c r="BM1855" s="26"/>
      <c r="BN1855" s="26"/>
      <c r="BO1855" s="26"/>
      <c r="BP1855" s="16" t="n">
        <v>45667</v>
      </c>
      <c r="BQ1855" s="28" t="str">
        <f>HYPERLINK("https://organic.ams.usda.gov/Integrity/Certificate.aspx?cid=15&amp;nopid=5561005772")</f>
        <v>https://organic.ams.usda.gov/Integrity/Certificate.aspx?cid=15&amp;nopid=5561005772</v>
      </c>
    </row>
    <row r="1856">
      <c r="A1856" t="s">
        <v>3</v>
      </c>
      <c r="B1856" s="6" t="s">
        <v>9</v>
      </c>
      <c r="C1856" s="6" t="s">
        <v>56</v>
      </c>
      <c r="D1856" s="6" t="s">
        <v>102</v>
      </c>
      <c r="E1856" s="10" t="s">
        <v>1997</v>
      </c>
      <c r="F1856" s="6" t="s">
        <v>4712</v>
      </c>
      <c r="G1856" s="6" t="s">
        <v>81</v>
      </c>
      <c r="H1856" s="6" t="s">
        <v>6098</v>
      </c>
      <c r="I1856" s="6" t="s">
        <v>9318</v>
      </c>
      <c r="J1856" s="6" t="s">
        <v>9827</v>
      </c>
      <c r="K1856" s="6" t="s">
        <v>10886</v>
      </c>
      <c r="L1856" s="16" t="n">
        <v>43298</v>
      </c>
      <c r="M1856" s="16" t="n">
        <v>45748</v>
      </c>
      <c r="N1856" s="6" t="s">
        <v>10886</v>
      </c>
      <c r="O1856" s="16" t="n">
        <v>43298</v>
      </c>
      <c r="P1856" s="6" t="s">
        <v>11988</v>
      </c>
      <c r="Q1856" s="6" t="s">
        <v>81</v>
      </c>
      <c r="R1856" s="6" t="s">
        <v>12953</v>
      </c>
      <c r="S1856" s="6" t="s">
        <v>10886</v>
      </c>
      <c r="T1856" s="16" t="n">
        <v>43298</v>
      </c>
      <c r="U1856" s="6" t="s">
        <v>13168</v>
      </c>
      <c r="V1856" s="6" t="s">
        <v>81</v>
      </c>
      <c r="W1856" s="6" t="s">
        <v>12953</v>
      </c>
      <c r="X1856" s="6" t="s">
        <v>81</v>
      </c>
      <c r="Y1856" s="21" t="s">
        <v>81</v>
      </c>
      <c r="Z1856" s="6" t="s">
        <v>81</v>
      </c>
      <c r="AA1856" s="6" t="s">
        <v>81</v>
      </c>
      <c r="AB1856" s="6" t="s">
        <v>81</v>
      </c>
      <c r="AC1856" s="6" t="s">
        <v>81</v>
      </c>
      <c r="AD1856" s="21" t="s">
        <v>81</v>
      </c>
      <c r="AE1856" s="6" t="s">
        <v>81</v>
      </c>
      <c r="AF1856" s="6" t="s">
        <v>81</v>
      </c>
      <c r="AG1856" s="6" t="s">
        <v>81</v>
      </c>
      <c r="AH1856" s="6" t="s">
        <v>16410</v>
      </c>
      <c r="AI1856" s="6" t="s">
        <v>81</v>
      </c>
      <c r="AJ1856" s="6" t="s">
        <v>18130</v>
      </c>
      <c r="AK1856" s="6" t="s">
        <v>18391</v>
      </c>
      <c r="AL1856" s="6" t="s">
        <v>18444</v>
      </c>
      <c r="AM1856" s="6" t="s">
        <v>19330</v>
      </c>
      <c r="AN1856" s="6" t="s">
        <v>6102</v>
      </c>
      <c r="AO1856" s="6" t="s">
        <v>19924</v>
      </c>
      <c r="AP1856" s="6" t="s">
        <v>81</v>
      </c>
      <c r="AQ1856" s="6" t="s">
        <v>81</v>
      </c>
      <c r="AR1856" s="6" t="s">
        <v>81</v>
      </c>
      <c r="AS1856" s="6" t="s">
        <v>81</v>
      </c>
      <c r="AT1856" s="6" t="s">
        <v>81</v>
      </c>
      <c r="AU1856" s="6" t="s">
        <v>81</v>
      </c>
      <c r="AV1856" s="6" t="s">
        <v>81</v>
      </c>
      <c r="AW1856" s="6" t="s">
        <v>81</v>
      </c>
      <c r="AX1856" s="6" t="s">
        <v>21932</v>
      </c>
      <c r="AY1856" s="6" t="s">
        <v>81</v>
      </c>
      <c r="AZ1856" s="6" t="s">
        <v>81</v>
      </c>
      <c r="BA1856" s="6" t="s">
        <v>81</v>
      </c>
      <c r="BB1856" s="24" t="n">
        <v>171</v>
      </c>
      <c r="BC1856" s="26"/>
      <c r="BD1856" s="26"/>
      <c r="BE1856" s="26"/>
      <c r="BF1856" s="26"/>
      <c r="BG1856" s="26"/>
      <c r="BH1856" s="26"/>
      <c r="BI1856" s="26"/>
      <c r="BJ1856" s="26"/>
      <c r="BK1856" s="26"/>
      <c r="BL1856" s="26"/>
      <c r="BM1856" s="26"/>
      <c r="BN1856" s="26"/>
      <c r="BO1856" s="26"/>
      <c r="BP1856" s="16" t="n">
        <v>45738</v>
      </c>
      <c r="BQ1856" s="28" t="str">
        <f>HYPERLINK("https://organic.ams.usda.gov/Integrity/Certificate.aspx?cid=52&amp;nopid=8431801453")</f>
        <v>https://organic.ams.usda.gov/Integrity/Certificate.aspx?cid=52&amp;nopid=8431801453</v>
      </c>
    </row>
    <row r="1857">
      <c r="A1857" t="s">
        <v>3</v>
      </c>
      <c r="B1857" s="6" t="s">
        <v>29</v>
      </c>
      <c r="C1857" s="6" t="s">
        <v>76</v>
      </c>
      <c r="D1857" s="6" t="s">
        <v>122</v>
      </c>
      <c r="E1857" s="10" t="s">
        <v>1998</v>
      </c>
      <c r="F1857" s="6" t="s">
        <v>4713</v>
      </c>
      <c r="G1857" s="6" t="s">
        <v>81</v>
      </c>
      <c r="H1857" s="6" t="s">
        <v>7593</v>
      </c>
      <c r="I1857" s="6" t="s">
        <v>9318</v>
      </c>
      <c r="J1857" s="6" t="s">
        <v>9743</v>
      </c>
      <c r="K1857" s="6" t="s">
        <v>10886</v>
      </c>
      <c r="L1857" s="16" t="n">
        <v>38293</v>
      </c>
      <c r="M1857" s="16" t="n">
        <v>45870</v>
      </c>
      <c r="N1857" s="6" t="s">
        <v>10886</v>
      </c>
      <c r="O1857" s="16" t="n">
        <v>38293</v>
      </c>
      <c r="P1857" s="6" t="s">
        <v>11132</v>
      </c>
      <c r="Q1857" s="6" t="s">
        <v>81</v>
      </c>
      <c r="R1857" s="6" t="s">
        <v>12954</v>
      </c>
      <c r="S1857" s="6" t="s">
        <v>10886</v>
      </c>
      <c r="T1857" s="16" t="n">
        <v>38293</v>
      </c>
      <c r="U1857" s="6" t="s">
        <v>13734</v>
      </c>
      <c r="V1857" s="6" t="s">
        <v>81</v>
      </c>
      <c r="W1857" s="6" t="s">
        <v>12954</v>
      </c>
      <c r="X1857" s="6" t="s">
        <v>81</v>
      </c>
      <c r="Y1857" s="21" t="s">
        <v>81</v>
      </c>
      <c r="Z1857" s="6" t="s">
        <v>81</v>
      </c>
      <c r="AA1857" s="6" t="s">
        <v>81</v>
      </c>
      <c r="AB1857" s="6" t="s">
        <v>81</v>
      </c>
      <c r="AC1857" s="6" t="s">
        <v>81</v>
      </c>
      <c r="AD1857" s="21" t="s">
        <v>81</v>
      </c>
      <c r="AE1857" s="6" t="s">
        <v>81</v>
      </c>
      <c r="AF1857" s="6" t="s">
        <v>81</v>
      </c>
      <c r="AG1857" s="6" t="s">
        <v>81</v>
      </c>
      <c r="AH1857" s="6" t="s">
        <v>16411</v>
      </c>
      <c r="AI1857" s="6" t="s">
        <v>81</v>
      </c>
      <c r="AJ1857" s="6" t="s">
        <v>17426</v>
      </c>
      <c r="AK1857" s="6" t="s">
        <v>18384</v>
      </c>
      <c r="AL1857" s="6" t="s">
        <v>18444</v>
      </c>
      <c r="AM1857" s="6" t="s">
        <v>19331</v>
      </c>
      <c r="AN1857" s="6" t="s">
        <v>19690</v>
      </c>
      <c r="AO1857" s="6" t="s">
        <v>19852</v>
      </c>
      <c r="AP1857" s="6" t="s">
        <v>81</v>
      </c>
      <c r="AQ1857" s="6" t="s">
        <v>81</v>
      </c>
      <c r="AR1857" s="6" t="s">
        <v>81</v>
      </c>
      <c r="AS1857" s="6" t="s">
        <v>81</v>
      </c>
      <c r="AT1857" s="6" t="s">
        <v>81</v>
      </c>
      <c r="AU1857" s="6" t="s">
        <v>81</v>
      </c>
      <c r="AV1857" s="6" t="s">
        <v>81</v>
      </c>
      <c r="AW1857" s="6" t="s">
        <v>81</v>
      </c>
      <c r="AX1857" s="6" t="s">
        <v>21933</v>
      </c>
      <c r="AY1857" s="6" t="s">
        <v>81</v>
      </c>
      <c r="AZ1857" s="6" t="s">
        <v>81</v>
      </c>
      <c r="BA1857" s="6" t="s">
        <v>81</v>
      </c>
      <c r="BB1857" s="24" t="n">
        <v>146</v>
      </c>
      <c r="BC1857" s="26"/>
      <c r="BD1857" s="26"/>
      <c r="BE1857" s="26"/>
      <c r="BF1857" s="26" t="s">
        <v>23900</v>
      </c>
      <c r="BG1857" s="26"/>
      <c r="BH1857" s="26"/>
      <c r="BI1857" s="26"/>
      <c r="BJ1857" s="26"/>
      <c r="BK1857" s="26"/>
      <c r="BL1857" s="26"/>
      <c r="BM1857" s="26"/>
      <c r="BN1857" s="26"/>
      <c r="BO1857" s="26"/>
      <c r="BP1857" s="16" t="n">
        <v>45737</v>
      </c>
      <c r="BQ1857" s="28" t="str">
        <f>HYPERLINK("https://organic.ams.usda.gov/Integrity/Certificate.aspx?cid=31&amp;nopid=3920897410")</f>
        <v>https://organic.ams.usda.gov/Integrity/Certificate.aspx?cid=31&amp;nopid=3920897410</v>
      </c>
    </row>
    <row r="1858">
      <c r="A1858" t="s">
        <v>3</v>
      </c>
      <c r="B1858" s="6" t="s">
        <v>8</v>
      </c>
      <c r="C1858" s="6" t="s">
        <v>55</v>
      </c>
      <c r="D1858" s="6" t="s">
        <v>101</v>
      </c>
      <c r="E1858" s="10" t="s">
        <v>1999</v>
      </c>
      <c r="F1858" s="6" t="s">
        <v>4714</v>
      </c>
      <c r="G1858" s="6" t="s">
        <v>81</v>
      </c>
      <c r="H1858" s="6" t="s">
        <v>7594</v>
      </c>
      <c r="I1858" s="6" t="s">
        <v>9319</v>
      </c>
      <c r="J1858" s="6" t="s">
        <v>9701</v>
      </c>
      <c r="K1858" s="6" t="s">
        <v>10886</v>
      </c>
      <c r="L1858" s="16" t="n">
        <v>42505</v>
      </c>
      <c r="M1858" s="16" t="n">
        <v>45689</v>
      </c>
      <c r="N1858" s="6" t="s">
        <v>10886</v>
      </c>
      <c r="O1858" s="16" t="n">
        <v>42505</v>
      </c>
      <c r="P1858" s="6" t="s">
        <v>11989</v>
      </c>
      <c r="Q1858" s="6" t="s">
        <v>81</v>
      </c>
      <c r="R1858" s="6" t="s">
        <v>7594</v>
      </c>
      <c r="S1858" s="6" t="s">
        <v>10886</v>
      </c>
      <c r="T1858" s="16" t="n">
        <v>42505</v>
      </c>
      <c r="U1858" s="6" t="s">
        <v>13357</v>
      </c>
      <c r="V1858" s="6" t="s">
        <v>81</v>
      </c>
      <c r="W1858" s="6" t="s">
        <v>7594</v>
      </c>
      <c r="X1858" s="6" t="s">
        <v>81</v>
      </c>
      <c r="Y1858" s="21" t="s">
        <v>81</v>
      </c>
      <c r="Z1858" s="6" t="s">
        <v>81</v>
      </c>
      <c r="AA1858" s="6" t="s">
        <v>81</v>
      </c>
      <c r="AB1858" s="6" t="s">
        <v>81</v>
      </c>
      <c r="AC1858" s="6" t="s">
        <v>81</v>
      </c>
      <c r="AD1858" s="21" t="s">
        <v>81</v>
      </c>
      <c r="AE1858" s="6" t="s">
        <v>81</v>
      </c>
      <c r="AF1858" s="6" t="s">
        <v>81</v>
      </c>
      <c r="AG1858" s="6" t="s">
        <v>81</v>
      </c>
      <c r="AH1858" s="6" t="s">
        <v>16412</v>
      </c>
      <c r="AI1858" s="6" t="s">
        <v>81</v>
      </c>
      <c r="AJ1858" s="6" t="s">
        <v>17377</v>
      </c>
      <c r="AK1858" s="6" t="s">
        <v>18377</v>
      </c>
      <c r="AL1858" s="6" t="s">
        <v>18444</v>
      </c>
      <c r="AM1858" s="6" t="s">
        <v>18530</v>
      </c>
      <c r="AN1858" s="6" t="s">
        <v>19634</v>
      </c>
      <c r="AO1858" s="6" t="s">
        <v>19764</v>
      </c>
      <c r="AP1858" s="6" t="s">
        <v>81</v>
      </c>
      <c r="AQ1858" s="6" t="s">
        <v>81</v>
      </c>
      <c r="AR1858" s="6" t="s">
        <v>81</v>
      </c>
      <c r="AS1858" s="6" t="s">
        <v>81</v>
      </c>
      <c r="AT1858" s="6" t="s">
        <v>81</v>
      </c>
      <c r="AU1858" s="6" t="s">
        <v>81</v>
      </c>
      <c r="AV1858" s="6" t="s">
        <v>81</v>
      </c>
      <c r="AW1858" s="6" t="s">
        <v>81</v>
      </c>
      <c r="AX1858" s="6" t="s">
        <v>81</v>
      </c>
      <c r="AY1858" s="6" t="s">
        <v>81</v>
      </c>
      <c r="AZ1858" s="6" t="s">
        <v>81</v>
      </c>
      <c r="BA1858" s="6" t="s">
        <v>23819</v>
      </c>
      <c r="BB1858" s="24" t="n">
        <v>105</v>
      </c>
      <c r="BC1858" s="26"/>
      <c r="BD1858" s="26"/>
      <c r="BE1858" s="26"/>
      <c r="BF1858" s="26" t="s">
        <v>23900</v>
      </c>
      <c r="BG1858" s="26"/>
      <c r="BH1858" s="26"/>
      <c r="BI1858" s="26"/>
      <c r="BJ1858" s="26"/>
      <c r="BK1858" s="26"/>
      <c r="BL1858" s="26"/>
      <c r="BM1858" s="26"/>
      <c r="BN1858" s="26"/>
      <c r="BO1858" s="26"/>
      <c r="BP1858" s="16" t="n">
        <v>45713</v>
      </c>
      <c r="BQ1858" s="28" t="str">
        <f>HYPERLINK("https://organic.ams.usda.gov/Integrity/Certificate.aspx?cid=45&amp;nopid=9950009053")</f>
        <v>https://organic.ams.usda.gov/Integrity/Certificate.aspx?cid=45&amp;nopid=9950009053</v>
      </c>
    </row>
    <row r="1859">
      <c r="A1859" t="s">
        <v>3</v>
      </c>
      <c r="B1859" s="6" t="s">
        <v>34</v>
      </c>
      <c r="C1859" s="6" t="s">
        <v>81</v>
      </c>
      <c r="D1859" s="6" t="s">
        <v>81</v>
      </c>
      <c r="E1859" s="10" t="s">
        <v>2000</v>
      </c>
      <c r="F1859" s="6" t="s">
        <v>4715</v>
      </c>
      <c r="G1859" s="6" t="s">
        <v>5762</v>
      </c>
      <c r="H1859" s="6" t="s">
        <v>7595</v>
      </c>
      <c r="I1859" s="6" t="s">
        <v>8916</v>
      </c>
      <c r="J1859" s="6" t="s">
        <v>10476</v>
      </c>
      <c r="K1859" s="6" t="s">
        <v>10886</v>
      </c>
      <c r="L1859" s="16" t="n">
        <v>42094</v>
      </c>
      <c r="M1859" s="16" t="n">
        <v>45747</v>
      </c>
      <c r="N1859" s="6" t="s">
        <v>10886</v>
      </c>
      <c r="O1859" s="16" t="n">
        <v>42094</v>
      </c>
      <c r="P1859" s="6" t="s">
        <v>11128</v>
      </c>
      <c r="Q1859" s="6" t="s">
        <v>81</v>
      </c>
      <c r="R1859" s="6" t="s">
        <v>7595</v>
      </c>
      <c r="S1859" s="6" t="s">
        <v>10886</v>
      </c>
      <c r="T1859" s="16" t="n">
        <v>42094</v>
      </c>
      <c r="U1859" s="6" t="s">
        <v>13735</v>
      </c>
      <c r="V1859" s="6" t="s">
        <v>81</v>
      </c>
      <c r="W1859" s="6" t="s">
        <v>7595</v>
      </c>
      <c r="X1859" s="6" t="s">
        <v>81</v>
      </c>
      <c r="Y1859" s="21" t="s">
        <v>81</v>
      </c>
      <c r="Z1859" s="6" t="s">
        <v>81</v>
      </c>
      <c r="AA1859" s="6" t="s">
        <v>81</v>
      </c>
      <c r="AB1859" s="6" t="s">
        <v>81</v>
      </c>
      <c r="AC1859" s="6" t="s">
        <v>10886</v>
      </c>
      <c r="AD1859" s="16" t="n">
        <v>42451</v>
      </c>
      <c r="AE1859" s="6" t="s">
        <v>14322</v>
      </c>
      <c r="AF1859" s="6" t="s">
        <v>81</v>
      </c>
      <c r="AG1859" s="6" t="s">
        <v>7595</v>
      </c>
      <c r="AH1859" s="6" t="s">
        <v>16413</v>
      </c>
      <c r="AI1859" s="6" t="s">
        <v>81</v>
      </c>
      <c r="AJ1859" s="6" t="s">
        <v>17561</v>
      </c>
      <c r="AK1859" s="6" t="s">
        <v>18386</v>
      </c>
      <c r="AL1859" s="6" t="s">
        <v>18444</v>
      </c>
      <c r="AM1859" s="6" t="s">
        <v>18760</v>
      </c>
      <c r="AN1859" s="6" t="s">
        <v>81</v>
      </c>
      <c r="AO1859" s="6" t="s">
        <v>81</v>
      </c>
      <c r="AP1859" s="6" t="s">
        <v>81</v>
      </c>
      <c r="AQ1859" s="6" t="s">
        <v>81</v>
      </c>
      <c r="AR1859" s="6" t="s">
        <v>81</v>
      </c>
      <c r="AS1859" s="6" t="s">
        <v>81</v>
      </c>
      <c r="AT1859" s="6" t="s">
        <v>81</v>
      </c>
      <c r="AU1859" s="6" t="s">
        <v>81</v>
      </c>
      <c r="AV1859" s="6" t="s">
        <v>81</v>
      </c>
      <c r="AW1859" s="6" t="s">
        <v>81</v>
      </c>
      <c r="AX1859" s="6" t="s">
        <v>21934</v>
      </c>
      <c r="AY1859" s="6" t="s">
        <v>23210</v>
      </c>
      <c r="AZ1859" s="6" t="s">
        <v>81</v>
      </c>
      <c r="BA1859" s="6" t="s">
        <v>23833</v>
      </c>
      <c r="BB1859" s="24" t="n">
        <v>258</v>
      </c>
      <c r="BC1859" s="26"/>
      <c r="BD1859" s="26"/>
      <c r="BE1859" s="26"/>
      <c r="BF1859" s="26" t="s">
        <v>23900</v>
      </c>
      <c r="BG1859" s="26"/>
      <c r="BH1859" s="26"/>
      <c r="BI1859" s="26"/>
      <c r="BJ1859" s="26"/>
      <c r="BK1859" s="26" t="s">
        <v>23900</v>
      </c>
      <c r="BL1859" s="26" t="s">
        <v>23900</v>
      </c>
      <c r="BM1859" s="26"/>
      <c r="BN1859" s="26"/>
      <c r="BO1859" s="26"/>
      <c r="BP1859" s="16" t="n">
        <v>45629</v>
      </c>
      <c r="BQ1859" s="28" t="str">
        <f>HYPERLINK("")</f>
      </c>
    </row>
    <row r="1860">
      <c r="A1860" t="s">
        <v>3</v>
      </c>
      <c r="B1860" s="6" t="s">
        <v>41</v>
      </c>
      <c r="C1860" s="6" t="s">
        <v>88</v>
      </c>
      <c r="D1860" s="6" t="s">
        <v>133</v>
      </c>
      <c r="E1860" s="10" t="s">
        <v>2001</v>
      </c>
      <c r="F1860" s="6" t="s">
        <v>4716</v>
      </c>
      <c r="G1860" s="6" t="s">
        <v>81</v>
      </c>
      <c r="H1860" s="6" t="s">
        <v>7596</v>
      </c>
      <c r="I1860" s="6" t="s">
        <v>81</v>
      </c>
      <c r="J1860" s="6" t="s">
        <v>10477</v>
      </c>
      <c r="K1860" s="6" t="s">
        <v>10886</v>
      </c>
      <c r="L1860" s="16" t="n">
        <v>42342</v>
      </c>
      <c r="M1860" s="16" t="n">
        <v>45896</v>
      </c>
      <c r="N1860" s="6" t="s">
        <v>10886</v>
      </c>
      <c r="O1860" s="16" t="n">
        <v>42342</v>
      </c>
      <c r="P1860" s="6" t="s">
        <v>11990</v>
      </c>
      <c r="Q1860" s="6" t="s">
        <v>81</v>
      </c>
      <c r="R1860" s="6" t="s">
        <v>12955</v>
      </c>
      <c r="S1860" s="6" t="s">
        <v>81</v>
      </c>
      <c r="T1860" s="21" t="s">
        <v>81</v>
      </c>
      <c r="U1860" s="6" t="s">
        <v>81</v>
      </c>
      <c r="V1860" s="6" t="s">
        <v>81</v>
      </c>
      <c r="W1860" s="6" t="s">
        <v>81</v>
      </c>
      <c r="X1860" s="6" t="s">
        <v>81</v>
      </c>
      <c r="Y1860" s="21" t="s">
        <v>81</v>
      </c>
      <c r="Z1860" s="6" t="s">
        <v>81</v>
      </c>
      <c r="AA1860" s="6" t="s">
        <v>81</v>
      </c>
      <c r="AB1860" s="6" t="s">
        <v>81</v>
      </c>
      <c r="AC1860" s="6" t="s">
        <v>10886</v>
      </c>
      <c r="AD1860" s="16" t="n">
        <v>42342</v>
      </c>
      <c r="AE1860" s="6" t="s">
        <v>14323</v>
      </c>
      <c r="AF1860" s="6" t="s">
        <v>81</v>
      </c>
      <c r="AG1860" s="6" t="s">
        <v>12955</v>
      </c>
      <c r="AH1860" s="6" t="s">
        <v>16414</v>
      </c>
      <c r="AI1860" s="6" t="s">
        <v>81</v>
      </c>
      <c r="AJ1860" s="6" t="s">
        <v>18131</v>
      </c>
      <c r="AK1860" s="6" t="s">
        <v>81</v>
      </c>
      <c r="AL1860" s="6" t="s">
        <v>18457</v>
      </c>
      <c r="AM1860" s="6" t="s">
        <v>19332</v>
      </c>
      <c r="AN1860" s="6" t="s">
        <v>81</v>
      </c>
      <c r="AO1860" s="6" t="s">
        <v>81</v>
      </c>
      <c r="AP1860" s="6" t="s">
        <v>81</v>
      </c>
      <c r="AQ1860" s="6" t="s">
        <v>81</v>
      </c>
      <c r="AR1860" s="6" t="s">
        <v>81</v>
      </c>
      <c r="AS1860" s="6" t="s">
        <v>81</v>
      </c>
      <c r="AT1860" s="6" t="s">
        <v>81</v>
      </c>
      <c r="AU1860" s="6" t="s">
        <v>81</v>
      </c>
      <c r="AV1860" s="6" t="s">
        <v>81</v>
      </c>
      <c r="AW1860" s="6" t="s">
        <v>81</v>
      </c>
      <c r="AX1860" s="6" t="s">
        <v>21935</v>
      </c>
      <c r="AY1860" s="6" t="s">
        <v>23211</v>
      </c>
      <c r="AZ1860" s="6" t="s">
        <v>81</v>
      </c>
      <c r="BA1860" s="6" t="s">
        <v>81</v>
      </c>
      <c r="BB1860" s="24" t="n">
        <v>229</v>
      </c>
      <c r="BC1860" s="26"/>
      <c r="BD1860" s="26"/>
      <c r="BE1860" s="26"/>
      <c r="BF1860" s="26"/>
      <c r="BG1860" s="26"/>
      <c r="BH1860" s="26"/>
      <c r="BI1860" s="26"/>
      <c r="BJ1860" s="26"/>
      <c r="BK1860" s="26"/>
      <c r="BL1860" s="26"/>
      <c r="BM1860" s="26"/>
      <c r="BN1860" s="26"/>
      <c r="BO1860" s="26"/>
      <c r="BP1860" s="16" t="n">
        <v>45730</v>
      </c>
      <c r="BQ1860" s="28" t="str">
        <f>HYPERLINK("https://organic.ams.usda.gov/Integrity/Certificate.aspx?cid=12&amp;nopid=8690014244")</f>
        <v>https://organic.ams.usda.gov/Integrity/Certificate.aspx?cid=12&amp;nopid=8690014244</v>
      </c>
    </row>
    <row r="1861">
      <c r="A1861" t="s">
        <v>3</v>
      </c>
      <c r="B1861" s="6" t="s">
        <v>10</v>
      </c>
      <c r="C1861" s="6" t="s">
        <v>57</v>
      </c>
      <c r="D1861" s="6" t="s">
        <v>103</v>
      </c>
      <c r="E1861" s="10" t="s">
        <v>2002</v>
      </c>
      <c r="F1861" s="6" t="s">
        <v>4717</v>
      </c>
      <c r="G1861" s="6" t="s">
        <v>81</v>
      </c>
      <c r="H1861" s="6" t="s">
        <v>7597</v>
      </c>
      <c r="I1861" s="6" t="s">
        <v>9320</v>
      </c>
      <c r="J1861" s="6" t="s">
        <v>9233</v>
      </c>
      <c r="K1861" s="6" t="s">
        <v>10886</v>
      </c>
      <c r="L1861" s="16" t="n">
        <v>44439</v>
      </c>
      <c r="M1861" s="16" t="n">
        <v>45748</v>
      </c>
      <c r="N1861" s="6" t="s">
        <v>10886</v>
      </c>
      <c r="O1861" s="16" t="n">
        <v>44634</v>
      </c>
      <c r="P1861" s="6" t="s">
        <v>10925</v>
      </c>
      <c r="Q1861" s="6" t="s">
        <v>81</v>
      </c>
      <c r="R1861" s="6" t="s">
        <v>12956</v>
      </c>
      <c r="S1861" s="6" t="s">
        <v>10886</v>
      </c>
      <c r="T1861" s="16" t="n">
        <v>44634</v>
      </c>
      <c r="U1861" s="6" t="s">
        <v>13163</v>
      </c>
      <c r="V1861" s="6" t="s">
        <v>81</v>
      </c>
      <c r="W1861" s="6" t="s">
        <v>81</v>
      </c>
      <c r="X1861" s="6" t="s">
        <v>81</v>
      </c>
      <c r="Y1861" s="21" t="s">
        <v>81</v>
      </c>
      <c r="Z1861" s="6" t="s">
        <v>81</v>
      </c>
      <c r="AA1861" s="6" t="s">
        <v>81</v>
      </c>
      <c r="AB1861" s="6" t="s">
        <v>81</v>
      </c>
      <c r="AC1861" s="6" t="s">
        <v>81</v>
      </c>
      <c r="AD1861" s="21" t="s">
        <v>81</v>
      </c>
      <c r="AE1861" s="6" t="s">
        <v>81</v>
      </c>
      <c r="AF1861" s="6" t="s">
        <v>81</v>
      </c>
      <c r="AG1861" s="6" t="s">
        <v>81</v>
      </c>
      <c r="AH1861" s="6" t="s">
        <v>16415</v>
      </c>
      <c r="AI1861" s="6" t="s">
        <v>81</v>
      </c>
      <c r="AJ1861" s="6" t="s">
        <v>18026</v>
      </c>
      <c r="AK1861" s="6" t="s">
        <v>18378</v>
      </c>
      <c r="AL1861" s="6" t="s">
        <v>18444</v>
      </c>
      <c r="AM1861" s="6" t="s">
        <v>19216</v>
      </c>
      <c r="AN1861" s="6" t="s">
        <v>19645</v>
      </c>
      <c r="AO1861" s="6" t="s">
        <v>19987</v>
      </c>
      <c r="AP1861" s="6" t="s">
        <v>16415</v>
      </c>
      <c r="AQ1861" s="6" t="s">
        <v>81</v>
      </c>
      <c r="AR1861" s="6" t="s">
        <v>18026</v>
      </c>
      <c r="AS1861" s="6" t="s">
        <v>18378</v>
      </c>
      <c r="AT1861" s="6" t="s">
        <v>18444</v>
      </c>
      <c r="AU1861" s="6" t="s">
        <v>19216</v>
      </c>
      <c r="AV1861" s="6" t="s">
        <v>81</v>
      </c>
      <c r="AW1861" s="6" t="s">
        <v>81</v>
      </c>
      <c r="AX1861" s="6" t="s">
        <v>21936</v>
      </c>
      <c r="AY1861" s="6" t="s">
        <v>81</v>
      </c>
      <c r="AZ1861" s="6" t="s">
        <v>81</v>
      </c>
      <c r="BA1861" s="6" t="s">
        <v>81</v>
      </c>
      <c r="BB1861" s="24" t="n">
        <v>121</v>
      </c>
      <c r="BC1861" s="26"/>
      <c r="BD1861" s="26"/>
      <c r="BE1861" s="26"/>
      <c r="BF1861" s="26"/>
      <c r="BG1861" s="26"/>
      <c r="BH1861" s="26"/>
      <c r="BI1861" s="26"/>
      <c r="BJ1861" s="26"/>
      <c r="BK1861" s="26"/>
      <c r="BL1861" s="26"/>
      <c r="BM1861" s="26"/>
      <c r="BN1861" s="26"/>
      <c r="BO1861" s="26"/>
      <c r="BP1861" s="16" t="n">
        <v>45730</v>
      </c>
      <c r="BQ1861" s="28" t="str">
        <f>HYPERLINK("https://organic.ams.usda.gov/Integrity/Certificate.aspx?cid=90&amp;nopid=7170220470")</f>
        <v>https://organic.ams.usda.gov/Integrity/Certificate.aspx?cid=90&amp;nopid=7170220470</v>
      </c>
    </row>
    <row r="1862">
      <c r="A1862" t="s">
        <v>3</v>
      </c>
      <c r="B1862" s="6" t="s">
        <v>10</v>
      </c>
      <c r="C1862" s="6" t="s">
        <v>57</v>
      </c>
      <c r="D1862" s="6" t="s">
        <v>103</v>
      </c>
      <c r="E1862" s="10" t="s">
        <v>2003</v>
      </c>
      <c r="F1862" s="6" t="s">
        <v>4718</v>
      </c>
      <c r="G1862" s="6" t="s">
        <v>81</v>
      </c>
      <c r="H1862" s="6" t="s">
        <v>7598</v>
      </c>
      <c r="I1862" s="6" t="s">
        <v>9320</v>
      </c>
      <c r="J1862" s="6" t="s">
        <v>9665</v>
      </c>
      <c r="K1862" s="6" t="s">
        <v>10886</v>
      </c>
      <c r="L1862" s="16" t="n">
        <v>45048</v>
      </c>
      <c r="M1862" s="16" t="n">
        <v>45748</v>
      </c>
      <c r="N1862" s="6" t="s">
        <v>10886</v>
      </c>
      <c r="O1862" s="16" t="n">
        <v>45048</v>
      </c>
      <c r="P1862" s="6" t="s">
        <v>11991</v>
      </c>
      <c r="Q1862" s="6" t="s">
        <v>81</v>
      </c>
      <c r="R1862" s="6" t="s">
        <v>12957</v>
      </c>
      <c r="S1862" s="6" t="s">
        <v>10886</v>
      </c>
      <c r="T1862" s="16" t="n">
        <v>45048</v>
      </c>
      <c r="U1862" s="6" t="s">
        <v>13163</v>
      </c>
      <c r="V1862" s="6" t="s">
        <v>81</v>
      </c>
      <c r="W1862" s="6" t="s">
        <v>81</v>
      </c>
      <c r="X1862" s="6" t="s">
        <v>81</v>
      </c>
      <c r="Y1862" s="21" t="s">
        <v>81</v>
      </c>
      <c r="Z1862" s="6" t="s">
        <v>81</v>
      </c>
      <c r="AA1862" s="6" t="s">
        <v>81</v>
      </c>
      <c r="AB1862" s="6" t="s">
        <v>81</v>
      </c>
      <c r="AC1862" s="6" t="s">
        <v>81</v>
      </c>
      <c r="AD1862" s="21" t="s">
        <v>81</v>
      </c>
      <c r="AE1862" s="6" t="s">
        <v>81</v>
      </c>
      <c r="AF1862" s="6" t="s">
        <v>81</v>
      </c>
      <c r="AG1862" s="6" t="s">
        <v>81</v>
      </c>
      <c r="AH1862" s="6" t="s">
        <v>16416</v>
      </c>
      <c r="AI1862" s="6" t="s">
        <v>81</v>
      </c>
      <c r="AJ1862" s="6" t="s">
        <v>18132</v>
      </c>
      <c r="AK1862" s="6" t="s">
        <v>18378</v>
      </c>
      <c r="AL1862" s="6" t="s">
        <v>18444</v>
      </c>
      <c r="AM1862" s="6" t="s">
        <v>18471</v>
      </c>
      <c r="AN1862" s="6" t="s">
        <v>19640</v>
      </c>
      <c r="AO1862" s="6" t="s">
        <v>19726</v>
      </c>
      <c r="AP1862" s="6" t="s">
        <v>16416</v>
      </c>
      <c r="AQ1862" s="6" t="s">
        <v>81</v>
      </c>
      <c r="AR1862" s="6" t="s">
        <v>18132</v>
      </c>
      <c r="AS1862" s="6" t="s">
        <v>18378</v>
      </c>
      <c r="AT1862" s="6" t="s">
        <v>18444</v>
      </c>
      <c r="AU1862" s="6" t="s">
        <v>18471</v>
      </c>
      <c r="AV1862" s="6" t="s">
        <v>81</v>
      </c>
      <c r="AW1862" s="6" t="s">
        <v>81</v>
      </c>
      <c r="AX1862" s="6" t="s">
        <v>21937</v>
      </c>
      <c r="AY1862" s="6" t="s">
        <v>81</v>
      </c>
      <c r="AZ1862" s="6" t="s">
        <v>81</v>
      </c>
      <c r="BA1862" s="6" t="s">
        <v>81</v>
      </c>
      <c r="BB1862" s="24" t="n">
        <v>88</v>
      </c>
      <c r="BC1862" s="26"/>
      <c r="BD1862" s="26"/>
      <c r="BE1862" s="26"/>
      <c r="BF1862" s="26"/>
      <c r="BG1862" s="26"/>
      <c r="BH1862" s="26"/>
      <c r="BI1862" s="26"/>
      <c r="BJ1862" s="26"/>
      <c r="BK1862" s="26"/>
      <c r="BL1862" s="26"/>
      <c r="BM1862" s="26"/>
      <c r="BN1862" s="26"/>
      <c r="BO1862" s="26"/>
      <c r="BP1862" s="16" t="n">
        <v>45730</v>
      </c>
      <c r="BQ1862" s="28" t="str">
        <f>HYPERLINK("https://organic.ams.usda.gov/Integrity/Certificate.aspx?cid=90&amp;nopid=7170230663")</f>
        <v>https://organic.ams.usda.gov/Integrity/Certificate.aspx?cid=90&amp;nopid=7170230663</v>
      </c>
    </row>
    <row r="1863">
      <c r="A1863" t="s">
        <v>3</v>
      </c>
      <c r="B1863" s="6" t="s">
        <v>12</v>
      </c>
      <c r="C1863" s="6" t="s">
        <v>59</v>
      </c>
      <c r="D1863" s="6" t="s">
        <v>105</v>
      </c>
      <c r="E1863" s="10" t="s">
        <v>2004</v>
      </c>
      <c r="F1863" s="6" t="s">
        <v>4719</v>
      </c>
      <c r="G1863" s="6" t="s">
        <v>81</v>
      </c>
      <c r="H1863" s="6" t="s">
        <v>7599</v>
      </c>
      <c r="I1863" s="6" t="s">
        <v>9321</v>
      </c>
      <c r="J1863" s="6" t="s">
        <v>10179</v>
      </c>
      <c r="K1863" s="6" t="s">
        <v>10886</v>
      </c>
      <c r="L1863" s="16" t="n">
        <v>37550</v>
      </c>
      <c r="M1863" s="16" t="n">
        <v>45717</v>
      </c>
      <c r="N1863" s="6" t="s">
        <v>10886</v>
      </c>
      <c r="O1863" s="16" t="n">
        <v>37550</v>
      </c>
      <c r="P1863" s="6" t="s">
        <v>11992</v>
      </c>
      <c r="Q1863" s="6" t="s">
        <v>81</v>
      </c>
      <c r="R1863" s="6" t="s">
        <v>81</v>
      </c>
      <c r="S1863" s="6" t="s">
        <v>10886</v>
      </c>
      <c r="T1863" s="16" t="n">
        <v>37550</v>
      </c>
      <c r="U1863" s="6" t="s">
        <v>13262</v>
      </c>
      <c r="V1863" s="6" t="s">
        <v>81</v>
      </c>
      <c r="W1863" s="6" t="s">
        <v>81</v>
      </c>
      <c r="X1863" s="6" t="s">
        <v>81</v>
      </c>
      <c r="Y1863" s="21" t="s">
        <v>81</v>
      </c>
      <c r="Z1863" s="6" t="s">
        <v>81</v>
      </c>
      <c r="AA1863" s="6" t="s">
        <v>81</v>
      </c>
      <c r="AB1863" s="6" t="s">
        <v>81</v>
      </c>
      <c r="AC1863" s="6" t="s">
        <v>81</v>
      </c>
      <c r="AD1863" s="21" t="s">
        <v>81</v>
      </c>
      <c r="AE1863" s="6" t="s">
        <v>81</v>
      </c>
      <c r="AF1863" s="6" t="s">
        <v>81</v>
      </c>
      <c r="AG1863" s="6" t="s">
        <v>81</v>
      </c>
      <c r="AH1863" s="6" t="s">
        <v>16417</v>
      </c>
      <c r="AI1863" s="6" t="s">
        <v>81</v>
      </c>
      <c r="AJ1863" s="6" t="s">
        <v>17858</v>
      </c>
      <c r="AK1863" s="6" t="s">
        <v>18380</v>
      </c>
      <c r="AL1863" s="6" t="s">
        <v>18444</v>
      </c>
      <c r="AM1863" s="6" t="s">
        <v>19040</v>
      </c>
      <c r="AN1863" s="6" t="s">
        <v>19686</v>
      </c>
      <c r="AO1863" s="6" t="s">
        <v>19817</v>
      </c>
      <c r="AP1863" s="6" t="s">
        <v>16417</v>
      </c>
      <c r="AQ1863" s="6" t="s">
        <v>81</v>
      </c>
      <c r="AR1863" s="6" t="s">
        <v>17858</v>
      </c>
      <c r="AS1863" s="6" t="s">
        <v>18380</v>
      </c>
      <c r="AT1863" s="6" t="s">
        <v>18444</v>
      </c>
      <c r="AU1863" s="6" t="s">
        <v>19040</v>
      </c>
      <c r="AV1863" s="6" t="s">
        <v>81</v>
      </c>
      <c r="AW1863" s="6" t="s">
        <v>81</v>
      </c>
      <c r="AX1863" s="6" t="s">
        <v>21938</v>
      </c>
      <c r="AY1863" s="6" t="s">
        <v>23212</v>
      </c>
      <c r="AZ1863" s="6" t="s">
        <v>81</v>
      </c>
      <c r="BA1863" s="6" t="s">
        <v>81</v>
      </c>
      <c r="BB1863" s="24" t="n">
        <v>346</v>
      </c>
      <c r="BC1863" s="26"/>
      <c r="BD1863" s="26"/>
      <c r="BE1863" s="26"/>
      <c r="BF1863" s="26"/>
      <c r="BG1863" s="26"/>
      <c r="BH1863" s="26"/>
      <c r="BI1863" s="26"/>
      <c r="BJ1863" s="26"/>
      <c r="BK1863" s="26"/>
      <c r="BL1863" s="26"/>
      <c r="BM1863" s="26"/>
      <c r="BN1863" s="26"/>
      <c r="BO1863" s="26"/>
      <c r="BP1863" s="16" t="n">
        <v>45685</v>
      </c>
      <c r="BQ1863" s="28" t="str">
        <f>HYPERLINK("https://organic.ams.usda.gov/Integrity/Certificate.aspx?cid=68&amp;nopid=8210003138")</f>
        <v>https://organic.ams.usda.gov/Integrity/Certificate.aspx?cid=68&amp;nopid=8210003138</v>
      </c>
    </row>
    <row r="1864">
      <c r="A1864" t="s">
        <v>3</v>
      </c>
      <c r="B1864" s="6" t="s">
        <v>8</v>
      </c>
      <c r="C1864" s="6" t="s">
        <v>55</v>
      </c>
      <c r="D1864" s="6" t="s">
        <v>101</v>
      </c>
      <c r="E1864" s="10" t="s">
        <v>2005</v>
      </c>
      <c r="F1864" s="6" t="s">
        <v>4720</v>
      </c>
      <c r="G1864" s="6" t="s">
        <v>81</v>
      </c>
      <c r="H1864" s="6" t="s">
        <v>7600</v>
      </c>
      <c r="I1864" s="6" t="s">
        <v>9320</v>
      </c>
      <c r="J1864" s="6" t="s">
        <v>9726</v>
      </c>
      <c r="K1864" s="6" t="s">
        <v>10886</v>
      </c>
      <c r="L1864" s="16" t="n">
        <v>43558</v>
      </c>
      <c r="M1864" s="16" t="n">
        <v>45383</v>
      </c>
      <c r="N1864" s="6" t="s">
        <v>10886</v>
      </c>
      <c r="O1864" s="16" t="n">
        <v>43558</v>
      </c>
      <c r="P1864" s="6" t="s">
        <v>11993</v>
      </c>
      <c r="Q1864" s="6" t="s">
        <v>81</v>
      </c>
      <c r="R1864" s="6" t="s">
        <v>7600</v>
      </c>
      <c r="S1864" s="6" t="s">
        <v>10886</v>
      </c>
      <c r="T1864" s="16" t="n">
        <v>43558</v>
      </c>
      <c r="U1864" s="6" t="s">
        <v>13736</v>
      </c>
      <c r="V1864" s="6" t="s">
        <v>81</v>
      </c>
      <c r="W1864" s="6" t="s">
        <v>7600</v>
      </c>
      <c r="X1864" s="6" t="s">
        <v>81</v>
      </c>
      <c r="Y1864" s="21" t="s">
        <v>81</v>
      </c>
      <c r="Z1864" s="6" t="s">
        <v>81</v>
      </c>
      <c r="AA1864" s="6" t="s">
        <v>81</v>
      </c>
      <c r="AB1864" s="6" t="s">
        <v>81</v>
      </c>
      <c r="AC1864" s="6" t="s">
        <v>81</v>
      </c>
      <c r="AD1864" s="21" t="s">
        <v>81</v>
      </c>
      <c r="AE1864" s="6" t="s">
        <v>81</v>
      </c>
      <c r="AF1864" s="6" t="s">
        <v>81</v>
      </c>
      <c r="AG1864" s="6" t="s">
        <v>81</v>
      </c>
      <c r="AH1864" s="6" t="s">
        <v>16418</v>
      </c>
      <c r="AI1864" s="6" t="s">
        <v>81</v>
      </c>
      <c r="AJ1864" s="6" t="s">
        <v>18133</v>
      </c>
      <c r="AK1864" s="6" t="s">
        <v>18378</v>
      </c>
      <c r="AL1864" s="6" t="s">
        <v>18444</v>
      </c>
      <c r="AM1864" s="6" t="s">
        <v>19333</v>
      </c>
      <c r="AN1864" s="6" t="s">
        <v>19640</v>
      </c>
      <c r="AO1864" s="6" t="s">
        <v>19726</v>
      </c>
      <c r="AP1864" s="6" t="s">
        <v>81</v>
      </c>
      <c r="AQ1864" s="6" t="s">
        <v>81</v>
      </c>
      <c r="AR1864" s="6" t="s">
        <v>81</v>
      </c>
      <c r="AS1864" s="6" t="s">
        <v>81</v>
      </c>
      <c r="AT1864" s="6" t="s">
        <v>81</v>
      </c>
      <c r="AU1864" s="6" t="s">
        <v>81</v>
      </c>
      <c r="AV1864" s="6" t="s">
        <v>81</v>
      </c>
      <c r="AW1864" s="6" t="s">
        <v>81</v>
      </c>
      <c r="AX1864" s="6" t="s">
        <v>81</v>
      </c>
      <c r="AY1864" s="6" t="s">
        <v>81</v>
      </c>
      <c r="AZ1864" s="6" t="s">
        <v>81</v>
      </c>
      <c r="BA1864" s="6" t="s">
        <v>23819</v>
      </c>
      <c r="BB1864" s="24" t="n">
        <v>124</v>
      </c>
      <c r="BC1864" s="26"/>
      <c r="BD1864" s="26"/>
      <c r="BE1864" s="26"/>
      <c r="BF1864" s="26" t="s">
        <v>23900</v>
      </c>
      <c r="BG1864" s="26"/>
      <c r="BH1864" s="26"/>
      <c r="BI1864" s="26"/>
      <c r="BJ1864" s="26"/>
      <c r="BK1864" s="26"/>
      <c r="BL1864" s="26"/>
      <c r="BM1864" s="26"/>
      <c r="BN1864" s="26"/>
      <c r="BO1864" s="26"/>
      <c r="BP1864" s="16" t="n">
        <v>45393</v>
      </c>
      <c r="BQ1864" s="28" t="str">
        <f>HYPERLINK("https://organic.ams.usda.gov/Integrity/Certificate.aspx?cid=45&amp;nopid=9950009620")</f>
        <v>https://organic.ams.usda.gov/Integrity/Certificate.aspx?cid=45&amp;nopid=9950009620</v>
      </c>
    </row>
    <row r="1865">
      <c r="A1865" t="s">
        <v>3</v>
      </c>
      <c r="B1865" s="6" t="s">
        <v>19</v>
      </c>
      <c r="C1865" s="6" t="s">
        <v>66</v>
      </c>
      <c r="D1865" s="6" t="s">
        <v>112</v>
      </c>
      <c r="E1865" s="10" t="s">
        <v>2006</v>
      </c>
      <c r="F1865" s="6" t="s">
        <v>4721</v>
      </c>
      <c r="G1865" s="6" t="s">
        <v>81</v>
      </c>
      <c r="H1865" s="6" t="s">
        <v>7601</v>
      </c>
      <c r="I1865" s="6" t="s">
        <v>81</v>
      </c>
      <c r="J1865" s="6" t="s">
        <v>10478</v>
      </c>
      <c r="K1865" s="6" t="s">
        <v>10886</v>
      </c>
      <c r="L1865" s="16" t="n">
        <v>44069</v>
      </c>
      <c r="M1865" s="16" t="n">
        <v>46054</v>
      </c>
      <c r="N1865" s="6" t="s">
        <v>81</v>
      </c>
      <c r="O1865" s="21" t="s">
        <v>81</v>
      </c>
      <c r="P1865" s="6" t="s">
        <v>81</v>
      </c>
      <c r="Q1865" s="6" t="s">
        <v>81</v>
      </c>
      <c r="R1865" s="6" t="s">
        <v>81</v>
      </c>
      <c r="S1865" s="6" t="s">
        <v>81</v>
      </c>
      <c r="T1865" s="21" t="s">
        <v>81</v>
      </c>
      <c r="U1865" s="6" t="s">
        <v>81</v>
      </c>
      <c r="V1865" s="6" t="s">
        <v>81</v>
      </c>
      <c r="W1865" s="6" t="s">
        <v>81</v>
      </c>
      <c r="X1865" s="6" t="s">
        <v>81</v>
      </c>
      <c r="Y1865" s="21" t="s">
        <v>81</v>
      </c>
      <c r="Z1865" s="6" t="s">
        <v>81</v>
      </c>
      <c r="AA1865" s="6" t="s">
        <v>81</v>
      </c>
      <c r="AB1865" s="6" t="s">
        <v>81</v>
      </c>
      <c r="AC1865" s="6" t="s">
        <v>10886</v>
      </c>
      <c r="AD1865" s="16" t="n">
        <v>44069</v>
      </c>
      <c r="AE1865" s="6" t="s">
        <v>14324</v>
      </c>
      <c r="AF1865" s="6" t="s">
        <v>81</v>
      </c>
      <c r="AG1865" s="6" t="s">
        <v>81</v>
      </c>
      <c r="AH1865" s="6" t="s">
        <v>16419</v>
      </c>
      <c r="AI1865" s="6" t="s">
        <v>81</v>
      </c>
      <c r="AJ1865" s="6" t="s">
        <v>18085</v>
      </c>
      <c r="AK1865" s="6" t="s">
        <v>18403</v>
      </c>
      <c r="AL1865" s="6" t="s">
        <v>18444</v>
      </c>
      <c r="AM1865" s="6" t="s">
        <v>19281</v>
      </c>
      <c r="AN1865" s="6" t="s">
        <v>19690</v>
      </c>
      <c r="AO1865" s="6" t="s">
        <v>19786</v>
      </c>
      <c r="AP1865" s="6" t="s">
        <v>81</v>
      </c>
      <c r="AQ1865" s="6" t="s">
        <v>81</v>
      </c>
      <c r="AR1865" s="6" t="s">
        <v>81</v>
      </c>
      <c r="AS1865" s="6" t="s">
        <v>81</v>
      </c>
      <c r="AT1865" s="6" t="s">
        <v>81</v>
      </c>
      <c r="AU1865" s="6" t="s">
        <v>81</v>
      </c>
      <c r="AV1865" s="6" t="s">
        <v>81</v>
      </c>
      <c r="AW1865" s="6" t="s">
        <v>81</v>
      </c>
      <c r="AX1865" s="6" t="s">
        <v>21939</v>
      </c>
      <c r="AY1865" s="6" t="s">
        <v>23213</v>
      </c>
      <c r="AZ1865" s="6" t="s">
        <v>23723</v>
      </c>
      <c r="BA1865" s="6" t="s">
        <v>81</v>
      </c>
      <c r="BB1865" s="24" t="n">
        <v>0</v>
      </c>
      <c r="BC1865" s="26"/>
      <c r="BD1865" s="26"/>
      <c r="BE1865" s="26"/>
      <c r="BF1865" s="26"/>
      <c r="BG1865" s="26"/>
      <c r="BH1865" s="26"/>
      <c r="BI1865" s="26"/>
      <c r="BJ1865" s="26"/>
      <c r="BK1865" s="26"/>
      <c r="BL1865" s="26"/>
      <c r="BM1865" s="26"/>
      <c r="BN1865" s="26"/>
      <c r="BO1865" s="26"/>
      <c r="BP1865" s="16" t="n">
        <v>45690</v>
      </c>
      <c r="BQ1865" s="28" t="str">
        <f>HYPERLINK("https://organic.ams.usda.gov/Integrity/Certificate.aspx?cid=24&amp;nopid=7880181024")</f>
        <v>https://organic.ams.usda.gov/Integrity/Certificate.aspx?cid=24&amp;nopid=7880181024</v>
      </c>
    </row>
    <row r="1866">
      <c r="A1866" t="s">
        <v>3</v>
      </c>
      <c r="B1866" s="6" t="s">
        <v>16</v>
      </c>
      <c r="C1866" s="6" t="s">
        <v>63</v>
      </c>
      <c r="D1866" s="6" t="s">
        <v>109</v>
      </c>
      <c r="E1866" s="10" t="s">
        <v>2007</v>
      </c>
      <c r="F1866" s="6" t="s">
        <v>4722</v>
      </c>
      <c r="G1866" s="6" t="s">
        <v>81</v>
      </c>
      <c r="H1866" s="6" t="s">
        <v>7602</v>
      </c>
      <c r="I1866" s="6" t="s">
        <v>8601</v>
      </c>
      <c r="J1866" s="6" t="s">
        <v>10479</v>
      </c>
      <c r="K1866" s="6" t="s">
        <v>10886</v>
      </c>
      <c r="L1866" s="16" t="n">
        <v>39152</v>
      </c>
      <c r="M1866" s="16" t="n">
        <v>46037</v>
      </c>
      <c r="N1866" s="6" t="s">
        <v>10886</v>
      </c>
      <c r="O1866" s="16" t="n">
        <v>39152</v>
      </c>
      <c r="P1866" s="6" t="s">
        <v>11994</v>
      </c>
      <c r="Q1866" s="6" t="s">
        <v>81</v>
      </c>
      <c r="R1866" s="6" t="s">
        <v>81</v>
      </c>
      <c r="S1866" s="6" t="s">
        <v>10886</v>
      </c>
      <c r="T1866" s="16" t="n">
        <v>39152</v>
      </c>
      <c r="U1866" s="6" t="s">
        <v>13737</v>
      </c>
      <c r="V1866" s="6" t="s">
        <v>81</v>
      </c>
      <c r="W1866" s="6" t="s">
        <v>81</v>
      </c>
      <c r="X1866" s="6" t="s">
        <v>81</v>
      </c>
      <c r="Y1866" s="21" t="s">
        <v>81</v>
      </c>
      <c r="Z1866" s="6" t="s">
        <v>81</v>
      </c>
      <c r="AA1866" s="6" t="s">
        <v>81</v>
      </c>
      <c r="AB1866" s="6" t="s">
        <v>81</v>
      </c>
      <c r="AC1866" s="6" t="s">
        <v>10886</v>
      </c>
      <c r="AD1866" s="16" t="n">
        <v>39152</v>
      </c>
      <c r="AE1866" s="6" t="s">
        <v>14325</v>
      </c>
      <c r="AF1866" s="6" t="s">
        <v>81</v>
      </c>
      <c r="AG1866" s="6" t="s">
        <v>81</v>
      </c>
      <c r="AH1866" s="6" t="s">
        <v>16420</v>
      </c>
      <c r="AI1866" s="6" t="s">
        <v>81</v>
      </c>
      <c r="AJ1866" s="6" t="s">
        <v>17334</v>
      </c>
      <c r="AK1866" s="6" t="s">
        <v>18383</v>
      </c>
      <c r="AL1866" s="6" t="s">
        <v>18444</v>
      </c>
      <c r="AM1866" s="6" t="s">
        <v>19304</v>
      </c>
      <c r="AN1866" s="6" t="s">
        <v>19683</v>
      </c>
      <c r="AO1866" s="6" t="s">
        <v>19751</v>
      </c>
      <c r="AP1866" s="6" t="s">
        <v>81</v>
      </c>
      <c r="AQ1866" s="6" t="s">
        <v>81</v>
      </c>
      <c r="AR1866" s="6" t="s">
        <v>81</v>
      </c>
      <c r="AS1866" s="6" t="s">
        <v>81</v>
      </c>
      <c r="AT1866" s="6" t="s">
        <v>81</v>
      </c>
      <c r="AU1866" s="6" t="s">
        <v>81</v>
      </c>
      <c r="AV1866" s="6" t="s">
        <v>81</v>
      </c>
      <c r="AW1866" s="6" t="s">
        <v>81</v>
      </c>
      <c r="AX1866" s="6" t="s">
        <v>21940</v>
      </c>
      <c r="AY1866" s="6" t="s">
        <v>81</v>
      </c>
      <c r="AZ1866" s="6" t="s">
        <v>81</v>
      </c>
      <c r="BA1866" s="6" t="s">
        <v>81</v>
      </c>
      <c r="BB1866" s="24" t="n">
        <v>804</v>
      </c>
      <c r="BC1866" s="26"/>
      <c r="BD1866" s="26"/>
      <c r="BE1866" s="26"/>
      <c r="BF1866" s="26"/>
      <c r="BG1866" s="26"/>
      <c r="BH1866" s="26"/>
      <c r="BI1866" s="26"/>
      <c r="BJ1866" s="26"/>
      <c r="BK1866" s="26"/>
      <c r="BL1866" s="26"/>
      <c r="BM1866" s="26"/>
      <c r="BN1866" s="26"/>
      <c r="BO1866" s="26"/>
      <c r="BP1866" s="16" t="n">
        <v>45701</v>
      </c>
      <c r="BQ1866" s="28" t="str">
        <f>HYPERLINK("https://organic.ams.usda.gov/Integrity/Certificate.aspx?cid=81&amp;nopid=4210007011")</f>
        <v>https://organic.ams.usda.gov/Integrity/Certificate.aspx?cid=81&amp;nopid=4210007011</v>
      </c>
    </row>
    <row r="1867">
      <c r="A1867" t="s">
        <v>3</v>
      </c>
      <c r="B1867" s="6" t="s">
        <v>46</v>
      </c>
      <c r="C1867" s="6" t="s">
        <v>93</v>
      </c>
      <c r="D1867" s="6" t="s">
        <v>138</v>
      </c>
      <c r="E1867" s="10" t="s">
        <v>2008</v>
      </c>
      <c r="F1867" s="6" t="s">
        <v>4723</v>
      </c>
      <c r="G1867" s="6" t="s">
        <v>81</v>
      </c>
      <c r="H1867" s="6" t="s">
        <v>81</v>
      </c>
      <c r="I1867" s="6" t="s">
        <v>8391</v>
      </c>
      <c r="J1867" s="6" t="s">
        <v>10268</v>
      </c>
      <c r="K1867" s="6" t="s">
        <v>10886</v>
      </c>
      <c r="L1867" s="16" t="n">
        <v>43187</v>
      </c>
      <c r="M1867" s="16" t="n">
        <v>45744</v>
      </c>
      <c r="N1867" s="6" t="s">
        <v>81</v>
      </c>
      <c r="O1867" s="21" t="s">
        <v>81</v>
      </c>
      <c r="P1867" s="6" t="s">
        <v>81</v>
      </c>
      <c r="Q1867" s="6" t="s">
        <v>81</v>
      </c>
      <c r="R1867" s="6" t="s">
        <v>81</v>
      </c>
      <c r="S1867" s="6" t="s">
        <v>81</v>
      </c>
      <c r="T1867" s="21" t="s">
        <v>81</v>
      </c>
      <c r="U1867" s="6" t="s">
        <v>81</v>
      </c>
      <c r="V1867" s="6" t="s">
        <v>81</v>
      </c>
      <c r="W1867" s="6" t="s">
        <v>81</v>
      </c>
      <c r="X1867" s="6" t="s">
        <v>81</v>
      </c>
      <c r="Y1867" s="21" t="s">
        <v>81</v>
      </c>
      <c r="Z1867" s="6" t="s">
        <v>81</v>
      </c>
      <c r="AA1867" s="6" t="s">
        <v>81</v>
      </c>
      <c r="AB1867" s="6" t="s">
        <v>81</v>
      </c>
      <c r="AC1867" s="6" t="s">
        <v>10886</v>
      </c>
      <c r="AD1867" s="16" t="n">
        <v>43187</v>
      </c>
      <c r="AE1867" s="6" t="s">
        <v>14326</v>
      </c>
      <c r="AF1867" s="6" t="s">
        <v>81</v>
      </c>
      <c r="AG1867" s="6" t="s">
        <v>81</v>
      </c>
      <c r="AH1867" s="6" t="s">
        <v>16421</v>
      </c>
      <c r="AI1867" s="6" t="s">
        <v>81</v>
      </c>
      <c r="AJ1867" s="6" t="s">
        <v>18134</v>
      </c>
      <c r="AK1867" s="6" t="s">
        <v>18395</v>
      </c>
      <c r="AL1867" s="6" t="s">
        <v>18444</v>
      </c>
      <c r="AM1867" s="6" t="s">
        <v>19334</v>
      </c>
      <c r="AN1867" s="6" t="s">
        <v>19713</v>
      </c>
      <c r="AO1867" s="6" t="s">
        <v>20027</v>
      </c>
      <c r="AP1867" s="6" t="s">
        <v>81</v>
      </c>
      <c r="AQ1867" s="6" t="s">
        <v>81</v>
      </c>
      <c r="AR1867" s="6" t="s">
        <v>81</v>
      </c>
      <c r="AS1867" s="6" t="s">
        <v>81</v>
      </c>
      <c r="AT1867" s="6" t="s">
        <v>81</v>
      </c>
      <c r="AU1867" s="6" t="s">
        <v>81</v>
      </c>
      <c r="AV1867" s="6" t="s">
        <v>81</v>
      </c>
      <c r="AW1867" s="6" t="s">
        <v>81</v>
      </c>
      <c r="AX1867" s="6" t="s">
        <v>81</v>
      </c>
      <c r="AY1867" s="6" t="s">
        <v>23214</v>
      </c>
      <c r="AZ1867" s="6" t="s">
        <v>23724</v>
      </c>
      <c r="BA1867" s="6" t="s">
        <v>81</v>
      </c>
      <c r="BB1867" s="6" t="s">
        <v>81</v>
      </c>
      <c r="BC1867" s="26"/>
      <c r="BD1867" s="26"/>
      <c r="BE1867" s="26"/>
      <c r="BF1867" s="26"/>
      <c r="BG1867" s="26"/>
      <c r="BH1867" s="26"/>
      <c r="BI1867" s="26"/>
      <c r="BJ1867" s="26"/>
      <c r="BK1867" s="26"/>
      <c r="BL1867" s="26"/>
      <c r="BM1867" s="26"/>
      <c r="BN1867" s="26"/>
      <c r="BO1867" s="26"/>
      <c r="BP1867" s="16" t="n">
        <v>45681</v>
      </c>
      <c r="BQ1867" s="28" t="str">
        <f>HYPERLINK("https://organic.ams.usda.gov/Integrity/Certificate.aspx?cid=74&amp;nopid=5350000113")</f>
        <v>https://organic.ams.usda.gov/Integrity/Certificate.aspx?cid=74&amp;nopid=5350000113</v>
      </c>
    </row>
    <row r="1868">
      <c r="A1868" t="s">
        <v>3</v>
      </c>
      <c r="B1868" s="6" t="s">
        <v>46</v>
      </c>
      <c r="C1868" s="6" t="s">
        <v>93</v>
      </c>
      <c r="D1868" s="6" t="s">
        <v>138</v>
      </c>
      <c r="E1868" s="10" t="s">
        <v>2009</v>
      </c>
      <c r="F1868" s="6" t="s">
        <v>4723</v>
      </c>
      <c r="G1868" s="6" t="s">
        <v>81</v>
      </c>
      <c r="H1868" s="6" t="s">
        <v>81</v>
      </c>
      <c r="I1868" s="6" t="s">
        <v>8391</v>
      </c>
      <c r="J1868" s="6" t="s">
        <v>10268</v>
      </c>
      <c r="K1868" s="6" t="s">
        <v>10886</v>
      </c>
      <c r="L1868" s="16" t="n">
        <v>43187</v>
      </c>
      <c r="M1868" s="16" t="n">
        <v>45744</v>
      </c>
      <c r="N1868" s="6" t="s">
        <v>81</v>
      </c>
      <c r="O1868" s="21" t="s">
        <v>81</v>
      </c>
      <c r="P1868" s="6" t="s">
        <v>81</v>
      </c>
      <c r="Q1868" s="6" t="s">
        <v>81</v>
      </c>
      <c r="R1868" s="6" t="s">
        <v>81</v>
      </c>
      <c r="S1868" s="6" t="s">
        <v>81</v>
      </c>
      <c r="T1868" s="21" t="s">
        <v>81</v>
      </c>
      <c r="U1868" s="6" t="s">
        <v>81</v>
      </c>
      <c r="V1868" s="6" t="s">
        <v>81</v>
      </c>
      <c r="W1868" s="6" t="s">
        <v>81</v>
      </c>
      <c r="X1868" s="6" t="s">
        <v>81</v>
      </c>
      <c r="Y1868" s="21" t="s">
        <v>81</v>
      </c>
      <c r="Z1868" s="6" t="s">
        <v>81</v>
      </c>
      <c r="AA1868" s="6" t="s">
        <v>81</v>
      </c>
      <c r="AB1868" s="6" t="s">
        <v>81</v>
      </c>
      <c r="AC1868" s="6" t="s">
        <v>10886</v>
      </c>
      <c r="AD1868" s="16" t="n">
        <v>43187</v>
      </c>
      <c r="AE1868" s="6" t="s">
        <v>14327</v>
      </c>
      <c r="AF1868" s="6" t="s">
        <v>81</v>
      </c>
      <c r="AG1868" s="6" t="s">
        <v>81</v>
      </c>
      <c r="AH1868" s="6" t="s">
        <v>16422</v>
      </c>
      <c r="AI1868" s="6" t="s">
        <v>81</v>
      </c>
      <c r="AJ1868" s="6" t="s">
        <v>18135</v>
      </c>
      <c r="AK1868" s="6" t="s">
        <v>8428</v>
      </c>
      <c r="AL1868" s="6" t="s">
        <v>18444</v>
      </c>
      <c r="AM1868" s="6" t="s">
        <v>19335</v>
      </c>
      <c r="AN1868" s="6" t="s">
        <v>19714</v>
      </c>
      <c r="AO1868" s="6" t="s">
        <v>20028</v>
      </c>
      <c r="AP1868" s="6" t="s">
        <v>81</v>
      </c>
      <c r="AQ1868" s="6" t="s">
        <v>81</v>
      </c>
      <c r="AR1868" s="6" t="s">
        <v>81</v>
      </c>
      <c r="AS1868" s="6" t="s">
        <v>81</v>
      </c>
      <c r="AT1868" s="6" t="s">
        <v>81</v>
      </c>
      <c r="AU1868" s="6" t="s">
        <v>81</v>
      </c>
      <c r="AV1868" s="6" t="s">
        <v>81</v>
      </c>
      <c r="AW1868" s="6" t="s">
        <v>81</v>
      </c>
      <c r="AX1868" s="6" t="s">
        <v>81</v>
      </c>
      <c r="AY1868" s="6" t="s">
        <v>23214</v>
      </c>
      <c r="AZ1868" s="6" t="s">
        <v>23724</v>
      </c>
      <c r="BA1868" s="6" t="s">
        <v>81</v>
      </c>
      <c r="BB1868" s="6" t="s">
        <v>81</v>
      </c>
      <c r="BC1868" s="26"/>
      <c r="BD1868" s="26"/>
      <c r="BE1868" s="26"/>
      <c r="BF1868" s="26"/>
      <c r="BG1868" s="26"/>
      <c r="BH1868" s="26"/>
      <c r="BI1868" s="26"/>
      <c r="BJ1868" s="26"/>
      <c r="BK1868" s="26"/>
      <c r="BL1868" s="26"/>
      <c r="BM1868" s="26"/>
      <c r="BN1868" s="26"/>
      <c r="BO1868" s="26"/>
      <c r="BP1868" s="16" t="n">
        <v>45622</v>
      </c>
      <c r="BQ1868" s="28" t="str">
        <f>HYPERLINK("https://organic.ams.usda.gov/Integrity/Certificate.aspx?cid=74&amp;nopid=5350000112")</f>
        <v>https://organic.ams.usda.gov/Integrity/Certificate.aspx?cid=74&amp;nopid=5350000112</v>
      </c>
    </row>
    <row r="1869">
      <c r="A1869" t="s">
        <v>3</v>
      </c>
      <c r="B1869" s="6" t="s">
        <v>12</v>
      </c>
      <c r="C1869" s="6" t="s">
        <v>59</v>
      </c>
      <c r="D1869" s="6" t="s">
        <v>105</v>
      </c>
      <c r="E1869" s="10" t="s">
        <v>2010</v>
      </c>
      <c r="F1869" s="6" t="s">
        <v>4724</v>
      </c>
      <c r="G1869" s="6" t="s">
        <v>81</v>
      </c>
      <c r="H1869" s="6" t="s">
        <v>7603</v>
      </c>
      <c r="I1869" s="6" t="s">
        <v>9322</v>
      </c>
      <c r="J1869" s="6" t="s">
        <v>10480</v>
      </c>
      <c r="K1869" s="6" t="s">
        <v>10886</v>
      </c>
      <c r="L1869" s="16" t="n">
        <v>42439</v>
      </c>
      <c r="M1869" s="16" t="n">
        <v>45717</v>
      </c>
      <c r="N1869" s="6" t="s">
        <v>81</v>
      </c>
      <c r="O1869" s="21" t="s">
        <v>81</v>
      </c>
      <c r="P1869" s="6" t="s">
        <v>81</v>
      </c>
      <c r="Q1869" s="6" t="s">
        <v>81</v>
      </c>
      <c r="R1869" s="6" t="s">
        <v>81</v>
      </c>
      <c r="S1869" s="6" t="s">
        <v>81</v>
      </c>
      <c r="T1869" s="21" t="s">
        <v>81</v>
      </c>
      <c r="U1869" s="6" t="s">
        <v>81</v>
      </c>
      <c r="V1869" s="6" t="s">
        <v>81</v>
      </c>
      <c r="W1869" s="6" t="s">
        <v>81</v>
      </c>
      <c r="X1869" s="6" t="s">
        <v>81</v>
      </c>
      <c r="Y1869" s="21" t="s">
        <v>81</v>
      </c>
      <c r="Z1869" s="6" t="s">
        <v>81</v>
      </c>
      <c r="AA1869" s="6" t="s">
        <v>81</v>
      </c>
      <c r="AB1869" s="6" t="s">
        <v>81</v>
      </c>
      <c r="AC1869" s="6" t="s">
        <v>10886</v>
      </c>
      <c r="AD1869" s="16" t="n">
        <v>42439</v>
      </c>
      <c r="AE1869" s="6" t="s">
        <v>14328</v>
      </c>
      <c r="AF1869" s="6" t="s">
        <v>81</v>
      </c>
      <c r="AG1869" s="6" t="s">
        <v>81</v>
      </c>
      <c r="AH1869" s="6" t="s">
        <v>16423</v>
      </c>
      <c r="AI1869" s="6" t="s">
        <v>81</v>
      </c>
      <c r="AJ1869" s="6" t="s">
        <v>18116</v>
      </c>
      <c r="AK1869" s="6" t="s">
        <v>18380</v>
      </c>
      <c r="AL1869" s="6" t="s">
        <v>18444</v>
      </c>
      <c r="AM1869" s="6" t="s">
        <v>19316</v>
      </c>
      <c r="AN1869" s="6" t="s">
        <v>19639</v>
      </c>
      <c r="AO1869" s="6" t="s">
        <v>19725</v>
      </c>
      <c r="AP1869" s="6" t="s">
        <v>20346</v>
      </c>
      <c r="AQ1869" s="6" t="s">
        <v>81</v>
      </c>
      <c r="AR1869" s="6" t="s">
        <v>18116</v>
      </c>
      <c r="AS1869" s="6" t="s">
        <v>18380</v>
      </c>
      <c r="AT1869" s="6" t="s">
        <v>18444</v>
      </c>
      <c r="AU1869" s="6" t="s">
        <v>19316</v>
      </c>
      <c r="AV1869" s="6" t="s">
        <v>81</v>
      </c>
      <c r="AW1869" s="6" t="s">
        <v>81</v>
      </c>
      <c r="AX1869" s="6" t="s">
        <v>21941</v>
      </c>
      <c r="AY1869" s="6" t="s">
        <v>81</v>
      </c>
      <c r="AZ1869" s="6" t="s">
        <v>81</v>
      </c>
      <c r="BA1869" s="6" t="s">
        <v>81</v>
      </c>
      <c r="BB1869" s="6" t="s">
        <v>81</v>
      </c>
      <c r="BC1869" s="26"/>
      <c r="BD1869" s="26"/>
      <c r="BE1869" s="26"/>
      <c r="BF1869" s="26"/>
      <c r="BG1869" s="26"/>
      <c r="BH1869" s="26"/>
      <c r="BI1869" s="26"/>
      <c r="BJ1869" s="26"/>
      <c r="BK1869" s="26"/>
      <c r="BL1869" s="26"/>
      <c r="BM1869" s="26"/>
      <c r="BN1869" s="26"/>
      <c r="BO1869" s="26"/>
      <c r="BP1869" s="16" t="n">
        <v>45684</v>
      </c>
      <c r="BQ1869" s="28" t="str">
        <f>HYPERLINK("https://organic.ams.usda.gov/Integrity/Certificate.aspx?cid=68&amp;nopid=8210002290")</f>
        <v>https://organic.ams.usda.gov/Integrity/Certificate.aspx?cid=68&amp;nopid=8210002290</v>
      </c>
    </row>
    <row r="1870">
      <c r="A1870" t="s">
        <v>3</v>
      </c>
      <c r="B1870" s="6" t="s">
        <v>7</v>
      </c>
      <c r="C1870" s="6" t="s">
        <v>54</v>
      </c>
      <c r="D1870" s="6" t="s">
        <v>100</v>
      </c>
      <c r="E1870" s="10" t="s">
        <v>2011</v>
      </c>
      <c r="F1870" s="6" t="s">
        <v>4725</v>
      </c>
      <c r="G1870" s="6" t="s">
        <v>81</v>
      </c>
      <c r="H1870" s="6" t="s">
        <v>7604</v>
      </c>
      <c r="I1870" s="6" t="s">
        <v>8544</v>
      </c>
      <c r="J1870" s="6" t="s">
        <v>10481</v>
      </c>
      <c r="K1870" s="6" t="s">
        <v>10886</v>
      </c>
      <c r="L1870" s="16" t="n">
        <v>37967</v>
      </c>
      <c r="M1870" s="16" t="n">
        <v>45672</v>
      </c>
      <c r="N1870" s="6" t="s">
        <v>81</v>
      </c>
      <c r="O1870" s="21" t="s">
        <v>81</v>
      </c>
      <c r="P1870" s="6" t="s">
        <v>81</v>
      </c>
      <c r="Q1870" s="6" t="s">
        <v>81</v>
      </c>
      <c r="R1870" s="6" t="s">
        <v>81</v>
      </c>
      <c r="S1870" s="6" t="s">
        <v>81</v>
      </c>
      <c r="T1870" s="21" t="s">
        <v>81</v>
      </c>
      <c r="U1870" s="6" t="s">
        <v>81</v>
      </c>
      <c r="V1870" s="6" t="s">
        <v>81</v>
      </c>
      <c r="W1870" s="6" t="s">
        <v>81</v>
      </c>
      <c r="X1870" s="6" t="s">
        <v>81</v>
      </c>
      <c r="Y1870" s="21" t="s">
        <v>81</v>
      </c>
      <c r="Z1870" s="6" t="s">
        <v>81</v>
      </c>
      <c r="AA1870" s="6" t="s">
        <v>81</v>
      </c>
      <c r="AB1870" s="6" t="s">
        <v>81</v>
      </c>
      <c r="AC1870" s="6" t="s">
        <v>10886</v>
      </c>
      <c r="AD1870" s="16" t="n">
        <v>37967</v>
      </c>
      <c r="AE1870" s="6" t="s">
        <v>14329</v>
      </c>
      <c r="AF1870" s="6" t="s">
        <v>81</v>
      </c>
      <c r="AG1870" s="6" t="s">
        <v>81</v>
      </c>
      <c r="AH1870" s="6" t="s">
        <v>16424</v>
      </c>
      <c r="AI1870" s="6" t="s">
        <v>81</v>
      </c>
      <c r="AJ1870" s="6" t="s">
        <v>17449</v>
      </c>
      <c r="AK1870" s="6" t="s">
        <v>17712</v>
      </c>
      <c r="AL1870" s="6" t="s">
        <v>18444</v>
      </c>
      <c r="AM1870" s="6" t="s">
        <v>19336</v>
      </c>
      <c r="AN1870" s="6" t="s">
        <v>19683</v>
      </c>
      <c r="AO1870" s="6" t="s">
        <v>19868</v>
      </c>
      <c r="AP1870" s="6" t="s">
        <v>16424</v>
      </c>
      <c r="AQ1870" s="6" t="s">
        <v>81</v>
      </c>
      <c r="AR1870" s="6" t="s">
        <v>17449</v>
      </c>
      <c r="AS1870" s="6" t="s">
        <v>17712</v>
      </c>
      <c r="AT1870" s="6" t="s">
        <v>18444</v>
      </c>
      <c r="AU1870" s="6" t="s">
        <v>19336</v>
      </c>
      <c r="AV1870" s="6" t="s">
        <v>81</v>
      </c>
      <c r="AW1870" s="6" t="s">
        <v>81</v>
      </c>
      <c r="AX1870" s="6" t="s">
        <v>21942</v>
      </c>
      <c r="AY1870" s="6" t="s">
        <v>23215</v>
      </c>
      <c r="AZ1870" s="6" t="s">
        <v>23725</v>
      </c>
      <c r="BA1870" s="6" t="s">
        <v>81</v>
      </c>
      <c r="BB1870" s="24" t="n">
        <v>0</v>
      </c>
      <c r="BC1870" s="26"/>
      <c r="BD1870" s="26"/>
      <c r="BE1870" s="26"/>
      <c r="BF1870" s="26"/>
      <c r="BG1870" s="26"/>
      <c r="BH1870" s="26"/>
      <c r="BI1870" s="26"/>
      <c r="BJ1870" s="26"/>
      <c r="BK1870" s="26"/>
      <c r="BL1870" s="26" t="s">
        <v>23900</v>
      </c>
      <c r="BM1870" s="26"/>
      <c r="BN1870" s="26"/>
      <c r="BO1870" s="26"/>
      <c r="BP1870" s="16" t="n">
        <v>45735</v>
      </c>
      <c r="BQ1870" s="28" t="str">
        <f>HYPERLINK("https://organic.ams.usda.gov/Integrity/Certificate.aspx?cid=57&amp;nopid=3250200249")</f>
        <v>https://organic.ams.usda.gov/Integrity/Certificate.aspx?cid=57&amp;nopid=3250200249</v>
      </c>
    </row>
    <row r="1871">
      <c r="A1871" t="s">
        <v>3</v>
      </c>
      <c r="B1871" s="6" t="s">
        <v>19</v>
      </c>
      <c r="C1871" s="6" t="s">
        <v>66</v>
      </c>
      <c r="D1871" s="6" t="s">
        <v>112</v>
      </c>
      <c r="E1871" s="10" t="s">
        <v>2012</v>
      </c>
      <c r="F1871" s="6" t="s">
        <v>4726</v>
      </c>
      <c r="G1871" s="6" t="s">
        <v>81</v>
      </c>
      <c r="H1871" s="6" t="s">
        <v>7605</v>
      </c>
      <c r="I1871" s="6" t="s">
        <v>81</v>
      </c>
      <c r="J1871" s="6" t="s">
        <v>10482</v>
      </c>
      <c r="K1871" s="6" t="s">
        <v>10886</v>
      </c>
      <c r="L1871" s="16" t="n">
        <v>44167</v>
      </c>
      <c r="M1871" s="16" t="n">
        <v>46054</v>
      </c>
      <c r="N1871" s="6" t="s">
        <v>10886</v>
      </c>
      <c r="O1871" s="16" t="n">
        <v>44167</v>
      </c>
      <c r="P1871" s="6" t="s">
        <v>11995</v>
      </c>
      <c r="Q1871" s="6" t="s">
        <v>81</v>
      </c>
      <c r="R1871" s="6" t="s">
        <v>81</v>
      </c>
      <c r="S1871" s="6" t="s">
        <v>10886</v>
      </c>
      <c r="T1871" s="16" t="n">
        <v>44167</v>
      </c>
      <c r="U1871" s="6" t="s">
        <v>13439</v>
      </c>
      <c r="V1871" s="6" t="s">
        <v>81</v>
      </c>
      <c r="W1871" s="6" t="s">
        <v>81</v>
      </c>
      <c r="X1871" s="6" t="s">
        <v>81</v>
      </c>
      <c r="Y1871" s="21" t="s">
        <v>81</v>
      </c>
      <c r="Z1871" s="6" t="s">
        <v>81</v>
      </c>
      <c r="AA1871" s="6" t="s">
        <v>81</v>
      </c>
      <c r="AB1871" s="6" t="s">
        <v>81</v>
      </c>
      <c r="AC1871" s="6" t="s">
        <v>10886</v>
      </c>
      <c r="AD1871" s="16" t="n">
        <v>44167</v>
      </c>
      <c r="AE1871" s="6" t="s">
        <v>14066</v>
      </c>
      <c r="AF1871" s="6" t="s">
        <v>81</v>
      </c>
      <c r="AG1871" s="6" t="s">
        <v>81</v>
      </c>
      <c r="AH1871" s="6" t="s">
        <v>16425</v>
      </c>
      <c r="AI1871" s="6" t="s">
        <v>81</v>
      </c>
      <c r="AJ1871" s="6" t="s">
        <v>18136</v>
      </c>
      <c r="AK1871" s="6" t="s">
        <v>18400</v>
      </c>
      <c r="AL1871" s="6" t="s">
        <v>18444</v>
      </c>
      <c r="AM1871" s="6" t="s">
        <v>19337</v>
      </c>
      <c r="AN1871" s="6" t="s">
        <v>19665</v>
      </c>
      <c r="AO1871" s="6" t="s">
        <v>20029</v>
      </c>
      <c r="AP1871" s="6" t="s">
        <v>81</v>
      </c>
      <c r="AQ1871" s="6" t="s">
        <v>81</v>
      </c>
      <c r="AR1871" s="6" t="s">
        <v>81</v>
      </c>
      <c r="AS1871" s="6" t="s">
        <v>81</v>
      </c>
      <c r="AT1871" s="6" t="s">
        <v>81</v>
      </c>
      <c r="AU1871" s="6" t="s">
        <v>81</v>
      </c>
      <c r="AV1871" s="6" t="s">
        <v>81</v>
      </c>
      <c r="AW1871" s="6" t="s">
        <v>81</v>
      </c>
      <c r="AX1871" s="6" t="s">
        <v>21943</v>
      </c>
      <c r="AY1871" s="6" t="s">
        <v>23216</v>
      </c>
      <c r="AZ1871" s="6" t="s">
        <v>81</v>
      </c>
      <c r="BA1871" s="6" t="s">
        <v>81</v>
      </c>
      <c r="BB1871" s="24" t="n">
        <v>2353</v>
      </c>
      <c r="BC1871" s="26"/>
      <c r="BD1871" s="26"/>
      <c r="BE1871" s="26"/>
      <c r="BF1871" s="26" t="s">
        <v>23900</v>
      </c>
      <c r="BG1871" s="26"/>
      <c r="BH1871" s="26"/>
      <c r="BI1871" s="26"/>
      <c r="BJ1871" s="26"/>
      <c r="BK1871" s="26"/>
      <c r="BL1871" s="26"/>
      <c r="BM1871" s="26"/>
      <c r="BN1871" s="26"/>
      <c r="BO1871" s="26"/>
      <c r="BP1871" s="16" t="n">
        <v>45691</v>
      </c>
      <c r="BQ1871" s="28" t="str">
        <f>HYPERLINK("https://organic.ams.usda.gov/Integrity/Certificate.aspx?cid=24&amp;nopid=7880090169")</f>
        <v>https://organic.ams.usda.gov/Integrity/Certificate.aspx?cid=24&amp;nopid=7880090169</v>
      </c>
    </row>
    <row r="1872">
      <c r="A1872" t="s">
        <v>3</v>
      </c>
      <c r="B1872" s="6" t="s">
        <v>9</v>
      </c>
      <c r="C1872" s="6" t="s">
        <v>56</v>
      </c>
      <c r="D1872" s="6" t="s">
        <v>102</v>
      </c>
      <c r="E1872" s="10" t="s">
        <v>2013</v>
      </c>
      <c r="F1872" s="6" t="s">
        <v>4727</v>
      </c>
      <c r="G1872" s="6" t="s">
        <v>81</v>
      </c>
      <c r="H1872" s="6" t="s">
        <v>7606</v>
      </c>
      <c r="I1872" s="6" t="s">
        <v>9323</v>
      </c>
      <c r="J1872" s="6" t="s">
        <v>9953</v>
      </c>
      <c r="K1872" s="6" t="s">
        <v>10886</v>
      </c>
      <c r="L1872" s="16" t="n">
        <v>44055</v>
      </c>
      <c r="M1872" s="16" t="n">
        <v>45748</v>
      </c>
      <c r="N1872" s="6" t="s">
        <v>10886</v>
      </c>
      <c r="O1872" s="16" t="n">
        <v>44055</v>
      </c>
      <c r="P1872" s="6" t="s">
        <v>10922</v>
      </c>
      <c r="Q1872" s="6" t="s">
        <v>81</v>
      </c>
      <c r="R1872" s="6" t="s">
        <v>12958</v>
      </c>
      <c r="S1872" s="6" t="s">
        <v>10886</v>
      </c>
      <c r="T1872" s="16" t="n">
        <v>44055</v>
      </c>
      <c r="U1872" s="6" t="s">
        <v>13162</v>
      </c>
      <c r="V1872" s="6" t="s">
        <v>81</v>
      </c>
      <c r="W1872" s="6" t="s">
        <v>12958</v>
      </c>
      <c r="X1872" s="6" t="s">
        <v>81</v>
      </c>
      <c r="Y1872" s="21" t="s">
        <v>81</v>
      </c>
      <c r="Z1872" s="6" t="s">
        <v>81</v>
      </c>
      <c r="AA1872" s="6" t="s">
        <v>81</v>
      </c>
      <c r="AB1872" s="6" t="s">
        <v>81</v>
      </c>
      <c r="AC1872" s="6" t="s">
        <v>81</v>
      </c>
      <c r="AD1872" s="21" t="s">
        <v>81</v>
      </c>
      <c r="AE1872" s="6" t="s">
        <v>81</v>
      </c>
      <c r="AF1872" s="6" t="s">
        <v>81</v>
      </c>
      <c r="AG1872" s="6" t="s">
        <v>81</v>
      </c>
      <c r="AH1872" s="6" t="s">
        <v>16426</v>
      </c>
      <c r="AI1872" s="6" t="s">
        <v>81</v>
      </c>
      <c r="AJ1872" s="6" t="s">
        <v>18055</v>
      </c>
      <c r="AK1872" s="6" t="s">
        <v>18377</v>
      </c>
      <c r="AL1872" s="6" t="s">
        <v>18444</v>
      </c>
      <c r="AM1872" s="6" t="s">
        <v>19250</v>
      </c>
      <c r="AN1872" s="6" t="s">
        <v>6332</v>
      </c>
      <c r="AO1872" s="6" t="s">
        <v>19885</v>
      </c>
      <c r="AP1872" s="6" t="s">
        <v>81</v>
      </c>
      <c r="AQ1872" s="6" t="s">
        <v>81</v>
      </c>
      <c r="AR1872" s="6" t="s">
        <v>81</v>
      </c>
      <c r="AS1872" s="6" t="s">
        <v>81</v>
      </c>
      <c r="AT1872" s="6" t="s">
        <v>81</v>
      </c>
      <c r="AU1872" s="6" t="s">
        <v>81</v>
      </c>
      <c r="AV1872" s="6" t="s">
        <v>81</v>
      </c>
      <c r="AW1872" s="6" t="s">
        <v>81</v>
      </c>
      <c r="AX1872" s="6" t="s">
        <v>21944</v>
      </c>
      <c r="AY1872" s="6" t="s">
        <v>23217</v>
      </c>
      <c r="AZ1872" s="6" t="s">
        <v>81</v>
      </c>
      <c r="BA1872" s="6" t="s">
        <v>81</v>
      </c>
      <c r="BB1872" s="24" t="n">
        <v>73</v>
      </c>
      <c r="BC1872" s="26"/>
      <c r="BD1872" s="26"/>
      <c r="BE1872" s="26"/>
      <c r="BF1872" s="26"/>
      <c r="BG1872" s="26"/>
      <c r="BH1872" s="26"/>
      <c r="BI1872" s="26"/>
      <c r="BJ1872" s="26"/>
      <c r="BK1872" s="26"/>
      <c r="BL1872" s="26"/>
      <c r="BM1872" s="26"/>
      <c r="BN1872" s="26"/>
      <c r="BO1872" s="26"/>
      <c r="BP1872" s="16" t="n">
        <v>45738</v>
      </c>
      <c r="BQ1872" s="28" t="str">
        <f>HYPERLINK("https://organic.ams.usda.gov/Integrity/Certificate.aspx?cid=52&amp;nopid=8432001826")</f>
        <v>https://organic.ams.usda.gov/Integrity/Certificate.aspx?cid=52&amp;nopid=8432001826</v>
      </c>
    </row>
    <row r="1873">
      <c r="A1873" t="s">
        <v>3</v>
      </c>
      <c r="B1873" s="6" t="s">
        <v>23</v>
      </c>
      <c r="C1873" s="6" t="s">
        <v>70</v>
      </c>
      <c r="D1873" s="6" t="s">
        <v>116</v>
      </c>
      <c r="E1873" s="10" t="s">
        <v>2014</v>
      </c>
      <c r="F1873" s="6" t="s">
        <v>4728</v>
      </c>
      <c r="G1873" s="6" t="s">
        <v>81</v>
      </c>
      <c r="H1873" s="6" t="s">
        <v>7607</v>
      </c>
      <c r="I1873" s="6" t="s">
        <v>8578</v>
      </c>
      <c r="J1873" s="6" t="s">
        <v>10483</v>
      </c>
      <c r="K1873" s="6" t="s">
        <v>10886</v>
      </c>
      <c r="L1873" s="16" t="n">
        <v>43469</v>
      </c>
      <c r="M1873" s="16" t="n">
        <v>46026</v>
      </c>
      <c r="N1873" s="6" t="s">
        <v>10886</v>
      </c>
      <c r="O1873" s="16" t="n">
        <v>43469</v>
      </c>
      <c r="P1873" s="6" t="s">
        <v>11996</v>
      </c>
      <c r="Q1873" s="6" t="s">
        <v>81</v>
      </c>
      <c r="R1873" s="6" t="s">
        <v>12959</v>
      </c>
      <c r="S1873" s="6" t="s">
        <v>10886</v>
      </c>
      <c r="T1873" s="16" t="n">
        <v>43469</v>
      </c>
      <c r="U1873" s="6" t="s">
        <v>13232</v>
      </c>
      <c r="V1873" s="6" t="s">
        <v>81</v>
      </c>
      <c r="W1873" s="6" t="s">
        <v>13980</v>
      </c>
      <c r="X1873" s="6" t="s">
        <v>81</v>
      </c>
      <c r="Y1873" s="21" t="s">
        <v>81</v>
      </c>
      <c r="Z1873" s="6" t="s">
        <v>81</v>
      </c>
      <c r="AA1873" s="6" t="s">
        <v>81</v>
      </c>
      <c r="AB1873" s="6" t="s">
        <v>81</v>
      </c>
      <c r="AC1873" s="6" t="s">
        <v>81</v>
      </c>
      <c r="AD1873" s="21" t="s">
        <v>81</v>
      </c>
      <c r="AE1873" s="6" t="s">
        <v>81</v>
      </c>
      <c r="AF1873" s="6" t="s">
        <v>81</v>
      </c>
      <c r="AG1873" s="6" t="s">
        <v>81</v>
      </c>
      <c r="AH1873" s="6" t="s">
        <v>81</v>
      </c>
      <c r="AI1873" s="6" t="s">
        <v>81</v>
      </c>
      <c r="AJ1873" s="6" t="s">
        <v>81</v>
      </c>
      <c r="AK1873" s="6" t="s">
        <v>81</v>
      </c>
      <c r="AL1873" s="6" t="s">
        <v>81</v>
      </c>
      <c r="AM1873" s="6" t="s">
        <v>81</v>
      </c>
      <c r="AN1873" s="6" t="s">
        <v>81</v>
      </c>
      <c r="AO1873" s="6" t="s">
        <v>81</v>
      </c>
      <c r="AP1873" s="6" t="s">
        <v>20347</v>
      </c>
      <c r="AQ1873" s="6" t="s">
        <v>81</v>
      </c>
      <c r="AR1873" s="6" t="s">
        <v>17506</v>
      </c>
      <c r="AS1873" s="6" t="s">
        <v>18386</v>
      </c>
      <c r="AT1873" s="6" t="s">
        <v>18444</v>
      </c>
      <c r="AU1873" s="6" t="s">
        <v>18667</v>
      </c>
      <c r="AV1873" s="6" t="s">
        <v>19651</v>
      </c>
      <c r="AW1873" s="6" t="s">
        <v>19864</v>
      </c>
      <c r="AX1873" s="6" t="s">
        <v>21945</v>
      </c>
      <c r="AY1873" s="6" t="s">
        <v>23218</v>
      </c>
      <c r="AZ1873" s="6" t="s">
        <v>81</v>
      </c>
      <c r="BA1873" s="6" t="s">
        <v>81</v>
      </c>
      <c r="BB1873" s="24" t="n">
        <v>251</v>
      </c>
      <c r="BC1873" s="26"/>
      <c r="BD1873" s="26"/>
      <c r="BE1873" s="26"/>
      <c r="BF1873" s="26"/>
      <c r="BG1873" s="26"/>
      <c r="BH1873" s="26"/>
      <c r="BI1873" s="26"/>
      <c r="BJ1873" s="26"/>
      <c r="BK1873" s="26"/>
      <c r="BL1873" s="26"/>
      <c r="BM1873" s="26"/>
      <c r="BN1873" s="26"/>
      <c r="BO1873" s="26"/>
      <c r="BP1873" s="16" t="n">
        <v>45702</v>
      </c>
      <c r="BQ1873" s="28" t="str">
        <f>HYPERLINK("https://organic.ams.usda.gov/Integrity/Certificate.aspx?cid=63&amp;nopid=6220007869")</f>
        <v>https://organic.ams.usda.gov/Integrity/Certificate.aspx?cid=63&amp;nopid=6220007869</v>
      </c>
    </row>
    <row r="1874">
      <c r="A1874" t="s">
        <v>3</v>
      </c>
      <c r="B1874" s="6" t="s">
        <v>9</v>
      </c>
      <c r="C1874" s="6" t="s">
        <v>56</v>
      </c>
      <c r="D1874" s="6" t="s">
        <v>102</v>
      </c>
      <c r="E1874" s="10" t="s">
        <v>2015</v>
      </c>
      <c r="F1874" s="6" t="s">
        <v>4729</v>
      </c>
      <c r="G1874" s="6" t="s">
        <v>81</v>
      </c>
      <c r="H1874" s="6" t="s">
        <v>7608</v>
      </c>
      <c r="I1874" s="6" t="s">
        <v>81</v>
      </c>
      <c r="J1874" s="6" t="s">
        <v>81</v>
      </c>
      <c r="K1874" s="6" t="s">
        <v>10886</v>
      </c>
      <c r="L1874" s="16" t="n">
        <v>39741</v>
      </c>
      <c r="M1874" s="16" t="n">
        <v>45748</v>
      </c>
      <c r="N1874" s="6" t="s">
        <v>10886</v>
      </c>
      <c r="O1874" s="16" t="n">
        <v>39741</v>
      </c>
      <c r="P1874" s="6" t="s">
        <v>11001</v>
      </c>
      <c r="Q1874" s="6" t="s">
        <v>81</v>
      </c>
      <c r="R1874" s="6" t="s">
        <v>12960</v>
      </c>
      <c r="S1874" s="6" t="s">
        <v>10886</v>
      </c>
      <c r="T1874" s="16" t="n">
        <v>39741</v>
      </c>
      <c r="U1874" s="6" t="s">
        <v>13162</v>
      </c>
      <c r="V1874" s="6" t="s">
        <v>81</v>
      </c>
      <c r="W1874" s="6" t="s">
        <v>12960</v>
      </c>
      <c r="X1874" s="6" t="s">
        <v>81</v>
      </c>
      <c r="Y1874" s="21" t="s">
        <v>81</v>
      </c>
      <c r="Z1874" s="6" t="s">
        <v>81</v>
      </c>
      <c r="AA1874" s="6" t="s">
        <v>81</v>
      </c>
      <c r="AB1874" s="6" t="s">
        <v>81</v>
      </c>
      <c r="AC1874" s="6" t="s">
        <v>81</v>
      </c>
      <c r="AD1874" s="21" t="s">
        <v>81</v>
      </c>
      <c r="AE1874" s="6" t="s">
        <v>81</v>
      </c>
      <c r="AF1874" s="6" t="s">
        <v>81</v>
      </c>
      <c r="AG1874" s="6" t="s">
        <v>81</v>
      </c>
      <c r="AH1874" s="6" t="s">
        <v>16427</v>
      </c>
      <c r="AI1874" s="6" t="s">
        <v>81</v>
      </c>
      <c r="AJ1874" s="6" t="s">
        <v>17379</v>
      </c>
      <c r="AK1874" s="6" t="s">
        <v>18381</v>
      </c>
      <c r="AL1874" s="6" t="s">
        <v>18444</v>
      </c>
      <c r="AM1874" s="6" t="s">
        <v>18532</v>
      </c>
      <c r="AN1874" s="6" t="s">
        <v>19663</v>
      </c>
      <c r="AO1874" s="6" t="s">
        <v>19763</v>
      </c>
      <c r="AP1874" s="6" t="s">
        <v>16427</v>
      </c>
      <c r="AQ1874" s="6" t="s">
        <v>81</v>
      </c>
      <c r="AR1874" s="6" t="s">
        <v>17379</v>
      </c>
      <c r="AS1874" s="6" t="s">
        <v>18381</v>
      </c>
      <c r="AT1874" s="6" t="s">
        <v>18444</v>
      </c>
      <c r="AU1874" s="6" t="s">
        <v>18532</v>
      </c>
      <c r="AV1874" s="6" t="s">
        <v>81</v>
      </c>
      <c r="AW1874" s="6" t="s">
        <v>81</v>
      </c>
      <c r="AX1874" s="6" t="s">
        <v>21946</v>
      </c>
      <c r="AY1874" s="6" t="s">
        <v>23219</v>
      </c>
      <c r="AZ1874" s="6" t="s">
        <v>81</v>
      </c>
      <c r="BA1874" s="6" t="s">
        <v>23837</v>
      </c>
      <c r="BB1874" s="24" t="n">
        <v>222</v>
      </c>
      <c r="BC1874" s="26"/>
      <c r="BD1874" s="26"/>
      <c r="BE1874" s="26"/>
      <c r="BF1874" s="26"/>
      <c r="BG1874" s="26"/>
      <c r="BH1874" s="26"/>
      <c r="BI1874" s="26"/>
      <c r="BJ1874" s="26"/>
      <c r="BK1874" s="26"/>
      <c r="BL1874" s="26"/>
      <c r="BM1874" s="26"/>
      <c r="BN1874" s="26"/>
      <c r="BO1874" s="26"/>
      <c r="BP1874" s="16" t="n">
        <v>45738</v>
      </c>
      <c r="BQ1874" s="28" t="str">
        <f>HYPERLINK("https://organic.ams.usda.gov/Integrity/Certificate.aspx?cid=52&amp;nopid=8430800085")</f>
        <v>https://organic.ams.usda.gov/Integrity/Certificate.aspx?cid=52&amp;nopid=8430800085</v>
      </c>
    </row>
    <row r="1875">
      <c r="A1875" t="s">
        <v>3</v>
      </c>
      <c r="B1875" s="6" t="s">
        <v>8</v>
      </c>
      <c r="C1875" s="6" t="s">
        <v>55</v>
      </c>
      <c r="D1875" s="6" t="s">
        <v>101</v>
      </c>
      <c r="E1875" s="10" t="s">
        <v>2016</v>
      </c>
      <c r="F1875" s="6" t="s">
        <v>4730</v>
      </c>
      <c r="G1875" s="6" t="s">
        <v>81</v>
      </c>
      <c r="H1875" s="6" t="s">
        <v>7609</v>
      </c>
      <c r="I1875" s="6" t="s">
        <v>8529</v>
      </c>
      <c r="J1875" s="6" t="s">
        <v>9744</v>
      </c>
      <c r="K1875" s="6" t="s">
        <v>10886</v>
      </c>
      <c r="L1875" s="16" t="n">
        <v>41402</v>
      </c>
      <c r="M1875" s="16" t="n">
        <v>45689</v>
      </c>
      <c r="N1875" s="6" t="s">
        <v>10886</v>
      </c>
      <c r="O1875" s="16" t="n">
        <v>41402</v>
      </c>
      <c r="P1875" s="6" t="s">
        <v>11997</v>
      </c>
      <c r="Q1875" s="6" t="s">
        <v>81</v>
      </c>
      <c r="R1875" s="6" t="s">
        <v>7609</v>
      </c>
      <c r="S1875" s="6" t="s">
        <v>10886</v>
      </c>
      <c r="T1875" s="16" t="n">
        <v>41402</v>
      </c>
      <c r="U1875" s="6" t="s">
        <v>13179</v>
      </c>
      <c r="V1875" s="6" t="s">
        <v>81</v>
      </c>
      <c r="W1875" s="6" t="s">
        <v>7609</v>
      </c>
      <c r="X1875" s="6" t="s">
        <v>81</v>
      </c>
      <c r="Y1875" s="21" t="s">
        <v>81</v>
      </c>
      <c r="Z1875" s="6" t="s">
        <v>81</v>
      </c>
      <c r="AA1875" s="6" t="s">
        <v>81</v>
      </c>
      <c r="AB1875" s="6" t="s">
        <v>81</v>
      </c>
      <c r="AC1875" s="6" t="s">
        <v>81</v>
      </c>
      <c r="AD1875" s="21" t="s">
        <v>81</v>
      </c>
      <c r="AE1875" s="6" t="s">
        <v>81</v>
      </c>
      <c r="AF1875" s="6" t="s">
        <v>81</v>
      </c>
      <c r="AG1875" s="6" t="s">
        <v>81</v>
      </c>
      <c r="AH1875" s="6" t="s">
        <v>16428</v>
      </c>
      <c r="AI1875" s="6" t="s">
        <v>81</v>
      </c>
      <c r="AJ1875" s="6" t="s">
        <v>17646</v>
      </c>
      <c r="AK1875" s="6" t="s">
        <v>18378</v>
      </c>
      <c r="AL1875" s="6" t="s">
        <v>18444</v>
      </c>
      <c r="AM1875" s="6" t="s">
        <v>18815</v>
      </c>
      <c r="AN1875" s="6" t="s">
        <v>19640</v>
      </c>
      <c r="AO1875" s="6" t="s">
        <v>19726</v>
      </c>
      <c r="AP1875" s="6" t="s">
        <v>81</v>
      </c>
      <c r="AQ1875" s="6" t="s">
        <v>81</v>
      </c>
      <c r="AR1875" s="6" t="s">
        <v>81</v>
      </c>
      <c r="AS1875" s="6" t="s">
        <v>81</v>
      </c>
      <c r="AT1875" s="6" t="s">
        <v>81</v>
      </c>
      <c r="AU1875" s="6" t="s">
        <v>81</v>
      </c>
      <c r="AV1875" s="6" t="s">
        <v>81</v>
      </c>
      <c r="AW1875" s="6" t="s">
        <v>81</v>
      </c>
      <c r="AX1875" s="6" t="s">
        <v>81</v>
      </c>
      <c r="AY1875" s="6" t="s">
        <v>23220</v>
      </c>
      <c r="AZ1875" s="6" t="s">
        <v>81</v>
      </c>
      <c r="BA1875" s="6" t="s">
        <v>23819</v>
      </c>
      <c r="BB1875" s="24" t="n">
        <v>100</v>
      </c>
      <c r="BC1875" s="26"/>
      <c r="BD1875" s="26"/>
      <c r="BE1875" s="26"/>
      <c r="BF1875" s="26" t="s">
        <v>23900</v>
      </c>
      <c r="BG1875" s="26"/>
      <c r="BH1875" s="26"/>
      <c r="BI1875" s="26"/>
      <c r="BJ1875" s="26"/>
      <c r="BK1875" s="26"/>
      <c r="BL1875" s="26"/>
      <c r="BM1875" s="26"/>
      <c r="BN1875" s="26"/>
      <c r="BO1875" s="26"/>
      <c r="BP1875" s="16" t="n">
        <v>45723</v>
      </c>
      <c r="BQ1875" s="28" t="str">
        <f>HYPERLINK("https://organic.ams.usda.gov/Integrity/Certificate.aspx?cid=45&amp;nopid=9950004929")</f>
        <v>https://organic.ams.usda.gov/Integrity/Certificate.aspx?cid=45&amp;nopid=9950004929</v>
      </c>
    </row>
    <row r="1876">
      <c r="A1876" t="s">
        <v>3</v>
      </c>
      <c r="B1876" s="6" t="s">
        <v>29</v>
      </c>
      <c r="C1876" s="6" t="s">
        <v>76</v>
      </c>
      <c r="D1876" s="6" t="s">
        <v>122</v>
      </c>
      <c r="E1876" s="10" t="s">
        <v>2017</v>
      </c>
      <c r="F1876" s="6" t="s">
        <v>4731</v>
      </c>
      <c r="G1876" s="6" t="s">
        <v>81</v>
      </c>
      <c r="H1876" s="6" t="s">
        <v>7610</v>
      </c>
      <c r="I1876" s="6" t="s">
        <v>9324</v>
      </c>
      <c r="J1876" s="6" t="s">
        <v>9744</v>
      </c>
      <c r="K1876" s="6" t="s">
        <v>10886</v>
      </c>
      <c r="L1876" s="16" t="n">
        <v>41087</v>
      </c>
      <c r="M1876" s="16" t="n">
        <v>45870</v>
      </c>
      <c r="N1876" s="6" t="s">
        <v>10886</v>
      </c>
      <c r="O1876" s="16" t="n">
        <v>41087</v>
      </c>
      <c r="P1876" s="6" t="s">
        <v>11132</v>
      </c>
      <c r="Q1876" s="6" t="s">
        <v>81</v>
      </c>
      <c r="R1876" s="6" t="s">
        <v>12961</v>
      </c>
      <c r="S1876" s="6" t="s">
        <v>10886</v>
      </c>
      <c r="T1876" s="16" t="n">
        <v>42378</v>
      </c>
      <c r="U1876" s="6" t="s">
        <v>13382</v>
      </c>
      <c r="V1876" s="6" t="s">
        <v>81</v>
      </c>
      <c r="W1876" s="6" t="s">
        <v>12961</v>
      </c>
      <c r="X1876" s="6" t="s">
        <v>81</v>
      </c>
      <c r="Y1876" s="21" t="s">
        <v>81</v>
      </c>
      <c r="Z1876" s="6" t="s">
        <v>81</v>
      </c>
      <c r="AA1876" s="6" t="s">
        <v>81</v>
      </c>
      <c r="AB1876" s="6" t="s">
        <v>81</v>
      </c>
      <c r="AC1876" s="6" t="s">
        <v>81</v>
      </c>
      <c r="AD1876" s="21" t="s">
        <v>81</v>
      </c>
      <c r="AE1876" s="6" t="s">
        <v>81</v>
      </c>
      <c r="AF1876" s="6" t="s">
        <v>81</v>
      </c>
      <c r="AG1876" s="6" t="s">
        <v>81</v>
      </c>
      <c r="AH1876" s="6" t="s">
        <v>16429</v>
      </c>
      <c r="AI1876" s="6" t="s">
        <v>81</v>
      </c>
      <c r="AJ1876" s="6" t="s">
        <v>17353</v>
      </c>
      <c r="AK1876" s="6" t="s">
        <v>18384</v>
      </c>
      <c r="AL1876" s="6" t="s">
        <v>18444</v>
      </c>
      <c r="AM1876" s="6" t="s">
        <v>18507</v>
      </c>
      <c r="AN1876" s="6" t="s">
        <v>19646</v>
      </c>
      <c r="AO1876" s="6" t="s">
        <v>19746</v>
      </c>
      <c r="AP1876" s="6" t="s">
        <v>81</v>
      </c>
      <c r="AQ1876" s="6" t="s">
        <v>81</v>
      </c>
      <c r="AR1876" s="6" t="s">
        <v>81</v>
      </c>
      <c r="AS1876" s="6" t="s">
        <v>81</v>
      </c>
      <c r="AT1876" s="6" t="s">
        <v>81</v>
      </c>
      <c r="AU1876" s="6" t="s">
        <v>81</v>
      </c>
      <c r="AV1876" s="6" t="s">
        <v>81</v>
      </c>
      <c r="AW1876" s="6" t="s">
        <v>81</v>
      </c>
      <c r="AX1876" s="6" t="s">
        <v>21947</v>
      </c>
      <c r="AY1876" s="6" t="s">
        <v>81</v>
      </c>
      <c r="AZ1876" s="6" t="s">
        <v>81</v>
      </c>
      <c r="BA1876" s="6" t="s">
        <v>23876</v>
      </c>
      <c r="BB1876" s="24" t="n">
        <v>160</v>
      </c>
      <c r="BC1876" s="26"/>
      <c r="BD1876" s="26"/>
      <c r="BE1876" s="26"/>
      <c r="BF1876" s="26" t="s">
        <v>23900</v>
      </c>
      <c r="BG1876" s="26"/>
      <c r="BH1876" s="26"/>
      <c r="BI1876" s="26"/>
      <c r="BJ1876" s="26"/>
      <c r="BK1876" s="26"/>
      <c r="BL1876" s="26"/>
      <c r="BM1876" s="26"/>
      <c r="BN1876" s="26"/>
      <c r="BO1876" s="26"/>
      <c r="BP1876" s="16" t="n">
        <v>45737</v>
      </c>
      <c r="BQ1876" s="28" t="str">
        <f>HYPERLINK("https://organic.ams.usda.gov/Integrity/Certificate.aspx?cid=31&amp;nopid=3928971131")</f>
        <v>https://organic.ams.usda.gov/Integrity/Certificate.aspx?cid=31&amp;nopid=3928971131</v>
      </c>
    </row>
    <row r="1877">
      <c r="A1877" t="s">
        <v>3</v>
      </c>
      <c r="B1877" s="6" t="s">
        <v>10</v>
      </c>
      <c r="C1877" s="6" t="s">
        <v>57</v>
      </c>
      <c r="D1877" s="6" t="s">
        <v>103</v>
      </c>
      <c r="E1877" s="10" t="s">
        <v>2018</v>
      </c>
      <c r="F1877" s="6" t="s">
        <v>4732</v>
      </c>
      <c r="G1877" s="6" t="s">
        <v>81</v>
      </c>
      <c r="H1877" s="6" t="s">
        <v>7611</v>
      </c>
      <c r="I1877" s="6" t="s">
        <v>9325</v>
      </c>
      <c r="J1877" s="6" t="s">
        <v>9665</v>
      </c>
      <c r="K1877" s="6" t="s">
        <v>10886</v>
      </c>
      <c r="L1877" s="16" t="n">
        <v>42423</v>
      </c>
      <c r="M1877" s="16" t="n">
        <v>45748</v>
      </c>
      <c r="N1877" s="6" t="s">
        <v>10886</v>
      </c>
      <c r="O1877" s="16" t="n">
        <v>42423</v>
      </c>
      <c r="P1877" s="6" t="s">
        <v>10925</v>
      </c>
      <c r="Q1877" s="6" t="s">
        <v>81</v>
      </c>
      <c r="R1877" s="6" t="s">
        <v>12962</v>
      </c>
      <c r="S1877" s="6" t="s">
        <v>10886</v>
      </c>
      <c r="T1877" s="16" t="n">
        <v>42423</v>
      </c>
      <c r="U1877" s="6" t="s">
        <v>13738</v>
      </c>
      <c r="V1877" s="6" t="s">
        <v>81</v>
      </c>
      <c r="W1877" s="6" t="s">
        <v>81</v>
      </c>
      <c r="X1877" s="6" t="s">
        <v>81</v>
      </c>
      <c r="Y1877" s="21" t="s">
        <v>81</v>
      </c>
      <c r="Z1877" s="6" t="s">
        <v>81</v>
      </c>
      <c r="AA1877" s="6" t="s">
        <v>81</v>
      </c>
      <c r="AB1877" s="6" t="s">
        <v>81</v>
      </c>
      <c r="AC1877" s="6" t="s">
        <v>81</v>
      </c>
      <c r="AD1877" s="21" t="s">
        <v>81</v>
      </c>
      <c r="AE1877" s="6" t="s">
        <v>81</v>
      </c>
      <c r="AF1877" s="6" t="s">
        <v>81</v>
      </c>
      <c r="AG1877" s="6" t="s">
        <v>81</v>
      </c>
      <c r="AH1877" s="6" t="s">
        <v>16430</v>
      </c>
      <c r="AI1877" s="6" t="s">
        <v>81</v>
      </c>
      <c r="AJ1877" s="6" t="s">
        <v>17315</v>
      </c>
      <c r="AK1877" s="6" t="s">
        <v>18379</v>
      </c>
      <c r="AL1877" s="6" t="s">
        <v>18444</v>
      </c>
      <c r="AM1877" s="6" t="s">
        <v>18467</v>
      </c>
      <c r="AN1877" s="6" t="s">
        <v>19637</v>
      </c>
      <c r="AO1877" s="6" t="s">
        <v>19723</v>
      </c>
      <c r="AP1877" s="6" t="s">
        <v>16430</v>
      </c>
      <c r="AQ1877" s="6" t="s">
        <v>81</v>
      </c>
      <c r="AR1877" s="6" t="s">
        <v>17315</v>
      </c>
      <c r="AS1877" s="6" t="s">
        <v>18379</v>
      </c>
      <c r="AT1877" s="6" t="s">
        <v>18444</v>
      </c>
      <c r="AU1877" s="6" t="s">
        <v>18467</v>
      </c>
      <c r="AV1877" s="6" t="s">
        <v>81</v>
      </c>
      <c r="AW1877" s="6" t="s">
        <v>81</v>
      </c>
      <c r="AX1877" s="6" t="s">
        <v>21948</v>
      </c>
      <c r="AY1877" s="6" t="s">
        <v>81</v>
      </c>
      <c r="AZ1877" s="6" t="s">
        <v>81</v>
      </c>
      <c r="BA1877" s="6" t="s">
        <v>81</v>
      </c>
      <c r="BB1877" s="24" t="n">
        <v>98</v>
      </c>
      <c r="BC1877" s="26"/>
      <c r="BD1877" s="26"/>
      <c r="BE1877" s="26"/>
      <c r="BF1877" s="26"/>
      <c r="BG1877" s="26"/>
      <c r="BH1877" s="26"/>
      <c r="BI1877" s="26"/>
      <c r="BJ1877" s="26"/>
      <c r="BK1877" s="26"/>
      <c r="BL1877" s="26"/>
      <c r="BM1877" s="26"/>
      <c r="BN1877" s="26"/>
      <c r="BO1877" s="26"/>
      <c r="BP1877" s="16" t="n">
        <v>45730</v>
      </c>
      <c r="BQ1877" s="28" t="str">
        <f>HYPERLINK("https://organic.ams.usda.gov/Integrity/Certificate.aspx?cid=90&amp;nopid=7170020202")</f>
        <v>https://organic.ams.usda.gov/Integrity/Certificate.aspx?cid=90&amp;nopid=7170020202</v>
      </c>
    </row>
    <row r="1878">
      <c r="A1878" t="s">
        <v>3</v>
      </c>
      <c r="B1878" s="6" t="s">
        <v>29</v>
      </c>
      <c r="C1878" s="6" t="s">
        <v>76</v>
      </c>
      <c r="D1878" s="6" t="s">
        <v>122</v>
      </c>
      <c r="E1878" s="10" t="s">
        <v>2019</v>
      </c>
      <c r="F1878" s="6" t="s">
        <v>4733</v>
      </c>
      <c r="G1878" s="6" t="s">
        <v>5763</v>
      </c>
      <c r="H1878" s="6" t="s">
        <v>7612</v>
      </c>
      <c r="I1878" s="6" t="s">
        <v>9326</v>
      </c>
      <c r="J1878" s="6" t="s">
        <v>9666</v>
      </c>
      <c r="K1878" s="6" t="s">
        <v>10886</v>
      </c>
      <c r="L1878" s="16" t="n">
        <v>45118</v>
      </c>
      <c r="M1878" s="16" t="n">
        <v>45870</v>
      </c>
      <c r="N1878" s="6" t="s">
        <v>10886</v>
      </c>
      <c r="O1878" s="16" t="n">
        <v>45118</v>
      </c>
      <c r="P1878" s="6" t="s">
        <v>10910</v>
      </c>
      <c r="Q1878" s="6" t="s">
        <v>81</v>
      </c>
      <c r="R1878" s="6" t="s">
        <v>12963</v>
      </c>
      <c r="S1878" s="6" t="s">
        <v>10886</v>
      </c>
      <c r="T1878" s="16" t="n">
        <v>45118</v>
      </c>
      <c r="U1878" s="6" t="s">
        <v>13739</v>
      </c>
      <c r="V1878" s="6" t="s">
        <v>81</v>
      </c>
      <c r="W1878" s="6" t="s">
        <v>12963</v>
      </c>
      <c r="X1878" s="6" t="s">
        <v>81</v>
      </c>
      <c r="Y1878" s="21" t="s">
        <v>81</v>
      </c>
      <c r="Z1878" s="6" t="s">
        <v>81</v>
      </c>
      <c r="AA1878" s="6" t="s">
        <v>81</v>
      </c>
      <c r="AB1878" s="6" t="s">
        <v>81</v>
      </c>
      <c r="AC1878" s="6" t="s">
        <v>81</v>
      </c>
      <c r="AD1878" s="21" t="s">
        <v>81</v>
      </c>
      <c r="AE1878" s="6" t="s">
        <v>81</v>
      </c>
      <c r="AF1878" s="6" t="s">
        <v>81</v>
      </c>
      <c r="AG1878" s="6" t="s">
        <v>81</v>
      </c>
      <c r="AH1878" s="6" t="s">
        <v>16431</v>
      </c>
      <c r="AI1878" s="6" t="s">
        <v>81</v>
      </c>
      <c r="AJ1878" s="6" t="s">
        <v>17679</v>
      </c>
      <c r="AK1878" s="6" t="s">
        <v>17712</v>
      </c>
      <c r="AL1878" s="6" t="s">
        <v>18444</v>
      </c>
      <c r="AM1878" s="6" t="s">
        <v>18845</v>
      </c>
      <c r="AN1878" s="6" t="s">
        <v>7450</v>
      </c>
      <c r="AO1878" s="6" t="s">
        <v>19897</v>
      </c>
      <c r="AP1878" s="6" t="s">
        <v>81</v>
      </c>
      <c r="AQ1878" s="6" t="s">
        <v>81</v>
      </c>
      <c r="AR1878" s="6" t="s">
        <v>81</v>
      </c>
      <c r="AS1878" s="6" t="s">
        <v>81</v>
      </c>
      <c r="AT1878" s="6" t="s">
        <v>81</v>
      </c>
      <c r="AU1878" s="6" t="s">
        <v>81</v>
      </c>
      <c r="AV1878" s="6" t="s">
        <v>81</v>
      </c>
      <c r="AW1878" s="6" t="s">
        <v>81</v>
      </c>
      <c r="AX1878" s="6" t="s">
        <v>21949</v>
      </c>
      <c r="AY1878" s="6" t="s">
        <v>81</v>
      </c>
      <c r="AZ1878" s="6" t="s">
        <v>81</v>
      </c>
      <c r="BA1878" s="6" t="s">
        <v>81</v>
      </c>
      <c r="BB1878" s="24" t="n">
        <v>212</v>
      </c>
      <c r="BC1878" s="26"/>
      <c r="BD1878" s="26"/>
      <c r="BE1878" s="26"/>
      <c r="BF1878" s="26" t="s">
        <v>23900</v>
      </c>
      <c r="BG1878" s="26"/>
      <c r="BH1878" s="26"/>
      <c r="BI1878" s="26"/>
      <c r="BJ1878" s="26"/>
      <c r="BK1878" s="26"/>
      <c r="BL1878" s="26"/>
      <c r="BM1878" s="26"/>
      <c r="BN1878" s="26"/>
      <c r="BO1878" s="26"/>
      <c r="BP1878" s="16" t="n">
        <v>45737</v>
      </c>
      <c r="BQ1878" s="28" t="str">
        <f>HYPERLINK("https://organic.ams.usda.gov/Integrity/Certificate.aspx?cid=31&amp;nopid=3928972355")</f>
        <v>https://organic.ams.usda.gov/Integrity/Certificate.aspx?cid=31&amp;nopid=3928972355</v>
      </c>
    </row>
    <row r="1879">
      <c r="A1879" t="s">
        <v>3</v>
      </c>
      <c r="B1879" s="6" t="s">
        <v>9</v>
      </c>
      <c r="C1879" s="6" t="s">
        <v>56</v>
      </c>
      <c r="D1879" s="6" t="s">
        <v>102</v>
      </c>
      <c r="E1879" s="10" t="s">
        <v>2020</v>
      </c>
      <c r="F1879" s="6" t="s">
        <v>4734</v>
      </c>
      <c r="G1879" s="6" t="s">
        <v>81</v>
      </c>
      <c r="H1879" s="6" t="s">
        <v>7613</v>
      </c>
      <c r="I1879" s="6" t="s">
        <v>9327</v>
      </c>
      <c r="J1879" s="6" t="s">
        <v>9675</v>
      </c>
      <c r="K1879" s="6" t="s">
        <v>10886</v>
      </c>
      <c r="L1879" s="16" t="n">
        <v>44866</v>
      </c>
      <c r="M1879" s="16" t="n">
        <v>45748</v>
      </c>
      <c r="N1879" s="6" t="s">
        <v>10886</v>
      </c>
      <c r="O1879" s="16" t="n">
        <v>44866</v>
      </c>
      <c r="P1879" s="6" t="s">
        <v>10922</v>
      </c>
      <c r="Q1879" s="6" t="s">
        <v>81</v>
      </c>
      <c r="R1879" s="6" t="s">
        <v>12964</v>
      </c>
      <c r="S1879" s="6" t="s">
        <v>10886</v>
      </c>
      <c r="T1879" s="16" t="n">
        <v>44866</v>
      </c>
      <c r="U1879" s="6" t="s">
        <v>13168</v>
      </c>
      <c r="V1879" s="6" t="s">
        <v>81</v>
      </c>
      <c r="W1879" s="6" t="s">
        <v>12964</v>
      </c>
      <c r="X1879" s="6" t="s">
        <v>81</v>
      </c>
      <c r="Y1879" s="21" t="s">
        <v>81</v>
      </c>
      <c r="Z1879" s="6" t="s">
        <v>81</v>
      </c>
      <c r="AA1879" s="6" t="s">
        <v>81</v>
      </c>
      <c r="AB1879" s="6" t="s">
        <v>81</v>
      </c>
      <c r="AC1879" s="6" t="s">
        <v>81</v>
      </c>
      <c r="AD1879" s="21" t="s">
        <v>81</v>
      </c>
      <c r="AE1879" s="6" t="s">
        <v>81</v>
      </c>
      <c r="AF1879" s="6" t="s">
        <v>81</v>
      </c>
      <c r="AG1879" s="6" t="s">
        <v>81</v>
      </c>
      <c r="AH1879" s="6" t="s">
        <v>16432</v>
      </c>
      <c r="AI1879" s="6" t="s">
        <v>81</v>
      </c>
      <c r="AJ1879" s="6" t="s">
        <v>18137</v>
      </c>
      <c r="AK1879" s="6" t="s">
        <v>17712</v>
      </c>
      <c r="AL1879" s="6" t="s">
        <v>18444</v>
      </c>
      <c r="AM1879" s="6" t="s">
        <v>19338</v>
      </c>
      <c r="AN1879" s="6" t="s">
        <v>19653</v>
      </c>
      <c r="AO1879" s="6" t="s">
        <v>19744</v>
      </c>
      <c r="AP1879" s="6" t="s">
        <v>81</v>
      </c>
      <c r="AQ1879" s="6" t="s">
        <v>81</v>
      </c>
      <c r="AR1879" s="6" t="s">
        <v>81</v>
      </c>
      <c r="AS1879" s="6" t="s">
        <v>81</v>
      </c>
      <c r="AT1879" s="6" t="s">
        <v>81</v>
      </c>
      <c r="AU1879" s="6" t="s">
        <v>81</v>
      </c>
      <c r="AV1879" s="6" t="s">
        <v>81</v>
      </c>
      <c r="AW1879" s="6" t="s">
        <v>81</v>
      </c>
      <c r="AX1879" s="6" t="s">
        <v>21950</v>
      </c>
      <c r="AY1879" s="6" t="s">
        <v>81</v>
      </c>
      <c r="AZ1879" s="6" t="s">
        <v>81</v>
      </c>
      <c r="BA1879" s="6" t="s">
        <v>81</v>
      </c>
      <c r="BB1879" s="24" t="n">
        <v>128</v>
      </c>
      <c r="BC1879" s="26"/>
      <c r="BD1879" s="26"/>
      <c r="BE1879" s="26"/>
      <c r="BF1879" s="26"/>
      <c r="BG1879" s="26"/>
      <c r="BH1879" s="26"/>
      <c r="BI1879" s="26"/>
      <c r="BJ1879" s="26"/>
      <c r="BK1879" s="26"/>
      <c r="BL1879" s="26"/>
      <c r="BM1879" s="26"/>
      <c r="BN1879" s="26"/>
      <c r="BO1879" s="26"/>
      <c r="BP1879" s="16" t="n">
        <v>45738</v>
      </c>
      <c r="BQ1879" s="28" t="str">
        <f>HYPERLINK("https://organic.ams.usda.gov/Integrity/Certificate.aspx?cid=52&amp;nopid=8432202083")</f>
        <v>https://organic.ams.usda.gov/Integrity/Certificate.aspx?cid=52&amp;nopid=8432202083</v>
      </c>
    </row>
    <row r="1880">
      <c r="A1880" t="s">
        <v>3</v>
      </c>
      <c r="B1880" s="6" t="s">
        <v>12</v>
      </c>
      <c r="C1880" s="6" t="s">
        <v>59</v>
      </c>
      <c r="D1880" s="6" t="s">
        <v>105</v>
      </c>
      <c r="E1880" s="10" t="s">
        <v>2021</v>
      </c>
      <c r="F1880" s="6" t="s">
        <v>4735</v>
      </c>
      <c r="G1880" s="6" t="s">
        <v>81</v>
      </c>
      <c r="H1880" s="6" t="s">
        <v>7614</v>
      </c>
      <c r="I1880" s="6" t="s">
        <v>9328</v>
      </c>
      <c r="J1880" s="6" t="s">
        <v>10055</v>
      </c>
      <c r="K1880" s="6" t="s">
        <v>10886</v>
      </c>
      <c r="L1880" s="16" t="n">
        <v>42491</v>
      </c>
      <c r="M1880" s="16" t="n">
        <v>45717</v>
      </c>
      <c r="N1880" s="6" t="s">
        <v>10886</v>
      </c>
      <c r="O1880" s="16" t="n">
        <v>42491</v>
      </c>
      <c r="P1880" s="6" t="s">
        <v>10944</v>
      </c>
      <c r="Q1880" s="6" t="s">
        <v>81</v>
      </c>
      <c r="R1880" s="6" t="s">
        <v>81</v>
      </c>
      <c r="S1880" s="6" t="s">
        <v>10886</v>
      </c>
      <c r="T1880" s="16" t="n">
        <v>42491</v>
      </c>
      <c r="U1880" s="6" t="s">
        <v>13183</v>
      </c>
      <c r="V1880" s="6" t="s">
        <v>81</v>
      </c>
      <c r="W1880" s="6" t="s">
        <v>81</v>
      </c>
      <c r="X1880" s="6" t="s">
        <v>81</v>
      </c>
      <c r="Y1880" s="21" t="s">
        <v>81</v>
      </c>
      <c r="Z1880" s="6" t="s">
        <v>81</v>
      </c>
      <c r="AA1880" s="6" t="s">
        <v>81</v>
      </c>
      <c r="AB1880" s="6" t="s">
        <v>81</v>
      </c>
      <c r="AC1880" s="6" t="s">
        <v>81</v>
      </c>
      <c r="AD1880" s="21" t="s">
        <v>81</v>
      </c>
      <c r="AE1880" s="6" t="s">
        <v>81</v>
      </c>
      <c r="AF1880" s="6" t="s">
        <v>81</v>
      </c>
      <c r="AG1880" s="6" t="s">
        <v>81</v>
      </c>
      <c r="AH1880" s="6" t="s">
        <v>16433</v>
      </c>
      <c r="AI1880" s="6" t="s">
        <v>81</v>
      </c>
      <c r="AJ1880" s="6" t="s">
        <v>17650</v>
      </c>
      <c r="AK1880" s="6" t="s">
        <v>18380</v>
      </c>
      <c r="AL1880" s="6" t="s">
        <v>18444</v>
      </c>
      <c r="AM1880" s="6" t="s">
        <v>18820</v>
      </c>
      <c r="AN1880" s="6" t="s">
        <v>19681</v>
      </c>
      <c r="AO1880" s="6" t="s">
        <v>19805</v>
      </c>
      <c r="AP1880" s="6" t="s">
        <v>16433</v>
      </c>
      <c r="AQ1880" s="6" t="s">
        <v>81</v>
      </c>
      <c r="AR1880" s="6" t="s">
        <v>17650</v>
      </c>
      <c r="AS1880" s="6" t="s">
        <v>18380</v>
      </c>
      <c r="AT1880" s="6" t="s">
        <v>18444</v>
      </c>
      <c r="AU1880" s="6" t="s">
        <v>18820</v>
      </c>
      <c r="AV1880" s="6" t="s">
        <v>81</v>
      </c>
      <c r="AW1880" s="6" t="s">
        <v>81</v>
      </c>
      <c r="AX1880" s="6" t="s">
        <v>21951</v>
      </c>
      <c r="AY1880" s="6" t="s">
        <v>81</v>
      </c>
      <c r="AZ1880" s="6" t="s">
        <v>81</v>
      </c>
      <c r="BA1880" s="6" t="s">
        <v>81</v>
      </c>
      <c r="BB1880" s="24" t="n">
        <v>81</v>
      </c>
      <c r="BC1880" s="26"/>
      <c r="BD1880" s="26"/>
      <c r="BE1880" s="26"/>
      <c r="BF1880" s="26"/>
      <c r="BG1880" s="26"/>
      <c r="BH1880" s="26"/>
      <c r="BI1880" s="26"/>
      <c r="BJ1880" s="26"/>
      <c r="BK1880" s="26"/>
      <c r="BL1880" s="26"/>
      <c r="BM1880" s="26"/>
      <c r="BN1880" s="26"/>
      <c r="BO1880" s="26"/>
      <c r="BP1880" s="16" t="n">
        <v>45684</v>
      </c>
      <c r="BQ1880" s="28" t="str">
        <f>HYPERLINK("https://organic.ams.usda.gov/Integrity/Certificate.aspx?cid=68&amp;nopid=8210003142")</f>
        <v>https://organic.ams.usda.gov/Integrity/Certificate.aspx?cid=68&amp;nopid=8210003142</v>
      </c>
    </row>
    <row r="1881">
      <c r="A1881" t="s">
        <v>3</v>
      </c>
      <c r="B1881" s="6" t="s">
        <v>7</v>
      </c>
      <c r="C1881" s="6" t="s">
        <v>54</v>
      </c>
      <c r="D1881" s="6" t="s">
        <v>100</v>
      </c>
      <c r="E1881" s="10" t="s">
        <v>2022</v>
      </c>
      <c r="F1881" s="6" t="s">
        <v>4736</v>
      </c>
      <c r="G1881" s="6" t="s">
        <v>81</v>
      </c>
      <c r="H1881" s="6" t="s">
        <v>7615</v>
      </c>
      <c r="I1881" s="6" t="s">
        <v>9327</v>
      </c>
      <c r="J1881" s="6" t="s">
        <v>9804</v>
      </c>
      <c r="K1881" s="6" t="s">
        <v>10886</v>
      </c>
      <c r="L1881" s="16" t="n">
        <v>42303</v>
      </c>
      <c r="M1881" s="16" t="n">
        <v>45716</v>
      </c>
      <c r="N1881" s="6" t="s">
        <v>10886</v>
      </c>
      <c r="O1881" s="16" t="n">
        <v>42303</v>
      </c>
      <c r="P1881" s="6" t="s">
        <v>10930</v>
      </c>
      <c r="Q1881" s="6" t="s">
        <v>81</v>
      </c>
      <c r="R1881" s="6" t="s">
        <v>81</v>
      </c>
      <c r="S1881" s="6" t="s">
        <v>10886</v>
      </c>
      <c r="T1881" s="16" t="n">
        <v>42324</v>
      </c>
      <c r="U1881" s="6" t="s">
        <v>13169</v>
      </c>
      <c r="V1881" s="6" t="s">
        <v>81</v>
      </c>
      <c r="W1881" s="6" t="s">
        <v>81</v>
      </c>
      <c r="X1881" s="6" t="s">
        <v>81</v>
      </c>
      <c r="Y1881" s="21" t="s">
        <v>81</v>
      </c>
      <c r="Z1881" s="6" t="s">
        <v>81</v>
      </c>
      <c r="AA1881" s="6" t="s">
        <v>81</v>
      </c>
      <c r="AB1881" s="6" t="s">
        <v>81</v>
      </c>
      <c r="AC1881" s="6" t="s">
        <v>81</v>
      </c>
      <c r="AD1881" s="21" t="s">
        <v>81</v>
      </c>
      <c r="AE1881" s="6" t="s">
        <v>81</v>
      </c>
      <c r="AF1881" s="6" t="s">
        <v>81</v>
      </c>
      <c r="AG1881" s="6" t="s">
        <v>81</v>
      </c>
      <c r="AH1881" s="6" t="s">
        <v>16434</v>
      </c>
      <c r="AI1881" s="6" t="s">
        <v>81</v>
      </c>
      <c r="AJ1881" s="6" t="s">
        <v>17406</v>
      </c>
      <c r="AK1881" s="6" t="s">
        <v>17712</v>
      </c>
      <c r="AL1881" s="6" t="s">
        <v>18444</v>
      </c>
      <c r="AM1881" s="6" t="s">
        <v>18562</v>
      </c>
      <c r="AN1881" s="6" t="s">
        <v>19657</v>
      </c>
      <c r="AO1881" s="6" t="s">
        <v>19751</v>
      </c>
      <c r="AP1881" s="6" t="s">
        <v>16434</v>
      </c>
      <c r="AQ1881" s="6" t="s">
        <v>81</v>
      </c>
      <c r="AR1881" s="6" t="s">
        <v>17406</v>
      </c>
      <c r="AS1881" s="6" t="s">
        <v>17712</v>
      </c>
      <c r="AT1881" s="6" t="s">
        <v>18444</v>
      </c>
      <c r="AU1881" s="6" t="s">
        <v>18562</v>
      </c>
      <c r="AV1881" s="6" t="s">
        <v>81</v>
      </c>
      <c r="AW1881" s="6" t="s">
        <v>81</v>
      </c>
      <c r="AX1881" s="6" t="s">
        <v>81</v>
      </c>
      <c r="AY1881" s="6" t="s">
        <v>81</v>
      </c>
      <c r="AZ1881" s="6" t="s">
        <v>81</v>
      </c>
      <c r="BA1881" s="6" t="s">
        <v>81</v>
      </c>
      <c r="BB1881" s="24" t="n">
        <v>124</v>
      </c>
      <c r="BC1881" s="26"/>
      <c r="BD1881" s="26"/>
      <c r="BE1881" s="26"/>
      <c r="BF1881" s="26" t="s">
        <v>23900</v>
      </c>
      <c r="BG1881" s="26"/>
      <c r="BH1881" s="26"/>
      <c r="BI1881" s="26"/>
      <c r="BJ1881" s="26"/>
      <c r="BK1881" s="26"/>
      <c r="BL1881" s="26"/>
      <c r="BM1881" s="26"/>
      <c r="BN1881" s="26"/>
      <c r="BO1881" s="26"/>
      <c r="BP1881" s="16" t="n">
        <v>45595</v>
      </c>
      <c r="BQ1881" s="28" t="str">
        <f>HYPERLINK("https://organic.ams.usda.gov/Integrity/Certificate.aspx?cid=57&amp;nopid=3252015115")</f>
        <v>https://organic.ams.usda.gov/Integrity/Certificate.aspx?cid=57&amp;nopid=3252015115</v>
      </c>
    </row>
    <row r="1882">
      <c r="A1882" t="s">
        <v>3</v>
      </c>
      <c r="B1882" s="6" t="s">
        <v>7</v>
      </c>
      <c r="C1882" s="6" t="s">
        <v>54</v>
      </c>
      <c r="D1882" s="6" t="s">
        <v>100</v>
      </c>
      <c r="E1882" s="10" t="s">
        <v>2023</v>
      </c>
      <c r="F1882" s="6" t="s">
        <v>4737</v>
      </c>
      <c r="G1882" s="6" t="s">
        <v>81</v>
      </c>
      <c r="H1882" s="6" t="s">
        <v>7616</v>
      </c>
      <c r="I1882" s="6" t="s">
        <v>9329</v>
      </c>
      <c r="J1882" s="6" t="s">
        <v>9750</v>
      </c>
      <c r="K1882" s="6" t="s">
        <v>10886</v>
      </c>
      <c r="L1882" s="16" t="n">
        <v>43368</v>
      </c>
      <c r="M1882" s="16" t="n">
        <v>45716</v>
      </c>
      <c r="N1882" s="6" t="s">
        <v>10886</v>
      </c>
      <c r="O1882" s="16" t="n">
        <v>43368</v>
      </c>
      <c r="P1882" s="6" t="s">
        <v>10910</v>
      </c>
      <c r="Q1882" s="6" t="s">
        <v>81</v>
      </c>
      <c r="R1882" s="6" t="s">
        <v>81</v>
      </c>
      <c r="S1882" s="6" t="s">
        <v>10886</v>
      </c>
      <c r="T1882" s="16" t="n">
        <v>43368</v>
      </c>
      <c r="U1882" s="6" t="s">
        <v>13169</v>
      </c>
      <c r="V1882" s="6" t="s">
        <v>81</v>
      </c>
      <c r="W1882" s="6" t="s">
        <v>81</v>
      </c>
      <c r="X1882" s="6" t="s">
        <v>81</v>
      </c>
      <c r="Y1882" s="21" t="s">
        <v>81</v>
      </c>
      <c r="Z1882" s="6" t="s">
        <v>81</v>
      </c>
      <c r="AA1882" s="6" t="s">
        <v>81</v>
      </c>
      <c r="AB1882" s="6" t="s">
        <v>81</v>
      </c>
      <c r="AC1882" s="6" t="s">
        <v>81</v>
      </c>
      <c r="AD1882" s="21" t="s">
        <v>81</v>
      </c>
      <c r="AE1882" s="6" t="s">
        <v>81</v>
      </c>
      <c r="AF1882" s="6" t="s">
        <v>81</v>
      </c>
      <c r="AG1882" s="6" t="s">
        <v>81</v>
      </c>
      <c r="AH1882" s="6" t="s">
        <v>16435</v>
      </c>
      <c r="AI1882" s="6" t="s">
        <v>81</v>
      </c>
      <c r="AJ1882" s="6" t="s">
        <v>17507</v>
      </c>
      <c r="AK1882" s="6" t="s">
        <v>17712</v>
      </c>
      <c r="AL1882" s="6" t="s">
        <v>18444</v>
      </c>
      <c r="AM1882" s="6" t="s">
        <v>18668</v>
      </c>
      <c r="AN1882" s="6" t="s">
        <v>19657</v>
      </c>
      <c r="AO1882" s="6" t="s">
        <v>19751</v>
      </c>
      <c r="AP1882" s="6" t="s">
        <v>16435</v>
      </c>
      <c r="AQ1882" s="6" t="s">
        <v>81</v>
      </c>
      <c r="AR1882" s="6" t="s">
        <v>17507</v>
      </c>
      <c r="AS1882" s="6" t="s">
        <v>17712</v>
      </c>
      <c r="AT1882" s="6" t="s">
        <v>18444</v>
      </c>
      <c r="AU1882" s="6" t="s">
        <v>18668</v>
      </c>
      <c r="AV1882" s="6" t="s">
        <v>81</v>
      </c>
      <c r="AW1882" s="6" t="s">
        <v>81</v>
      </c>
      <c r="AX1882" s="6" t="s">
        <v>21952</v>
      </c>
      <c r="AY1882" s="6" t="s">
        <v>81</v>
      </c>
      <c r="AZ1882" s="6" t="s">
        <v>81</v>
      </c>
      <c r="BA1882" s="6" t="s">
        <v>81</v>
      </c>
      <c r="BB1882" s="24" t="n">
        <v>266</v>
      </c>
      <c r="BC1882" s="26"/>
      <c r="BD1882" s="26"/>
      <c r="BE1882" s="26"/>
      <c r="BF1882" s="26" t="s">
        <v>23900</v>
      </c>
      <c r="BG1882" s="26"/>
      <c r="BH1882" s="26"/>
      <c r="BI1882" s="26"/>
      <c r="BJ1882" s="26"/>
      <c r="BK1882" s="26"/>
      <c r="BL1882" s="26"/>
      <c r="BM1882" s="26"/>
      <c r="BN1882" s="26"/>
      <c r="BO1882" s="26"/>
      <c r="BP1882" s="16" t="n">
        <v>45595</v>
      </c>
      <c r="BQ1882" s="28" t="str">
        <f>HYPERLINK("https://organic.ams.usda.gov/Integrity/Certificate.aspx?cid=57&amp;nopid=3252018065")</f>
        <v>https://organic.ams.usda.gov/Integrity/Certificate.aspx?cid=57&amp;nopid=3252018065</v>
      </c>
    </row>
    <row r="1883">
      <c r="A1883" t="s">
        <v>3</v>
      </c>
      <c r="B1883" s="6" t="s">
        <v>10</v>
      </c>
      <c r="C1883" s="6" t="s">
        <v>57</v>
      </c>
      <c r="D1883" s="6" t="s">
        <v>103</v>
      </c>
      <c r="E1883" s="10" t="s">
        <v>2024</v>
      </c>
      <c r="F1883" s="6" t="s">
        <v>4738</v>
      </c>
      <c r="G1883" s="6" t="s">
        <v>81</v>
      </c>
      <c r="H1883" s="6" t="s">
        <v>7617</v>
      </c>
      <c r="I1883" s="6" t="s">
        <v>9330</v>
      </c>
      <c r="J1883" s="6" t="s">
        <v>9233</v>
      </c>
      <c r="K1883" s="6" t="s">
        <v>10886</v>
      </c>
      <c r="L1883" s="16" t="n">
        <v>43712</v>
      </c>
      <c r="M1883" s="16" t="n">
        <v>45748</v>
      </c>
      <c r="N1883" s="6" t="s">
        <v>10886</v>
      </c>
      <c r="O1883" s="16" t="n">
        <v>44614</v>
      </c>
      <c r="P1883" s="6" t="s">
        <v>11998</v>
      </c>
      <c r="Q1883" s="6" t="s">
        <v>81</v>
      </c>
      <c r="R1883" s="6" t="s">
        <v>12965</v>
      </c>
      <c r="S1883" s="6" t="s">
        <v>10886</v>
      </c>
      <c r="T1883" s="16" t="n">
        <v>44614</v>
      </c>
      <c r="U1883" s="6" t="s">
        <v>13163</v>
      </c>
      <c r="V1883" s="6" t="s">
        <v>81</v>
      </c>
      <c r="W1883" s="6" t="s">
        <v>81</v>
      </c>
      <c r="X1883" s="6" t="s">
        <v>81</v>
      </c>
      <c r="Y1883" s="21" t="s">
        <v>81</v>
      </c>
      <c r="Z1883" s="6" t="s">
        <v>81</v>
      </c>
      <c r="AA1883" s="6" t="s">
        <v>81</v>
      </c>
      <c r="AB1883" s="6" t="s">
        <v>81</v>
      </c>
      <c r="AC1883" s="6" t="s">
        <v>81</v>
      </c>
      <c r="AD1883" s="21" t="s">
        <v>81</v>
      </c>
      <c r="AE1883" s="6" t="s">
        <v>81</v>
      </c>
      <c r="AF1883" s="6" t="s">
        <v>81</v>
      </c>
      <c r="AG1883" s="6" t="s">
        <v>81</v>
      </c>
      <c r="AH1883" s="6" t="s">
        <v>16436</v>
      </c>
      <c r="AI1883" s="6" t="s">
        <v>81</v>
      </c>
      <c r="AJ1883" s="6" t="s">
        <v>17448</v>
      </c>
      <c r="AK1883" s="6" t="s">
        <v>18379</v>
      </c>
      <c r="AL1883" s="6" t="s">
        <v>18444</v>
      </c>
      <c r="AM1883" s="6" t="s">
        <v>18606</v>
      </c>
      <c r="AN1883" s="6" t="s">
        <v>19654</v>
      </c>
      <c r="AO1883" s="6" t="s">
        <v>19765</v>
      </c>
      <c r="AP1883" s="6" t="s">
        <v>16436</v>
      </c>
      <c r="AQ1883" s="6" t="s">
        <v>81</v>
      </c>
      <c r="AR1883" s="6" t="s">
        <v>17448</v>
      </c>
      <c r="AS1883" s="6" t="s">
        <v>18379</v>
      </c>
      <c r="AT1883" s="6" t="s">
        <v>18444</v>
      </c>
      <c r="AU1883" s="6" t="s">
        <v>18606</v>
      </c>
      <c r="AV1883" s="6" t="s">
        <v>81</v>
      </c>
      <c r="AW1883" s="6" t="s">
        <v>81</v>
      </c>
      <c r="AX1883" s="6" t="s">
        <v>21953</v>
      </c>
      <c r="AY1883" s="6" t="s">
        <v>23221</v>
      </c>
      <c r="AZ1883" s="6" t="s">
        <v>81</v>
      </c>
      <c r="BA1883" s="6" t="s">
        <v>81</v>
      </c>
      <c r="BB1883" s="24" t="n">
        <v>114</v>
      </c>
      <c r="BC1883" s="26"/>
      <c r="BD1883" s="26"/>
      <c r="BE1883" s="26"/>
      <c r="BF1883" s="26"/>
      <c r="BG1883" s="26"/>
      <c r="BH1883" s="26"/>
      <c r="BI1883" s="26"/>
      <c r="BJ1883" s="26"/>
      <c r="BK1883" s="26"/>
      <c r="BL1883" s="26"/>
      <c r="BM1883" s="26"/>
      <c r="BN1883" s="26"/>
      <c r="BO1883" s="26"/>
      <c r="BP1883" s="16" t="n">
        <v>45730</v>
      </c>
      <c r="BQ1883" s="28" t="str">
        <f>HYPERLINK("https://organic.ams.usda.gov/Integrity/Certificate.aspx?cid=90&amp;nopid=7170220452")</f>
        <v>https://organic.ams.usda.gov/Integrity/Certificate.aspx?cid=90&amp;nopid=7170220452</v>
      </c>
    </row>
    <row r="1884">
      <c r="A1884" t="s">
        <v>3</v>
      </c>
      <c r="B1884" s="6" t="s">
        <v>12</v>
      </c>
      <c r="C1884" s="6" t="s">
        <v>59</v>
      </c>
      <c r="D1884" s="6" t="s">
        <v>105</v>
      </c>
      <c r="E1884" s="10" t="s">
        <v>2025</v>
      </c>
      <c r="F1884" s="6" t="s">
        <v>4739</v>
      </c>
      <c r="G1884" s="6" t="s">
        <v>81</v>
      </c>
      <c r="H1884" s="6" t="s">
        <v>7618</v>
      </c>
      <c r="I1884" s="6" t="s">
        <v>9328</v>
      </c>
      <c r="J1884" s="6" t="s">
        <v>10484</v>
      </c>
      <c r="K1884" s="6" t="s">
        <v>10886</v>
      </c>
      <c r="L1884" s="16" t="n">
        <v>44501</v>
      </c>
      <c r="M1884" s="16" t="n">
        <v>45717</v>
      </c>
      <c r="N1884" s="6" t="s">
        <v>10886</v>
      </c>
      <c r="O1884" s="16" t="n">
        <v>44501</v>
      </c>
      <c r="P1884" s="6" t="s">
        <v>10910</v>
      </c>
      <c r="Q1884" s="6" t="s">
        <v>81</v>
      </c>
      <c r="R1884" s="6" t="s">
        <v>81</v>
      </c>
      <c r="S1884" s="6" t="s">
        <v>10886</v>
      </c>
      <c r="T1884" s="16" t="n">
        <v>44501</v>
      </c>
      <c r="U1884" s="6" t="s">
        <v>13171</v>
      </c>
      <c r="V1884" s="6" t="s">
        <v>81</v>
      </c>
      <c r="W1884" s="6" t="s">
        <v>81</v>
      </c>
      <c r="X1884" s="6" t="s">
        <v>81</v>
      </c>
      <c r="Y1884" s="21" t="s">
        <v>81</v>
      </c>
      <c r="Z1884" s="6" t="s">
        <v>81</v>
      </c>
      <c r="AA1884" s="6" t="s">
        <v>81</v>
      </c>
      <c r="AB1884" s="6" t="s">
        <v>81</v>
      </c>
      <c r="AC1884" s="6" t="s">
        <v>81</v>
      </c>
      <c r="AD1884" s="21" t="s">
        <v>81</v>
      </c>
      <c r="AE1884" s="6" t="s">
        <v>81</v>
      </c>
      <c r="AF1884" s="6" t="s">
        <v>81</v>
      </c>
      <c r="AG1884" s="6" t="s">
        <v>81</v>
      </c>
      <c r="AH1884" s="6" t="s">
        <v>16437</v>
      </c>
      <c r="AI1884" s="6" t="s">
        <v>81</v>
      </c>
      <c r="AJ1884" s="6" t="s">
        <v>10649</v>
      </c>
      <c r="AK1884" s="6" t="s">
        <v>18380</v>
      </c>
      <c r="AL1884" s="6" t="s">
        <v>18444</v>
      </c>
      <c r="AM1884" s="6" t="s">
        <v>19339</v>
      </c>
      <c r="AN1884" s="6" t="s">
        <v>19706</v>
      </c>
      <c r="AO1884" s="6" t="s">
        <v>19784</v>
      </c>
      <c r="AP1884" s="6" t="s">
        <v>16437</v>
      </c>
      <c r="AQ1884" s="6" t="s">
        <v>81</v>
      </c>
      <c r="AR1884" s="6" t="s">
        <v>10649</v>
      </c>
      <c r="AS1884" s="6" t="s">
        <v>18380</v>
      </c>
      <c r="AT1884" s="6" t="s">
        <v>18444</v>
      </c>
      <c r="AU1884" s="6" t="s">
        <v>19339</v>
      </c>
      <c r="AV1884" s="6" t="s">
        <v>81</v>
      </c>
      <c r="AW1884" s="6" t="s">
        <v>81</v>
      </c>
      <c r="AX1884" s="6" t="s">
        <v>21954</v>
      </c>
      <c r="AY1884" s="6" t="s">
        <v>23222</v>
      </c>
      <c r="AZ1884" s="6" t="s">
        <v>81</v>
      </c>
      <c r="BA1884" s="6" t="s">
        <v>81</v>
      </c>
      <c r="BB1884" s="24" t="n">
        <v>208</v>
      </c>
      <c r="BC1884" s="26"/>
      <c r="BD1884" s="26"/>
      <c r="BE1884" s="26"/>
      <c r="BF1884" s="26"/>
      <c r="BG1884" s="26"/>
      <c r="BH1884" s="26"/>
      <c r="BI1884" s="26"/>
      <c r="BJ1884" s="26"/>
      <c r="BK1884" s="26"/>
      <c r="BL1884" s="26"/>
      <c r="BM1884" s="26"/>
      <c r="BN1884" s="26"/>
      <c r="BO1884" s="26"/>
      <c r="BP1884" s="16" t="n">
        <v>45684</v>
      </c>
      <c r="BQ1884" s="28" t="str">
        <f>HYPERLINK("https://organic.ams.usda.gov/Integrity/Certificate.aspx?cid=68&amp;nopid=8210008200")</f>
        <v>https://organic.ams.usda.gov/Integrity/Certificate.aspx?cid=68&amp;nopid=8210008200</v>
      </c>
    </row>
    <row r="1885">
      <c r="A1885" t="s">
        <v>3</v>
      </c>
      <c r="B1885" s="6" t="s">
        <v>10</v>
      </c>
      <c r="C1885" s="6" t="s">
        <v>57</v>
      </c>
      <c r="D1885" s="6" t="s">
        <v>103</v>
      </c>
      <c r="E1885" s="10" t="s">
        <v>2026</v>
      </c>
      <c r="F1885" s="6" t="s">
        <v>4740</v>
      </c>
      <c r="G1885" s="6" t="s">
        <v>81</v>
      </c>
      <c r="H1885" s="6" t="s">
        <v>7619</v>
      </c>
      <c r="I1885" s="6" t="s">
        <v>8962</v>
      </c>
      <c r="J1885" s="6" t="s">
        <v>10485</v>
      </c>
      <c r="K1885" s="6" t="s">
        <v>10886</v>
      </c>
      <c r="L1885" s="16" t="n">
        <v>43384</v>
      </c>
      <c r="M1885" s="16" t="n">
        <v>45748</v>
      </c>
      <c r="N1885" s="6" t="s">
        <v>10886</v>
      </c>
      <c r="O1885" s="16" t="n">
        <v>43384</v>
      </c>
      <c r="P1885" s="6" t="s">
        <v>11999</v>
      </c>
      <c r="Q1885" s="6" t="s">
        <v>81</v>
      </c>
      <c r="R1885" s="6" t="s">
        <v>12966</v>
      </c>
      <c r="S1885" s="6" t="s">
        <v>10886</v>
      </c>
      <c r="T1885" s="16" t="n">
        <v>43384</v>
      </c>
      <c r="U1885" s="6" t="s">
        <v>13740</v>
      </c>
      <c r="V1885" s="6" t="s">
        <v>81</v>
      </c>
      <c r="W1885" s="6" t="s">
        <v>81</v>
      </c>
      <c r="X1885" s="6" t="s">
        <v>81</v>
      </c>
      <c r="Y1885" s="21" t="s">
        <v>81</v>
      </c>
      <c r="Z1885" s="6" t="s">
        <v>81</v>
      </c>
      <c r="AA1885" s="6" t="s">
        <v>81</v>
      </c>
      <c r="AB1885" s="6" t="s">
        <v>81</v>
      </c>
      <c r="AC1885" s="6" t="s">
        <v>81</v>
      </c>
      <c r="AD1885" s="21" t="s">
        <v>81</v>
      </c>
      <c r="AE1885" s="6" t="s">
        <v>81</v>
      </c>
      <c r="AF1885" s="6" t="s">
        <v>81</v>
      </c>
      <c r="AG1885" s="6" t="s">
        <v>81</v>
      </c>
      <c r="AH1885" s="6" t="s">
        <v>16438</v>
      </c>
      <c r="AI1885" s="6" t="s">
        <v>81</v>
      </c>
      <c r="AJ1885" s="6" t="s">
        <v>17381</v>
      </c>
      <c r="AK1885" s="6" t="s">
        <v>18379</v>
      </c>
      <c r="AL1885" s="6" t="s">
        <v>18444</v>
      </c>
      <c r="AM1885" s="6" t="s">
        <v>18534</v>
      </c>
      <c r="AN1885" s="6" t="s">
        <v>19654</v>
      </c>
      <c r="AO1885" s="6" t="s">
        <v>19765</v>
      </c>
      <c r="AP1885" s="6" t="s">
        <v>16438</v>
      </c>
      <c r="AQ1885" s="6" t="s">
        <v>81</v>
      </c>
      <c r="AR1885" s="6" t="s">
        <v>17381</v>
      </c>
      <c r="AS1885" s="6" t="s">
        <v>18379</v>
      </c>
      <c r="AT1885" s="6" t="s">
        <v>18444</v>
      </c>
      <c r="AU1885" s="6" t="s">
        <v>18534</v>
      </c>
      <c r="AV1885" s="6" t="s">
        <v>81</v>
      </c>
      <c r="AW1885" s="6" t="s">
        <v>81</v>
      </c>
      <c r="AX1885" s="6" t="s">
        <v>21955</v>
      </c>
      <c r="AY1885" s="6" t="s">
        <v>81</v>
      </c>
      <c r="AZ1885" s="6" t="s">
        <v>81</v>
      </c>
      <c r="BA1885" s="6" t="s">
        <v>81</v>
      </c>
      <c r="BB1885" s="24" t="n">
        <v>114</v>
      </c>
      <c r="BC1885" s="26"/>
      <c r="BD1885" s="26"/>
      <c r="BE1885" s="26"/>
      <c r="BF1885" s="26"/>
      <c r="BG1885" s="26"/>
      <c r="BH1885" s="26"/>
      <c r="BI1885" s="26"/>
      <c r="BJ1885" s="26"/>
      <c r="BK1885" s="26"/>
      <c r="BL1885" s="26"/>
      <c r="BM1885" s="26"/>
      <c r="BN1885" s="26"/>
      <c r="BO1885" s="26"/>
      <c r="BP1885" s="16" t="n">
        <v>45730</v>
      </c>
      <c r="BQ1885" s="28" t="str">
        <f>HYPERLINK("https://organic.ams.usda.gov/Integrity/Certificate.aspx?cid=90&amp;nopid=7170220544")</f>
        <v>https://organic.ams.usda.gov/Integrity/Certificate.aspx?cid=90&amp;nopid=7170220544</v>
      </c>
    </row>
    <row r="1886">
      <c r="A1886" t="s">
        <v>3</v>
      </c>
      <c r="B1886" s="6" t="s">
        <v>13</v>
      </c>
      <c r="C1886" s="6" t="s">
        <v>60</v>
      </c>
      <c r="D1886" s="6" t="s">
        <v>106</v>
      </c>
      <c r="E1886" s="10" t="s">
        <v>2027</v>
      </c>
      <c r="F1886" s="6" t="s">
        <v>4741</v>
      </c>
      <c r="G1886" s="6" t="s">
        <v>81</v>
      </c>
      <c r="H1886" s="6" t="s">
        <v>7620</v>
      </c>
      <c r="I1886" s="6" t="s">
        <v>8962</v>
      </c>
      <c r="J1886" s="6" t="s">
        <v>9752</v>
      </c>
      <c r="K1886" s="6" t="s">
        <v>10886</v>
      </c>
      <c r="L1886" s="16" t="n">
        <v>42577</v>
      </c>
      <c r="M1886" s="16" t="n">
        <v>45748</v>
      </c>
      <c r="N1886" s="6" t="s">
        <v>10886</v>
      </c>
      <c r="O1886" s="16" t="n">
        <v>42577</v>
      </c>
      <c r="P1886" s="6" t="s">
        <v>12000</v>
      </c>
      <c r="Q1886" s="6" t="s">
        <v>81</v>
      </c>
      <c r="R1886" s="6" t="s">
        <v>12967</v>
      </c>
      <c r="S1886" s="6" t="s">
        <v>10886</v>
      </c>
      <c r="T1886" s="16" t="n">
        <v>42705</v>
      </c>
      <c r="U1886" s="6" t="s">
        <v>13741</v>
      </c>
      <c r="V1886" s="6" t="s">
        <v>81</v>
      </c>
      <c r="W1886" s="6" t="s">
        <v>12967</v>
      </c>
      <c r="X1886" s="6" t="s">
        <v>81</v>
      </c>
      <c r="Y1886" s="21" t="s">
        <v>81</v>
      </c>
      <c r="Z1886" s="6" t="s">
        <v>81</v>
      </c>
      <c r="AA1886" s="6" t="s">
        <v>81</v>
      </c>
      <c r="AB1886" s="6" t="s">
        <v>81</v>
      </c>
      <c r="AC1886" s="6" t="s">
        <v>81</v>
      </c>
      <c r="AD1886" s="21" t="s">
        <v>81</v>
      </c>
      <c r="AE1886" s="6" t="s">
        <v>81</v>
      </c>
      <c r="AF1886" s="6" t="s">
        <v>81</v>
      </c>
      <c r="AG1886" s="6" t="s">
        <v>81</v>
      </c>
      <c r="AH1886" s="6" t="s">
        <v>16439</v>
      </c>
      <c r="AI1886" s="6" t="s">
        <v>81</v>
      </c>
      <c r="AJ1886" s="6" t="s">
        <v>17758</v>
      </c>
      <c r="AK1886" s="6" t="s">
        <v>18380</v>
      </c>
      <c r="AL1886" s="6" t="s">
        <v>18444</v>
      </c>
      <c r="AM1886" s="6" t="s">
        <v>18930</v>
      </c>
      <c r="AN1886" s="6" t="s">
        <v>19681</v>
      </c>
      <c r="AO1886" s="6" t="s">
        <v>19805</v>
      </c>
      <c r="AP1886" s="6" t="s">
        <v>16439</v>
      </c>
      <c r="AQ1886" s="6" t="s">
        <v>81</v>
      </c>
      <c r="AR1886" s="6" t="s">
        <v>17758</v>
      </c>
      <c r="AS1886" s="6" t="s">
        <v>18380</v>
      </c>
      <c r="AT1886" s="6" t="s">
        <v>18444</v>
      </c>
      <c r="AU1886" s="6" t="s">
        <v>18930</v>
      </c>
      <c r="AV1886" s="6" t="s">
        <v>81</v>
      </c>
      <c r="AW1886" s="6" t="s">
        <v>81</v>
      </c>
      <c r="AX1886" s="6" t="s">
        <v>21956</v>
      </c>
      <c r="AY1886" s="6" t="s">
        <v>81</v>
      </c>
      <c r="AZ1886" s="6" t="s">
        <v>81</v>
      </c>
      <c r="BA1886" s="6" t="s">
        <v>81</v>
      </c>
      <c r="BB1886" s="24" t="n">
        <v>224</v>
      </c>
      <c r="BC1886" s="26"/>
      <c r="BD1886" s="26"/>
      <c r="BE1886" s="26"/>
      <c r="BF1886" s="26" t="s">
        <v>23900</v>
      </c>
      <c r="BG1886" s="26"/>
      <c r="BH1886" s="26"/>
      <c r="BI1886" s="26"/>
      <c r="BJ1886" s="26"/>
      <c r="BK1886" s="26"/>
      <c r="BL1886" s="26"/>
      <c r="BM1886" s="26"/>
      <c r="BN1886" s="26"/>
      <c r="BO1886" s="26"/>
      <c r="BP1886" s="16" t="n">
        <v>45722</v>
      </c>
      <c r="BQ1886" s="28" t="str">
        <f>HYPERLINK("https://organic.ams.usda.gov/Integrity/Certificate.aspx?cid=72&amp;nopid=5870002395")</f>
        <v>https://organic.ams.usda.gov/Integrity/Certificate.aspx?cid=72&amp;nopid=5870002395</v>
      </c>
    </row>
    <row r="1887">
      <c r="A1887" t="s">
        <v>3</v>
      </c>
      <c r="B1887" s="6" t="s">
        <v>15</v>
      </c>
      <c r="C1887" s="6" t="s">
        <v>62</v>
      </c>
      <c r="D1887" s="6" t="s">
        <v>108</v>
      </c>
      <c r="E1887" s="10" t="s">
        <v>2028</v>
      </c>
      <c r="F1887" s="6" t="s">
        <v>4742</v>
      </c>
      <c r="G1887" s="6" t="s">
        <v>5764</v>
      </c>
      <c r="H1887" s="6" t="s">
        <v>7621</v>
      </c>
      <c r="I1887" s="6" t="s">
        <v>9331</v>
      </c>
      <c r="J1887" s="6" t="s">
        <v>9760</v>
      </c>
      <c r="K1887" s="6" t="s">
        <v>10886</v>
      </c>
      <c r="L1887" s="16" t="n">
        <v>39788</v>
      </c>
      <c r="M1887" s="16" t="n">
        <v>45792</v>
      </c>
      <c r="N1887" s="6" t="s">
        <v>10886</v>
      </c>
      <c r="O1887" s="16" t="n">
        <v>39788</v>
      </c>
      <c r="P1887" s="6" t="s">
        <v>12001</v>
      </c>
      <c r="Q1887" s="6" t="s">
        <v>81</v>
      </c>
      <c r="R1887" s="6" t="s">
        <v>81</v>
      </c>
      <c r="S1887" s="6" t="s">
        <v>10886</v>
      </c>
      <c r="T1887" s="16" t="n">
        <v>39788</v>
      </c>
      <c r="U1887" s="6" t="s">
        <v>13742</v>
      </c>
      <c r="V1887" s="6" t="s">
        <v>81</v>
      </c>
      <c r="W1887" s="6" t="s">
        <v>81</v>
      </c>
      <c r="X1887" s="6" t="s">
        <v>81</v>
      </c>
      <c r="Y1887" s="21" t="s">
        <v>81</v>
      </c>
      <c r="Z1887" s="6" t="s">
        <v>81</v>
      </c>
      <c r="AA1887" s="6" t="s">
        <v>81</v>
      </c>
      <c r="AB1887" s="6" t="s">
        <v>81</v>
      </c>
      <c r="AC1887" s="6" t="s">
        <v>81</v>
      </c>
      <c r="AD1887" s="21" t="s">
        <v>81</v>
      </c>
      <c r="AE1887" s="6" t="s">
        <v>81</v>
      </c>
      <c r="AF1887" s="6" t="s">
        <v>81</v>
      </c>
      <c r="AG1887" s="6" t="s">
        <v>81</v>
      </c>
      <c r="AH1887" s="6" t="s">
        <v>16440</v>
      </c>
      <c r="AI1887" s="6" t="s">
        <v>81</v>
      </c>
      <c r="AJ1887" s="6" t="s">
        <v>17324</v>
      </c>
      <c r="AK1887" s="6" t="s">
        <v>18378</v>
      </c>
      <c r="AL1887" s="6" t="s">
        <v>18444</v>
      </c>
      <c r="AM1887" s="6" t="s">
        <v>18476</v>
      </c>
      <c r="AN1887" s="6" t="s">
        <v>81</v>
      </c>
      <c r="AO1887" s="6" t="s">
        <v>81</v>
      </c>
      <c r="AP1887" s="6" t="s">
        <v>16440</v>
      </c>
      <c r="AQ1887" s="6" t="s">
        <v>81</v>
      </c>
      <c r="AR1887" s="6" t="s">
        <v>17324</v>
      </c>
      <c r="AS1887" s="6" t="s">
        <v>18378</v>
      </c>
      <c r="AT1887" s="6" t="s">
        <v>18444</v>
      </c>
      <c r="AU1887" s="6" t="s">
        <v>18476</v>
      </c>
      <c r="AV1887" s="6" t="s">
        <v>81</v>
      </c>
      <c r="AW1887" s="6" t="s">
        <v>81</v>
      </c>
      <c r="AX1887" s="6" t="s">
        <v>21957</v>
      </c>
      <c r="AY1887" s="6" t="s">
        <v>81</v>
      </c>
      <c r="AZ1887" s="6" t="s">
        <v>81</v>
      </c>
      <c r="BA1887" s="6" t="s">
        <v>81</v>
      </c>
      <c r="BB1887" s="24" t="n">
        <v>58</v>
      </c>
      <c r="BC1887" s="26"/>
      <c r="BD1887" s="26"/>
      <c r="BE1887" s="26"/>
      <c r="BF1887" s="26" t="s">
        <v>23900</v>
      </c>
      <c r="BG1887" s="26"/>
      <c r="BH1887" s="26"/>
      <c r="BI1887" s="26"/>
      <c r="BJ1887" s="26"/>
      <c r="BK1887" s="26"/>
      <c r="BL1887" s="26"/>
      <c r="BM1887" s="26"/>
      <c r="BN1887" s="26"/>
      <c r="BO1887" s="26"/>
      <c r="BP1887" s="16" t="n">
        <v>45737</v>
      </c>
      <c r="BQ1887" s="28" t="str">
        <f>HYPERLINK("https://organic.ams.usda.gov/Integrity/Certificate.aspx?cid=58&amp;nopid=1600001014")</f>
        <v>https://organic.ams.usda.gov/Integrity/Certificate.aspx?cid=58&amp;nopid=1600001014</v>
      </c>
    </row>
    <row r="1888">
      <c r="A1888" t="s">
        <v>3</v>
      </c>
      <c r="B1888" s="6" t="s">
        <v>9</v>
      </c>
      <c r="C1888" s="6" t="s">
        <v>56</v>
      </c>
      <c r="D1888" s="6" t="s">
        <v>102</v>
      </c>
      <c r="E1888" s="10" t="s">
        <v>2029</v>
      </c>
      <c r="F1888" s="6" t="s">
        <v>4743</v>
      </c>
      <c r="G1888" s="6" t="s">
        <v>81</v>
      </c>
      <c r="H1888" s="6" t="s">
        <v>7622</v>
      </c>
      <c r="I1888" s="6" t="s">
        <v>81</v>
      </c>
      <c r="J1888" s="6" t="s">
        <v>81</v>
      </c>
      <c r="K1888" s="6" t="s">
        <v>10886</v>
      </c>
      <c r="L1888" s="16" t="n">
        <v>42055</v>
      </c>
      <c r="M1888" s="16" t="n">
        <v>45748</v>
      </c>
      <c r="N1888" s="6" t="s">
        <v>10886</v>
      </c>
      <c r="O1888" s="16" t="n">
        <v>42055</v>
      </c>
      <c r="P1888" s="6" t="s">
        <v>10939</v>
      </c>
      <c r="Q1888" s="6" t="s">
        <v>81</v>
      </c>
      <c r="R1888" s="6" t="s">
        <v>12968</v>
      </c>
      <c r="S1888" s="6" t="s">
        <v>10886</v>
      </c>
      <c r="T1888" s="16" t="n">
        <v>42055</v>
      </c>
      <c r="U1888" s="6" t="s">
        <v>13192</v>
      </c>
      <c r="V1888" s="6" t="s">
        <v>81</v>
      </c>
      <c r="W1888" s="6" t="s">
        <v>12968</v>
      </c>
      <c r="X1888" s="6" t="s">
        <v>81</v>
      </c>
      <c r="Y1888" s="21" t="s">
        <v>81</v>
      </c>
      <c r="Z1888" s="6" t="s">
        <v>81</v>
      </c>
      <c r="AA1888" s="6" t="s">
        <v>81</v>
      </c>
      <c r="AB1888" s="6" t="s">
        <v>81</v>
      </c>
      <c r="AC1888" s="6" t="s">
        <v>81</v>
      </c>
      <c r="AD1888" s="21" t="s">
        <v>81</v>
      </c>
      <c r="AE1888" s="6" t="s">
        <v>81</v>
      </c>
      <c r="AF1888" s="6" t="s">
        <v>81</v>
      </c>
      <c r="AG1888" s="6" t="s">
        <v>81</v>
      </c>
      <c r="AH1888" s="6" t="s">
        <v>16441</v>
      </c>
      <c r="AI1888" s="6" t="s">
        <v>81</v>
      </c>
      <c r="AJ1888" s="6" t="s">
        <v>17366</v>
      </c>
      <c r="AK1888" s="6" t="s">
        <v>18381</v>
      </c>
      <c r="AL1888" s="6" t="s">
        <v>18444</v>
      </c>
      <c r="AM1888" s="6" t="s">
        <v>18518</v>
      </c>
      <c r="AN1888" s="6" t="s">
        <v>19676</v>
      </c>
      <c r="AO1888" s="6" t="s">
        <v>19797</v>
      </c>
      <c r="AP1888" s="6" t="s">
        <v>81</v>
      </c>
      <c r="AQ1888" s="6" t="s">
        <v>81</v>
      </c>
      <c r="AR1888" s="6" t="s">
        <v>81</v>
      </c>
      <c r="AS1888" s="6" t="s">
        <v>81</v>
      </c>
      <c r="AT1888" s="6" t="s">
        <v>81</v>
      </c>
      <c r="AU1888" s="6" t="s">
        <v>81</v>
      </c>
      <c r="AV1888" s="6" t="s">
        <v>81</v>
      </c>
      <c r="AW1888" s="6" t="s">
        <v>81</v>
      </c>
      <c r="AX1888" s="6" t="s">
        <v>21958</v>
      </c>
      <c r="AY1888" s="6" t="s">
        <v>81</v>
      </c>
      <c r="AZ1888" s="6" t="s">
        <v>81</v>
      </c>
      <c r="BA1888" s="6" t="s">
        <v>23837</v>
      </c>
      <c r="BB1888" s="24" t="n">
        <v>68</v>
      </c>
      <c r="BC1888" s="26"/>
      <c r="BD1888" s="26"/>
      <c r="BE1888" s="26"/>
      <c r="BF1888" s="26"/>
      <c r="BG1888" s="26"/>
      <c r="BH1888" s="26"/>
      <c r="BI1888" s="26"/>
      <c r="BJ1888" s="26"/>
      <c r="BK1888" s="26"/>
      <c r="BL1888" s="26"/>
      <c r="BM1888" s="26"/>
      <c r="BN1888" s="26"/>
      <c r="BO1888" s="26"/>
      <c r="BP1888" s="16" t="n">
        <v>45738</v>
      </c>
      <c r="BQ1888" s="28" t="str">
        <f>HYPERLINK("https://organic.ams.usda.gov/Integrity/Certificate.aspx?cid=52&amp;nopid=8431500923")</f>
        <v>https://organic.ams.usda.gov/Integrity/Certificate.aspx?cid=52&amp;nopid=8431500923</v>
      </c>
    </row>
    <row r="1889">
      <c r="A1889" t="s">
        <v>3</v>
      </c>
      <c r="B1889" s="6" t="s">
        <v>12</v>
      </c>
      <c r="C1889" s="6" t="s">
        <v>59</v>
      </c>
      <c r="D1889" s="6" t="s">
        <v>105</v>
      </c>
      <c r="E1889" s="10" t="s">
        <v>2030</v>
      </c>
      <c r="F1889" s="6" t="s">
        <v>4744</v>
      </c>
      <c r="G1889" s="6" t="s">
        <v>81</v>
      </c>
      <c r="H1889" s="6" t="s">
        <v>7623</v>
      </c>
      <c r="I1889" s="6" t="s">
        <v>8962</v>
      </c>
      <c r="J1889" s="6" t="s">
        <v>9727</v>
      </c>
      <c r="K1889" s="6" t="s">
        <v>10886</v>
      </c>
      <c r="L1889" s="16" t="n">
        <v>43354</v>
      </c>
      <c r="M1889" s="16" t="n">
        <v>45717</v>
      </c>
      <c r="N1889" s="6" t="s">
        <v>10886</v>
      </c>
      <c r="O1889" s="16" t="n">
        <v>43354</v>
      </c>
      <c r="P1889" s="6" t="s">
        <v>10944</v>
      </c>
      <c r="Q1889" s="6" t="s">
        <v>81</v>
      </c>
      <c r="R1889" s="6" t="s">
        <v>81</v>
      </c>
      <c r="S1889" s="6" t="s">
        <v>10886</v>
      </c>
      <c r="T1889" s="16" t="n">
        <v>43354</v>
      </c>
      <c r="U1889" s="6" t="s">
        <v>13262</v>
      </c>
      <c r="V1889" s="6" t="s">
        <v>81</v>
      </c>
      <c r="W1889" s="6" t="s">
        <v>81</v>
      </c>
      <c r="X1889" s="6" t="s">
        <v>81</v>
      </c>
      <c r="Y1889" s="21" t="s">
        <v>81</v>
      </c>
      <c r="Z1889" s="6" t="s">
        <v>81</v>
      </c>
      <c r="AA1889" s="6" t="s">
        <v>81</v>
      </c>
      <c r="AB1889" s="6" t="s">
        <v>81</v>
      </c>
      <c r="AC1889" s="6" t="s">
        <v>81</v>
      </c>
      <c r="AD1889" s="21" t="s">
        <v>81</v>
      </c>
      <c r="AE1889" s="6" t="s">
        <v>81</v>
      </c>
      <c r="AF1889" s="6" t="s">
        <v>81</v>
      </c>
      <c r="AG1889" s="6" t="s">
        <v>81</v>
      </c>
      <c r="AH1889" s="6" t="s">
        <v>16442</v>
      </c>
      <c r="AI1889" s="6" t="s">
        <v>81</v>
      </c>
      <c r="AJ1889" s="6" t="s">
        <v>17341</v>
      </c>
      <c r="AK1889" s="6" t="s">
        <v>17712</v>
      </c>
      <c r="AL1889" s="6" t="s">
        <v>18444</v>
      </c>
      <c r="AM1889" s="6" t="s">
        <v>18495</v>
      </c>
      <c r="AN1889" s="6" t="s">
        <v>19649</v>
      </c>
      <c r="AO1889" s="6" t="s">
        <v>19738</v>
      </c>
      <c r="AP1889" s="6" t="s">
        <v>16442</v>
      </c>
      <c r="AQ1889" s="6" t="s">
        <v>81</v>
      </c>
      <c r="AR1889" s="6" t="s">
        <v>17341</v>
      </c>
      <c r="AS1889" s="6" t="s">
        <v>17712</v>
      </c>
      <c r="AT1889" s="6" t="s">
        <v>18444</v>
      </c>
      <c r="AU1889" s="6" t="s">
        <v>18495</v>
      </c>
      <c r="AV1889" s="6" t="s">
        <v>19649</v>
      </c>
      <c r="AW1889" s="6" t="s">
        <v>19738</v>
      </c>
      <c r="AX1889" s="6" t="s">
        <v>81</v>
      </c>
      <c r="AY1889" s="6" t="s">
        <v>81</v>
      </c>
      <c r="AZ1889" s="6" t="s">
        <v>81</v>
      </c>
      <c r="BA1889" s="6" t="s">
        <v>81</v>
      </c>
      <c r="BB1889" s="24" t="n">
        <v>64</v>
      </c>
      <c r="BC1889" s="26"/>
      <c r="BD1889" s="26"/>
      <c r="BE1889" s="26"/>
      <c r="BF1889" s="26"/>
      <c r="BG1889" s="26"/>
      <c r="BH1889" s="26"/>
      <c r="BI1889" s="26"/>
      <c r="BJ1889" s="26"/>
      <c r="BK1889" s="26"/>
      <c r="BL1889" s="26"/>
      <c r="BM1889" s="26"/>
      <c r="BN1889" s="26"/>
      <c r="BO1889" s="26"/>
      <c r="BP1889" s="16" t="n">
        <v>45688</v>
      </c>
      <c r="BQ1889" s="28" t="str">
        <f>HYPERLINK("https://organic.ams.usda.gov/Integrity/Certificate.aspx?cid=68&amp;nopid=8210006348")</f>
        <v>https://organic.ams.usda.gov/Integrity/Certificate.aspx?cid=68&amp;nopid=8210006348</v>
      </c>
    </row>
    <row r="1890">
      <c r="A1890" t="s">
        <v>3</v>
      </c>
      <c r="B1890" s="6" t="s">
        <v>9</v>
      </c>
      <c r="C1890" s="6" t="s">
        <v>56</v>
      </c>
      <c r="D1890" s="6" t="s">
        <v>102</v>
      </c>
      <c r="E1890" s="10" t="s">
        <v>2031</v>
      </c>
      <c r="F1890" s="6" t="s">
        <v>4745</v>
      </c>
      <c r="G1890" s="6" t="s">
        <v>81</v>
      </c>
      <c r="H1890" s="6" t="s">
        <v>7624</v>
      </c>
      <c r="I1890" s="6" t="s">
        <v>8962</v>
      </c>
      <c r="J1890" s="6" t="s">
        <v>9666</v>
      </c>
      <c r="K1890" s="6" t="s">
        <v>10886</v>
      </c>
      <c r="L1890" s="16" t="n">
        <v>44643</v>
      </c>
      <c r="M1890" s="16" t="n">
        <v>46113</v>
      </c>
      <c r="N1890" s="6" t="s">
        <v>10886</v>
      </c>
      <c r="O1890" s="16" t="n">
        <v>44643</v>
      </c>
      <c r="P1890" s="6" t="s">
        <v>12002</v>
      </c>
      <c r="Q1890" s="6" t="s">
        <v>81</v>
      </c>
      <c r="R1890" s="6" t="s">
        <v>12969</v>
      </c>
      <c r="S1890" s="6" t="s">
        <v>10886</v>
      </c>
      <c r="T1890" s="16" t="n">
        <v>44643</v>
      </c>
      <c r="U1890" s="6" t="s">
        <v>13162</v>
      </c>
      <c r="V1890" s="6" t="s">
        <v>81</v>
      </c>
      <c r="W1890" s="6" t="s">
        <v>12969</v>
      </c>
      <c r="X1890" s="6" t="s">
        <v>81</v>
      </c>
      <c r="Y1890" s="21" t="s">
        <v>81</v>
      </c>
      <c r="Z1890" s="6" t="s">
        <v>81</v>
      </c>
      <c r="AA1890" s="6" t="s">
        <v>81</v>
      </c>
      <c r="AB1890" s="6" t="s">
        <v>81</v>
      </c>
      <c r="AC1890" s="6" t="s">
        <v>81</v>
      </c>
      <c r="AD1890" s="21" t="s">
        <v>81</v>
      </c>
      <c r="AE1890" s="6" t="s">
        <v>81</v>
      </c>
      <c r="AF1890" s="6" t="s">
        <v>81</v>
      </c>
      <c r="AG1890" s="6" t="s">
        <v>81</v>
      </c>
      <c r="AH1890" s="6" t="s">
        <v>16443</v>
      </c>
      <c r="AI1890" s="6" t="s">
        <v>81</v>
      </c>
      <c r="AJ1890" s="6" t="s">
        <v>17366</v>
      </c>
      <c r="AK1890" s="6" t="s">
        <v>18381</v>
      </c>
      <c r="AL1890" s="6" t="s">
        <v>18444</v>
      </c>
      <c r="AM1890" s="6" t="s">
        <v>18518</v>
      </c>
      <c r="AN1890" s="6" t="s">
        <v>19676</v>
      </c>
      <c r="AO1890" s="6" t="s">
        <v>19797</v>
      </c>
      <c r="AP1890" s="6" t="s">
        <v>81</v>
      </c>
      <c r="AQ1890" s="6" t="s">
        <v>81</v>
      </c>
      <c r="AR1890" s="6" t="s">
        <v>81</v>
      </c>
      <c r="AS1890" s="6" t="s">
        <v>81</v>
      </c>
      <c r="AT1890" s="6" t="s">
        <v>81</v>
      </c>
      <c r="AU1890" s="6" t="s">
        <v>81</v>
      </c>
      <c r="AV1890" s="6" t="s">
        <v>81</v>
      </c>
      <c r="AW1890" s="6" t="s">
        <v>81</v>
      </c>
      <c r="AX1890" s="6" t="s">
        <v>21959</v>
      </c>
      <c r="AY1890" s="6" t="s">
        <v>81</v>
      </c>
      <c r="AZ1890" s="6" t="s">
        <v>81</v>
      </c>
      <c r="BA1890" s="6" t="s">
        <v>23837</v>
      </c>
      <c r="BB1890" s="24" t="n">
        <v>64</v>
      </c>
      <c r="BC1890" s="26"/>
      <c r="BD1890" s="26"/>
      <c r="BE1890" s="26"/>
      <c r="BF1890" s="26"/>
      <c r="BG1890" s="26"/>
      <c r="BH1890" s="26"/>
      <c r="BI1890" s="26"/>
      <c r="BJ1890" s="26"/>
      <c r="BK1890" s="26"/>
      <c r="BL1890" s="26"/>
      <c r="BM1890" s="26"/>
      <c r="BN1890" s="26"/>
      <c r="BO1890" s="26"/>
      <c r="BP1890" s="16" t="n">
        <v>45738</v>
      </c>
      <c r="BQ1890" s="28" t="str">
        <f>HYPERLINK("https://organic.ams.usda.gov/Integrity/Certificate.aspx?cid=52&amp;nopid=8432202015")</f>
        <v>https://organic.ams.usda.gov/Integrity/Certificate.aspx?cid=52&amp;nopid=8432202015</v>
      </c>
    </row>
    <row r="1891">
      <c r="A1891" t="s">
        <v>3</v>
      </c>
      <c r="B1891" s="6" t="s">
        <v>7</v>
      </c>
      <c r="C1891" s="6" t="s">
        <v>54</v>
      </c>
      <c r="D1891" s="6" t="s">
        <v>100</v>
      </c>
      <c r="E1891" s="10" t="s">
        <v>2032</v>
      </c>
      <c r="F1891" s="6" t="s">
        <v>4746</v>
      </c>
      <c r="G1891" s="6" t="s">
        <v>5765</v>
      </c>
      <c r="H1891" s="6" t="s">
        <v>7625</v>
      </c>
      <c r="I1891" s="6" t="s">
        <v>8962</v>
      </c>
      <c r="J1891" s="6" t="s">
        <v>9759</v>
      </c>
      <c r="K1891" s="6" t="s">
        <v>10886</v>
      </c>
      <c r="L1891" s="16" t="n">
        <v>43756</v>
      </c>
      <c r="M1891" s="16" t="n">
        <v>45716</v>
      </c>
      <c r="N1891" s="6" t="s">
        <v>10886</v>
      </c>
      <c r="O1891" s="16" t="n">
        <v>43756</v>
      </c>
      <c r="P1891" s="6" t="s">
        <v>12003</v>
      </c>
      <c r="Q1891" s="6" t="s">
        <v>81</v>
      </c>
      <c r="R1891" s="6" t="s">
        <v>81</v>
      </c>
      <c r="S1891" s="6" t="s">
        <v>10886</v>
      </c>
      <c r="T1891" s="16" t="n">
        <v>44044</v>
      </c>
      <c r="U1891" s="6" t="s">
        <v>13169</v>
      </c>
      <c r="V1891" s="6" t="s">
        <v>81</v>
      </c>
      <c r="W1891" s="6" t="s">
        <v>81</v>
      </c>
      <c r="X1891" s="6" t="s">
        <v>81</v>
      </c>
      <c r="Y1891" s="21" t="s">
        <v>81</v>
      </c>
      <c r="Z1891" s="6" t="s">
        <v>81</v>
      </c>
      <c r="AA1891" s="6" t="s">
        <v>81</v>
      </c>
      <c r="AB1891" s="6" t="s">
        <v>81</v>
      </c>
      <c r="AC1891" s="6" t="s">
        <v>81</v>
      </c>
      <c r="AD1891" s="21" t="s">
        <v>81</v>
      </c>
      <c r="AE1891" s="6" t="s">
        <v>81</v>
      </c>
      <c r="AF1891" s="6" t="s">
        <v>81</v>
      </c>
      <c r="AG1891" s="6" t="s">
        <v>81</v>
      </c>
      <c r="AH1891" s="6" t="s">
        <v>16444</v>
      </c>
      <c r="AI1891" s="6" t="s">
        <v>81</v>
      </c>
      <c r="AJ1891" s="6" t="s">
        <v>17424</v>
      </c>
      <c r="AK1891" s="6" t="s">
        <v>17712</v>
      </c>
      <c r="AL1891" s="6" t="s">
        <v>18444</v>
      </c>
      <c r="AM1891" s="6" t="s">
        <v>18581</v>
      </c>
      <c r="AN1891" s="6" t="s">
        <v>19667</v>
      </c>
      <c r="AO1891" s="6" t="s">
        <v>19774</v>
      </c>
      <c r="AP1891" s="6" t="s">
        <v>16444</v>
      </c>
      <c r="AQ1891" s="6" t="s">
        <v>81</v>
      </c>
      <c r="AR1891" s="6" t="s">
        <v>17424</v>
      </c>
      <c r="AS1891" s="6" t="s">
        <v>17712</v>
      </c>
      <c r="AT1891" s="6" t="s">
        <v>18444</v>
      </c>
      <c r="AU1891" s="6" t="s">
        <v>18581</v>
      </c>
      <c r="AV1891" s="6" t="s">
        <v>81</v>
      </c>
      <c r="AW1891" s="6" t="s">
        <v>81</v>
      </c>
      <c r="AX1891" s="6" t="s">
        <v>21960</v>
      </c>
      <c r="AY1891" s="6" t="s">
        <v>81</v>
      </c>
      <c r="AZ1891" s="6" t="s">
        <v>81</v>
      </c>
      <c r="BA1891" s="6" t="s">
        <v>81</v>
      </c>
      <c r="BB1891" s="24" t="n">
        <v>264</v>
      </c>
      <c r="BC1891" s="26"/>
      <c r="BD1891" s="26"/>
      <c r="BE1891" s="26"/>
      <c r="BF1891" s="26" t="s">
        <v>23900</v>
      </c>
      <c r="BG1891" s="26"/>
      <c r="BH1891" s="26"/>
      <c r="BI1891" s="26"/>
      <c r="BJ1891" s="26"/>
      <c r="BK1891" s="26"/>
      <c r="BL1891" s="26"/>
      <c r="BM1891" s="26"/>
      <c r="BN1891" s="26"/>
      <c r="BO1891" s="26"/>
      <c r="BP1891" s="16" t="n">
        <v>45713</v>
      </c>
      <c r="BQ1891" s="28" t="str">
        <f>HYPERLINK("https://organic.ams.usda.gov/Integrity/Certificate.aspx?cid=57&amp;nopid=3252019093")</f>
        <v>https://organic.ams.usda.gov/Integrity/Certificate.aspx?cid=57&amp;nopid=3252019093</v>
      </c>
    </row>
    <row r="1892">
      <c r="A1892" t="s">
        <v>3</v>
      </c>
      <c r="B1892" s="6" t="s">
        <v>24</v>
      </c>
      <c r="C1892" s="6" t="s">
        <v>71</v>
      </c>
      <c r="D1892" s="6" t="s">
        <v>117</v>
      </c>
      <c r="E1892" s="10" t="s">
        <v>2033</v>
      </c>
      <c r="F1892" s="6" t="s">
        <v>4747</v>
      </c>
      <c r="G1892" s="6" t="s">
        <v>81</v>
      </c>
      <c r="H1892" s="6" t="s">
        <v>81</v>
      </c>
      <c r="I1892" s="6" t="s">
        <v>9332</v>
      </c>
      <c r="J1892" s="6" t="s">
        <v>10486</v>
      </c>
      <c r="K1892" s="6" t="s">
        <v>10886</v>
      </c>
      <c r="L1892" s="16" t="n">
        <v>44365</v>
      </c>
      <c r="M1892" s="16" t="n">
        <v>45812</v>
      </c>
      <c r="N1892" s="6" t="s">
        <v>81</v>
      </c>
      <c r="O1892" s="21" t="s">
        <v>81</v>
      </c>
      <c r="P1892" s="6" t="s">
        <v>81</v>
      </c>
      <c r="Q1892" s="6" t="s">
        <v>81</v>
      </c>
      <c r="R1892" s="6" t="s">
        <v>81</v>
      </c>
      <c r="S1892" s="6" t="s">
        <v>81</v>
      </c>
      <c r="T1892" s="21" t="s">
        <v>81</v>
      </c>
      <c r="U1892" s="6" t="s">
        <v>81</v>
      </c>
      <c r="V1892" s="6" t="s">
        <v>81</v>
      </c>
      <c r="W1892" s="6" t="s">
        <v>81</v>
      </c>
      <c r="X1892" s="6" t="s">
        <v>81</v>
      </c>
      <c r="Y1892" s="21" t="s">
        <v>81</v>
      </c>
      <c r="Z1892" s="6" t="s">
        <v>81</v>
      </c>
      <c r="AA1892" s="6" t="s">
        <v>81</v>
      </c>
      <c r="AB1892" s="6" t="s">
        <v>81</v>
      </c>
      <c r="AC1892" s="6" t="s">
        <v>10886</v>
      </c>
      <c r="AD1892" s="16" t="n">
        <v>44365</v>
      </c>
      <c r="AE1892" s="6" t="s">
        <v>14330</v>
      </c>
      <c r="AF1892" s="6" t="s">
        <v>81</v>
      </c>
      <c r="AG1892" s="6" t="s">
        <v>14577</v>
      </c>
      <c r="AH1892" s="6" t="s">
        <v>16445</v>
      </c>
      <c r="AI1892" s="6" t="s">
        <v>81</v>
      </c>
      <c r="AJ1892" s="6" t="s">
        <v>18087</v>
      </c>
      <c r="AK1892" s="6" t="s">
        <v>17712</v>
      </c>
      <c r="AL1892" s="6" t="s">
        <v>18444</v>
      </c>
      <c r="AM1892" s="6" t="s">
        <v>19283</v>
      </c>
      <c r="AN1892" s="6" t="s">
        <v>19638</v>
      </c>
      <c r="AO1892" s="6" t="s">
        <v>20030</v>
      </c>
      <c r="AP1892" s="6" t="s">
        <v>16445</v>
      </c>
      <c r="AQ1892" s="6" t="s">
        <v>81</v>
      </c>
      <c r="AR1892" s="6" t="s">
        <v>18087</v>
      </c>
      <c r="AS1892" s="6" t="s">
        <v>17712</v>
      </c>
      <c r="AT1892" s="6" t="s">
        <v>18444</v>
      </c>
      <c r="AU1892" s="6" t="s">
        <v>19283</v>
      </c>
      <c r="AV1892" s="6" t="s">
        <v>81</v>
      </c>
      <c r="AW1892" s="6" t="s">
        <v>81</v>
      </c>
      <c r="AX1892" s="6" t="s">
        <v>81</v>
      </c>
      <c r="AY1892" s="6" t="s">
        <v>23223</v>
      </c>
      <c r="AZ1892" s="6" t="s">
        <v>81</v>
      </c>
      <c r="BA1892" s="6" t="s">
        <v>81</v>
      </c>
      <c r="BB1892" s="6" t="s">
        <v>81</v>
      </c>
      <c r="BC1892" s="26"/>
      <c r="BD1892" s="26"/>
      <c r="BE1892" s="26"/>
      <c r="BF1892" s="26"/>
      <c r="BG1892" s="26"/>
      <c r="BH1892" s="26"/>
      <c r="BI1892" s="26"/>
      <c r="BJ1892" s="26"/>
      <c r="BK1892" s="26"/>
      <c r="BL1892" s="26"/>
      <c r="BM1892" s="26"/>
      <c r="BN1892" s="26"/>
      <c r="BO1892" s="26"/>
      <c r="BP1892" s="16" t="n">
        <v>45628</v>
      </c>
      <c r="BQ1892" s="28" t="str">
        <f>HYPERLINK("https://organic.ams.usda.gov/Integrity/Certificate.aspx?cid=1&amp;nopid=9092115505")</f>
        <v>https://organic.ams.usda.gov/Integrity/Certificate.aspx?cid=1&amp;nopid=9092115505</v>
      </c>
    </row>
    <row r="1893">
      <c r="A1893" t="s">
        <v>3</v>
      </c>
      <c r="B1893" s="6" t="s">
        <v>25</v>
      </c>
      <c r="C1893" s="6" t="s">
        <v>72</v>
      </c>
      <c r="D1893" s="6" t="s">
        <v>118</v>
      </c>
      <c r="E1893" s="10" t="s">
        <v>2034</v>
      </c>
      <c r="F1893" s="6" t="s">
        <v>4748</v>
      </c>
      <c r="G1893" s="6" t="s">
        <v>81</v>
      </c>
      <c r="H1893" s="6" t="s">
        <v>7626</v>
      </c>
      <c r="I1893" s="6" t="s">
        <v>8391</v>
      </c>
      <c r="J1893" s="6" t="s">
        <v>10487</v>
      </c>
      <c r="K1893" s="6" t="s">
        <v>10886</v>
      </c>
      <c r="L1893" s="16" t="n">
        <v>45370</v>
      </c>
      <c r="M1893" s="16" t="n">
        <v>46023</v>
      </c>
      <c r="N1893" s="6" t="s">
        <v>81</v>
      </c>
      <c r="O1893" s="21" t="s">
        <v>81</v>
      </c>
      <c r="P1893" s="6" t="s">
        <v>81</v>
      </c>
      <c r="Q1893" s="6" t="s">
        <v>81</v>
      </c>
      <c r="R1893" s="6" t="s">
        <v>81</v>
      </c>
      <c r="S1893" s="6" t="s">
        <v>81</v>
      </c>
      <c r="T1893" s="21" t="s">
        <v>81</v>
      </c>
      <c r="U1893" s="6" t="s">
        <v>81</v>
      </c>
      <c r="V1893" s="6" t="s">
        <v>81</v>
      </c>
      <c r="W1893" s="6" t="s">
        <v>81</v>
      </c>
      <c r="X1893" s="6" t="s">
        <v>81</v>
      </c>
      <c r="Y1893" s="21" t="s">
        <v>81</v>
      </c>
      <c r="Z1893" s="6" t="s">
        <v>81</v>
      </c>
      <c r="AA1893" s="6" t="s">
        <v>81</v>
      </c>
      <c r="AB1893" s="6" t="s">
        <v>81</v>
      </c>
      <c r="AC1893" s="6" t="s">
        <v>10886</v>
      </c>
      <c r="AD1893" s="16" t="n">
        <v>45370</v>
      </c>
      <c r="AE1893" s="6" t="s">
        <v>14331</v>
      </c>
      <c r="AF1893" s="6" t="s">
        <v>81</v>
      </c>
      <c r="AG1893" s="6" t="s">
        <v>81</v>
      </c>
      <c r="AH1893" s="6" t="s">
        <v>16446</v>
      </c>
      <c r="AI1893" s="6" t="s">
        <v>17295</v>
      </c>
      <c r="AJ1893" s="6" t="s">
        <v>18138</v>
      </c>
      <c r="AK1893" s="6" t="s">
        <v>18381</v>
      </c>
      <c r="AL1893" s="6" t="s">
        <v>18444</v>
      </c>
      <c r="AM1893" s="6" t="s">
        <v>19340</v>
      </c>
      <c r="AN1893" s="6" t="s">
        <v>81</v>
      </c>
      <c r="AO1893" s="6" t="s">
        <v>81</v>
      </c>
      <c r="AP1893" s="6" t="s">
        <v>16446</v>
      </c>
      <c r="AQ1893" s="6" t="s">
        <v>17295</v>
      </c>
      <c r="AR1893" s="6" t="s">
        <v>18138</v>
      </c>
      <c r="AS1893" s="6" t="s">
        <v>18381</v>
      </c>
      <c r="AT1893" s="6" t="s">
        <v>18444</v>
      </c>
      <c r="AU1893" s="6" t="s">
        <v>19340</v>
      </c>
      <c r="AV1893" s="6" t="s">
        <v>81</v>
      </c>
      <c r="AW1893" s="6" t="s">
        <v>81</v>
      </c>
      <c r="AX1893" s="6" t="s">
        <v>21961</v>
      </c>
      <c r="AY1893" s="6" t="s">
        <v>23224</v>
      </c>
      <c r="AZ1893" s="6" t="s">
        <v>23726</v>
      </c>
      <c r="BA1893" s="6" t="s">
        <v>23877</v>
      </c>
      <c r="BB1893" s="6" t="s">
        <v>81</v>
      </c>
      <c r="BC1893" s="26"/>
      <c r="BD1893" s="26"/>
      <c r="BE1893" s="26"/>
      <c r="BF1893" s="26"/>
      <c r="BG1893" s="26"/>
      <c r="BH1893" s="26"/>
      <c r="BI1893" s="26"/>
      <c r="BJ1893" s="26"/>
      <c r="BK1893" s="26"/>
      <c r="BL1893" s="26"/>
      <c r="BM1893" s="26"/>
      <c r="BN1893" s="26"/>
      <c r="BO1893" s="26"/>
      <c r="BP1893" s="16" t="n">
        <v>45667</v>
      </c>
      <c r="BQ1893" s="28" t="str">
        <f>HYPERLINK("https://organic.ams.usda.gov/Integrity/Certificate.aspx?cid=15&amp;nopid=5561008199")</f>
        <v>https://organic.ams.usda.gov/Integrity/Certificate.aspx?cid=15&amp;nopid=5561008199</v>
      </c>
    </row>
    <row r="1894">
      <c r="A1894" t="s">
        <v>3</v>
      </c>
      <c r="B1894" s="6" t="s">
        <v>7</v>
      </c>
      <c r="C1894" s="6" t="s">
        <v>54</v>
      </c>
      <c r="D1894" s="6" t="s">
        <v>100</v>
      </c>
      <c r="E1894" s="10" t="s">
        <v>2035</v>
      </c>
      <c r="F1894" s="6" t="s">
        <v>4749</v>
      </c>
      <c r="G1894" s="6" t="s">
        <v>81</v>
      </c>
      <c r="H1894" s="6" t="s">
        <v>7627</v>
      </c>
      <c r="I1894" s="6" t="s">
        <v>8509</v>
      </c>
      <c r="J1894" s="6" t="s">
        <v>9665</v>
      </c>
      <c r="K1894" s="6" t="s">
        <v>10886</v>
      </c>
      <c r="L1894" s="16" t="n">
        <v>41514</v>
      </c>
      <c r="M1894" s="16" t="n">
        <v>45716</v>
      </c>
      <c r="N1894" s="6" t="s">
        <v>10886</v>
      </c>
      <c r="O1894" s="16" t="n">
        <v>41514</v>
      </c>
      <c r="P1894" s="6" t="s">
        <v>11986</v>
      </c>
      <c r="Q1894" s="6" t="s">
        <v>81</v>
      </c>
      <c r="R1894" s="6" t="s">
        <v>81</v>
      </c>
      <c r="S1894" s="6" t="s">
        <v>10886</v>
      </c>
      <c r="T1894" s="16" t="n">
        <v>41808</v>
      </c>
      <c r="U1894" s="6" t="s">
        <v>13169</v>
      </c>
      <c r="V1894" s="6" t="s">
        <v>81</v>
      </c>
      <c r="W1894" s="6" t="s">
        <v>81</v>
      </c>
      <c r="X1894" s="6" t="s">
        <v>81</v>
      </c>
      <c r="Y1894" s="21" t="s">
        <v>81</v>
      </c>
      <c r="Z1894" s="6" t="s">
        <v>81</v>
      </c>
      <c r="AA1894" s="6" t="s">
        <v>81</v>
      </c>
      <c r="AB1894" s="6" t="s">
        <v>81</v>
      </c>
      <c r="AC1894" s="6" t="s">
        <v>81</v>
      </c>
      <c r="AD1894" s="21" t="s">
        <v>81</v>
      </c>
      <c r="AE1894" s="6" t="s">
        <v>81</v>
      </c>
      <c r="AF1894" s="6" t="s">
        <v>81</v>
      </c>
      <c r="AG1894" s="6" t="s">
        <v>81</v>
      </c>
      <c r="AH1894" s="6" t="s">
        <v>16447</v>
      </c>
      <c r="AI1894" s="6" t="s">
        <v>81</v>
      </c>
      <c r="AJ1894" s="6" t="s">
        <v>17837</v>
      </c>
      <c r="AK1894" s="6" t="s">
        <v>17712</v>
      </c>
      <c r="AL1894" s="6" t="s">
        <v>18444</v>
      </c>
      <c r="AM1894" s="6" t="s">
        <v>19019</v>
      </c>
      <c r="AN1894" s="6" t="s">
        <v>19661</v>
      </c>
      <c r="AO1894" s="6" t="s">
        <v>19841</v>
      </c>
      <c r="AP1894" s="6" t="s">
        <v>16447</v>
      </c>
      <c r="AQ1894" s="6" t="s">
        <v>81</v>
      </c>
      <c r="AR1894" s="6" t="s">
        <v>17837</v>
      </c>
      <c r="AS1894" s="6" t="s">
        <v>17712</v>
      </c>
      <c r="AT1894" s="6" t="s">
        <v>18444</v>
      </c>
      <c r="AU1894" s="6" t="s">
        <v>19019</v>
      </c>
      <c r="AV1894" s="6" t="s">
        <v>81</v>
      </c>
      <c r="AW1894" s="6" t="s">
        <v>81</v>
      </c>
      <c r="AX1894" s="6" t="s">
        <v>21962</v>
      </c>
      <c r="AY1894" s="6" t="s">
        <v>81</v>
      </c>
      <c r="AZ1894" s="6" t="s">
        <v>81</v>
      </c>
      <c r="BA1894" s="6" t="s">
        <v>81</v>
      </c>
      <c r="BB1894" s="24" t="n">
        <v>222</v>
      </c>
      <c r="BC1894" s="26"/>
      <c r="BD1894" s="26"/>
      <c r="BE1894" s="26"/>
      <c r="BF1894" s="26" t="s">
        <v>23900</v>
      </c>
      <c r="BG1894" s="26"/>
      <c r="BH1894" s="26"/>
      <c r="BI1894" s="26"/>
      <c r="BJ1894" s="26"/>
      <c r="BK1894" s="26"/>
      <c r="BL1894" s="26"/>
      <c r="BM1894" s="26"/>
      <c r="BN1894" s="26"/>
      <c r="BO1894" s="26"/>
      <c r="BP1894" s="16" t="n">
        <v>45723</v>
      </c>
      <c r="BQ1894" s="28" t="str">
        <f>HYPERLINK("https://organic.ams.usda.gov/Integrity/Certificate.aspx?cid=57&amp;nopid=3252013054")</f>
        <v>https://organic.ams.usda.gov/Integrity/Certificate.aspx?cid=57&amp;nopid=3252013054</v>
      </c>
    </row>
    <row r="1895">
      <c r="A1895" t="s">
        <v>3</v>
      </c>
      <c r="B1895" s="6" t="s">
        <v>7</v>
      </c>
      <c r="C1895" s="6" t="s">
        <v>54</v>
      </c>
      <c r="D1895" s="6" t="s">
        <v>100</v>
      </c>
      <c r="E1895" s="10" t="s">
        <v>2036</v>
      </c>
      <c r="F1895" s="6" t="s">
        <v>4750</v>
      </c>
      <c r="G1895" s="6" t="s">
        <v>81</v>
      </c>
      <c r="H1895" s="6" t="s">
        <v>7628</v>
      </c>
      <c r="I1895" s="6" t="s">
        <v>9333</v>
      </c>
      <c r="J1895" s="6" t="s">
        <v>10488</v>
      </c>
      <c r="K1895" s="6" t="s">
        <v>10886</v>
      </c>
      <c r="L1895" s="16" t="n">
        <v>42916</v>
      </c>
      <c r="M1895" s="16" t="n">
        <v>45716</v>
      </c>
      <c r="N1895" s="6" t="s">
        <v>10886</v>
      </c>
      <c r="O1895" s="16" t="n">
        <v>42916</v>
      </c>
      <c r="P1895" s="6" t="s">
        <v>10910</v>
      </c>
      <c r="Q1895" s="6" t="s">
        <v>81</v>
      </c>
      <c r="R1895" s="6" t="s">
        <v>81</v>
      </c>
      <c r="S1895" s="6" t="s">
        <v>10886</v>
      </c>
      <c r="T1895" s="16" t="n">
        <v>42917</v>
      </c>
      <c r="U1895" s="6" t="s">
        <v>13743</v>
      </c>
      <c r="V1895" s="6" t="s">
        <v>81</v>
      </c>
      <c r="W1895" s="6" t="s">
        <v>81</v>
      </c>
      <c r="X1895" s="6" t="s">
        <v>81</v>
      </c>
      <c r="Y1895" s="21" t="s">
        <v>81</v>
      </c>
      <c r="Z1895" s="6" t="s">
        <v>81</v>
      </c>
      <c r="AA1895" s="6" t="s">
        <v>81</v>
      </c>
      <c r="AB1895" s="6" t="s">
        <v>81</v>
      </c>
      <c r="AC1895" s="6" t="s">
        <v>81</v>
      </c>
      <c r="AD1895" s="21" t="s">
        <v>81</v>
      </c>
      <c r="AE1895" s="6" t="s">
        <v>81</v>
      </c>
      <c r="AF1895" s="6" t="s">
        <v>81</v>
      </c>
      <c r="AG1895" s="6" t="s">
        <v>81</v>
      </c>
      <c r="AH1895" s="6" t="s">
        <v>16448</v>
      </c>
      <c r="AI1895" s="6" t="s">
        <v>81</v>
      </c>
      <c r="AJ1895" s="6" t="s">
        <v>17435</v>
      </c>
      <c r="AK1895" s="6" t="s">
        <v>17712</v>
      </c>
      <c r="AL1895" s="6" t="s">
        <v>18444</v>
      </c>
      <c r="AM1895" s="6" t="s">
        <v>5928</v>
      </c>
      <c r="AN1895" s="6" t="s">
        <v>19651</v>
      </c>
      <c r="AO1895" s="6" t="s">
        <v>19741</v>
      </c>
      <c r="AP1895" s="6" t="s">
        <v>16448</v>
      </c>
      <c r="AQ1895" s="6" t="s">
        <v>81</v>
      </c>
      <c r="AR1895" s="6" t="s">
        <v>17435</v>
      </c>
      <c r="AS1895" s="6" t="s">
        <v>17712</v>
      </c>
      <c r="AT1895" s="6" t="s">
        <v>18444</v>
      </c>
      <c r="AU1895" s="6" t="s">
        <v>5928</v>
      </c>
      <c r="AV1895" s="6" t="s">
        <v>81</v>
      </c>
      <c r="AW1895" s="6" t="s">
        <v>81</v>
      </c>
      <c r="AX1895" s="6" t="s">
        <v>21963</v>
      </c>
      <c r="AY1895" s="6" t="s">
        <v>23225</v>
      </c>
      <c r="AZ1895" s="6" t="s">
        <v>23727</v>
      </c>
      <c r="BA1895" s="6" t="s">
        <v>81</v>
      </c>
      <c r="BB1895" s="24" t="n">
        <v>226</v>
      </c>
      <c r="BC1895" s="26"/>
      <c r="BD1895" s="26"/>
      <c r="BE1895" s="26"/>
      <c r="BF1895" s="26"/>
      <c r="BG1895" s="26"/>
      <c r="BH1895" s="26"/>
      <c r="BI1895" s="26"/>
      <c r="BJ1895" s="26"/>
      <c r="BK1895" s="26"/>
      <c r="BL1895" s="26"/>
      <c r="BM1895" s="26"/>
      <c r="BN1895" s="26"/>
      <c r="BO1895" s="26"/>
      <c r="BP1895" s="16" t="n">
        <v>45737</v>
      </c>
      <c r="BQ1895" s="28" t="str">
        <f>HYPERLINK("https://organic.ams.usda.gov/Integrity/Certificate.aspx?cid=57&amp;nopid=3252017036")</f>
        <v>https://organic.ams.usda.gov/Integrity/Certificate.aspx?cid=57&amp;nopid=3252017036</v>
      </c>
    </row>
    <row r="1896">
      <c r="A1896" t="s">
        <v>3</v>
      </c>
      <c r="B1896" s="6" t="s">
        <v>25</v>
      </c>
      <c r="C1896" s="6" t="s">
        <v>72</v>
      </c>
      <c r="D1896" s="6" t="s">
        <v>118</v>
      </c>
      <c r="E1896" s="10" t="s">
        <v>2037</v>
      </c>
      <c r="F1896" s="6" t="s">
        <v>4751</v>
      </c>
      <c r="G1896" s="6" t="s">
        <v>81</v>
      </c>
      <c r="H1896" s="6" t="s">
        <v>7629</v>
      </c>
      <c r="I1896" s="6" t="s">
        <v>9334</v>
      </c>
      <c r="J1896" s="6" t="s">
        <v>10489</v>
      </c>
      <c r="K1896" s="6" t="s">
        <v>10886</v>
      </c>
      <c r="L1896" s="16" t="n">
        <v>45229</v>
      </c>
      <c r="M1896" s="16" t="n">
        <v>46023</v>
      </c>
      <c r="N1896" s="6" t="s">
        <v>81</v>
      </c>
      <c r="O1896" s="21" t="s">
        <v>81</v>
      </c>
      <c r="P1896" s="6" t="s">
        <v>81</v>
      </c>
      <c r="Q1896" s="6" t="s">
        <v>81</v>
      </c>
      <c r="R1896" s="6" t="s">
        <v>81</v>
      </c>
      <c r="S1896" s="6" t="s">
        <v>81</v>
      </c>
      <c r="T1896" s="21" t="s">
        <v>81</v>
      </c>
      <c r="U1896" s="6" t="s">
        <v>81</v>
      </c>
      <c r="V1896" s="6" t="s">
        <v>81</v>
      </c>
      <c r="W1896" s="6" t="s">
        <v>81</v>
      </c>
      <c r="X1896" s="6" t="s">
        <v>81</v>
      </c>
      <c r="Y1896" s="21" t="s">
        <v>81</v>
      </c>
      <c r="Z1896" s="6" t="s">
        <v>81</v>
      </c>
      <c r="AA1896" s="6" t="s">
        <v>81</v>
      </c>
      <c r="AB1896" s="6" t="s">
        <v>81</v>
      </c>
      <c r="AC1896" s="6" t="s">
        <v>10886</v>
      </c>
      <c r="AD1896" s="16" t="n">
        <v>45229</v>
      </c>
      <c r="AE1896" s="6" t="s">
        <v>14332</v>
      </c>
      <c r="AF1896" s="6" t="s">
        <v>81</v>
      </c>
      <c r="AG1896" s="6" t="s">
        <v>81</v>
      </c>
      <c r="AH1896" s="6" t="s">
        <v>16449</v>
      </c>
      <c r="AI1896" s="6" t="s">
        <v>17296</v>
      </c>
      <c r="AJ1896" s="6" t="s">
        <v>18139</v>
      </c>
      <c r="AK1896" s="6" t="s">
        <v>18386</v>
      </c>
      <c r="AL1896" s="6" t="s">
        <v>18444</v>
      </c>
      <c r="AM1896" s="6" t="s">
        <v>19341</v>
      </c>
      <c r="AN1896" s="6" t="s">
        <v>81</v>
      </c>
      <c r="AO1896" s="6" t="s">
        <v>81</v>
      </c>
      <c r="AP1896" s="6" t="s">
        <v>16449</v>
      </c>
      <c r="AQ1896" s="6" t="s">
        <v>17296</v>
      </c>
      <c r="AR1896" s="6" t="s">
        <v>18139</v>
      </c>
      <c r="AS1896" s="6" t="s">
        <v>18386</v>
      </c>
      <c r="AT1896" s="6" t="s">
        <v>18444</v>
      </c>
      <c r="AU1896" s="6" t="s">
        <v>19341</v>
      </c>
      <c r="AV1896" s="6" t="s">
        <v>81</v>
      </c>
      <c r="AW1896" s="6" t="s">
        <v>81</v>
      </c>
      <c r="AX1896" s="6" t="s">
        <v>21964</v>
      </c>
      <c r="AY1896" s="6" t="s">
        <v>23226</v>
      </c>
      <c r="AZ1896" s="6" t="s">
        <v>23728</v>
      </c>
      <c r="BA1896" s="6" t="s">
        <v>23827</v>
      </c>
      <c r="BB1896" s="6" t="s">
        <v>81</v>
      </c>
      <c r="BC1896" s="26"/>
      <c r="BD1896" s="26"/>
      <c r="BE1896" s="26"/>
      <c r="BF1896" s="26"/>
      <c r="BG1896" s="26"/>
      <c r="BH1896" s="26"/>
      <c r="BI1896" s="26"/>
      <c r="BJ1896" s="26"/>
      <c r="BK1896" s="26"/>
      <c r="BL1896" s="26"/>
      <c r="BM1896" s="26"/>
      <c r="BN1896" s="26"/>
      <c r="BO1896" s="26"/>
      <c r="BP1896" s="16" t="n">
        <v>45699</v>
      </c>
      <c r="BQ1896" s="28" t="str">
        <f>HYPERLINK("https://organic.ams.usda.gov/Integrity/Certificate.aspx?cid=15&amp;nopid=5561007883")</f>
        <v>https://organic.ams.usda.gov/Integrity/Certificate.aspx?cid=15&amp;nopid=5561007883</v>
      </c>
    </row>
    <row r="1897">
      <c r="A1897" t="s">
        <v>3</v>
      </c>
      <c r="B1897" s="6" t="s">
        <v>25</v>
      </c>
      <c r="C1897" s="6" t="s">
        <v>72</v>
      </c>
      <c r="D1897" s="6" t="s">
        <v>118</v>
      </c>
      <c r="E1897" s="10" t="s">
        <v>2038</v>
      </c>
      <c r="F1897" s="6" t="s">
        <v>4752</v>
      </c>
      <c r="G1897" s="6" t="s">
        <v>81</v>
      </c>
      <c r="H1897" s="6" t="s">
        <v>7630</v>
      </c>
      <c r="I1897" s="6" t="s">
        <v>9335</v>
      </c>
      <c r="J1897" s="6" t="s">
        <v>10490</v>
      </c>
      <c r="K1897" s="6" t="s">
        <v>10886</v>
      </c>
      <c r="L1897" s="16" t="n">
        <v>41041</v>
      </c>
      <c r="M1897" s="16" t="n">
        <v>46023</v>
      </c>
      <c r="N1897" s="6" t="s">
        <v>10886</v>
      </c>
      <c r="O1897" s="16" t="n">
        <v>41041</v>
      </c>
      <c r="P1897" s="6" t="s">
        <v>11031</v>
      </c>
      <c r="Q1897" s="6" t="s">
        <v>81</v>
      </c>
      <c r="R1897" s="6" t="s">
        <v>81</v>
      </c>
      <c r="S1897" s="6" t="s">
        <v>10886</v>
      </c>
      <c r="T1897" s="16" t="n">
        <v>41122</v>
      </c>
      <c r="U1897" s="6" t="s">
        <v>13744</v>
      </c>
      <c r="V1897" s="6" t="s">
        <v>81</v>
      </c>
      <c r="W1897" s="6" t="s">
        <v>81</v>
      </c>
      <c r="X1897" s="6" t="s">
        <v>81</v>
      </c>
      <c r="Y1897" s="21" t="s">
        <v>81</v>
      </c>
      <c r="Z1897" s="6" t="s">
        <v>81</v>
      </c>
      <c r="AA1897" s="6" t="s">
        <v>81</v>
      </c>
      <c r="AB1897" s="6" t="s">
        <v>81</v>
      </c>
      <c r="AC1897" s="6" t="s">
        <v>10886</v>
      </c>
      <c r="AD1897" s="16" t="n">
        <v>44734</v>
      </c>
      <c r="AE1897" s="6" t="s">
        <v>14081</v>
      </c>
      <c r="AF1897" s="6" t="s">
        <v>81</v>
      </c>
      <c r="AG1897" s="6" t="s">
        <v>81</v>
      </c>
      <c r="AH1897" s="6" t="s">
        <v>16450</v>
      </c>
      <c r="AI1897" s="6" t="s">
        <v>81</v>
      </c>
      <c r="AJ1897" s="6" t="s">
        <v>17561</v>
      </c>
      <c r="AK1897" s="6" t="s">
        <v>18386</v>
      </c>
      <c r="AL1897" s="6" t="s">
        <v>18444</v>
      </c>
      <c r="AM1897" s="6" t="s">
        <v>18760</v>
      </c>
      <c r="AN1897" s="6" t="s">
        <v>19672</v>
      </c>
      <c r="AO1897" s="6" t="s">
        <v>19787</v>
      </c>
      <c r="AP1897" s="6" t="s">
        <v>16450</v>
      </c>
      <c r="AQ1897" s="6" t="s">
        <v>81</v>
      </c>
      <c r="AR1897" s="6" t="s">
        <v>17561</v>
      </c>
      <c r="AS1897" s="6" t="s">
        <v>18386</v>
      </c>
      <c r="AT1897" s="6" t="s">
        <v>18444</v>
      </c>
      <c r="AU1897" s="6" t="s">
        <v>18760</v>
      </c>
      <c r="AV1897" s="6" t="s">
        <v>81</v>
      </c>
      <c r="AW1897" s="6" t="s">
        <v>81</v>
      </c>
      <c r="AX1897" s="6" t="s">
        <v>21965</v>
      </c>
      <c r="AY1897" s="6" t="s">
        <v>23227</v>
      </c>
      <c r="AZ1897" s="6" t="s">
        <v>81</v>
      </c>
      <c r="BA1897" s="6" t="s">
        <v>81</v>
      </c>
      <c r="BB1897" s="24" t="n">
        <v>545</v>
      </c>
      <c r="BC1897" s="26"/>
      <c r="BD1897" s="26"/>
      <c r="BE1897" s="26"/>
      <c r="BF1897" s="26"/>
      <c r="BG1897" s="26"/>
      <c r="BH1897" s="26"/>
      <c r="BI1897" s="26"/>
      <c r="BJ1897" s="26"/>
      <c r="BK1897" s="26"/>
      <c r="BL1897" s="26"/>
      <c r="BM1897" s="26"/>
      <c r="BN1897" s="26"/>
      <c r="BO1897" s="26"/>
      <c r="BP1897" s="16" t="n">
        <v>45667</v>
      </c>
      <c r="BQ1897" s="28" t="str">
        <f>HYPERLINK("https://organic.ams.usda.gov/Integrity/Certificate.aspx?cid=15&amp;nopid=5561001391")</f>
        <v>https://organic.ams.usda.gov/Integrity/Certificate.aspx?cid=15&amp;nopid=5561001391</v>
      </c>
    </row>
    <row r="1898">
      <c r="A1898" t="s">
        <v>3</v>
      </c>
      <c r="B1898" s="6" t="s">
        <v>11</v>
      </c>
      <c r="C1898" s="6" t="s">
        <v>58</v>
      </c>
      <c r="D1898" s="6" t="s">
        <v>104</v>
      </c>
      <c r="E1898" s="10" t="s">
        <v>2039</v>
      </c>
      <c r="F1898" s="6" t="s">
        <v>4753</v>
      </c>
      <c r="G1898" s="6" t="s">
        <v>5766</v>
      </c>
      <c r="H1898" s="6" t="s">
        <v>81</v>
      </c>
      <c r="I1898" s="6" t="s">
        <v>9336</v>
      </c>
      <c r="J1898" s="6" t="s">
        <v>10491</v>
      </c>
      <c r="K1898" s="6" t="s">
        <v>10886</v>
      </c>
      <c r="L1898" s="16" t="n">
        <v>42270</v>
      </c>
      <c r="M1898" s="16" t="n">
        <v>45748</v>
      </c>
      <c r="N1898" s="6" t="s">
        <v>10886</v>
      </c>
      <c r="O1898" s="16" t="n">
        <v>42270</v>
      </c>
      <c r="P1898" s="6" t="s">
        <v>12004</v>
      </c>
      <c r="Q1898" s="6" t="s">
        <v>81</v>
      </c>
      <c r="R1898" s="6" t="s">
        <v>81</v>
      </c>
      <c r="S1898" s="6" t="s">
        <v>10886</v>
      </c>
      <c r="T1898" s="16" t="n">
        <v>43404</v>
      </c>
      <c r="U1898" s="6" t="s">
        <v>13198</v>
      </c>
      <c r="V1898" s="6" t="s">
        <v>81</v>
      </c>
      <c r="W1898" s="6" t="s">
        <v>81</v>
      </c>
      <c r="X1898" s="6" t="s">
        <v>81</v>
      </c>
      <c r="Y1898" s="21" t="s">
        <v>81</v>
      </c>
      <c r="Z1898" s="6" t="s">
        <v>81</v>
      </c>
      <c r="AA1898" s="6" t="s">
        <v>81</v>
      </c>
      <c r="AB1898" s="6" t="s">
        <v>81</v>
      </c>
      <c r="AC1898" s="6" t="s">
        <v>81</v>
      </c>
      <c r="AD1898" s="21" t="s">
        <v>81</v>
      </c>
      <c r="AE1898" s="6" t="s">
        <v>81</v>
      </c>
      <c r="AF1898" s="6" t="s">
        <v>81</v>
      </c>
      <c r="AG1898" s="6" t="s">
        <v>81</v>
      </c>
      <c r="AH1898" s="6" t="s">
        <v>16451</v>
      </c>
      <c r="AI1898" s="6" t="s">
        <v>81</v>
      </c>
      <c r="AJ1898" s="6" t="s">
        <v>18140</v>
      </c>
      <c r="AK1898" s="6" t="s">
        <v>18381</v>
      </c>
      <c r="AL1898" s="6" t="s">
        <v>18444</v>
      </c>
      <c r="AM1898" s="6" t="s">
        <v>19342</v>
      </c>
      <c r="AN1898" s="6" t="s">
        <v>19674</v>
      </c>
      <c r="AO1898" s="6" t="s">
        <v>19789</v>
      </c>
      <c r="AP1898" s="6" t="s">
        <v>16451</v>
      </c>
      <c r="AQ1898" s="6" t="s">
        <v>81</v>
      </c>
      <c r="AR1898" s="6" t="s">
        <v>18140</v>
      </c>
      <c r="AS1898" s="6" t="s">
        <v>18381</v>
      </c>
      <c r="AT1898" s="6" t="s">
        <v>18444</v>
      </c>
      <c r="AU1898" s="6" t="s">
        <v>19342</v>
      </c>
      <c r="AV1898" s="6" t="s">
        <v>81</v>
      </c>
      <c r="AW1898" s="6" t="s">
        <v>81</v>
      </c>
      <c r="AX1898" s="6" t="s">
        <v>81</v>
      </c>
      <c r="AY1898" s="6" t="s">
        <v>81</v>
      </c>
      <c r="AZ1898" s="6" t="s">
        <v>81</v>
      </c>
      <c r="BA1898" s="6" t="s">
        <v>23825</v>
      </c>
      <c r="BB1898" s="24" t="n">
        <v>800</v>
      </c>
      <c r="BC1898" s="26"/>
      <c r="BD1898" s="26"/>
      <c r="BE1898" s="26"/>
      <c r="BF1898" s="26"/>
      <c r="BG1898" s="26"/>
      <c r="BH1898" s="26"/>
      <c r="BI1898" s="26"/>
      <c r="BJ1898" s="26"/>
      <c r="BK1898" s="26"/>
      <c r="BL1898" s="26"/>
      <c r="BM1898" s="26"/>
      <c r="BN1898" s="26"/>
      <c r="BO1898" s="26"/>
      <c r="BP1898" s="16" t="n">
        <v>45638</v>
      </c>
      <c r="BQ1898" s="28" t="str">
        <f>HYPERLINK("https://organic.ams.usda.gov/Integrity/Certificate.aspx?cid=46&amp;nopid=3671500056")</f>
        <v>https://organic.ams.usda.gov/Integrity/Certificate.aspx?cid=46&amp;nopid=3671500056</v>
      </c>
    </row>
    <row r="1899">
      <c r="A1899" t="s">
        <v>3</v>
      </c>
      <c r="B1899" s="6" t="s">
        <v>11</v>
      </c>
      <c r="C1899" s="6" t="s">
        <v>58</v>
      </c>
      <c r="D1899" s="6" t="s">
        <v>104</v>
      </c>
      <c r="E1899" s="10" t="s">
        <v>2040</v>
      </c>
      <c r="F1899" s="6" t="s">
        <v>4754</v>
      </c>
      <c r="G1899" s="6" t="s">
        <v>81</v>
      </c>
      <c r="H1899" s="6" t="s">
        <v>81</v>
      </c>
      <c r="I1899" s="6" t="s">
        <v>8440</v>
      </c>
      <c r="J1899" s="6" t="s">
        <v>9742</v>
      </c>
      <c r="K1899" s="6" t="s">
        <v>10886</v>
      </c>
      <c r="L1899" s="16" t="n">
        <v>42684</v>
      </c>
      <c r="M1899" s="16" t="n">
        <v>45383</v>
      </c>
      <c r="N1899" s="6" t="s">
        <v>10886</v>
      </c>
      <c r="O1899" s="16" t="n">
        <v>42684</v>
      </c>
      <c r="P1899" s="6" t="s">
        <v>12005</v>
      </c>
      <c r="Q1899" s="6" t="s">
        <v>81</v>
      </c>
      <c r="R1899" s="6" t="s">
        <v>81</v>
      </c>
      <c r="S1899" s="6" t="s">
        <v>10886</v>
      </c>
      <c r="T1899" s="16" t="n">
        <v>42684</v>
      </c>
      <c r="U1899" s="6" t="s">
        <v>13165</v>
      </c>
      <c r="V1899" s="6" t="s">
        <v>81</v>
      </c>
      <c r="W1899" s="6" t="s">
        <v>81</v>
      </c>
      <c r="X1899" s="6" t="s">
        <v>81</v>
      </c>
      <c r="Y1899" s="21" t="s">
        <v>81</v>
      </c>
      <c r="Z1899" s="6" t="s">
        <v>81</v>
      </c>
      <c r="AA1899" s="6" t="s">
        <v>81</v>
      </c>
      <c r="AB1899" s="6" t="s">
        <v>81</v>
      </c>
      <c r="AC1899" s="6" t="s">
        <v>81</v>
      </c>
      <c r="AD1899" s="21" t="s">
        <v>81</v>
      </c>
      <c r="AE1899" s="6" t="s">
        <v>81</v>
      </c>
      <c r="AF1899" s="6" t="s">
        <v>81</v>
      </c>
      <c r="AG1899" s="6" t="s">
        <v>81</v>
      </c>
      <c r="AH1899" s="6" t="s">
        <v>16452</v>
      </c>
      <c r="AI1899" s="6" t="s">
        <v>81</v>
      </c>
      <c r="AJ1899" s="6" t="s">
        <v>8924</v>
      </c>
      <c r="AK1899" s="6" t="s">
        <v>18381</v>
      </c>
      <c r="AL1899" s="6" t="s">
        <v>18444</v>
      </c>
      <c r="AM1899" s="6" t="s">
        <v>18887</v>
      </c>
      <c r="AN1899" s="6" t="s">
        <v>19663</v>
      </c>
      <c r="AO1899" s="6" t="s">
        <v>19763</v>
      </c>
      <c r="AP1899" s="6" t="s">
        <v>16452</v>
      </c>
      <c r="AQ1899" s="6" t="s">
        <v>81</v>
      </c>
      <c r="AR1899" s="6" t="s">
        <v>8924</v>
      </c>
      <c r="AS1899" s="6" t="s">
        <v>18381</v>
      </c>
      <c r="AT1899" s="6" t="s">
        <v>18444</v>
      </c>
      <c r="AU1899" s="6" t="s">
        <v>18887</v>
      </c>
      <c r="AV1899" s="6" t="s">
        <v>81</v>
      </c>
      <c r="AW1899" s="6" t="s">
        <v>81</v>
      </c>
      <c r="AX1899" s="6" t="s">
        <v>81</v>
      </c>
      <c r="AY1899" s="6" t="s">
        <v>81</v>
      </c>
      <c r="AZ1899" s="6" t="s">
        <v>81</v>
      </c>
      <c r="BA1899" s="6" t="s">
        <v>23825</v>
      </c>
      <c r="BB1899" s="24" t="n">
        <v>89</v>
      </c>
      <c r="BC1899" s="26"/>
      <c r="BD1899" s="26"/>
      <c r="BE1899" s="26"/>
      <c r="BF1899" s="26"/>
      <c r="BG1899" s="26"/>
      <c r="BH1899" s="26"/>
      <c r="BI1899" s="26"/>
      <c r="BJ1899" s="26"/>
      <c r="BK1899" s="26"/>
      <c r="BL1899" s="26"/>
      <c r="BM1899" s="26"/>
      <c r="BN1899" s="26"/>
      <c r="BO1899" s="26"/>
      <c r="BP1899" s="16" t="n">
        <v>45443</v>
      </c>
      <c r="BQ1899" s="28" t="str">
        <f>HYPERLINK("https://organic.ams.usda.gov/Integrity/Certificate.aspx?cid=46&amp;nopid=3671600118")</f>
        <v>https://organic.ams.usda.gov/Integrity/Certificate.aspx?cid=46&amp;nopid=3671600118</v>
      </c>
    </row>
    <row r="1900">
      <c r="A1900" t="s">
        <v>3</v>
      </c>
      <c r="B1900" s="6" t="s">
        <v>8</v>
      </c>
      <c r="C1900" s="6" t="s">
        <v>55</v>
      </c>
      <c r="D1900" s="6" t="s">
        <v>101</v>
      </c>
      <c r="E1900" s="10" t="s">
        <v>2041</v>
      </c>
      <c r="F1900" s="6" t="s">
        <v>4755</v>
      </c>
      <c r="G1900" s="6" t="s">
        <v>81</v>
      </c>
      <c r="H1900" s="6" t="s">
        <v>7631</v>
      </c>
      <c r="I1900" s="6" t="s">
        <v>8819</v>
      </c>
      <c r="J1900" s="6" t="s">
        <v>9233</v>
      </c>
      <c r="K1900" s="6" t="s">
        <v>10886</v>
      </c>
      <c r="L1900" s="16" t="n">
        <v>37655</v>
      </c>
      <c r="M1900" s="16" t="n">
        <v>45748</v>
      </c>
      <c r="N1900" s="6" t="s">
        <v>10886</v>
      </c>
      <c r="O1900" s="16" t="n">
        <v>37655</v>
      </c>
      <c r="P1900" s="6" t="s">
        <v>12006</v>
      </c>
      <c r="Q1900" s="6" t="s">
        <v>81</v>
      </c>
      <c r="R1900" s="6" t="s">
        <v>7631</v>
      </c>
      <c r="S1900" s="6" t="s">
        <v>10886</v>
      </c>
      <c r="T1900" s="16" t="n">
        <v>37655</v>
      </c>
      <c r="U1900" s="6" t="s">
        <v>13286</v>
      </c>
      <c r="V1900" s="6" t="s">
        <v>81</v>
      </c>
      <c r="W1900" s="6" t="s">
        <v>7631</v>
      </c>
      <c r="X1900" s="6" t="s">
        <v>81</v>
      </c>
      <c r="Y1900" s="21" t="s">
        <v>81</v>
      </c>
      <c r="Z1900" s="6" t="s">
        <v>81</v>
      </c>
      <c r="AA1900" s="6" t="s">
        <v>81</v>
      </c>
      <c r="AB1900" s="6" t="s">
        <v>81</v>
      </c>
      <c r="AC1900" s="6" t="s">
        <v>81</v>
      </c>
      <c r="AD1900" s="21" t="s">
        <v>81</v>
      </c>
      <c r="AE1900" s="6" t="s">
        <v>81</v>
      </c>
      <c r="AF1900" s="6" t="s">
        <v>81</v>
      </c>
      <c r="AG1900" s="6" t="s">
        <v>81</v>
      </c>
      <c r="AH1900" s="6" t="s">
        <v>16453</v>
      </c>
      <c r="AI1900" s="6" t="s">
        <v>81</v>
      </c>
      <c r="AJ1900" s="6" t="s">
        <v>18141</v>
      </c>
      <c r="AK1900" s="6" t="s">
        <v>18381</v>
      </c>
      <c r="AL1900" s="6" t="s">
        <v>18444</v>
      </c>
      <c r="AM1900" s="6" t="s">
        <v>19343</v>
      </c>
      <c r="AN1900" s="6" t="s">
        <v>19658</v>
      </c>
      <c r="AO1900" s="6" t="s">
        <v>19752</v>
      </c>
      <c r="AP1900" s="6" t="s">
        <v>20348</v>
      </c>
      <c r="AQ1900" s="6" t="s">
        <v>81</v>
      </c>
      <c r="AR1900" s="6" t="s">
        <v>18141</v>
      </c>
      <c r="AS1900" s="6" t="s">
        <v>18381</v>
      </c>
      <c r="AT1900" s="6" t="s">
        <v>18444</v>
      </c>
      <c r="AU1900" s="6" t="s">
        <v>19343</v>
      </c>
      <c r="AV1900" s="6" t="s">
        <v>81</v>
      </c>
      <c r="AW1900" s="6" t="s">
        <v>81</v>
      </c>
      <c r="AX1900" s="6" t="s">
        <v>81</v>
      </c>
      <c r="AY1900" s="6" t="s">
        <v>23228</v>
      </c>
      <c r="AZ1900" s="6" t="s">
        <v>81</v>
      </c>
      <c r="BA1900" s="6" t="s">
        <v>23819</v>
      </c>
      <c r="BB1900" s="24" t="n">
        <v>280</v>
      </c>
      <c r="BC1900" s="26"/>
      <c r="BD1900" s="26"/>
      <c r="BE1900" s="26"/>
      <c r="BF1900" s="26" t="s">
        <v>23900</v>
      </c>
      <c r="BG1900" s="26"/>
      <c r="BH1900" s="26"/>
      <c r="BI1900" s="26"/>
      <c r="BJ1900" s="26"/>
      <c r="BK1900" s="26"/>
      <c r="BL1900" s="26"/>
      <c r="BM1900" s="26"/>
      <c r="BN1900" s="26"/>
      <c r="BO1900" s="26"/>
      <c r="BP1900" s="16" t="n">
        <v>45670</v>
      </c>
      <c r="BQ1900" s="28" t="str">
        <f>HYPERLINK("https://organic.ams.usda.gov/Integrity/Certificate.aspx?cid=45&amp;nopid=9950001058")</f>
        <v>https://organic.ams.usda.gov/Integrity/Certificate.aspx?cid=45&amp;nopid=9950001058</v>
      </c>
    </row>
    <row r="1901">
      <c r="A1901" t="s">
        <v>3</v>
      </c>
      <c r="B1901" s="6" t="s">
        <v>12</v>
      </c>
      <c r="C1901" s="6" t="s">
        <v>59</v>
      </c>
      <c r="D1901" s="6" t="s">
        <v>105</v>
      </c>
      <c r="E1901" s="10" t="s">
        <v>2042</v>
      </c>
      <c r="F1901" s="6" t="s">
        <v>4756</v>
      </c>
      <c r="G1901" s="6" t="s">
        <v>81</v>
      </c>
      <c r="H1901" s="6" t="s">
        <v>7508</v>
      </c>
      <c r="I1901" s="6" t="s">
        <v>8493</v>
      </c>
      <c r="J1901" s="6" t="s">
        <v>9665</v>
      </c>
      <c r="K1901" s="6" t="s">
        <v>10886</v>
      </c>
      <c r="L1901" s="16" t="n">
        <v>41114</v>
      </c>
      <c r="M1901" s="16" t="n">
        <v>45717</v>
      </c>
      <c r="N1901" s="6" t="s">
        <v>81</v>
      </c>
      <c r="O1901" s="21" t="s">
        <v>81</v>
      </c>
      <c r="P1901" s="6" t="s">
        <v>81</v>
      </c>
      <c r="Q1901" s="6" t="s">
        <v>81</v>
      </c>
      <c r="R1901" s="6" t="s">
        <v>81</v>
      </c>
      <c r="S1901" s="6" t="s">
        <v>81</v>
      </c>
      <c r="T1901" s="21" t="s">
        <v>81</v>
      </c>
      <c r="U1901" s="6" t="s">
        <v>81</v>
      </c>
      <c r="V1901" s="6" t="s">
        <v>81</v>
      </c>
      <c r="W1901" s="6" t="s">
        <v>81</v>
      </c>
      <c r="X1901" s="6" t="s">
        <v>81</v>
      </c>
      <c r="Y1901" s="21" t="s">
        <v>81</v>
      </c>
      <c r="Z1901" s="6" t="s">
        <v>81</v>
      </c>
      <c r="AA1901" s="6" t="s">
        <v>81</v>
      </c>
      <c r="AB1901" s="6" t="s">
        <v>81</v>
      </c>
      <c r="AC1901" s="6" t="s">
        <v>10886</v>
      </c>
      <c r="AD1901" s="16" t="n">
        <v>41114</v>
      </c>
      <c r="AE1901" s="6" t="s">
        <v>14333</v>
      </c>
      <c r="AF1901" s="6" t="s">
        <v>81</v>
      </c>
      <c r="AG1901" s="6" t="s">
        <v>81</v>
      </c>
      <c r="AH1901" s="6" t="s">
        <v>16454</v>
      </c>
      <c r="AI1901" s="6" t="s">
        <v>81</v>
      </c>
      <c r="AJ1901" s="6" t="s">
        <v>17649</v>
      </c>
      <c r="AK1901" s="6" t="s">
        <v>18380</v>
      </c>
      <c r="AL1901" s="6" t="s">
        <v>18444</v>
      </c>
      <c r="AM1901" s="6" t="s">
        <v>18818</v>
      </c>
      <c r="AN1901" s="6" t="s">
        <v>19639</v>
      </c>
      <c r="AO1901" s="6" t="s">
        <v>19725</v>
      </c>
      <c r="AP1901" s="6" t="s">
        <v>16454</v>
      </c>
      <c r="AQ1901" s="6" t="s">
        <v>81</v>
      </c>
      <c r="AR1901" s="6" t="s">
        <v>17649</v>
      </c>
      <c r="AS1901" s="6" t="s">
        <v>18380</v>
      </c>
      <c r="AT1901" s="6" t="s">
        <v>18444</v>
      </c>
      <c r="AU1901" s="6" t="s">
        <v>18818</v>
      </c>
      <c r="AV1901" s="6" t="s">
        <v>81</v>
      </c>
      <c r="AW1901" s="6" t="s">
        <v>81</v>
      </c>
      <c r="AX1901" s="6" t="s">
        <v>21966</v>
      </c>
      <c r="AY1901" s="6" t="s">
        <v>23229</v>
      </c>
      <c r="AZ1901" s="6" t="s">
        <v>81</v>
      </c>
      <c r="BA1901" s="6" t="s">
        <v>81</v>
      </c>
      <c r="BB1901" s="6" t="s">
        <v>81</v>
      </c>
      <c r="BC1901" s="26"/>
      <c r="BD1901" s="26"/>
      <c r="BE1901" s="26"/>
      <c r="BF1901" s="26"/>
      <c r="BG1901" s="26"/>
      <c r="BH1901" s="26"/>
      <c r="BI1901" s="26"/>
      <c r="BJ1901" s="26"/>
      <c r="BK1901" s="26"/>
      <c r="BL1901" s="26"/>
      <c r="BM1901" s="26"/>
      <c r="BN1901" s="26"/>
      <c r="BO1901" s="26"/>
      <c r="BP1901" s="16" t="n">
        <v>45708</v>
      </c>
      <c r="BQ1901" s="28" t="str">
        <f>HYPERLINK("https://organic.ams.usda.gov/Integrity/Certificate.aspx?cid=68&amp;nopid=8210002319")</f>
        <v>https://organic.ams.usda.gov/Integrity/Certificate.aspx?cid=68&amp;nopid=8210002319</v>
      </c>
    </row>
    <row r="1902">
      <c r="A1902" t="s">
        <v>3</v>
      </c>
      <c r="B1902" s="6" t="s">
        <v>23</v>
      </c>
      <c r="C1902" s="6" t="s">
        <v>70</v>
      </c>
      <c r="D1902" s="6" t="s">
        <v>116</v>
      </c>
      <c r="E1902" s="10" t="s">
        <v>2043</v>
      </c>
      <c r="F1902" s="6" t="s">
        <v>4757</v>
      </c>
      <c r="G1902" s="6" t="s">
        <v>81</v>
      </c>
      <c r="H1902" s="6" t="s">
        <v>7632</v>
      </c>
      <c r="I1902" s="6" t="s">
        <v>9337</v>
      </c>
      <c r="J1902" s="6" t="s">
        <v>10492</v>
      </c>
      <c r="K1902" s="6" t="s">
        <v>10886</v>
      </c>
      <c r="L1902" s="16" t="n">
        <v>44281</v>
      </c>
      <c r="M1902" s="16" t="n">
        <v>45742</v>
      </c>
      <c r="N1902" s="6" t="s">
        <v>10886</v>
      </c>
      <c r="O1902" s="16" t="n">
        <v>44281</v>
      </c>
      <c r="P1902" s="6" t="s">
        <v>12007</v>
      </c>
      <c r="Q1902" s="6" t="s">
        <v>81</v>
      </c>
      <c r="R1902" s="6" t="s">
        <v>12970</v>
      </c>
      <c r="S1902" s="6" t="s">
        <v>10886</v>
      </c>
      <c r="T1902" s="16" t="n">
        <v>44281</v>
      </c>
      <c r="U1902" s="6" t="s">
        <v>13745</v>
      </c>
      <c r="V1902" s="6" t="s">
        <v>81</v>
      </c>
      <c r="W1902" s="6" t="s">
        <v>12970</v>
      </c>
      <c r="X1902" s="6" t="s">
        <v>81</v>
      </c>
      <c r="Y1902" s="21" t="s">
        <v>81</v>
      </c>
      <c r="Z1902" s="6" t="s">
        <v>81</v>
      </c>
      <c r="AA1902" s="6" t="s">
        <v>81</v>
      </c>
      <c r="AB1902" s="6" t="s">
        <v>81</v>
      </c>
      <c r="AC1902" s="6" t="s">
        <v>81</v>
      </c>
      <c r="AD1902" s="21" t="s">
        <v>81</v>
      </c>
      <c r="AE1902" s="6" t="s">
        <v>81</v>
      </c>
      <c r="AF1902" s="6" t="s">
        <v>81</v>
      </c>
      <c r="AG1902" s="6" t="s">
        <v>81</v>
      </c>
      <c r="AH1902" s="6" t="s">
        <v>81</v>
      </c>
      <c r="AI1902" s="6" t="s">
        <v>81</v>
      </c>
      <c r="AJ1902" s="6" t="s">
        <v>81</v>
      </c>
      <c r="AK1902" s="6" t="s">
        <v>81</v>
      </c>
      <c r="AL1902" s="6" t="s">
        <v>81</v>
      </c>
      <c r="AM1902" s="6" t="s">
        <v>81</v>
      </c>
      <c r="AN1902" s="6" t="s">
        <v>81</v>
      </c>
      <c r="AO1902" s="6" t="s">
        <v>81</v>
      </c>
      <c r="AP1902" s="6" t="s">
        <v>20349</v>
      </c>
      <c r="AQ1902" s="6" t="s">
        <v>81</v>
      </c>
      <c r="AR1902" s="6" t="s">
        <v>18158</v>
      </c>
      <c r="AS1902" s="6" t="s">
        <v>18386</v>
      </c>
      <c r="AT1902" s="6" t="s">
        <v>18444</v>
      </c>
      <c r="AU1902" s="6" t="s">
        <v>19361</v>
      </c>
      <c r="AV1902" s="6" t="s">
        <v>19660</v>
      </c>
      <c r="AW1902" s="6" t="s">
        <v>19760</v>
      </c>
      <c r="AX1902" s="6" t="s">
        <v>21967</v>
      </c>
      <c r="AY1902" s="6" t="s">
        <v>23230</v>
      </c>
      <c r="AZ1902" s="6" t="s">
        <v>81</v>
      </c>
      <c r="BA1902" s="6" t="s">
        <v>81</v>
      </c>
      <c r="BB1902" s="24" t="n">
        <v>1040</v>
      </c>
      <c r="BC1902" s="26"/>
      <c r="BD1902" s="26"/>
      <c r="BE1902" s="26"/>
      <c r="BF1902" s="26"/>
      <c r="BG1902" s="26"/>
      <c r="BH1902" s="26"/>
      <c r="BI1902" s="26"/>
      <c r="BJ1902" s="26"/>
      <c r="BK1902" s="26"/>
      <c r="BL1902" s="26"/>
      <c r="BM1902" s="26"/>
      <c r="BN1902" s="26"/>
      <c r="BO1902" s="26"/>
      <c r="BP1902" s="16" t="n">
        <v>45520</v>
      </c>
      <c r="BQ1902" s="28" t="str">
        <f>HYPERLINK("https://organic.ams.usda.gov/Integrity/Certificate.aspx?cid=63&amp;nopid=6220008502")</f>
        <v>https://organic.ams.usda.gov/Integrity/Certificate.aspx?cid=63&amp;nopid=6220008502</v>
      </c>
    </row>
    <row r="1903">
      <c r="A1903" t="s">
        <v>3</v>
      </c>
      <c r="B1903" s="6" t="s">
        <v>18</v>
      </c>
      <c r="C1903" s="6" t="s">
        <v>65</v>
      </c>
      <c r="D1903" s="6" t="s">
        <v>111</v>
      </c>
      <c r="E1903" s="10" t="s">
        <v>2044</v>
      </c>
      <c r="F1903" s="6" t="s">
        <v>4758</v>
      </c>
      <c r="G1903" s="6" t="s">
        <v>81</v>
      </c>
      <c r="H1903" s="6" t="s">
        <v>2044</v>
      </c>
      <c r="I1903" s="6" t="s">
        <v>9338</v>
      </c>
      <c r="J1903" s="6" t="s">
        <v>10493</v>
      </c>
      <c r="K1903" s="6" t="s">
        <v>10886</v>
      </c>
      <c r="L1903" s="16" t="n">
        <v>43355</v>
      </c>
      <c r="M1903" s="16" t="n">
        <v>45689</v>
      </c>
      <c r="N1903" s="6" t="s">
        <v>10886</v>
      </c>
      <c r="O1903" s="16" t="n">
        <v>43355</v>
      </c>
      <c r="P1903" s="6" t="s">
        <v>12008</v>
      </c>
      <c r="Q1903" s="6" t="s">
        <v>81</v>
      </c>
      <c r="R1903" s="6" t="s">
        <v>4758</v>
      </c>
      <c r="S1903" s="6" t="s">
        <v>10886</v>
      </c>
      <c r="T1903" s="16" t="n">
        <v>43355</v>
      </c>
      <c r="U1903" s="6" t="s">
        <v>13746</v>
      </c>
      <c r="V1903" s="6" t="s">
        <v>81</v>
      </c>
      <c r="W1903" s="6" t="s">
        <v>4758</v>
      </c>
      <c r="X1903" s="6" t="s">
        <v>81</v>
      </c>
      <c r="Y1903" s="21" t="s">
        <v>81</v>
      </c>
      <c r="Z1903" s="6" t="s">
        <v>81</v>
      </c>
      <c r="AA1903" s="6" t="s">
        <v>81</v>
      </c>
      <c r="AB1903" s="6" t="s">
        <v>81</v>
      </c>
      <c r="AC1903" s="6" t="s">
        <v>81</v>
      </c>
      <c r="AD1903" s="21" t="s">
        <v>81</v>
      </c>
      <c r="AE1903" s="6" t="s">
        <v>81</v>
      </c>
      <c r="AF1903" s="6" t="s">
        <v>81</v>
      </c>
      <c r="AG1903" s="6" t="s">
        <v>81</v>
      </c>
      <c r="AH1903" s="6" t="s">
        <v>16455</v>
      </c>
      <c r="AI1903" s="6" t="s">
        <v>81</v>
      </c>
      <c r="AJ1903" s="6" t="s">
        <v>17428</v>
      </c>
      <c r="AK1903" s="6" t="s">
        <v>17712</v>
      </c>
      <c r="AL1903" s="6" t="s">
        <v>18444</v>
      </c>
      <c r="AM1903" s="6" t="s">
        <v>18585</v>
      </c>
      <c r="AN1903" s="6" t="s">
        <v>19669</v>
      </c>
      <c r="AO1903" s="6" t="s">
        <v>19790</v>
      </c>
      <c r="AP1903" s="6" t="s">
        <v>16455</v>
      </c>
      <c r="AQ1903" s="6" t="s">
        <v>81</v>
      </c>
      <c r="AR1903" s="6" t="s">
        <v>17428</v>
      </c>
      <c r="AS1903" s="6" t="s">
        <v>17712</v>
      </c>
      <c r="AT1903" s="6" t="s">
        <v>18444</v>
      </c>
      <c r="AU1903" s="6" t="s">
        <v>18585</v>
      </c>
      <c r="AV1903" s="6" t="s">
        <v>81</v>
      </c>
      <c r="AW1903" s="6" t="s">
        <v>81</v>
      </c>
      <c r="AX1903" s="6" t="s">
        <v>21968</v>
      </c>
      <c r="AY1903" s="6" t="s">
        <v>23231</v>
      </c>
      <c r="AZ1903" s="6" t="s">
        <v>81</v>
      </c>
      <c r="BA1903" s="6" t="s">
        <v>23878</v>
      </c>
      <c r="BB1903" s="24" t="n">
        <v>361</v>
      </c>
      <c r="BC1903" s="26"/>
      <c r="BD1903" s="26"/>
      <c r="BE1903" s="26"/>
      <c r="BF1903" s="26" t="s">
        <v>23900</v>
      </c>
      <c r="BG1903" s="26"/>
      <c r="BH1903" s="26"/>
      <c r="BI1903" s="26"/>
      <c r="BJ1903" s="26"/>
      <c r="BK1903" s="26"/>
      <c r="BL1903" s="26"/>
      <c r="BM1903" s="26"/>
      <c r="BN1903" s="26"/>
      <c r="BO1903" s="26"/>
      <c r="BP1903" s="16" t="n">
        <v>45636</v>
      </c>
      <c r="BQ1903" s="28" t="str">
        <f>HYPERLINK("https://organic.ams.usda.gov/Integrity/Certificate.aspx?cid=8&amp;nopid=2201806000")</f>
        <v>https://organic.ams.usda.gov/Integrity/Certificate.aspx?cid=8&amp;nopid=2201806000</v>
      </c>
    </row>
    <row r="1904">
      <c r="A1904" t="s">
        <v>3</v>
      </c>
      <c r="B1904" s="6" t="s">
        <v>22</v>
      </c>
      <c r="C1904" s="6" t="s">
        <v>69</v>
      </c>
      <c r="D1904" s="6" t="s">
        <v>115</v>
      </c>
      <c r="E1904" s="10" t="s">
        <v>2045</v>
      </c>
      <c r="F1904" s="6" t="s">
        <v>4759</v>
      </c>
      <c r="G1904" s="6" t="s">
        <v>5767</v>
      </c>
      <c r="H1904" s="6" t="s">
        <v>5767</v>
      </c>
      <c r="I1904" s="6" t="s">
        <v>9339</v>
      </c>
      <c r="J1904" s="6" t="s">
        <v>10494</v>
      </c>
      <c r="K1904" s="6" t="s">
        <v>10886</v>
      </c>
      <c r="L1904" s="16" t="n">
        <v>43782</v>
      </c>
      <c r="M1904" s="16" t="n">
        <v>45887</v>
      </c>
      <c r="N1904" s="6" t="s">
        <v>10893</v>
      </c>
      <c r="O1904" s="16" t="n">
        <v>45611</v>
      </c>
      <c r="P1904" s="6" t="s">
        <v>81</v>
      </c>
      <c r="Q1904" s="6" t="s">
        <v>81</v>
      </c>
      <c r="R1904" s="6" t="s">
        <v>81</v>
      </c>
      <c r="S1904" s="6" t="s">
        <v>81</v>
      </c>
      <c r="T1904" s="21" t="s">
        <v>81</v>
      </c>
      <c r="U1904" s="6" t="s">
        <v>81</v>
      </c>
      <c r="V1904" s="6" t="s">
        <v>81</v>
      </c>
      <c r="W1904" s="6" t="s">
        <v>81</v>
      </c>
      <c r="X1904" s="6" t="s">
        <v>81</v>
      </c>
      <c r="Y1904" s="21" t="s">
        <v>81</v>
      </c>
      <c r="Z1904" s="6" t="s">
        <v>81</v>
      </c>
      <c r="AA1904" s="6" t="s">
        <v>81</v>
      </c>
      <c r="AB1904" s="6" t="s">
        <v>81</v>
      </c>
      <c r="AC1904" s="6" t="s">
        <v>10886</v>
      </c>
      <c r="AD1904" s="16" t="n">
        <v>43782</v>
      </c>
      <c r="AE1904" s="6" t="s">
        <v>14334</v>
      </c>
      <c r="AF1904" s="6" t="s">
        <v>81</v>
      </c>
      <c r="AG1904" s="6" t="s">
        <v>5767</v>
      </c>
      <c r="AH1904" s="6" t="s">
        <v>16456</v>
      </c>
      <c r="AI1904" s="6" t="s">
        <v>81</v>
      </c>
      <c r="AJ1904" s="6" t="s">
        <v>18142</v>
      </c>
      <c r="AK1904" s="6" t="s">
        <v>81</v>
      </c>
      <c r="AL1904" s="6" t="s">
        <v>18445</v>
      </c>
      <c r="AM1904" s="6" t="s">
        <v>19344</v>
      </c>
      <c r="AN1904" s="6" t="s">
        <v>81</v>
      </c>
      <c r="AO1904" s="6" t="s">
        <v>81</v>
      </c>
      <c r="AP1904" s="6" t="s">
        <v>16456</v>
      </c>
      <c r="AQ1904" s="6" t="s">
        <v>81</v>
      </c>
      <c r="AR1904" s="6" t="s">
        <v>18142</v>
      </c>
      <c r="AS1904" s="6" t="s">
        <v>81</v>
      </c>
      <c r="AT1904" s="6" t="s">
        <v>18445</v>
      </c>
      <c r="AU1904" s="6" t="s">
        <v>19344</v>
      </c>
      <c r="AV1904" s="6" t="s">
        <v>81</v>
      </c>
      <c r="AW1904" s="6" t="s">
        <v>81</v>
      </c>
      <c r="AX1904" s="6" t="s">
        <v>21969</v>
      </c>
      <c r="AY1904" s="6" t="s">
        <v>23232</v>
      </c>
      <c r="AZ1904" s="6" t="s">
        <v>81</v>
      </c>
      <c r="BA1904" s="6" t="s">
        <v>23821</v>
      </c>
      <c r="BB1904" s="6" t="s">
        <v>81</v>
      </c>
      <c r="BC1904" s="26"/>
      <c r="BD1904" s="26"/>
      <c r="BE1904" s="26"/>
      <c r="BF1904" s="26"/>
      <c r="BG1904" s="26"/>
      <c r="BH1904" s="26"/>
      <c r="BI1904" s="26"/>
      <c r="BJ1904" s="26"/>
      <c r="BK1904" s="26"/>
      <c r="BL1904" s="26"/>
      <c r="BM1904" s="26"/>
      <c r="BN1904" s="26"/>
      <c r="BO1904" s="26"/>
      <c r="BP1904" s="16" t="n">
        <v>45611</v>
      </c>
      <c r="BQ1904" s="28" t="str">
        <f>HYPERLINK("https://organic.ams.usda.gov/Integrity/Certificate.aspx?cid=21&amp;nopid=1780863025")</f>
        <v>https://organic.ams.usda.gov/Integrity/Certificate.aspx?cid=21&amp;nopid=1780863025</v>
      </c>
    </row>
    <row r="1905">
      <c r="A1905" t="s">
        <v>3</v>
      </c>
      <c r="B1905" s="6" t="s">
        <v>8</v>
      </c>
      <c r="C1905" s="6" t="s">
        <v>55</v>
      </c>
      <c r="D1905" s="6" t="s">
        <v>101</v>
      </c>
      <c r="E1905" s="10" t="s">
        <v>2046</v>
      </c>
      <c r="F1905" s="6" t="s">
        <v>4760</v>
      </c>
      <c r="G1905" s="6" t="s">
        <v>81</v>
      </c>
      <c r="H1905" s="6" t="s">
        <v>7633</v>
      </c>
      <c r="I1905" s="6" t="s">
        <v>9340</v>
      </c>
      <c r="J1905" s="6" t="s">
        <v>9959</v>
      </c>
      <c r="K1905" s="6" t="s">
        <v>10886</v>
      </c>
      <c r="L1905" s="16" t="n">
        <v>40382</v>
      </c>
      <c r="M1905" s="16" t="n">
        <v>45748</v>
      </c>
      <c r="N1905" s="6" t="s">
        <v>10886</v>
      </c>
      <c r="O1905" s="16" t="n">
        <v>40382</v>
      </c>
      <c r="P1905" s="6" t="s">
        <v>12009</v>
      </c>
      <c r="Q1905" s="6" t="s">
        <v>81</v>
      </c>
      <c r="R1905" s="6" t="s">
        <v>7633</v>
      </c>
      <c r="S1905" s="6" t="s">
        <v>10886</v>
      </c>
      <c r="T1905" s="16" t="n">
        <v>40382</v>
      </c>
      <c r="U1905" s="6" t="s">
        <v>13179</v>
      </c>
      <c r="V1905" s="6" t="s">
        <v>81</v>
      </c>
      <c r="W1905" s="6" t="s">
        <v>7633</v>
      </c>
      <c r="X1905" s="6" t="s">
        <v>81</v>
      </c>
      <c r="Y1905" s="21" t="s">
        <v>81</v>
      </c>
      <c r="Z1905" s="6" t="s">
        <v>81</v>
      </c>
      <c r="AA1905" s="6" t="s">
        <v>81</v>
      </c>
      <c r="AB1905" s="6" t="s">
        <v>81</v>
      </c>
      <c r="AC1905" s="6" t="s">
        <v>81</v>
      </c>
      <c r="AD1905" s="21" t="s">
        <v>81</v>
      </c>
      <c r="AE1905" s="6" t="s">
        <v>81</v>
      </c>
      <c r="AF1905" s="6" t="s">
        <v>81</v>
      </c>
      <c r="AG1905" s="6" t="s">
        <v>81</v>
      </c>
      <c r="AH1905" s="6" t="s">
        <v>16457</v>
      </c>
      <c r="AI1905" s="6" t="s">
        <v>81</v>
      </c>
      <c r="AJ1905" s="6" t="s">
        <v>17353</v>
      </c>
      <c r="AK1905" s="6" t="s">
        <v>18384</v>
      </c>
      <c r="AL1905" s="6" t="s">
        <v>18444</v>
      </c>
      <c r="AM1905" s="6" t="s">
        <v>18507</v>
      </c>
      <c r="AN1905" s="6" t="s">
        <v>19646</v>
      </c>
      <c r="AO1905" s="6" t="s">
        <v>19746</v>
      </c>
      <c r="AP1905" s="6" t="s">
        <v>81</v>
      </c>
      <c r="AQ1905" s="6" t="s">
        <v>81</v>
      </c>
      <c r="AR1905" s="6" t="s">
        <v>81</v>
      </c>
      <c r="AS1905" s="6" t="s">
        <v>81</v>
      </c>
      <c r="AT1905" s="6" t="s">
        <v>81</v>
      </c>
      <c r="AU1905" s="6" t="s">
        <v>81</v>
      </c>
      <c r="AV1905" s="6" t="s">
        <v>81</v>
      </c>
      <c r="AW1905" s="6" t="s">
        <v>81</v>
      </c>
      <c r="AX1905" s="6" t="s">
        <v>81</v>
      </c>
      <c r="AY1905" s="6" t="s">
        <v>81</v>
      </c>
      <c r="AZ1905" s="6" t="s">
        <v>81</v>
      </c>
      <c r="BA1905" s="6" t="s">
        <v>23819</v>
      </c>
      <c r="BB1905" s="24" t="n">
        <v>124</v>
      </c>
      <c r="BC1905" s="26"/>
      <c r="BD1905" s="26"/>
      <c r="BE1905" s="26"/>
      <c r="BF1905" s="26" t="s">
        <v>23900</v>
      </c>
      <c r="BG1905" s="26"/>
      <c r="BH1905" s="26"/>
      <c r="BI1905" s="26"/>
      <c r="BJ1905" s="26"/>
      <c r="BK1905" s="26"/>
      <c r="BL1905" s="26"/>
      <c r="BM1905" s="26"/>
      <c r="BN1905" s="26"/>
      <c r="BO1905" s="26"/>
      <c r="BP1905" s="16" t="n">
        <v>45595</v>
      </c>
      <c r="BQ1905" s="28" t="str">
        <f>HYPERLINK("https://organic.ams.usda.gov/Integrity/Certificate.aspx?cid=45&amp;nopid=9950003829")</f>
        <v>https://organic.ams.usda.gov/Integrity/Certificate.aspx?cid=45&amp;nopid=9950003829</v>
      </c>
    </row>
    <row r="1906">
      <c r="A1906" t="s">
        <v>3</v>
      </c>
      <c r="B1906" s="6" t="s">
        <v>8</v>
      </c>
      <c r="C1906" s="6" t="s">
        <v>55</v>
      </c>
      <c r="D1906" s="6" t="s">
        <v>101</v>
      </c>
      <c r="E1906" s="10" t="s">
        <v>2047</v>
      </c>
      <c r="F1906" s="6" t="s">
        <v>4761</v>
      </c>
      <c r="G1906" s="6" t="s">
        <v>81</v>
      </c>
      <c r="H1906" s="6" t="s">
        <v>7634</v>
      </c>
      <c r="I1906" s="6" t="s">
        <v>8713</v>
      </c>
      <c r="J1906" s="6" t="s">
        <v>10495</v>
      </c>
      <c r="K1906" s="6" t="s">
        <v>10886</v>
      </c>
      <c r="L1906" s="16" t="n">
        <v>40420</v>
      </c>
      <c r="M1906" s="16" t="n">
        <v>45748</v>
      </c>
      <c r="N1906" s="6" t="s">
        <v>10886</v>
      </c>
      <c r="O1906" s="16" t="n">
        <v>40420</v>
      </c>
      <c r="P1906" s="6" t="s">
        <v>12010</v>
      </c>
      <c r="Q1906" s="6" t="s">
        <v>81</v>
      </c>
      <c r="R1906" s="6" t="s">
        <v>7634</v>
      </c>
      <c r="S1906" s="6" t="s">
        <v>10886</v>
      </c>
      <c r="T1906" s="16" t="n">
        <v>40420</v>
      </c>
      <c r="U1906" s="6" t="s">
        <v>13265</v>
      </c>
      <c r="V1906" s="6" t="s">
        <v>81</v>
      </c>
      <c r="W1906" s="6" t="s">
        <v>7634</v>
      </c>
      <c r="X1906" s="6" t="s">
        <v>81</v>
      </c>
      <c r="Y1906" s="21" t="s">
        <v>81</v>
      </c>
      <c r="Z1906" s="6" t="s">
        <v>81</v>
      </c>
      <c r="AA1906" s="6" t="s">
        <v>81</v>
      </c>
      <c r="AB1906" s="6" t="s">
        <v>81</v>
      </c>
      <c r="AC1906" s="6" t="s">
        <v>81</v>
      </c>
      <c r="AD1906" s="21" t="s">
        <v>81</v>
      </c>
      <c r="AE1906" s="6" t="s">
        <v>81</v>
      </c>
      <c r="AF1906" s="6" t="s">
        <v>81</v>
      </c>
      <c r="AG1906" s="6" t="s">
        <v>81</v>
      </c>
      <c r="AH1906" s="6" t="s">
        <v>16458</v>
      </c>
      <c r="AI1906" s="6" t="s">
        <v>81</v>
      </c>
      <c r="AJ1906" s="6" t="s">
        <v>18143</v>
      </c>
      <c r="AK1906" s="6" t="s">
        <v>18377</v>
      </c>
      <c r="AL1906" s="6" t="s">
        <v>18444</v>
      </c>
      <c r="AM1906" s="6" t="s">
        <v>19345</v>
      </c>
      <c r="AN1906" s="6" t="s">
        <v>19673</v>
      </c>
      <c r="AO1906" s="6" t="s">
        <v>19891</v>
      </c>
      <c r="AP1906" s="6" t="s">
        <v>81</v>
      </c>
      <c r="AQ1906" s="6" t="s">
        <v>81</v>
      </c>
      <c r="AR1906" s="6" t="s">
        <v>81</v>
      </c>
      <c r="AS1906" s="6" t="s">
        <v>81</v>
      </c>
      <c r="AT1906" s="6" t="s">
        <v>81</v>
      </c>
      <c r="AU1906" s="6" t="s">
        <v>81</v>
      </c>
      <c r="AV1906" s="6" t="s">
        <v>81</v>
      </c>
      <c r="AW1906" s="6" t="s">
        <v>81</v>
      </c>
      <c r="AX1906" s="6" t="s">
        <v>81</v>
      </c>
      <c r="AY1906" s="6" t="s">
        <v>23233</v>
      </c>
      <c r="AZ1906" s="6" t="s">
        <v>23729</v>
      </c>
      <c r="BA1906" s="6" t="s">
        <v>23824</v>
      </c>
      <c r="BB1906" s="24" t="n">
        <v>811</v>
      </c>
      <c r="BC1906" s="26"/>
      <c r="BD1906" s="26"/>
      <c r="BE1906" s="26"/>
      <c r="BF1906" s="26" t="s">
        <v>23900</v>
      </c>
      <c r="BG1906" s="26"/>
      <c r="BH1906" s="26"/>
      <c r="BI1906" s="26"/>
      <c r="BJ1906" s="26"/>
      <c r="BK1906" s="26"/>
      <c r="BL1906" s="26"/>
      <c r="BM1906" s="26"/>
      <c r="BN1906" s="26"/>
      <c r="BO1906" s="26"/>
      <c r="BP1906" s="16" t="n">
        <v>45566</v>
      </c>
      <c r="BQ1906" s="28" t="str">
        <f>HYPERLINK("https://organic.ams.usda.gov/Integrity/Certificate.aspx?cid=45&amp;nopid=9950004136")</f>
        <v>https://organic.ams.usda.gov/Integrity/Certificate.aspx?cid=45&amp;nopid=9950004136</v>
      </c>
    </row>
    <row r="1907">
      <c r="A1907" t="s">
        <v>3</v>
      </c>
      <c r="B1907" s="6" t="s">
        <v>29</v>
      </c>
      <c r="C1907" s="6" t="s">
        <v>76</v>
      </c>
      <c r="D1907" s="6" t="s">
        <v>122</v>
      </c>
      <c r="E1907" s="10" t="s">
        <v>2048</v>
      </c>
      <c r="F1907" s="6" t="s">
        <v>4762</v>
      </c>
      <c r="G1907" s="6" t="s">
        <v>81</v>
      </c>
      <c r="H1907" s="6" t="s">
        <v>7635</v>
      </c>
      <c r="I1907" s="6" t="s">
        <v>9341</v>
      </c>
      <c r="J1907" s="6" t="s">
        <v>9677</v>
      </c>
      <c r="K1907" s="6" t="s">
        <v>10886</v>
      </c>
      <c r="L1907" s="16" t="n">
        <v>42251</v>
      </c>
      <c r="M1907" s="16" t="n">
        <v>45870</v>
      </c>
      <c r="N1907" s="6" t="s">
        <v>10886</v>
      </c>
      <c r="O1907" s="16" t="n">
        <v>42251</v>
      </c>
      <c r="P1907" s="6" t="s">
        <v>12011</v>
      </c>
      <c r="Q1907" s="6" t="s">
        <v>81</v>
      </c>
      <c r="R1907" s="6" t="s">
        <v>12971</v>
      </c>
      <c r="S1907" s="6" t="s">
        <v>10886</v>
      </c>
      <c r="T1907" s="16" t="n">
        <v>42251</v>
      </c>
      <c r="U1907" s="6" t="s">
        <v>13747</v>
      </c>
      <c r="V1907" s="6" t="s">
        <v>81</v>
      </c>
      <c r="W1907" s="6" t="s">
        <v>12971</v>
      </c>
      <c r="X1907" s="6" t="s">
        <v>81</v>
      </c>
      <c r="Y1907" s="21" t="s">
        <v>81</v>
      </c>
      <c r="Z1907" s="6" t="s">
        <v>81</v>
      </c>
      <c r="AA1907" s="6" t="s">
        <v>81</v>
      </c>
      <c r="AB1907" s="6" t="s">
        <v>81</v>
      </c>
      <c r="AC1907" s="6" t="s">
        <v>81</v>
      </c>
      <c r="AD1907" s="21" t="s">
        <v>81</v>
      </c>
      <c r="AE1907" s="6" t="s">
        <v>81</v>
      </c>
      <c r="AF1907" s="6" t="s">
        <v>81</v>
      </c>
      <c r="AG1907" s="6" t="s">
        <v>81</v>
      </c>
      <c r="AH1907" s="6" t="s">
        <v>16459</v>
      </c>
      <c r="AI1907" s="6" t="s">
        <v>81</v>
      </c>
      <c r="AJ1907" s="6" t="s">
        <v>17417</v>
      </c>
      <c r="AK1907" s="6" t="s">
        <v>18380</v>
      </c>
      <c r="AL1907" s="6" t="s">
        <v>18444</v>
      </c>
      <c r="AM1907" s="6" t="s">
        <v>18574</v>
      </c>
      <c r="AN1907" s="6" t="s">
        <v>19639</v>
      </c>
      <c r="AO1907" s="6" t="s">
        <v>19725</v>
      </c>
      <c r="AP1907" s="6" t="s">
        <v>81</v>
      </c>
      <c r="AQ1907" s="6" t="s">
        <v>81</v>
      </c>
      <c r="AR1907" s="6" t="s">
        <v>81</v>
      </c>
      <c r="AS1907" s="6" t="s">
        <v>81</v>
      </c>
      <c r="AT1907" s="6" t="s">
        <v>81</v>
      </c>
      <c r="AU1907" s="6" t="s">
        <v>81</v>
      </c>
      <c r="AV1907" s="6" t="s">
        <v>81</v>
      </c>
      <c r="AW1907" s="6" t="s">
        <v>81</v>
      </c>
      <c r="AX1907" s="6" t="s">
        <v>21970</v>
      </c>
      <c r="AY1907" s="6" t="s">
        <v>81</v>
      </c>
      <c r="AZ1907" s="6" t="s">
        <v>81</v>
      </c>
      <c r="BA1907" s="6" t="s">
        <v>81</v>
      </c>
      <c r="BB1907" s="24" t="n">
        <v>111</v>
      </c>
      <c r="BC1907" s="26"/>
      <c r="BD1907" s="26"/>
      <c r="BE1907" s="26"/>
      <c r="BF1907" s="26" t="s">
        <v>23900</v>
      </c>
      <c r="BG1907" s="26"/>
      <c r="BH1907" s="26"/>
      <c r="BI1907" s="26"/>
      <c r="BJ1907" s="26"/>
      <c r="BK1907" s="26"/>
      <c r="BL1907" s="26"/>
      <c r="BM1907" s="26"/>
      <c r="BN1907" s="26"/>
      <c r="BO1907" s="26"/>
      <c r="BP1907" s="16" t="n">
        <v>45737</v>
      </c>
      <c r="BQ1907" s="28" t="str">
        <f>HYPERLINK("https://organic.ams.usda.gov/Integrity/Certificate.aspx?cid=31&amp;nopid=3928971537")</f>
        <v>https://organic.ams.usda.gov/Integrity/Certificate.aspx?cid=31&amp;nopid=3928971537</v>
      </c>
    </row>
    <row r="1908">
      <c r="A1908" t="s">
        <v>3</v>
      </c>
      <c r="B1908" s="6" t="s">
        <v>35</v>
      </c>
      <c r="C1908" s="6" t="s">
        <v>82</v>
      </c>
      <c r="D1908" s="6" t="s">
        <v>127</v>
      </c>
      <c r="E1908" s="10" t="s">
        <v>2049</v>
      </c>
      <c r="F1908" s="6" t="s">
        <v>4763</v>
      </c>
      <c r="G1908" s="6" t="s">
        <v>81</v>
      </c>
      <c r="H1908" s="6" t="s">
        <v>7636</v>
      </c>
      <c r="I1908" s="6" t="s">
        <v>8552</v>
      </c>
      <c r="J1908" s="6" t="s">
        <v>10496</v>
      </c>
      <c r="K1908" s="6" t="s">
        <v>10886</v>
      </c>
      <c r="L1908" s="16" t="n">
        <v>39197</v>
      </c>
      <c r="M1908" s="16" t="n">
        <v>45762</v>
      </c>
      <c r="N1908" s="6" t="s">
        <v>10886</v>
      </c>
      <c r="O1908" s="16" t="n">
        <v>39197</v>
      </c>
      <c r="P1908" s="6" t="s">
        <v>12012</v>
      </c>
      <c r="Q1908" s="6" t="s">
        <v>81</v>
      </c>
      <c r="R1908" s="6" t="s">
        <v>12972</v>
      </c>
      <c r="S1908" s="6" t="s">
        <v>10886</v>
      </c>
      <c r="T1908" s="16" t="n">
        <v>39197</v>
      </c>
      <c r="U1908" s="6" t="s">
        <v>13748</v>
      </c>
      <c r="V1908" s="6" t="s">
        <v>81</v>
      </c>
      <c r="W1908" s="6" t="s">
        <v>12972</v>
      </c>
      <c r="X1908" s="6" t="s">
        <v>81</v>
      </c>
      <c r="Y1908" s="21" t="s">
        <v>81</v>
      </c>
      <c r="Z1908" s="6" t="s">
        <v>81</v>
      </c>
      <c r="AA1908" s="6" t="s">
        <v>81</v>
      </c>
      <c r="AB1908" s="6" t="s">
        <v>81</v>
      </c>
      <c r="AC1908" s="6" t="s">
        <v>81</v>
      </c>
      <c r="AD1908" s="21" t="s">
        <v>81</v>
      </c>
      <c r="AE1908" s="6" t="s">
        <v>81</v>
      </c>
      <c r="AF1908" s="6" t="s">
        <v>81</v>
      </c>
      <c r="AG1908" s="6" t="s">
        <v>81</v>
      </c>
      <c r="AH1908" s="6" t="s">
        <v>16460</v>
      </c>
      <c r="AI1908" s="6" t="s">
        <v>81</v>
      </c>
      <c r="AJ1908" s="6" t="s">
        <v>18144</v>
      </c>
      <c r="AK1908" s="6" t="s">
        <v>18405</v>
      </c>
      <c r="AL1908" s="6" t="s">
        <v>18444</v>
      </c>
      <c r="AM1908" s="6" t="s">
        <v>19346</v>
      </c>
      <c r="AN1908" s="6" t="s">
        <v>19662</v>
      </c>
      <c r="AO1908" s="6" t="s">
        <v>19856</v>
      </c>
      <c r="AP1908" s="6" t="s">
        <v>16460</v>
      </c>
      <c r="AQ1908" s="6" t="s">
        <v>81</v>
      </c>
      <c r="AR1908" s="6" t="s">
        <v>18144</v>
      </c>
      <c r="AS1908" s="6" t="s">
        <v>18405</v>
      </c>
      <c r="AT1908" s="6" t="s">
        <v>18444</v>
      </c>
      <c r="AU1908" s="6" t="s">
        <v>19346</v>
      </c>
      <c r="AV1908" s="6" t="s">
        <v>81</v>
      </c>
      <c r="AW1908" s="6" t="s">
        <v>81</v>
      </c>
      <c r="AX1908" s="6" t="s">
        <v>21971</v>
      </c>
      <c r="AY1908" s="6" t="s">
        <v>23234</v>
      </c>
      <c r="AZ1908" s="6" t="s">
        <v>81</v>
      </c>
      <c r="BA1908" s="6" t="s">
        <v>81</v>
      </c>
      <c r="BB1908" s="24" t="n">
        <v>134</v>
      </c>
      <c r="BC1908" s="26"/>
      <c r="BD1908" s="26"/>
      <c r="BE1908" s="26"/>
      <c r="BF1908" s="26"/>
      <c r="BG1908" s="26"/>
      <c r="BH1908" s="26"/>
      <c r="BI1908" s="26"/>
      <c r="BJ1908" s="26"/>
      <c r="BK1908" s="26"/>
      <c r="BL1908" s="26"/>
      <c r="BM1908" s="26"/>
      <c r="BN1908" s="26"/>
      <c r="BO1908" s="26"/>
      <c r="BP1908" s="16" t="n">
        <v>45694</v>
      </c>
      <c r="BQ1908" s="28" t="str">
        <f>HYPERLINK("https://organic.ams.usda.gov/Integrity/Certificate.aspx?cid=47&amp;nopid=7142073318")</f>
        <v>https://organic.ams.usda.gov/Integrity/Certificate.aspx?cid=47&amp;nopid=7142073318</v>
      </c>
    </row>
    <row r="1909">
      <c r="A1909" t="s">
        <v>3</v>
      </c>
      <c r="B1909" s="6" t="s">
        <v>10</v>
      </c>
      <c r="C1909" s="6" t="s">
        <v>57</v>
      </c>
      <c r="D1909" s="6" t="s">
        <v>103</v>
      </c>
      <c r="E1909" s="10" t="s">
        <v>2050</v>
      </c>
      <c r="F1909" s="6" t="s">
        <v>4764</v>
      </c>
      <c r="G1909" s="6" t="s">
        <v>81</v>
      </c>
      <c r="H1909" s="6" t="s">
        <v>7637</v>
      </c>
      <c r="I1909" s="6" t="s">
        <v>9342</v>
      </c>
      <c r="J1909" s="6" t="s">
        <v>9728</v>
      </c>
      <c r="K1909" s="6" t="s">
        <v>10886</v>
      </c>
      <c r="L1909" s="16" t="n">
        <v>41277</v>
      </c>
      <c r="M1909" s="16" t="n">
        <v>45748</v>
      </c>
      <c r="N1909" s="6" t="s">
        <v>10886</v>
      </c>
      <c r="O1909" s="16" t="n">
        <v>41277</v>
      </c>
      <c r="P1909" s="6" t="s">
        <v>10910</v>
      </c>
      <c r="Q1909" s="6" t="s">
        <v>81</v>
      </c>
      <c r="R1909" s="6" t="s">
        <v>12973</v>
      </c>
      <c r="S1909" s="6" t="s">
        <v>10886</v>
      </c>
      <c r="T1909" s="16" t="n">
        <v>41277</v>
      </c>
      <c r="U1909" s="6" t="s">
        <v>13163</v>
      </c>
      <c r="V1909" s="6" t="s">
        <v>81</v>
      </c>
      <c r="W1909" s="6" t="s">
        <v>81</v>
      </c>
      <c r="X1909" s="6" t="s">
        <v>81</v>
      </c>
      <c r="Y1909" s="21" t="s">
        <v>81</v>
      </c>
      <c r="Z1909" s="6" t="s">
        <v>81</v>
      </c>
      <c r="AA1909" s="6" t="s">
        <v>81</v>
      </c>
      <c r="AB1909" s="6" t="s">
        <v>81</v>
      </c>
      <c r="AC1909" s="6" t="s">
        <v>81</v>
      </c>
      <c r="AD1909" s="21" t="s">
        <v>81</v>
      </c>
      <c r="AE1909" s="6" t="s">
        <v>81</v>
      </c>
      <c r="AF1909" s="6" t="s">
        <v>81</v>
      </c>
      <c r="AG1909" s="6" t="s">
        <v>81</v>
      </c>
      <c r="AH1909" s="6" t="s">
        <v>16461</v>
      </c>
      <c r="AI1909" s="6" t="s">
        <v>81</v>
      </c>
      <c r="AJ1909" s="6" t="s">
        <v>18062</v>
      </c>
      <c r="AK1909" s="6" t="s">
        <v>18379</v>
      </c>
      <c r="AL1909" s="6" t="s">
        <v>18444</v>
      </c>
      <c r="AM1909" s="6" t="s">
        <v>18467</v>
      </c>
      <c r="AN1909" s="6" t="s">
        <v>19637</v>
      </c>
      <c r="AO1909" s="6" t="s">
        <v>19723</v>
      </c>
      <c r="AP1909" s="6" t="s">
        <v>16461</v>
      </c>
      <c r="AQ1909" s="6" t="s">
        <v>81</v>
      </c>
      <c r="AR1909" s="6" t="s">
        <v>18062</v>
      </c>
      <c r="AS1909" s="6" t="s">
        <v>18379</v>
      </c>
      <c r="AT1909" s="6" t="s">
        <v>18444</v>
      </c>
      <c r="AU1909" s="6" t="s">
        <v>18467</v>
      </c>
      <c r="AV1909" s="6" t="s">
        <v>81</v>
      </c>
      <c r="AW1909" s="6" t="s">
        <v>81</v>
      </c>
      <c r="AX1909" s="6" t="s">
        <v>21972</v>
      </c>
      <c r="AY1909" s="6" t="s">
        <v>81</v>
      </c>
      <c r="AZ1909" s="6" t="s">
        <v>81</v>
      </c>
      <c r="BA1909" s="6" t="s">
        <v>81</v>
      </c>
      <c r="BB1909" s="24" t="n">
        <v>69</v>
      </c>
      <c r="BC1909" s="26"/>
      <c r="BD1909" s="26"/>
      <c r="BE1909" s="26"/>
      <c r="BF1909" s="26"/>
      <c r="BG1909" s="26"/>
      <c r="BH1909" s="26"/>
      <c r="BI1909" s="26"/>
      <c r="BJ1909" s="26"/>
      <c r="BK1909" s="26"/>
      <c r="BL1909" s="26"/>
      <c r="BM1909" s="26"/>
      <c r="BN1909" s="26"/>
      <c r="BO1909" s="26"/>
      <c r="BP1909" s="16" t="n">
        <v>45730</v>
      </c>
      <c r="BQ1909" s="28" t="str">
        <f>HYPERLINK("https://organic.ams.usda.gov/Integrity/Certificate.aspx?cid=90&amp;nopid=7170020064")</f>
        <v>https://organic.ams.usda.gov/Integrity/Certificate.aspx?cid=90&amp;nopid=7170020064</v>
      </c>
    </row>
    <row r="1910">
      <c r="A1910" t="s">
        <v>3</v>
      </c>
      <c r="B1910" s="6" t="s">
        <v>10</v>
      </c>
      <c r="C1910" s="6" t="s">
        <v>57</v>
      </c>
      <c r="D1910" s="6" t="s">
        <v>103</v>
      </c>
      <c r="E1910" s="10" t="s">
        <v>2051</v>
      </c>
      <c r="F1910" s="6" t="s">
        <v>4765</v>
      </c>
      <c r="G1910" s="6" t="s">
        <v>81</v>
      </c>
      <c r="H1910" s="6" t="s">
        <v>7638</v>
      </c>
      <c r="I1910" s="6" t="s">
        <v>9343</v>
      </c>
      <c r="J1910" s="6" t="s">
        <v>9665</v>
      </c>
      <c r="K1910" s="6" t="s">
        <v>10886</v>
      </c>
      <c r="L1910" s="16" t="n">
        <v>45418</v>
      </c>
      <c r="M1910" s="16" t="n">
        <v>45748</v>
      </c>
      <c r="N1910" s="6" t="s">
        <v>10886</v>
      </c>
      <c r="O1910" s="16" t="n">
        <v>45418</v>
      </c>
      <c r="P1910" s="6" t="s">
        <v>11420</v>
      </c>
      <c r="Q1910" s="6" t="s">
        <v>81</v>
      </c>
      <c r="R1910" s="6" t="s">
        <v>12974</v>
      </c>
      <c r="S1910" s="6" t="s">
        <v>10886</v>
      </c>
      <c r="T1910" s="16" t="n">
        <v>45418</v>
      </c>
      <c r="U1910" s="6" t="s">
        <v>13163</v>
      </c>
      <c r="V1910" s="6" t="s">
        <v>81</v>
      </c>
      <c r="W1910" s="6" t="s">
        <v>81</v>
      </c>
      <c r="X1910" s="6" t="s">
        <v>81</v>
      </c>
      <c r="Y1910" s="21" t="s">
        <v>81</v>
      </c>
      <c r="Z1910" s="6" t="s">
        <v>81</v>
      </c>
      <c r="AA1910" s="6" t="s">
        <v>81</v>
      </c>
      <c r="AB1910" s="6" t="s">
        <v>81</v>
      </c>
      <c r="AC1910" s="6" t="s">
        <v>81</v>
      </c>
      <c r="AD1910" s="21" t="s">
        <v>81</v>
      </c>
      <c r="AE1910" s="6" t="s">
        <v>81</v>
      </c>
      <c r="AF1910" s="6" t="s">
        <v>81</v>
      </c>
      <c r="AG1910" s="6" t="s">
        <v>81</v>
      </c>
      <c r="AH1910" s="6" t="s">
        <v>16462</v>
      </c>
      <c r="AI1910" s="6" t="s">
        <v>81</v>
      </c>
      <c r="AJ1910" s="6" t="s">
        <v>18145</v>
      </c>
      <c r="AK1910" s="6" t="s">
        <v>18379</v>
      </c>
      <c r="AL1910" s="6" t="s">
        <v>18444</v>
      </c>
      <c r="AM1910" s="6" t="s">
        <v>19347</v>
      </c>
      <c r="AN1910" s="6" t="s">
        <v>81</v>
      </c>
      <c r="AO1910" s="6" t="s">
        <v>81</v>
      </c>
      <c r="AP1910" s="6" t="s">
        <v>16462</v>
      </c>
      <c r="AQ1910" s="6" t="s">
        <v>81</v>
      </c>
      <c r="AR1910" s="6" t="s">
        <v>18145</v>
      </c>
      <c r="AS1910" s="6" t="s">
        <v>18379</v>
      </c>
      <c r="AT1910" s="6" t="s">
        <v>18444</v>
      </c>
      <c r="AU1910" s="6" t="s">
        <v>19347</v>
      </c>
      <c r="AV1910" s="6" t="s">
        <v>81</v>
      </c>
      <c r="AW1910" s="6" t="s">
        <v>81</v>
      </c>
      <c r="AX1910" s="6" t="s">
        <v>21973</v>
      </c>
      <c r="AY1910" s="6" t="s">
        <v>81</v>
      </c>
      <c r="AZ1910" s="6" t="s">
        <v>81</v>
      </c>
      <c r="BA1910" s="6" t="s">
        <v>81</v>
      </c>
      <c r="BB1910" s="24" t="n">
        <v>89</v>
      </c>
      <c r="BC1910" s="26"/>
      <c r="BD1910" s="26"/>
      <c r="BE1910" s="26"/>
      <c r="BF1910" s="26"/>
      <c r="BG1910" s="26"/>
      <c r="BH1910" s="26"/>
      <c r="BI1910" s="26"/>
      <c r="BJ1910" s="26"/>
      <c r="BK1910" s="26"/>
      <c r="BL1910" s="26"/>
      <c r="BM1910" s="26"/>
      <c r="BN1910" s="26"/>
      <c r="BO1910" s="26"/>
      <c r="BP1910" s="16" t="n">
        <v>45730</v>
      </c>
      <c r="BQ1910" s="28" t="str">
        <f>HYPERLINK("https://organic.ams.usda.gov/Integrity/Certificate.aspx?cid=90&amp;nopid=7170240794")</f>
        <v>https://organic.ams.usda.gov/Integrity/Certificate.aspx?cid=90&amp;nopid=7170240794</v>
      </c>
    </row>
    <row r="1911">
      <c r="A1911" t="s">
        <v>3</v>
      </c>
      <c r="B1911" s="6" t="s">
        <v>13</v>
      </c>
      <c r="C1911" s="6" t="s">
        <v>60</v>
      </c>
      <c r="D1911" s="6" t="s">
        <v>106</v>
      </c>
      <c r="E1911" s="10" t="s">
        <v>2052</v>
      </c>
      <c r="F1911" s="6" t="s">
        <v>4766</v>
      </c>
      <c r="G1911" s="6" t="s">
        <v>81</v>
      </c>
      <c r="H1911" s="6" t="s">
        <v>7639</v>
      </c>
      <c r="I1911" s="6" t="s">
        <v>9343</v>
      </c>
      <c r="J1911" s="6" t="s">
        <v>9665</v>
      </c>
      <c r="K1911" s="6" t="s">
        <v>10886</v>
      </c>
      <c r="L1911" s="16" t="n">
        <v>41327</v>
      </c>
      <c r="M1911" s="16" t="n">
        <v>46024</v>
      </c>
      <c r="N1911" s="6" t="s">
        <v>10886</v>
      </c>
      <c r="O1911" s="16" t="n">
        <v>41327</v>
      </c>
      <c r="P1911" s="6" t="s">
        <v>12013</v>
      </c>
      <c r="Q1911" s="6" t="s">
        <v>81</v>
      </c>
      <c r="R1911" s="6" t="s">
        <v>12975</v>
      </c>
      <c r="S1911" s="6" t="s">
        <v>10886</v>
      </c>
      <c r="T1911" s="16" t="n">
        <v>41327</v>
      </c>
      <c r="U1911" s="6" t="s">
        <v>13749</v>
      </c>
      <c r="V1911" s="6" t="s">
        <v>81</v>
      </c>
      <c r="W1911" s="6" t="s">
        <v>12975</v>
      </c>
      <c r="X1911" s="6" t="s">
        <v>81</v>
      </c>
      <c r="Y1911" s="21" t="s">
        <v>81</v>
      </c>
      <c r="Z1911" s="6" t="s">
        <v>81</v>
      </c>
      <c r="AA1911" s="6" t="s">
        <v>81</v>
      </c>
      <c r="AB1911" s="6" t="s">
        <v>81</v>
      </c>
      <c r="AC1911" s="6" t="s">
        <v>81</v>
      </c>
      <c r="AD1911" s="21" t="s">
        <v>81</v>
      </c>
      <c r="AE1911" s="6" t="s">
        <v>81</v>
      </c>
      <c r="AF1911" s="6" t="s">
        <v>81</v>
      </c>
      <c r="AG1911" s="6" t="s">
        <v>81</v>
      </c>
      <c r="AH1911" s="6" t="s">
        <v>16463</v>
      </c>
      <c r="AI1911" s="6" t="s">
        <v>81</v>
      </c>
      <c r="AJ1911" s="6" t="s">
        <v>18146</v>
      </c>
      <c r="AK1911" s="6" t="s">
        <v>18379</v>
      </c>
      <c r="AL1911" s="6" t="s">
        <v>18444</v>
      </c>
      <c r="AM1911" s="6" t="s">
        <v>19348</v>
      </c>
      <c r="AN1911" s="6" t="s">
        <v>19641</v>
      </c>
      <c r="AO1911" s="6" t="s">
        <v>20031</v>
      </c>
      <c r="AP1911" s="6" t="s">
        <v>16463</v>
      </c>
      <c r="AQ1911" s="6" t="s">
        <v>81</v>
      </c>
      <c r="AR1911" s="6" t="s">
        <v>18146</v>
      </c>
      <c r="AS1911" s="6" t="s">
        <v>18379</v>
      </c>
      <c r="AT1911" s="6" t="s">
        <v>18444</v>
      </c>
      <c r="AU1911" s="6" t="s">
        <v>19348</v>
      </c>
      <c r="AV1911" s="6" t="s">
        <v>81</v>
      </c>
      <c r="AW1911" s="6" t="s">
        <v>81</v>
      </c>
      <c r="AX1911" s="6" t="s">
        <v>21974</v>
      </c>
      <c r="AY1911" s="6" t="s">
        <v>81</v>
      </c>
      <c r="AZ1911" s="6" t="s">
        <v>81</v>
      </c>
      <c r="BA1911" s="6" t="s">
        <v>81</v>
      </c>
      <c r="BB1911" s="24" t="n">
        <v>273</v>
      </c>
      <c r="BC1911" s="26"/>
      <c r="BD1911" s="26"/>
      <c r="BE1911" s="26"/>
      <c r="BF1911" s="26" t="s">
        <v>23900</v>
      </c>
      <c r="BG1911" s="26"/>
      <c r="BH1911" s="26"/>
      <c r="BI1911" s="26"/>
      <c r="BJ1911" s="26"/>
      <c r="BK1911" s="26"/>
      <c r="BL1911" s="26"/>
      <c r="BM1911" s="26"/>
      <c r="BN1911" s="26"/>
      <c r="BO1911" s="26"/>
      <c r="BP1911" s="16" t="n">
        <v>45667</v>
      </c>
      <c r="BQ1911" s="28" t="str">
        <f>HYPERLINK("https://organic.ams.usda.gov/Integrity/Certificate.aspx?cid=72&amp;nopid=5870001553")</f>
        <v>https://organic.ams.usda.gov/Integrity/Certificate.aspx?cid=72&amp;nopid=5870001553</v>
      </c>
    </row>
    <row r="1912">
      <c r="A1912" t="s">
        <v>3</v>
      </c>
      <c r="B1912" s="6" t="s">
        <v>7</v>
      </c>
      <c r="C1912" s="6" t="s">
        <v>54</v>
      </c>
      <c r="D1912" s="6" t="s">
        <v>100</v>
      </c>
      <c r="E1912" s="10" t="s">
        <v>2053</v>
      </c>
      <c r="F1912" s="6" t="s">
        <v>4767</v>
      </c>
      <c r="G1912" s="6" t="s">
        <v>81</v>
      </c>
      <c r="H1912" s="6" t="s">
        <v>7640</v>
      </c>
      <c r="I1912" s="6" t="s">
        <v>9060</v>
      </c>
      <c r="J1912" s="6" t="s">
        <v>10497</v>
      </c>
      <c r="K1912" s="6" t="s">
        <v>10886</v>
      </c>
      <c r="L1912" s="16" t="n">
        <v>38581</v>
      </c>
      <c r="M1912" s="16" t="n">
        <v>45716</v>
      </c>
      <c r="N1912" s="6" t="s">
        <v>10886</v>
      </c>
      <c r="O1912" s="16" t="n">
        <v>38581</v>
      </c>
      <c r="P1912" s="6" t="s">
        <v>10910</v>
      </c>
      <c r="Q1912" s="6" t="s">
        <v>81</v>
      </c>
      <c r="R1912" s="6" t="s">
        <v>81</v>
      </c>
      <c r="S1912" s="6" t="s">
        <v>10886</v>
      </c>
      <c r="T1912" s="16" t="n">
        <v>38581</v>
      </c>
      <c r="U1912" s="6" t="s">
        <v>13169</v>
      </c>
      <c r="V1912" s="6" t="s">
        <v>81</v>
      </c>
      <c r="W1912" s="6" t="s">
        <v>81</v>
      </c>
      <c r="X1912" s="6" t="s">
        <v>81</v>
      </c>
      <c r="Y1912" s="21" t="s">
        <v>81</v>
      </c>
      <c r="Z1912" s="6" t="s">
        <v>81</v>
      </c>
      <c r="AA1912" s="6" t="s">
        <v>81</v>
      </c>
      <c r="AB1912" s="6" t="s">
        <v>81</v>
      </c>
      <c r="AC1912" s="6" t="s">
        <v>81</v>
      </c>
      <c r="AD1912" s="21" t="s">
        <v>81</v>
      </c>
      <c r="AE1912" s="6" t="s">
        <v>81</v>
      </c>
      <c r="AF1912" s="6" t="s">
        <v>81</v>
      </c>
      <c r="AG1912" s="6" t="s">
        <v>81</v>
      </c>
      <c r="AH1912" s="6" t="s">
        <v>16464</v>
      </c>
      <c r="AI1912" s="6" t="s">
        <v>81</v>
      </c>
      <c r="AJ1912" s="6" t="s">
        <v>17349</v>
      </c>
      <c r="AK1912" s="6" t="s">
        <v>17712</v>
      </c>
      <c r="AL1912" s="6" t="s">
        <v>18444</v>
      </c>
      <c r="AM1912" s="6" t="s">
        <v>18503</v>
      </c>
      <c r="AN1912" s="6" t="s">
        <v>19653</v>
      </c>
      <c r="AO1912" s="6" t="s">
        <v>19744</v>
      </c>
      <c r="AP1912" s="6" t="s">
        <v>16464</v>
      </c>
      <c r="AQ1912" s="6" t="s">
        <v>81</v>
      </c>
      <c r="AR1912" s="6" t="s">
        <v>17349</v>
      </c>
      <c r="AS1912" s="6" t="s">
        <v>17712</v>
      </c>
      <c r="AT1912" s="6" t="s">
        <v>18444</v>
      </c>
      <c r="AU1912" s="6" t="s">
        <v>18503</v>
      </c>
      <c r="AV1912" s="6" t="s">
        <v>81</v>
      </c>
      <c r="AW1912" s="6" t="s">
        <v>81</v>
      </c>
      <c r="AX1912" s="6" t="s">
        <v>21975</v>
      </c>
      <c r="AY1912" s="6" t="s">
        <v>23235</v>
      </c>
      <c r="AZ1912" s="6" t="s">
        <v>81</v>
      </c>
      <c r="BA1912" s="6" t="s">
        <v>81</v>
      </c>
      <c r="BB1912" s="24" t="n">
        <v>266</v>
      </c>
      <c r="BC1912" s="26"/>
      <c r="BD1912" s="26"/>
      <c r="BE1912" s="26"/>
      <c r="BF1912" s="26" t="s">
        <v>23900</v>
      </c>
      <c r="BG1912" s="26"/>
      <c r="BH1912" s="26"/>
      <c r="BI1912" s="26"/>
      <c r="BJ1912" s="26"/>
      <c r="BK1912" s="26"/>
      <c r="BL1912" s="26"/>
      <c r="BM1912" s="26"/>
      <c r="BN1912" s="26"/>
      <c r="BO1912" s="26"/>
      <c r="BP1912" s="16" t="n">
        <v>45595</v>
      </c>
      <c r="BQ1912" s="28" t="str">
        <f>HYPERLINK("https://organic.ams.usda.gov/Integrity/Certificate.aspx?cid=57&amp;nopid=3250200557")</f>
        <v>https://organic.ams.usda.gov/Integrity/Certificate.aspx?cid=57&amp;nopid=3250200557</v>
      </c>
    </row>
    <row r="1913">
      <c r="A1913" t="s">
        <v>3</v>
      </c>
      <c r="B1913" s="6" t="s">
        <v>25</v>
      </c>
      <c r="C1913" s="6" t="s">
        <v>72</v>
      </c>
      <c r="D1913" s="6" t="s">
        <v>118</v>
      </c>
      <c r="E1913" s="10" t="s">
        <v>2054</v>
      </c>
      <c r="F1913" s="6" t="s">
        <v>4768</v>
      </c>
      <c r="G1913" s="6" t="s">
        <v>81</v>
      </c>
      <c r="H1913" s="6" t="s">
        <v>7641</v>
      </c>
      <c r="I1913" s="6" t="s">
        <v>9344</v>
      </c>
      <c r="J1913" s="6" t="s">
        <v>10498</v>
      </c>
      <c r="K1913" s="6" t="s">
        <v>10886</v>
      </c>
      <c r="L1913" s="16" t="n">
        <v>45371</v>
      </c>
      <c r="M1913" s="16" t="n">
        <v>46023</v>
      </c>
      <c r="N1913" s="6" t="s">
        <v>81</v>
      </c>
      <c r="O1913" s="21" t="s">
        <v>81</v>
      </c>
      <c r="P1913" s="6" t="s">
        <v>81</v>
      </c>
      <c r="Q1913" s="6" t="s">
        <v>81</v>
      </c>
      <c r="R1913" s="6" t="s">
        <v>81</v>
      </c>
      <c r="S1913" s="6" t="s">
        <v>81</v>
      </c>
      <c r="T1913" s="21" t="s">
        <v>81</v>
      </c>
      <c r="U1913" s="6" t="s">
        <v>81</v>
      </c>
      <c r="V1913" s="6" t="s">
        <v>81</v>
      </c>
      <c r="W1913" s="6" t="s">
        <v>81</v>
      </c>
      <c r="X1913" s="6" t="s">
        <v>81</v>
      </c>
      <c r="Y1913" s="21" t="s">
        <v>81</v>
      </c>
      <c r="Z1913" s="6" t="s">
        <v>81</v>
      </c>
      <c r="AA1913" s="6" t="s">
        <v>81</v>
      </c>
      <c r="AB1913" s="6" t="s">
        <v>81</v>
      </c>
      <c r="AC1913" s="6" t="s">
        <v>10886</v>
      </c>
      <c r="AD1913" s="16" t="n">
        <v>45371</v>
      </c>
      <c r="AE1913" s="6" t="s">
        <v>14335</v>
      </c>
      <c r="AF1913" s="6" t="s">
        <v>81</v>
      </c>
      <c r="AG1913" s="6" t="s">
        <v>81</v>
      </c>
      <c r="AH1913" s="6" t="s">
        <v>16465</v>
      </c>
      <c r="AI1913" s="6" t="s">
        <v>17297</v>
      </c>
      <c r="AJ1913" s="6" t="s">
        <v>18147</v>
      </c>
      <c r="AK1913" s="6" t="s">
        <v>18386</v>
      </c>
      <c r="AL1913" s="6" t="s">
        <v>18444</v>
      </c>
      <c r="AM1913" s="6" t="s">
        <v>19349</v>
      </c>
      <c r="AN1913" s="6" t="s">
        <v>81</v>
      </c>
      <c r="AO1913" s="6" t="s">
        <v>81</v>
      </c>
      <c r="AP1913" s="6" t="s">
        <v>20350</v>
      </c>
      <c r="AQ1913" s="6" t="s">
        <v>20485</v>
      </c>
      <c r="AR1913" s="6" t="s">
        <v>18147</v>
      </c>
      <c r="AS1913" s="6" t="s">
        <v>18386</v>
      </c>
      <c r="AT1913" s="6" t="s">
        <v>18444</v>
      </c>
      <c r="AU1913" s="6" t="s">
        <v>19349</v>
      </c>
      <c r="AV1913" s="6" t="s">
        <v>81</v>
      </c>
      <c r="AW1913" s="6" t="s">
        <v>81</v>
      </c>
      <c r="AX1913" s="6" t="s">
        <v>21976</v>
      </c>
      <c r="AY1913" s="6" t="s">
        <v>23236</v>
      </c>
      <c r="AZ1913" s="6" t="s">
        <v>23730</v>
      </c>
      <c r="BA1913" s="6" t="s">
        <v>23827</v>
      </c>
      <c r="BB1913" s="6" t="s">
        <v>81</v>
      </c>
      <c r="BC1913" s="26"/>
      <c r="BD1913" s="26"/>
      <c r="BE1913" s="26"/>
      <c r="BF1913" s="26"/>
      <c r="BG1913" s="26"/>
      <c r="BH1913" s="26"/>
      <c r="BI1913" s="26"/>
      <c r="BJ1913" s="26"/>
      <c r="BK1913" s="26"/>
      <c r="BL1913" s="26"/>
      <c r="BM1913" s="26"/>
      <c r="BN1913" s="26"/>
      <c r="BO1913" s="26"/>
      <c r="BP1913" s="16" t="n">
        <v>45728</v>
      </c>
      <c r="BQ1913" s="28" t="str">
        <f>HYPERLINK("https://organic.ams.usda.gov/Integrity/Certificate.aspx?cid=15&amp;nopid=5561007878")</f>
        <v>https://organic.ams.usda.gov/Integrity/Certificate.aspx?cid=15&amp;nopid=5561007878</v>
      </c>
    </row>
    <row r="1914">
      <c r="A1914" t="s">
        <v>3</v>
      </c>
      <c r="B1914" s="6" t="s">
        <v>6</v>
      </c>
      <c r="C1914" s="6" t="s">
        <v>53</v>
      </c>
      <c r="D1914" s="6" t="s">
        <v>99</v>
      </c>
      <c r="E1914" s="10" t="s">
        <v>2055</v>
      </c>
      <c r="F1914" s="6" t="s">
        <v>4769</v>
      </c>
      <c r="G1914" s="6" t="s">
        <v>81</v>
      </c>
      <c r="H1914" s="6" t="s">
        <v>7642</v>
      </c>
      <c r="I1914" s="6" t="s">
        <v>9345</v>
      </c>
      <c r="J1914" s="6" t="s">
        <v>10499</v>
      </c>
      <c r="K1914" s="6" t="s">
        <v>10886</v>
      </c>
      <c r="L1914" s="16" t="n">
        <v>43658</v>
      </c>
      <c r="M1914" s="16" t="n">
        <v>45881</v>
      </c>
      <c r="N1914" s="6" t="s">
        <v>81</v>
      </c>
      <c r="O1914" s="21" t="s">
        <v>81</v>
      </c>
      <c r="P1914" s="6" t="s">
        <v>81</v>
      </c>
      <c r="Q1914" s="6" t="s">
        <v>81</v>
      </c>
      <c r="R1914" s="6" t="s">
        <v>81</v>
      </c>
      <c r="S1914" s="6" t="s">
        <v>81</v>
      </c>
      <c r="T1914" s="21" t="s">
        <v>81</v>
      </c>
      <c r="U1914" s="6" t="s">
        <v>81</v>
      </c>
      <c r="V1914" s="6" t="s">
        <v>81</v>
      </c>
      <c r="W1914" s="6" t="s">
        <v>81</v>
      </c>
      <c r="X1914" s="6" t="s">
        <v>81</v>
      </c>
      <c r="Y1914" s="21" t="s">
        <v>81</v>
      </c>
      <c r="Z1914" s="6" t="s">
        <v>81</v>
      </c>
      <c r="AA1914" s="6" t="s">
        <v>81</v>
      </c>
      <c r="AB1914" s="6" t="s">
        <v>81</v>
      </c>
      <c r="AC1914" s="6" t="s">
        <v>10886</v>
      </c>
      <c r="AD1914" s="16" t="n">
        <v>43658</v>
      </c>
      <c r="AE1914" s="6" t="s">
        <v>14336</v>
      </c>
      <c r="AF1914" s="6" t="s">
        <v>81</v>
      </c>
      <c r="AG1914" s="6" t="s">
        <v>14578</v>
      </c>
      <c r="AH1914" s="6" t="s">
        <v>16466</v>
      </c>
      <c r="AI1914" s="6" t="s">
        <v>81</v>
      </c>
      <c r="AJ1914" s="6" t="s">
        <v>18148</v>
      </c>
      <c r="AK1914" s="6" t="s">
        <v>18432</v>
      </c>
      <c r="AL1914" s="6" t="s">
        <v>9834</v>
      </c>
      <c r="AM1914" s="6" t="s">
        <v>19350</v>
      </c>
      <c r="AN1914" s="6" t="s">
        <v>81</v>
      </c>
      <c r="AO1914" s="6" t="s">
        <v>81</v>
      </c>
      <c r="AP1914" s="6" t="s">
        <v>81</v>
      </c>
      <c r="AQ1914" s="6" t="s">
        <v>81</v>
      </c>
      <c r="AR1914" s="6" t="s">
        <v>81</v>
      </c>
      <c r="AS1914" s="6" t="s">
        <v>81</v>
      </c>
      <c r="AT1914" s="6" t="s">
        <v>81</v>
      </c>
      <c r="AU1914" s="6" t="s">
        <v>81</v>
      </c>
      <c r="AV1914" s="6" t="s">
        <v>81</v>
      </c>
      <c r="AW1914" s="6" t="s">
        <v>81</v>
      </c>
      <c r="AX1914" s="6" t="s">
        <v>21977</v>
      </c>
      <c r="AY1914" s="6" t="s">
        <v>23237</v>
      </c>
      <c r="AZ1914" s="6" t="s">
        <v>81</v>
      </c>
      <c r="BA1914" s="6" t="s">
        <v>81</v>
      </c>
      <c r="BB1914" s="6" t="s">
        <v>81</v>
      </c>
      <c r="BC1914" s="26"/>
      <c r="BD1914" s="26"/>
      <c r="BE1914" s="26"/>
      <c r="BF1914" s="26"/>
      <c r="BG1914" s="26"/>
      <c r="BH1914" s="26"/>
      <c r="BI1914" s="26"/>
      <c r="BJ1914" s="26"/>
      <c r="BK1914" s="26"/>
      <c r="BL1914" s="26"/>
      <c r="BM1914" s="26"/>
      <c r="BN1914" s="26"/>
      <c r="BO1914" s="26"/>
      <c r="BP1914" s="16" t="n">
        <v>45737</v>
      </c>
      <c r="BQ1914" s="28" t="str">
        <f>HYPERLINK("https://organic.ams.usda.gov/Integrity/Certificate.aspx?cid=32&amp;nopid=2230006840")</f>
        <v>https://organic.ams.usda.gov/Integrity/Certificate.aspx?cid=32&amp;nopid=2230006840</v>
      </c>
    </row>
    <row r="1915">
      <c r="A1915" t="s">
        <v>3</v>
      </c>
      <c r="B1915" s="6" t="s">
        <v>23</v>
      </c>
      <c r="C1915" s="6" t="s">
        <v>70</v>
      </c>
      <c r="D1915" s="6" t="s">
        <v>116</v>
      </c>
      <c r="E1915" s="10" t="s">
        <v>2056</v>
      </c>
      <c r="F1915" s="6" t="s">
        <v>4770</v>
      </c>
      <c r="G1915" s="6" t="s">
        <v>81</v>
      </c>
      <c r="H1915" s="6" t="s">
        <v>7643</v>
      </c>
      <c r="I1915" s="6" t="s">
        <v>9023</v>
      </c>
      <c r="J1915" s="6" t="s">
        <v>10500</v>
      </c>
      <c r="K1915" s="6" t="s">
        <v>10886</v>
      </c>
      <c r="L1915" s="16" t="n">
        <v>38047</v>
      </c>
      <c r="M1915" s="16" t="n">
        <v>45717</v>
      </c>
      <c r="N1915" s="6" t="s">
        <v>81</v>
      </c>
      <c r="O1915" s="21" t="s">
        <v>81</v>
      </c>
      <c r="P1915" s="6" t="s">
        <v>81</v>
      </c>
      <c r="Q1915" s="6" t="s">
        <v>81</v>
      </c>
      <c r="R1915" s="6" t="s">
        <v>81</v>
      </c>
      <c r="S1915" s="6" t="s">
        <v>81</v>
      </c>
      <c r="T1915" s="21" t="s">
        <v>81</v>
      </c>
      <c r="U1915" s="6" t="s">
        <v>81</v>
      </c>
      <c r="V1915" s="6" t="s">
        <v>81</v>
      </c>
      <c r="W1915" s="6" t="s">
        <v>81</v>
      </c>
      <c r="X1915" s="6" t="s">
        <v>81</v>
      </c>
      <c r="Y1915" s="21" t="s">
        <v>81</v>
      </c>
      <c r="Z1915" s="6" t="s">
        <v>81</v>
      </c>
      <c r="AA1915" s="6" t="s">
        <v>81</v>
      </c>
      <c r="AB1915" s="6" t="s">
        <v>81</v>
      </c>
      <c r="AC1915" s="6" t="s">
        <v>10886</v>
      </c>
      <c r="AD1915" s="16" t="n">
        <v>38047</v>
      </c>
      <c r="AE1915" s="6" t="s">
        <v>14337</v>
      </c>
      <c r="AF1915" s="6" t="s">
        <v>81</v>
      </c>
      <c r="AG1915" s="6" t="s">
        <v>81</v>
      </c>
      <c r="AH1915" s="6" t="s">
        <v>81</v>
      </c>
      <c r="AI1915" s="6" t="s">
        <v>81</v>
      </c>
      <c r="AJ1915" s="6" t="s">
        <v>81</v>
      </c>
      <c r="AK1915" s="6" t="s">
        <v>81</v>
      </c>
      <c r="AL1915" s="6" t="s">
        <v>81</v>
      </c>
      <c r="AM1915" s="6" t="s">
        <v>81</v>
      </c>
      <c r="AN1915" s="6" t="s">
        <v>81</v>
      </c>
      <c r="AO1915" s="6" t="s">
        <v>81</v>
      </c>
      <c r="AP1915" s="6" t="s">
        <v>20351</v>
      </c>
      <c r="AQ1915" s="6" t="s">
        <v>81</v>
      </c>
      <c r="AR1915" s="6" t="s">
        <v>9388</v>
      </c>
      <c r="AS1915" s="6" t="s">
        <v>18393</v>
      </c>
      <c r="AT1915" s="6" t="s">
        <v>18444</v>
      </c>
      <c r="AU1915" s="6" t="s">
        <v>20685</v>
      </c>
      <c r="AV1915" s="6" t="s">
        <v>19683</v>
      </c>
      <c r="AW1915" s="6" t="s">
        <v>19890</v>
      </c>
      <c r="AX1915" s="6" t="s">
        <v>21978</v>
      </c>
      <c r="AY1915" s="6" t="s">
        <v>23238</v>
      </c>
      <c r="AZ1915" s="6" t="s">
        <v>81</v>
      </c>
      <c r="BA1915" s="6" t="s">
        <v>81</v>
      </c>
      <c r="BB1915" s="6" t="s">
        <v>81</v>
      </c>
      <c r="BC1915" s="26"/>
      <c r="BD1915" s="26"/>
      <c r="BE1915" s="26"/>
      <c r="BF1915" s="26"/>
      <c r="BG1915" s="26"/>
      <c r="BH1915" s="26"/>
      <c r="BI1915" s="26"/>
      <c r="BJ1915" s="26"/>
      <c r="BK1915" s="26"/>
      <c r="BL1915" s="26"/>
      <c r="BM1915" s="26"/>
      <c r="BN1915" s="26"/>
      <c r="BO1915" s="26"/>
      <c r="BP1915" s="16" t="n">
        <v>45728</v>
      </c>
      <c r="BQ1915" s="28" t="str">
        <f>HYPERLINK("https://organic.ams.usda.gov/Integrity/Certificate.aspx?cid=63&amp;nopid=6220005110")</f>
        <v>https://organic.ams.usda.gov/Integrity/Certificate.aspx?cid=63&amp;nopid=6220005110</v>
      </c>
    </row>
    <row r="1916">
      <c r="A1916" t="s">
        <v>3</v>
      </c>
      <c r="B1916" s="6" t="s">
        <v>14</v>
      </c>
      <c r="C1916" s="6" t="s">
        <v>61</v>
      </c>
      <c r="D1916" s="6" t="s">
        <v>107</v>
      </c>
      <c r="E1916" s="10" t="s">
        <v>2057</v>
      </c>
      <c r="F1916" s="6" t="s">
        <v>4771</v>
      </c>
      <c r="G1916" s="6" t="s">
        <v>81</v>
      </c>
      <c r="H1916" s="6" t="s">
        <v>7644</v>
      </c>
      <c r="I1916" s="6" t="s">
        <v>8961</v>
      </c>
      <c r="J1916" s="6" t="s">
        <v>10501</v>
      </c>
      <c r="K1916" s="6" t="s">
        <v>10886</v>
      </c>
      <c r="L1916" s="16" t="n">
        <v>39863</v>
      </c>
      <c r="M1916" s="16" t="n">
        <v>45717</v>
      </c>
      <c r="N1916" s="6" t="s">
        <v>81</v>
      </c>
      <c r="O1916" s="21" t="s">
        <v>81</v>
      </c>
      <c r="P1916" s="6" t="s">
        <v>81</v>
      </c>
      <c r="Q1916" s="6" t="s">
        <v>81</v>
      </c>
      <c r="R1916" s="6" t="s">
        <v>81</v>
      </c>
      <c r="S1916" s="6" t="s">
        <v>81</v>
      </c>
      <c r="T1916" s="21" t="s">
        <v>81</v>
      </c>
      <c r="U1916" s="6" t="s">
        <v>81</v>
      </c>
      <c r="V1916" s="6" t="s">
        <v>81</v>
      </c>
      <c r="W1916" s="6" t="s">
        <v>81</v>
      </c>
      <c r="X1916" s="6" t="s">
        <v>81</v>
      </c>
      <c r="Y1916" s="21" t="s">
        <v>81</v>
      </c>
      <c r="Z1916" s="6" t="s">
        <v>81</v>
      </c>
      <c r="AA1916" s="6" t="s">
        <v>81</v>
      </c>
      <c r="AB1916" s="6" t="s">
        <v>81</v>
      </c>
      <c r="AC1916" s="6" t="s">
        <v>10886</v>
      </c>
      <c r="AD1916" s="16" t="n">
        <v>39863</v>
      </c>
      <c r="AE1916" s="6" t="s">
        <v>14338</v>
      </c>
      <c r="AF1916" s="6" t="s">
        <v>81</v>
      </c>
      <c r="AG1916" s="6" t="s">
        <v>81</v>
      </c>
      <c r="AH1916" s="6" t="s">
        <v>16467</v>
      </c>
      <c r="AI1916" s="6" t="s">
        <v>81</v>
      </c>
      <c r="AJ1916" s="6" t="s">
        <v>18149</v>
      </c>
      <c r="AK1916" s="6" t="s">
        <v>17712</v>
      </c>
      <c r="AL1916" s="6" t="s">
        <v>18444</v>
      </c>
      <c r="AM1916" s="6" t="s">
        <v>19351</v>
      </c>
      <c r="AN1916" s="6" t="s">
        <v>19681</v>
      </c>
      <c r="AO1916" s="6" t="s">
        <v>19951</v>
      </c>
      <c r="AP1916" s="6" t="s">
        <v>20352</v>
      </c>
      <c r="AQ1916" s="6" t="s">
        <v>81</v>
      </c>
      <c r="AR1916" s="6" t="s">
        <v>20558</v>
      </c>
      <c r="AS1916" s="6" t="s">
        <v>17712</v>
      </c>
      <c r="AT1916" s="6" t="s">
        <v>18444</v>
      </c>
      <c r="AU1916" s="6" t="s">
        <v>20686</v>
      </c>
      <c r="AV1916" s="6" t="s">
        <v>81</v>
      </c>
      <c r="AW1916" s="6" t="s">
        <v>81</v>
      </c>
      <c r="AX1916" s="6" t="s">
        <v>21979</v>
      </c>
      <c r="AY1916" s="6" t="s">
        <v>23239</v>
      </c>
      <c r="AZ1916" s="6" t="s">
        <v>23731</v>
      </c>
      <c r="BA1916" s="6" t="s">
        <v>81</v>
      </c>
      <c r="BB1916" s="24" t="n">
        <v>0</v>
      </c>
      <c r="BC1916" s="26"/>
      <c r="BD1916" s="26"/>
      <c r="BE1916" s="26"/>
      <c r="BF1916" s="26"/>
      <c r="BG1916" s="26"/>
      <c r="BH1916" s="26"/>
      <c r="BI1916" s="26"/>
      <c r="BJ1916" s="26"/>
      <c r="BK1916" s="26"/>
      <c r="BL1916" s="26"/>
      <c r="BM1916" s="26"/>
      <c r="BN1916" s="26"/>
      <c r="BO1916" s="26"/>
      <c r="BP1916" s="16" t="n">
        <v>45735</v>
      </c>
      <c r="BQ1916" s="28" t="str">
        <f>HYPERLINK("https://organic.ams.usda.gov/Integrity/Certificate.aspx?cid=51&amp;nopid=8240023559")</f>
        <v>https://organic.ams.usda.gov/Integrity/Certificate.aspx?cid=51&amp;nopid=8240023559</v>
      </c>
    </row>
    <row r="1917">
      <c r="A1917" t="s">
        <v>3</v>
      </c>
      <c r="B1917" s="6" t="s">
        <v>8</v>
      </c>
      <c r="C1917" s="6" t="s">
        <v>55</v>
      </c>
      <c r="D1917" s="6" t="s">
        <v>101</v>
      </c>
      <c r="E1917" s="10" t="s">
        <v>2058</v>
      </c>
      <c r="F1917" s="6" t="s">
        <v>4772</v>
      </c>
      <c r="G1917" s="6" t="s">
        <v>81</v>
      </c>
      <c r="H1917" s="6" t="s">
        <v>7645</v>
      </c>
      <c r="I1917" s="6" t="s">
        <v>8452</v>
      </c>
      <c r="J1917" s="6" t="s">
        <v>10502</v>
      </c>
      <c r="K1917" s="6" t="s">
        <v>10886</v>
      </c>
      <c r="L1917" s="16" t="n">
        <v>42507</v>
      </c>
      <c r="M1917" s="16" t="n">
        <v>45748</v>
      </c>
      <c r="N1917" s="6" t="s">
        <v>81</v>
      </c>
      <c r="O1917" s="21" t="s">
        <v>81</v>
      </c>
      <c r="P1917" s="6" t="s">
        <v>81</v>
      </c>
      <c r="Q1917" s="6" t="s">
        <v>81</v>
      </c>
      <c r="R1917" s="6" t="s">
        <v>81</v>
      </c>
      <c r="S1917" s="6" t="s">
        <v>81</v>
      </c>
      <c r="T1917" s="21" t="s">
        <v>81</v>
      </c>
      <c r="U1917" s="6" t="s">
        <v>81</v>
      </c>
      <c r="V1917" s="6" t="s">
        <v>81</v>
      </c>
      <c r="W1917" s="6" t="s">
        <v>81</v>
      </c>
      <c r="X1917" s="6" t="s">
        <v>81</v>
      </c>
      <c r="Y1917" s="21" t="s">
        <v>81</v>
      </c>
      <c r="Z1917" s="6" t="s">
        <v>81</v>
      </c>
      <c r="AA1917" s="6" t="s">
        <v>81</v>
      </c>
      <c r="AB1917" s="6" t="s">
        <v>81</v>
      </c>
      <c r="AC1917" s="6" t="s">
        <v>10886</v>
      </c>
      <c r="AD1917" s="16" t="n">
        <v>42507</v>
      </c>
      <c r="AE1917" s="6" t="s">
        <v>14339</v>
      </c>
      <c r="AF1917" s="6" t="s">
        <v>81</v>
      </c>
      <c r="AG1917" s="6" t="s">
        <v>7645</v>
      </c>
      <c r="AH1917" s="6" t="s">
        <v>16468</v>
      </c>
      <c r="AI1917" s="6" t="s">
        <v>81</v>
      </c>
      <c r="AJ1917" s="6" t="s">
        <v>17751</v>
      </c>
      <c r="AK1917" s="6" t="s">
        <v>18380</v>
      </c>
      <c r="AL1917" s="6" t="s">
        <v>18444</v>
      </c>
      <c r="AM1917" s="6" t="s">
        <v>18920</v>
      </c>
      <c r="AN1917" s="6" t="s">
        <v>19665</v>
      </c>
      <c r="AO1917" s="6" t="s">
        <v>19755</v>
      </c>
      <c r="AP1917" s="6" t="s">
        <v>20353</v>
      </c>
      <c r="AQ1917" s="6" t="s">
        <v>81</v>
      </c>
      <c r="AR1917" s="6" t="s">
        <v>17751</v>
      </c>
      <c r="AS1917" s="6" t="s">
        <v>18380</v>
      </c>
      <c r="AT1917" s="6" t="s">
        <v>18444</v>
      </c>
      <c r="AU1917" s="6" t="s">
        <v>18920</v>
      </c>
      <c r="AV1917" s="6" t="s">
        <v>81</v>
      </c>
      <c r="AW1917" s="6" t="s">
        <v>81</v>
      </c>
      <c r="AX1917" s="6" t="s">
        <v>21980</v>
      </c>
      <c r="AY1917" s="6" t="s">
        <v>23240</v>
      </c>
      <c r="AZ1917" s="6" t="s">
        <v>23732</v>
      </c>
      <c r="BA1917" s="6" t="s">
        <v>81</v>
      </c>
      <c r="BB1917" s="24" t="n">
        <v>0</v>
      </c>
      <c r="BC1917" s="26"/>
      <c r="BD1917" s="26"/>
      <c r="BE1917" s="26"/>
      <c r="BF1917" s="26"/>
      <c r="BG1917" s="26"/>
      <c r="BH1917" s="26"/>
      <c r="BI1917" s="26"/>
      <c r="BJ1917" s="26"/>
      <c r="BK1917" s="26"/>
      <c r="BL1917" s="26"/>
      <c r="BM1917" s="26"/>
      <c r="BN1917" s="26"/>
      <c r="BO1917" s="26"/>
      <c r="BP1917" s="16" t="n">
        <v>45588</v>
      </c>
      <c r="BQ1917" s="28" t="str">
        <f>HYPERLINK("https://organic.ams.usda.gov/Integrity/Certificate.aspx?cid=45&amp;nopid=9950009366")</f>
        <v>https://organic.ams.usda.gov/Integrity/Certificate.aspx?cid=45&amp;nopid=9950009366</v>
      </c>
    </row>
    <row r="1918">
      <c r="A1918" t="s">
        <v>3</v>
      </c>
      <c r="B1918" s="6" t="s">
        <v>10</v>
      </c>
      <c r="C1918" s="6" t="s">
        <v>57</v>
      </c>
      <c r="D1918" s="6" t="s">
        <v>103</v>
      </c>
      <c r="E1918" s="10" t="s">
        <v>2059</v>
      </c>
      <c r="F1918" s="6" t="s">
        <v>4773</v>
      </c>
      <c r="G1918" s="6" t="s">
        <v>81</v>
      </c>
      <c r="H1918" s="6" t="s">
        <v>7646</v>
      </c>
      <c r="I1918" s="6" t="s">
        <v>9346</v>
      </c>
      <c r="J1918" s="6" t="s">
        <v>9665</v>
      </c>
      <c r="K1918" s="6" t="s">
        <v>10886</v>
      </c>
      <c r="L1918" s="16" t="n">
        <v>40606</v>
      </c>
      <c r="M1918" s="16" t="n">
        <v>45748</v>
      </c>
      <c r="N1918" s="6" t="s">
        <v>10886</v>
      </c>
      <c r="O1918" s="16" t="n">
        <v>40606</v>
      </c>
      <c r="P1918" s="6" t="s">
        <v>12014</v>
      </c>
      <c r="Q1918" s="6" t="s">
        <v>81</v>
      </c>
      <c r="R1918" s="6" t="s">
        <v>12976</v>
      </c>
      <c r="S1918" s="6" t="s">
        <v>10886</v>
      </c>
      <c r="T1918" s="16" t="n">
        <v>40606</v>
      </c>
      <c r="U1918" s="6" t="s">
        <v>13163</v>
      </c>
      <c r="V1918" s="6" t="s">
        <v>81</v>
      </c>
      <c r="W1918" s="6" t="s">
        <v>81</v>
      </c>
      <c r="X1918" s="6" t="s">
        <v>81</v>
      </c>
      <c r="Y1918" s="21" t="s">
        <v>81</v>
      </c>
      <c r="Z1918" s="6" t="s">
        <v>81</v>
      </c>
      <c r="AA1918" s="6" t="s">
        <v>81</v>
      </c>
      <c r="AB1918" s="6" t="s">
        <v>81</v>
      </c>
      <c r="AC1918" s="6" t="s">
        <v>81</v>
      </c>
      <c r="AD1918" s="21" t="s">
        <v>81</v>
      </c>
      <c r="AE1918" s="6" t="s">
        <v>81</v>
      </c>
      <c r="AF1918" s="6" t="s">
        <v>81</v>
      </c>
      <c r="AG1918" s="6" t="s">
        <v>81</v>
      </c>
      <c r="AH1918" s="6" t="s">
        <v>16469</v>
      </c>
      <c r="AI1918" s="6" t="s">
        <v>81</v>
      </c>
      <c r="AJ1918" s="6" t="s">
        <v>18070</v>
      </c>
      <c r="AK1918" s="6" t="s">
        <v>18391</v>
      </c>
      <c r="AL1918" s="6" t="s">
        <v>18444</v>
      </c>
      <c r="AM1918" s="6" t="s">
        <v>19263</v>
      </c>
      <c r="AN1918" s="6" t="s">
        <v>19634</v>
      </c>
      <c r="AO1918" s="6" t="s">
        <v>20032</v>
      </c>
      <c r="AP1918" s="6" t="s">
        <v>16469</v>
      </c>
      <c r="AQ1918" s="6" t="s">
        <v>81</v>
      </c>
      <c r="AR1918" s="6" t="s">
        <v>18070</v>
      </c>
      <c r="AS1918" s="6" t="s">
        <v>18391</v>
      </c>
      <c r="AT1918" s="6" t="s">
        <v>18444</v>
      </c>
      <c r="AU1918" s="6" t="s">
        <v>19263</v>
      </c>
      <c r="AV1918" s="6" t="s">
        <v>81</v>
      </c>
      <c r="AW1918" s="6" t="s">
        <v>81</v>
      </c>
      <c r="AX1918" s="6" t="s">
        <v>21981</v>
      </c>
      <c r="AY1918" s="6" t="s">
        <v>81</v>
      </c>
      <c r="AZ1918" s="6" t="s">
        <v>81</v>
      </c>
      <c r="BA1918" s="6" t="s">
        <v>81</v>
      </c>
      <c r="BB1918" s="24" t="n">
        <v>160</v>
      </c>
      <c r="BC1918" s="26"/>
      <c r="BD1918" s="26"/>
      <c r="BE1918" s="26"/>
      <c r="BF1918" s="26"/>
      <c r="BG1918" s="26"/>
      <c r="BH1918" s="26"/>
      <c r="BI1918" s="26"/>
      <c r="BJ1918" s="26"/>
      <c r="BK1918" s="26"/>
      <c r="BL1918" s="26"/>
      <c r="BM1918" s="26"/>
      <c r="BN1918" s="26"/>
      <c r="BO1918" s="26"/>
      <c r="BP1918" s="16" t="n">
        <v>45730</v>
      </c>
      <c r="BQ1918" s="28" t="str">
        <f>HYPERLINK("https://organic.ams.usda.gov/Integrity/Certificate.aspx?cid=90&amp;nopid=7170020098")</f>
        <v>https://organic.ams.usda.gov/Integrity/Certificate.aspx?cid=90&amp;nopid=7170020098</v>
      </c>
    </row>
    <row r="1919">
      <c r="A1919" t="s">
        <v>3</v>
      </c>
      <c r="B1919" s="6" t="s">
        <v>10</v>
      </c>
      <c r="C1919" s="6" t="s">
        <v>57</v>
      </c>
      <c r="D1919" s="6" t="s">
        <v>103</v>
      </c>
      <c r="E1919" s="10" t="s">
        <v>2060</v>
      </c>
      <c r="F1919" s="6" t="s">
        <v>4774</v>
      </c>
      <c r="G1919" s="6" t="s">
        <v>81</v>
      </c>
      <c r="H1919" s="6" t="s">
        <v>7647</v>
      </c>
      <c r="I1919" s="6" t="s">
        <v>9347</v>
      </c>
      <c r="J1919" s="6" t="s">
        <v>9666</v>
      </c>
      <c r="K1919" s="6" t="s">
        <v>10886</v>
      </c>
      <c r="L1919" s="16" t="n">
        <v>41544</v>
      </c>
      <c r="M1919" s="16" t="n">
        <v>45748</v>
      </c>
      <c r="N1919" s="6" t="s">
        <v>10886</v>
      </c>
      <c r="O1919" s="16" t="n">
        <v>41544</v>
      </c>
      <c r="P1919" s="6" t="s">
        <v>11635</v>
      </c>
      <c r="Q1919" s="6" t="s">
        <v>81</v>
      </c>
      <c r="R1919" s="6" t="s">
        <v>12977</v>
      </c>
      <c r="S1919" s="6" t="s">
        <v>10886</v>
      </c>
      <c r="T1919" s="16" t="n">
        <v>41544</v>
      </c>
      <c r="U1919" s="6" t="s">
        <v>13163</v>
      </c>
      <c r="V1919" s="6" t="s">
        <v>81</v>
      </c>
      <c r="W1919" s="6" t="s">
        <v>81</v>
      </c>
      <c r="X1919" s="6" t="s">
        <v>81</v>
      </c>
      <c r="Y1919" s="21" t="s">
        <v>81</v>
      </c>
      <c r="Z1919" s="6" t="s">
        <v>81</v>
      </c>
      <c r="AA1919" s="6" t="s">
        <v>81</v>
      </c>
      <c r="AB1919" s="6" t="s">
        <v>81</v>
      </c>
      <c r="AC1919" s="6" t="s">
        <v>81</v>
      </c>
      <c r="AD1919" s="21" t="s">
        <v>81</v>
      </c>
      <c r="AE1919" s="6" t="s">
        <v>81</v>
      </c>
      <c r="AF1919" s="6" t="s">
        <v>81</v>
      </c>
      <c r="AG1919" s="6" t="s">
        <v>81</v>
      </c>
      <c r="AH1919" s="6" t="s">
        <v>16470</v>
      </c>
      <c r="AI1919" s="6" t="s">
        <v>81</v>
      </c>
      <c r="AJ1919" s="6" t="s">
        <v>17380</v>
      </c>
      <c r="AK1919" s="6" t="s">
        <v>18379</v>
      </c>
      <c r="AL1919" s="6" t="s">
        <v>18444</v>
      </c>
      <c r="AM1919" s="6" t="s">
        <v>18533</v>
      </c>
      <c r="AN1919" s="6" t="s">
        <v>19637</v>
      </c>
      <c r="AO1919" s="6" t="s">
        <v>19723</v>
      </c>
      <c r="AP1919" s="6" t="s">
        <v>16470</v>
      </c>
      <c r="AQ1919" s="6" t="s">
        <v>81</v>
      </c>
      <c r="AR1919" s="6" t="s">
        <v>17380</v>
      </c>
      <c r="AS1919" s="6" t="s">
        <v>18379</v>
      </c>
      <c r="AT1919" s="6" t="s">
        <v>18444</v>
      </c>
      <c r="AU1919" s="6" t="s">
        <v>18533</v>
      </c>
      <c r="AV1919" s="6" t="s">
        <v>81</v>
      </c>
      <c r="AW1919" s="6" t="s">
        <v>81</v>
      </c>
      <c r="AX1919" s="6" t="s">
        <v>21982</v>
      </c>
      <c r="AY1919" s="6" t="s">
        <v>81</v>
      </c>
      <c r="AZ1919" s="6" t="s">
        <v>81</v>
      </c>
      <c r="BA1919" s="6" t="s">
        <v>81</v>
      </c>
      <c r="BB1919" s="24" t="n">
        <v>86</v>
      </c>
      <c r="BC1919" s="26"/>
      <c r="BD1919" s="26"/>
      <c r="BE1919" s="26"/>
      <c r="BF1919" s="26"/>
      <c r="BG1919" s="26"/>
      <c r="BH1919" s="26"/>
      <c r="BI1919" s="26"/>
      <c r="BJ1919" s="26"/>
      <c r="BK1919" s="26"/>
      <c r="BL1919" s="26"/>
      <c r="BM1919" s="26"/>
      <c r="BN1919" s="26"/>
      <c r="BO1919" s="26"/>
      <c r="BP1919" s="16" t="n">
        <v>45730</v>
      </c>
      <c r="BQ1919" s="28" t="str">
        <f>HYPERLINK("https://organic.ams.usda.gov/Integrity/Certificate.aspx?cid=90&amp;nopid=7170220561")</f>
        <v>https://organic.ams.usda.gov/Integrity/Certificate.aspx?cid=90&amp;nopid=7170220561</v>
      </c>
    </row>
    <row r="1920">
      <c r="A1920" t="s">
        <v>3</v>
      </c>
      <c r="B1920" s="6" t="s">
        <v>10</v>
      </c>
      <c r="C1920" s="6" t="s">
        <v>57</v>
      </c>
      <c r="D1920" s="6" t="s">
        <v>103</v>
      </c>
      <c r="E1920" s="10" t="s">
        <v>2061</v>
      </c>
      <c r="F1920" s="6" t="s">
        <v>4775</v>
      </c>
      <c r="G1920" s="6" t="s">
        <v>81</v>
      </c>
      <c r="H1920" s="6" t="s">
        <v>7648</v>
      </c>
      <c r="I1920" s="6" t="s">
        <v>9348</v>
      </c>
      <c r="J1920" s="6" t="s">
        <v>9665</v>
      </c>
      <c r="K1920" s="6" t="s">
        <v>10886</v>
      </c>
      <c r="L1920" s="16" t="n">
        <v>45468</v>
      </c>
      <c r="M1920" s="16" t="n">
        <v>45748</v>
      </c>
      <c r="N1920" s="6" t="s">
        <v>10886</v>
      </c>
      <c r="O1920" s="16" t="n">
        <v>45468</v>
      </c>
      <c r="P1920" s="6" t="s">
        <v>12015</v>
      </c>
      <c r="Q1920" s="6" t="s">
        <v>81</v>
      </c>
      <c r="R1920" s="6" t="s">
        <v>12978</v>
      </c>
      <c r="S1920" s="6" t="s">
        <v>10886</v>
      </c>
      <c r="T1920" s="16" t="n">
        <v>45468</v>
      </c>
      <c r="U1920" s="6" t="s">
        <v>13163</v>
      </c>
      <c r="V1920" s="6" t="s">
        <v>81</v>
      </c>
      <c r="W1920" s="6" t="s">
        <v>81</v>
      </c>
      <c r="X1920" s="6" t="s">
        <v>81</v>
      </c>
      <c r="Y1920" s="21" t="s">
        <v>81</v>
      </c>
      <c r="Z1920" s="6" t="s">
        <v>81</v>
      </c>
      <c r="AA1920" s="6" t="s">
        <v>81</v>
      </c>
      <c r="AB1920" s="6" t="s">
        <v>81</v>
      </c>
      <c r="AC1920" s="6" t="s">
        <v>81</v>
      </c>
      <c r="AD1920" s="21" t="s">
        <v>81</v>
      </c>
      <c r="AE1920" s="6" t="s">
        <v>81</v>
      </c>
      <c r="AF1920" s="6" t="s">
        <v>81</v>
      </c>
      <c r="AG1920" s="6" t="s">
        <v>81</v>
      </c>
      <c r="AH1920" s="6" t="s">
        <v>16471</v>
      </c>
      <c r="AI1920" s="6" t="s">
        <v>81</v>
      </c>
      <c r="AJ1920" s="6" t="s">
        <v>18150</v>
      </c>
      <c r="AK1920" s="6" t="s">
        <v>18391</v>
      </c>
      <c r="AL1920" s="6" t="s">
        <v>18444</v>
      </c>
      <c r="AM1920" s="6" t="s">
        <v>19352</v>
      </c>
      <c r="AN1920" s="6" t="s">
        <v>81</v>
      </c>
      <c r="AO1920" s="6" t="s">
        <v>81</v>
      </c>
      <c r="AP1920" s="6" t="s">
        <v>16471</v>
      </c>
      <c r="AQ1920" s="6" t="s">
        <v>81</v>
      </c>
      <c r="AR1920" s="6" t="s">
        <v>18150</v>
      </c>
      <c r="AS1920" s="6" t="s">
        <v>18391</v>
      </c>
      <c r="AT1920" s="6" t="s">
        <v>18444</v>
      </c>
      <c r="AU1920" s="6" t="s">
        <v>19352</v>
      </c>
      <c r="AV1920" s="6" t="s">
        <v>81</v>
      </c>
      <c r="AW1920" s="6" t="s">
        <v>81</v>
      </c>
      <c r="AX1920" s="6" t="s">
        <v>21983</v>
      </c>
      <c r="AY1920" s="6" t="s">
        <v>81</v>
      </c>
      <c r="AZ1920" s="6" t="s">
        <v>81</v>
      </c>
      <c r="BA1920" s="6" t="s">
        <v>81</v>
      </c>
      <c r="BB1920" s="24" t="n">
        <v>108</v>
      </c>
      <c r="BC1920" s="26"/>
      <c r="BD1920" s="26"/>
      <c r="BE1920" s="26"/>
      <c r="BF1920" s="26"/>
      <c r="BG1920" s="26"/>
      <c r="BH1920" s="26"/>
      <c r="BI1920" s="26"/>
      <c r="BJ1920" s="26"/>
      <c r="BK1920" s="26"/>
      <c r="BL1920" s="26"/>
      <c r="BM1920" s="26"/>
      <c r="BN1920" s="26"/>
      <c r="BO1920" s="26"/>
      <c r="BP1920" s="16" t="n">
        <v>45730</v>
      </c>
      <c r="BQ1920" s="28" t="str">
        <f>HYPERLINK("https://organic.ams.usda.gov/Integrity/Certificate.aspx?cid=90&amp;nopid=7170240820")</f>
        <v>https://organic.ams.usda.gov/Integrity/Certificate.aspx?cid=90&amp;nopid=7170240820</v>
      </c>
    </row>
    <row r="1921">
      <c r="A1921" t="s">
        <v>3</v>
      </c>
      <c r="B1921" s="6" t="s">
        <v>8</v>
      </c>
      <c r="C1921" s="6" t="s">
        <v>55</v>
      </c>
      <c r="D1921" s="6" t="s">
        <v>101</v>
      </c>
      <c r="E1921" s="10" t="s">
        <v>2062</v>
      </c>
      <c r="F1921" s="6" t="s">
        <v>4776</v>
      </c>
      <c r="G1921" s="6" t="s">
        <v>81</v>
      </c>
      <c r="H1921" s="6" t="s">
        <v>7649</v>
      </c>
      <c r="I1921" s="6" t="s">
        <v>9349</v>
      </c>
      <c r="J1921" s="6" t="s">
        <v>9665</v>
      </c>
      <c r="K1921" s="6" t="s">
        <v>10886</v>
      </c>
      <c r="L1921" s="16" t="n">
        <v>42489</v>
      </c>
      <c r="M1921" s="16" t="n">
        <v>45748</v>
      </c>
      <c r="N1921" s="6" t="s">
        <v>10886</v>
      </c>
      <c r="O1921" s="16" t="n">
        <v>42489</v>
      </c>
      <c r="P1921" s="6" t="s">
        <v>12016</v>
      </c>
      <c r="Q1921" s="6" t="s">
        <v>81</v>
      </c>
      <c r="R1921" s="6" t="s">
        <v>7649</v>
      </c>
      <c r="S1921" s="6" t="s">
        <v>10886</v>
      </c>
      <c r="T1921" s="16" t="n">
        <v>42489</v>
      </c>
      <c r="U1921" s="6" t="s">
        <v>13750</v>
      </c>
      <c r="V1921" s="6" t="s">
        <v>81</v>
      </c>
      <c r="W1921" s="6" t="s">
        <v>7649</v>
      </c>
      <c r="X1921" s="6" t="s">
        <v>81</v>
      </c>
      <c r="Y1921" s="21" t="s">
        <v>81</v>
      </c>
      <c r="Z1921" s="6" t="s">
        <v>81</v>
      </c>
      <c r="AA1921" s="6" t="s">
        <v>81</v>
      </c>
      <c r="AB1921" s="6" t="s">
        <v>81</v>
      </c>
      <c r="AC1921" s="6" t="s">
        <v>81</v>
      </c>
      <c r="AD1921" s="21" t="s">
        <v>81</v>
      </c>
      <c r="AE1921" s="6" t="s">
        <v>81</v>
      </c>
      <c r="AF1921" s="6" t="s">
        <v>81</v>
      </c>
      <c r="AG1921" s="6" t="s">
        <v>81</v>
      </c>
      <c r="AH1921" s="6" t="s">
        <v>16472</v>
      </c>
      <c r="AI1921" s="6" t="s">
        <v>81</v>
      </c>
      <c r="AJ1921" s="6" t="s">
        <v>18151</v>
      </c>
      <c r="AK1921" s="6" t="s">
        <v>18385</v>
      </c>
      <c r="AL1921" s="6" t="s">
        <v>18444</v>
      </c>
      <c r="AM1921" s="6" t="s">
        <v>19353</v>
      </c>
      <c r="AN1921" s="6" t="s">
        <v>19674</v>
      </c>
      <c r="AO1921" s="6" t="s">
        <v>19789</v>
      </c>
      <c r="AP1921" s="6" t="s">
        <v>81</v>
      </c>
      <c r="AQ1921" s="6" t="s">
        <v>81</v>
      </c>
      <c r="AR1921" s="6" t="s">
        <v>81</v>
      </c>
      <c r="AS1921" s="6" t="s">
        <v>81</v>
      </c>
      <c r="AT1921" s="6" t="s">
        <v>81</v>
      </c>
      <c r="AU1921" s="6" t="s">
        <v>81</v>
      </c>
      <c r="AV1921" s="6" t="s">
        <v>81</v>
      </c>
      <c r="AW1921" s="6" t="s">
        <v>81</v>
      </c>
      <c r="AX1921" s="6" t="s">
        <v>81</v>
      </c>
      <c r="AY1921" s="6" t="s">
        <v>81</v>
      </c>
      <c r="AZ1921" s="6" t="s">
        <v>81</v>
      </c>
      <c r="BA1921" s="6" t="s">
        <v>23819</v>
      </c>
      <c r="BB1921" s="24" t="n">
        <v>105</v>
      </c>
      <c r="BC1921" s="26"/>
      <c r="BD1921" s="26"/>
      <c r="BE1921" s="26"/>
      <c r="BF1921" s="26" t="s">
        <v>23900</v>
      </c>
      <c r="BG1921" s="26"/>
      <c r="BH1921" s="26"/>
      <c r="BI1921" s="26"/>
      <c r="BJ1921" s="26"/>
      <c r="BK1921" s="26"/>
      <c r="BL1921" s="26"/>
      <c r="BM1921" s="26"/>
      <c r="BN1921" s="26"/>
      <c r="BO1921" s="26"/>
      <c r="BP1921" s="16" t="n">
        <v>45667</v>
      </c>
      <c r="BQ1921" s="28" t="str">
        <f>HYPERLINK("https://organic.ams.usda.gov/Integrity/Certificate.aspx?cid=45&amp;nopid=9950008490")</f>
        <v>https://organic.ams.usda.gov/Integrity/Certificate.aspx?cid=45&amp;nopid=9950008490</v>
      </c>
    </row>
    <row r="1922">
      <c r="A1922" t="s">
        <v>3</v>
      </c>
      <c r="B1922" s="6" t="s">
        <v>9</v>
      </c>
      <c r="C1922" s="6" t="s">
        <v>56</v>
      </c>
      <c r="D1922" s="6" t="s">
        <v>102</v>
      </c>
      <c r="E1922" s="10" t="s">
        <v>2063</v>
      </c>
      <c r="F1922" s="6" t="s">
        <v>4777</v>
      </c>
      <c r="G1922" s="6" t="s">
        <v>81</v>
      </c>
      <c r="H1922" s="6" t="s">
        <v>7650</v>
      </c>
      <c r="I1922" s="6" t="s">
        <v>81</v>
      </c>
      <c r="J1922" s="6" t="s">
        <v>81</v>
      </c>
      <c r="K1922" s="6" t="s">
        <v>10886</v>
      </c>
      <c r="L1922" s="16" t="n">
        <v>45399</v>
      </c>
      <c r="M1922" s="16" t="n">
        <v>45748</v>
      </c>
      <c r="N1922" s="6" t="s">
        <v>81</v>
      </c>
      <c r="O1922" s="21" t="s">
        <v>81</v>
      </c>
      <c r="P1922" s="6" t="s">
        <v>81</v>
      </c>
      <c r="Q1922" s="6" t="s">
        <v>81</v>
      </c>
      <c r="R1922" s="6" t="s">
        <v>81</v>
      </c>
      <c r="S1922" s="6" t="s">
        <v>81</v>
      </c>
      <c r="T1922" s="21" t="s">
        <v>81</v>
      </c>
      <c r="U1922" s="6" t="s">
        <v>81</v>
      </c>
      <c r="V1922" s="6" t="s">
        <v>81</v>
      </c>
      <c r="W1922" s="6" t="s">
        <v>81</v>
      </c>
      <c r="X1922" s="6" t="s">
        <v>81</v>
      </c>
      <c r="Y1922" s="21" t="s">
        <v>81</v>
      </c>
      <c r="Z1922" s="6" t="s">
        <v>81</v>
      </c>
      <c r="AA1922" s="6" t="s">
        <v>81</v>
      </c>
      <c r="AB1922" s="6" t="s">
        <v>81</v>
      </c>
      <c r="AC1922" s="6" t="s">
        <v>10886</v>
      </c>
      <c r="AD1922" s="16" t="n">
        <v>45399</v>
      </c>
      <c r="AE1922" s="6" t="s">
        <v>14340</v>
      </c>
      <c r="AF1922" s="6" t="s">
        <v>81</v>
      </c>
      <c r="AG1922" s="6" t="s">
        <v>14579</v>
      </c>
      <c r="AH1922" s="6" t="s">
        <v>16473</v>
      </c>
      <c r="AI1922" s="6" t="s">
        <v>81</v>
      </c>
      <c r="AJ1922" s="6" t="s">
        <v>18152</v>
      </c>
      <c r="AK1922" s="6" t="s">
        <v>18403</v>
      </c>
      <c r="AL1922" s="6" t="s">
        <v>18444</v>
      </c>
      <c r="AM1922" s="6" t="s">
        <v>19354</v>
      </c>
      <c r="AN1922" s="6" t="s">
        <v>81</v>
      </c>
      <c r="AO1922" s="6" t="s">
        <v>81</v>
      </c>
      <c r="AP1922" s="6" t="s">
        <v>20354</v>
      </c>
      <c r="AQ1922" s="6" t="s">
        <v>81</v>
      </c>
      <c r="AR1922" s="6" t="s">
        <v>18152</v>
      </c>
      <c r="AS1922" s="6" t="s">
        <v>18403</v>
      </c>
      <c r="AT1922" s="6" t="s">
        <v>18444</v>
      </c>
      <c r="AU1922" s="6" t="s">
        <v>19354</v>
      </c>
      <c r="AV1922" s="6" t="s">
        <v>81</v>
      </c>
      <c r="AW1922" s="6" t="s">
        <v>81</v>
      </c>
      <c r="AX1922" s="6" t="s">
        <v>21984</v>
      </c>
      <c r="AY1922" s="6" t="s">
        <v>23241</v>
      </c>
      <c r="AZ1922" s="6" t="s">
        <v>23733</v>
      </c>
      <c r="BA1922" s="6" t="s">
        <v>23837</v>
      </c>
      <c r="BB1922" s="6" t="s">
        <v>81</v>
      </c>
      <c r="BC1922" s="26"/>
      <c r="BD1922" s="26"/>
      <c r="BE1922" s="26"/>
      <c r="BF1922" s="26"/>
      <c r="BG1922" s="26"/>
      <c r="BH1922" s="26"/>
      <c r="BI1922" s="26"/>
      <c r="BJ1922" s="26"/>
      <c r="BK1922" s="26"/>
      <c r="BL1922" s="26"/>
      <c r="BM1922" s="26"/>
      <c r="BN1922" s="26"/>
      <c r="BO1922" s="26"/>
      <c r="BP1922" s="16" t="n">
        <v>45738</v>
      </c>
      <c r="BQ1922" s="28" t="str">
        <f>HYPERLINK("https://organic.ams.usda.gov/Integrity/Certificate.aspx?cid=52&amp;nopid=8432402184")</f>
        <v>https://organic.ams.usda.gov/Integrity/Certificate.aspx?cid=52&amp;nopid=8432402184</v>
      </c>
    </row>
    <row r="1923">
      <c r="A1923" t="s">
        <v>3</v>
      </c>
      <c r="B1923" s="6" t="s">
        <v>7</v>
      </c>
      <c r="C1923" s="6" t="s">
        <v>54</v>
      </c>
      <c r="D1923" s="6" t="s">
        <v>100</v>
      </c>
      <c r="E1923" s="10" t="s">
        <v>2064</v>
      </c>
      <c r="F1923" s="6" t="s">
        <v>4778</v>
      </c>
      <c r="G1923" s="6" t="s">
        <v>81</v>
      </c>
      <c r="H1923" s="6" t="s">
        <v>7651</v>
      </c>
      <c r="I1923" s="6" t="s">
        <v>8385</v>
      </c>
      <c r="J1923" s="6" t="s">
        <v>10503</v>
      </c>
      <c r="K1923" s="6" t="s">
        <v>10886</v>
      </c>
      <c r="L1923" s="16" t="n">
        <v>42527</v>
      </c>
      <c r="M1923" s="16" t="n">
        <v>45716</v>
      </c>
      <c r="N1923" s="6" t="s">
        <v>10886</v>
      </c>
      <c r="O1923" s="16" t="n">
        <v>42527</v>
      </c>
      <c r="P1923" s="6" t="s">
        <v>12017</v>
      </c>
      <c r="Q1923" s="6" t="s">
        <v>81</v>
      </c>
      <c r="R1923" s="6" t="s">
        <v>81</v>
      </c>
      <c r="S1923" s="6" t="s">
        <v>10886</v>
      </c>
      <c r="T1923" s="16" t="n">
        <v>42736</v>
      </c>
      <c r="U1923" s="6" t="s">
        <v>13284</v>
      </c>
      <c r="V1923" s="6" t="s">
        <v>81</v>
      </c>
      <c r="W1923" s="6" t="s">
        <v>81</v>
      </c>
      <c r="X1923" s="6" t="s">
        <v>81</v>
      </c>
      <c r="Y1923" s="21" t="s">
        <v>81</v>
      </c>
      <c r="Z1923" s="6" t="s">
        <v>81</v>
      </c>
      <c r="AA1923" s="6" t="s">
        <v>81</v>
      </c>
      <c r="AB1923" s="6" t="s">
        <v>81</v>
      </c>
      <c r="AC1923" s="6" t="s">
        <v>81</v>
      </c>
      <c r="AD1923" s="21" t="s">
        <v>81</v>
      </c>
      <c r="AE1923" s="6" t="s">
        <v>81</v>
      </c>
      <c r="AF1923" s="6" t="s">
        <v>81</v>
      </c>
      <c r="AG1923" s="6" t="s">
        <v>81</v>
      </c>
      <c r="AH1923" s="6" t="s">
        <v>16474</v>
      </c>
      <c r="AI1923" s="6" t="s">
        <v>81</v>
      </c>
      <c r="AJ1923" s="6" t="s">
        <v>17966</v>
      </c>
      <c r="AK1923" s="6" t="s">
        <v>17712</v>
      </c>
      <c r="AL1923" s="6" t="s">
        <v>18444</v>
      </c>
      <c r="AM1923" s="6" t="s">
        <v>19153</v>
      </c>
      <c r="AN1923" s="6" t="s">
        <v>19642</v>
      </c>
      <c r="AO1923" s="6" t="s">
        <v>19728</v>
      </c>
      <c r="AP1923" s="6" t="s">
        <v>16474</v>
      </c>
      <c r="AQ1923" s="6" t="s">
        <v>81</v>
      </c>
      <c r="AR1923" s="6" t="s">
        <v>17966</v>
      </c>
      <c r="AS1923" s="6" t="s">
        <v>17712</v>
      </c>
      <c r="AT1923" s="6" t="s">
        <v>18444</v>
      </c>
      <c r="AU1923" s="6" t="s">
        <v>19153</v>
      </c>
      <c r="AV1923" s="6" t="s">
        <v>81</v>
      </c>
      <c r="AW1923" s="6" t="s">
        <v>81</v>
      </c>
      <c r="AX1923" s="6" t="s">
        <v>21985</v>
      </c>
      <c r="AY1923" s="6" t="s">
        <v>23242</v>
      </c>
      <c r="AZ1923" s="6" t="s">
        <v>23242</v>
      </c>
      <c r="BA1923" s="6" t="s">
        <v>81</v>
      </c>
      <c r="BB1923" s="24" t="n">
        <v>266</v>
      </c>
      <c r="BC1923" s="26"/>
      <c r="BD1923" s="26"/>
      <c r="BE1923" s="26"/>
      <c r="BF1923" s="26" t="s">
        <v>23900</v>
      </c>
      <c r="BG1923" s="26"/>
      <c r="BH1923" s="26"/>
      <c r="BI1923" s="26"/>
      <c r="BJ1923" s="26"/>
      <c r="BK1923" s="26"/>
      <c r="BL1923" s="26"/>
      <c r="BM1923" s="26"/>
      <c r="BN1923" s="26"/>
      <c r="BO1923" s="26"/>
      <c r="BP1923" s="16" t="n">
        <v>45595</v>
      </c>
      <c r="BQ1923" s="28" t="str">
        <f>HYPERLINK("https://organic.ams.usda.gov/Integrity/Certificate.aspx?cid=57&amp;nopid=3252016009")</f>
        <v>https://organic.ams.usda.gov/Integrity/Certificate.aspx?cid=57&amp;nopid=3252016009</v>
      </c>
    </row>
    <row r="1924">
      <c r="A1924" t="s">
        <v>3</v>
      </c>
      <c r="B1924" s="6" t="s">
        <v>19</v>
      </c>
      <c r="C1924" s="6" t="s">
        <v>66</v>
      </c>
      <c r="D1924" s="6" t="s">
        <v>112</v>
      </c>
      <c r="E1924" s="10" t="s">
        <v>2065</v>
      </c>
      <c r="F1924" s="6" t="s">
        <v>4779</v>
      </c>
      <c r="G1924" s="6" t="s">
        <v>81</v>
      </c>
      <c r="H1924" s="6" t="s">
        <v>7652</v>
      </c>
      <c r="I1924" s="6" t="s">
        <v>81</v>
      </c>
      <c r="J1924" s="6" t="s">
        <v>10504</v>
      </c>
      <c r="K1924" s="6" t="s">
        <v>10886</v>
      </c>
      <c r="L1924" s="16" t="n">
        <v>44291</v>
      </c>
      <c r="M1924" s="16" t="n">
        <v>46054</v>
      </c>
      <c r="N1924" s="6" t="s">
        <v>10886</v>
      </c>
      <c r="O1924" s="16" t="n">
        <v>44291</v>
      </c>
      <c r="P1924" s="6" t="s">
        <v>12018</v>
      </c>
      <c r="Q1924" s="6" t="s">
        <v>81</v>
      </c>
      <c r="R1924" s="6" t="s">
        <v>81</v>
      </c>
      <c r="S1924" s="6" t="s">
        <v>10886</v>
      </c>
      <c r="T1924" s="16" t="n">
        <v>44291</v>
      </c>
      <c r="U1924" s="6" t="s">
        <v>13751</v>
      </c>
      <c r="V1924" s="6" t="s">
        <v>81</v>
      </c>
      <c r="W1924" s="6" t="s">
        <v>81</v>
      </c>
      <c r="X1924" s="6" t="s">
        <v>81</v>
      </c>
      <c r="Y1924" s="21" t="s">
        <v>81</v>
      </c>
      <c r="Z1924" s="6" t="s">
        <v>81</v>
      </c>
      <c r="AA1924" s="6" t="s">
        <v>81</v>
      </c>
      <c r="AB1924" s="6" t="s">
        <v>81</v>
      </c>
      <c r="AC1924" s="6" t="s">
        <v>10886</v>
      </c>
      <c r="AD1924" s="16" t="n">
        <v>44291</v>
      </c>
      <c r="AE1924" s="6" t="s">
        <v>14066</v>
      </c>
      <c r="AF1924" s="6" t="s">
        <v>81</v>
      </c>
      <c r="AG1924" s="6" t="s">
        <v>81</v>
      </c>
      <c r="AH1924" s="6" t="s">
        <v>16475</v>
      </c>
      <c r="AI1924" s="6" t="s">
        <v>81</v>
      </c>
      <c r="AJ1924" s="6" t="s">
        <v>18153</v>
      </c>
      <c r="AK1924" s="6" t="s">
        <v>17712</v>
      </c>
      <c r="AL1924" s="6" t="s">
        <v>18444</v>
      </c>
      <c r="AM1924" s="6" t="s">
        <v>19355</v>
      </c>
      <c r="AN1924" s="6" t="s">
        <v>19653</v>
      </c>
      <c r="AO1924" s="6" t="s">
        <v>19744</v>
      </c>
      <c r="AP1924" s="6" t="s">
        <v>81</v>
      </c>
      <c r="AQ1924" s="6" t="s">
        <v>81</v>
      </c>
      <c r="AR1924" s="6" t="s">
        <v>81</v>
      </c>
      <c r="AS1924" s="6" t="s">
        <v>81</v>
      </c>
      <c r="AT1924" s="6" t="s">
        <v>81</v>
      </c>
      <c r="AU1924" s="6" t="s">
        <v>81</v>
      </c>
      <c r="AV1924" s="6" t="s">
        <v>81</v>
      </c>
      <c r="AW1924" s="6" t="s">
        <v>81</v>
      </c>
      <c r="AX1924" s="6" t="s">
        <v>21986</v>
      </c>
      <c r="AY1924" s="6" t="s">
        <v>23243</v>
      </c>
      <c r="AZ1924" s="6" t="s">
        <v>81</v>
      </c>
      <c r="BA1924" s="6" t="s">
        <v>81</v>
      </c>
      <c r="BB1924" s="24" t="n">
        <v>392</v>
      </c>
      <c r="BC1924" s="26"/>
      <c r="BD1924" s="26"/>
      <c r="BE1924" s="26"/>
      <c r="BF1924" s="26" t="s">
        <v>23900</v>
      </c>
      <c r="BG1924" s="26"/>
      <c r="BH1924" s="26"/>
      <c r="BI1924" s="26"/>
      <c r="BJ1924" s="26"/>
      <c r="BK1924" s="26"/>
      <c r="BL1924" s="26"/>
      <c r="BM1924" s="26"/>
      <c r="BN1924" s="26"/>
      <c r="BO1924" s="26"/>
      <c r="BP1924" s="16" t="n">
        <v>45691</v>
      </c>
      <c r="BQ1924" s="28" t="str">
        <f>HYPERLINK("https://organic.ams.usda.gov/Integrity/Certificate.aspx?cid=24&amp;nopid=7889029600")</f>
        <v>https://organic.ams.usda.gov/Integrity/Certificate.aspx?cid=24&amp;nopid=7889029600</v>
      </c>
    </row>
    <row r="1925">
      <c r="A1925" t="s">
        <v>3</v>
      </c>
      <c r="B1925" s="6" t="s">
        <v>20</v>
      </c>
      <c r="C1925" s="6" t="s">
        <v>67</v>
      </c>
      <c r="D1925" s="6" t="s">
        <v>113</v>
      </c>
      <c r="E1925" s="10" t="s">
        <v>2066</v>
      </c>
      <c r="F1925" s="6" t="s">
        <v>4780</v>
      </c>
      <c r="G1925" s="6" t="s">
        <v>81</v>
      </c>
      <c r="H1925" s="6" t="s">
        <v>7653</v>
      </c>
      <c r="I1925" s="6" t="s">
        <v>9350</v>
      </c>
      <c r="J1925" s="6" t="s">
        <v>10505</v>
      </c>
      <c r="K1925" s="6" t="s">
        <v>10886</v>
      </c>
      <c r="L1925" s="16" t="n">
        <v>38974</v>
      </c>
      <c r="M1925" s="16" t="n">
        <v>45961</v>
      </c>
      <c r="N1925" s="6" t="s">
        <v>81</v>
      </c>
      <c r="O1925" s="21" t="s">
        <v>81</v>
      </c>
      <c r="P1925" s="6" t="s">
        <v>81</v>
      </c>
      <c r="Q1925" s="6" t="s">
        <v>81</v>
      </c>
      <c r="R1925" s="6" t="s">
        <v>81</v>
      </c>
      <c r="S1925" s="6" t="s">
        <v>81</v>
      </c>
      <c r="T1925" s="21" t="s">
        <v>81</v>
      </c>
      <c r="U1925" s="6" t="s">
        <v>81</v>
      </c>
      <c r="V1925" s="6" t="s">
        <v>81</v>
      </c>
      <c r="W1925" s="6" t="s">
        <v>81</v>
      </c>
      <c r="X1925" s="6" t="s">
        <v>81</v>
      </c>
      <c r="Y1925" s="21" t="s">
        <v>81</v>
      </c>
      <c r="Z1925" s="6" t="s">
        <v>81</v>
      </c>
      <c r="AA1925" s="6" t="s">
        <v>81</v>
      </c>
      <c r="AB1925" s="6" t="s">
        <v>81</v>
      </c>
      <c r="AC1925" s="6" t="s">
        <v>10886</v>
      </c>
      <c r="AD1925" s="16" t="n">
        <v>38974</v>
      </c>
      <c r="AE1925" s="6" t="s">
        <v>14341</v>
      </c>
      <c r="AF1925" s="6" t="s">
        <v>81</v>
      </c>
      <c r="AG1925" s="6" t="s">
        <v>14580</v>
      </c>
      <c r="AH1925" s="6" t="s">
        <v>16476</v>
      </c>
      <c r="AI1925" s="6" t="s">
        <v>81</v>
      </c>
      <c r="AJ1925" s="6" t="s">
        <v>17817</v>
      </c>
      <c r="AK1925" s="6" t="s">
        <v>18428</v>
      </c>
      <c r="AL1925" s="6" t="s">
        <v>18444</v>
      </c>
      <c r="AM1925" s="6" t="s">
        <v>19356</v>
      </c>
      <c r="AN1925" s="6" t="s">
        <v>81</v>
      </c>
      <c r="AO1925" s="6" t="s">
        <v>81</v>
      </c>
      <c r="AP1925" s="6" t="s">
        <v>16476</v>
      </c>
      <c r="AQ1925" s="6" t="s">
        <v>81</v>
      </c>
      <c r="AR1925" s="6" t="s">
        <v>17817</v>
      </c>
      <c r="AS1925" s="6" t="s">
        <v>18428</v>
      </c>
      <c r="AT1925" s="6" t="s">
        <v>18444</v>
      </c>
      <c r="AU1925" s="6" t="s">
        <v>19356</v>
      </c>
      <c r="AV1925" s="6" t="s">
        <v>81</v>
      </c>
      <c r="AW1925" s="6" t="s">
        <v>81</v>
      </c>
      <c r="AX1925" s="6" t="s">
        <v>21987</v>
      </c>
      <c r="AY1925" s="6" t="s">
        <v>23244</v>
      </c>
      <c r="AZ1925" s="6" t="s">
        <v>81</v>
      </c>
      <c r="BA1925" s="6" t="s">
        <v>81</v>
      </c>
      <c r="BB1925" s="6" t="s">
        <v>81</v>
      </c>
      <c r="BC1925" s="26"/>
      <c r="BD1925" s="26"/>
      <c r="BE1925" s="26"/>
      <c r="BF1925" s="26"/>
      <c r="BG1925" s="26"/>
      <c r="BH1925" s="26"/>
      <c r="BI1925" s="26"/>
      <c r="BJ1925" s="26"/>
      <c r="BK1925" s="26"/>
      <c r="BL1925" s="26"/>
      <c r="BM1925" s="26"/>
      <c r="BN1925" s="26"/>
      <c r="BO1925" s="26"/>
      <c r="BP1925" s="16" t="n">
        <v>45739</v>
      </c>
      <c r="BQ1925" s="28" t="str">
        <f>HYPERLINK("https://organic.ams.usda.gov/Integrity/Certificate.aspx?cid=71&amp;nopid=5520030030")</f>
        <v>https://organic.ams.usda.gov/Integrity/Certificate.aspx?cid=71&amp;nopid=5520030030</v>
      </c>
    </row>
    <row r="1926">
      <c r="A1926" t="s">
        <v>3</v>
      </c>
      <c r="B1926" s="6" t="s">
        <v>8</v>
      </c>
      <c r="C1926" s="6" t="s">
        <v>55</v>
      </c>
      <c r="D1926" s="6" t="s">
        <v>101</v>
      </c>
      <c r="E1926" s="10" t="s">
        <v>2067</v>
      </c>
      <c r="F1926" s="6" t="s">
        <v>4781</v>
      </c>
      <c r="G1926" s="6" t="s">
        <v>81</v>
      </c>
      <c r="H1926" s="6" t="s">
        <v>7654</v>
      </c>
      <c r="I1926" s="6" t="s">
        <v>9351</v>
      </c>
      <c r="J1926" s="6" t="s">
        <v>10506</v>
      </c>
      <c r="K1926" s="6" t="s">
        <v>10886</v>
      </c>
      <c r="L1926" s="16" t="n">
        <v>38926</v>
      </c>
      <c r="M1926" s="16" t="n">
        <v>45748</v>
      </c>
      <c r="N1926" s="6" t="s">
        <v>10886</v>
      </c>
      <c r="O1926" s="16" t="n">
        <v>38926</v>
      </c>
      <c r="P1926" s="6" t="s">
        <v>12019</v>
      </c>
      <c r="Q1926" s="6" t="s">
        <v>81</v>
      </c>
      <c r="R1926" s="6" t="s">
        <v>7654</v>
      </c>
      <c r="S1926" s="6" t="s">
        <v>10886</v>
      </c>
      <c r="T1926" s="16" t="n">
        <v>38926</v>
      </c>
      <c r="U1926" s="6" t="s">
        <v>13173</v>
      </c>
      <c r="V1926" s="6" t="s">
        <v>81</v>
      </c>
      <c r="W1926" s="6" t="s">
        <v>7654</v>
      </c>
      <c r="X1926" s="6" t="s">
        <v>81</v>
      </c>
      <c r="Y1926" s="21" t="s">
        <v>81</v>
      </c>
      <c r="Z1926" s="6" t="s">
        <v>81</v>
      </c>
      <c r="AA1926" s="6" t="s">
        <v>81</v>
      </c>
      <c r="AB1926" s="6" t="s">
        <v>81</v>
      </c>
      <c r="AC1926" s="6" t="s">
        <v>81</v>
      </c>
      <c r="AD1926" s="21" t="s">
        <v>81</v>
      </c>
      <c r="AE1926" s="6" t="s">
        <v>81</v>
      </c>
      <c r="AF1926" s="6" t="s">
        <v>81</v>
      </c>
      <c r="AG1926" s="6" t="s">
        <v>81</v>
      </c>
      <c r="AH1926" s="6" t="s">
        <v>16477</v>
      </c>
      <c r="AI1926" s="6" t="s">
        <v>81</v>
      </c>
      <c r="AJ1926" s="6" t="s">
        <v>18154</v>
      </c>
      <c r="AK1926" s="6" t="s">
        <v>18377</v>
      </c>
      <c r="AL1926" s="6" t="s">
        <v>18444</v>
      </c>
      <c r="AM1926" s="6" t="s">
        <v>19357</v>
      </c>
      <c r="AN1926" s="6" t="s">
        <v>19652</v>
      </c>
      <c r="AO1926" s="6" t="s">
        <v>19772</v>
      </c>
      <c r="AP1926" s="6" t="s">
        <v>81</v>
      </c>
      <c r="AQ1926" s="6" t="s">
        <v>81</v>
      </c>
      <c r="AR1926" s="6" t="s">
        <v>81</v>
      </c>
      <c r="AS1926" s="6" t="s">
        <v>81</v>
      </c>
      <c r="AT1926" s="6" t="s">
        <v>81</v>
      </c>
      <c r="AU1926" s="6" t="s">
        <v>81</v>
      </c>
      <c r="AV1926" s="6" t="s">
        <v>81</v>
      </c>
      <c r="AW1926" s="6" t="s">
        <v>81</v>
      </c>
      <c r="AX1926" s="6" t="s">
        <v>81</v>
      </c>
      <c r="AY1926" s="6" t="s">
        <v>81</v>
      </c>
      <c r="AZ1926" s="6" t="s">
        <v>81</v>
      </c>
      <c r="BA1926" s="6" t="s">
        <v>23819</v>
      </c>
      <c r="BB1926" s="24" t="n">
        <v>192</v>
      </c>
      <c r="BC1926" s="26"/>
      <c r="BD1926" s="26"/>
      <c r="BE1926" s="26"/>
      <c r="BF1926" s="26" t="s">
        <v>23900</v>
      </c>
      <c r="BG1926" s="26"/>
      <c r="BH1926" s="26"/>
      <c r="BI1926" s="26"/>
      <c r="BJ1926" s="26"/>
      <c r="BK1926" s="26"/>
      <c r="BL1926" s="26"/>
      <c r="BM1926" s="26"/>
      <c r="BN1926" s="26"/>
      <c r="BO1926" s="26"/>
      <c r="BP1926" s="16" t="n">
        <v>45548</v>
      </c>
      <c r="BQ1926" s="28" t="str">
        <f>HYPERLINK("https://organic.ams.usda.gov/Integrity/Certificate.aspx?cid=45&amp;nopid=9950002252")</f>
        <v>https://organic.ams.usda.gov/Integrity/Certificate.aspx?cid=45&amp;nopid=9950002252</v>
      </c>
    </row>
    <row r="1927">
      <c r="A1927" t="s">
        <v>3</v>
      </c>
      <c r="B1927" s="6" t="s">
        <v>8</v>
      </c>
      <c r="C1927" s="6" t="s">
        <v>55</v>
      </c>
      <c r="D1927" s="6" t="s">
        <v>101</v>
      </c>
      <c r="E1927" s="10" t="s">
        <v>2068</v>
      </c>
      <c r="F1927" s="6" t="s">
        <v>4782</v>
      </c>
      <c r="G1927" s="6" t="s">
        <v>5768</v>
      </c>
      <c r="H1927" s="6" t="s">
        <v>7655</v>
      </c>
      <c r="I1927" s="6" t="s">
        <v>8956</v>
      </c>
      <c r="J1927" s="6" t="s">
        <v>10507</v>
      </c>
      <c r="K1927" s="6" t="s">
        <v>10886</v>
      </c>
      <c r="L1927" s="16" t="n">
        <v>39597</v>
      </c>
      <c r="M1927" s="16" t="n">
        <v>45689</v>
      </c>
      <c r="N1927" s="6" t="s">
        <v>10886</v>
      </c>
      <c r="O1927" s="16" t="n">
        <v>39597</v>
      </c>
      <c r="P1927" s="6" t="s">
        <v>12020</v>
      </c>
      <c r="Q1927" s="6" t="s">
        <v>81</v>
      </c>
      <c r="R1927" s="6" t="s">
        <v>7655</v>
      </c>
      <c r="S1927" s="6" t="s">
        <v>10886</v>
      </c>
      <c r="T1927" s="16" t="n">
        <v>39597</v>
      </c>
      <c r="U1927" s="6" t="s">
        <v>13179</v>
      </c>
      <c r="V1927" s="6" t="s">
        <v>81</v>
      </c>
      <c r="W1927" s="6" t="s">
        <v>7655</v>
      </c>
      <c r="X1927" s="6" t="s">
        <v>81</v>
      </c>
      <c r="Y1927" s="21" t="s">
        <v>81</v>
      </c>
      <c r="Z1927" s="6" t="s">
        <v>81</v>
      </c>
      <c r="AA1927" s="6" t="s">
        <v>81</v>
      </c>
      <c r="AB1927" s="6" t="s">
        <v>81</v>
      </c>
      <c r="AC1927" s="6" t="s">
        <v>81</v>
      </c>
      <c r="AD1927" s="21" t="s">
        <v>81</v>
      </c>
      <c r="AE1927" s="6" t="s">
        <v>81</v>
      </c>
      <c r="AF1927" s="6" t="s">
        <v>81</v>
      </c>
      <c r="AG1927" s="6" t="s">
        <v>81</v>
      </c>
      <c r="AH1927" s="6" t="s">
        <v>16478</v>
      </c>
      <c r="AI1927" s="6" t="s">
        <v>81</v>
      </c>
      <c r="AJ1927" s="6" t="s">
        <v>18155</v>
      </c>
      <c r="AK1927" s="6" t="s">
        <v>18377</v>
      </c>
      <c r="AL1927" s="6" t="s">
        <v>18444</v>
      </c>
      <c r="AM1927" s="6" t="s">
        <v>19358</v>
      </c>
      <c r="AN1927" s="6" t="s">
        <v>6139</v>
      </c>
      <c r="AO1927" s="6" t="s">
        <v>19814</v>
      </c>
      <c r="AP1927" s="6" t="s">
        <v>81</v>
      </c>
      <c r="AQ1927" s="6" t="s">
        <v>81</v>
      </c>
      <c r="AR1927" s="6" t="s">
        <v>81</v>
      </c>
      <c r="AS1927" s="6" t="s">
        <v>81</v>
      </c>
      <c r="AT1927" s="6" t="s">
        <v>81</v>
      </c>
      <c r="AU1927" s="6" t="s">
        <v>81</v>
      </c>
      <c r="AV1927" s="6" t="s">
        <v>81</v>
      </c>
      <c r="AW1927" s="6" t="s">
        <v>81</v>
      </c>
      <c r="AX1927" s="6" t="s">
        <v>81</v>
      </c>
      <c r="AY1927" s="6" t="s">
        <v>23245</v>
      </c>
      <c r="AZ1927" s="6" t="s">
        <v>81</v>
      </c>
      <c r="BA1927" s="6" t="s">
        <v>23819</v>
      </c>
      <c r="BB1927" s="24" t="n">
        <v>22</v>
      </c>
      <c r="BC1927" s="26"/>
      <c r="BD1927" s="26"/>
      <c r="BE1927" s="26"/>
      <c r="BF1927" s="26" t="s">
        <v>23900</v>
      </c>
      <c r="BG1927" s="26"/>
      <c r="BH1927" s="26"/>
      <c r="BI1927" s="26"/>
      <c r="BJ1927" s="26"/>
      <c r="BK1927" s="26"/>
      <c r="BL1927" s="26"/>
      <c r="BM1927" s="26"/>
      <c r="BN1927" s="26"/>
      <c r="BO1927" s="26"/>
      <c r="BP1927" s="16" t="n">
        <v>45688</v>
      </c>
      <c r="BQ1927" s="28" t="str">
        <f>HYPERLINK("https://organic.ams.usda.gov/Integrity/Certificate.aspx?cid=45&amp;nopid=9950002992")</f>
        <v>https://organic.ams.usda.gov/Integrity/Certificate.aspx?cid=45&amp;nopid=9950002992</v>
      </c>
    </row>
    <row r="1928">
      <c r="A1928" t="s">
        <v>3</v>
      </c>
      <c r="B1928" s="6" t="s">
        <v>16</v>
      </c>
      <c r="C1928" s="6" t="s">
        <v>63</v>
      </c>
      <c r="D1928" s="6" t="s">
        <v>109</v>
      </c>
      <c r="E1928" s="10" t="s">
        <v>2069</v>
      </c>
      <c r="F1928" s="6" t="s">
        <v>4783</v>
      </c>
      <c r="G1928" s="6" t="s">
        <v>81</v>
      </c>
      <c r="H1928" s="6" t="s">
        <v>7656</v>
      </c>
      <c r="I1928" s="6" t="s">
        <v>8562</v>
      </c>
      <c r="J1928" s="6" t="s">
        <v>10508</v>
      </c>
      <c r="K1928" s="6" t="s">
        <v>10886</v>
      </c>
      <c r="L1928" s="16" t="n">
        <v>38966</v>
      </c>
      <c r="M1928" s="16" t="n">
        <v>45731</v>
      </c>
      <c r="N1928" s="6" t="s">
        <v>10886</v>
      </c>
      <c r="O1928" s="16" t="n">
        <v>38966</v>
      </c>
      <c r="P1928" s="6" t="s">
        <v>11130</v>
      </c>
      <c r="Q1928" s="6" t="s">
        <v>81</v>
      </c>
      <c r="R1928" s="6" t="s">
        <v>81</v>
      </c>
      <c r="S1928" s="6" t="s">
        <v>10886</v>
      </c>
      <c r="T1928" s="16" t="n">
        <v>38966</v>
      </c>
      <c r="U1928" s="6" t="s">
        <v>13281</v>
      </c>
      <c r="V1928" s="6" t="s">
        <v>81</v>
      </c>
      <c r="W1928" s="6" t="s">
        <v>81</v>
      </c>
      <c r="X1928" s="6" t="s">
        <v>81</v>
      </c>
      <c r="Y1928" s="21" t="s">
        <v>81</v>
      </c>
      <c r="Z1928" s="6" t="s">
        <v>81</v>
      </c>
      <c r="AA1928" s="6" t="s">
        <v>81</v>
      </c>
      <c r="AB1928" s="6" t="s">
        <v>81</v>
      </c>
      <c r="AC1928" s="6" t="s">
        <v>10886</v>
      </c>
      <c r="AD1928" s="16" t="n">
        <v>38966</v>
      </c>
      <c r="AE1928" s="6" t="s">
        <v>81</v>
      </c>
      <c r="AF1928" s="6" t="s">
        <v>81</v>
      </c>
      <c r="AG1928" s="6" t="s">
        <v>81</v>
      </c>
      <c r="AH1928" s="6" t="s">
        <v>16479</v>
      </c>
      <c r="AI1928" s="6" t="s">
        <v>81</v>
      </c>
      <c r="AJ1928" s="6" t="s">
        <v>18156</v>
      </c>
      <c r="AK1928" s="6" t="s">
        <v>18383</v>
      </c>
      <c r="AL1928" s="6" t="s">
        <v>18444</v>
      </c>
      <c r="AM1928" s="6" t="s">
        <v>19359</v>
      </c>
      <c r="AN1928" s="6" t="s">
        <v>19653</v>
      </c>
      <c r="AO1928" s="6" t="s">
        <v>19928</v>
      </c>
      <c r="AP1928" s="6" t="s">
        <v>81</v>
      </c>
      <c r="AQ1928" s="6" t="s">
        <v>81</v>
      </c>
      <c r="AR1928" s="6" t="s">
        <v>81</v>
      </c>
      <c r="AS1928" s="6" t="s">
        <v>81</v>
      </c>
      <c r="AT1928" s="6" t="s">
        <v>81</v>
      </c>
      <c r="AU1928" s="6" t="s">
        <v>81</v>
      </c>
      <c r="AV1928" s="6" t="s">
        <v>81</v>
      </c>
      <c r="AW1928" s="6" t="s">
        <v>81</v>
      </c>
      <c r="AX1928" s="6" t="s">
        <v>21988</v>
      </c>
      <c r="AY1928" s="6" t="s">
        <v>81</v>
      </c>
      <c r="AZ1928" s="6" t="s">
        <v>81</v>
      </c>
      <c r="BA1928" s="6" t="s">
        <v>81</v>
      </c>
      <c r="BB1928" s="24" t="n">
        <v>371</v>
      </c>
      <c r="BC1928" s="26"/>
      <c r="BD1928" s="26"/>
      <c r="BE1928" s="26"/>
      <c r="BF1928" s="26"/>
      <c r="BG1928" s="26"/>
      <c r="BH1928" s="26"/>
      <c r="BI1928" s="26"/>
      <c r="BJ1928" s="26"/>
      <c r="BK1928" s="26"/>
      <c r="BL1928" s="26"/>
      <c r="BM1928" s="26"/>
      <c r="BN1928" s="26"/>
      <c r="BO1928" s="26"/>
      <c r="BP1928" s="16" t="n">
        <v>45701</v>
      </c>
      <c r="BQ1928" s="28" t="str">
        <f>HYPERLINK("https://organic.ams.usda.gov/Integrity/Certificate.aspx?cid=81&amp;nopid=4210006047")</f>
        <v>https://organic.ams.usda.gov/Integrity/Certificate.aspx?cid=81&amp;nopid=4210006047</v>
      </c>
    </row>
    <row r="1929">
      <c r="A1929" t="s">
        <v>3</v>
      </c>
      <c r="B1929" s="6" t="s">
        <v>12</v>
      </c>
      <c r="C1929" s="6" t="s">
        <v>59</v>
      </c>
      <c r="D1929" s="6" t="s">
        <v>105</v>
      </c>
      <c r="E1929" s="10" t="s">
        <v>2070</v>
      </c>
      <c r="F1929" s="6" t="s">
        <v>4784</v>
      </c>
      <c r="G1929" s="6" t="s">
        <v>81</v>
      </c>
      <c r="H1929" s="6" t="s">
        <v>7657</v>
      </c>
      <c r="I1929" s="6" t="s">
        <v>9352</v>
      </c>
      <c r="J1929" s="6" t="s">
        <v>9701</v>
      </c>
      <c r="K1929" s="6" t="s">
        <v>10886</v>
      </c>
      <c r="L1929" s="16" t="n">
        <v>42576</v>
      </c>
      <c r="M1929" s="16" t="n">
        <v>45717</v>
      </c>
      <c r="N1929" s="6" t="s">
        <v>10886</v>
      </c>
      <c r="O1929" s="16" t="n">
        <v>42576</v>
      </c>
      <c r="P1929" s="6" t="s">
        <v>10944</v>
      </c>
      <c r="Q1929" s="6" t="s">
        <v>81</v>
      </c>
      <c r="R1929" s="6" t="s">
        <v>81</v>
      </c>
      <c r="S1929" s="6" t="s">
        <v>10886</v>
      </c>
      <c r="T1929" s="16" t="n">
        <v>42576</v>
      </c>
      <c r="U1929" s="6" t="s">
        <v>13752</v>
      </c>
      <c r="V1929" s="6" t="s">
        <v>81</v>
      </c>
      <c r="W1929" s="6" t="s">
        <v>81</v>
      </c>
      <c r="X1929" s="6" t="s">
        <v>81</v>
      </c>
      <c r="Y1929" s="21" t="s">
        <v>81</v>
      </c>
      <c r="Z1929" s="6" t="s">
        <v>81</v>
      </c>
      <c r="AA1929" s="6" t="s">
        <v>81</v>
      </c>
      <c r="AB1929" s="6" t="s">
        <v>81</v>
      </c>
      <c r="AC1929" s="6" t="s">
        <v>81</v>
      </c>
      <c r="AD1929" s="21" t="s">
        <v>81</v>
      </c>
      <c r="AE1929" s="6" t="s">
        <v>81</v>
      </c>
      <c r="AF1929" s="6" t="s">
        <v>81</v>
      </c>
      <c r="AG1929" s="6" t="s">
        <v>81</v>
      </c>
      <c r="AH1929" s="6" t="s">
        <v>16480</v>
      </c>
      <c r="AI1929" s="6" t="s">
        <v>81</v>
      </c>
      <c r="AJ1929" s="6" t="s">
        <v>17532</v>
      </c>
      <c r="AK1929" s="6" t="s">
        <v>17712</v>
      </c>
      <c r="AL1929" s="6" t="s">
        <v>18444</v>
      </c>
      <c r="AM1929" s="6" t="s">
        <v>18696</v>
      </c>
      <c r="AN1929" s="6" t="s">
        <v>7926</v>
      </c>
      <c r="AO1929" s="6" t="s">
        <v>19842</v>
      </c>
      <c r="AP1929" s="6" t="s">
        <v>16480</v>
      </c>
      <c r="AQ1929" s="6" t="s">
        <v>81</v>
      </c>
      <c r="AR1929" s="6" t="s">
        <v>17532</v>
      </c>
      <c r="AS1929" s="6" t="s">
        <v>17712</v>
      </c>
      <c r="AT1929" s="6" t="s">
        <v>18444</v>
      </c>
      <c r="AU1929" s="6" t="s">
        <v>18696</v>
      </c>
      <c r="AV1929" s="6" t="s">
        <v>81</v>
      </c>
      <c r="AW1929" s="6" t="s">
        <v>81</v>
      </c>
      <c r="AX1929" s="6" t="s">
        <v>81</v>
      </c>
      <c r="AY1929" s="6" t="s">
        <v>81</v>
      </c>
      <c r="AZ1929" s="6" t="s">
        <v>81</v>
      </c>
      <c r="BA1929" s="6" t="s">
        <v>81</v>
      </c>
      <c r="BB1929" s="24" t="n">
        <v>193</v>
      </c>
      <c r="BC1929" s="26"/>
      <c r="BD1929" s="26"/>
      <c r="BE1929" s="26"/>
      <c r="BF1929" s="26"/>
      <c r="BG1929" s="26"/>
      <c r="BH1929" s="26"/>
      <c r="BI1929" s="26"/>
      <c r="BJ1929" s="26"/>
      <c r="BK1929" s="26"/>
      <c r="BL1929" s="26"/>
      <c r="BM1929" s="26"/>
      <c r="BN1929" s="26"/>
      <c r="BO1929" s="26"/>
      <c r="BP1929" s="16" t="n">
        <v>45729</v>
      </c>
      <c r="BQ1929" s="28" t="str">
        <f>HYPERLINK("https://organic.ams.usda.gov/Integrity/Certificate.aspx?cid=68&amp;nopid=8210004605")</f>
        <v>https://organic.ams.usda.gov/Integrity/Certificate.aspx?cid=68&amp;nopid=8210004605</v>
      </c>
    </row>
    <row r="1930">
      <c r="A1930" t="s">
        <v>3</v>
      </c>
      <c r="B1930" s="6" t="s">
        <v>12</v>
      </c>
      <c r="C1930" s="6" t="s">
        <v>59</v>
      </c>
      <c r="D1930" s="6" t="s">
        <v>105</v>
      </c>
      <c r="E1930" s="10" t="s">
        <v>2071</v>
      </c>
      <c r="F1930" s="6" t="s">
        <v>4785</v>
      </c>
      <c r="G1930" s="6" t="s">
        <v>81</v>
      </c>
      <c r="H1930" s="6" t="s">
        <v>7658</v>
      </c>
      <c r="I1930" s="6" t="s">
        <v>8852</v>
      </c>
      <c r="J1930" s="6" t="s">
        <v>10065</v>
      </c>
      <c r="K1930" s="6" t="s">
        <v>10886</v>
      </c>
      <c r="L1930" s="16" t="n">
        <v>43657</v>
      </c>
      <c r="M1930" s="16" t="n">
        <v>45717</v>
      </c>
      <c r="N1930" s="6" t="s">
        <v>10886</v>
      </c>
      <c r="O1930" s="16" t="n">
        <v>43657</v>
      </c>
      <c r="P1930" s="6" t="s">
        <v>12021</v>
      </c>
      <c r="Q1930" s="6" t="s">
        <v>81</v>
      </c>
      <c r="R1930" s="6" t="s">
        <v>81</v>
      </c>
      <c r="S1930" s="6" t="s">
        <v>10886</v>
      </c>
      <c r="T1930" s="16" t="n">
        <v>43657</v>
      </c>
      <c r="U1930" s="6" t="s">
        <v>13166</v>
      </c>
      <c r="V1930" s="6" t="s">
        <v>81</v>
      </c>
      <c r="W1930" s="6" t="s">
        <v>81</v>
      </c>
      <c r="X1930" s="6" t="s">
        <v>81</v>
      </c>
      <c r="Y1930" s="21" t="s">
        <v>81</v>
      </c>
      <c r="Z1930" s="6" t="s">
        <v>81</v>
      </c>
      <c r="AA1930" s="6" t="s">
        <v>81</v>
      </c>
      <c r="AB1930" s="6" t="s">
        <v>81</v>
      </c>
      <c r="AC1930" s="6" t="s">
        <v>81</v>
      </c>
      <c r="AD1930" s="21" t="s">
        <v>81</v>
      </c>
      <c r="AE1930" s="6" t="s">
        <v>81</v>
      </c>
      <c r="AF1930" s="6" t="s">
        <v>81</v>
      </c>
      <c r="AG1930" s="6" t="s">
        <v>81</v>
      </c>
      <c r="AH1930" s="6" t="s">
        <v>16481</v>
      </c>
      <c r="AI1930" s="6" t="s">
        <v>81</v>
      </c>
      <c r="AJ1930" s="6" t="s">
        <v>17618</v>
      </c>
      <c r="AK1930" s="6" t="s">
        <v>17712</v>
      </c>
      <c r="AL1930" s="6" t="s">
        <v>18444</v>
      </c>
      <c r="AM1930" s="6" t="s">
        <v>18786</v>
      </c>
      <c r="AN1930" s="6" t="s">
        <v>7195</v>
      </c>
      <c r="AO1930" s="6" t="s">
        <v>19735</v>
      </c>
      <c r="AP1930" s="6" t="s">
        <v>16481</v>
      </c>
      <c r="AQ1930" s="6" t="s">
        <v>81</v>
      </c>
      <c r="AR1930" s="6" t="s">
        <v>17618</v>
      </c>
      <c r="AS1930" s="6" t="s">
        <v>17712</v>
      </c>
      <c r="AT1930" s="6" t="s">
        <v>18444</v>
      </c>
      <c r="AU1930" s="6" t="s">
        <v>18786</v>
      </c>
      <c r="AV1930" s="6" t="s">
        <v>81</v>
      </c>
      <c r="AW1930" s="6" t="s">
        <v>81</v>
      </c>
      <c r="AX1930" s="6" t="s">
        <v>21989</v>
      </c>
      <c r="AY1930" s="6" t="s">
        <v>81</v>
      </c>
      <c r="AZ1930" s="6" t="s">
        <v>81</v>
      </c>
      <c r="BA1930" s="6" t="s">
        <v>81</v>
      </c>
      <c r="BB1930" s="24" t="n">
        <v>271</v>
      </c>
      <c r="BC1930" s="26"/>
      <c r="BD1930" s="26"/>
      <c r="BE1930" s="26"/>
      <c r="BF1930" s="26"/>
      <c r="BG1930" s="26"/>
      <c r="BH1930" s="26"/>
      <c r="BI1930" s="26"/>
      <c r="BJ1930" s="26"/>
      <c r="BK1930" s="26"/>
      <c r="BL1930" s="26"/>
      <c r="BM1930" s="26"/>
      <c r="BN1930" s="26"/>
      <c r="BO1930" s="26"/>
      <c r="BP1930" s="16" t="n">
        <v>45684</v>
      </c>
      <c r="BQ1930" s="28" t="str">
        <f>HYPERLINK("https://organic.ams.usda.gov/Integrity/Certificate.aspx?cid=68&amp;nopid=8210005113")</f>
        <v>https://organic.ams.usda.gov/Integrity/Certificate.aspx?cid=68&amp;nopid=8210005113</v>
      </c>
    </row>
    <row r="1931">
      <c r="A1931" t="s">
        <v>3</v>
      </c>
      <c r="B1931" s="6" t="s">
        <v>21</v>
      </c>
      <c r="C1931" s="6" t="s">
        <v>68</v>
      </c>
      <c r="D1931" s="6" t="s">
        <v>114</v>
      </c>
      <c r="E1931" s="10" t="s">
        <v>2072</v>
      </c>
      <c r="F1931" s="6" t="s">
        <v>4786</v>
      </c>
      <c r="G1931" s="6" t="s">
        <v>81</v>
      </c>
      <c r="H1931" s="6" t="s">
        <v>7659</v>
      </c>
      <c r="I1931" s="6" t="s">
        <v>9353</v>
      </c>
      <c r="J1931" s="6" t="s">
        <v>10509</v>
      </c>
      <c r="K1931" s="6" t="s">
        <v>10886</v>
      </c>
      <c r="L1931" s="16" t="n">
        <v>37375</v>
      </c>
      <c r="M1931" s="16" t="n">
        <v>46023</v>
      </c>
      <c r="N1931" s="6" t="s">
        <v>81</v>
      </c>
      <c r="O1931" s="21" t="s">
        <v>81</v>
      </c>
      <c r="P1931" s="6" t="s">
        <v>81</v>
      </c>
      <c r="Q1931" s="6" t="s">
        <v>81</v>
      </c>
      <c r="R1931" s="6" t="s">
        <v>81</v>
      </c>
      <c r="S1931" s="6" t="s">
        <v>81</v>
      </c>
      <c r="T1931" s="21" t="s">
        <v>81</v>
      </c>
      <c r="U1931" s="6" t="s">
        <v>81</v>
      </c>
      <c r="V1931" s="6" t="s">
        <v>81</v>
      </c>
      <c r="W1931" s="6" t="s">
        <v>81</v>
      </c>
      <c r="X1931" s="6" t="s">
        <v>81</v>
      </c>
      <c r="Y1931" s="21" t="s">
        <v>81</v>
      </c>
      <c r="Z1931" s="6" t="s">
        <v>81</v>
      </c>
      <c r="AA1931" s="6" t="s">
        <v>81</v>
      </c>
      <c r="AB1931" s="6" t="s">
        <v>81</v>
      </c>
      <c r="AC1931" s="6" t="s">
        <v>10886</v>
      </c>
      <c r="AD1931" s="16" t="n">
        <v>37375</v>
      </c>
      <c r="AE1931" s="6" t="s">
        <v>14342</v>
      </c>
      <c r="AF1931" s="6" t="s">
        <v>81</v>
      </c>
      <c r="AG1931" s="6" t="s">
        <v>81</v>
      </c>
      <c r="AH1931" s="6" t="s">
        <v>81</v>
      </c>
      <c r="AI1931" s="6" t="s">
        <v>81</v>
      </c>
      <c r="AJ1931" s="6" t="s">
        <v>81</v>
      </c>
      <c r="AK1931" s="6" t="s">
        <v>81</v>
      </c>
      <c r="AL1931" s="6" t="s">
        <v>81</v>
      </c>
      <c r="AM1931" s="6" t="s">
        <v>81</v>
      </c>
      <c r="AN1931" s="6" t="s">
        <v>81</v>
      </c>
      <c r="AO1931" s="6" t="s">
        <v>81</v>
      </c>
      <c r="AP1931" s="6" t="s">
        <v>20355</v>
      </c>
      <c r="AQ1931" s="6" t="s">
        <v>81</v>
      </c>
      <c r="AR1931" s="6" t="s">
        <v>20559</v>
      </c>
      <c r="AS1931" s="6" t="s">
        <v>18393</v>
      </c>
      <c r="AT1931" s="6" t="s">
        <v>18444</v>
      </c>
      <c r="AU1931" s="6" t="s">
        <v>20687</v>
      </c>
      <c r="AV1931" s="6" t="s">
        <v>19686</v>
      </c>
      <c r="AW1931" s="6" t="s">
        <v>19721</v>
      </c>
      <c r="AX1931" s="6" t="s">
        <v>21990</v>
      </c>
      <c r="AY1931" s="6" t="s">
        <v>23246</v>
      </c>
      <c r="AZ1931" s="6" t="s">
        <v>23734</v>
      </c>
      <c r="BA1931" s="6" t="s">
        <v>81</v>
      </c>
      <c r="BB1931" s="6" t="s">
        <v>81</v>
      </c>
      <c r="BC1931" s="26"/>
      <c r="BD1931" s="26"/>
      <c r="BE1931" s="26" t="s">
        <v>23900</v>
      </c>
      <c r="BF1931" s="26"/>
      <c r="BG1931" s="26"/>
      <c r="BH1931" s="26"/>
      <c r="BI1931" s="26"/>
      <c r="BJ1931" s="26"/>
      <c r="BK1931" s="26"/>
      <c r="BL1931" s="26"/>
      <c r="BM1931" s="26"/>
      <c r="BN1931" s="26"/>
      <c r="BO1931" s="26"/>
      <c r="BP1931" s="16" t="n">
        <v>45712</v>
      </c>
      <c r="BQ1931" s="28" t="str">
        <f>HYPERLINK("https://organic.ams.usda.gov/Integrity/Certificate.aspx?cid=62&amp;nopid=8150000195")</f>
        <v>https://organic.ams.usda.gov/Integrity/Certificate.aspx?cid=62&amp;nopid=8150000195</v>
      </c>
    </row>
    <row r="1932">
      <c r="A1932" t="s">
        <v>3</v>
      </c>
      <c r="B1932" s="6" t="s">
        <v>12</v>
      </c>
      <c r="C1932" s="6" t="s">
        <v>59</v>
      </c>
      <c r="D1932" s="6" t="s">
        <v>105</v>
      </c>
      <c r="E1932" s="10" t="s">
        <v>2073</v>
      </c>
      <c r="F1932" s="6" t="s">
        <v>4787</v>
      </c>
      <c r="G1932" s="6" t="s">
        <v>81</v>
      </c>
      <c r="H1932" s="6" t="s">
        <v>7660</v>
      </c>
      <c r="I1932" s="6" t="s">
        <v>9354</v>
      </c>
      <c r="J1932" s="6" t="s">
        <v>10510</v>
      </c>
      <c r="K1932" s="6" t="s">
        <v>10886</v>
      </c>
      <c r="L1932" s="16" t="n">
        <v>45495</v>
      </c>
      <c r="M1932" s="16" t="n">
        <v>45717</v>
      </c>
      <c r="N1932" s="6" t="s">
        <v>81</v>
      </c>
      <c r="O1932" s="21" t="s">
        <v>81</v>
      </c>
      <c r="P1932" s="6" t="s">
        <v>81</v>
      </c>
      <c r="Q1932" s="6" t="s">
        <v>81</v>
      </c>
      <c r="R1932" s="6" t="s">
        <v>81</v>
      </c>
      <c r="S1932" s="6" t="s">
        <v>81</v>
      </c>
      <c r="T1932" s="21" t="s">
        <v>81</v>
      </c>
      <c r="U1932" s="6" t="s">
        <v>81</v>
      </c>
      <c r="V1932" s="6" t="s">
        <v>81</v>
      </c>
      <c r="W1932" s="6" t="s">
        <v>81</v>
      </c>
      <c r="X1932" s="6" t="s">
        <v>81</v>
      </c>
      <c r="Y1932" s="21" t="s">
        <v>81</v>
      </c>
      <c r="Z1932" s="6" t="s">
        <v>81</v>
      </c>
      <c r="AA1932" s="6" t="s">
        <v>81</v>
      </c>
      <c r="AB1932" s="6" t="s">
        <v>81</v>
      </c>
      <c r="AC1932" s="6" t="s">
        <v>10886</v>
      </c>
      <c r="AD1932" s="16" t="n">
        <v>45495</v>
      </c>
      <c r="AE1932" s="6" t="s">
        <v>14343</v>
      </c>
      <c r="AF1932" s="6" t="s">
        <v>81</v>
      </c>
      <c r="AG1932" s="6" t="s">
        <v>81</v>
      </c>
      <c r="AH1932" s="6" t="s">
        <v>16482</v>
      </c>
      <c r="AI1932" s="6" t="s">
        <v>81</v>
      </c>
      <c r="AJ1932" s="6" t="s">
        <v>18157</v>
      </c>
      <c r="AK1932" s="6" t="s">
        <v>18380</v>
      </c>
      <c r="AL1932" s="6" t="s">
        <v>18444</v>
      </c>
      <c r="AM1932" s="6" t="s">
        <v>19360</v>
      </c>
      <c r="AN1932" s="6" t="s">
        <v>81</v>
      </c>
      <c r="AO1932" s="6" t="s">
        <v>81</v>
      </c>
      <c r="AP1932" s="6" t="s">
        <v>16482</v>
      </c>
      <c r="AQ1932" s="6" t="s">
        <v>81</v>
      </c>
      <c r="AR1932" s="6" t="s">
        <v>18157</v>
      </c>
      <c r="AS1932" s="6" t="s">
        <v>18380</v>
      </c>
      <c r="AT1932" s="6" t="s">
        <v>18444</v>
      </c>
      <c r="AU1932" s="6" t="s">
        <v>19360</v>
      </c>
      <c r="AV1932" s="6" t="s">
        <v>81</v>
      </c>
      <c r="AW1932" s="6" t="s">
        <v>81</v>
      </c>
      <c r="AX1932" s="6" t="s">
        <v>21991</v>
      </c>
      <c r="AY1932" s="6" t="s">
        <v>23247</v>
      </c>
      <c r="AZ1932" s="6" t="s">
        <v>23735</v>
      </c>
      <c r="BA1932" s="6" t="s">
        <v>81</v>
      </c>
      <c r="BB1932" s="6" t="s">
        <v>81</v>
      </c>
      <c r="BC1932" s="26"/>
      <c r="BD1932" s="26"/>
      <c r="BE1932" s="26"/>
      <c r="BF1932" s="26"/>
      <c r="BG1932" s="26"/>
      <c r="BH1932" s="26"/>
      <c r="BI1932" s="26"/>
      <c r="BJ1932" s="26"/>
      <c r="BK1932" s="26"/>
      <c r="BL1932" s="26"/>
      <c r="BM1932" s="26"/>
      <c r="BN1932" s="26"/>
      <c r="BO1932" s="26"/>
      <c r="BP1932" s="16" t="n">
        <v>45727</v>
      </c>
      <c r="BQ1932" s="28" t="str">
        <f>HYPERLINK("https://organic.ams.usda.gov/Integrity/Certificate.aspx?cid=68&amp;nopid=8210008179")</f>
        <v>https://organic.ams.usda.gov/Integrity/Certificate.aspx?cid=68&amp;nopid=8210008179</v>
      </c>
    </row>
    <row r="1933">
      <c r="A1933" t="s">
        <v>3</v>
      </c>
      <c r="B1933" s="6" t="s">
        <v>7</v>
      </c>
      <c r="C1933" s="6" t="s">
        <v>54</v>
      </c>
      <c r="D1933" s="6" t="s">
        <v>100</v>
      </c>
      <c r="E1933" s="10" t="s">
        <v>2074</v>
      </c>
      <c r="F1933" s="6" t="s">
        <v>4788</v>
      </c>
      <c r="G1933" s="6" t="s">
        <v>81</v>
      </c>
      <c r="H1933" s="6" t="s">
        <v>7661</v>
      </c>
      <c r="I1933" s="6" t="s">
        <v>9133</v>
      </c>
      <c r="J1933" s="6" t="s">
        <v>9788</v>
      </c>
      <c r="K1933" s="6" t="s">
        <v>10886</v>
      </c>
      <c r="L1933" s="16" t="n">
        <v>42633</v>
      </c>
      <c r="M1933" s="16" t="n">
        <v>45716</v>
      </c>
      <c r="N1933" s="6" t="s">
        <v>10886</v>
      </c>
      <c r="O1933" s="16" t="n">
        <v>42633</v>
      </c>
      <c r="P1933" s="6" t="s">
        <v>10993</v>
      </c>
      <c r="Q1933" s="6" t="s">
        <v>81</v>
      </c>
      <c r="R1933" s="6" t="s">
        <v>81</v>
      </c>
      <c r="S1933" s="6" t="s">
        <v>10886</v>
      </c>
      <c r="T1933" s="16" t="n">
        <v>42633</v>
      </c>
      <c r="U1933" s="6" t="s">
        <v>13753</v>
      </c>
      <c r="V1933" s="6" t="s">
        <v>81</v>
      </c>
      <c r="W1933" s="6" t="s">
        <v>81</v>
      </c>
      <c r="X1933" s="6" t="s">
        <v>81</v>
      </c>
      <c r="Y1933" s="21" t="s">
        <v>81</v>
      </c>
      <c r="Z1933" s="6" t="s">
        <v>81</v>
      </c>
      <c r="AA1933" s="6" t="s">
        <v>81</v>
      </c>
      <c r="AB1933" s="6" t="s">
        <v>81</v>
      </c>
      <c r="AC1933" s="6" t="s">
        <v>81</v>
      </c>
      <c r="AD1933" s="21" t="s">
        <v>81</v>
      </c>
      <c r="AE1933" s="6" t="s">
        <v>81</v>
      </c>
      <c r="AF1933" s="6" t="s">
        <v>81</v>
      </c>
      <c r="AG1933" s="6" t="s">
        <v>81</v>
      </c>
      <c r="AH1933" s="6" t="s">
        <v>16483</v>
      </c>
      <c r="AI1933" s="6" t="s">
        <v>81</v>
      </c>
      <c r="AJ1933" s="6" t="s">
        <v>17998</v>
      </c>
      <c r="AK1933" s="6" t="s">
        <v>17712</v>
      </c>
      <c r="AL1933" s="6" t="s">
        <v>18444</v>
      </c>
      <c r="AM1933" s="6" t="s">
        <v>19189</v>
      </c>
      <c r="AN1933" s="6" t="s">
        <v>19652</v>
      </c>
      <c r="AO1933" s="6" t="s">
        <v>19742</v>
      </c>
      <c r="AP1933" s="6" t="s">
        <v>16483</v>
      </c>
      <c r="AQ1933" s="6" t="s">
        <v>81</v>
      </c>
      <c r="AR1933" s="6" t="s">
        <v>17998</v>
      </c>
      <c r="AS1933" s="6" t="s">
        <v>17712</v>
      </c>
      <c r="AT1933" s="6" t="s">
        <v>18444</v>
      </c>
      <c r="AU1933" s="6" t="s">
        <v>19189</v>
      </c>
      <c r="AV1933" s="6" t="s">
        <v>81</v>
      </c>
      <c r="AW1933" s="6" t="s">
        <v>81</v>
      </c>
      <c r="AX1933" s="6" t="s">
        <v>21992</v>
      </c>
      <c r="AY1933" s="6" t="s">
        <v>23248</v>
      </c>
      <c r="AZ1933" s="6" t="s">
        <v>81</v>
      </c>
      <c r="BA1933" s="6" t="s">
        <v>81</v>
      </c>
      <c r="BB1933" s="24" t="n">
        <v>8</v>
      </c>
      <c r="BC1933" s="26"/>
      <c r="BD1933" s="26"/>
      <c r="BE1933" s="26"/>
      <c r="BF1933" s="26" t="s">
        <v>23900</v>
      </c>
      <c r="BG1933" s="26"/>
      <c r="BH1933" s="26"/>
      <c r="BI1933" s="26"/>
      <c r="BJ1933" s="26"/>
      <c r="BK1933" s="26"/>
      <c r="BL1933" s="26"/>
      <c r="BM1933" s="26"/>
      <c r="BN1933" s="26"/>
      <c r="BO1933" s="26"/>
      <c r="BP1933" s="16" t="n">
        <v>45730</v>
      </c>
      <c r="BQ1933" s="28" t="str">
        <f>HYPERLINK("https://organic.ams.usda.gov/Integrity/Certificate.aspx?cid=57&amp;nopid=3252016118")</f>
        <v>https://organic.ams.usda.gov/Integrity/Certificate.aspx?cid=57&amp;nopid=3252016118</v>
      </c>
    </row>
    <row r="1934">
      <c r="A1934" t="s">
        <v>3</v>
      </c>
      <c r="B1934" s="6" t="s">
        <v>23</v>
      </c>
      <c r="C1934" s="6" t="s">
        <v>70</v>
      </c>
      <c r="D1934" s="6" t="s">
        <v>116</v>
      </c>
      <c r="E1934" s="10" t="s">
        <v>2075</v>
      </c>
      <c r="F1934" s="6" t="s">
        <v>4789</v>
      </c>
      <c r="G1934" s="6" t="s">
        <v>81</v>
      </c>
      <c r="H1934" s="6" t="s">
        <v>7662</v>
      </c>
      <c r="I1934" s="6" t="s">
        <v>9244</v>
      </c>
      <c r="J1934" s="6" t="s">
        <v>10511</v>
      </c>
      <c r="K1934" s="6" t="s">
        <v>10886</v>
      </c>
      <c r="L1934" s="16" t="n">
        <v>44687</v>
      </c>
      <c r="M1934" s="16" t="n">
        <v>45783</v>
      </c>
      <c r="N1934" s="6" t="s">
        <v>10886</v>
      </c>
      <c r="O1934" s="16" t="n">
        <v>44687</v>
      </c>
      <c r="P1934" s="6" t="s">
        <v>12022</v>
      </c>
      <c r="Q1934" s="6" t="s">
        <v>81</v>
      </c>
      <c r="R1934" s="6" t="s">
        <v>12979</v>
      </c>
      <c r="S1934" s="6" t="s">
        <v>10886</v>
      </c>
      <c r="T1934" s="16" t="n">
        <v>44687</v>
      </c>
      <c r="U1934" s="6" t="s">
        <v>13754</v>
      </c>
      <c r="V1934" s="6" t="s">
        <v>81</v>
      </c>
      <c r="W1934" s="6" t="s">
        <v>12979</v>
      </c>
      <c r="X1934" s="6" t="s">
        <v>81</v>
      </c>
      <c r="Y1934" s="21" t="s">
        <v>81</v>
      </c>
      <c r="Z1934" s="6" t="s">
        <v>81</v>
      </c>
      <c r="AA1934" s="6" t="s">
        <v>81</v>
      </c>
      <c r="AB1934" s="6" t="s">
        <v>81</v>
      </c>
      <c r="AC1934" s="6" t="s">
        <v>81</v>
      </c>
      <c r="AD1934" s="21" t="s">
        <v>81</v>
      </c>
      <c r="AE1934" s="6" t="s">
        <v>81</v>
      </c>
      <c r="AF1934" s="6" t="s">
        <v>81</v>
      </c>
      <c r="AG1934" s="6" t="s">
        <v>81</v>
      </c>
      <c r="AH1934" s="6" t="s">
        <v>16484</v>
      </c>
      <c r="AI1934" s="6" t="s">
        <v>81</v>
      </c>
      <c r="AJ1934" s="6" t="s">
        <v>18158</v>
      </c>
      <c r="AK1934" s="6" t="s">
        <v>18386</v>
      </c>
      <c r="AL1934" s="6" t="s">
        <v>18444</v>
      </c>
      <c r="AM1934" s="6" t="s">
        <v>19361</v>
      </c>
      <c r="AN1934" s="6" t="s">
        <v>81</v>
      </c>
      <c r="AO1934" s="6" t="s">
        <v>81</v>
      </c>
      <c r="AP1934" s="6" t="s">
        <v>20356</v>
      </c>
      <c r="AQ1934" s="6" t="s">
        <v>81</v>
      </c>
      <c r="AR1934" s="6" t="s">
        <v>18158</v>
      </c>
      <c r="AS1934" s="6" t="s">
        <v>18386</v>
      </c>
      <c r="AT1934" s="6" t="s">
        <v>18444</v>
      </c>
      <c r="AU1934" s="6" t="s">
        <v>19361</v>
      </c>
      <c r="AV1934" s="6" t="s">
        <v>19660</v>
      </c>
      <c r="AW1934" s="6" t="s">
        <v>19760</v>
      </c>
      <c r="AX1934" s="6" t="s">
        <v>21993</v>
      </c>
      <c r="AY1934" s="6" t="s">
        <v>23249</v>
      </c>
      <c r="AZ1934" s="6" t="s">
        <v>81</v>
      </c>
      <c r="BA1934" s="6" t="s">
        <v>81</v>
      </c>
      <c r="BB1934" s="24" t="n">
        <v>736</v>
      </c>
      <c r="BC1934" s="26"/>
      <c r="BD1934" s="26"/>
      <c r="BE1934" s="26"/>
      <c r="BF1934" s="26"/>
      <c r="BG1934" s="26"/>
      <c r="BH1934" s="26"/>
      <c r="BI1934" s="26"/>
      <c r="BJ1934" s="26"/>
      <c r="BK1934" s="26"/>
      <c r="BL1934" s="26"/>
      <c r="BM1934" s="26"/>
      <c r="BN1934" s="26"/>
      <c r="BO1934" s="26"/>
      <c r="BP1934" s="16" t="n">
        <v>45715</v>
      </c>
      <c r="BQ1934" s="28" t="str">
        <f>HYPERLINK("https://organic.ams.usda.gov/Integrity/Certificate.aspx?cid=63&amp;nopid=6220008515")</f>
        <v>https://organic.ams.usda.gov/Integrity/Certificate.aspx?cid=63&amp;nopid=6220008515</v>
      </c>
    </row>
    <row r="1935">
      <c r="A1935" t="s">
        <v>3</v>
      </c>
      <c r="B1935" s="6" t="s">
        <v>38</v>
      </c>
      <c r="C1935" s="6" t="s">
        <v>85</v>
      </c>
      <c r="D1935" s="6" t="s">
        <v>130</v>
      </c>
      <c r="E1935" s="10" t="s">
        <v>2076</v>
      </c>
      <c r="F1935" s="6" t="s">
        <v>4790</v>
      </c>
      <c r="G1935" s="6" t="s">
        <v>5769</v>
      </c>
      <c r="H1935" s="6" t="s">
        <v>7663</v>
      </c>
      <c r="I1935" s="6" t="s">
        <v>9355</v>
      </c>
      <c r="J1935" s="6" t="s">
        <v>10512</v>
      </c>
      <c r="K1935" s="6" t="s">
        <v>10886</v>
      </c>
      <c r="L1935" s="16" t="n">
        <v>37686</v>
      </c>
      <c r="M1935" s="16" t="n">
        <v>45717</v>
      </c>
      <c r="N1935" s="6" t="s">
        <v>81</v>
      </c>
      <c r="O1935" s="21" t="s">
        <v>81</v>
      </c>
      <c r="P1935" s="6" t="s">
        <v>81</v>
      </c>
      <c r="Q1935" s="6" t="s">
        <v>81</v>
      </c>
      <c r="R1935" s="6" t="s">
        <v>81</v>
      </c>
      <c r="S1935" s="6" t="s">
        <v>81</v>
      </c>
      <c r="T1935" s="21" t="s">
        <v>81</v>
      </c>
      <c r="U1935" s="6" t="s">
        <v>81</v>
      </c>
      <c r="V1935" s="6" t="s">
        <v>81</v>
      </c>
      <c r="W1935" s="6" t="s">
        <v>81</v>
      </c>
      <c r="X1935" s="6" t="s">
        <v>81</v>
      </c>
      <c r="Y1935" s="21" t="s">
        <v>81</v>
      </c>
      <c r="Z1935" s="6" t="s">
        <v>81</v>
      </c>
      <c r="AA1935" s="6" t="s">
        <v>81</v>
      </c>
      <c r="AB1935" s="6" t="s">
        <v>81</v>
      </c>
      <c r="AC1935" s="6" t="s">
        <v>10886</v>
      </c>
      <c r="AD1935" s="16" t="n">
        <v>37686</v>
      </c>
      <c r="AE1935" s="6" t="s">
        <v>14344</v>
      </c>
      <c r="AF1935" s="6" t="s">
        <v>81</v>
      </c>
      <c r="AG1935" s="6" t="s">
        <v>81</v>
      </c>
      <c r="AH1935" s="6" t="s">
        <v>16485</v>
      </c>
      <c r="AI1935" s="6" t="s">
        <v>81</v>
      </c>
      <c r="AJ1935" s="6" t="s">
        <v>18159</v>
      </c>
      <c r="AK1935" s="6" t="s">
        <v>18412</v>
      </c>
      <c r="AL1935" s="6" t="s">
        <v>18444</v>
      </c>
      <c r="AM1935" s="6" t="s">
        <v>19362</v>
      </c>
      <c r="AN1935" s="6" t="s">
        <v>19649</v>
      </c>
      <c r="AO1935" s="6" t="s">
        <v>20033</v>
      </c>
      <c r="AP1935" s="6" t="s">
        <v>16485</v>
      </c>
      <c r="AQ1935" s="6" t="s">
        <v>81</v>
      </c>
      <c r="AR1935" s="6" t="s">
        <v>18159</v>
      </c>
      <c r="AS1935" s="6" t="s">
        <v>18412</v>
      </c>
      <c r="AT1935" s="6" t="s">
        <v>18444</v>
      </c>
      <c r="AU1935" s="6" t="s">
        <v>19362</v>
      </c>
      <c r="AV1935" s="6" t="s">
        <v>19649</v>
      </c>
      <c r="AW1935" s="6" t="s">
        <v>20033</v>
      </c>
      <c r="AX1935" s="6" t="s">
        <v>21994</v>
      </c>
      <c r="AY1935" s="6" t="s">
        <v>23250</v>
      </c>
      <c r="AZ1935" s="6" t="s">
        <v>23736</v>
      </c>
      <c r="BA1935" s="6" t="s">
        <v>81</v>
      </c>
      <c r="BB1935" s="24" t="n">
        <v>0</v>
      </c>
      <c r="BC1935" s="26"/>
      <c r="BD1935" s="26"/>
      <c r="BE1935" s="26"/>
      <c r="BF1935" s="26"/>
      <c r="BG1935" s="26"/>
      <c r="BH1935" s="26"/>
      <c r="BI1935" s="26"/>
      <c r="BJ1935" s="26"/>
      <c r="BK1935" s="26"/>
      <c r="BL1935" s="26"/>
      <c r="BM1935" s="26"/>
      <c r="BN1935" s="26"/>
      <c r="BO1935" s="26"/>
      <c r="BP1935" s="16" t="n">
        <v>45733</v>
      </c>
      <c r="BQ1935" s="28" t="str">
        <f>HYPERLINK("https://organic.ams.usda.gov/Integrity/Certificate.aspx?cid=33&amp;nopid=2170000298")</f>
        <v>https://organic.ams.usda.gov/Integrity/Certificate.aspx?cid=33&amp;nopid=2170000298</v>
      </c>
    </row>
    <row r="1936">
      <c r="A1936" t="s">
        <v>3</v>
      </c>
      <c r="B1936" s="6" t="s">
        <v>38</v>
      </c>
      <c r="C1936" s="6" t="s">
        <v>85</v>
      </c>
      <c r="D1936" s="6" t="s">
        <v>130</v>
      </c>
      <c r="E1936" s="10" t="s">
        <v>2077</v>
      </c>
      <c r="F1936" s="6" t="s">
        <v>4791</v>
      </c>
      <c r="G1936" s="6" t="s">
        <v>81</v>
      </c>
      <c r="H1936" s="6" t="s">
        <v>7664</v>
      </c>
      <c r="I1936" s="6" t="s">
        <v>8590</v>
      </c>
      <c r="J1936" s="6" t="s">
        <v>10238</v>
      </c>
      <c r="K1936" s="6" t="s">
        <v>10886</v>
      </c>
      <c r="L1936" s="16" t="n">
        <v>44599</v>
      </c>
      <c r="M1936" s="16" t="n">
        <v>45748</v>
      </c>
      <c r="N1936" s="6" t="s">
        <v>10886</v>
      </c>
      <c r="O1936" s="16" t="n">
        <v>44599</v>
      </c>
      <c r="P1936" s="6" t="s">
        <v>12023</v>
      </c>
      <c r="Q1936" s="6" t="s">
        <v>81</v>
      </c>
      <c r="R1936" s="6" t="s">
        <v>81</v>
      </c>
      <c r="S1936" s="6" t="s">
        <v>10886</v>
      </c>
      <c r="T1936" s="16" t="n">
        <v>44599</v>
      </c>
      <c r="U1936" s="6" t="s">
        <v>13755</v>
      </c>
      <c r="V1936" s="6" t="s">
        <v>81</v>
      </c>
      <c r="W1936" s="6" t="s">
        <v>81</v>
      </c>
      <c r="X1936" s="6" t="s">
        <v>81</v>
      </c>
      <c r="Y1936" s="21" t="s">
        <v>81</v>
      </c>
      <c r="Z1936" s="6" t="s">
        <v>81</v>
      </c>
      <c r="AA1936" s="6" t="s">
        <v>81</v>
      </c>
      <c r="AB1936" s="6" t="s">
        <v>81</v>
      </c>
      <c r="AC1936" s="6" t="s">
        <v>81</v>
      </c>
      <c r="AD1936" s="21" t="s">
        <v>81</v>
      </c>
      <c r="AE1936" s="6" t="s">
        <v>81</v>
      </c>
      <c r="AF1936" s="6" t="s">
        <v>81</v>
      </c>
      <c r="AG1936" s="6" t="s">
        <v>81</v>
      </c>
      <c r="AH1936" s="6" t="s">
        <v>16486</v>
      </c>
      <c r="AI1936" s="6" t="s">
        <v>81</v>
      </c>
      <c r="AJ1936" s="6" t="s">
        <v>17606</v>
      </c>
      <c r="AK1936" s="6" t="s">
        <v>18412</v>
      </c>
      <c r="AL1936" s="6" t="s">
        <v>18444</v>
      </c>
      <c r="AM1936" s="6" t="s">
        <v>18772</v>
      </c>
      <c r="AN1936" s="6" t="s">
        <v>19638</v>
      </c>
      <c r="AO1936" s="6" t="s">
        <v>19876</v>
      </c>
      <c r="AP1936" s="6" t="s">
        <v>16486</v>
      </c>
      <c r="AQ1936" s="6" t="s">
        <v>81</v>
      </c>
      <c r="AR1936" s="6" t="s">
        <v>17606</v>
      </c>
      <c r="AS1936" s="6" t="s">
        <v>18412</v>
      </c>
      <c r="AT1936" s="6" t="s">
        <v>18444</v>
      </c>
      <c r="AU1936" s="6" t="s">
        <v>18772</v>
      </c>
      <c r="AV1936" s="6" t="s">
        <v>81</v>
      </c>
      <c r="AW1936" s="6" t="s">
        <v>81</v>
      </c>
      <c r="AX1936" s="6" t="s">
        <v>21995</v>
      </c>
      <c r="AY1936" s="6" t="s">
        <v>23251</v>
      </c>
      <c r="AZ1936" s="6" t="s">
        <v>81</v>
      </c>
      <c r="BA1936" s="6" t="s">
        <v>81</v>
      </c>
      <c r="BB1936" s="24" t="n">
        <v>227</v>
      </c>
      <c r="BC1936" s="26"/>
      <c r="BD1936" s="26"/>
      <c r="BE1936" s="26"/>
      <c r="BF1936" s="26"/>
      <c r="BG1936" s="26"/>
      <c r="BH1936" s="26"/>
      <c r="BI1936" s="26"/>
      <c r="BJ1936" s="26"/>
      <c r="BK1936" s="26"/>
      <c r="BL1936" s="26"/>
      <c r="BM1936" s="26"/>
      <c r="BN1936" s="26"/>
      <c r="BO1936" s="26"/>
      <c r="BP1936" s="16" t="n">
        <v>45695</v>
      </c>
      <c r="BQ1936" s="28" t="str">
        <f>HYPERLINK("https://organic.ams.usda.gov/Integrity/Certificate.aspx?cid=33&amp;nopid=2170411156")</f>
        <v>https://organic.ams.usda.gov/Integrity/Certificate.aspx?cid=33&amp;nopid=2170411156</v>
      </c>
    </row>
    <row r="1937">
      <c r="A1937" t="s">
        <v>3</v>
      </c>
      <c r="B1937" s="6" t="s">
        <v>8</v>
      </c>
      <c r="C1937" s="6" t="s">
        <v>55</v>
      </c>
      <c r="D1937" s="6" t="s">
        <v>101</v>
      </c>
      <c r="E1937" s="10" t="s">
        <v>2078</v>
      </c>
      <c r="F1937" s="6" t="s">
        <v>4792</v>
      </c>
      <c r="G1937" s="6" t="s">
        <v>81</v>
      </c>
      <c r="H1937" s="6" t="s">
        <v>7665</v>
      </c>
      <c r="I1937" s="6" t="s">
        <v>9356</v>
      </c>
      <c r="J1937" s="6" t="s">
        <v>10513</v>
      </c>
      <c r="K1937" s="6" t="s">
        <v>10886</v>
      </c>
      <c r="L1937" s="16" t="n">
        <v>43579</v>
      </c>
      <c r="M1937" s="16" t="n">
        <v>45689</v>
      </c>
      <c r="N1937" s="6" t="s">
        <v>10886</v>
      </c>
      <c r="O1937" s="16" t="n">
        <v>43579</v>
      </c>
      <c r="P1937" s="6" t="s">
        <v>12024</v>
      </c>
      <c r="Q1937" s="6" t="s">
        <v>81</v>
      </c>
      <c r="R1937" s="6" t="s">
        <v>7665</v>
      </c>
      <c r="S1937" s="6" t="s">
        <v>10886</v>
      </c>
      <c r="T1937" s="16" t="n">
        <v>43579</v>
      </c>
      <c r="U1937" s="6" t="s">
        <v>13173</v>
      </c>
      <c r="V1937" s="6" t="s">
        <v>81</v>
      </c>
      <c r="W1937" s="6" t="s">
        <v>7665</v>
      </c>
      <c r="X1937" s="6" t="s">
        <v>81</v>
      </c>
      <c r="Y1937" s="21" t="s">
        <v>81</v>
      </c>
      <c r="Z1937" s="6" t="s">
        <v>81</v>
      </c>
      <c r="AA1937" s="6" t="s">
        <v>81</v>
      </c>
      <c r="AB1937" s="6" t="s">
        <v>81</v>
      </c>
      <c r="AC1937" s="6" t="s">
        <v>81</v>
      </c>
      <c r="AD1937" s="21" t="s">
        <v>81</v>
      </c>
      <c r="AE1937" s="6" t="s">
        <v>81</v>
      </c>
      <c r="AF1937" s="6" t="s">
        <v>81</v>
      </c>
      <c r="AG1937" s="6" t="s">
        <v>81</v>
      </c>
      <c r="AH1937" s="6" t="s">
        <v>16487</v>
      </c>
      <c r="AI1937" s="6" t="s">
        <v>81</v>
      </c>
      <c r="AJ1937" s="6" t="s">
        <v>17743</v>
      </c>
      <c r="AK1937" s="6" t="s">
        <v>18377</v>
      </c>
      <c r="AL1937" s="6" t="s">
        <v>18444</v>
      </c>
      <c r="AM1937" s="6" t="s">
        <v>19363</v>
      </c>
      <c r="AN1937" s="6" t="s">
        <v>19669</v>
      </c>
      <c r="AO1937" s="6" t="s">
        <v>19913</v>
      </c>
      <c r="AP1937" s="6" t="s">
        <v>20357</v>
      </c>
      <c r="AQ1937" s="6" t="s">
        <v>81</v>
      </c>
      <c r="AR1937" s="6" t="s">
        <v>17743</v>
      </c>
      <c r="AS1937" s="6" t="s">
        <v>18377</v>
      </c>
      <c r="AT1937" s="6" t="s">
        <v>18444</v>
      </c>
      <c r="AU1937" s="6" t="s">
        <v>19363</v>
      </c>
      <c r="AV1937" s="6" t="s">
        <v>81</v>
      </c>
      <c r="AW1937" s="6" t="s">
        <v>81</v>
      </c>
      <c r="AX1937" s="6" t="s">
        <v>21996</v>
      </c>
      <c r="AY1937" s="6" t="s">
        <v>23252</v>
      </c>
      <c r="AZ1937" s="6" t="s">
        <v>81</v>
      </c>
      <c r="BA1937" s="6" t="s">
        <v>23819</v>
      </c>
      <c r="BB1937" s="24" t="n">
        <v>320</v>
      </c>
      <c r="BC1937" s="26"/>
      <c r="BD1937" s="26"/>
      <c r="BE1937" s="26"/>
      <c r="BF1937" s="26" t="s">
        <v>23900</v>
      </c>
      <c r="BG1937" s="26"/>
      <c r="BH1937" s="26"/>
      <c r="BI1937" s="26"/>
      <c r="BJ1937" s="26"/>
      <c r="BK1937" s="26"/>
      <c r="BL1937" s="26"/>
      <c r="BM1937" s="26"/>
      <c r="BN1937" s="26"/>
      <c r="BO1937" s="26"/>
      <c r="BP1937" s="16" t="n">
        <v>45713</v>
      </c>
      <c r="BQ1937" s="28" t="str">
        <f>HYPERLINK("https://organic.ams.usda.gov/Integrity/Certificate.aspx?cid=45&amp;nopid=9950009197")</f>
        <v>https://organic.ams.usda.gov/Integrity/Certificate.aspx?cid=45&amp;nopid=9950009197</v>
      </c>
    </row>
    <row r="1938">
      <c r="A1938" t="s">
        <v>3</v>
      </c>
      <c r="B1938" s="6" t="s">
        <v>8</v>
      </c>
      <c r="C1938" s="6" t="s">
        <v>55</v>
      </c>
      <c r="D1938" s="6" t="s">
        <v>101</v>
      </c>
      <c r="E1938" s="10" t="s">
        <v>2079</v>
      </c>
      <c r="F1938" s="6" t="s">
        <v>4793</v>
      </c>
      <c r="G1938" s="6" t="s">
        <v>5770</v>
      </c>
      <c r="H1938" s="6" t="s">
        <v>7666</v>
      </c>
      <c r="I1938" s="6" t="s">
        <v>8509</v>
      </c>
      <c r="J1938" s="6" t="s">
        <v>8609</v>
      </c>
      <c r="K1938" s="6" t="s">
        <v>10886</v>
      </c>
      <c r="L1938" s="16" t="n">
        <v>39288</v>
      </c>
      <c r="M1938" s="16" t="n">
        <v>45748</v>
      </c>
      <c r="N1938" s="6" t="s">
        <v>10886</v>
      </c>
      <c r="O1938" s="16" t="n">
        <v>39288</v>
      </c>
      <c r="P1938" s="6" t="s">
        <v>12025</v>
      </c>
      <c r="Q1938" s="6" t="s">
        <v>81</v>
      </c>
      <c r="R1938" s="6" t="s">
        <v>7666</v>
      </c>
      <c r="S1938" s="6" t="s">
        <v>10886</v>
      </c>
      <c r="T1938" s="16" t="n">
        <v>39288</v>
      </c>
      <c r="U1938" s="6" t="s">
        <v>13756</v>
      </c>
      <c r="V1938" s="6" t="s">
        <v>81</v>
      </c>
      <c r="W1938" s="6" t="s">
        <v>7666</v>
      </c>
      <c r="X1938" s="6" t="s">
        <v>81</v>
      </c>
      <c r="Y1938" s="21" t="s">
        <v>81</v>
      </c>
      <c r="Z1938" s="6" t="s">
        <v>81</v>
      </c>
      <c r="AA1938" s="6" t="s">
        <v>81</v>
      </c>
      <c r="AB1938" s="6" t="s">
        <v>81</v>
      </c>
      <c r="AC1938" s="6" t="s">
        <v>81</v>
      </c>
      <c r="AD1938" s="21" t="s">
        <v>81</v>
      </c>
      <c r="AE1938" s="6" t="s">
        <v>81</v>
      </c>
      <c r="AF1938" s="6" t="s">
        <v>81</v>
      </c>
      <c r="AG1938" s="6" t="s">
        <v>81</v>
      </c>
      <c r="AH1938" s="6" t="s">
        <v>16488</v>
      </c>
      <c r="AI1938" s="6" t="s">
        <v>81</v>
      </c>
      <c r="AJ1938" s="6" t="s">
        <v>17690</v>
      </c>
      <c r="AK1938" s="6" t="s">
        <v>18377</v>
      </c>
      <c r="AL1938" s="6" t="s">
        <v>18444</v>
      </c>
      <c r="AM1938" s="6" t="s">
        <v>18856</v>
      </c>
      <c r="AN1938" s="6" t="s">
        <v>19690</v>
      </c>
      <c r="AO1938" s="6" t="s">
        <v>19849</v>
      </c>
      <c r="AP1938" s="6" t="s">
        <v>16488</v>
      </c>
      <c r="AQ1938" s="6" t="s">
        <v>81</v>
      </c>
      <c r="AR1938" s="6" t="s">
        <v>17690</v>
      </c>
      <c r="AS1938" s="6" t="s">
        <v>18377</v>
      </c>
      <c r="AT1938" s="6" t="s">
        <v>18444</v>
      </c>
      <c r="AU1938" s="6" t="s">
        <v>18856</v>
      </c>
      <c r="AV1938" s="6" t="s">
        <v>81</v>
      </c>
      <c r="AW1938" s="6" t="s">
        <v>81</v>
      </c>
      <c r="AX1938" s="6" t="s">
        <v>21997</v>
      </c>
      <c r="AY1938" s="6" t="s">
        <v>23253</v>
      </c>
      <c r="AZ1938" s="6" t="s">
        <v>23737</v>
      </c>
      <c r="BA1938" s="6" t="s">
        <v>23824</v>
      </c>
      <c r="BB1938" s="24" t="n">
        <v>534</v>
      </c>
      <c r="BC1938" s="26"/>
      <c r="BD1938" s="26"/>
      <c r="BE1938" s="26"/>
      <c r="BF1938" s="26" t="s">
        <v>23900</v>
      </c>
      <c r="BG1938" s="26"/>
      <c r="BH1938" s="26"/>
      <c r="BI1938" s="26"/>
      <c r="BJ1938" s="26"/>
      <c r="BK1938" s="26"/>
      <c r="BL1938" s="26"/>
      <c r="BM1938" s="26"/>
      <c r="BN1938" s="26"/>
      <c r="BO1938" s="26"/>
      <c r="BP1938" s="16" t="n">
        <v>45566</v>
      </c>
      <c r="BQ1938" s="28" t="str">
        <f>HYPERLINK("https://organic.ams.usda.gov/Integrity/Certificate.aspx?cid=45&amp;nopid=9950002763")</f>
        <v>https://organic.ams.usda.gov/Integrity/Certificate.aspx?cid=45&amp;nopid=9950002763</v>
      </c>
    </row>
    <row r="1939">
      <c r="A1939" t="s">
        <v>3</v>
      </c>
      <c r="B1939" s="6" t="s">
        <v>8</v>
      </c>
      <c r="C1939" s="6" t="s">
        <v>55</v>
      </c>
      <c r="D1939" s="6" t="s">
        <v>101</v>
      </c>
      <c r="E1939" s="10" t="s">
        <v>2080</v>
      </c>
      <c r="F1939" s="6" t="s">
        <v>4794</v>
      </c>
      <c r="G1939" s="6" t="s">
        <v>81</v>
      </c>
      <c r="H1939" s="6" t="s">
        <v>7667</v>
      </c>
      <c r="I1939" s="6" t="s">
        <v>9357</v>
      </c>
      <c r="J1939" s="6" t="s">
        <v>10514</v>
      </c>
      <c r="K1939" s="6" t="s">
        <v>10886</v>
      </c>
      <c r="L1939" s="16" t="n">
        <v>42111</v>
      </c>
      <c r="M1939" s="16" t="n">
        <v>45689</v>
      </c>
      <c r="N1939" s="6" t="s">
        <v>10886</v>
      </c>
      <c r="O1939" s="16" t="n">
        <v>42111</v>
      </c>
      <c r="P1939" s="6" t="s">
        <v>12026</v>
      </c>
      <c r="Q1939" s="6" t="s">
        <v>81</v>
      </c>
      <c r="R1939" s="6" t="s">
        <v>7667</v>
      </c>
      <c r="S1939" s="6" t="s">
        <v>10886</v>
      </c>
      <c r="T1939" s="16" t="n">
        <v>42111</v>
      </c>
      <c r="U1939" s="6" t="s">
        <v>13725</v>
      </c>
      <c r="V1939" s="6" t="s">
        <v>81</v>
      </c>
      <c r="W1939" s="6" t="s">
        <v>7667</v>
      </c>
      <c r="X1939" s="6" t="s">
        <v>81</v>
      </c>
      <c r="Y1939" s="21" t="s">
        <v>81</v>
      </c>
      <c r="Z1939" s="6" t="s">
        <v>81</v>
      </c>
      <c r="AA1939" s="6" t="s">
        <v>81</v>
      </c>
      <c r="AB1939" s="6" t="s">
        <v>81</v>
      </c>
      <c r="AC1939" s="6" t="s">
        <v>81</v>
      </c>
      <c r="AD1939" s="21" t="s">
        <v>81</v>
      </c>
      <c r="AE1939" s="6" t="s">
        <v>81</v>
      </c>
      <c r="AF1939" s="6" t="s">
        <v>81</v>
      </c>
      <c r="AG1939" s="6" t="s">
        <v>81</v>
      </c>
      <c r="AH1939" s="6" t="s">
        <v>16489</v>
      </c>
      <c r="AI1939" s="6" t="s">
        <v>81</v>
      </c>
      <c r="AJ1939" s="6" t="s">
        <v>17771</v>
      </c>
      <c r="AK1939" s="6" t="s">
        <v>18377</v>
      </c>
      <c r="AL1939" s="6" t="s">
        <v>18444</v>
      </c>
      <c r="AM1939" s="6" t="s">
        <v>18943</v>
      </c>
      <c r="AN1939" s="6" t="s">
        <v>19652</v>
      </c>
      <c r="AO1939" s="6" t="s">
        <v>19772</v>
      </c>
      <c r="AP1939" s="6" t="s">
        <v>81</v>
      </c>
      <c r="AQ1939" s="6" t="s">
        <v>81</v>
      </c>
      <c r="AR1939" s="6" t="s">
        <v>81</v>
      </c>
      <c r="AS1939" s="6" t="s">
        <v>81</v>
      </c>
      <c r="AT1939" s="6" t="s">
        <v>81</v>
      </c>
      <c r="AU1939" s="6" t="s">
        <v>81</v>
      </c>
      <c r="AV1939" s="6" t="s">
        <v>81</v>
      </c>
      <c r="AW1939" s="6" t="s">
        <v>81</v>
      </c>
      <c r="AX1939" s="6" t="s">
        <v>81</v>
      </c>
      <c r="AY1939" s="6" t="s">
        <v>23254</v>
      </c>
      <c r="AZ1939" s="6" t="s">
        <v>81</v>
      </c>
      <c r="BA1939" s="6" t="s">
        <v>23819</v>
      </c>
      <c r="BB1939" s="24" t="n">
        <v>981</v>
      </c>
      <c r="BC1939" s="26"/>
      <c r="BD1939" s="26"/>
      <c r="BE1939" s="26"/>
      <c r="BF1939" s="26" t="s">
        <v>23900</v>
      </c>
      <c r="BG1939" s="26"/>
      <c r="BH1939" s="26"/>
      <c r="BI1939" s="26"/>
      <c r="BJ1939" s="26"/>
      <c r="BK1939" s="26"/>
      <c r="BL1939" s="26"/>
      <c r="BM1939" s="26"/>
      <c r="BN1939" s="26"/>
      <c r="BO1939" s="26"/>
      <c r="BP1939" s="16" t="n">
        <v>45698</v>
      </c>
      <c r="BQ1939" s="28" t="str">
        <f>HYPERLINK("https://organic.ams.usda.gov/Integrity/Certificate.aspx?cid=45&amp;nopid=9950002075")</f>
        <v>https://organic.ams.usda.gov/Integrity/Certificate.aspx?cid=45&amp;nopid=9950002075</v>
      </c>
    </row>
    <row r="1940">
      <c r="A1940" t="s">
        <v>3</v>
      </c>
      <c r="B1940" s="6" t="s">
        <v>8</v>
      </c>
      <c r="C1940" s="6" t="s">
        <v>55</v>
      </c>
      <c r="D1940" s="6" t="s">
        <v>101</v>
      </c>
      <c r="E1940" s="10" t="s">
        <v>2081</v>
      </c>
      <c r="F1940" s="6" t="s">
        <v>4795</v>
      </c>
      <c r="G1940" s="6" t="s">
        <v>81</v>
      </c>
      <c r="H1940" s="6" t="s">
        <v>7668</v>
      </c>
      <c r="I1940" s="6" t="s">
        <v>81</v>
      </c>
      <c r="J1940" s="6" t="s">
        <v>81</v>
      </c>
      <c r="K1940" s="6" t="s">
        <v>10886</v>
      </c>
      <c r="L1940" s="16" t="n">
        <v>38622</v>
      </c>
      <c r="M1940" s="18" t="s">
        <v>81</v>
      </c>
      <c r="N1940" s="6" t="s">
        <v>81</v>
      </c>
      <c r="O1940" s="21" t="s">
        <v>81</v>
      </c>
      <c r="P1940" s="6" t="s">
        <v>81</v>
      </c>
      <c r="Q1940" s="6" t="s">
        <v>81</v>
      </c>
      <c r="R1940" s="6" t="s">
        <v>81</v>
      </c>
      <c r="S1940" s="6" t="s">
        <v>81</v>
      </c>
      <c r="T1940" s="21" t="s">
        <v>81</v>
      </c>
      <c r="U1940" s="6" t="s">
        <v>81</v>
      </c>
      <c r="V1940" s="6" t="s">
        <v>81</v>
      </c>
      <c r="W1940" s="6" t="s">
        <v>81</v>
      </c>
      <c r="X1940" s="6" t="s">
        <v>81</v>
      </c>
      <c r="Y1940" s="21" t="s">
        <v>81</v>
      </c>
      <c r="Z1940" s="6" t="s">
        <v>81</v>
      </c>
      <c r="AA1940" s="6" t="s">
        <v>81</v>
      </c>
      <c r="AB1940" s="6" t="s">
        <v>81</v>
      </c>
      <c r="AC1940" s="6" t="s">
        <v>10886</v>
      </c>
      <c r="AD1940" s="16" t="n">
        <v>38622</v>
      </c>
      <c r="AE1940" s="6" t="s">
        <v>14345</v>
      </c>
      <c r="AF1940" s="6" t="s">
        <v>81</v>
      </c>
      <c r="AG1940" s="6" t="s">
        <v>81</v>
      </c>
      <c r="AH1940" s="6" t="s">
        <v>16490</v>
      </c>
      <c r="AI1940" s="6" t="s">
        <v>81</v>
      </c>
      <c r="AJ1940" s="6" t="s">
        <v>17377</v>
      </c>
      <c r="AK1940" s="6" t="s">
        <v>18377</v>
      </c>
      <c r="AL1940" s="6" t="s">
        <v>18444</v>
      </c>
      <c r="AM1940" s="6" t="s">
        <v>18530</v>
      </c>
      <c r="AN1940" s="6" t="s">
        <v>19638</v>
      </c>
      <c r="AO1940" s="6" t="s">
        <v>19724</v>
      </c>
      <c r="AP1940" s="6" t="s">
        <v>81</v>
      </c>
      <c r="AQ1940" s="6" t="s">
        <v>81</v>
      </c>
      <c r="AR1940" s="6" t="s">
        <v>81</v>
      </c>
      <c r="AS1940" s="6" t="s">
        <v>81</v>
      </c>
      <c r="AT1940" s="6" t="s">
        <v>81</v>
      </c>
      <c r="AU1940" s="6" t="s">
        <v>81</v>
      </c>
      <c r="AV1940" s="6" t="s">
        <v>81</v>
      </c>
      <c r="AW1940" s="6" t="s">
        <v>81</v>
      </c>
      <c r="AX1940" s="6" t="s">
        <v>81</v>
      </c>
      <c r="AY1940" s="6" t="s">
        <v>81</v>
      </c>
      <c r="AZ1940" s="6" t="s">
        <v>81</v>
      </c>
      <c r="BA1940" s="6" t="s">
        <v>81</v>
      </c>
      <c r="BB1940" s="6" t="s">
        <v>81</v>
      </c>
      <c r="BC1940" s="26"/>
      <c r="BD1940" s="26"/>
      <c r="BE1940" s="26"/>
      <c r="BF1940" s="26"/>
      <c r="BG1940" s="26"/>
      <c r="BH1940" s="26"/>
      <c r="BI1940" s="26"/>
      <c r="BJ1940" s="26"/>
      <c r="BK1940" s="26"/>
      <c r="BL1940" s="26"/>
      <c r="BM1940" s="26"/>
      <c r="BN1940" s="26"/>
      <c r="BO1940" s="26"/>
      <c r="BP1940" s="16" t="n">
        <v>45034</v>
      </c>
      <c r="BQ1940" s="28" t="str">
        <f>HYPERLINK("https://organic.ams.usda.gov/Integrity/Certificate.aspx?cid=45&amp;nopid=9956101958")</f>
        <v>https://organic.ams.usda.gov/Integrity/Certificate.aspx?cid=45&amp;nopid=9956101958</v>
      </c>
    </row>
    <row r="1941">
      <c r="A1941" t="s">
        <v>3</v>
      </c>
      <c r="B1941" s="6" t="s">
        <v>18</v>
      </c>
      <c r="C1941" s="6" t="s">
        <v>65</v>
      </c>
      <c r="D1941" s="6" t="s">
        <v>111</v>
      </c>
      <c r="E1941" s="10" t="s">
        <v>2082</v>
      </c>
      <c r="F1941" s="6" t="s">
        <v>4796</v>
      </c>
      <c r="G1941" s="6" t="s">
        <v>81</v>
      </c>
      <c r="H1941" s="6" t="s">
        <v>2082</v>
      </c>
      <c r="I1941" s="6" t="s">
        <v>8694</v>
      </c>
      <c r="J1941" s="6" t="s">
        <v>9963</v>
      </c>
      <c r="K1941" s="6" t="s">
        <v>10886</v>
      </c>
      <c r="L1941" s="16" t="n">
        <v>44323</v>
      </c>
      <c r="M1941" s="16" t="n">
        <v>45731</v>
      </c>
      <c r="N1941" s="6" t="s">
        <v>10886</v>
      </c>
      <c r="O1941" s="16" t="n">
        <v>44323</v>
      </c>
      <c r="P1941" s="6" t="s">
        <v>12027</v>
      </c>
      <c r="Q1941" s="6" t="s">
        <v>81</v>
      </c>
      <c r="R1941" s="6" t="s">
        <v>4796</v>
      </c>
      <c r="S1941" s="6" t="s">
        <v>10886</v>
      </c>
      <c r="T1941" s="16" t="n">
        <v>44323</v>
      </c>
      <c r="U1941" s="6" t="s">
        <v>13757</v>
      </c>
      <c r="V1941" s="6" t="s">
        <v>81</v>
      </c>
      <c r="W1941" s="6" t="s">
        <v>4796</v>
      </c>
      <c r="X1941" s="6" t="s">
        <v>81</v>
      </c>
      <c r="Y1941" s="21" t="s">
        <v>81</v>
      </c>
      <c r="Z1941" s="6" t="s">
        <v>81</v>
      </c>
      <c r="AA1941" s="6" t="s">
        <v>81</v>
      </c>
      <c r="AB1941" s="6" t="s">
        <v>81</v>
      </c>
      <c r="AC1941" s="6" t="s">
        <v>81</v>
      </c>
      <c r="AD1941" s="21" t="s">
        <v>81</v>
      </c>
      <c r="AE1941" s="6" t="s">
        <v>81</v>
      </c>
      <c r="AF1941" s="6" t="s">
        <v>81</v>
      </c>
      <c r="AG1941" s="6" t="s">
        <v>81</v>
      </c>
      <c r="AH1941" s="6" t="s">
        <v>16491</v>
      </c>
      <c r="AI1941" s="6" t="s">
        <v>81</v>
      </c>
      <c r="AJ1941" s="6" t="s">
        <v>18160</v>
      </c>
      <c r="AK1941" s="6" t="s">
        <v>17712</v>
      </c>
      <c r="AL1941" s="6" t="s">
        <v>18444</v>
      </c>
      <c r="AM1941" s="6" t="s">
        <v>19364</v>
      </c>
      <c r="AN1941" s="6" t="s">
        <v>19643</v>
      </c>
      <c r="AO1941" s="6" t="s">
        <v>19766</v>
      </c>
      <c r="AP1941" s="6" t="s">
        <v>20358</v>
      </c>
      <c r="AQ1941" s="6" t="s">
        <v>81</v>
      </c>
      <c r="AR1941" s="6" t="s">
        <v>18160</v>
      </c>
      <c r="AS1941" s="6" t="s">
        <v>17712</v>
      </c>
      <c r="AT1941" s="6" t="s">
        <v>18444</v>
      </c>
      <c r="AU1941" s="6" t="s">
        <v>19364</v>
      </c>
      <c r="AV1941" s="6" t="s">
        <v>81</v>
      </c>
      <c r="AW1941" s="6" t="s">
        <v>81</v>
      </c>
      <c r="AX1941" s="6" t="s">
        <v>21998</v>
      </c>
      <c r="AY1941" s="6" t="s">
        <v>23255</v>
      </c>
      <c r="AZ1941" s="6" t="s">
        <v>81</v>
      </c>
      <c r="BA1941" s="6" t="s">
        <v>81</v>
      </c>
      <c r="BB1941" s="24" t="n">
        <v>736</v>
      </c>
      <c r="BC1941" s="26"/>
      <c r="BD1941" s="26"/>
      <c r="BE1941" s="26"/>
      <c r="BF1941" s="26" t="s">
        <v>23900</v>
      </c>
      <c r="BG1941" s="26"/>
      <c r="BH1941" s="26"/>
      <c r="BI1941" s="26"/>
      <c r="BJ1941" s="26"/>
      <c r="BK1941" s="26"/>
      <c r="BL1941" s="26"/>
      <c r="BM1941" s="26"/>
      <c r="BN1941" s="26"/>
      <c r="BO1941" s="26"/>
      <c r="BP1941" s="16" t="n">
        <v>45572</v>
      </c>
      <c r="BQ1941" s="28" t="str">
        <f>HYPERLINK("https://organic.ams.usda.gov/Integrity/Certificate.aspx?cid=8&amp;nopid=2202105800")</f>
        <v>https://organic.ams.usda.gov/Integrity/Certificate.aspx?cid=8&amp;nopid=2202105800</v>
      </c>
    </row>
    <row r="1942">
      <c r="A1942" t="s">
        <v>3</v>
      </c>
      <c r="B1942" s="6" t="s">
        <v>8</v>
      </c>
      <c r="C1942" s="6" t="s">
        <v>55</v>
      </c>
      <c r="D1942" s="6" t="s">
        <v>101</v>
      </c>
      <c r="E1942" s="10" t="s">
        <v>2083</v>
      </c>
      <c r="F1942" s="6" t="s">
        <v>4797</v>
      </c>
      <c r="G1942" s="6" t="s">
        <v>81</v>
      </c>
      <c r="H1942" s="6" t="s">
        <v>7669</v>
      </c>
      <c r="I1942" s="6" t="s">
        <v>8693</v>
      </c>
      <c r="J1942" s="6" t="s">
        <v>10515</v>
      </c>
      <c r="K1942" s="6" t="s">
        <v>10886</v>
      </c>
      <c r="L1942" s="16" t="n">
        <v>38933</v>
      </c>
      <c r="M1942" s="16" t="n">
        <v>45748</v>
      </c>
      <c r="N1942" s="6" t="s">
        <v>10886</v>
      </c>
      <c r="O1942" s="16" t="n">
        <v>38933</v>
      </c>
      <c r="P1942" s="6" t="s">
        <v>12028</v>
      </c>
      <c r="Q1942" s="6" t="s">
        <v>81</v>
      </c>
      <c r="R1942" s="6" t="s">
        <v>7669</v>
      </c>
      <c r="S1942" s="6" t="s">
        <v>10886</v>
      </c>
      <c r="T1942" s="16" t="n">
        <v>38933</v>
      </c>
      <c r="U1942" s="6" t="s">
        <v>13758</v>
      </c>
      <c r="V1942" s="6" t="s">
        <v>81</v>
      </c>
      <c r="W1942" s="6" t="s">
        <v>7669</v>
      </c>
      <c r="X1942" s="6" t="s">
        <v>81</v>
      </c>
      <c r="Y1942" s="21" t="s">
        <v>81</v>
      </c>
      <c r="Z1942" s="6" t="s">
        <v>81</v>
      </c>
      <c r="AA1942" s="6" t="s">
        <v>81</v>
      </c>
      <c r="AB1942" s="6" t="s">
        <v>81</v>
      </c>
      <c r="AC1942" s="6" t="s">
        <v>81</v>
      </c>
      <c r="AD1942" s="21" t="s">
        <v>81</v>
      </c>
      <c r="AE1942" s="6" t="s">
        <v>81</v>
      </c>
      <c r="AF1942" s="6" t="s">
        <v>81</v>
      </c>
      <c r="AG1942" s="6" t="s">
        <v>81</v>
      </c>
      <c r="AH1942" s="6" t="s">
        <v>16492</v>
      </c>
      <c r="AI1942" s="6" t="s">
        <v>81</v>
      </c>
      <c r="AJ1942" s="6" t="s">
        <v>17450</v>
      </c>
      <c r="AK1942" s="6" t="s">
        <v>18377</v>
      </c>
      <c r="AL1942" s="6" t="s">
        <v>18444</v>
      </c>
      <c r="AM1942" s="6" t="s">
        <v>19365</v>
      </c>
      <c r="AN1942" s="6" t="s">
        <v>19661</v>
      </c>
      <c r="AO1942" s="6" t="s">
        <v>19761</v>
      </c>
      <c r="AP1942" s="6" t="s">
        <v>81</v>
      </c>
      <c r="AQ1942" s="6" t="s">
        <v>81</v>
      </c>
      <c r="AR1942" s="6" t="s">
        <v>81</v>
      </c>
      <c r="AS1942" s="6" t="s">
        <v>81</v>
      </c>
      <c r="AT1942" s="6" t="s">
        <v>81</v>
      </c>
      <c r="AU1942" s="6" t="s">
        <v>81</v>
      </c>
      <c r="AV1942" s="6" t="s">
        <v>81</v>
      </c>
      <c r="AW1942" s="6" t="s">
        <v>81</v>
      </c>
      <c r="AX1942" s="6" t="s">
        <v>81</v>
      </c>
      <c r="AY1942" s="6" t="s">
        <v>23256</v>
      </c>
      <c r="AZ1942" s="6" t="s">
        <v>81</v>
      </c>
      <c r="BA1942" s="6" t="s">
        <v>23824</v>
      </c>
      <c r="BB1942" s="24" t="n">
        <v>397</v>
      </c>
      <c r="BC1942" s="26"/>
      <c r="BD1942" s="26"/>
      <c r="BE1942" s="26"/>
      <c r="BF1942" s="26" t="s">
        <v>23900</v>
      </c>
      <c r="BG1942" s="26"/>
      <c r="BH1942" s="26"/>
      <c r="BI1942" s="26"/>
      <c r="BJ1942" s="26"/>
      <c r="BK1942" s="26"/>
      <c r="BL1942" s="26"/>
      <c r="BM1942" s="26"/>
      <c r="BN1942" s="26"/>
      <c r="BO1942" s="26"/>
      <c r="BP1942" s="16" t="n">
        <v>45659</v>
      </c>
      <c r="BQ1942" s="28" t="str">
        <f>HYPERLINK("https://organic.ams.usda.gov/Integrity/Certificate.aspx?cid=45&amp;nopid=9950002385")</f>
        <v>https://organic.ams.usda.gov/Integrity/Certificate.aspx?cid=45&amp;nopid=9950002385</v>
      </c>
    </row>
    <row r="1943">
      <c r="A1943" t="s">
        <v>3</v>
      </c>
      <c r="B1943" s="6" t="s">
        <v>29</v>
      </c>
      <c r="C1943" s="6" t="s">
        <v>76</v>
      </c>
      <c r="D1943" s="6" t="s">
        <v>122</v>
      </c>
      <c r="E1943" s="10" t="s">
        <v>2084</v>
      </c>
      <c r="F1943" s="6" t="s">
        <v>4798</v>
      </c>
      <c r="G1943" s="6" t="s">
        <v>81</v>
      </c>
      <c r="H1943" s="6" t="s">
        <v>7670</v>
      </c>
      <c r="I1943" s="6" t="s">
        <v>9358</v>
      </c>
      <c r="J1943" s="6" t="s">
        <v>10516</v>
      </c>
      <c r="K1943" s="6" t="s">
        <v>10886</v>
      </c>
      <c r="L1943" s="16" t="n">
        <v>38954</v>
      </c>
      <c r="M1943" s="16" t="n">
        <v>45505</v>
      </c>
      <c r="N1943" s="6" t="s">
        <v>10886</v>
      </c>
      <c r="O1943" s="16" t="n">
        <v>38954</v>
      </c>
      <c r="P1943" s="6" t="s">
        <v>12029</v>
      </c>
      <c r="Q1943" s="6" t="s">
        <v>81</v>
      </c>
      <c r="R1943" s="6" t="s">
        <v>12980</v>
      </c>
      <c r="S1943" s="6" t="s">
        <v>10886</v>
      </c>
      <c r="T1943" s="16" t="n">
        <v>38954</v>
      </c>
      <c r="U1943" s="6" t="s">
        <v>13384</v>
      </c>
      <c r="V1943" s="6" t="s">
        <v>81</v>
      </c>
      <c r="W1943" s="6" t="s">
        <v>12980</v>
      </c>
      <c r="X1943" s="6" t="s">
        <v>81</v>
      </c>
      <c r="Y1943" s="21" t="s">
        <v>81</v>
      </c>
      <c r="Z1943" s="6" t="s">
        <v>81</v>
      </c>
      <c r="AA1943" s="6" t="s">
        <v>81</v>
      </c>
      <c r="AB1943" s="6" t="s">
        <v>81</v>
      </c>
      <c r="AC1943" s="6" t="s">
        <v>81</v>
      </c>
      <c r="AD1943" s="21" t="s">
        <v>81</v>
      </c>
      <c r="AE1943" s="6" t="s">
        <v>81</v>
      </c>
      <c r="AF1943" s="6" t="s">
        <v>81</v>
      </c>
      <c r="AG1943" s="6" t="s">
        <v>81</v>
      </c>
      <c r="AH1943" s="6" t="s">
        <v>16493</v>
      </c>
      <c r="AI1943" s="6" t="s">
        <v>81</v>
      </c>
      <c r="AJ1943" s="6" t="s">
        <v>18161</v>
      </c>
      <c r="AK1943" s="6" t="s">
        <v>17712</v>
      </c>
      <c r="AL1943" s="6" t="s">
        <v>18444</v>
      </c>
      <c r="AM1943" s="6" t="s">
        <v>19366</v>
      </c>
      <c r="AN1943" s="6" t="s">
        <v>19686</v>
      </c>
      <c r="AO1943" s="6" t="s">
        <v>19827</v>
      </c>
      <c r="AP1943" s="6" t="s">
        <v>81</v>
      </c>
      <c r="AQ1943" s="6" t="s">
        <v>81</v>
      </c>
      <c r="AR1943" s="6" t="s">
        <v>81</v>
      </c>
      <c r="AS1943" s="6" t="s">
        <v>81</v>
      </c>
      <c r="AT1943" s="6" t="s">
        <v>81</v>
      </c>
      <c r="AU1943" s="6" t="s">
        <v>81</v>
      </c>
      <c r="AV1943" s="6" t="s">
        <v>81</v>
      </c>
      <c r="AW1943" s="6" t="s">
        <v>81</v>
      </c>
      <c r="AX1943" s="6" t="s">
        <v>21999</v>
      </c>
      <c r="AY1943" s="6" t="s">
        <v>23257</v>
      </c>
      <c r="AZ1943" s="6" t="s">
        <v>81</v>
      </c>
      <c r="BA1943" s="6" t="s">
        <v>81</v>
      </c>
      <c r="BB1943" s="24" t="n">
        <v>1333</v>
      </c>
      <c r="BC1943" s="26"/>
      <c r="BD1943" s="26"/>
      <c r="BE1943" s="26"/>
      <c r="BF1943" s="26" t="s">
        <v>23900</v>
      </c>
      <c r="BG1943" s="26"/>
      <c r="BH1943" s="26"/>
      <c r="BI1943" s="26"/>
      <c r="BJ1943" s="26"/>
      <c r="BK1943" s="26"/>
      <c r="BL1943" s="26"/>
      <c r="BM1943" s="26"/>
      <c r="BN1943" s="26"/>
      <c r="BO1943" s="26"/>
      <c r="BP1943" s="16" t="n">
        <v>45737</v>
      </c>
      <c r="BQ1943" s="28" t="str">
        <f>HYPERLINK("https://organic.ams.usda.gov/Integrity/Certificate.aspx?cid=31&amp;nopid=3920897577")</f>
        <v>https://organic.ams.usda.gov/Integrity/Certificate.aspx?cid=31&amp;nopid=3920897577</v>
      </c>
    </row>
    <row r="1944">
      <c r="A1944" t="s">
        <v>3</v>
      </c>
      <c r="B1944" s="6" t="s">
        <v>8</v>
      </c>
      <c r="C1944" s="6" t="s">
        <v>55</v>
      </c>
      <c r="D1944" s="6" t="s">
        <v>101</v>
      </c>
      <c r="E1944" s="10" t="s">
        <v>2085</v>
      </c>
      <c r="F1944" s="6" t="s">
        <v>4799</v>
      </c>
      <c r="G1944" s="6" t="s">
        <v>5771</v>
      </c>
      <c r="H1944" s="6" t="s">
        <v>7671</v>
      </c>
      <c r="I1944" s="6" t="s">
        <v>8818</v>
      </c>
      <c r="J1944" s="6" t="s">
        <v>10517</v>
      </c>
      <c r="K1944" s="6" t="s">
        <v>10886</v>
      </c>
      <c r="L1944" s="16" t="n">
        <v>37726</v>
      </c>
      <c r="M1944" s="16" t="n">
        <v>45689</v>
      </c>
      <c r="N1944" s="6" t="s">
        <v>10886</v>
      </c>
      <c r="O1944" s="16" t="n">
        <v>37726</v>
      </c>
      <c r="P1944" s="6" t="s">
        <v>12030</v>
      </c>
      <c r="Q1944" s="6" t="s">
        <v>81</v>
      </c>
      <c r="R1944" s="6" t="s">
        <v>7671</v>
      </c>
      <c r="S1944" s="6" t="s">
        <v>10886</v>
      </c>
      <c r="T1944" s="16" t="n">
        <v>37726</v>
      </c>
      <c r="U1944" s="6" t="s">
        <v>13179</v>
      </c>
      <c r="V1944" s="6" t="s">
        <v>81</v>
      </c>
      <c r="W1944" s="6" t="s">
        <v>7671</v>
      </c>
      <c r="X1944" s="6" t="s">
        <v>81</v>
      </c>
      <c r="Y1944" s="21" t="s">
        <v>81</v>
      </c>
      <c r="Z1944" s="6" t="s">
        <v>81</v>
      </c>
      <c r="AA1944" s="6" t="s">
        <v>81</v>
      </c>
      <c r="AB1944" s="6" t="s">
        <v>81</v>
      </c>
      <c r="AC1944" s="6" t="s">
        <v>81</v>
      </c>
      <c r="AD1944" s="21" t="s">
        <v>81</v>
      </c>
      <c r="AE1944" s="6" t="s">
        <v>81</v>
      </c>
      <c r="AF1944" s="6" t="s">
        <v>81</v>
      </c>
      <c r="AG1944" s="6" t="s">
        <v>81</v>
      </c>
      <c r="AH1944" s="6" t="s">
        <v>16494</v>
      </c>
      <c r="AI1944" s="6" t="s">
        <v>81</v>
      </c>
      <c r="AJ1944" s="6" t="s">
        <v>18162</v>
      </c>
      <c r="AK1944" s="6" t="s">
        <v>18377</v>
      </c>
      <c r="AL1944" s="6" t="s">
        <v>18444</v>
      </c>
      <c r="AM1944" s="6" t="s">
        <v>19367</v>
      </c>
      <c r="AN1944" s="6" t="s">
        <v>19683</v>
      </c>
      <c r="AO1944" s="6" t="s">
        <v>19837</v>
      </c>
      <c r="AP1944" s="6" t="s">
        <v>81</v>
      </c>
      <c r="AQ1944" s="6" t="s">
        <v>81</v>
      </c>
      <c r="AR1944" s="6" t="s">
        <v>81</v>
      </c>
      <c r="AS1944" s="6" t="s">
        <v>81</v>
      </c>
      <c r="AT1944" s="6" t="s">
        <v>81</v>
      </c>
      <c r="AU1944" s="6" t="s">
        <v>81</v>
      </c>
      <c r="AV1944" s="6" t="s">
        <v>81</v>
      </c>
      <c r="AW1944" s="6" t="s">
        <v>81</v>
      </c>
      <c r="AX1944" s="6" t="s">
        <v>22000</v>
      </c>
      <c r="AY1944" s="6" t="s">
        <v>23258</v>
      </c>
      <c r="AZ1944" s="6" t="s">
        <v>81</v>
      </c>
      <c r="BA1944" s="6" t="s">
        <v>23819</v>
      </c>
      <c r="BB1944" s="24" t="n">
        <v>222</v>
      </c>
      <c r="BC1944" s="26"/>
      <c r="BD1944" s="26"/>
      <c r="BE1944" s="26"/>
      <c r="BF1944" s="26" t="s">
        <v>23900</v>
      </c>
      <c r="BG1944" s="26"/>
      <c r="BH1944" s="26"/>
      <c r="BI1944" s="26"/>
      <c r="BJ1944" s="26"/>
      <c r="BK1944" s="26"/>
      <c r="BL1944" s="26"/>
      <c r="BM1944" s="26"/>
      <c r="BN1944" s="26"/>
      <c r="BO1944" s="26"/>
      <c r="BP1944" s="16" t="n">
        <v>45712</v>
      </c>
      <c r="BQ1944" s="28" t="str">
        <f>HYPERLINK("https://organic.ams.usda.gov/Integrity/Certificate.aspx?cid=45&amp;nopid=9950001228")</f>
        <v>https://organic.ams.usda.gov/Integrity/Certificate.aspx?cid=45&amp;nopid=9950001228</v>
      </c>
    </row>
    <row r="1945">
      <c r="A1945" t="s">
        <v>3</v>
      </c>
      <c r="B1945" s="6" t="s">
        <v>8</v>
      </c>
      <c r="C1945" s="6" t="s">
        <v>55</v>
      </c>
      <c r="D1945" s="6" t="s">
        <v>101</v>
      </c>
      <c r="E1945" s="10" t="s">
        <v>2086</v>
      </c>
      <c r="F1945" s="6" t="s">
        <v>4800</v>
      </c>
      <c r="G1945" s="6" t="s">
        <v>5772</v>
      </c>
      <c r="H1945" s="6" t="s">
        <v>7672</v>
      </c>
      <c r="I1945" s="6" t="s">
        <v>9359</v>
      </c>
      <c r="J1945" s="6" t="s">
        <v>10518</v>
      </c>
      <c r="K1945" s="6" t="s">
        <v>10886</v>
      </c>
      <c r="L1945" s="16" t="n">
        <v>45489</v>
      </c>
      <c r="M1945" s="16" t="n">
        <v>45748</v>
      </c>
      <c r="N1945" s="6" t="s">
        <v>10886</v>
      </c>
      <c r="O1945" s="16" t="n">
        <v>45489</v>
      </c>
      <c r="P1945" s="6" t="s">
        <v>10922</v>
      </c>
      <c r="Q1945" s="6" t="s">
        <v>81</v>
      </c>
      <c r="R1945" s="6" t="s">
        <v>7672</v>
      </c>
      <c r="S1945" s="6" t="s">
        <v>10886</v>
      </c>
      <c r="T1945" s="16" t="n">
        <v>45489</v>
      </c>
      <c r="U1945" s="6" t="s">
        <v>13179</v>
      </c>
      <c r="V1945" s="6" t="s">
        <v>81</v>
      </c>
      <c r="W1945" s="6" t="s">
        <v>7672</v>
      </c>
      <c r="X1945" s="6" t="s">
        <v>81</v>
      </c>
      <c r="Y1945" s="21" t="s">
        <v>81</v>
      </c>
      <c r="Z1945" s="6" t="s">
        <v>81</v>
      </c>
      <c r="AA1945" s="6" t="s">
        <v>81</v>
      </c>
      <c r="AB1945" s="6" t="s">
        <v>81</v>
      </c>
      <c r="AC1945" s="6" t="s">
        <v>81</v>
      </c>
      <c r="AD1945" s="21" t="s">
        <v>81</v>
      </c>
      <c r="AE1945" s="6" t="s">
        <v>81</v>
      </c>
      <c r="AF1945" s="6" t="s">
        <v>81</v>
      </c>
      <c r="AG1945" s="6" t="s">
        <v>81</v>
      </c>
      <c r="AH1945" s="6" t="s">
        <v>16495</v>
      </c>
      <c r="AI1945" s="6" t="s">
        <v>81</v>
      </c>
      <c r="AJ1945" s="6" t="s">
        <v>17521</v>
      </c>
      <c r="AK1945" s="6" t="s">
        <v>18377</v>
      </c>
      <c r="AL1945" s="6" t="s">
        <v>18444</v>
      </c>
      <c r="AM1945" s="6" t="s">
        <v>19368</v>
      </c>
      <c r="AN1945" s="6" t="s">
        <v>81</v>
      </c>
      <c r="AO1945" s="6" t="s">
        <v>81</v>
      </c>
      <c r="AP1945" s="6" t="s">
        <v>20359</v>
      </c>
      <c r="AQ1945" s="6" t="s">
        <v>81</v>
      </c>
      <c r="AR1945" s="6" t="s">
        <v>17521</v>
      </c>
      <c r="AS1945" s="6" t="s">
        <v>18377</v>
      </c>
      <c r="AT1945" s="6" t="s">
        <v>18444</v>
      </c>
      <c r="AU1945" s="6" t="s">
        <v>19368</v>
      </c>
      <c r="AV1945" s="6" t="s">
        <v>81</v>
      </c>
      <c r="AW1945" s="6" t="s">
        <v>81</v>
      </c>
      <c r="AX1945" s="6" t="s">
        <v>81</v>
      </c>
      <c r="AY1945" s="6" t="s">
        <v>23259</v>
      </c>
      <c r="AZ1945" s="6" t="s">
        <v>81</v>
      </c>
      <c r="BA1945" s="6" t="s">
        <v>23819</v>
      </c>
      <c r="BB1945" s="24" t="n">
        <v>264</v>
      </c>
      <c r="BC1945" s="26"/>
      <c r="BD1945" s="26"/>
      <c r="BE1945" s="26"/>
      <c r="BF1945" s="26" t="s">
        <v>23900</v>
      </c>
      <c r="BG1945" s="26"/>
      <c r="BH1945" s="26"/>
      <c r="BI1945" s="26"/>
      <c r="BJ1945" s="26"/>
      <c r="BK1945" s="26"/>
      <c r="BL1945" s="26"/>
      <c r="BM1945" s="26"/>
      <c r="BN1945" s="26"/>
      <c r="BO1945" s="26"/>
      <c r="BP1945" s="16" t="n">
        <v>45489</v>
      </c>
      <c r="BQ1945" s="28" t="str">
        <f>HYPERLINK("https://organic.ams.usda.gov/Integrity/Certificate.aspx?cid=45&amp;nopid=9950014138")</f>
        <v>https://organic.ams.usda.gov/Integrity/Certificate.aspx?cid=45&amp;nopid=9950014138</v>
      </c>
    </row>
    <row r="1946">
      <c r="A1946" t="s">
        <v>3</v>
      </c>
      <c r="B1946" s="6" t="s">
        <v>9</v>
      </c>
      <c r="C1946" s="6" t="s">
        <v>56</v>
      </c>
      <c r="D1946" s="6" t="s">
        <v>102</v>
      </c>
      <c r="E1946" s="10" t="s">
        <v>2087</v>
      </c>
      <c r="F1946" s="6" t="s">
        <v>4801</v>
      </c>
      <c r="G1946" s="6" t="s">
        <v>81</v>
      </c>
      <c r="H1946" s="6" t="s">
        <v>7673</v>
      </c>
      <c r="I1946" s="6" t="s">
        <v>8529</v>
      </c>
      <c r="J1946" s="6" t="s">
        <v>9742</v>
      </c>
      <c r="K1946" s="6" t="s">
        <v>10886</v>
      </c>
      <c r="L1946" s="16" t="n">
        <v>41976</v>
      </c>
      <c r="M1946" s="16" t="n">
        <v>46113</v>
      </c>
      <c r="N1946" s="6" t="s">
        <v>10886</v>
      </c>
      <c r="O1946" s="16" t="n">
        <v>41976</v>
      </c>
      <c r="P1946" s="6" t="s">
        <v>11550</v>
      </c>
      <c r="Q1946" s="6" t="s">
        <v>81</v>
      </c>
      <c r="R1946" s="6" t="s">
        <v>12981</v>
      </c>
      <c r="S1946" s="6" t="s">
        <v>10886</v>
      </c>
      <c r="T1946" s="16" t="n">
        <v>41976</v>
      </c>
      <c r="U1946" s="6" t="s">
        <v>13759</v>
      </c>
      <c r="V1946" s="6" t="s">
        <v>81</v>
      </c>
      <c r="W1946" s="6" t="s">
        <v>12981</v>
      </c>
      <c r="X1946" s="6" t="s">
        <v>81</v>
      </c>
      <c r="Y1946" s="21" t="s">
        <v>81</v>
      </c>
      <c r="Z1946" s="6" t="s">
        <v>81</v>
      </c>
      <c r="AA1946" s="6" t="s">
        <v>81</v>
      </c>
      <c r="AB1946" s="6" t="s">
        <v>81</v>
      </c>
      <c r="AC1946" s="6" t="s">
        <v>81</v>
      </c>
      <c r="AD1946" s="21" t="s">
        <v>81</v>
      </c>
      <c r="AE1946" s="6" t="s">
        <v>81</v>
      </c>
      <c r="AF1946" s="6" t="s">
        <v>81</v>
      </c>
      <c r="AG1946" s="6" t="s">
        <v>81</v>
      </c>
      <c r="AH1946" s="6" t="s">
        <v>16496</v>
      </c>
      <c r="AI1946" s="6" t="s">
        <v>81</v>
      </c>
      <c r="AJ1946" s="6" t="s">
        <v>17324</v>
      </c>
      <c r="AK1946" s="6" t="s">
        <v>18379</v>
      </c>
      <c r="AL1946" s="6" t="s">
        <v>18444</v>
      </c>
      <c r="AM1946" s="6" t="s">
        <v>18754</v>
      </c>
      <c r="AN1946" s="6" t="s">
        <v>19637</v>
      </c>
      <c r="AO1946" s="6" t="s">
        <v>19723</v>
      </c>
      <c r="AP1946" s="6" t="s">
        <v>81</v>
      </c>
      <c r="AQ1946" s="6" t="s">
        <v>81</v>
      </c>
      <c r="AR1946" s="6" t="s">
        <v>81</v>
      </c>
      <c r="AS1946" s="6" t="s">
        <v>81</v>
      </c>
      <c r="AT1946" s="6" t="s">
        <v>81</v>
      </c>
      <c r="AU1946" s="6" t="s">
        <v>81</v>
      </c>
      <c r="AV1946" s="6" t="s">
        <v>81</v>
      </c>
      <c r="AW1946" s="6" t="s">
        <v>81</v>
      </c>
      <c r="AX1946" s="6" t="s">
        <v>81</v>
      </c>
      <c r="AY1946" s="6" t="s">
        <v>81</v>
      </c>
      <c r="AZ1946" s="6" t="s">
        <v>81</v>
      </c>
      <c r="BA1946" s="6" t="s">
        <v>81</v>
      </c>
      <c r="BB1946" s="24" t="n">
        <v>195</v>
      </c>
      <c r="BC1946" s="26"/>
      <c r="BD1946" s="26"/>
      <c r="BE1946" s="26"/>
      <c r="BF1946" s="26"/>
      <c r="BG1946" s="26"/>
      <c r="BH1946" s="26"/>
      <c r="BI1946" s="26"/>
      <c r="BJ1946" s="26"/>
      <c r="BK1946" s="26"/>
      <c r="BL1946" s="26"/>
      <c r="BM1946" s="26"/>
      <c r="BN1946" s="26"/>
      <c r="BO1946" s="26"/>
      <c r="BP1946" s="16" t="n">
        <v>45738</v>
      </c>
      <c r="BQ1946" s="28" t="str">
        <f>HYPERLINK("https://organic.ams.usda.gov/Integrity/Certificate.aspx?cid=52&amp;nopid=8431400896")</f>
        <v>https://organic.ams.usda.gov/Integrity/Certificate.aspx?cid=52&amp;nopid=8431400896</v>
      </c>
    </row>
    <row r="1947">
      <c r="A1947" t="s">
        <v>3</v>
      </c>
      <c r="B1947" s="6" t="s">
        <v>24</v>
      </c>
      <c r="C1947" s="6" t="s">
        <v>71</v>
      </c>
      <c r="D1947" s="6" t="s">
        <v>117</v>
      </c>
      <c r="E1947" s="10" t="s">
        <v>2088</v>
      </c>
      <c r="F1947" s="6" t="s">
        <v>4801</v>
      </c>
      <c r="G1947" s="6" t="s">
        <v>81</v>
      </c>
      <c r="H1947" s="6" t="s">
        <v>81</v>
      </c>
      <c r="I1947" s="6" t="s">
        <v>8529</v>
      </c>
      <c r="J1947" s="6" t="s">
        <v>9742</v>
      </c>
      <c r="K1947" s="6" t="s">
        <v>10886</v>
      </c>
      <c r="L1947" s="16" t="n">
        <v>44615</v>
      </c>
      <c r="M1947" s="16" t="n">
        <v>45809</v>
      </c>
      <c r="N1947" s="6" t="s">
        <v>10886</v>
      </c>
      <c r="O1947" s="16" t="n">
        <v>45281</v>
      </c>
      <c r="P1947" s="6" t="s">
        <v>12031</v>
      </c>
      <c r="Q1947" s="6" t="s">
        <v>81</v>
      </c>
      <c r="R1947" s="6" t="s">
        <v>81</v>
      </c>
      <c r="S1947" s="6" t="s">
        <v>10886</v>
      </c>
      <c r="T1947" s="16" t="n">
        <v>45281</v>
      </c>
      <c r="U1947" s="6" t="s">
        <v>13760</v>
      </c>
      <c r="V1947" s="6" t="s">
        <v>81</v>
      </c>
      <c r="W1947" s="6" t="s">
        <v>81</v>
      </c>
      <c r="X1947" s="6" t="s">
        <v>81</v>
      </c>
      <c r="Y1947" s="21" t="s">
        <v>81</v>
      </c>
      <c r="Z1947" s="6" t="s">
        <v>81</v>
      </c>
      <c r="AA1947" s="6" t="s">
        <v>81</v>
      </c>
      <c r="AB1947" s="6" t="s">
        <v>81</v>
      </c>
      <c r="AC1947" s="6" t="s">
        <v>10886</v>
      </c>
      <c r="AD1947" s="16" t="n">
        <v>45281</v>
      </c>
      <c r="AE1947" s="6" t="s">
        <v>14014</v>
      </c>
      <c r="AF1947" s="6" t="s">
        <v>81</v>
      </c>
      <c r="AG1947" s="6" t="s">
        <v>81</v>
      </c>
      <c r="AH1947" s="6" t="s">
        <v>16497</v>
      </c>
      <c r="AI1947" s="6" t="s">
        <v>81</v>
      </c>
      <c r="AJ1947" s="6" t="s">
        <v>17394</v>
      </c>
      <c r="AK1947" s="6" t="s">
        <v>18377</v>
      </c>
      <c r="AL1947" s="6" t="s">
        <v>18444</v>
      </c>
      <c r="AM1947" s="6" t="s">
        <v>18550</v>
      </c>
      <c r="AN1947" s="6" t="s">
        <v>7895</v>
      </c>
      <c r="AO1947" s="6" t="s">
        <v>19773</v>
      </c>
      <c r="AP1947" s="6" t="s">
        <v>16497</v>
      </c>
      <c r="AQ1947" s="6" t="s">
        <v>81</v>
      </c>
      <c r="AR1947" s="6" t="s">
        <v>17394</v>
      </c>
      <c r="AS1947" s="6" t="s">
        <v>18377</v>
      </c>
      <c r="AT1947" s="6" t="s">
        <v>18444</v>
      </c>
      <c r="AU1947" s="6" t="s">
        <v>18550</v>
      </c>
      <c r="AV1947" s="6" t="s">
        <v>81</v>
      </c>
      <c r="AW1947" s="6" t="s">
        <v>81</v>
      </c>
      <c r="AX1947" s="6" t="s">
        <v>81</v>
      </c>
      <c r="AY1947" s="6" t="s">
        <v>81</v>
      </c>
      <c r="AZ1947" s="6" t="s">
        <v>81</v>
      </c>
      <c r="BA1947" s="6" t="s">
        <v>81</v>
      </c>
      <c r="BB1947" s="24" t="n">
        <v>153</v>
      </c>
      <c r="BC1947" s="26"/>
      <c r="BD1947" s="26"/>
      <c r="BE1947" s="26"/>
      <c r="BF1947" s="26"/>
      <c r="BG1947" s="26"/>
      <c r="BH1947" s="26"/>
      <c r="BI1947" s="26"/>
      <c r="BJ1947" s="26"/>
      <c r="BK1947" s="26"/>
      <c r="BL1947" s="26"/>
      <c r="BM1947" s="26"/>
      <c r="BN1947" s="26"/>
      <c r="BO1947" s="26"/>
      <c r="BP1947" s="16" t="n">
        <v>45736</v>
      </c>
      <c r="BQ1947" s="28" t="str">
        <f>HYPERLINK("https://organic.ams.usda.gov/Integrity/Certificate.aspx?cid=1&amp;nopid=9092134304")</f>
        <v>https://organic.ams.usda.gov/Integrity/Certificate.aspx?cid=1&amp;nopid=9092134304</v>
      </c>
    </row>
    <row r="1948">
      <c r="A1948" t="s">
        <v>3</v>
      </c>
      <c r="B1948" s="6" t="s">
        <v>10</v>
      </c>
      <c r="C1948" s="6" t="s">
        <v>57</v>
      </c>
      <c r="D1948" s="6" t="s">
        <v>103</v>
      </c>
      <c r="E1948" s="10" t="s">
        <v>2089</v>
      </c>
      <c r="F1948" s="6" t="s">
        <v>4802</v>
      </c>
      <c r="G1948" s="6" t="s">
        <v>81</v>
      </c>
      <c r="H1948" s="6" t="s">
        <v>7674</v>
      </c>
      <c r="I1948" s="6" t="s">
        <v>9360</v>
      </c>
      <c r="J1948" s="6" t="s">
        <v>9726</v>
      </c>
      <c r="K1948" s="6" t="s">
        <v>10886</v>
      </c>
      <c r="L1948" s="16" t="n">
        <v>44931</v>
      </c>
      <c r="M1948" s="16" t="n">
        <v>45748</v>
      </c>
      <c r="N1948" s="6" t="s">
        <v>10886</v>
      </c>
      <c r="O1948" s="16" t="n">
        <v>44931</v>
      </c>
      <c r="P1948" s="6" t="s">
        <v>12032</v>
      </c>
      <c r="Q1948" s="6" t="s">
        <v>81</v>
      </c>
      <c r="R1948" s="6" t="s">
        <v>12982</v>
      </c>
      <c r="S1948" s="6" t="s">
        <v>10886</v>
      </c>
      <c r="T1948" s="16" t="n">
        <v>45047</v>
      </c>
      <c r="U1948" s="6" t="s">
        <v>13163</v>
      </c>
      <c r="V1948" s="6" t="s">
        <v>81</v>
      </c>
      <c r="W1948" s="6" t="s">
        <v>81</v>
      </c>
      <c r="X1948" s="6" t="s">
        <v>81</v>
      </c>
      <c r="Y1948" s="21" t="s">
        <v>81</v>
      </c>
      <c r="Z1948" s="6" t="s">
        <v>81</v>
      </c>
      <c r="AA1948" s="6" t="s">
        <v>81</v>
      </c>
      <c r="AB1948" s="6" t="s">
        <v>81</v>
      </c>
      <c r="AC1948" s="6" t="s">
        <v>81</v>
      </c>
      <c r="AD1948" s="21" t="s">
        <v>81</v>
      </c>
      <c r="AE1948" s="6" t="s">
        <v>81</v>
      </c>
      <c r="AF1948" s="6" t="s">
        <v>81</v>
      </c>
      <c r="AG1948" s="6" t="s">
        <v>81</v>
      </c>
      <c r="AH1948" s="6" t="s">
        <v>16498</v>
      </c>
      <c r="AI1948" s="6" t="s">
        <v>81</v>
      </c>
      <c r="AJ1948" s="6" t="s">
        <v>17324</v>
      </c>
      <c r="AK1948" s="6" t="s">
        <v>18378</v>
      </c>
      <c r="AL1948" s="6" t="s">
        <v>18444</v>
      </c>
      <c r="AM1948" s="6" t="s">
        <v>18476</v>
      </c>
      <c r="AN1948" s="6" t="s">
        <v>19640</v>
      </c>
      <c r="AO1948" s="6" t="s">
        <v>19726</v>
      </c>
      <c r="AP1948" s="6" t="s">
        <v>16498</v>
      </c>
      <c r="AQ1948" s="6" t="s">
        <v>81</v>
      </c>
      <c r="AR1948" s="6" t="s">
        <v>17324</v>
      </c>
      <c r="AS1948" s="6" t="s">
        <v>18378</v>
      </c>
      <c r="AT1948" s="6" t="s">
        <v>18444</v>
      </c>
      <c r="AU1948" s="6" t="s">
        <v>18476</v>
      </c>
      <c r="AV1948" s="6" t="s">
        <v>81</v>
      </c>
      <c r="AW1948" s="6" t="s">
        <v>81</v>
      </c>
      <c r="AX1948" s="6" t="s">
        <v>22001</v>
      </c>
      <c r="AY1948" s="6" t="s">
        <v>81</v>
      </c>
      <c r="AZ1948" s="6" t="s">
        <v>81</v>
      </c>
      <c r="BA1948" s="6" t="s">
        <v>81</v>
      </c>
      <c r="BB1948" s="24" t="n">
        <v>195</v>
      </c>
      <c r="BC1948" s="26"/>
      <c r="BD1948" s="26"/>
      <c r="BE1948" s="26"/>
      <c r="BF1948" s="26"/>
      <c r="BG1948" s="26"/>
      <c r="BH1948" s="26"/>
      <c r="BI1948" s="26"/>
      <c r="BJ1948" s="26"/>
      <c r="BK1948" s="26"/>
      <c r="BL1948" s="26"/>
      <c r="BM1948" s="26"/>
      <c r="BN1948" s="26"/>
      <c r="BO1948" s="26"/>
      <c r="BP1948" s="16" t="n">
        <v>45730</v>
      </c>
      <c r="BQ1948" s="28" t="str">
        <f>HYPERLINK("https://organic.ams.usda.gov/Integrity/Certificate.aspx?cid=90&amp;nopid=7170220614")</f>
        <v>https://organic.ams.usda.gov/Integrity/Certificate.aspx?cid=90&amp;nopid=7170220614</v>
      </c>
    </row>
    <row r="1949">
      <c r="A1949" t="s">
        <v>3</v>
      </c>
      <c r="B1949" s="6" t="s">
        <v>30</v>
      </c>
      <c r="C1949" s="6" t="s">
        <v>77</v>
      </c>
      <c r="D1949" s="6" t="s">
        <v>123</v>
      </c>
      <c r="E1949" s="10" t="s">
        <v>2090</v>
      </c>
      <c r="F1949" s="6" t="s">
        <v>4803</v>
      </c>
      <c r="G1949" s="6" t="s">
        <v>81</v>
      </c>
      <c r="H1949" s="6" t="s">
        <v>7675</v>
      </c>
      <c r="I1949" s="6" t="s">
        <v>9361</v>
      </c>
      <c r="J1949" s="6" t="s">
        <v>9906</v>
      </c>
      <c r="K1949" s="6" t="s">
        <v>10886</v>
      </c>
      <c r="L1949" s="16" t="n">
        <v>41379</v>
      </c>
      <c r="M1949" s="16" t="n">
        <v>45747</v>
      </c>
      <c r="N1949" s="6" t="s">
        <v>10886</v>
      </c>
      <c r="O1949" s="16" t="n">
        <v>41379</v>
      </c>
      <c r="P1949" s="6" t="s">
        <v>10922</v>
      </c>
      <c r="Q1949" s="6" t="s">
        <v>81</v>
      </c>
      <c r="R1949" s="6" t="s">
        <v>12983</v>
      </c>
      <c r="S1949" s="6" t="s">
        <v>10886</v>
      </c>
      <c r="T1949" s="16" t="n">
        <v>41379</v>
      </c>
      <c r="U1949" s="6" t="s">
        <v>13216</v>
      </c>
      <c r="V1949" s="6" t="s">
        <v>81</v>
      </c>
      <c r="W1949" s="6" t="s">
        <v>7675</v>
      </c>
      <c r="X1949" s="6" t="s">
        <v>81</v>
      </c>
      <c r="Y1949" s="21" t="s">
        <v>81</v>
      </c>
      <c r="Z1949" s="6" t="s">
        <v>81</v>
      </c>
      <c r="AA1949" s="6" t="s">
        <v>81</v>
      </c>
      <c r="AB1949" s="6" t="s">
        <v>81</v>
      </c>
      <c r="AC1949" s="6" t="s">
        <v>81</v>
      </c>
      <c r="AD1949" s="21" t="s">
        <v>81</v>
      </c>
      <c r="AE1949" s="6" t="s">
        <v>81</v>
      </c>
      <c r="AF1949" s="6" t="s">
        <v>81</v>
      </c>
      <c r="AG1949" s="6" t="s">
        <v>81</v>
      </c>
      <c r="AH1949" s="6" t="s">
        <v>16499</v>
      </c>
      <c r="AI1949" s="6" t="s">
        <v>81</v>
      </c>
      <c r="AJ1949" s="6" t="s">
        <v>17311</v>
      </c>
      <c r="AK1949" s="6" t="s">
        <v>17712</v>
      </c>
      <c r="AL1949" s="6" t="s">
        <v>18444</v>
      </c>
      <c r="AM1949" s="6" t="s">
        <v>18463</v>
      </c>
      <c r="AN1949" s="6" t="s">
        <v>19634</v>
      </c>
      <c r="AO1949" s="6" t="s">
        <v>19719</v>
      </c>
      <c r="AP1949" s="6" t="s">
        <v>16499</v>
      </c>
      <c r="AQ1949" s="6" t="s">
        <v>81</v>
      </c>
      <c r="AR1949" s="6" t="s">
        <v>17311</v>
      </c>
      <c r="AS1949" s="6" t="s">
        <v>17712</v>
      </c>
      <c r="AT1949" s="6" t="s">
        <v>18444</v>
      </c>
      <c r="AU1949" s="6" t="s">
        <v>18463</v>
      </c>
      <c r="AV1949" s="6" t="s">
        <v>81</v>
      </c>
      <c r="AW1949" s="6" t="s">
        <v>81</v>
      </c>
      <c r="AX1949" s="6" t="s">
        <v>22002</v>
      </c>
      <c r="AY1949" s="6" t="s">
        <v>81</v>
      </c>
      <c r="AZ1949" s="6" t="s">
        <v>81</v>
      </c>
      <c r="BA1949" s="6" t="s">
        <v>81</v>
      </c>
      <c r="BB1949" s="24" t="n">
        <v>167</v>
      </c>
      <c r="BC1949" s="26"/>
      <c r="BD1949" s="26"/>
      <c r="BE1949" s="26"/>
      <c r="BF1949" s="26"/>
      <c r="BG1949" s="26"/>
      <c r="BH1949" s="26"/>
      <c r="BI1949" s="26"/>
      <c r="BJ1949" s="26"/>
      <c r="BK1949" s="26"/>
      <c r="BL1949" s="26"/>
      <c r="BM1949" s="26"/>
      <c r="BN1949" s="26"/>
      <c r="BO1949" s="26"/>
      <c r="BP1949" s="16" t="n">
        <v>45632</v>
      </c>
      <c r="BQ1949" s="28" t="str">
        <f>HYPERLINK("https://organic.ams.usda.gov/Integrity/Certificate.aspx?cid=70&amp;nopid=6431254800")</f>
        <v>https://organic.ams.usda.gov/Integrity/Certificate.aspx?cid=70&amp;nopid=6431254800</v>
      </c>
    </row>
    <row r="1950">
      <c r="A1950" t="s">
        <v>3</v>
      </c>
      <c r="B1950" s="6" t="s">
        <v>8</v>
      </c>
      <c r="C1950" s="6" t="s">
        <v>55</v>
      </c>
      <c r="D1950" s="6" t="s">
        <v>101</v>
      </c>
      <c r="E1950" s="10" t="s">
        <v>2091</v>
      </c>
      <c r="F1950" s="6" t="s">
        <v>4804</v>
      </c>
      <c r="G1950" s="6" t="s">
        <v>81</v>
      </c>
      <c r="H1950" s="6" t="s">
        <v>7676</v>
      </c>
      <c r="I1950" s="6" t="s">
        <v>8529</v>
      </c>
      <c r="J1950" s="6" t="s">
        <v>9665</v>
      </c>
      <c r="K1950" s="6" t="s">
        <v>10886</v>
      </c>
      <c r="L1950" s="16" t="n">
        <v>40673</v>
      </c>
      <c r="M1950" s="16" t="n">
        <v>45748</v>
      </c>
      <c r="N1950" s="6" t="s">
        <v>10886</v>
      </c>
      <c r="O1950" s="16" t="n">
        <v>40673</v>
      </c>
      <c r="P1950" s="6" t="s">
        <v>12033</v>
      </c>
      <c r="Q1950" s="6" t="s">
        <v>81</v>
      </c>
      <c r="R1950" s="6" t="s">
        <v>7676</v>
      </c>
      <c r="S1950" s="6" t="s">
        <v>10886</v>
      </c>
      <c r="T1950" s="16" t="n">
        <v>40673</v>
      </c>
      <c r="U1950" s="6" t="s">
        <v>13179</v>
      </c>
      <c r="V1950" s="6" t="s">
        <v>81</v>
      </c>
      <c r="W1950" s="6" t="s">
        <v>7676</v>
      </c>
      <c r="X1950" s="6" t="s">
        <v>81</v>
      </c>
      <c r="Y1950" s="21" t="s">
        <v>81</v>
      </c>
      <c r="Z1950" s="6" t="s">
        <v>81</v>
      </c>
      <c r="AA1950" s="6" t="s">
        <v>81</v>
      </c>
      <c r="AB1950" s="6" t="s">
        <v>81</v>
      </c>
      <c r="AC1950" s="6" t="s">
        <v>81</v>
      </c>
      <c r="AD1950" s="21" t="s">
        <v>81</v>
      </c>
      <c r="AE1950" s="6" t="s">
        <v>81</v>
      </c>
      <c r="AF1950" s="6" t="s">
        <v>81</v>
      </c>
      <c r="AG1950" s="6" t="s">
        <v>81</v>
      </c>
      <c r="AH1950" s="6" t="s">
        <v>16500</v>
      </c>
      <c r="AI1950" s="6" t="s">
        <v>81</v>
      </c>
      <c r="AJ1950" s="6" t="s">
        <v>17324</v>
      </c>
      <c r="AK1950" s="6" t="s">
        <v>18378</v>
      </c>
      <c r="AL1950" s="6" t="s">
        <v>18444</v>
      </c>
      <c r="AM1950" s="6" t="s">
        <v>18476</v>
      </c>
      <c r="AN1950" s="6" t="s">
        <v>19640</v>
      </c>
      <c r="AO1950" s="6" t="s">
        <v>19726</v>
      </c>
      <c r="AP1950" s="6" t="s">
        <v>81</v>
      </c>
      <c r="AQ1950" s="6" t="s">
        <v>81</v>
      </c>
      <c r="AR1950" s="6" t="s">
        <v>81</v>
      </c>
      <c r="AS1950" s="6" t="s">
        <v>81</v>
      </c>
      <c r="AT1950" s="6" t="s">
        <v>81</v>
      </c>
      <c r="AU1950" s="6" t="s">
        <v>81</v>
      </c>
      <c r="AV1950" s="6" t="s">
        <v>81</v>
      </c>
      <c r="AW1950" s="6" t="s">
        <v>81</v>
      </c>
      <c r="AX1950" s="6" t="s">
        <v>81</v>
      </c>
      <c r="AY1950" s="6" t="s">
        <v>81</v>
      </c>
      <c r="AZ1950" s="6" t="s">
        <v>81</v>
      </c>
      <c r="BA1950" s="6" t="s">
        <v>23824</v>
      </c>
      <c r="BB1950" s="24" t="n">
        <v>97</v>
      </c>
      <c r="BC1950" s="26"/>
      <c r="BD1950" s="26"/>
      <c r="BE1950" s="26"/>
      <c r="BF1950" s="26" t="s">
        <v>23900</v>
      </c>
      <c r="BG1950" s="26"/>
      <c r="BH1950" s="26"/>
      <c r="BI1950" s="26"/>
      <c r="BJ1950" s="26"/>
      <c r="BK1950" s="26"/>
      <c r="BL1950" s="26"/>
      <c r="BM1950" s="26"/>
      <c r="BN1950" s="26"/>
      <c r="BO1950" s="26"/>
      <c r="BP1950" s="16" t="n">
        <v>45600</v>
      </c>
      <c r="BQ1950" s="28" t="str">
        <f>HYPERLINK("https://organic.ams.usda.gov/Integrity/Certificate.aspx?cid=45&amp;nopid=9950004378")</f>
        <v>https://organic.ams.usda.gov/Integrity/Certificate.aspx?cid=45&amp;nopid=9950004378</v>
      </c>
    </row>
    <row r="1951">
      <c r="A1951" t="s">
        <v>3</v>
      </c>
      <c r="B1951" s="6" t="s">
        <v>7</v>
      </c>
      <c r="C1951" s="6" t="s">
        <v>54</v>
      </c>
      <c r="D1951" s="6" t="s">
        <v>100</v>
      </c>
      <c r="E1951" s="10" t="s">
        <v>2092</v>
      </c>
      <c r="F1951" s="6" t="s">
        <v>4805</v>
      </c>
      <c r="G1951" s="6" t="s">
        <v>81</v>
      </c>
      <c r="H1951" s="6" t="s">
        <v>7677</v>
      </c>
      <c r="I1951" s="6" t="s">
        <v>8529</v>
      </c>
      <c r="J1951" s="6" t="s">
        <v>9662</v>
      </c>
      <c r="K1951" s="6" t="s">
        <v>10886</v>
      </c>
      <c r="L1951" s="16" t="n">
        <v>41180</v>
      </c>
      <c r="M1951" s="16" t="n">
        <v>45716</v>
      </c>
      <c r="N1951" s="6" t="s">
        <v>10886</v>
      </c>
      <c r="O1951" s="16" t="n">
        <v>41180</v>
      </c>
      <c r="P1951" s="6" t="s">
        <v>12034</v>
      </c>
      <c r="Q1951" s="6" t="s">
        <v>81</v>
      </c>
      <c r="R1951" s="6" t="s">
        <v>81</v>
      </c>
      <c r="S1951" s="6" t="s">
        <v>10886</v>
      </c>
      <c r="T1951" s="16" t="n">
        <v>41354</v>
      </c>
      <c r="U1951" s="6" t="s">
        <v>13761</v>
      </c>
      <c r="V1951" s="6" t="s">
        <v>81</v>
      </c>
      <c r="W1951" s="6" t="s">
        <v>81</v>
      </c>
      <c r="X1951" s="6" t="s">
        <v>81</v>
      </c>
      <c r="Y1951" s="21" t="s">
        <v>81</v>
      </c>
      <c r="Z1951" s="6" t="s">
        <v>81</v>
      </c>
      <c r="AA1951" s="6" t="s">
        <v>81</v>
      </c>
      <c r="AB1951" s="6" t="s">
        <v>81</v>
      </c>
      <c r="AC1951" s="6" t="s">
        <v>81</v>
      </c>
      <c r="AD1951" s="21" t="s">
        <v>81</v>
      </c>
      <c r="AE1951" s="6" t="s">
        <v>81</v>
      </c>
      <c r="AF1951" s="6" t="s">
        <v>81</v>
      </c>
      <c r="AG1951" s="6" t="s">
        <v>81</v>
      </c>
      <c r="AH1951" s="6" t="s">
        <v>16501</v>
      </c>
      <c r="AI1951" s="6" t="s">
        <v>81</v>
      </c>
      <c r="AJ1951" s="6" t="s">
        <v>17311</v>
      </c>
      <c r="AK1951" s="6" t="s">
        <v>17712</v>
      </c>
      <c r="AL1951" s="6" t="s">
        <v>18444</v>
      </c>
      <c r="AM1951" s="6" t="s">
        <v>18463</v>
      </c>
      <c r="AN1951" s="6" t="s">
        <v>19634</v>
      </c>
      <c r="AO1951" s="6" t="s">
        <v>19719</v>
      </c>
      <c r="AP1951" s="6" t="s">
        <v>20360</v>
      </c>
      <c r="AQ1951" s="6" t="s">
        <v>81</v>
      </c>
      <c r="AR1951" s="6" t="s">
        <v>17311</v>
      </c>
      <c r="AS1951" s="6" t="s">
        <v>17712</v>
      </c>
      <c r="AT1951" s="6" t="s">
        <v>18444</v>
      </c>
      <c r="AU1951" s="6" t="s">
        <v>18463</v>
      </c>
      <c r="AV1951" s="6" t="s">
        <v>81</v>
      </c>
      <c r="AW1951" s="6" t="s">
        <v>81</v>
      </c>
      <c r="AX1951" s="6" t="s">
        <v>22003</v>
      </c>
      <c r="AY1951" s="6" t="s">
        <v>23260</v>
      </c>
      <c r="AZ1951" s="6" t="s">
        <v>81</v>
      </c>
      <c r="BA1951" s="6" t="s">
        <v>81</v>
      </c>
      <c r="BB1951" s="24" t="n">
        <v>285</v>
      </c>
      <c r="BC1951" s="26"/>
      <c r="BD1951" s="26"/>
      <c r="BE1951" s="26"/>
      <c r="BF1951" s="26"/>
      <c r="BG1951" s="26"/>
      <c r="BH1951" s="26"/>
      <c r="BI1951" s="26"/>
      <c r="BJ1951" s="26"/>
      <c r="BK1951" s="26"/>
      <c r="BL1951" s="26"/>
      <c r="BM1951" s="26"/>
      <c r="BN1951" s="26"/>
      <c r="BO1951" s="26"/>
      <c r="BP1951" s="16" t="n">
        <v>45728</v>
      </c>
      <c r="BQ1951" s="28" t="str">
        <f>HYPERLINK("https://organic.ams.usda.gov/Integrity/Certificate.aspx?cid=57&amp;nopid=3252012049")</f>
        <v>https://organic.ams.usda.gov/Integrity/Certificate.aspx?cid=57&amp;nopid=3252012049</v>
      </c>
    </row>
    <row r="1952">
      <c r="A1952" t="s">
        <v>3</v>
      </c>
      <c r="B1952" s="6" t="s">
        <v>8</v>
      </c>
      <c r="C1952" s="6" t="s">
        <v>55</v>
      </c>
      <c r="D1952" s="6" t="s">
        <v>101</v>
      </c>
      <c r="E1952" s="10" t="s">
        <v>2093</v>
      </c>
      <c r="F1952" s="6" t="s">
        <v>4806</v>
      </c>
      <c r="G1952" s="6" t="s">
        <v>81</v>
      </c>
      <c r="H1952" s="6" t="s">
        <v>7678</v>
      </c>
      <c r="I1952" s="6" t="s">
        <v>8529</v>
      </c>
      <c r="J1952" s="6" t="s">
        <v>9665</v>
      </c>
      <c r="K1952" s="6" t="s">
        <v>10886</v>
      </c>
      <c r="L1952" s="16" t="n">
        <v>43277</v>
      </c>
      <c r="M1952" s="16" t="n">
        <v>46054</v>
      </c>
      <c r="N1952" s="6" t="s">
        <v>10886</v>
      </c>
      <c r="O1952" s="16" t="n">
        <v>43277</v>
      </c>
      <c r="P1952" s="6" t="s">
        <v>12035</v>
      </c>
      <c r="Q1952" s="6" t="s">
        <v>81</v>
      </c>
      <c r="R1952" s="6" t="s">
        <v>7678</v>
      </c>
      <c r="S1952" s="6" t="s">
        <v>10886</v>
      </c>
      <c r="T1952" s="16" t="n">
        <v>43277</v>
      </c>
      <c r="U1952" s="6" t="s">
        <v>13173</v>
      </c>
      <c r="V1952" s="6" t="s">
        <v>81</v>
      </c>
      <c r="W1952" s="6" t="s">
        <v>7678</v>
      </c>
      <c r="X1952" s="6" t="s">
        <v>81</v>
      </c>
      <c r="Y1952" s="21" t="s">
        <v>81</v>
      </c>
      <c r="Z1952" s="6" t="s">
        <v>81</v>
      </c>
      <c r="AA1952" s="6" t="s">
        <v>81</v>
      </c>
      <c r="AB1952" s="6" t="s">
        <v>81</v>
      </c>
      <c r="AC1952" s="6" t="s">
        <v>81</v>
      </c>
      <c r="AD1952" s="21" t="s">
        <v>81</v>
      </c>
      <c r="AE1952" s="6" t="s">
        <v>81</v>
      </c>
      <c r="AF1952" s="6" t="s">
        <v>81</v>
      </c>
      <c r="AG1952" s="6" t="s">
        <v>81</v>
      </c>
      <c r="AH1952" s="6" t="s">
        <v>16502</v>
      </c>
      <c r="AI1952" s="6" t="s">
        <v>81</v>
      </c>
      <c r="AJ1952" s="6" t="s">
        <v>17579</v>
      </c>
      <c r="AK1952" s="6" t="s">
        <v>18391</v>
      </c>
      <c r="AL1952" s="6" t="s">
        <v>18444</v>
      </c>
      <c r="AM1952" s="6" t="s">
        <v>18743</v>
      </c>
      <c r="AN1952" s="6" t="s">
        <v>6139</v>
      </c>
      <c r="AO1952" s="6" t="s">
        <v>19970</v>
      </c>
      <c r="AP1952" s="6" t="s">
        <v>81</v>
      </c>
      <c r="AQ1952" s="6" t="s">
        <v>81</v>
      </c>
      <c r="AR1952" s="6" t="s">
        <v>81</v>
      </c>
      <c r="AS1952" s="6" t="s">
        <v>81</v>
      </c>
      <c r="AT1952" s="6" t="s">
        <v>81</v>
      </c>
      <c r="AU1952" s="6" t="s">
        <v>81</v>
      </c>
      <c r="AV1952" s="6" t="s">
        <v>81</v>
      </c>
      <c r="AW1952" s="6" t="s">
        <v>81</v>
      </c>
      <c r="AX1952" s="6" t="s">
        <v>22004</v>
      </c>
      <c r="AY1952" s="6" t="s">
        <v>81</v>
      </c>
      <c r="AZ1952" s="6" t="s">
        <v>81</v>
      </c>
      <c r="BA1952" s="6" t="s">
        <v>23819</v>
      </c>
      <c r="BB1952" s="24" t="n">
        <v>214</v>
      </c>
      <c r="BC1952" s="26"/>
      <c r="BD1952" s="26"/>
      <c r="BE1952" s="26"/>
      <c r="BF1952" s="26" t="s">
        <v>23900</v>
      </c>
      <c r="BG1952" s="26"/>
      <c r="BH1952" s="26"/>
      <c r="BI1952" s="26"/>
      <c r="BJ1952" s="26"/>
      <c r="BK1952" s="26"/>
      <c r="BL1952" s="26"/>
      <c r="BM1952" s="26"/>
      <c r="BN1952" s="26"/>
      <c r="BO1952" s="26"/>
      <c r="BP1952" s="16" t="n">
        <v>45709</v>
      </c>
      <c r="BQ1952" s="28" t="str">
        <f>HYPERLINK("https://organic.ams.usda.gov/Integrity/Certificate.aspx?cid=45&amp;nopid=9950010350")</f>
        <v>https://organic.ams.usda.gov/Integrity/Certificate.aspx?cid=45&amp;nopid=9950010350</v>
      </c>
    </row>
    <row r="1953">
      <c r="A1953" t="s">
        <v>3</v>
      </c>
      <c r="B1953" s="6" t="s">
        <v>8</v>
      </c>
      <c r="C1953" s="6" t="s">
        <v>55</v>
      </c>
      <c r="D1953" s="6" t="s">
        <v>101</v>
      </c>
      <c r="E1953" s="10" t="s">
        <v>2094</v>
      </c>
      <c r="F1953" s="6" t="s">
        <v>4807</v>
      </c>
      <c r="G1953" s="6" t="s">
        <v>81</v>
      </c>
      <c r="H1953" s="6" t="s">
        <v>7679</v>
      </c>
      <c r="I1953" s="6" t="s">
        <v>8529</v>
      </c>
      <c r="J1953" s="6" t="s">
        <v>9665</v>
      </c>
      <c r="K1953" s="6" t="s">
        <v>10886</v>
      </c>
      <c r="L1953" s="16" t="n">
        <v>41179</v>
      </c>
      <c r="M1953" s="16" t="n">
        <v>45748</v>
      </c>
      <c r="N1953" s="6" t="s">
        <v>10886</v>
      </c>
      <c r="O1953" s="16" t="n">
        <v>41179</v>
      </c>
      <c r="P1953" s="6" t="s">
        <v>12036</v>
      </c>
      <c r="Q1953" s="6" t="s">
        <v>81</v>
      </c>
      <c r="R1953" s="6" t="s">
        <v>7679</v>
      </c>
      <c r="S1953" s="6" t="s">
        <v>10886</v>
      </c>
      <c r="T1953" s="16" t="n">
        <v>45429</v>
      </c>
      <c r="U1953" s="6" t="s">
        <v>13179</v>
      </c>
      <c r="V1953" s="6" t="s">
        <v>81</v>
      </c>
      <c r="W1953" s="6" t="s">
        <v>7679</v>
      </c>
      <c r="X1953" s="6" t="s">
        <v>81</v>
      </c>
      <c r="Y1953" s="21" t="s">
        <v>81</v>
      </c>
      <c r="Z1953" s="6" t="s">
        <v>81</v>
      </c>
      <c r="AA1953" s="6" t="s">
        <v>81</v>
      </c>
      <c r="AB1953" s="6" t="s">
        <v>81</v>
      </c>
      <c r="AC1953" s="6" t="s">
        <v>81</v>
      </c>
      <c r="AD1953" s="21" t="s">
        <v>81</v>
      </c>
      <c r="AE1953" s="6" t="s">
        <v>81</v>
      </c>
      <c r="AF1953" s="6" t="s">
        <v>81</v>
      </c>
      <c r="AG1953" s="6" t="s">
        <v>81</v>
      </c>
      <c r="AH1953" s="6" t="s">
        <v>16503</v>
      </c>
      <c r="AI1953" s="6" t="s">
        <v>81</v>
      </c>
      <c r="AJ1953" s="6" t="s">
        <v>17579</v>
      </c>
      <c r="AK1953" s="6" t="s">
        <v>18391</v>
      </c>
      <c r="AL1953" s="6" t="s">
        <v>18444</v>
      </c>
      <c r="AM1953" s="6" t="s">
        <v>18743</v>
      </c>
      <c r="AN1953" s="6" t="s">
        <v>19661</v>
      </c>
      <c r="AO1953" s="6" t="s">
        <v>19947</v>
      </c>
      <c r="AP1953" s="6" t="s">
        <v>81</v>
      </c>
      <c r="AQ1953" s="6" t="s">
        <v>81</v>
      </c>
      <c r="AR1953" s="6" t="s">
        <v>81</v>
      </c>
      <c r="AS1953" s="6" t="s">
        <v>81</v>
      </c>
      <c r="AT1953" s="6" t="s">
        <v>81</v>
      </c>
      <c r="AU1953" s="6" t="s">
        <v>81</v>
      </c>
      <c r="AV1953" s="6" t="s">
        <v>81</v>
      </c>
      <c r="AW1953" s="6" t="s">
        <v>81</v>
      </c>
      <c r="AX1953" s="6" t="s">
        <v>81</v>
      </c>
      <c r="AY1953" s="6" t="s">
        <v>81</v>
      </c>
      <c r="AZ1953" s="6" t="s">
        <v>81</v>
      </c>
      <c r="BA1953" s="6" t="s">
        <v>23819</v>
      </c>
      <c r="BB1953" s="24" t="n">
        <v>104</v>
      </c>
      <c r="BC1953" s="26"/>
      <c r="BD1953" s="26"/>
      <c r="BE1953" s="26"/>
      <c r="BF1953" s="26" t="s">
        <v>23900</v>
      </c>
      <c r="BG1953" s="26"/>
      <c r="BH1953" s="26"/>
      <c r="BI1953" s="26"/>
      <c r="BJ1953" s="26"/>
      <c r="BK1953" s="26"/>
      <c r="BL1953" s="26"/>
      <c r="BM1953" s="26"/>
      <c r="BN1953" s="26"/>
      <c r="BO1953" s="26"/>
      <c r="BP1953" s="16" t="n">
        <v>45573</v>
      </c>
      <c r="BQ1953" s="28" t="str">
        <f>HYPERLINK("https://organic.ams.usda.gov/Integrity/Certificate.aspx?cid=45&amp;nopid=9950004807")</f>
        <v>https://organic.ams.usda.gov/Integrity/Certificate.aspx?cid=45&amp;nopid=9950004807</v>
      </c>
    </row>
    <row r="1954">
      <c r="A1954" t="s">
        <v>3</v>
      </c>
      <c r="B1954" s="6" t="s">
        <v>12</v>
      </c>
      <c r="C1954" s="6" t="s">
        <v>59</v>
      </c>
      <c r="D1954" s="6" t="s">
        <v>105</v>
      </c>
      <c r="E1954" s="10" t="s">
        <v>2095</v>
      </c>
      <c r="F1954" s="6" t="s">
        <v>4808</v>
      </c>
      <c r="G1954" s="6" t="s">
        <v>81</v>
      </c>
      <c r="H1954" s="6" t="s">
        <v>7680</v>
      </c>
      <c r="I1954" s="6" t="s">
        <v>8529</v>
      </c>
      <c r="J1954" s="6" t="s">
        <v>10519</v>
      </c>
      <c r="K1954" s="6" t="s">
        <v>10886</v>
      </c>
      <c r="L1954" s="16" t="n">
        <v>42958</v>
      </c>
      <c r="M1954" s="16" t="n">
        <v>45717</v>
      </c>
      <c r="N1954" s="6" t="s">
        <v>10886</v>
      </c>
      <c r="O1954" s="16" t="n">
        <v>42958</v>
      </c>
      <c r="P1954" s="6" t="s">
        <v>10910</v>
      </c>
      <c r="Q1954" s="6" t="s">
        <v>81</v>
      </c>
      <c r="R1954" s="6" t="s">
        <v>81</v>
      </c>
      <c r="S1954" s="6" t="s">
        <v>10886</v>
      </c>
      <c r="T1954" s="16" t="n">
        <v>42958</v>
      </c>
      <c r="U1954" s="6" t="s">
        <v>13183</v>
      </c>
      <c r="V1954" s="6" t="s">
        <v>81</v>
      </c>
      <c r="W1954" s="6" t="s">
        <v>81</v>
      </c>
      <c r="X1954" s="6" t="s">
        <v>81</v>
      </c>
      <c r="Y1954" s="21" t="s">
        <v>81</v>
      </c>
      <c r="Z1954" s="6" t="s">
        <v>81</v>
      </c>
      <c r="AA1954" s="6" t="s">
        <v>81</v>
      </c>
      <c r="AB1954" s="6" t="s">
        <v>81</v>
      </c>
      <c r="AC1954" s="6" t="s">
        <v>81</v>
      </c>
      <c r="AD1954" s="21" t="s">
        <v>81</v>
      </c>
      <c r="AE1954" s="6" t="s">
        <v>81</v>
      </c>
      <c r="AF1954" s="6" t="s">
        <v>81</v>
      </c>
      <c r="AG1954" s="6" t="s">
        <v>81</v>
      </c>
      <c r="AH1954" s="6" t="s">
        <v>16504</v>
      </c>
      <c r="AI1954" s="6" t="s">
        <v>81</v>
      </c>
      <c r="AJ1954" s="6" t="s">
        <v>17556</v>
      </c>
      <c r="AK1954" s="6" t="s">
        <v>17712</v>
      </c>
      <c r="AL1954" s="6" t="s">
        <v>18444</v>
      </c>
      <c r="AM1954" s="6" t="s">
        <v>18719</v>
      </c>
      <c r="AN1954" s="6" t="s">
        <v>8233</v>
      </c>
      <c r="AO1954" s="6" t="s">
        <v>19877</v>
      </c>
      <c r="AP1954" s="6" t="s">
        <v>16504</v>
      </c>
      <c r="AQ1954" s="6" t="s">
        <v>81</v>
      </c>
      <c r="AR1954" s="6" t="s">
        <v>17556</v>
      </c>
      <c r="AS1954" s="6" t="s">
        <v>17712</v>
      </c>
      <c r="AT1954" s="6" t="s">
        <v>18444</v>
      </c>
      <c r="AU1954" s="6" t="s">
        <v>18719</v>
      </c>
      <c r="AV1954" s="6" t="s">
        <v>81</v>
      </c>
      <c r="AW1954" s="6" t="s">
        <v>81</v>
      </c>
      <c r="AX1954" s="6" t="s">
        <v>22005</v>
      </c>
      <c r="AY1954" s="6" t="s">
        <v>81</v>
      </c>
      <c r="AZ1954" s="6" t="s">
        <v>81</v>
      </c>
      <c r="BA1954" s="6" t="s">
        <v>81</v>
      </c>
      <c r="BB1954" s="24" t="n">
        <v>277</v>
      </c>
      <c r="BC1954" s="26"/>
      <c r="BD1954" s="26"/>
      <c r="BE1954" s="26"/>
      <c r="BF1954" s="26"/>
      <c r="BG1954" s="26"/>
      <c r="BH1954" s="26"/>
      <c r="BI1954" s="26"/>
      <c r="BJ1954" s="26"/>
      <c r="BK1954" s="26"/>
      <c r="BL1954" s="26"/>
      <c r="BM1954" s="26"/>
      <c r="BN1954" s="26"/>
      <c r="BO1954" s="26"/>
      <c r="BP1954" s="16" t="n">
        <v>45684</v>
      </c>
      <c r="BQ1954" s="28" t="str">
        <f>HYPERLINK("https://organic.ams.usda.gov/Integrity/Certificate.aspx?cid=68&amp;nopid=8210005332")</f>
        <v>https://organic.ams.usda.gov/Integrity/Certificate.aspx?cid=68&amp;nopid=8210005332</v>
      </c>
    </row>
    <row r="1955">
      <c r="A1955" t="s">
        <v>3</v>
      </c>
      <c r="B1955" s="6" t="s">
        <v>10</v>
      </c>
      <c r="C1955" s="6" t="s">
        <v>57</v>
      </c>
      <c r="D1955" s="6" t="s">
        <v>103</v>
      </c>
      <c r="E1955" s="10" t="s">
        <v>2096</v>
      </c>
      <c r="F1955" s="6" t="s">
        <v>4809</v>
      </c>
      <c r="G1955" s="6" t="s">
        <v>81</v>
      </c>
      <c r="H1955" s="6" t="s">
        <v>7681</v>
      </c>
      <c r="I1955" s="6" t="s">
        <v>9362</v>
      </c>
      <c r="J1955" s="6" t="s">
        <v>9665</v>
      </c>
      <c r="K1955" s="6" t="s">
        <v>10886</v>
      </c>
      <c r="L1955" s="16" t="n">
        <v>43504</v>
      </c>
      <c r="M1955" s="16" t="n">
        <v>45748</v>
      </c>
      <c r="N1955" s="6" t="s">
        <v>10886</v>
      </c>
      <c r="O1955" s="16" t="n">
        <v>43504</v>
      </c>
      <c r="P1955" s="6" t="s">
        <v>11294</v>
      </c>
      <c r="Q1955" s="6" t="s">
        <v>81</v>
      </c>
      <c r="R1955" s="6" t="s">
        <v>12984</v>
      </c>
      <c r="S1955" s="6" t="s">
        <v>10886</v>
      </c>
      <c r="T1955" s="16" t="n">
        <v>43504</v>
      </c>
      <c r="U1955" s="6" t="s">
        <v>13163</v>
      </c>
      <c r="V1955" s="6" t="s">
        <v>81</v>
      </c>
      <c r="W1955" s="6" t="s">
        <v>81</v>
      </c>
      <c r="X1955" s="6" t="s">
        <v>81</v>
      </c>
      <c r="Y1955" s="21" t="s">
        <v>81</v>
      </c>
      <c r="Z1955" s="6" t="s">
        <v>81</v>
      </c>
      <c r="AA1955" s="6" t="s">
        <v>81</v>
      </c>
      <c r="AB1955" s="6" t="s">
        <v>81</v>
      </c>
      <c r="AC1955" s="6" t="s">
        <v>81</v>
      </c>
      <c r="AD1955" s="21" t="s">
        <v>81</v>
      </c>
      <c r="AE1955" s="6" t="s">
        <v>81</v>
      </c>
      <c r="AF1955" s="6" t="s">
        <v>81</v>
      </c>
      <c r="AG1955" s="6" t="s">
        <v>81</v>
      </c>
      <c r="AH1955" s="6" t="s">
        <v>16505</v>
      </c>
      <c r="AI1955" s="6" t="s">
        <v>81</v>
      </c>
      <c r="AJ1955" s="6" t="s">
        <v>17315</v>
      </c>
      <c r="AK1955" s="6" t="s">
        <v>18379</v>
      </c>
      <c r="AL1955" s="6" t="s">
        <v>18444</v>
      </c>
      <c r="AM1955" s="6" t="s">
        <v>18467</v>
      </c>
      <c r="AN1955" s="6" t="s">
        <v>19637</v>
      </c>
      <c r="AO1955" s="6" t="s">
        <v>19723</v>
      </c>
      <c r="AP1955" s="6" t="s">
        <v>16505</v>
      </c>
      <c r="AQ1955" s="6" t="s">
        <v>81</v>
      </c>
      <c r="AR1955" s="6" t="s">
        <v>17315</v>
      </c>
      <c r="AS1955" s="6" t="s">
        <v>18379</v>
      </c>
      <c r="AT1955" s="6" t="s">
        <v>18444</v>
      </c>
      <c r="AU1955" s="6" t="s">
        <v>18467</v>
      </c>
      <c r="AV1955" s="6" t="s">
        <v>81</v>
      </c>
      <c r="AW1955" s="6" t="s">
        <v>81</v>
      </c>
      <c r="AX1955" s="6" t="s">
        <v>22006</v>
      </c>
      <c r="AY1955" s="6" t="s">
        <v>81</v>
      </c>
      <c r="AZ1955" s="6" t="s">
        <v>81</v>
      </c>
      <c r="BA1955" s="6" t="s">
        <v>81</v>
      </c>
      <c r="BB1955" s="24" t="n">
        <v>107</v>
      </c>
      <c r="BC1955" s="26"/>
      <c r="BD1955" s="26"/>
      <c r="BE1955" s="26"/>
      <c r="BF1955" s="26"/>
      <c r="BG1955" s="26"/>
      <c r="BH1955" s="26"/>
      <c r="BI1955" s="26"/>
      <c r="BJ1955" s="26"/>
      <c r="BK1955" s="26"/>
      <c r="BL1955" s="26"/>
      <c r="BM1955" s="26"/>
      <c r="BN1955" s="26"/>
      <c r="BO1955" s="26"/>
      <c r="BP1955" s="16" t="n">
        <v>45730</v>
      </c>
      <c r="BQ1955" s="28" t="str">
        <f>HYPERLINK("https://organic.ams.usda.gov/Integrity/Certificate.aspx?cid=90&amp;nopid=7170210300")</f>
        <v>https://organic.ams.usda.gov/Integrity/Certificate.aspx?cid=90&amp;nopid=7170210300</v>
      </c>
    </row>
    <row r="1956">
      <c r="A1956" t="s">
        <v>3</v>
      </c>
      <c r="B1956" s="6" t="s">
        <v>10</v>
      </c>
      <c r="C1956" s="6" t="s">
        <v>57</v>
      </c>
      <c r="D1956" s="6" t="s">
        <v>103</v>
      </c>
      <c r="E1956" s="10" t="s">
        <v>2097</v>
      </c>
      <c r="F1956" s="6" t="s">
        <v>4810</v>
      </c>
      <c r="G1956" s="6" t="s">
        <v>81</v>
      </c>
      <c r="H1956" s="6" t="s">
        <v>7682</v>
      </c>
      <c r="I1956" s="6" t="s">
        <v>8529</v>
      </c>
      <c r="J1956" s="6" t="s">
        <v>9666</v>
      </c>
      <c r="K1956" s="6" t="s">
        <v>10886</v>
      </c>
      <c r="L1956" s="16" t="n">
        <v>41893</v>
      </c>
      <c r="M1956" s="16" t="n">
        <v>45748</v>
      </c>
      <c r="N1956" s="6" t="s">
        <v>10886</v>
      </c>
      <c r="O1956" s="16" t="n">
        <v>41893</v>
      </c>
      <c r="P1956" s="6" t="s">
        <v>10910</v>
      </c>
      <c r="Q1956" s="6" t="s">
        <v>81</v>
      </c>
      <c r="R1956" s="6" t="s">
        <v>12985</v>
      </c>
      <c r="S1956" s="6" t="s">
        <v>10886</v>
      </c>
      <c r="T1956" s="16" t="n">
        <v>41893</v>
      </c>
      <c r="U1956" s="6" t="s">
        <v>13163</v>
      </c>
      <c r="V1956" s="6" t="s">
        <v>81</v>
      </c>
      <c r="W1956" s="6" t="s">
        <v>81</v>
      </c>
      <c r="X1956" s="6" t="s">
        <v>81</v>
      </c>
      <c r="Y1956" s="21" t="s">
        <v>81</v>
      </c>
      <c r="Z1956" s="6" t="s">
        <v>81</v>
      </c>
      <c r="AA1956" s="6" t="s">
        <v>81</v>
      </c>
      <c r="AB1956" s="6" t="s">
        <v>81</v>
      </c>
      <c r="AC1956" s="6" t="s">
        <v>81</v>
      </c>
      <c r="AD1956" s="21" t="s">
        <v>81</v>
      </c>
      <c r="AE1956" s="6" t="s">
        <v>81</v>
      </c>
      <c r="AF1956" s="6" t="s">
        <v>81</v>
      </c>
      <c r="AG1956" s="6" t="s">
        <v>81</v>
      </c>
      <c r="AH1956" s="6" t="s">
        <v>16506</v>
      </c>
      <c r="AI1956" s="6" t="s">
        <v>81</v>
      </c>
      <c r="AJ1956" s="6" t="s">
        <v>17381</v>
      </c>
      <c r="AK1956" s="6" t="s">
        <v>18379</v>
      </c>
      <c r="AL1956" s="6" t="s">
        <v>18444</v>
      </c>
      <c r="AM1956" s="6" t="s">
        <v>18534</v>
      </c>
      <c r="AN1956" s="6" t="s">
        <v>19654</v>
      </c>
      <c r="AO1956" s="6" t="s">
        <v>19765</v>
      </c>
      <c r="AP1956" s="6" t="s">
        <v>16506</v>
      </c>
      <c r="AQ1956" s="6" t="s">
        <v>81</v>
      </c>
      <c r="AR1956" s="6" t="s">
        <v>17381</v>
      </c>
      <c r="AS1956" s="6" t="s">
        <v>18379</v>
      </c>
      <c r="AT1956" s="6" t="s">
        <v>18444</v>
      </c>
      <c r="AU1956" s="6" t="s">
        <v>18534</v>
      </c>
      <c r="AV1956" s="6" t="s">
        <v>81</v>
      </c>
      <c r="AW1956" s="6" t="s">
        <v>81</v>
      </c>
      <c r="AX1956" s="6" t="s">
        <v>22007</v>
      </c>
      <c r="AY1956" s="6" t="s">
        <v>23261</v>
      </c>
      <c r="AZ1956" s="6" t="s">
        <v>81</v>
      </c>
      <c r="BA1956" s="6" t="s">
        <v>81</v>
      </c>
      <c r="BB1956" s="24" t="n">
        <v>120</v>
      </c>
      <c r="BC1956" s="26"/>
      <c r="BD1956" s="26"/>
      <c r="BE1956" s="26"/>
      <c r="BF1956" s="26"/>
      <c r="BG1956" s="26"/>
      <c r="BH1956" s="26"/>
      <c r="BI1956" s="26"/>
      <c r="BJ1956" s="26"/>
      <c r="BK1956" s="26"/>
      <c r="BL1956" s="26"/>
      <c r="BM1956" s="26"/>
      <c r="BN1956" s="26"/>
      <c r="BO1956" s="26"/>
      <c r="BP1956" s="16" t="n">
        <v>45730</v>
      </c>
      <c r="BQ1956" s="28" t="str">
        <f>HYPERLINK("https://organic.ams.usda.gov/Integrity/Certificate.aspx?cid=90&amp;nopid=7170020184")</f>
        <v>https://organic.ams.usda.gov/Integrity/Certificate.aspx?cid=90&amp;nopid=7170020184</v>
      </c>
    </row>
    <row r="1957">
      <c r="A1957" t="s">
        <v>3</v>
      </c>
      <c r="B1957" s="6" t="s">
        <v>37</v>
      </c>
      <c r="C1957" s="6" t="s">
        <v>84</v>
      </c>
      <c r="D1957" s="6" t="s">
        <v>129</v>
      </c>
      <c r="E1957" s="10" t="s">
        <v>2098</v>
      </c>
      <c r="F1957" s="6" t="s">
        <v>4811</v>
      </c>
      <c r="G1957" s="6" t="s">
        <v>81</v>
      </c>
      <c r="H1957" s="6" t="s">
        <v>7683</v>
      </c>
      <c r="I1957" s="6" t="s">
        <v>9363</v>
      </c>
      <c r="J1957" s="6" t="s">
        <v>9233</v>
      </c>
      <c r="K1957" s="6" t="s">
        <v>10886</v>
      </c>
      <c r="L1957" s="16" t="n">
        <v>39326</v>
      </c>
      <c r="M1957" s="16" t="n">
        <v>45748</v>
      </c>
      <c r="N1957" s="6" t="s">
        <v>10886</v>
      </c>
      <c r="O1957" s="16" t="n">
        <v>39326</v>
      </c>
      <c r="P1957" s="6" t="s">
        <v>10910</v>
      </c>
      <c r="Q1957" s="6" t="s">
        <v>81</v>
      </c>
      <c r="R1957" s="6" t="s">
        <v>12986</v>
      </c>
      <c r="S1957" s="6" t="s">
        <v>10886</v>
      </c>
      <c r="T1957" s="16" t="n">
        <v>39326</v>
      </c>
      <c r="U1957" s="6" t="s">
        <v>13762</v>
      </c>
      <c r="V1957" s="6" t="s">
        <v>81</v>
      </c>
      <c r="W1957" s="6" t="s">
        <v>12986</v>
      </c>
      <c r="X1957" s="6" t="s">
        <v>81</v>
      </c>
      <c r="Y1957" s="21" t="s">
        <v>81</v>
      </c>
      <c r="Z1957" s="6" t="s">
        <v>81</v>
      </c>
      <c r="AA1957" s="6" t="s">
        <v>81</v>
      </c>
      <c r="AB1957" s="6" t="s">
        <v>81</v>
      </c>
      <c r="AC1957" s="6" t="s">
        <v>10886</v>
      </c>
      <c r="AD1957" s="16" t="n">
        <v>39326</v>
      </c>
      <c r="AE1957" s="6" t="s">
        <v>14346</v>
      </c>
      <c r="AF1957" s="6" t="s">
        <v>81</v>
      </c>
      <c r="AG1957" s="6" t="s">
        <v>12986</v>
      </c>
      <c r="AH1957" s="6" t="s">
        <v>16507</v>
      </c>
      <c r="AI1957" s="6" t="s">
        <v>81</v>
      </c>
      <c r="AJ1957" s="6" t="s">
        <v>18163</v>
      </c>
      <c r="AK1957" s="6" t="s">
        <v>17759</v>
      </c>
      <c r="AL1957" s="6" t="s">
        <v>18444</v>
      </c>
      <c r="AM1957" s="6" t="s">
        <v>19369</v>
      </c>
      <c r="AN1957" s="6" t="s">
        <v>7195</v>
      </c>
      <c r="AO1957" s="6" t="s">
        <v>19721</v>
      </c>
      <c r="AP1957" s="6" t="s">
        <v>16507</v>
      </c>
      <c r="AQ1957" s="6" t="s">
        <v>81</v>
      </c>
      <c r="AR1957" s="6" t="s">
        <v>18163</v>
      </c>
      <c r="AS1957" s="6" t="s">
        <v>17759</v>
      </c>
      <c r="AT1957" s="6" t="s">
        <v>18444</v>
      </c>
      <c r="AU1957" s="6" t="s">
        <v>19369</v>
      </c>
      <c r="AV1957" s="6" t="s">
        <v>81</v>
      </c>
      <c r="AW1957" s="6" t="s">
        <v>81</v>
      </c>
      <c r="AX1957" s="6" t="s">
        <v>22008</v>
      </c>
      <c r="AY1957" s="6" t="s">
        <v>23262</v>
      </c>
      <c r="AZ1957" s="6" t="s">
        <v>81</v>
      </c>
      <c r="BA1957" s="6" t="s">
        <v>81</v>
      </c>
      <c r="BB1957" s="24" t="n">
        <v>350</v>
      </c>
      <c r="BC1957" s="26"/>
      <c r="BD1957" s="26"/>
      <c r="BE1957" s="26"/>
      <c r="BF1957" s="26" t="s">
        <v>23900</v>
      </c>
      <c r="BG1957" s="26"/>
      <c r="BH1957" s="26"/>
      <c r="BI1957" s="26"/>
      <c r="BJ1957" s="26"/>
      <c r="BK1957" s="26"/>
      <c r="BL1957" s="26"/>
      <c r="BM1957" s="26"/>
      <c r="BN1957" s="26"/>
      <c r="BO1957" s="26"/>
      <c r="BP1957" s="16" t="n">
        <v>45715</v>
      </c>
      <c r="BQ1957" s="28" t="str">
        <f>HYPERLINK("https://organic.ams.usda.gov/Integrity/Certificate.aspx?cid=42&amp;nopid=6780000150")</f>
        <v>https://organic.ams.usda.gov/Integrity/Certificate.aspx?cid=42&amp;nopid=6780000150</v>
      </c>
    </row>
    <row r="1958">
      <c r="A1958" t="s">
        <v>3</v>
      </c>
      <c r="B1958" s="6" t="s">
        <v>7</v>
      </c>
      <c r="C1958" s="6" t="s">
        <v>54</v>
      </c>
      <c r="D1958" s="6" t="s">
        <v>100</v>
      </c>
      <c r="E1958" s="10" t="s">
        <v>2099</v>
      </c>
      <c r="F1958" s="6" t="s">
        <v>4812</v>
      </c>
      <c r="G1958" s="6" t="s">
        <v>81</v>
      </c>
      <c r="H1958" s="6" t="s">
        <v>7684</v>
      </c>
      <c r="I1958" s="6" t="s">
        <v>8513</v>
      </c>
      <c r="J1958" s="6" t="s">
        <v>9665</v>
      </c>
      <c r="K1958" s="6" t="s">
        <v>10886</v>
      </c>
      <c r="L1958" s="16" t="n">
        <v>44677</v>
      </c>
      <c r="M1958" s="16" t="n">
        <v>45716</v>
      </c>
      <c r="N1958" s="6" t="s">
        <v>10886</v>
      </c>
      <c r="O1958" s="16" t="n">
        <v>44677</v>
      </c>
      <c r="P1958" s="6" t="s">
        <v>10910</v>
      </c>
      <c r="Q1958" s="6" t="s">
        <v>81</v>
      </c>
      <c r="R1958" s="6" t="s">
        <v>81</v>
      </c>
      <c r="S1958" s="6" t="s">
        <v>10886</v>
      </c>
      <c r="T1958" s="16" t="n">
        <v>44714</v>
      </c>
      <c r="U1958" s="6" t="s">
        <v>13169</v>
      </c>
      <c r="V1958" s="6" t="s">
        <v>81</v>
      </c>
      <c r="W1958" s="6" t="s">
        <v>81</v>
      </c>
      <c r="X1958" s="6" t="s">
        <v>81</v>
      </c>
      <c r="Y1958" s="21" t="s">
        <v>81</v>
      </c>
      <c r="Z1958" s="6" t="s">
        <v>81</v>
      </c>
      <c r="AA1958" s="6" t="s">
        <v>81</v>
      </c>
      <c r="AB1958" s="6" t="s">
        <v>81</v>
      </c>
      <c r="AC1958" s="6" t="s">
        <v>81</v>
      </c>
      <c r="AD1958" s="21" t="s">
        <v>81</v>
      </c>
      <c r="AE1958" s="6" t="s">
        <v>81</v>
      </c>
      <c r="AF1958" s="6" t="s">
        <v>81</v>
      </c>
      <c r="AG1958" s="6" t="s">
        <v>81</v>
      </c>
      <c r="AH1958" s="6" t="s">
        <v>16508</v>
      </c>
      <c r="AI1958" s="6" t="s">
        <v>81</v>
      </c>
      <c r="AJ1958" s="6" t="s">
        <v>17873</v>
      </c>
      <c r="AK1958" s="6" t="s">
        <v>17712</v>
      </c>
      <c r="AL1958" s="6" t="s">
        <v>18444</v>
      </c>
      <c r="AM1958" s="6" t="s">
        <v>19056</v>
      </c>
      <c r="AN1958" s="6" t="s">
        <v>19652</v>
      </c>
      <c r="AO1958" s="6" t="s">
        <v>19742</v>
      </c>
      <c r="AP1958" s="6" t="s">
        <v>16508</v>
      </c>
      <c r="AQ1958" s="6" t="s">
        <v>81</v>
      </c>
      <c r="AR1958" s="6" t="s">
        <v>17873</v>
      </c>
      <c r="AS1958" s="6" t="s">
        <v>17712</v>
      </c>
      <c r="AT1958" s="6" t="s">
        <v>18444</v>
      </c>
      <c r="AU1958" s="6" t="s">
        <v>19056</v>
      </c>
      <c r="AV1958" s="6" t="s">
        <v>81</v>
      </c>
      <c r="AW1958" s="6" t="s">
        <v>81</v>
      </c>
      <c r="AX1958" s="6" t="s">
        <v>22009</v>
      </c>
      <c r="AY1958" s="6" t="s">
        <v>81</v>
      </c>
      <c r="AZ1958" s="6" t="s">
        <v>81</v>
      </c>
      <c r="BA1958" s="6" t="s">
        <v>81</v>
      </c>
      <c r="BB1958" s="24" t="n">
        <v>112</v>
      </c>
      <c r="BC1958" s="26"/>
      <c r="BD1958" s="26"/>
      <c r="BE1958" s="26"/>
      <c r="BF1958" s="26" t="s">
        <v>23900</v>
      </c>
      <c r="BG1958" s="26"/>
      <c r="BH1958" s="26"/>
      <c r="BI1958" s="26"/>
      <c r="BJ1958" s="26"/>
      <c r="BK1958" s="26"/>
      <c r="BL1958" s="26"/>
      <c r="BM1958" s="26"/>
      <c r="BN1958" s="26"/>
      <c r="BO1958" s="26"/>
      <c r="BP1958" s="16" t="n">
        <v>45709</v>
      </c>
      <c r="BQ1958" s="28" t="str">
        <f>HYPERLINK("https://organic.ams.usda.gov/Integrity/Certificate.aspx?cid=57&amp;nopid=3252022026")</f>
        <v>https://organic.ams.usda.gov/Integrity/Certificate.aspx?cid=57&amp;nopid=3252022026</v>
      </c>
    </row>
    <row r="1959">
      <c r="A1959" t="s">
        <v>3</v>
      </c>
      <c r="B1959" s="6" t="s">
        <v>8</v>
      </c>
      <c r="C1959" s="6" t="s">
        <v>55</v>
      </c>
      <c r="D1959" s="6" t="s">
        <v>101</v>
      </c>
      <c r="E1959" s="10" t="s">
        <v>2100</v>
      </c>
      <c r="F1959" s="6" t="s">
        <v>4813</v>
      </c>
      <c r="G1959" s="6" t="s">
        <v>81</v>
      </c>
      <c r="H1959" s="6" t="s">
        <v>7685</v>
      </c>
      <c r="I1959" s="6" t="s">
        <v>8513</v>
      </c>
      <c r="J1959" s="6" t="s">
        <v>10520</v>
      </c>
      <c r="K1959" s="6" t="s">
        <v>10886</v>
      </c>
      <c r="L1959" s="16" t="n">
        <v>43368</v>
      </c>
      <c r="M1959" s="16" t="n">
        <v>45383</v>
      </c>
      <c r="N1959" s="6" t="s">
        <v>10886</v>
      </c>
      <c r="O1959" s="16" t="n">
        <v>43368</v>
      </c>
      <c r="P1959" s="6" t="s">
        <v>12037</v>
      </c>
      <c r="Q1959" s="6" t="s">
        <v>81</v>
      </c>
      <c r="R1959" s="6" t="s">
        <v>7685</v>
      </c>
      <c r="S1959" s="6" t="s">
        <v>10886</v>
      </c>
      <c r="T1959" s="16" t="n">
        <v>43368</v>
      </c>
      <c r="U1959" s="6" t="s">
        <v>13265</v>
      </c>
      <c r="V1959" s="6" t="s">
        <v>81</v>
      </c>
      <c r="W1959" s="6" t="s">
        <v>7685</v>
      </c>
      <c r="X1959" s="6" t="s">
        <v>81</v>
      </c>
      <c r="Y1959" s="21" t="s">
        <v>81</v>
      </c>
      <c r="Z1959" s="6" t="s">
        <v>81</v>
      </c>
      <c r="AA1959" s="6" t="s">
        <v>81</v>
      </c>
      <c r="AB1959" s="6" t="s">
        <v>81</v>
      </c>
      <c r="AC1959" s="6" t="s">
        <v>81</v>
      </c>
      <c r="AD1959" s="21" t="s">
        <v>81</v>
      </c>
      <c r="AE1959" s="6" t="s">
        <v>81</v>
      </c>
      <c r="AF1959" s="6" t="s">
        <v>81</v>
      </c>
      <c r="AG1959" s="6" t="s">
        <v>81</v>
      </c>
      <c r="AH1959" s="6" t="s">
        <v>16509</v>
      </c>
      <c r="AI1959" s="6" t="s">
        <v>81</v>
      </c>
      <c r="AJ1959" s="6" t="s">
        <v>17629</v>
      </c>
      <c r="AK1959" s="6" t="s">
        <v>18377</v>
      </c>
      <c r="AL1959" s="6" t="s">
        <v>18444</v>
      </c>
      <c r="AM1959" s="6" t="s">
        <v>18797</v>
      </c>
      <c r="AN1959" s="6" t="s">
        <v>19652</v>
      </c>
      <c r="AO1959" s="6" t="s">
        <v>19772</v>
      </c>
      <c r="AP1959" s="6" t="s">
        <v>81</v>
      </c>
      <c r="AQ1959" s="6" t="s">
        <v>81</v>
      </c>
      <c r="AR1959" s="6" t="s">
        <v>81</v>
      </c>
      <c r="AS1959" s="6" t="s">
        <v>81</v>
      </c>
      <c r="AT1959" s="6" t="s">
        <v>81</v>
      </c>
      <c r="AU1959" s="6" t="s">
        <v>81</v>
      </c>
      <c r="AV1959" s="6" t="s">
        <v>81</v>
      </c>
      <c r="AW1959" s="6" t="s">
        <v>81</v>
      </c>
      <c r="AX1959" s="6" t="s">
        <v>81</v>
      </c>
      <c r="AY1959" s="6" t="s">
        <v>23263</v>
      </c>
      <c r="AZ1959" s="6" t="s">
        <v>23738</v>
      </c>
      <c r="BA1959" s="6" t="s">
        <v>23824</v>
      </c>
      <c r="BB1959" s="24" t="n">
        <v>380</v>
      </c>
      <c r="BC1959" s="26"/>
      <c r="BD1959" s="26"/>
      <c r="BE1959" s="26"/>
      <c r="BF1959" s="26" t="s">
        <v>23900</v>
      </c>
      <c r="BG1959" s="26"/>
      <c r="BH1959" s="26"/>
      <c r="BI1959" s="26"/>
      <c r="BJ1959" s="26"/>
      <c r="BK1959" s="26"/>
      <c r="BL1959" s="26"/>
      <c r="BM1959" s="26"/>
      <c r="BN1959" s="26"/>
      <c r="BO1959" s="26"/>
      <c r="BP1959" s="16" t="n">
        <v>45397</v>
      </c>
      <c r="BQ1959" s="28" t="str">
        <f>HYPERLINK("https://organic.ams.usda.gov/Integrity/Certificate.aspx?cid=45&amp;nopid=9950008966")</f>
        <v>https://organic.ams.usda.gov/Integrity/Certificate.aspx?cid=45&amp;nopid=9950008966</v>
      </c>
    </row>
    <row r="1960">
      <c r="A1960" t="s">
        <v>3</v>
      </c>
      <c r="B1960" s="6" t="s">
        <v>12</v>
      </c>
      <c r="C1960" s="6" t="s">
        <v>59</v>
      </c>
      <c r="D1960" s="6" t="s">
        <v>105</v>
      </c>
      <c r="E1960" s="10" t="s">
        <v>2101</v>
      </c>
      <c r="F1960" s="6" t="s">
        <v>4814</v>
      </c>
      <c r="G1960" s="6" t="s">
        <v>81</v>
      </c>
      <c r="H1960" s="6" t="s">
        <v>7686</v>
      </c>
      <c r="I1960" s="6" t="s">
        <v>9364</v>
      </c>
      <c r="J1960" s="6" t="s">
        <v>10521</v>
      </c>
      <c r="K1960" s="6" t="s">
        <v>10886</v>
      </c>
      <c r="L1960" s="16" t="n">
        <v>44322</v>
      </c>
      <c r="M1960" s="16" t="n">
        <v>45717</v>
      </c>
      <c r="N1960" s="6" t="s">
        <v>81</v>
      </c>
      <c r="O1960" s="21" t="s">
        <v>81</v>
      </c>
      <c r="P1960" s="6" t="s">
        <v>81</v>
      </c>
      <c r="Q1960" s="6" t="s">
        <v>81</v>
      </c>
      <c r="R1960" s="6" t="s">
        <v>81</v>
      </c>
      <c r="S1960" s="6" t="s">
        <v>81</v>
      </c>
      <c r="T1960" s="21" t="s">
        <v>81</v>
      </c>
      <c r="U1960" s="6" t="s">
        <v>81</v>
      </c>
      <c r="V1960" s="6" t="s">
        <v>81</v>
      </c>
      <c r="W1960" s="6" t="s">
        <v>81</v>
      </c>
      <c r="X1960" s="6" t="s">
        <v>81</v>
      </c>
      <c r="Y1960" s="21" t="s">
        <v>81</v>
      </c>
      <c r="Z1960" s="6" t="s">
        <v>81</v>
      </c>
      <c r="AA1960" s="6" t="s">
        <v>81</v>
      </c>
      <c r="AB1960" s="6" t="s">
        <v>81</v>
      </c>
      <c r="AC1960" s="6" t="s">
        <v>10886</v>
      </c>
      <c r="AD1960" s="16" t="n">
        <v>44322</v>
      </c>
      <c r="AE1960" s="6" t="s">
        <v>14347</v>
      </c>
      <c r="AF1960" s="6" t="s">
        <v>81</v>
      </c>
      <c r="AG1960" s="6" t="s">
        <v>81</v>
      </c>
      <c r="AH1960" s="6" t="s">
        <v>16510</v>
      </c>
      <c r="AI1960" s="6" t="s">
        <v>81</v>
      </c>
      <c r="AJ1960" s="6" t="s">
        <v>18164</v>
      </c>
      <c r="AK1960" s="6" t="s">
        <v>18380</v>
      </c>
      <c r="AL1960" s="6" t="s">
        <v>18444</v>
      </c>
      <c r="AM1960" s="6" t="s">
        <v>19370</v>
      </c>
      <c r="AN1960" s="6" t="s">
        <v>7595</v>
      </c>
      <c r="AO1960" s="6" t="s">
        <v>19978</v>
      </c>
      <c r="AP1960" s="6" t="s">
        <v>16510</v>
      </c>
      <c r="AQ1960" s="6" t="s">
        <v>81</v>
      </c>
      <c r="AR1960" s="6" t="s">
        <v>18164</v>
      </c>
      <c r="AS1960" s="6" t="s">
        <v>18380</v>
      </c>
      <c r="AT1960" s="6" t="s">
        <v>18444</v>
      </c>
      <c r="AU1960" s="6" t="s">
        <v>19370</v>
      </c>
      <c r="AV1960" s="6" t="s">
        <v>81</v>
      </c>
      <c r="AW1960" s="6" t="s">
        <v>81</v>
      </c>
      <c r="AX1960" s="6" t="s">
        <v>22010</v>
      </c>
      <c r="AY1960" s="6" t="s">
        <v>23264</v>
      </c>
      <c r="AZ1960" s="6" t="s">
        <v>81</v>
      </c>
      <c r="BA1960" s="6" t="s">
        <v>81</v>
      </c>
      <c r="BB1960" s="6" t="s">
        <v>81</v>
      </c>
      <c r="BC1960" s="26"/>
      <c r="BD1960" s="26"/>
      <c r="BE1960" s="26"/>
      <c r="BF1960" s="26"/>
      <c r="BG1960" s="26"/>
      <c r="BH1960" s="26"/>
      <c r="BI1960" s="26"/>
      <c r="BJ1960" s="26"/>
      <c r="BK1960" s="26"/>
      <c r="BL1960" s="26"/>
      <c r="BM1960" s="26"/>
      <c r="BN1960" s="26"/>
      <c r="BO1960" s="26"/>
      <c r="BP1960" s="16" t="n">
        <v>45684</v>
      </c>
      <c r="BQ1960" s="28" t="str">
        <f>HYPERLINK("https://organic.ams.usda.gov/Integrity/Certificate.aspx?cid=68&amp;nopid=8210007353")</f>
        <v>https://organic.ams.usda.gov/Integrity/Certificate.aspx?cid=68&amp;nopid=8210007353</v>
      </c>
    </row>
    <row r="1961">
      <c r="A1961" t="s">
        <v>3</v>
      </c>
      <c r="B1961" s="6" t="s">
        <v>15</v>
      </c>
      <c r="C1961" s="6" t="s">
        <v>62</v>
      </c>
      <c r="D1961" s="6" t="s">
        <v>108</v>
      </c>
      <c r="E1961" s="10" t="s">
        <v>2102</v>
      </c>
      <c r="F1961" s="6" t="s">
        <v>4815</v>
      </c>
      <c r="G1961" s="6" t="s">
        <v>5773</v>
      </c>
      <c r="H1961" s="6" t="s">
        <v>7399</v>
      </c>
      <c r="I1961" s="6" t="s">
        <v>9175</v>
      </c>
      <c r="J1961" s="6" t="s">
        <v>10522</v>
      </c>
      <c r="K1961" s="6" t="s">
        <v>10886</v>
      </c>
      <c r="L1961" s="16" t="n">
        <v>39355</v>
      </c>
      <c r="M1961" s="16" t="n">
        <v>45792</v>
      </c>
      <c r="N1961" s="6" t="s">
        <v>10886</v>
      </c>
      <c r="O1961" s="16" t="n">
        <v>39355</v>
      </c>
      <c r="P1961" s="6" t="s">
        <v>12038</v>
      </c>
      <c r="Q1961" s="6" t="s">
        <v>81</v>
      </c>
      <c r="R1961" s="6" t="s">
        <v>81</v>
      </c>
      <c r="S1961" s="6" t="s">
        <v>10886</v>
      </c>
      <c r="T1961" s="16" t="n">
        <v>39355</v>
      </c>
      <c r="U1961" s="6" t="s">
        <v>13180</v>
      </c>
      <c r="V1961" s="6" t="s">
        <v>81</v>
      </c>
      <c r="W1961" s="6" t="s">
        <v>81</v>
      </c>
      <c r="X1961" s="6" t="s">
        <v>81</v>
      </c>
      <c r="Y1961" s="21" t="s">
        <v>81</v>
      </c>
      <c r="Z1961" s="6" t="s">
        <v>81</v>
      </c>
      <c r="AA1961" s="6" t="s">
        <v>81</v>
      </c>
      <c r="AB1961" s="6" t="s">
        <v>81</v>
      </c>
      <c r="AC1961" s="6" t="s">
        <v>81</v>
      </c>
      <c r="AD1961" s="21" t="s">
        <v>81</v>
      </c>
      <c r="AE1961" s="6" t="s">
        <v>81</v>
      </c>
      <c r="AF1961" s="6" t="s">
        <v>81</v>
      </c>
      <c r="AG1961" s="6" t="s">
        <v>81</v>
      </c>
      <c r="AH1961" s="6" t="s">
        <v>16511</v>
      </c>
      <c r="AI1961" s="6" t="s">
        <v>81</v>
      </c>
      <c r="AJ1961" s="6" t="s">
        <v>18165</v>
      </c>
      <c r="AK1961" s="6" t="s">
        <v>18378</v>
      </c>
      <c r="AL1961" s="6" t="s">
        <v>18444</v>
      </c>
      <c r="AM1961" s="6" t="s">
        <v>19371</v>
      </c>
      <c r="AN1961" s="6" t="s">
        <v>19636</v>
      </c>
      <c r="AO1961" s="6" t="s">
        <v>19722</v>
      </c>
      <c r="AP1961" s="6" t="s">
        <v>16511</v>
      </c>
      <c r="AQ1961" s="6" t="s">
        <v>81</v>
      </c>
      <c r="AR1961" s="6" t="s">
        <v>18165</v>
      </c>
      <c r="AS1961" s="6" t="s">
        <v>18378</v>
      </c>
      <c r="AT1961" s="6" t="s">
        <v>18444</v>
      </c>
      <c r="AU1961" s="6" t="s">
        <v>19371</v>
      </c>
      <c r="AV1961" s="6" t="s">
        <v>81</v>
      </c>
      <c r="AW1961" s="6" t="s">
        <v>81</v>
      </c>
      <c r="AX1961" s="6" t="s">
        <v>22011</v>
      </c>
      <c r="AY1961" s="6" t="s">
        <v>23265</v>
      </c>
      <c r="AZ1961" s="6" t="s">
        <v>81</v>
      </c>
      <c r="BA1961" s="6" t="s">
        <v>81</v>
      </c>
      <c r="BB1961" s="24" t="n">
        <v>442</v>
      </c>
      <c r="BC1961" s="26"/>
      <c r="BD1961" s="26"/>
      <c r="BE1961" s="26"/>
      <c r="BF1961" s="26" t="s">
        <v>23900</v>
      </c>
      <c r="BG1961" s="26"/>
      <c r="BH1961" s="26"/>
      <c r="BI1961" s="26"/>
      <c r="BJ1961" s="26"/>
      <c r="BK1961" s="26"/>
      <c r="BL1961" s="26"/>
      <c r="BM1961" s="26"/>
      <c r="BN1961" s="26"/>
      <c r="BO1961" s="26"/>
      <c r="BP1961" s="16" t="n">
        <v>45737</v>
      </c>
      <c r="BQ1961" s="28" t="str">
        <f>HYPERLINK("https://organic.ams.usda.gov/Integrity/Certificate.aspx?cid=58&amp;nopid=1600001343")</f>
        <v>https://organic.ams.usda.gov/Integrity/Certificate.aspx?cid=58&amp;nopid=1600001343</v>
      </c>
    </row>
    <row r="1962">
      <c r="A1962" t="s">
        <v>3</v>
      </c>
      <c r="B1962" s="6" t="s">
        <v>7</v>
      </c>
      <c r="C1962" s="6" t="s">
        <v>54</v>
      </c>
      <c r="D1962" s="6" t="s">
        <v>100</v>
      </c>
      <c r="E1962" s="10" t="s">
        <v>2103</v>
      </c>
      <c r="F1962" s="6" t="s">
        <v>4816</v>
      </c>
      <c r="G1962" s="6" t="s">
        <v>81</v>
      </c>
      <c r="H1962" s="6" t="s">
        <v>7687</v>
      </c>
      <c r="I1962" s="6" t="s">
        <v>9365</v>
      </c>
      <c r="J1962" s="6" t="s">
        <v>10523</v>
      </c>
      <c r="K1962" s="6" t="s">
        <v>10886</v>
      </c>
      <c r="L1962" s="16" t="n">
        <v>41540</v>
      </c>
      <c r="M1962" s="16" t="n">
        <v>45716</v>
      </c>
      <c r="N1962" s="6" t="s">
        <v>10886</v>
      </c>
      <c r="O1962" s="16" t="n">
        <v>41540</v>
      </c>
      <c r="P1962" s="6" t="s">
        <v>10910</v>
      </c>
      <c r="Q1962" s="6" t="s">
        <v>81</v>
      </c>
      <c r="R1962" s="6" t="s">
        <v>81</v>
      </c>
      <c r="S1962" s="6" t="s">
        <v>10886</v>
      </c>
      <c r="T1962" s="16" t="n">
        <v>41578</v>
      </c>
      <c r="U1962" s="6" t="s">
        <v>13169</v>
      </c>
      <c r="V1962" s="6" t="s">
        <v>81</v>
      </c>
      <c r="W1962" s="6" t="s">
        <v>81</v>
      </c>
      <c r="X1962" s="6" t="s">
        <v>81</v>
      </c>
      <c r="Y1962" s="21" t="s">
        <v>81</v>
      </c>
      <c r="Z1962" s="6" t="s">
        <v>81</v>
      </c>
      <c r="AA1962" s="6" t="s">
        <v>81</v>
      </c>
      <c r="AB1962" s="6" t="s">
        <v>81</v>
      </c>
      <c r="AC1962" s="6" t="s">
        <v>10886</v>
      </c>
      <c r="AD1962" s="16" t="n">
        <v>45545</v>
      </c>
      <c r="AE1962" s="6" t="s">
        <v>14348</v>
      </c>
      <c r="AF1962" s="6" t="s">
        <v>81</v>
      </c>
      <c r="AG1962" s="6" t="s">
        <v>81</v>
      </c>
      <c r="AH1962" s="6" t="s">
        <v>16512</v>
      </c>
      <c r="AI1962" s="6" t="s">
        <v>81</v>
      </c>
      <c r="AJ1962" s="6" t="s">
        <v>18166</v>
      </c>
      <c r="AK1962" s="6" t="s">
        <v>17712</v>
      </c>
      <c r="AL1962" s="6" t="s">
        <v>18444</v>
      </c>
      <c r="AM1962" s="6" t="s">
        <v>19372</v>
      </c>
      <c r="AN1962" s="6" t="s">
        <v>19696</v>
      </c>
      <c r="AO1962" s="6" t="s">
        <v>19791</v>
      </c>
      <c r="AP1962" s="6" t="s">
        <v>16512</v>
      </c>
      <c r="AQ1962" s="6" t="s">
        <v>81</v>
      </c>
      <c r="AR1962" s="6" t="s">
        <v>18166</v>
      </c>
      <c r="AS1962" s="6" t="s">
        <v>17712</v>
      </c>
      <c r="AT1962" s="6" t="s">
        <v>18444</v>
      </c>
      <c r="AU1962" s="6" t="s">
        <v>19372</v>
      </c>
      <c r="AV1962" s="6" t="s">
        <v>81</v>
      </c>
      <c r="AW1962" s="6" t="s">
        <v>81</v>
      </c>
      <c r="AX1962" s="6" t="s">
        <v>22012</v>
      </c>
      <c r="AY1962" s="6" t="s">
        <v>23266</v>
      </c>
      <c r="AZ1962" s="6" t="s">
        <v>81</v>
      </c>
      <c r="BA1962" s="6" t="s">
        <v>81</v>
      </c>
      <c r="BB1962" s="24" t="n">
        <v>314</v>
      </c>
      <c r="BC1962" s="26"/>
      <c r="BD1962" s="26"/>
      <c r="BE1962" s="26"/>
      <c r="BF1962" s="26" t="s">
        <v>23900</v>
      </c>
      <c r="BG1962" s="26"/>
      <c r="BH1962" s="26"/>
      <c r="BI1962" s="26"/>
      <c r="BJ1962" s="26"/>
      <c r="BK1962" s="26"/>
      <c r="BL1962" s="26"/>
      <c r="BM1962" s="26"/>
      <c r="BN1962" s="26"/>
      <c r="BO1962" s="26"/>
      <c r="BP1962" s="16" t="n">
        <v>45595</v>
      </c>
      <c r="BQ1962" s="28" t="str">
        <f>HYPERLINK("https://organic.ams.usda.gov/Integrity/Certificate.aspx?cid=57&amp;nopid=3252012054")</f>
        <v>https://organic.ams.usda.gov/Integrity/Certificate.aspx?cid=57&amp;nopid=3252012054</v>
      </c>
    </row>
    <row r="1963">
      <c r="A1963" t="s">
        <v>3</v>
      </c>
      <c r="B1963" s="6" t="s">
        <v>14</v>
      </c>
      <c r="C1963" s="6" t="s">
        <v>61</v>
      </c>
      <c r="D1963" s="6" t="s">
        <v>107</v>
      </c>
      <c r="E1963" s="10" t="s">
        <v>2104</v>
      </c>
      <c r="F1963" s="6" t="s">
        <v>4817</v>
      </c>
      <c r="G1963" s="6" t="s">
        <v>81</v>
      </c>
      <c r="H1963" s="6" t="s">
        <v>7688</v>
      </c>
      <c r="I1963" s="6" t="s">
        <v>8440</v>
      </c>
      <c r="J1963" s="6" t="s">
        <v>9677</v>
      </c>
      <c r="K1963" s="6" t="s">
        <v>10886</v>
      </c>
      <c r="L1963" s="16" t="n">
        <v>44843</v>
      </c>
      <c r="M1963" s="16" t="n">
        <v>45566</v>
      </c>
      <c r="N1963" s="6" t="s">
        <v>81</v>
      </c>
      <c r="O1963" s="21" t="s">
        <v>81</v>
      </c>
      <c r="P1963" s="6" t="s">
        <v>81</v>
      </c>
      <c r="Q1963" s="6" t="s">
        <v>81</v>
      </c>
      <c r="R1963" s="6" t="s">
        <v>81</v>
      </c>
      <c r="S1963" s="6" t="s">
        <v>81</v>
      </c>
      <c r="T1963" s="21" t="s">
        <v>81</v>
      </c>
      <c r="U1963" s="6" t="s">
        <v>81</v>
      </c>
      <c r="V1963" s="6" t="s">
        <v>81</v>
      </c>
      <c r="W1963" s="6" t="s">
        <v>81</v>
      </c>
      <c r="X1963" s="6" t="s">
        <v>81</v>
      </c>
      <c r="Y1963" s="21" t="s">
        <v>81</v>
      </c>
      <c r="Z1963" s="6" t="s">
        <v>81</v>
      </c>
      <c r="AA1963" s="6" t="s">
        <v>81</v>
      </c>
      <c r="AB1963" s="6" t="s">
        <v>81</v>
      </c>
      <c r="AC1963" s="6" t="s">
        <v>10886</v>
      </c>
      <c r="AD1963" s="16" t="n">
        <v>44843</v>
      </c>
      <c r="AE1963" s="6" t="s">
        <v>14349</v>
      </c>
      <c r="AF1963" s="6" t="s">
        <v>81</v>
      </c>
      <c r="AG1963" s="6" t="s">
        <v>81</v>
      </c>
      <c r="AH1963" s="6" t="s">
        <v>16513</v>
      </c>
      <c r="AI1963" s="6" t="s">
        <v>81</v>
      </c>
      <c r="AJ1963" s="6" t="s">
        <v>17489</v>
      </c>
      <c r="AK1963" s="6" t="s">
        <v>18380</v>
      </c>
      <c r="AL1963" s="6" t="s">
        <v>18444</v>
      </c>
      <c r="AM1963" s="6" t="s">
        <v>18649</v>
      </c>
      <c r="AN1963" s="6" t="s">
        <v>19702</v>
      </c>
      <c r="AO1963" s="6" t="s">
        <v>19832</v>
      </c>
      <c r="AP1963" s="6" t="s">
        <v>16513</v>
      </c>
      <c r="AQ1963" s="6" t="s">
        <v>81</v>
      </c>
      <c r="AR1963" s="6" t="s">
        <v>17489</v>
      </c>
      <c r="AS1963" s="6" t="s">
        <v>18380</v>
      </c>
      <c r="AT1963" s="6" t="s">
        <v>18444</v>
      </c>
      <c r="AU1963" s="6" t="s">
        <v>18649</v>
      </c>
      <c r="AV1963" s="6" t="s">
        <v>81</v>
      </c>
      <c r="AW1963" s="6" t="s">
        <v>81</v>
      </c>
      <c r="AX1963" s="6" t="s">
        <v>22013</v>
      </c>
      <c r="AY1963" s="6" t="s">
        <v>81</v>
      </c>
      <c r="AZ1963" s="6" t="s">
        <v>81</v>
      </c>
      <c r="BA1963" s="6" t="s">
        <v>81</v>
      </c>
      <c r="BB1963" s="24" t="n">
        <v>0</v>
      </c>
      <c r="BC1963" s="26"/>
      <c r="BD1963" s="26"/>
      <c r="BE1963" s="26"/>
      <c r="BF1963" s="26"/>
      <c r="BG1963" s="26"/>
      <c r="BH1963" s="26"/>
      <c r="BI1963" s="26"/>
      <c r="BJ1963" s="26"/>
      <c r="BK1963" s="26"/>
      <c r="BL1963" s="26"/>
      <c r="BM1963" s="26"/>
      <c r="BN1963" s="26"/>
      <c r="BO1963" s="26"/>
      <c r="BP1963" s="16" t="n">
        <v>45664</v>
      </c>
      <c r="BQ1963" s="28" t="str">
        <f>HYPERLINK("https://organic.ams.usda.gov/Integrity/Certificate.aspx?cid=51&amp;nopid=8240100922")</f>
        <v>https://organic.ams.usda.gov/Integrity/Certificate.aspx?cid=51&amp;nopid=8240100922</v>
      </c>
    </row>
    <row r="1964">
      <c r="A1964" t="s">
        <v>3</v>
      </c>
      <c r="B1964" s="6" t="s">
        <v>25</v>
      </c>
      <c r="C1964" s="6" t="s">
        <v>72</v>
      </c>
      <c r="D1964" s="6" t="s">
        <v>118</v>
      </c>
      <c r="E1964" s="10" t="s">
        <v>2105</v>
      </c>
      <c r="F1964" s="6" t="s">
        <v>4818</v>
      </c>
      <c r="G1964" s="6" t="s">
        <v>81</v>
      </c>
      <c r="H1964" s="6" t="s">
        <v>7689</v>
      </c>
      <c r="I1964" s="6" t="s">
        <v>8799</v>
      </c>
      <c r="J1964" s="6" t="s">
        <v>10524</v>
      </c>
      <c r="K1964" s="6" t="s">
        <v>10886</v>
      </c>
      <c r="L1964" s="16" t="n">
        <v>43941</v>
      </c>
      <c r="M1964" s="16" t="n">
        <v>46023</v>
      </c>
      <c r="N1964" s="6" t="s">
        <v>10886</v>
      </c>
      <c r="O1964" s="16" t="n">
        <v>43941</v>
      </c>
      <c r="P1964" s="6" t="s">
        <v>12039</v>
      </c>
      <c r="Q1964" s="6" t="s">
        <v>81</v>
      </c>
      <c r="R1964" s="6" t="s">
        <v>81</v>
      </c>
      <c r="S1964" s="6" t="s">
        <v>10886</v>
      </c>
      <c r="T1964" s="16" t="n">
        <v>43941</v>
      </c>
      <c r="U1964" s="6" t="s">
        <v>13763</v>
      </c>
      <c r="V1964" s="6" t="s">
        <v>81</v>
      </c>
      <c r="W1964" s="6" t="s">
        <v>81</v>
      </c>
      <c r="X1964" s="6" t="s">
        <v>81</v>
      </c>
      <c r="Y1964" s="21" t="s">
        <v>81</v>
      </c>
      <c r="Z1964" s="6" t="s">
        <v>81</v>
      </c>
      <c r="AA1964" s="6" t="s">
        <v>81</v>
      </c>
      <c r="AB1964" s="6" t="s">
        <v>81</v>
      </c>
      <c r="AC1964" s="6" t="s">
        <v>10886</v>
      </c>
      <c r="AD1964" s="16" t="n">
        <v>44732</v>
      </c>
      <c r="AE1964" s="6" t="s">
        <v>14081</v>
      </c>
      <c r="AF1964" s="6" t="s">
        <v>81</v>
      </c>
      <c r="AG1964" s="6" t="s">
        <v>81</v>
      </c>
      <c r="AH1964" s="6" t="s">
        <v>16514</v>
      </c>
      <c r="AI1964" s="6" t="s">
        <v>81</v>
      </c>
      <c r="AJ1964" s="6" t="s">
        <v>18167</v>
      </c>
      <c r="AK1964" s="6" t="s">
        <v>18393</v>
      </c>
      <c r="AL1964" s="6" t="s">
        <v>18444</v>
      </c>
      <c r="AM1964" s="6" t="s">
        <v>19373</v>
      </c>
      <c r="AN1964" s="6" t="s">
        <v>19636</v>
      </c>
      <c r="AO1964" s="6" t="s">
        <v>20034</v>
      </c>
      <c r="AP1964" s="6" t="s">
        <v>16514</v>
      </c>
      <c r="AQ1964" s="6" t="s">
        <v>81</v>
      </c>
      <c r="AR1964" s="6" t="s">
        <v>18167</v>
      </c>
      <c r="AS1964" s="6" t="s">
        <v>18393</v>
      </c>
      <c r="AT1964" s="6" t="s">
        <v>18444</v>
      </c>
      <c r="AU1964" s="6" t="s">
        <v>19373</v>
      </c>
      <c r="AV1964" s="6" t="s">
        <v>81</v>
      </c>
      <c r="AW1964" s="6" t="s">
        <v>81</v>
      </c>
      <c r="AX1964" s="6" t="s">
        <v>22014</v>
      </c>
      <c r="AY1964" s="6" t="s">
        <v>23267</v>
      </c>
      <c r="AZ1964" s="6" t="s">
        <v>81</v>
      </c>
      <c r="BA1964" s="6" t="s">
        <v>81</v>
      </c>
      <c r="BB1964" s="24" t="n">
        <v>216</v>
      </c>
      <c r="BC1964" s="26"/>
      <c r="BD1964" s="26"/>
      <c r="BE1964" s="26"/>
      <c r="BF1964" s="26"/>
      <c r="BG1964" s="26"/>
      <c r="BH1964" s="26"/>
      <c r="BI1964" s="26"/>
      <c r="BJ1964" s="26"/>
      <c r="BK1964" s="26"/>
      <c r="BL1964" s="26"/>
      <c r="BM1964" s="26"/>
      <c r="BN1964" s="26"/>
      <c r="BO1964" s="26"/>
      <c r="BP1964" s="16" t="n">
        <v>45667</v>
      </c>
      <c r="BQ1964" s="28" t="str">
        <f>HYPERLINK("https://organic.ams.usda.gov/Integrity/Certificate.aspx?cid=15&amp;nopid=5561006317")</f>
        <v>https://organic.ams.usda.gov/Integrity/Certificate.aspx?cid=15&amp;nopid=5561006317</v>
      </c>
    </row>
    <row r="1965">
      <c r="A1965" t="s">
        <v>3</v>
      </c>
      <c r="B1965" s="6" t="s">
        <v>10</v>
      </c>
      <c r="C1965" s="6" t="s">
        <v>57</v>
      </c>
      <c r="D1965" s="6" t="s">
        <v>103</v>
      </c>
      <c r="E1965" s="10" t="s">
        <v>2106</v>
      </c>
      <c r="F1965" s="6" t="s">
        <v>4819</v>
      </c>
      <c r="G1965" s="6" t="s">
        <v>81</v>
      </c>
      <c r="H1965" s="6" t="s">
        <v>7690</v>
      </c>
      <c r="I1965" s="6" t="s">
        <v>9366</v>
      </c>
      <c r="J1965" s="6" t="s">
        <v>9728</v>
      </c>
      <c r="K1965" s="6" t="s">
        <v>10886</v>
      </c>
      <c r="L1965" s="16" t="n">
        <v>38987</v>
      </c>
      <c r="M1965" s="16" t="n">
        <v>45748</v>
      </c>
      <c r="N1965" s="6" t="s">
        <v>10886</v>
      </c>
      <c r="O1965" s="16" t="n">
        <v>38987</v>
      </c>
      <c r="P1965" s="6" t="s">
        <v>11015</v>
      </c>
      <c r="Q1965" s="6" t="s">
        <v>81</v>
      </c>
      <c r="R1965" s="6" t="s">
        <v>12987</v>
      </c>
      <c r="S1965" s="6" t="s">
        <v>10886</v>
      </c>
      <c r="T1965" s="16" t="n">
        <v>43314</v>
      </c>
      <c r="U1965" s="6" t="s">
        <v>13163</v>
      </c>
      <c r="V1965" s="6" t="s">
        <v>81</v>
      </c>
      <c r="W1965" s="6" t="s">
        <v>81</v>
      </c>
      <c r="X1965" s="6" t="s">
        <v>81</v>
      </c>
      <c r="Y1965" s="21" t="s">
        <v>81</v>
      </c>
      <c r="Z1965" s="6" t="s">
        <v>81</v>
      </c>
      <c r="AA1965" s="6" t="s">
        <v>81</v>
      </c>
      <c r="AB1965" s="6" t="s">
        <v>81</v>
      </c>
      <c r="AC1965" s="6" t="s">
        <v>81</v>
      </c>
      <c r="AD1965" s="21" t="s">
        <v>81</v>
      </c>
      <c r="AE1965" s="6" t="s">
        <v>81</v>
      </c>
      <c r="AF1965" s="6" t="s">
        <v>81</v>
      </c>
      <c r="AG1965" s="6" t="s">
        <v>81</v>
      </c>
      <c r="AH1965" s="6" t="s">
        <v>16515</v>
      </c>
      <c r="AI1965" s="6" t="s">
        <v>81</v>
      </c>
      <c r="AJ1965" s="6" t="s">
        <v>17380</v>
      </c>
      <c r="AK1965" s="6" t="s">
        <v>18379</v>
      </c>
      <c r="AL1965" s="6" t="s">
        <v>18444</v>
      </c>
      <c r="AM1965" s="6" t="s">
        <v>18533</v>
      </c>
      <c r="AN1965" s="6" t="s">
        <v>19637</v>
      </c>
      <c r="AO1965" s="6" t="s">
        <v>19723</v>
      </c>
      <c r="AP1965" s="6" t="s">
        <v>16515</v>
      </c>
      <c r="AQ1965" s="6" t="s">
        <v>81</v>
      </c>
      <c r="AR1965" s="6" t="s">
        <v>17380</v>
      </c>
      <c r="AS1965" s="6" t="s">
        <v>18379</v>
      </c>
      <c r="AT1965" s="6" t="s">
        <v>18444</v>
      </c>
      <c r="AU1965" s="6" t="s">
        <v>18533</v>
      </c>
      <c r="AV1965" s="6" t="s">
        <v>81</v>
      </c>
      <c r="AW1965" s="6" t="s">
        <v>81</v>
      </c>
      <c r="AX1965" s="6" t="s">
        <v>22015</v>
      </c>
      <c r="AY1965" s="6" t="s">
        <v>81</v>
      </c>
      <c r="AZ1965" s="6" t="s">
        <v>81</v>
      </c>
      <c r="BA1965" s="6" t="s">
        <v>81</v>
      </c>
      <c r="BB1965" s="24" t="n">
        <v>108</v>
      </c>
      <c r="BC1965" s="26"/>
      <c r="BD1965" s="26"/>
      <c r="BE1965" s="26"/>
      <c r="BF1965" s="26"/>
      <c r="BG1965" s="26"/>
      <c r="BH1965" s="26"/>
      <c r="BI1965" s="26"/>
      <c r="BJ1965" s="26"/>
      <c r="BK1965" s="26"/>
      <c r="BL1965" s="26"/>
      <c r="BM1965" s="26"/>
      <c r="BN1965" s="26"/>
      <c r="BO1965" s="26"/>
      <c r="BP1965" s="16" t="n">
        <v>45730</v>
      </c>
      <c r="BQ1965" s="28" t="str">
        <f>HYPERLINK("https://organic.ams.usda.gov/Integrity/Certificate.aspx?cid=90&amp;nopid=7170020134")</f>
        <v>https://organic.ams.usda.gov/Integrity/Certificate.aspx?cid=90&amp;nopid=7170020134</v>
      </c>
    </row>
    <row r="1966">
      <c r="A1966" t="s">
        <v>3</v>
      </c>
      <c r="B1966" s="6" t="s">
        <v>11</v>
      </c>
      <c r="C1966" s="6" t="s">
        <v>58</v>
      </c>
      <c r="D1966" s="6" t="s">
        <v>104</v>
      </c>
      <c r="E1966" s="10" t="s">
        <v>2107</v>
      </c>
      <c r="F1966" s="6" t="s">
        <v>4820</v>
      </c>
      <c r="G1966" s="6" t="s">
        <v>81</v>
      </c>
      <c r="H1966" s="6" t="s">
        <v>81</v>
      </c>
      <c r="I1966" s="6" t="s">
        <v>9367</v>
      </c>
      <c r="J1966" s="6" t="s">
        <v>9665</v>
      </c>
      <c r="K1966" s="6" t="s">
        <v>10886</v>
      </c>
      <c r="L1966" s="16" t="n">
        <v>41904</v>
      </c>
      <c r="M1966" s="16" t="n">
        <v>45383</v>
      </c>
      <c r="N1966" s="6" t="s">
        <v>10886</v>
      </c>
      <c r="O1966" s="16" t="n">
        <v>41904</v>
      </c>
      <c r="P1966" s="6" t="s">
        <v>12040</v>
      </c>
      <c r="Q1966" s="6" t="s">
        <v>81</v>
      </c>
      <c r="R1966" s="6" t="s">
        <v>81</v>
      </c>
      <c r="S1966" s="6" t="s">
        <v>10886</v>
      </c>
      <c r="T1966" s="16" t="n">
        <v>42551</v>
      </c>
      <c r="U1966" s="6" t="s">
        <v>13567</v>
      </c>
      <c r="V1966" s="6" t="s">
        <v>81</v>
      </c>
      <c r="W1966" s="6" t="s">
        <v>81</v>
      </c>
      <c r="X1966" s="6" t="s">
        <v>81</v>
      </c>
      <c r="Y1966" s="21" t="s">
        <v>81</v>
      </c>
      <c r="Z1966" s="6" t="s">
        <v>81</v>
      </c>
      <c r="AA1966" s="6" t="s">
        <v>81</v>
      </c>
      <c r="AB1966" s="6" t="s">
        <v>81</v>
      </c>
      <c r="AC1966" s="6" t="s">
        <v>81</v>
      </c>
      <c r="AD1966" s="21" t="s">
        <v>81</v>
      </c>
      <c r="AE1966" s="6" t="s">
        <v>81</v>
      </c>
      <c r="AF1966" s="6" t="s">
        <v>81</v>
      </c>
      <c r="AG1966" s="6" t="s">
        <v>81</v>
      </c>
      <c r="AH1966" s="6" t="s">
        <v>16516</v>
      </c>
      <c r="AI1966" s="6" t="s">
        <v>81</v>
      </c>
      <c r="AJ1966" s="6" t="s">
        <v>17407</v>
      </c>
      <c r="AK1966" s="6" t="s">
        <v>18377</v>
      </c>
      <c r="AL1966" s="6" t="s">
        <v>18444</v>
      </c>
      <c r="AM1966" s="6" t="s">
        <v>18563</v>
      </c>
      <c r="AN1966" s="6" t="s">
        <v>19638</v>
      </c>
      <c r="AO1966" s="6" t="s">
        <v>19724</v>
      </c>
      <c r="AP1966" s="6" t="s">
        <v>16516</v>
      </c>
      <c r="AQ1966" s="6" t="s">
        <v>81</v>
      </c>
      <c r="AR1966" s="6" t="s">
        <v>17407</v>
      </c>
      <c r="AS1966" s="6" t="s">
        <v>18377</v>
      </c>
      <c r="AT1966" s="6" t="s">
        <v>18444</v>
      </c>
      <c r="AU1966" s="6" t="s">
        <v>18563</v>
      </c>
      <c r="AV1966" s="6" t="s">
        <v>81</v>
      </c>
      <c r="AW1966" s="6" t="s">
        <v>81</v>
      </c>
      <c r="AX1966" s="6" t="s">
        <v>81</v>
      </c>
      <c r="AY1966" s="6" t="s">
        <v>81</v>
      </c>
      <c r="AZ1966" s="6" t="s">
        <v>81</v>
      </c>
      <c r="BA1966" s="6" t="s">
        <v>23820</v>
      </c>
      <c r="BB1966" s="24" t="n">
        <v>153</v>
      </c>
      <c r="BC1966" s="26"/>
      <c r="BD1966" s="26"/>
      <c r="BE1966" s="26"/>
      <c r="BF1966" s="26"/>
      <c r="BG1966" s="26"/>
      <c r="BH1966" s="26"/>
      <c r="BI1966" s="26"/>
      <c r="BJ1966" s="26"/>
      <c r="BK1966" s="26"/>
      <c r="BL1966" s="26"/>
      <c r="BM1966" s="26"/>
      <c r="BN1966" s="26"/>
      <c r="BO1966" s="26"/>
      <c r="BP1966" s="16" t="n">
        <v>45443</v>
      </c>
      <c r="BQ1966" s="28" t="str">
        <f>HYPERLINK("https://organic.ams.usda.gov/Integrity/Certificate.aspx?cid=46&amp;nopid=3671400045")</f>
        <v>https://organic.ams.usda.gov/Integrity/Certificate.aspx?cid=46&amp;nopid=3671400045</v>
      </c>
    </row>
    <row r="1967">
      <c r="A1967" t="s">
        <v>3</v>
      </c>
      <c r="B1967" s="6" t="s">
        <v>9</v>
      </c>
      <c r="C1967" s="6" t="s">
        <v>56</v>
      </c>
      <c r="D1967" s="6" t="s">
        <v>102</v>
      </c>
      <c r="E1967" s="10" t="s">
        <v>2108</v>
      </c>
      <c r="F1967" s="6" t="s">
        <v>4821</v>
      </c>
      <c r="G1967" s="6" t="s">
        <v>81</v>
      </c>
      <c r="H1967" s="6" t="s">
        <v>7691</v>
      </c>
      <c r="I1967" s="6" t="s">
        <v>9018</v>
      </c>
      <c r="J1967" s="6" t="s">
        <v>9959</v>
      </c>
      <c r="K1967" s="6" t="s">
        <v>10886</v>
      </c>
      <c r="L1967" s="16" t="n">
        <v>43714</v>
      </c>
      <c r="M1967" s="16" t="n">
        <v>45748</v>
      </c>
      <c r="N1967" s="6" t="s">
        <v>10886</v>
      </c>
      <c r="O1967" s="16" t="n">
        <v>43714</v>
      </c>
      <c r="P1967" s="6" t="s">
        <v>10939</v>
      </c>
      <c r="Q1967" s="6" t="s">
        <v>81</v>
      </c>
      <c r="R1967" s="6" t="s">
        <v>12988</v>
      </c>
      <c r="S1967" s="6" t="s">
        <v>10886</v>
      </c>
      <c r="T1967" s="16" t="n">
        <v>43714</v>
      </c>
      <c r="U1967" s="6" t="s">
        <v>13162</v>
      </c>
      <c r="V1967" s="6" t="s">
        <v>81</v>
      </c>
      <c r="W1967" s="6" t="s">
        <v>12988</v>
      </c>
      <c r="X1967" s="6" t="s">
        <v>81</v>
      </c>
      <c r="Y1967" s="21" t="s">
        <v>81</v>
      </c>
      <c r="Z1967" s="6" t="s">
        <v>81</v>
      </c>
      <c r="AA1967" s="6" t="s">
        <v>81</v>
      </c>
      <c r="AB1967" s="6" t="s">
        <v>81</v>
      </c>
      <c r="AC1967" s="6" t="s">
        <v>81</v>
      </c>
      <c r="AD1967" s="21" t="s">
        <v>81</v>
      </c>
      <c r="AE1967" s="6" t="s">
        <v>81</v>
      </c>
      <c r="AF1967" s="6" t="s">
        <v>81</v>
      </c>
      <c r="AG1967" s="6" t="s">
        <v>81</v>
      </c>
      <c r="AH1967" s="6" t="s">
        <v>16517</v>
      </c>
      <c r="AI1967" s="6" t="s">
        <v>81</v>
      </c>
      <c r="AJ1967" s="6" t="s">
        <v>18168</v>
      </c>
      <c r="AK1967" s="6" t="s">
        <v>18381</v>
      </c>
      <c r="AL1967" s="6" t="s">
        <v>18444</v>
      </c>
      <c r="AM1967" s="6" t="s">
        <v>19299</v>
      </c>
      <c r="AN1967" s="6" t="s">
        <v>19676</v>
      </c>
      <c r="AO1967" s="6" t="s">
        <v>19797</v>
      </c>
      <c r="AP1967" s="6" t="s">
        <v>81</v>
      </c>
      <c r="AQ1967" s="6" t="s">
        <v>81</v>
      </c>
      <c r="AR1967" s="6" t="s">
        <v>81</v>
      </c>
      <c r="AS1967" s="6" t="s">
        <v>81</v>
      </c>
      <c r="AT1967" s="6" t="s">
        <v>81</v>
      </c>
      <c r="AU1967" s="6" t="s">
        <v>81</v>
      </c>
      <c r="AV1967" s="6" t="s">
        <v>81</v>
      </c>
      <c r="AW1967" s="6" t="s">
        <v>81</v>
      </c>
      <c r="AX1967" s="6" t="s">
        <v>81</v>
      </c>
      <c r="AY1967" s="6" t="s">
        <v>81</v>
      </c>
      <c r="AZ1967" s="6" t="s">
        <v>81</v>
      </c>
      <c r="BA1967" s="6" t="s">
        <v>23837</v>
      </c>
      <c r="BB1967" s="24" t="n">
        <v>101</v>
      </c>
      <c r="BC1967" s="26"/>
      <c r="BD1967" s="26"/>
      <c r="BE1967" s="26"/>
      <c r="BF1967" s="26"/>
      <c r="BG1967" s="26"/>
      <c r="BH1967" s="26"/>
      <c r="BI1967" s="26"/>
      <c r="BJ1967" s="26"/>
      <c r="BK1967" s="26"/>
      <c r="BL1967" s="26"/>
      <c r="BM1967" s="26"/>
      <c r="BN1967" s="26"/>
      <c r="BO1967" s="26"/>
      <c r="BP1967" s="16" t="n">
        <v>45738</v>
      </c>
      <c r="BQ1967" s="28" t="str">
        <f>HYPERLINK("https://organic.ams.usda.gov/Integrity/Certificate.aspx?cid=52&amp;nopid=8431901680")</f>
        <v>https://organic.ams.usda.gov/Integrity/Certificate.aspx?cid=52&amp;nopid=8431901680</v>
      </c>
    </row>
    <row r="1968">
      <c r="A1968" t="s">
        <v>3</v>
      </c>
      <c r="B1968" s="6" t="s">
        <v>9</v>
      </c>
      <c r="C1968" s="6" t="s">
        <v>56</v>
      </c>
      <c r="D1968" s="6" t="s">
        <v>102</v>
      </c>
      <c r="E1968" s="10" t="s">
        <v>2109</v>
      </c>
      <c r="F1968" s="6" t="s">
        <v>4822</v>
      </c>
      <c r="G1968" s="6" t="s">
        <v>81</v>
      </c>
      <c r="H1968" s="6" t="s">
        <v>7692</v>
      </c>
      <c r="I1968" s="6" t="s">
        <v>9018</v>
      </c>
      <c r="J1968" s="6" t="s">
        <v>9666</v>
      </c>
      <c r="K1968" s="6" t="s">
        <v>10886</v>
      </c>
      <c r="L1968" s="16" t="n">
        <v>44211</v>
      </c>
      <c r="M1968" s="16" t="n">
        <v>46113</v>
      </c>
      <c r="N1968" s="6" t="s">
        <v>10886</v>
      </c>
      <c r="O1968" s="16" t="n">
        <v>44211</v>
      </c>
      <c r="P1968" s="6" t="s">
        <v>12041</v>
      </c>
      <c r="Q1968" s="6" t="s">
        <v>81</v>
      </c>
      <c r="R1968" s="6" t="s">
        <v>12989</v>
      </c>
      <c r="S1968" s="6" t="s">
        <v>10886</v>
      </c>
      <c r="T1968" s="16" t="n">
        <v>44211</v>
      </c>
      <c r="U1968" s="6" t="s">
        <v>13680</v>
      </c>
      <c r="V1968" s="6" t="s">
        <v>81</v>
      </c>
      <c r="W1968" s="6" t="s">
        <v>12989</v>
      </c>
      <c r="X1968" s="6" t="s">
        <v>81</v>
      </c>
      <c r="Y1968" s="21" t="s">
        <v>81</v>
      </c>
      <c r="Z1968" s="6" t="s">
        <v>81</v>
      </c>
      <c r="AA1968" s="6" t="s">
        <v>81</v>
      </c>
      <c r="AB1968" s="6" t="s">
        <v>81</v>
      </c>
      <c r="AC1968" s="6" t="s">
        <v>81</v>
      </c>
      <c r="AD1968" s="21" t="s">
        <v>81</v>
      </c>
      <c r="AE1968" s="6" t="s">
        <v>81</v>
      </c>
      <c r="AF1968" s="6" t="s">
        <v>81</v>
      </c>
      <c r="AG1968" s="6" t="s">
        <v>81</v>
      </c>
      <c r="AH1968" s="6" t="s">
        <v>16518</v>
      </c>
      <c r="AI1968" s="6" t="s">
        <v>81</v>
      </c>
      <c r="AJ1968" s="6" t="s">
        <v>17385</v>
      </c>
      <c r="AK1968" s="6" t="s">
        <v>18377</v>
      </c>
      <c r="AL1968" s="6" t="s">
        <v>18444</v>
      </c>
      <c r="AM1968" s="6" t="s">
        <v>18539</v>
      </c>
      <c r="AN1968" s="6" t="s">
        <v>19634</v>
      </c>
      <c r="AO1968" s="6" t="s">
        <v>19764</v>
      </c>
      <c r="AP1968" s="6" t="s">
        <v>81</v>
      </c>
      <c r="AQ1968" s="6" t="s">
        <v>81</v>
      </c>
      <c r="AR1968" s="6" t="s">
        <v>81</v>
      </c>
      <c r="AS1968" s="6" t="s">
        <v>81</v>
      </c>
      <c r="AT1968" s="6" t="s">
        <v>81</v>
      </c>
      <c r="AU1968" s="6" t="s">
        <v>81</v>
      </c>
      <c r="AV1968" s="6" t="s">
        <v>81</v>
      </c>
      <c r="AW1968" s="6" t="s">
        <v>81</v>
      </c>
      <c r="AX1968" s="6" t="s">
        <v>81</v>
      </c>
      <c r="AY1968" s="6" t="s">
        <v>81</v>
      </c>
      <c r="AZ1968" s="6" t="s">
        <v>81</v>
      </c>
      <c r="BA1968" s="6" t="s">
        <v>81</v>
      </c>
      <c r="BB1968" s="24" t="n">
        <v>137</v>
      </c>
      <c r="BC1968" s="26"/>
      <c r="BD1968" s="26"/>
      <c r="BE1968" s="26"/>
      <c r="BF1968" s="26"/>
      <c r="BG1968" s="26"/>
      <c r="BH1968" s="26"/>
      <c r="BI1968" s="26"/>
      <c r="BJ1968" s="26"/>
      <c r="BK1968" s="26"/>
      <c r="BL1968" s="26"/>
      <c r="BM1968" s="26"/>
      <c r="BN1968" s="26"/>
      <c r="BO1968" s="26"/>
      <c r="BP1968" s="16" t="n">
        <v>45738</v>
      </c>
      <c r="BQ1968" s="28" t="str">
        <f>HYPERLINK("https://organic.ams.usda.gov/Integrity/Certificate.aspx?cid=52&amp;nopid=8432001918")</f>
        <v>https://organic.ams.usda.gov/Integrity/Certificate.aspx?cid=52&amp;nopid=8432001918</v>
      </c>
    </row>
    <row r="1969">
      <c r="A1969" t="s">
        <v>3</v>
      </c>
      <c r="B1969" s="6" t="s">
        <v>25</v>
      </c>
      <c r="C1969" s="6" t="s">
        <v>72</v>
      </c>
      <c r="D1969" s="6" t="s">
        <v>118</v>
      </c>
      <c r="E1969" s="10" t="s">
        <v>2110</v>
      </c>
      <c r="F1969" s="6" t="s">
        <v>4823</v>
      </c>
      <c r="G1969" s="6" t="s">
        <v>81</v>
      </c>
      <c r="H1969" s="6" t="s">
        <v>7693</v>
      </c>
      <c r="I1969" s="6" t="s">
        <v>8412</v>
      </c>
      <c r="J1969" s="6" t="s">
        <v>10525</v>
      </c>
      <c r="K1969" s="6" t="s">
        <v>10886</v>
      </c>
      <c r="L1969" s="16" t="n">
        <v>41038</v>
      </c>
      <c r="M1969" s="16" t="n">
        <v>46023</v>
      </c>
      <c r="N1969" s="6" t="s">
        <v>10886</v>
      </c>
      <c r="O1969" s="16" t="n">
        <v>41038</v>
      </c>
      <c r="P1969" s="6" t="s">
        <v>11412</v>
      </c>
      <c r="Q1969" s="6" t="s">
        <v>81</v>
      </c>
      <c r="R1969" s="6" t="s">
        <v>81</v>
      </c>
      <c r="S1969" s="6" t="s">
        <v>10886</v>
      </c>
      <c r="T1969" s="16" t="n">
        <v>41365</v>
      </c>
      <c r="U1969" s="6" t="s">
        <v>13764</v>
      </c>
      <c r="V1969" s="6" t="s">
        <v>81</v>
      </c>
      <c r="W1969" s="6" t="s">
        <v>81</v>
      </c>
      <c r="X1969" s="6" t="s">
        <v>81</v>
      </c>
      <c r="Y1969" s="21" t="s">
        <v>81</v>
      </c>
      <c r="Z1969" s="6" t="s">
        <v>81</v>
      </c>
      <c r="AA1969" s="6" t="s">
        <v>81</v>
      </c>
      <c r="AB1969" s="6" t="s">
        <v>81</v>
      </c>
      <c r="AC1969" s="6" t="s">
        <v>10886</v>
      </c>
      <c r="AD1969" s="16" t="n">
        <v>44734</v>
      </c>
      <c r="AE1969" s="6" t="s">
        <v>14081</v>
      </c>
      <c r="AF1969" s="6" t="s">
        <v>81</v>
      </c>
      <c r="AG1969" s="6" t="s">
        <v>81</v>
      </c>
      <c r="AH1969" s="6" t="s">
        <v>16519</v>
      </c>
      <c r="AI1969" s="6" t="s">
        <v>81</v>
      </c>
      <c r="AJ1969" s="6" t="s">
        <v>17900</v>
      </c>
      <c r="AK1969" s="6" t="s">
        <v>18386</v>
      </c>
      <c r="AL1969" s="6" t="s">
        <v>18444</v>
      </c>
      <c r="AM1969" s="6" t="s">
        <v>19088</v>
      </c>
      <c r="AN1969" s="6" t="s">
        <v>19672</v>
      </c>
      <c r="AO1969" s="6" t="s">
        <v>19787</v>
      </c>
      <c r="AP1969" s="6" t="s">
        <v>16519</v>
      </c>
      <c r="AQ1969" s="6" t="s">
        <v>81</v>
      </c>
      <c r="AR1969" s="6" t="s">
        <v>17900</v>
      </c>
      <c r="AS1969" s="6" t="s">
        <v>18386</v>
      </c>
      <c r="AT1969" s="6" t="s">
        <v>18444</v>
      </c>
      <c r="AU1969" s="6" t="s">
        <v>19088</v>
      </c>
      <c r="AV1969" s="6" t="s">
        <v>81</v>
      </c>
      <c r="AW1969" s="6" t="s">
        <v>81</v>
      </c>
      <c r="AX1969" s="6" t="s">
        <v>22016</v>
      </c>
      <c r="AY1969" s="6" t="s">
        <v>23268</v>
      </c>
      <c r="AZ1969" s="6" t="s">
        <v>81</v>
      </c>
      <c r="BA1969" s="6" t="s">
        <v>81</v>
      </c>
      <c r="BB1969" s="24" t="n">
        <v>955</v>
      </c>
      <c r="BC1969" s="26"/>
      <c r="BD1969" s="26"/>
      <c r="BE1969" s="26"/>
      <c r="BF1969" s="26"/>
      <c r="BG1969" s="26"/>
      <c r="BH1969" s="26"/>
      <c r="BI1969" s="26"/>
      <c r="BJ1969" s="26"/>
      <c r="BK1969" s="26"/>
      <c r="BL1969" s="26"/>
      <c r="BM1969" s="26"/>
      <c r="BN1969" s="26"/>
      <c r="BO1969" s="26"/>
      <c r="BP1969" s="16" t="n">
        <v>45667</v>
      </c>
      <c r="BQ1969" s="28" t="str">
        <f>HYPERLINK("https://organic.ams.usda.gov/Integrity/Certificate.aspx?cid=15&amp;nopid=5561001390")</f>
        <v>https://organic.ams.usda.gov/Integrity/Certificate.aspx?cid=15&amp;nopid=5561001390</v>
      </c>
    </row>
    <row r="1970">
      <c r="A1970" t="s">
        <v>3</v>
      </c>
      <c r="B1970" s="6" t="s">
        <v>7</v>
      </c>
      <c r="C1970" s="6" t="s">
        <v>54</v>
      </c>
      <c r="D1970" s="6" t="s">
        <v>100</v>
      </c>
      <c r="E1970" s="10" t="s">
        <v>2111</v>
      </c>
      <c r="F1970" s="6" t="s">
        <v>4824</v>
      </c>
      <c r="G1970" s="6" t="s">
        <v>81</v>
      </c>
      <c r="H1970" s="6" t="s">
        <v>7694</v>
      </c>
      <c r="I1970" s="6" t="s">
        <v>9368</v>
      </c>
      <c r="J1970" s="6" t="s">
        <v>9834</v>
      </c>
      <c r="K1970" s="6" t="s">
        <v>10886</v>
      </c>
      <c r="L1970" s="16" t="n">
        <v>44463</v>
      </c>
      <c r="M1970" s="16" t="n">
        <v>46037</v>
      </c>
      <c r="N1970" s="6" t="s">
        <v>10886</v>
      </c>
      <c r="O1970" s="16" t="n">
        <v>44677</v>
      </c>
      <c r="P1970" s="6" t="s">
        <v>11031</v>
      </c>
      <c r="Q1970" s="6" t="s">
        <v>81</v>
      </c>
      <c r="R1970" s="6" t="s">
        <v>81</v>
      </c>
      <c r="S1970" s="6" t="s">
        <v>10886</v>
      </c>
      <c r="T1970" s="16" t="n">
        <v>45369</v>
      </c>
      <c r="U1970" s="6" t="s">
        <v>13765</v>
      </c>
      <c r="V1970" s="6" t="s">
        <v>81</v>
      </c>
      <c r="W1970" s="6" t="s">
        <v>81</v>
      </c>
      <c r="X1970" s="6" t="s">
        <v>81</v>
      </c>
      <c r="Y1970" s="21" t="s">
        <v>81</v>
      </c>
      <c r="Z1970" s="6" t="s">
        <v>81</v>
      </c>
      <c r="AA1970" s="6" t="s">
        <v>81</v>
      </c>
      <c r="AB1970" s="6" t="s">
        <v>81</v>
      </c>
      <c r="AC1970" s="6" t="s">
        <v>10886</v>
      </c>
      <c r="AD1970" s="16" t="n">
        <v>44463</v>
      </c>
      <c r="AE1970" s="6" t="s">
        <v>14350</v>
      </c>
      <c r="AF1970" s="6" t="s">
        <v>81</v>
      </c>
      <c r="AG1970" s="6" t="s">
        <v>81</v>
      </c>
      <c r="AH1970" s="6" t="s">
        <v>16520</v>
      </c>
      <c r="AI1970" s="6" t="s">
        <v>81</v>
      </c>
      <c r="AJ1970" s="6" t="s">
        <v>17561</v>
      </c>
      <c r="AK1970" s="6" t="s">
        <v>18386</v>
      </c>
      <c r="AL1970" s="6" t="s">
        <v>18444</v>
      </c>
      <c r="AM1970" s="6" t="s">
        <v>18760</v>
      </c>
      <c r="AN1970" s="6" t="s">
        <v>19672</v>
      </c>
      <c r="AO1970" s="6" t="s">
        <v>19787</v>
      </c>
      <c r="AP1970" s="6" t="s">
        <v>20361</v>
      </c>
      <c r="AQ1970" s="6" t="s">
        <v>81</v>
      </c>
      <c r="AR1970" s="6" t="s">
        <v>17561</v>
      </c>
      <c r="AS1970" s="6" t="s">
        <v>18386</v>
      </c>
      <c r="AT1970" s="6" t="s">
        <v>18444</v>
      </c>
      <c r="AU1970" s="6" t="s">
        <v>18760</v>
      </c>
      <c r="AV1970" s="6" t="s">
        <v>81</v>
      </c>
      <c r="AW1970" s="6" t="s">
        <v>81</v>
      </c>
      <c r="AX1970" s="6" t="s">
        <v>22017</v>
      </c>
      <c r="AY1970" s="6" t="s">
        <v>23269</v>
      </c>
      <c r="AZ1970" s="6" t="s">
        <v>23739</v>
      </c>
      <c r="BA1970" s="6" t="s">
        <v>81</v>
      </c>
      <c r="BB1970" s="24" t="n">
        <v>17</v>
      </c>
      <c r="BC1970" s="26"/>
      <c r="BD1970" s="26"/>
      <c r="BE1970" s="26"/>
      <c r="BF1970" s="26"/>
      <c r="BG1970" s="26"/>
      <c r="BH1970" s="26"/>
      <c r="BI1970" s="26"/>
      <c r="BJ1970" s="26"/>
      <c r="BK1970" s="26"/>
      <c r="BL1970" s="26"/>
      <c r="BM1970" s="26"/>
      <c r="BN1970" s="26"/>
      <c r="BO1970" s="26"/>
      <c r="BP1970" s="16" t="n">
        <v>45737</v>
      </c>
      <c r="BQ1970" s="28" t="str">
        <f>HYPERLINK("https://organic.ams.usda.gov/Integrity/Certificate.aspx?cid=57&amp;nopid=3252021097")</f>
        <v>https://organic.ams.usda.gov/Integrity/Certificate.aspx?cid=57&amp;nopid=3252021097</v>
      </c>
    </row>
    <row r="1971">
      <c r="A1971" t="s">
        <v>3</v>
      </c>
      <c r="B1971" s="6" t="s">
        <v>25</v>
      </c>
      <c r="C1971" s="6" t="s">
        <v>72</v>
      </c>
      <c r="D1971" s="6" t="s">
        <v>118</v>
      </c>
      <c r="E1971" s="10" t="s">
        <v>2112</v>
      </c>
      <c r="F1971" s="6" t="s">
        <v>4825</v>
      </c>
      <c r="G1971" s="6" t="s">
        <v>81</v>
      </c>
      <c r="H1971" s="6" t="s">
        <v>7695</v>
      </c>
      <c r="I1971" s="6" t="s">
        <v>8770</v>
      </c>
      <c r="J1971" s="6" t="s">
        <v>10526</v>
      </c>
      <c r="K1971" s="6" t="s">
        <v>10886</v>
      </c>
      <c r="L1971" s="16" t="n">
        <v>41537</v>
      </c>
      <c r="M1971" s="16" t="n">
        <v>46023</v>
      </c>
      <c r="N1971" s="6" t="s">
        <v>10886</v>
      </c>
      <c r="O1971" s="16" t="n">
        <v>41537</v>
      </c>
      <c r="P1971" s="6" t="s">
        <v>11031</v>
      </c>
      <c r="Q1971" s="6" t="s">
        <v>81</v>
      </c>
      <c r="R1971" s="6" t="s">
        <v>81</v>
      </c>
      <c r="S1971" s="6" t="s">
        <v>10886</v>
      </c>
      <c r="T1971" s="16" t="n">
        <v>41537</v>
      </c>
      <c r="U1971" s="6" t="s">
        <v>13766</v>
      </c>
      <c r="V1971" s="6" t="s">
        <v>81</v>
      </c>
      <c r="W1971" s="6" t="s">
        <v>81</v>
      </c>
      <c r="X1971" s="6" t="s">
        <v>81</v>
      </c>
      <c r="Y1971" s="21" t="s">
        <v>81</v>
      </c>
      <c r="Z1971" s="6" t="s">
        <v>81</v>
      </c>
      <c r="AA1971" s="6" t="s">
        <v>81</v>
      </c>
      <c r="AB1971" s="6" t="s">
        <v>81</v>
      </c>
      <c r="AC1971" s="6" t="s">
        <v>10886</v>
      </c>
      <c r="AD1971" s="16" t="n">
        <v>44734</v>
      </c>
      <c r="AE1971" s="6" t="s">
        <v>14081</v>
      </c>
      <c r="AF1971" s="6" t="s">
        <v>81</v>
      </c>
      <c r="AG1971" s="6" t="s">
        <v>81</v>
      </c>
      <c r="AH1971" s="6" t="s">
        <v>16521</v>
      </c>
      <c r="AI1971" s="6" t="s">
        <v>81</v>
      </c>
      <c r="AJ1971" s="6" t="s">
        <v>17561</v>
      </c>
      <c r="AK1971" s="6" t="s">
        <v>18386</v>
      </c>
      <c r="AL1971" s="6" t="s">
        <v>18444</v>
      </c>
      <c r="AM1971" s="6" t="s">
        <v>18760</v>
      </c>
      <c r="AN1971" s="6" t="s">
        <v>19672</v>
      </c>
      <c r="AO1971" s="6" t="s">
        <v>19787</v>
      </c>
      <c r="AP1971" s="6" t="s">
        <v>16521</v>
      </c>
      <c r="AQ1971" s="6" t="s">
        <v>81</v>
      </c>
      <c r="AR1971" s="6" t="s">
        <v>17561</v>
      </c>
      <c r="AS1971" s="6" t="s">
        <v>18386</v>
      </c>
      <c r="AT1971" s="6" t="s">
        <v>18444</v>
      </c>
      <c r="AU1971" s="6" t="s">
        <v>18760</v>
      </c>
      <c r="AV1971" s="6" t="s">
        <v>81</v>
      </c>
      <c r="AW1971" s="6" t="s">
        <v>81</v>
      </c>
      <c r="AX1971" s="6" t="s">
        <v>22018</v>
      </c>
      <c r="AY1971" s="6" t="s">
        <v>23270</v>
      </c>
      <c r="AZ1971" s="6" t="s">
        <v>81</v>
      </c>
      <c r="BA1971" s="6" t="s">
        <v>23827</v>
      </c>
      <c r="BB1971" s="24" t="n">
        <v>202</v>
      </c>
      <c r="BC1971" s="26"/>
      <c r="BD1971" s="26"/>
      <c r="BE1971" s="26"/>
      <c r="BF1971" s="26" t="s">
        <v>23900</v>
      </c>
      <c r="BG1971" s="26"/>
      <c r="BH1971" s="26"/>
      <c r="BI1971" s="26"/>
      <c r="BJ1971" s="26"/>
      <c r="BK1971" s="26"/>
      <c r="BL1971" s="26"/>
      <c r="BM1971" s="26"/>
      <c r="BN1971" s="26"/>
      <c r="BO1971" s="26"/>
      <c r="BP1971" s="16" t="n">
        <v>45699</v>
      </c>
      <c r="BQ1971" s="28" t="str">
        <f>HYPERLINK("https://organic.ams.usda.gov/Integrity/Certificate.aspx?cid=15&amp;nopid=5561001423")</f>
        <v>https://organic.ams.usda.gov/Integrity/Certificate.aspx?cid=15&amp;nopid=5561001423</v>
      </c>
    </row>
    <row r="1972">
      <c r="A1972" t="s">
        <v>3</v>
      </c>
      <c r="B1972" s="6" t="s">
        <v>8</v>
      </c>
      <c r="C1972" s="6" t="s">
        <v>55</v>
      </c>
      <c r="D1972" s="6" t="s">
        <v>101</v>
      </c>
      <c r="E1972" s="10" t="s">
        <v>2113</v>
      </c>
      <c r="F1972" s="6" t="s">
        <v>4826</v>
      </c>
      <c r="G1972" s="6" t="s">
        <v>81</v>
      </c>
      <c r="H1972" s="6" t="s">
        <v>7696</v>
      </c>
      <c r="I1972" s="6" t="s">
        <v>8621</v>
      </c>
      <c r="J1972" s="6" t="s">
        <v>10527</v>
      </c>
      <c r="K1972" s="6" t="s">
        <v>10886</v>
      </c>
      <c r="L1972" s="16" t="n">
        <v>40900</v>
      </c>
      <c r="M1972" s="18" t="s">
        <v>81</v>
      </c>
      <c r="N1972" s="6" t="s">
        <v>10886</v>
      </c>
      <c r="O1972" s="16" t="n">
        <v>40900</v>
      </c>
      <c r="P1972" s="6" t="s">
        <v>12042</v>
      </c>
      <c r="Q1972" s="6" t="s">
        <v>81</v>
      </c>
      <c r="R1972" s="6" t="s">
        <v>81</v>
      </c>
      <c r="S1972" s="6" t="s">
        <v>10886</v>
      </c>
      <c r="T1972" s="16" t="n">
        <v>40900</v>
      </c>
      <c r="U1972" s="6" t="s">
        <v>13200</v>
      </c>
      <c r="V1972" s="6" t="s">
        <v>81</v>
      </c>
      <c r="W1972" s="6" t="s">
        <v>81</v>
      </c>
      <c r="X1972" s="6" t="s">
        <v>81</v>
      </c>
      <c r="Y1972" s="21" t="s">
        <v>81</v>
      </c>
      <c r="Z1972" s="6" t="s">
        <v>81</v>
      </c>
      <c r="AA1972" s="6" t="s">
        <v>81</v>
      </c>
      <c r="AB1972" s="6" t="s">
        <v>81</v>
      </c>
      <c r="AC1972" s="6" t="s">
        <v>81</v>
      </c>
      <c r="AD1972" s="21" t="s">
        <v>81</v>
      </c>
      <c r="AE1972" s="6" t="s">
        <v>81</v>
      </c>
      <c r="AF1972" s="6" t="s">
        <v>81</v>
      </c>
      <c r="AG1972" s="6" t="s">
        <v>81</v>
      </c>
      <c r="AH1972" s="6" t="s">
        <v>16522</v>
      </c>
      <c r="AI1972" s="6" t="s">
        <v>81</v>
      </c>
      <c r="AJ1972" s="6" t="s">
        <v>18169</v>
      </c>
      <c r="AK1972" s="6" t="s">
        <v>18381</v>
      </c>
      <c r="AL1972" s="6" t="s">
        <v>18444</v>
      </c>
      <c r="AM1972" s="6" t="s">
        <v>19374</v>
      </c>
      <c r="AN1972" s="6" t="s">
        <v>19681</v>
      </c>
      <c r="AO1972" s="6" t="s">
        <v>19903</v>
      </c>
      <c r="AP1972" s="6" t="s">
        <v>81</v>
      </c>
      <c r="AQ1972" s="6" t="s">
        <v>81</v>
      </c>
      <c r="AR1972" s="6" t="s">
        <v>81</v>
      </c>
      <c r="AS1972" s="6" t="s">
        <v>81</v>
      </c>
      <c r="AT1972" s="6" t="s">
        <v>81</v>
      </c>
      <c r="AU1972" s="6" t="s">
        <v>81</v>
      </c>
      <c r="AV1972" s="6" t="s">
        <v>81</v>
      </c>
      <c r="AW1972" s="6" t="s">
        <v>81</v>
      </c>
      <c r="AX1972" s="6" t="s">
        <v>81</v>
      </c>
      <c r="AY1972" s="6" t="s">
        <v>81</v>
      </c>
      <c r="AZ1972" s="6" t="s">
        <v>81</v>
      </c>
      <c r="BA1972" s="6" t="s">
        <v>81</v>
      </c>
      <c r="BB1972" s="24" t="n">
        <v>1860</v>
      </c>
      <c r="BC1972" s="26"/>
      <c r="BD1972" s="26"/>
      <c r="BE1972" s="26"/>
      <c r="BF1972" s="26"/>
      <c r="BG1972" s="26"/>
      <c r="BH1972" s="26"/>
      <c r="BI1972" s="26"/>
      <c r="BJ1972" s="26"/>
      <c r="BK1972" s="26"/>
      <c r="BL1972" s="26"/>
      <c r="BM1972" s="26"/>
      <c r="BN1972" s="26"/>
      <c r="BO1972" s="26"/>
      <c r="BP1972" s="16" t="n">
        <v>45292</v>
      </c>
      <c r="BQ1972" s="28" t="str">
        <f>HYPERLINK("https://organic.ams.usda.gov/Integrity/Certificate.aspx?cid=45&amp;nopid=9950004428")</f>
        <v>https://organic.ams.usda.gov/Integrity/Certificate.aspx?cid=45&amp;nopid=9950004428</v>
      </c>
    </row>
    <row r="1973">
      <c r="A1973" t="s">
        <v>3</v>
      </c>
      <c r="B1973" s="6" t="s">
        <v>25</v>
      </c>
      <c r="C1973" s="6" t="s">
        <v>72</v>
      </c>
      <c r="D1973" s="6" t="s">
        <v>118</v>
      </c>
      <c r="E1973" s="10" t="s">
        <v>2114</v>
      </c>
      <c r="F1973" s="6" t="s">
        <v>4827</v>
      </c>
      <c r="G1973" s="6" t="s">
        <v>5774</v>
      </c>
      <c r="H1973" s="6" t="s">
        <v>7697</v>
      </c>
      <c r="I1973" s="6" t="s">
        <v>8423</v>
      </c>
      <c r="J1973" s="6" t="s">
        <v>10528</v>
      </c>
      <c r="K1973" s="6" t="s">
        <v>10886</v>
      </c>
      <c r="L1973" s="16" t="n">
        <v>37761</v>
      </c>
      <c r="M1973" s="16" t="n">
        <v>46023</v>
      </c>
      <c r="N1973" s="6" t="s">
        <v>10886</v>
      </c>
      <c r="O1973" s="16" t="n">
        <v>37761</v>
      </c>
      <c r="P1973" s="6" t="s">
        <v>12043</v>
      </c>
      <c r="Q1973" s="6" t="s">
        <v>81</v>
      </c>
      <c r="R1973" s="6" t="s">
        <v>81</v>
      </c>
      <c r="S1973" s="6" t="s">
        <v>10886</v>
      </c>
      <c r="T1973" s="16" t="n">
        <v>37761</v>
      </c>
      <c r="U1973" s="6" t="s">
        <v>13767</v>
      </c>
      <c r="V1973" s="6" t="s">
        <v>81</v>
      </c>
      <c r="W1973" s="6" t="s">
        <v>81</v>
      </c>
      <c r="X1973" s="6" t="s">
        <v>81</v>
      </c>
      <c r="Y1973" s="21" t="s">
        <v>81</v>
      </c>
      <c r="Z1973" s="6" t="s">
        <v>81</v>
      </c>
      <c r="AA1973" s="6" t="s">
        <v>81</v>
      </c>
      <c r="AB1973" s="6" t="s">
        <v>81</v>
      </c>
      <c r="AC1973" s="6" t="s">
        <v>81</v>
      </c>
      <c r="AD1973" s="21" t="s">
        <v>81</v>
      </c>
      <c r="AE1973" s="6" t="s">
        <v>81</v>
      </c>
      <c r="AF1973" s="6" t="s">
        <v>81</v>
      </c>
      <c r="AG1973" s="6" t="s">
        <v>81</v>
      </c>
      <c r="AH1973" s="6" t="s">
        <v>16523</v>
      </c>
      <c r="AI1973" s="6" t="s">
        <v>81</v>
      </c>
      <c r="AJ1973" s="6" t="s">
        <v>18052</v>
      </c>
      <c r="AK1973" s="6" t="s">
        <v>18386</v>
      </c>
      <c r="AL1973" s="6" t="s">
        <v>18444</v>
      </c>
      <c r="AM1973" s="6" t="s">
        <v>19247</v>
      </c>
      <c r="AN1973" s="6" t="s">
        <v>19651</v>
      </c>
      <c r="AO1973" s="6" t="s">
        <v>19864</v>
      </c>
      <c r="AP1973" s="6" t="s">
        <v>16523</v>
      </c>
      <c r="AQ1973" s="6" t="s">
        <v>81</v>
      </c>
      <c r="AR1973" s="6" t="s">
        <v>18052</v>
      </c>
      <c r="AS1973" s="6" t="s">
        <v>18386</v>
      </c>
      <c r="AT1973" s="6" t="s">
        <v>18444</v>
      </c>
      <c r="AU1973" s="6" t="s">
        <v>19247</v>
      </c>
      <c r="AV1973" s="6" t="s">
        <v>81</v>
      </c>
      <c r="AW1973" s="6" t="s">
        <v>81</v>
      </c>
      <c r="AX1973" s="6" t="s">
        <v>22019</v>
      </c>
      <c r="AY1973" s="6" t="s">
        <v>23271</v>
      </c>
      <c r="AZ1973" s="6" t="s">
        <v>81</v>
      </c>
      <c r="BA1973" s="6" t="s">
        <v>81</v>
      </c>
      <c r="BB1973" s="24" t="n">
        <v>192</v>
      </c>
      <c r="BC1973" s="26"/>
      <c r="BD1973" s="26"/>
      <c r="BE1973" s="26"/>
      <c r="BF1973" s="26"/>
      <c r="BG1973" s="26"/>
      <c r="BH1973" s="26"/>
      <c r="BI1973" s="26"/>
      <c r="BJ1973" s="26"/>
      <c r="BK1973" s="26"/>
      <c r="BL1973" s="26"/>
      <c r="BM1973" s="26"/>
      <c r="BN1973" s="26"/>
      <c r="BO1973" s="26"/>
      <c r="BP1973" s="16" t="n">
        <v>45667</v>
      </c>
      <c r="BQ1973" s="28" t="str">
        <f>HYPERLINK("https://organic.ams.usda.gov/Integrity/Certificate.aspx?cid=15&amp;nopid=5561000975")</f>
        <v>https://organic.ams.usda.gov/Integrity/Certificate.aspx?cid=15&amp;nopid=5561000975</v>
      </c>
    </row>
    <row r="1974">
      <c r="A1974" t="s">
        <v>3</v>
      </c>
      <c r="B1974" s="6" t="s">
        <v>11</v>
      </c>
      <c r="C1974" s="6" t="s">
        <v>58</v>
      </c>
      <c r="D1974" s="6" t="s">
        <v>104</v>
      </c>
      <c r="E1974" s="10" t="s">
        <v>2115</v>
      </c>
      <c r="F1974" s="6" t="s">
        <v>4828</v>
      </c>
      <c r="G1974" s="6" t="s">
        <v>81</v>
      </c>
      <c r="H1974" s="6" t="s">
        <v>81</v>
      </c>
      <c r="I1974" s="6" t="s">
        <v>9369</v>
      </c>
      <c r="J1974" s="6" t="s">
        <v>9800</v>
      </c>
      <c r="K1974" s="6" t="s">
        <v>10886</v>
      </c>
      <c r="L1974" s="16" t="n">
        <v>43733</v>
      </c>
      <c r="M1974" s="16" t="n">
        <v>45748</v>
      </c>
      <c r="N1974" s="6" t="s">
        <v>10886</v>
      </c>
      <c r="O1974" s="16" t="n">
        <v>43733</v>
      </c>
      <c r="P1974" s="6" t="s">
        <v>12044</v>
      </c>
      <c r="Q1974" s="6" t="s">
        <v>81</v>
      </c>
      <c r="R1974" s="6" t="s">
        <v>81</v>
      </c>
      <c r="S1974" s="6" t="s">
        <v>10886</v>
      </c>
      <c r="T1974" s="16" t="n">
        <v>43811</v>
      </c>
      <c r="U1974" s="6" t="s">
        <v>13768</v>
      </c>
      <c r="V1974" s="6" t="s">
        <v>81</v>
      </c>
      <c r="W1974" s="6" t="s">
        <v>81</v>
      </c>
      <c r="X1974" s="6" t="s">
        <v>81</v>
      </c>
      <c r="Y1974" s="21" t="s">
        <v>81</v>
      </c>
      <c r="Z1974" s="6" t="s">
        <v>81</v>
      </c>
      <c r="AA1974" s="6" t="s">
        <v>81</v>
      </c>
      <c r="AB1974" s="6" t="s">
        <v>81</v>
      </c>
      <c r="AC1974" s="6" t="s">
        <v>81</v>
      </c>
      <c r="AD1974" s="21" t="s">
        <v>81</v>
      </c>
      <c r="AE1974" s="6" t="s">
        <v>81</v>
      </c>
      <c r="AF1974" s="6" t="s">
        <v>81</v>
      </c>
      <c r="AG1974" s="6" t="s">
        <v>81</v>
      </c>
      <c r="AH1974" s="6" t="s">
        <v>16524</v>
      </c>
      <c r="AI1974" s="6" t="s">
        <v>81</v>
      </c>
      <c r="AJ1974" s="6" t="s">
        <v>17629</v>
      </c>
      <c r="AK1974" s="6" t="s">
        <v>18377</v>
      </c>
      <c r="AL1974" s="6" t="s">
        <v>18444</v>
      </c>
      <c r="AM1974" s="6" t="s">
        <v>18797</v>
      </c>
      <c r="AN1974" s="6" t="s">
        <v>19652</v>
      </c>
      <c r="AO1974" s="6" t="s">
        <v>19772</v>
      </c>
      <c r="AP1974" s="6" t="s">
        <v>16524</v>
      </c>
      <c r="AQ1974" s="6" t="s">
        <v>81</v>
      </c>
      <c r="AR1974" s="6" t="s">
        <v>17629</v>
      </c>
      <c r="AS1974" s="6" t="s">
        <v>18377</v>
      </c>
      <c r="AT1974" s="6" t="s">
        <v>18444</v>
      </c>
      <c r="AU1974" s="6" t="s">
        <v>18797</v>
      </c>
      <c r="AV1974" s="6" t="s">
        <v>81</v>
      </c>
      <c r="AW1974" s="6" t="s">
        <v>81</v>
      </c>
      <c r="AX1974" s="6" t="s">
        <v>81</v>
      </c>
      <c r="AY1974" s="6" t="s">
        <v>81</v>
      </c>
      <c r="AZ1974" s="6" t="s">
        <v>81</v>
      </c>
      <c r="BA1974" s="6" t="s">
        <v>23825</v>
      </c>
      <c r="BB1974" s="24" t="n">
        <v>45</v>
      </c>
      <c r="BC1974" s="26"/>
      <c r="BD1974" s="26"/>
      <c r="BE1974" s="26"/>
      <c r="BF1974" s="26"/>
      <c r="BG1974" s="26"/>
      <c r="BH1974" s="26"/>
      <c r="BI1974" s="26"/>
      <c r="BJ1974" s="26"/>
      <c r="BK1974" s="26"/>
      <c r="BL1974" s="26"/>
      <c r="BM1974" s="26"/>
      <c r="BN1974" s="26"/>
      <c r="BO1974" s="26"/>
      <c r="BP1974" s="16" t="n">
        <v>45593</v>
      </c>
      <c r="BQ1974" s="28" t="str">
        <f>HYPERLINK("https://organic.ams.usda.gov/Integrity/Certificate.aspx?cid=46&amp;nopid=3671900073")</f>
        <v>https://organic.ams.usda.gov/Integrity/Certificate.aspx?cid=46&amp;nopid=3671900073</v>
      </c>
    </row>
    <row r="1975">
      <c r="A1975" t="s">
        <v>3</v>
      </c>
      <c r="B1975" s="6" t="s">
        <v>19</v>
      </c>
      <c r="C1975" s="6" t="s">
        <v>66</v>
      </c>
      <c r="D1975" s="6" t="s">
        <v>112</v>
      </c>
      <c r="E1975" s="10" t="s">
        <v>2116</v>
      </c>
      <c r="F1975" s="6" t="s">
        <v>4829</v>
      </c>
      <c r="G1975" s="6" t="s">
        <v>81</v>
      </c>
      <c r="H1975" s="6" t="s">
        <v>7698</v>
      </c>
      <c r="I1975" s="6" t="s">
        <v>81</v>
      </c>
      <c r="J1975" s="6" t="s">
        <v>10529</v>
      </c>
      <c r="K1975" s="6" t="s">
        <v>10886</v>
      </c>
      <c r="L1975" s="16" t="n">
        <v>44279</v>
      </c>
      <c r="M1975" s="16" t="n">
        <v>46054</v>
      </c>
      <c r="N1975" s="6" t="s">
        <v>81</v>
      </c>
      <c r="O1975" s="21" t="s">
        <v>81</v>
      </c>
      <c r="P1975" s="6" t="s">
        <v>81</v>
      </c>
      <c r="Q1975" s="6" t="s">
        <v>81</v>
      </c>
      <c r="R1975" s="6" t="s">
        <v>81</v>
      </c>
      <c r="S1975" s="6" t="s">
        <v>81</v>
      </c>
      <c r="T1975" s="21" t="s">
        <v>81</v>
      </c>
      <c r="U1975" s="6" t="s">
        <v>81</v>
      </c>
      <c r="V1975" s="6" t="s">
        <v>81</v>
      </c>
      <c r="W1975" s="6" t="s">
        <v>81</v>
      </c>
      <c r="X1975" s="6" t="s">
        <v>81</v>
      </c>
      <c r="Y1975" s="21" t="s">
        <v>81</v>
      </c>
      <c r="Z1975" s="6" t="s">
        <v>81</v>
      </c>
      <c r="AA1975" s="6" t="s">
        <v>81</v>
      </c>
      <c r="AB1975" s="6" t="s">
        <v>81</v>
      </c>
      <c r="AC1975" s="6" t="s">
        <v>10886</v>
      </c>
      <c r="AD1975" s="16" t="n">
        <v>44279</v>
      </c>
      <c r="AE1975" s="6" t="s">
        <v>14351</v>
      </c>
      <c r="AF1975" s="6" t="s">
        <v>81</v>
      </c>
      <c r="AG1975" s="6" t="s">
        <v>81</v>
      </c>
      <c r="AH1975" s="6" t="s">
        <v>16525</v>
      </c>
      <c r="AI1975" s="6" t="s">
        <v>81</v>
      </c>
      <c r="AJ1975" s="6" t="s">
        <v>18170</v>
      </c>
      <c r="AK1975" s="6" t="s">
        <v>18403</v>
      </c>
      <c r="AL1975" s="6" t="s">
        <v>18444</v>
      </c>
      <c r="AM1975" s="6" t="s">
        <v>19375</v>
      </c>
      <c r="AN1975" s="6" t="s">
        <v>7212</v>
      </c>
      <c r="AO1975" s="6" t="s">
        <v>20035</v>
      </c>
      <c r="AP1975" s="6" t="s">
        <v>81</v>
      </c>
      <c r="AQ1975" s="6" t="s">
        <v>81</v>
      </c>
      <c r="AR1975" s="6" t="s">
        <v>81</v>
      </c>
      <c r="AS1975" s="6" t="s">
        <v>81</v>
      </c>
      <c r="AT1975" s="6" t="s">
        <v>81</v>
      </c>
      <c r="AU1975" s="6" t="s">
        <v>81</v>
      </c>
      <c r="AV1975" s="6" t="s">
        <v>81</v>
      </c>
      <c r="AW1975" s="6" t="s">
        <v>81</v>
      </c>
      <c r="AX1975" s="6" t="s">
        <v>22020</v>
      </c>
      <c r="AY1975" s="6" t="s">
        <v>23272</v>
      </c>
      <c r="AZ1975" s="6" t="s">
        <v>81</v>
      </c>
      <c r="BA1975" s="6" t="s">
        <v>81</v>
      </c>
      <c r="BB1975" s="24" t="n">
        <v>0</v>
      </c>
      <c r="BC1975" s="26"/>
      <c r="BD1975" s="26"/>
      <c r="BE1975" s="26"/>
      <c r="BF1975" s="26"/>
      <c r="BG1975" s="26"/>
      <c r="BH1975" s="26"/>
      <c r="BI1975" s="26"/>
      <c r="BJ1975" s="26"/>
      <c r="BK1975" s="26"/>
      <c r="BL1975" s="26"/>
      <c r="BM1975" s="26"/>
      <c r="BN1975" s="26"/>
      <c r="BO1975" s="26"/>
      <c r="BP1975" s="16" t="n">
        <v>45690</v>
      </c>
      <c r="BQ1975" s="28" t="str">
        <f>HYPERLINK("https://organic.ams.usda.gov/Integrity/Certificate.aspx?cid=24&amp;nopid=7881666120")</f>
        <v>https://organic.ams.usda.gov/Integrity/Certificate.aspx?cid=24&amp;nopid=7881666120</v>
      </c>
    </row>
    <row r="1976">
      <c r="A1976" t="s">
        <v>3</v>
      </c>
      <c r="B1976" s="6" t="s">
        <v>8</v>
      </c>
      <c r="C1976" s="6" t="s">
        <v>55</v>
      </c>
      <c r="D1976" s="6" t="s">
        <v>101</v>
      </c>
      <c r="E1976" s="10" t="s">
        <v>2117</v>
      </c>
      <c r="F1976" s="6" t="s">
        <v>4830</v>
      </c>
      <c r="G1976" s="6" t="s">
        <v>81</v>
      </c>
      <c r="H1976" s="6" t="s">
        <v>7699</v>
      </c>
      <c r="I1976" s="6" t="s">
        <v>8960</v>
      </c>
      <c r="J1976" s="6" t="s">
        <v>9705</v>
      </c>
      <c r="K1976" s="6" t="s">
        <v>10886</v>
      </c>
      <c r="L1976" s="16" t="n">
        <v>36797</v>
      </c>
      <c r="M1976" s="16" t="n">
        <v>45748</v>
      </c>
      <c r="N1976" s="6" t="s">
        <v>10886</v>
      </c>
      <c r="O1976" s="16" t="n">
        <v>36797</v>
      </c>
      <c r="P1976" s="6" t="s">
        <v>11288</v>
      </c>
      <c r="Q1976" s="6" t="s">
        <v>81</v>
      </c>
      <c r="R1976" s="6" t="s">
        <v>7699</v>
      </c>
      <c r="S1976" s="6" t="s">
        <v>10886</v>
      </c>
      <c r="T1976" s="16" t="n">
        <v>36797</v>
      </c>
      <c r="U1976" s="6" t="s">
        <v>13179</v>
      </c>
      <c r="V1976" s="6" t="s">
        <v>81</v>
      </c>
      <c r="W1976" s="6" t="s">
        <v>7699</v>
      </c>
      <c r="X1976" s="6" t="s">
        <v>81</v>
      </c>
      <c r="Y1976" s="21" t="s">
        <v>81</v>
      </c>
      <c r="Z1976" s="6" t="s">
        <v>81</v>
      </c>
      <c r="AA1976" s="6" t="s">
        <v>81</v>
      </c>
      <c r="AB1976" s="6" t="s">
        <v>81</v>
      </c>
      <c r="AC1976" s="6" t="s">
        <v>81</v>
      </c>
      <c r="AD1976" s="21" t="s">
        <v>81</v>
      </c>
      <c r="AE1976" s="6" t="s">
        <v>81</v>
      </c>
      <c r="AF1976" s="6" t="s">
        <v>81</v>
      </c>
      <c r="AG1976" s="6" t="s">
        <v>81</v>
      </c>
      <c r="AH1976" s="6" t="s">
        <v>16526</v>
      </c>
      <c r="AI1976" s="6" t="s">
        <v>81</v>
      </c>
      <c r="AJ1976" s="6" t="s">
        <v>17682</v>
      </c>
      <c r="AK1976" s="6" t="s">
        <v>18377</v>
      </c>
      <c r="AL1976" s="6" t="s">
        <v>18444</v>
      </c>
      <c r="AM1976" s="6" t="s">
        <v>19001</v>
      </c>
      <c r="AN1976" s="6" t="s">
        <v>19634</v>
      </c>
      <c r="AO1976" s="6" t="s">
        <v>19764</v>
      </c>
      <c r="AP1976" s="6" t="s">
        <v>81</v>
      </c>
      <c r="AQ1976" s="6" t="s">
        <v>81</v>
      </c>
      <c r="AR1976" s="6" t="s">
        <v>81</v>
      </c>
      <c r="AS1976" s="6" t="s">
        <v>81</v>
      </c>
      <c r="AT1976" s="6" t="s">
        <v>81</v>
      </c>
      <c r="AU1976" s="6" t="s">
        <v>81</v>
      </c>
      <c r="AV1976" s="6" t="s">
        <v>81</v>
      </c>
      <c r="AW1976" s="6" t="s">
        <v>81</v>
      </c>
      <c r="AX1976" s="6" t="s">
        <v>81</v>
      </c>
      <c r="AY1976" s="6" t="s">
        <v>23273</v>
      </c>
      <c r="AZ1976" s="6" t="s">
        <v>81</v>
      </c>
      <c r="BA1976" s="6" t="s">
        <v>23819</v>
      </c>
      <c r="BB1976" s="24" t="n">
        <v>94</v>
      </c>
      <c r="BC1976" s="26"/>
      <c r="BD1976" s="26"/>
      <c r="BE1976" s="26"/>
      <c r="BF1976" s="26" t="s">
        <v>23900</v>
      </c>
      <c r="BG1976" s="26"/>
      <c r="BH1976" s="26"/>
      <c r="BI1976" s="26"/>
      <c r="BJ1976" s="26"/>
      <c r="BK1976" s="26"/>
      <c r="BL1976" s="26"/>
      <c r="BM1976" s="26"/>
      <c r="BN1976" s="26"/>
      <c r="BO1976" s="26"/>
      <c r="BP1976" s="16" t="n">
        <v>45660</v>
      </c>
      <c r="BQ1976" s="28" t="str">
        <f>HYPERLINK("https://organic.ams.usda.gov/Integrity/Certificate.aspx?cid=45&amp;nopid=9950000398")</f>
        <v>https://organic.ams.usda.gov/Integrity/Certificate.aspx?cid=45&amp;nopid=9950000398</v>
      </c>
    </row>
    <row r="1977">
      <c r="A1977" t="s">
        <v>3</v>
      </c>
      <c r="B1977" s="6" t="s">
        <v>10</v>
      </c>
      <c r="C1977" s="6" t="s">
        <v>57</v>
      </c>
      <c r="D1977" s="6" t="s">
        <v>103</v>
      </c>
      <c r="E1977" s="10" t="s">
        <v>2118</v>
      </c>
      <c r="F1977" s="6" t="s">
        <v>4831</v>
      </c>
      <c r="G1977" s="6" t="s">
        <v>81</v>
      </c>
      <c r="H1977" s="6" t="s">
        <v>7700</v>
      </c>
      <c r="I1977" s="6" t="s">
        <v>9100</v>
      </c>
      <c r="J1977" s="6" t="s">
        <v>9727</v>
      </c>
      <c r="K1977" s="6" t="s">
        <v>10886</v>
      </c>
      <c r="L1977" s="16" t="n">
        <v>42156</v>
      </c>
      <c r="M1977" s="16" t="n">
        <v>45566</v>
      </c>
      <c r="N1977" s="6" t="s">
        <v>10886</v>
      </c>
      <c r="O1977" s="16" t="n">
        <v>42156</v>
      </c>
      <c r="P1977" s="6" t="s">
        <v>11015</v>
      </c>
      <c r="Q1977" s="6" t="s">
        <v>81</v>
      </c>
      <c r="R1977" s="6" t="s">
        <v>12990</v>
      </c>
      <c r="S1977" s="6" t="s">
        <v>10886</v>
      </c>
      <c r="T1977" s="16" t="n">
        <v>44562</v>
      </c>
      <c r="U1977" s="6" t="s">
        <v>13163</v>
      </c>
      <c r="V1977" s="6" t="s">
        <v>81</v>
      </c>
      <c r="W1977" s="6" t="s">
        <v>81</v>
      </c>
      <c r="X1977" s="6" t="s">
        <v>81</v>
      </c>
      <c r="Y1977" s="21" t="s">
        <v>81</v>
      </c>
      <c r="Z1977" s="6" t="s">
        <v>81</v>
      </c>
      <c r="AA1977" s="6" t="s">
        <v>81</v>
      </c>
      <c r="AB1977" s="6" t="s">
        <v>81</v>
      </c>
      <c r="AC1977" s="6" t="s">
        <v>81</v>
      </c>
      <c r="AD1977" s="21" t="s">
        <v>81</v>
      </c>
      <c r="AE1977" s="6" t="s">
        <v>81</v>
      </c>
      <c r="AF1977" s="6" t="s">
        <v>81</v>
      </c>
      <c r="AG1977" s="6" t="s">
        <v>81</v>
      </c>
      <c r="AH1977" s="6" t="s">
        <v>16527</v>
      </c>
      <c r="AI1977" s="6" t="s">
        <v>81</v>
      </c>
      <c r="AJ1977" s="6" t="s">
        <v>17603</v>
      </c>
      <c r="AK1977" s="6" t="s">
        <v>18378</v>
      </c>
      <c r="AL1977" s="6" t="s">
        <v>18444</v>
      </c>
      <c r="AM1977" s="6" t="s">
        <v>18769</v>
      </c>
      <c r="AN1977" s="6" t="s">
        <v>19664</v>
      </c>
      <c r="AO1977" s="6" t="s">
        <v>19874</v>
      </c>
      <c r="AP1977" s="6" t="s">
        <v>16527</v>
      </c>
      <c r="AQ1977" s="6" t="s">
        <v>81</v>
      </c>
      <c r="AR1977" s="6" t="s">
        <v>17603</v>
      </c>
      <c r="AS1977" s="6" t="s">
        <v>18378</v>
      </c>
      <c r="AT1977" s="6" t="s">
        <v>18444</v>
      </c>
      <c r="AU1977" s="6" t="s">
        <v>18769</v>
      </c>
      <c r="AV1977" s="6" t="s">
        <v>81</v>
      </c>
      <c r="AW1977" s="6" t="s">
        <v>81</v>
      </c>
      <c r="AX1977" s="6" t="s">
        <v>22021</v>
      </c>
      <c r="AY1977" s="6" t="s">
        <v>81</v>
      </c>
      <c r="AZ1977" s="6" t="s">
        <v>81</v>
      </c>
      <c r="BA1977" s="6" t="s">
        <v>81</v>
      </c>
      <c r="BB1977" s="24" t="n">
        <v>114</v>
      </c>
      <c r="BC1977" s="26"/>
      <c r="BD1977" s="26"/>
      <c r="BE1977" s="26"/>
      <c r="BF1977" s="26"/>
      <c r="BG1977" s="26"/>
      <c r="BH1977" s="26"/>
      <c r="BI1977" s="26"/>
      <c r="BJ1977" s="26"/>
      <c r="BK1977" s="26"/>
      <c r="BL1977" s="26"/>
      <c r="BM1977" s="26"/>
      <c r="BN1977" s="26"/>
      <c r="BO1977" s="26"/>
      <c r="BP1977" s="16" t="n">
        <v>45730</v>
      </c>
      <c r="BQ1977" s="28" t="str">
        <f>HYPERLINK("https://organic.ams.usda.gov/Integrity/Certificate.aspx?cid=90&amp;nopid=7170220447")</f>
        <v>https://organic.ams.usda.gov/Integrity/Certificate.aspx?cid=90&amp;nopid=7170220447</v>
      </c>
    </row>
    <row r="1978">
      <c r="A1978" t="s">
        <v>3</v>
      </c>
      <c r="B1978" s="6" t="s">
        <v>12</v>
      </c>
      <c r="C1978" s="6" t="s">
        <v>59</v>
      </c>
      <c r="D1978" s="6" t="s">
        <v>105</v>
      </c>
      <c r="E1978" s="10" t="s">
        <v>2119</v>
      </c>
      <c r="F1978" s="6" t="s">
        <v>4832</v>
      </c>
      <c r="G1978" s="6" t="s">
        <v>81</v>
      </c>
      <c r="H1978" s="6" t="s">
        <v>7701</v>
      </c>
      <c r="I1978" s="6" t="s">
        <v>9370</v>
      </c>
      <c r="J1978" s="6" t="s">
        <v>9699</v>
      </c>
      <c r="K1978" s="6" t="s">
        <v>10886</v>
      </c>
      <c r="L1978" s="16" t="n">
        <v>44735</v>
      </c>
      <c r="M1978" s="16" t="n">
        <v>45717</v>
      </c>
      <c r="N1978" s="6" t="s">
        <v>10886</v>
      </c>
      <c r="O1978" s="16" t="n">
        <v>44735</v>
      </c>
      <c r="P1978" s="6" t="s">
        <v>12045</v>
      </c>
      <c r="Q1978" s="6" t="s">
        <v>81</v>
      </c>
      <c r="R1978" s="6" t="s">
        <v>81</v>
      </c>
      <c r="S1978" s="6" t="s">
        <v>10886</v>
      </c>
      <c r="T1978" s="16" t="n">
        <v>44735</v>
      </c>
      <c r="U1978" s="6" t="s">
        <v>13769</v>
      </c>
      <c r="V1978" s="6" t="s">
        <v>81</v>
      </c>
      <c r="W1978" s="6" t="s">
        <v>81</v>
      </c>
      <c r="X1978" s="6" t="s">
        <v>81</v>
      </c>
      <c r="Y1978" s="21" t="s">
        <v>81</v>
      </c>
      <c r="Z1978" s="6" t="s">
        <v>81</v>
      </c>
      <c r="AA1978" s="6" t="s">
        <v>81</v>
      </c>
      <c r="AB1978" s="6" t="s">
        <v>81</v>
      </c>
      <c r="AC1978" s="6" t="s">
        <v>81</v>
      </c>
      <c r="AD1978" s="21" t="s">
        <v>81</v>
      </c>
      <c r="AE1978" s="6" t="s">
        <v>81</v>
      </c>
      <c r="AF1978" s="6" t="s">
        <v>81</v>
      </c>
      <c r="AG1978" s="6" t="s">
        <v>81</v>
      </c>
      <c r="AH1978" s="6" t="s">
        <v>16528</v>
      </c>
      <c r="AI1978" s="6" t="s">
        <v>81</v>
      </c>
      <c r="AJ1978" s="6" t="s">
        <v>17796</v>
      </c>
      <c r="AK1978" s="6" t="s">
        <v>17712</v>
      </c>
      <c r="AL1978" s="6" t="s">
        <v>18444</v>
      </c>
      <c r="AM1978" s="6" t="s">
        <v>18973</v>
      </c>
      <c r="AN1978" s="6" t="s">
        <v>7195</v>
      </c>
      <c r="AO1978" s="6" t="s">
        <v>19735</v>
      </c>
      <c r="AP1978" s="6" t="s">
        <v>16528</v>
      </c>
      <c r="AQ1978" s="6" t="s">
        <v>81</v>
      </c>
      <c r="AR1978" s="6" t="s">
        <v>17796</v>
      </c>
      <c r="AS1978" s="6" t="s">
        <v>17712</v>
      </c>
      <c r="AT1978" s="6" t="s">
        <v>18444</v>
      </c>
      <c r="AU1978" s="6" t="s">
        <v>18973</v>
      </c>
      <c r="AV1978" s="6" t="s">
        <v>81</v>
      </c>
      <c r="AW1978" s="6" t="s">
        <v>81</v>
      </c>
      <c r="AX1978" s="6" t="s">
        <v>22022</v>
      </c>
      <c r="AY1978" s="6" t="s">
        <v>81</v>
      </c>
      <c r="AZ1978" s="6" t="s">
        <v>81</v>
      </c>
      <c r="BA1978" s="6" t="s">
        <v>81</v>
      </c>
      <c r="BB1978" s="24" t="n">
        <v>414</v>
      </c>
      <c r="BC1978" s="26"/>
      <c r="BD1978" s="26"/>
      <c r="BE1978" s="26"/>
      <c r="BF1978" s="26"/>
      <c r="BG1978" s="26"/>
      <c r="BH1978" s="26"/>
      <c r="BI1978" s="26"/>
      <c r="BJ1978" s="26"/>
      <c r="BK1978" s="26"/>
      <c r="BL1978" s="26"/>
      <c r="BM1978" s="26"/>
      <c r="BN1978" s="26"/>
      <c r="BO1978" s="26"/>
      <c r="BP1978" s="16" t="n">
        <v>45684</v>
      </c>
      <c r="BQ1978" s="28" t="str">
        <f>HYPERLINK("https://organic.ams.usda.gov/Integrity/Certificate.aspx?cid=68&amp;nopid=8210008453")</f>
        <v>https://organic.ams.usda.gov/Integrity/Certificate.aspx?cid=68&amp;nopid=8210008453</v>
      </c>
    </row>
    <row r="1979">
      <c r="A1979" t="s">
        <v>3</v>
      </c>
      <c r="B1979" s="6" t="s">
        <v>7</v>
      </c>
      <c r="C1979" s="6" t="s">
        <v>54</v>
      </c>
      <c r="D1979" s="6" t="s">
        <v>100</v>
      </c>
      <c r="E1979" s="10" t="s">
        <v>2120</v>
      </c>
      <c r="F1979" s="6" t="s">
        <v>4833</v>
      </c>
      <c r="G1979" s="6" t="s">
        <v>81</v>
      </c>
      <c r="H1979" s="6" t="s">
        <v>7702</v>
      </c>
      <c r="I1979" s="6" t="s">
        <v>9371</v>
      </c>
      <c r="J1979" s="6" t="s">
        <v>10530</v>
      </c>
      <c r="K1979" s="6" t="s">
        <v>10886</v>
      </c>
      <c r="L1979" s="16" t="n">
        <v>39013</v>
      </c>
      <c r="M1979" s="16" t="n">
        <v>45716</v>
      </c>
      <c r="N1979" s="6" t="s">
        <v>10886</v>
      </c>
      <c r="O1979" s="16" t="n">
        <v>39013</v>
      </c>
      <c r="P1979" s="6" t="s">
        <v>12046</v>
      </c>
      <c r="Q1979" s="6" t="s">
        <v>81</v>
      </c>
      <c r="R1979" s="6" t="s">
        <v>81</v>
      </c>
      <c r="S1979" s="6" t="s">
        <v>10886</v>
      </c>
      <c r="T1979" s="16" t="n">
        <v>39241</v>
      </c>
      <c r="U1979" s="6" t="s">
        <v>13169</v>
      </c>
      <c r="V1979" s="6" t="s">
        <v>81</v>
      </c>
      <c r="W1979" s="6" t="s">
        <v>81</v>
      </c>
      <c r="X1979" s="6" t="s">
        <v>81</v>
      </c>
      <c r="Y1979" s="21" t="s">
        <v>81</v>
      </c>
      <c r="Z1979" s="6" t="s">
        <v>81</v>
      </c>
      <c r="AA1979" s="6" t="s">
        <v>81</v>
      </c>
      <c r="AB1979" s="6" t="s">
        <v>81</v>
      </c>
      <c r="AC1979" s="6" t="s">
        <v>81</v>
      </c>
      <c r="AD1979" s="21" t="s">
        <v>81</v>
      </c>
      <c r="AE1979" s="6" t="s">
        <v>81</v>
      </c>
      <c r="AF1979" s="6" t="s">
        <v>81</v>
      </c>
      <c r="AG1979" s="6" t="s">
        <v>81</v>
      </c>
      <c r="AH1979" s="6" t="s">
        <v>16529</v>
      </c>
      <c r="AI1979" s="6" t="s">
        <v>81</v>
      </c>
      <c r="AJ1979" s="6" t="s">
        <v>17914</v>
      </c>
      <c r="AK1979" s="6" t="s">
        <v>17712</v>
      </c>
      <c r="AL1979" s="6" t="s">
        <v>18444</v>
      </c>
      <c r="AM1979" s="6" t="s">
        <v>19103</v>
      </c>
      <c r="AN1979" s="6" t="s">
        <v>19683</v>
      </c>
      <c r="AO1979" s="6" t="s">
        <v>19868</v>
      </c>
      <c r="AP1979" s="6" t="s">
        <v>16529</v>
      </c>
      <c r="AQ1979" s="6" t="s">
        <v>81</v>
      </c>
      <c r="AR1979" s="6" t="s">
        <v>17914</v>
      </c>
      <c r="AS1979" s="6" t="s">
        <v>17712</v>
      </c>
      <c r="AT1979" s="6" t="s">
        <v>18444</v>
      </c>
      <c r="AU1979" s="6" t="s">
        <v>20688</v>
      </c>
      <c r="AV1979" s="6" t="s">
        <v>81</v>
      </c>
      <c r="AW1979" s="6" t="s">
        <v>81</v>
      </c>
      <c r="AX1979" s="6" t="s">
        <v>22023</v>
      </c>
      <c r="AY1979" s="6" t="s">
        <v>81</v>
      </c>
      <c r="AZ1979" s="6" t="s">
        <v>81</v>
      </c>
      <c r="BA1979" s="6" t="s">
        <v>81</v>
      </c>
      <c r="BB1979" s="24" t="n">
        <v>224</v>
      </c>
      <c r="BC1979" s="26"/>
      <c r="BD1979" s="26"/>
      <c r="BE1979" s="26"/>
      <c r="BF1979" s="26" t="s">
        <v>23900</v>
      </c>
      <c r="BG1979" s="26"/>
      <c r="BH1979" s="26"/>
      <c r="BI1979" s="26"/>
      <c r="BJ1979" s="26"/>
      <c r="BK1979" s="26"/>
      <c r="BL1979" s="26"/>
      <c r="BM1979" s="26"/>
      <c r="BN1979" s="26"/>
      <c r="BO1979" s="26"/>
      <c r="BP1979" s="16" t="n">
        <v>45721</v>
      </c>
      <c r="BQ1979" s="28" t="str">
        <f>HYPERLINK("https://organic.ams.usda.gov/Integrity/Certificate.aspx?cid=57&amp;nopid=3250200688")</f>
        <v>https://organic.ams.usda.gov/Integrity/Certificate.aspx?cid=57&amp;nopid=3250200688</v>
      </c>
    </row>
    <row r="1980">
      <c r="A1980" t="s">
        <v>3</v>
      </c>
      <c r="B1980" s="6" t="s">
        <v>13</v>
      </c>
      <c r="C1980" s="6" t="s">
        <v>60</v>
      </c>
      <c r="D1980" s="6" t="s">
        <v>106</v>
      </c>
      <c r="E1980" s="10" t="s">
        <v>2121</v>
      </c>
      <c r="F1980" s="6" t="s">
        <v>4834</v>
      </c>
      <c r="G1980" s="6" t="s">
        <v>81</v>
      </c>
      <c r="H1980" s="6" t="s">
        <v>7703</v>
      </c>
      <c r="I1980" s="6" t="s">
        <v>8789</v>
      </c>
      <c r="J1980" s="6" t="s">
        <v>10177</v>
      </c>
      <c r="K1980" s="6" t="s">
        <v>10886</v>
      </c>
      <c r="L1980" s="16" t="n">
        <v>41260</v>
      </c>
      <c r="M1980" s="16" t="n">
        <v>45992</v>
      </c>
      <c r="N1980" s="6" t="s">
        <v>10886</v>
      </c>
      <c r="O1980" s="16" t="n">
        <v>41260</v>
      </c>
      <c r="P1980" s="6" t="s">
        <v>10910</v>
      </c>
      <c r="Q1980" s="6" t="s">
        <v>81</v>
      </c>
      <c r="R1980" s="6" t="s">
        <v>12991</v>
      </c>
      <c r="S1980" s="6" t="s">
        <v>10886</v>
      </c>
      <c r="T1980" s="16" t="n">
        <v>41260</v>
      </c>
      <c r="U1980" s="6" t="s">
        <v>13402</v>
      </c>
      <c r="V1980" s="6" t="s">
        <v>81</v>
      </c>
      <c r="W1980" s="6" t="s">
        <v>12991</v>
      </c>
      <c r="X1980" s="6" t="s">
        <v>81</v>
      </c>
      <c r="Y1980" s="21" t="s">
        <v>81</v>
      </c>
      <c r="Z1980" s="6" t="s">
        <v>81</v>
      </c>
      <c r="AA1980" s="6" t="s">
        <v>81</v>
      </c>
      <c r="AB1980" s="6" t="s">
        <v>81</v>
      </c>
      <c r="AC1980" s="6" t="s">
        <v>81</v>
      </c>
      <c r="AD1980" s="21" t="s">
        <v>81</v>
      </c>
      <c r="AE1980" s="6" t="s">
        <v>81</v>
      </c>
      <c r="AF1980" s="6" t="s">
        <v>81</v>
      </c>
      <c r="AG1980" s="6" t="s">
        <v>81</v>
      </c>
      <c r="AH1980" s="6" t="s">
        <v>16530</v>
      </c>
      <c r="AI1980" s="6" t="s">
        <v>81</v>
      </c>
      <c r="AJ1980" s="6" t="s">
        <v>17645</v>
      </c>
      <c r="AK1980" s="6" t="s">
        <v>18379</v>
      </c>
      <c r="AL1980" s="6" t="s">
        <v>18444</v>
      </c>
      <c r="AM1980" s="6" t="s">
        <v>18814</v>
      </c>
      <c r="AN1980" s="6" t="s">
        <v>19654</v>
      </c>
      <c r="AO1980" s="6" t="s">
        <v>19765</v>
      </c>
      <c r="AP1980" s="6" t="s">
        <v>16530</v>
      </c>
      <c r="AQ1980" s="6" t="s">
        <v>81</v>
      </c>
      <c r="AR1980" s="6" t="s">
        <v>17645</v>
      </c>
      <c r="AS1980" s="6" t="s">
        <v>18379</v>
      </c>
      <c r="AT1980" s="6" t="s">
        <v>18444</v>
      </c>
      <c r="AU1980" s="6" t="s">
        <v>18814</v>
      </c>
      <c r="AV1980" s="6" t="s">
        <v>81</v>
      </c>
      <c r="AW1980" s="6" t="s">
        <v>81</v>
      </c>
      <c r="AX1980" s="6" t="s">
        <v>22024</v>
      </c>
      <c r="AY1980" s="6" t="s">
        <v>81</v>
      </c>
      <c r="AZ1980" s="6" t="s">
        <v>81</v>
      </c>
      <c r="BA1980" s="6" t="s">
        <v>23879</v>
      </c>
      <c r="BB1980" s="24" t="n">
        <v>108</v>
      </c>
      <c r="BC1980" s="26"/>
      <c r="BD1980" s="26"/>
      <c r="BE1980" s="26"/>
      <c r="BF1980" s="26" t="s">
        <v>23900</v>
      </c>
      <c r="BG1980" s="26"/>
      <c r="BH1980" s="26"/>
      <c r="BI1980" s="26"/>
      <c r="BJ1980" s="26"/>
      <c r="BK1980" s="26"/>
      <c r="BL1980" s="26"/>
      <c r="BM1980" s="26"/>
      <c r="BN1980" s="26"/>
      <c r="BO1980" s="26"/>
      <c r="BP1980" s="16" t="n">
        <v>45730</v>
      </c>
      <c r="BQ1980" s="28" t="str">
        <f>HYPERLINK("https://organic.ams.usda.gov/Integrity/Certificate.aspx?cid=72&amp;nopid=5870001475")</f>
        <v>https://organic.ams.usda.gov/Integrity/Certificate.aspx?cid=72&amp;nopid=5870001475</v>
      </c>
    </row>
    <row r="1981">
      <c r="A1981" t="s">
        <v>3</v>
      </c>
      <c r="B1981" s="6" t="s">
        <v>28</v>
      </c>
      <c r="C1981" s="6" t="s">
        <v>75</v>
      </c>
      <c r="D1981" s="6" t="s">
        <v>121</v>
      </c>
      <c r="E1981" s="10" t="s">
        <v>2122</v>
      </c>
      <c r="F1981" s="6" t="s">
        <v>4835</v>
      </c>
      <c r="G1981" s="6" t="s">
        <v>81</v>
      </c>
      <c r="H1981" s="6" t="s">
        <v>7704</v>
      </c>
      <c r="I1981" s="6" t="s">
        <v>8677</v>
      </c>
      <c r="J1981" s="6" t="s">
        <v>10531</v>
      </c>
      <c r="K1981" s="6" t="s">
        <v>10886</v>
      </c>
      <c r="L1981" s="16" t="n">
        <v>42807</v>
      </c>
      <c r="M1981" s="16" t="n">
        <v>45658</v>
      </c>
      <c r="N1981" s="6" t="s">
        <v>81</v>
      </c>
      <c r="O1981" s="21" t="s">
        <v>81</v>
      </c>
      <c r="P1981" s="6" t="s">
        <v>81</v>
      </c>
      <c r="Q1981" s="6" t="s">
        <v>81</v>
      </c>
      <c r="R1981" s="6" t="s">
        <v>81</v>
      </c>
      <c r="S1981" s="6" t="s">
        <v>81</v>
      </c>
      <c r="T1981" s="21" t="s">
        <v>81</v>
      </c>
      <c r="U1981" s="6" t="s">
        <v>81</v>
      </c>
      <c r="V1981" s="6" t="s">
        <v>81</v>
      </c>
      <c r="W1981" s="6" t="s">
        <v>81</v>
      </c>
      <c r="X1981" s="6" t="s">
        <v>81</v>
      </c>
      <c r="Y1981" s="21" t="s">
        <v>81</v>
      </c>
      <c r="Z1981" s="6" t="s">
        <v>81</v>
      </c>
      <c r="AA1981" s="6" t="s">
        <v>81</v>
      </c>
      <c r="AB1981" s="6" t="s">
        <v>81</v>
      </c>
      <c r="AC1981" s="6" t="s">
        <v>10886</v>
      </c>
      <c r="AD1981" s="16" t="n">
        <v>42807</v>
      </c>
      <c r="AE1981" s="6" t="s">
        <v>14352</v>
      </c>
      <c r="AF1981" s="6" t="s">
        <v>81</v>
      </c>
      <c r="AG1981" s="6" t="s">
        <v>81</v>
      </c>
      <c r="AH1981" s="6" t="s">
        <v>16531</v>
      </c>
      <c r="AI1981" s="6" t="s">
        <v>81</v>
      </c>
      <c r="AJ1981" s="6" t="s">
        <v>17464</v>
      </c>
      <c r="AK1981" s="6" t="s">
        <v>18385</v>
      </c>
      <c r="AL1981" s="6" t="s">
        <v>18444</v>
      </c>
      <c r="AM1981" s="6" t="s">
        <v>19376</v>
      </c>
      <c r="AN1981" s="6" t="s">
        <v>19647</v>
      </c>
      <c r="AO1981" s="6" t="s">
        <v>19812</v>
      </c>
      <c r="AP1981" s="6" t="s">
        <v>81</v>
      </c>
      <c r="AQ1981" s="6" t="s">
        <v>81</v>
      </c>
      <c r="AR1981" s="6" t="s">
        <v>81</v>
      </c>
      <c r="AS1981" s="6" t="s">
        <v>81</v>
      </c>
      <c r="AT1981" s="6" t="s">
        <v>81</v>
      </c>
      <c r="AU1981" s="6" t="s">
        <v>81</v>
      </c>
      <c r="AV1981" s="6" t="s">
        <v>81</v>
      </c>
      <c r="AW1981" s="6" t="s">
        <v>81</v>
      </c>
      <c r="AX1981" s="6" t="s">
        <v>22025</v>
      </c>
      <c r="AY1981" s="6" t="s">
        <v>23274</v>
      </c>
      <c r="AZ1981" s="6" t="s">
        <v>23740</v>
      </c>
      <c r="BA1981" s="6" t="s">
        <v>81</v>
      </c>
      <c r="BB1981" s="6" t="s">
        <v>81</v>
      </c>
      <c r="BC1981" s="26"/>
      <c r="BD1981" s="26"/>
      <c r="BE1981" s="26"/>
      <c r="BF1981" s="26"/>
      <c r="BG1981" s="26"/>
      <c r="BH1981" s="26"/>
      <c r="BI1981" s="26"/>
      <c r="BJ1981" s="26"/>
      <c r="BK1981" s="26"/>
      <c r="BL1981" s="26"/>
      <c r="BM1981" s="26"/>
      <c r="BN1981" s="26"/>
      <c r="BO1981" s="26"/>
      <c r="BP1981" s="16" t="n">
        <v>45645</v>
      </c>
      <c r="BQ1981" s="28" t="str">
        <f>HYPERLINK("https://organic.ams.usda.gov/Integrity/Certificate.aspx?cid=64&amp;nopid=8830000953")</f>
        <v>https://organic.ams.usda.gov/Integrity/Certificate.aspx?cid=64&amp;nopid=8830000953</v>
      </c>
    </row>
    <row r="1982">
      <c r="A1982" t="s">
        <v>3</v>
      </c>
      <c r="B1982" s="6" t="s">
        <v>8</v>
      </c>
      <c r="C1982" s="6" t="s">
        <v>55</v>
      </c>
      <c r="D1982" s="6" t="s">
        <v>101</v>
      </c>
      <c r="E1982" s="10" t="s">
        <v>2123</v>
      </c>
      <c r="F1982" s="6" t="s">
        <v>4836</v>
      </c>
      <c r="G1982" s="6" t="s">
        <v>81</v>
      </c>
      <c r="H1982" s="6" t="s">
        <v>7705</v>
      </c>
      <c r="I1982" s="6" t="s">
        <v>8586</v>
      </c>
      <c r="J1982" s="6" t="s">
        <v>10532</v>
      </c>
      <c r="K1982" s="6" t="s">
        <v>10886</v>
      </c>
      <c r="L1982" s="16" t="n">
        <v>40053</v>
      </c>
      <c r="M1982" s="16" t="n">
        <v>45383</v>
      </c>
      <c r="N1982" s="6" t="s">
        <v>10886</v>
      </c>
      <c r="O1982" s="16" t="n">
        <v>40053</v>
      </c>
      <c r="P1982" s="6" t="s">
        <v>12047</v>
      </c>
      <c r="Q1982" s="6" t="s">
        <v>81</v>
      </c>
      <c r="R1982" s="6" t="s">
        <v>7705</v>
      </c>
      <c r="S1982" s="6" t="s">
        <v>10886</v>
      </c>
      <c r="T1982" s="16" t="n">
        <v>40053</v>
      </c>
      <c r="U1982" s="6" t="s">
        <v>13770</v>
      </c>
      <c r="V1982" s="6" t="s">
        <v>81</v>
      </c>
      <c r="W1982" s="6" t="s">
        <v>7705</v>
      </c>
      <c r="X1982" s="6" t="s">
        <v>81</v>
      </c>
      <c r="Y1982" s="21" t="s">
        <v>81</v>
      </c>
      <c r="Z1982" s="6" t="s">
        <v>81</v>
      </c>
      <c r="AA1982" s="6" t="s">
        <v>81</v>
      </c>
      <c r="AB1982" s="6" t="s">
        <v>81</v>
      </c>
      <c r="AC1982" s="6" t="s">
        <v>81</v>
      </c>
      <c r="AD1982" s="21" t="s">
        <v>81</v>
      </c>
      <c r="AE1982" s="6" t="s">
        <v>81</v>
      </c>
      <c r="AF1982" s="6" t="s">
        <v>81</v>
      </c>
      <c r="AG1982" s="6" t="s">
        <v>81</v>
      </c>
      <c r="AH1982" s="6" t="s">
        <v>16532</v>
      </c>
      <c r="AI1982" s="6" t="s">
        <v>81</v>
      </c>
      <c r="AJ1982" s="6" t="s">
        <v>18171</v>
      </c>
      <c r="AK1982" s="6" t="s">
        <v>18377</v>
      </c>
      <c r="AL1982" s="6" t="s">
        <v>18444</v>
      </c>
      <c r="AM1982" s="6" t="s">
        <v>19377</v>
      </c>
      <c r="AN1982" s="6" t="s">
        <v>19647</v>
      </c>
      <c r="AO1982" s="6" t="s">
        <v>19789</v>
      </c>
      <c r="AP1982" s="6" t="s">
        <v>20362</v>
      </c>
      <c r="AQ1982" s="6" t="s">
        <v>81</v>
      </c>
      <c r="AR1982" s="6" t="s">
        <v>18171</v>
      </c>
      <c r="AS1982" s="6" t="s">
        <v>18377</v>
      </c>
      <c r="AT1982" s="6" t="s">
        <v>18444</v>
      </c>
      <c r="AU1982" s="6" t="s">
        <v>19377</v>
      </c>
      <c r="AV1982" s="6" t="s">
        <v>81</v>
      </c>
      <c r="AW1982" s="6" t="s">
        <v>81</v>
      </c>
      <c r="AX1982" s="6" t="s">
        <v>81</v>
      </c>
      <c r="AY1982" s="6" t="s">
        <v>23275</v>
      </c>
      <c r="AZ1982" s="6" t="s">
        <v>81</v>
      </c>
      <c r="BA1982" s="6" t="s">
        <v>23819</v>
      </c>
      <c r="BB1982" s="24" t="n">
        <v>1031</v>
      </c>
      <c r="BC1982" s="26"/>
      <c r="BD1982" s="26"/>
      <c r="BE1982" s="26"/>
      <c r="BF1982" s="26" t="s">
        <v>23900</v>
      </c>
      <c r="BG1982" s="26"/>
      <c r="BH1982" s="26"/>
      <c r="BI1982" s="26"/>
      <c r="BJ1982" s="26"/>
      <c r="BK1982" s="26"/>
      <c r="BL1982" s="26"/>
      <c r="BM1982" s="26"/>
      <c r="BN1982" s="26"/>
      <c r="BO1982" s="26"/>
      <c r="BP1982" s="16" t="n">
        <v>45384</v>
      </c>
      <c r="BQ1982" s="28" t="str">
        <f>HYPERLINK("https://organic.ams.usda.gov/Integrity/Certificate.aspx?cid=45&amp;nopid=9950003401")</f>
        <v>https://organic.ams.usda.gov/Integrity/Certificate.aspx?cid=45&amp;nopid=9950003401</v>
      </c>
    </row>
    <row r="1983">
      <c r="A1983" t="s">
        <v>3</v>
      </c>
      <c r="B1983" s="6" t="s">
        <v>8</v>
      </c>
      <c r="C1983" s="6" t="s">
        <v>55</v>
      </c>
      <c r="D1983" s="6" t="s">
        <v>101</v>
      </c>
      <c r="E1983" s="10" t="s">
        <v>2124</v>
      </c>
      <c r="F1983" s="6" t="s">
        <v>4837</v>
      </c>
      <c r="G1983" s="6" t="s">
        <v>81</v>
      </c>
      <c r="H1983" s="6" t="s">
        <v>7706</v>
      </c>
      <c r="I1983" s="6" t="s">
        <v>8521</v>
      </c>
      <c r="J1983" s="6" t="s">
        <v>8537</v>
      </c>
      <c r="K1983" s="6" t="s">
        <v>10886</v>
      </c>
      <c r="L1983" s="16" t="n">
        <v>42626</v>
      </c>
      <c r="M1983" s="16" t="n">
        <v>45689</v>
      </c>
      <c r="N1983" s="6" t="s">
        <v>10886</v>
      </c>
      <c r="O1983" s="16" t="n">
        <v>42626</v>
      </c>
      <c r="P1983" s="6" t="s">
        <v>12048</v>
      </c>
      <c r="Q1983" s="6" t="s">
        <v>81</v>
      </c>
      <c r="R1983" s="6" t="s">
        <v>7706</v>
      </c>
      <c r="S1983" s="6" t="s">
        <v>10886</v>
      </c>
      <c r="T1983" s="16" t="n">
        <v>42626</v>
      </c>
      <c r="U1983" s="6" t="s">
        <v>13173</v>
      </c>
      <c r="V1983" s="6" t="s">
        <v>81</v>
      </c>
      <c r="W1983" s="6" t="s">
        <v>7706</v>
      </c>
      <c r="X1983" s="6" t="s">
        <v>81</v>
      </c>
      <c r="Y1983" s="21" t="s">
        <v>81</v>
      </c>
      <c r="Z1983" s="6" t="s">
        <v>81</v>
      </c>
      <c r="AA1983" s="6" t="s">
        <v>81</v>
      </c>
      <c r="AB1983" s="6" t="s">
        <v>81</v>
      </c>
      <c r="AC1983" s="6" t="s">
        <v>81</v>
      </c>
      <c r="AD1983" s="21" t="s">
        <v>81</v>
      </c>
      <c r="AE1983" s="6" t="s">
        <v>81</v>
      </c>
      <c r="AF1983" s="6" t="s">
        <v>81</v>
      </c>
      <c r="AG1983" s="6" t="s">
        <v>81</v>
      </c>
      <c r="AH1983" s="6" t="s">
        <v>16533</v>
      </c>
      <c r="AI1983" s="6" t="s">
        <v>81</v>
      </c>
      <c r="AJ1983" s="6" t="s">
        <v>17409</v>
      </c>
      <c r="AK1983" s="6" t="s">
        <v>18377</v>
      </c>
      <c r="AL1983" s="6" t="s">
        <v>18444</v>
      </c>
      <c r="AM1983" s="6" t="s">
        <v>18565</v>
      </c>
      <c r="AN1983" s="6" t="s">
        <v>19636</v>
      </c>
      <c r="AO1983" s="6" t="s">
        <v>19783</v>
      </c>
      <c r="AP1983" s="6" t="s">
        <v>81</v>
      </c>
      <c r="AQ1983" s="6" t="s">
        <v>81</v>
      </c>
      <c r="AR1983" s="6" t="s">
        <v>81</v>
      </c>
      <c r="AS1983" s="6" t="s">
        <v>81</v>
      </c>
      <c r="AT1983" s="6" t="s">
        <v>81</v>
      </c>
      <c r="AU1983" s="6" t="s">
        <v>81</v>
      </c>
      <c r="AV1983" s="6" t="s">
        <v>81</v>
      </c>
      <c r="AW1983" s="6" t="s">
        <v>81</v>
      </c>
      <c r="AX1983" s="6" t="s">
        <v>81</v>
      </c>
      <c r="AY1983" s="6" t="s">
        <v>23276</v>
      </c>
      <c r="AZ1983" s="6" t="s">
        <v>81</v>
      </c>
      <c r="BA1983" s="6" t="s">
        <v>23819</v>
      </c>
      <c r="BB1983" s="24" t="n">
        <v>486</v>
      </c>
      <c r="BC1983" s="26"/>
      <c r="BD1983" s="26"/>
      <c r="BE1983" s="26"/>
      <c r="BF1983" s="26" t="s">
        <v>23900</v>
      </c>
      <c r="BG1983" s="26"/>
      <c r="BH1983" s="26"/>
      <c r="BI1983" s="26"/>
      <c r="BJ1983" s="26"/>
      <c r="BK1983" s="26"/>
      <c r="BL1983" s="26"/>
      <c r="BM1983" s="26"/>
      <c r="BN1983" s="26"/>
      <c r="BO1983" s="26"/>
      <c r="BP1983" s="16" t="n">
        <v>45685</v>
      </c>
      <c r="BQ1983" s="28" t="str">
        <f>HYPERLINK("https://organic.ams.usda.gov/Integrity/Certificate.aspx?cid=45&amp;nopid=9950009073")</f>
        <v>https://organic.ams.usda.gov/Integrity/Certificate.aspx?cid=45&amp;nopid=9950009073</v>
      </c>
    </row>
    <row r="1984">
      <c r="A1984" t="s">
        <v>3</v>
      </c>
      <c r="B1984" s="6" t="s">
        <v>8</v>
      </c>
      <c r="C1984" s="6" t="s">
        <v>55</v>
      </c>
      <c r="D1984" s="6" t="s">
        <v>101</v>
      </c>
      <c r="E1984" s="10" t="s">
        <v>2125</v>
      </c>
      <c r="F1984" s="6" t="s">
        <v>4838</v>
      </c>
      <c r="G1984" s="6" t="s">
        <v>81</v>
      </c>
      <c r="H1984" s="6" t="s">
        <v>7707</v>
      </c>
      <c r="I1984" s="6" t="s">
        <v>9136</v>
      </c>
      <c r="J1984" s="6" t="s">
        <v>9666</v>
      </c>
      <c r="K1984" s="6" t="s">
        <v>10886</v>
      </c>
      <c r="L1984" s="16" t="n">
        <v>42503</v>
      </c>
      <c r="M1984" s="18" t="s">
        <v>81</v>
      </c>
      <c r="N1984" s="6" t="s">
        <v>10886</v>
      </c>
      <c r="O1984" s="16" t="n">
        <v>42503</v>
      </c>
      <c r="P1984" s="6" t="s">
        <v>12049</v>
      </c>
      <c r="Q1984" s="6" t="s">
        <v>81</v>
      </c>
      <c r="R1984" s="6" t="s">
        <v>81</v>
      </c>
      <c r="S1984" s="6" t="s">
        <v>10886</v>
      </c>
      <c r="T1984" s="16" t="n">
        <v>42503</v>
      </c>
      <c r="U1984" s="6" t="s">
        <v>13771</v>
      </c>
      <c r="V1984" s="6" t="s">
        <v>81</v>
      </c>
      <c r="W1984" s="6" t="s">
        <v>81</v>
      </c>
      <c r="X1984" s="6" t="s">
        <v>81</v>
      </c>
      <c r="Y1984" s="21" t="s">
        <v>81</v>
      </c>
      <c r="Z1984" s="6" t="s">
        <v>81</v>
      </c>
      <c r="AA1984" s="6" t="s">
        <v>81</v>
      </c>
      <c r="AB1984" s="6" t="s">
        <v>81</v>
      </c>
      <c r="AC1984" s="6" t="s">
        <v>81</v>
      </c>
      <c r="AD1984" s="21" t="s">
        <v>81</v>
      </c>
      <c r="AE1984" s="6" t="s">
        <v>81</v>
      </c>
      <c r="AF1984" s="6" t="s">
        <v>81</v>
      </c>
      <c r="AG1984" s="6" t="s">
        <v>81</v>
      </c>
      <c r="AH1984" s="6" t="s">
        <v>16534</v>
      </c>
      <c r="AI1984" s="6" t="s">
        <v>81</v>
      </c>
      <c r="AJ1984" s="6" t="s">
        <v>8987</v>
      </c>
      <c r="AK1984" s="6" t="s">
        <v>18377</v>
      </c>
      <c r="AL1984" s="6" t="s">
        <v>18444</v>
      </c>
      <c r="AM1984" s="6" t="s">
        <v>18487</v>
      </c>
      <c r="AN1984" s="6" t="s">
        <v>19646</v>
      </c>
      <c r="AO1984" s="6" t="s">
        <v>19733</v>
      </c>
      <c r="AP1984" s="6" t="s">
        <v>81</v>
      </c>
      <c r="AQ1984" s="6" t="s">
        <v>81</v>
      </c>
      <c r="AR1984" s="6" t="s">
        <v>81</v>
      </c>
      <c r="AS1984" s="6" t="s">
        <v>81</v>
      </c>
      <c r="AT1984" s="6" t="s">
        <v>81</v>
      </c>
      <c r="AU1984" s="6" t="s">
        <v>81</v>
      </c>
      <c r="AV1984" s="6" t="s">
        <v>81</v>
      </c>
      <c r="AW1984" s="6" t="s">
        <v>81</v>
      </c>
      <c r="AX1984" s="6" t="s">
        <v>81</v>
      </c>
      <c r="AY1984" s="6" t="s">
        <v>81</v>
      </c>
      <c r="AZ1984" s="6" t="s">
        <v>81</v>
      </c>
      <c r="BA1984" s="6" t="s">
        <v>81</v>
      </c>
      <c r="BB1984" s="24" t="n">
        <v>161</v>
      </c>
      <c r="BC1984" s="26"/>
      <c r="BD1984" s="26"/>
      <c r="BE1984" s="26"/>
      <c r="BF1984" s="26"/>
      <c r="BG1984" s="26"/>
      <c r="BH1984" s="26"/>
      <c r="BI1984" s="26"/>
      <c r="BJ1984" s="26"/>
      <c r="BK1984" s="26"/>
      <c r="BL1984" s="26"/>
      <c r="BM1984" s="26"/>
      <c r="BN1984" s="26"/>
      <c r="BO1984" s="26"/>
      <c r="BP1984" s="16" t="n">
        <v>45292</v>
      </c>
      <c r="BQ1984" s="28" t="str">
        <f>HYPERLINK("https://organic.ams.usda.gov/Integrity/Certificate.aspx?cid=45&amp;nopid=9950009409")</f>
        <v>https://organic.ams.usda.gov/Integrity/Certificate.aspx?cid=45&amp;nopid=9950009409</v>
      </c>
    </row>
    <row r="1985">
      <c r="A1985" t="s">
        <v>3</v>
      </c>
      <c r="B1985" s="6" t="s">
        <v>8</v>
      </c>
      <c r="C1985" s="6" t="s">
        <v>55</v>
      </c>
      <c r="D1985" s="6" t="s">
        <v>101</v>
      </c>
      <c r="E1985" s="10" t="s">
        <v>2126</v>
      </c>
      <c r="F1985" s="6" t="s">
        <v>4839</v>
      </c>
      <c r="G1985" s="6" t="s">
        <v>81</v>
      </c>
      <c r="H1985" s="6" t="s">
        <v>7708</v>
      </c>
      <c r="I1985" s="6" t="s">
        <v>8931</v>
      </c>
      <c r="J1985" s="6" t="s">
        <v>10533</v>
      </c>
      <c r="K1985" s="6" t="s">
        <v>10886</v>
      </c>
      <c r="L1985" s="16" t="n">
        <v>38868</v>
      </c>
      <c r="M1985" s="16" t="n">
        <v>45689</v>
      </c>
      <c r="N1985" s="6" t="s">
        <v>10886</v>
      </c>
      <c r="O1985" s="16" t="n">
        <v>38868</v>
      </c>
      <c r="P1985" s="6" t="s">
        <v>12050</v>
      </c>
      <c r="Q1985" s="6" t="s">
        <v>81</v>
      </c>
      <c r="R1985" s="6" t="s">
        <v>7708</v>
      </c>
      <c r="S1985" s="6" t="s">
        <v>10886</v>
      </c>
      <c r="T1985" s="16" t="n">
        <v>38868</v>
      </c>
      <c r="U1985" s="6" t="s">
        <v>13271</v>
      </c>
      <c r="V1985" s="6" t="s">
        <v>81</v>
      </c>
      <c r="W1985" s="6" t="s">
        <v>7708</v>
      </c>
      <c r="X1985" s="6" t="s">
        <v>81</v>
      </c>
      <c r="Y1985" s="21" t="s">
        <v>81</v>
      </c>
      <c r="Z1985" s="6" t="s">
        <v>81</v>
      </c>
      <c r="AA1985" s="6" t="s">
        <v>81</v>
      </c>
      <c r="AB1985" s="6" t="s">
        <v>81</v>
      </c>
      <c r="AC1985" s="6" t="s">
        <v>81</v>
      </c>
      <c r="AD1985" s="21" t="s">
        <v>81</v>
      </c>
      <c r="AE1985" s="6" t="s">
        <v>81</v>
      </c>
      <c r="AF1985" s="6" t="s">
        <v>81</v>
      </c>
      <c r="AG1985" s="6" t="s">
        <v>81</v>
      </c>
      <c r="AH1985" s="6" t="s">
        <v>16535</v>
      </c>
      <c r="AI1985" s="6" t="s">
        <v>81</v>
      </c>
      <c r="AJ1985" s="6" t="s">
        <v>17384</v>
      </c>
      <c r="AK1985" s="6" t="s">
        <v>18377</v>
      </c>
      <c r="AL1985" s="6" t="s">
        <v>18444</v>
      </c>
      <c r="AM1985" s="6" t="s">
        <v>18538</v>
      </c>
      <c r="AN1985" s="6" t="s">
        <v>19683</v>
      </c>
      <c r="AO1985" s="6" t="s">
        <v>19837</v>
      </c>
      <c r="AP1985" s="6" t="s">
        <v>81</v>
      </c>
      <c r="AQ1985" s="6" t="s">
        <v>81</v>
      </c>
      <c r="AR1985" s="6" t="s">
        <v>81</v>
      </c>
      <c r="AS1985" s="6" t="s">
        <v>81</v>
      </c>
      <c r="AT1985" s="6" t="s">
        <v>81</v>
      </c>
      <c r="AU1985" s="6" t="s">
        <v>81</v>
      </c>
      <c r="AV1985" s="6" t="s">
        <v>81</v>
      </c>
      <c r="AW1985" s="6" t="s">
        <v>81</v>
      </c>
      <c r="AX1985" s="6" t="s">
        <v>81</v>
      </c>
      <c r="AY1985" s="6" t="s">
        <v>23277</v>
      </c>
      <c r="AZ1985" s="6" t="s">
        <v>81</v>
      </c>
      <c r="BA1985" s="6" t="s">
        <v>23819</v>
      </c>
      <c r="BB1985" s="24" t="n">
        <v>239</v>
      </c>
      <c r="BC1985" s="26"/>
      <c r="BD1985" s="26"/>
      <c r="BE1985" s="26"/>
      <c r="BF1985" s="26" t="s">
        <v>23900</v>
      </c>
      <c r="BG1985" s="26"/>
      <c r="BH1985" s="26"/>
      <c r="BI1985" s="26"/>
      <c r="BJ1985" s="26"/>
      <c r="BK1985" s="26"/>
      <c r="BL1985" s="26"/>
      <c r="BM1985" s="26"/>
      <c r="BN1985" s="26"/>
      <c r="BO1985" s="26"/>
      <c r="BP1985" s="16" t="n">
        <v>45728</v>
      </c>
      <c r="BQ1985" s="28" t="str">
        <f>HYPERLINK("https://organic.ams.usda.gov/Integrity/Certificate.aspx?cid=45&amp;nopid=9950002324")</f>
        <v>https://organic.ams.usda.gov/Integrity/Certificate.aspx?cid=45&amp;nopid=9950002324</v>
      </c>
    </row>
    <row r="1986">
      <c r="A1986" t="s">
        <v>3</v>
      </c>
      <c r="B1986" s="6" t="s">
        <v>11</v>
      </c>
      <c r="C1986" s="6" t="s">
        <v>58</v>
      </c>
      <c r="D1986" s="6" t="s">
        <v>104</v>
      </c>
      <c r="E1986" s="10" t="s">
        <v>2127</v>
      </c>
      <c r="F1986" s="6" t="s">
        <v>4840</v>
      </c>
      <c r="G1986" s="6" t="s">
        <v>5775</v>
      </c>
      <c r="H1986" s="6" t="s">
        <v>81</v>
      </c>
      <c r="I1986" s="6" t="s">
        <v>8757</v>
      </c>
      <c r="J1986" s="6" t="s">
        <v>9976</v>
      </c>
      <c r="K1986" s="6" t="s">
        <v>10886</v>
      </c>
      <c r="L1986" s="16" t="n">
        <v>43068</v>
      </c>
      <c r="M1986" s="16" t="n">
        <v>45748</v>
      </c>
      <c r="N1986" s="6" t="s">
        <v>10886</v>
      </c>
      <c r="O1986" s="16" t="n">
        <v>43068</v>
      </c>
      <c r="P1986" s="6" t="s">
        <v>12051</v>
      </c>
      <c r="Q1986" s="6" t="s">
        <v>81</v>
      </c>
      <c r="R1986" s="6" t="s">
        <v>81</v>
      </c>
      <c r="S1986" s="6" t="s">
        <v>10886</v>
      </c>
      <c r="T1986" s="16" t="n">
        <v>43977</v>
      </c>
      <c r="U1986" s="6" t="s">
        <v>13772</v>
      </c>
      <c r="V1986" s="6" t="s">
        <v>81</v>
      </c>
      <c r="W1986" s="6" t="s">
        <v>81</v>
      </c>
      <c r="X1986" s="6" t="s">
        <v>81</v>
      </c>
      <c r="Y1986" s="21" t="s">
        <v>81</v>
      </c>
      <c r="Z1986" s="6" t="s">
        <v>81</v>
      </c>
      <c r="AA1986" s="6" t="s">
        <v>81</v>
      </c>
      <c r="AB1986" s="6" t="s">
        <v>81</v>
      </c>
      <c r="AC1986" s="6" t="s">
        <v>81</v>
      </c>
      <c r="AD1986" s="21" t="s">
        <v>81</v>
      </c>
      <c r="AE1986" s="6" t="s">
        <v>81</v>
      </c>
      <c r="AF1986" s="6" t="s">
        <v>81</v>
      </c>
      <c r="AG1986" s="6" t="s">
        <v>81</v>
      </c>
      <c r="AH1986" s="6" t="s">
        <v>16536</v>
      </c>
      <c r="AI1986" s="6" t="s">
        <v>81</v>
      </c>
      <c r="AJ1986" s="6" t="s">
        <v>17366</v>
      </c>
      <c r="AK1986" s="6" t="s">
        <v>18381</v>
      </c>
      <c r="AL1986" s="6" t="s">
        <v>18444</v>
      </c>
      <c r="AM1986" s="6" t="s">
        <v>18518</v>
      </c>
      <c r="AN1986" s="6" t="s">
        <v>19676</v>
      </c>
      <c r="AO1986" s="6" t="s">
        <v>19797</v>
      </c>
      <c r="AP1986" s="6" t="s">
        <v>16536</v>
      </c>
      <c r="AQ1986" s="6" t="s">
        <v>81</v>
      </c>
      <c r="AR1986" s="6" t="s">
        <v>17366</v>
      </c>
      <c r="AS1986" s="6" t="s">
        <v>18381</v>
      </c>
      <c r="AT1986" s="6" t="s">
        <v>18444</v>
      </c>
      <c r="AU1986" s="6" t="s">
        <v>18518</v>
      </c>
      <c r="AV1986" s="6" t="s">
        <v>81</v>
      </c>
      <c r="AW1986" s="6" t="s">
        <v>81</v>
      </c>
      <c r="AX1986" s="6" t="s">
        <v>81</v>
      </c>
      <c r="AY1986" s="6" t="s">
        <v>81</v>
      </c>
      <c r="AZ1986" s="6" t="s">
        <v>81</v>
      </c>
      <c r="BA1986" s="6" t="s">
        <v>23825</v>
      </c>
      <c r="BB1986" s="24" t="n">
        <v>96</v>
      </c>
      <c r="BC1986" s="26"/>
      <c r="BD1986" s="26"/>
      <c r="BE1986" s="26"/>
      <c r="BF1986" s="26"/>
      <c r="BG1986" s="26"/>
      <c r="BH1986" s="26"/>
      <c r="BI1986" s="26"/>
      <c r="BJ1986" s="26"/>
      <c r="BK1986" s="26"/>
      <c r="BL1986" s="26"/>
      <c r="BM1986" s="26"/>
      <c r="BN1986" s="26"/>
      <c r="BO1986" s="26"/>
      <c r="BP1986" s="16" t="n">
        <v>45582</v>
      </c>
      <c r="BQ1986" s="28" t="str">
        <f>HYPERLINK("https://organic.ams.usda.gov/Integrity/Certificate.aspx?cid=46&amp;nopid=3671700107")</f>
        <v>https://organic.ams.usda.gov/Integrity/Certificate.aspx?cid=46&amp;nopid=3671700107</v>
      </c>
    </row>
    <row r="1987">
      <c r="A1987" t="s">
        <v>3</v>
      </c>
      <c r="B1987" s="6" t="s">
        <v>7</v>
      </c>
      <c r="C1987" s="6" t="s">
        <v>54</v>
      </c>
      <c r="D1987" s="6" t="s">
        <v>100</v>
      </c>
      <c r="E1987" s="10" t="s">
        <v>2128</v>
      </c>
      <c r="F1987" s="6" t="s">
        <v>4841</v>
      </c>
      <c r="G1987" s="6" t="s">
        <v>81</v>
      </c>
      <c r="H1987" s="6" t="s">
        <v>7709</v>
      </c>
      <c r="I1987" s="6" t="s">
        <v>8636</v>
      </c>
      <c r="J1987" s="6" t="s">
        <v>9665</v>
      </c>
      <c r="K1987" s="6" t="s">
        <v>10886</v>
      </c>
      <c r="L1987" s="16" t="n">
        <v>41837</v>
      </c>
      <c r="M1987" s="16" t="n">
        <v>45716</v>
      </c>
      <c r="N1987" s="6" t="s">
        <v>10886</v>
      </c>
      <c r="O1987" s="16" t="n">
        <v>41837</v>
      </c>
      <c r="P1987" s="6" t="s">
        <v>10910</v>
      </c>
      <c r="Q1987" s="6" t="s">
        <v>81</v>
      </c>
      <c r="R1987" s="6" t="s">
        <v>81</v>
      </c>
      <c r="S1987" s="6" t="s">
        <v>10886</v>
      </c>
      <c r="T1987" s="16" t="n">
        <v>41850</v>
      </c>
      <c r="U1987" s="6" t="s">
        <v>13169</v>
      </c>
      <c r="V1987" s="6" t="s">
        <v>81</v>
      </c>
      <c r="W1987" s="6" t="s">
        <v>81</v>
      </c>
      <c r="X1987" s="6" t="s">
        <v>81</v>
      </c>
      <c r="Y1987" s="21" t="s">
        <v>81</v>
      </c>
      <c r="Z1987" s="6" t="s">
        <v>81</v>
      </c>
      <c r="AA1987" s="6" t="s">
        <v>81</v>
      </c>
      <c r="AB1987" s="6" t="s">
        <v>81</v>
      </c>
      <c r="AC1987" s="6" t="s">
        <v>81</v>
      </c>
      <c r="AD1987" s="21" t="s">
        <v>81</v>
      </c>
      <c r="AE1987" s="6" t="s">
        <v>81</v>
      </c>
      <c r="AF1987" s="6" t="s">
        <v>81</v>
      </c>
      <c r="AG1987" s="6" t="s">
        <v>81</v>
      </c>
      <c r="AH1987" s="6" t="s">
        <v>16537</v>
      </c>
      <c r="AI1987" s="6" t="s">
        <v>81</v>
      </c>
      <c r="AJ1987" s="6" t="s">
        <v>17341</v>
      </c>
      <c r="AK1987" s="6" t="s">
        <v>17712</v>
      </c>
      <c r="AL1987" s="6" t="s">
        <v>18444</v>
      </c>
      <c r="AM1987" s="6" t="s">
        <v>18495</v>
      </c>
      <c r="AN1987" s="6" t="s">
        <v>19649</v>
      </c>
      <c r="AO1987" s="6" t="s">
        <v>19738</v>
      </c>
      <c r="AP1987" s="6" t="s">
        <v>16537</v>
      </c>
      <c r="AQ1987" s="6" t="s">
        <v>81</v>
      </c>
      <c r="AR1987" s="6" t="s">
        <v>17341</v>
      </c>
      <c r="AS1987" s="6" t="s">
        <v>17712</v>
      </c>
      <c r="AT1987" s="6" t="s">
        <v>18444</v>
      </c>
      <c r="AU1987" s="6" t="s">
        <v>18495</v>
      </c>
      <c r="AV1987" s="6" t="s">
        <v>81</v>
      </c>
      <c r="AW1987" s="6" t="s">
        <v>81</v>
      </c>
      <c r="AX1987" s="6" t="s">
        <v>22026</v>
      </c>
      <c r="AY1987" s="6" t="s">
        <v>81</v>
      </c>
      <c r="AZ1987" s="6" t="s">
        <v>81</v>
      </c>
      <c r="BA1987" s="6" t="s">
        <v>81</v>
      </c>
      <c r="BB1987" s="24" t="n">
        <v>196</v>
      </c>
      <c r="BC1987" s="26"/>
      <c r="BD1987" s="26"/>
      <c r="BE1987" s="26"/>
      <c r="BF1987" s="26"/>
      <c r="BG1987" s="26"/>
      <c r="BH1987" s="26"/>
      <c r="BI1987" s="26"/>
      <c r="BJ1987" s="26"/>
      <c r="BK1987" s="26"/>
      <c r="BL1987" s="26"/>
      <c r="BM1987" s="26"/>
      <c r="BN1987" s="26"/>
      <c r="BO1987" s="26"/>
      <c r="BP1987" s="16" t="n">
        <v>45595</v>
      </c>
      <c r="BQ1987" s="28" t="str">
        <f>HYPERLINK("https://organic.ams.usda.gov/Integrity/Certificate.aspx?cid=57&amp;nopid=3252014049")</f>
        <v>https://organic.ams.usda.gov/Integrity/Certificate.aspx?cid=57&amp;nopid=3252014049</v>
      </c>
    </row>
    <row r="1988">
      <c r="A1988" t="s">
        <v>3</v>
      </c>
      <c r="B1988" s="6" t="s">
        <v>12</v>
      </c>
      <c r="C1988" s="6" t="s">
        <v>59</v>
      </c>
      <c r="D1988" s="6" t="s">
        <v>105</v>
      </c>
      <c r="E1988" s="10" t="s">
        <v>2129</v>
      </c>
      <c r="F1988" s="6" t="s">
        <v>4842</v>
      </c>
      <c r="G1988" s="6" t="s">
        <v>81</v>
      </c>
      <c r="H1988" s="6" t="s">
        <v>81</v>
      </c>
      <c r="I1988" s="6" t="s">
        <v>8919</v>
      </c>
      <c r="J1988" s="6" t="s">
        <v>9727</v>
      </c>
      <c r="K1988" s="6" t="s">
        <v>10886</v>
      </c>
      <c r="L1988" s="16" t="n">
        <v>42530</v>
      </c>
      <c r="M1988" s="16" t="n">
        <v>43555</v>
      </c>
      <c r="N1988" s="6" t="s">
        <v>10886</v>
      </c>
      <c r="O1988" s="16" t="n">
        <v>43025</v>
      </c>
      <c r="P1988" s="6" t="s">
        <v>12052</v>
      </c>
      <c r="Q1988" s="6" t="s">
        <v>81</v>
      </c>
      <c r="R1988" s="6" t="s">
        <v>12992</v>
      </c>
      <c r="S1988" s="6" t="s">
        <v>10886</v>
      </c>
      <c r="T1988" s="16" t="n">
        <v>43025</v>
      </c>
      <c r="U1988" s="6" t="s">
        <v>13773</v>
      </c>
      <c r="V1988" s="6" t="s">
        <v>81</v>
      </c>
      <c r="W1988" s="6" t="s">
        <v>12992</v>
      </c>
      <c r="X1988" s="6" t="s">
        <v>81</v>
      </c>
      <c r="Y1988" s="21" t="s">
        <v>81</v>
      </c>
      <c r="Z1988" s="6" t="s">
        <v>81</v>
      </c>
      <c r="AA1988" s="6" t="s">
        <v>81</v>
      </c>
      <c r="AB1988" s="6" t="s">
        <v>81</v>
      </c>
      <c r="AC1988" s="6" t="s">
        <v>81</v>
      </c>
      <c r="AD1988" s="21" t="s">
        <v>81</v>
      </c>
      <c r="AE1988" s="6" t="s">
        <v>81</v>
      </c>
      <c r="AF1988" s="6" t="s">
        <v>81</v>
      </c>
      <c r="AG1988" s="6" t="s">
        <v>81</v>
      </c>
      <c r="AH1988" s="6" t="s">
        <v>16538</v>
      </c>
      <c r="AI1988" s="6" t="s">
        <v>81</v>
      </c>
      <c r="AJ1988" s="6" t="s">
        <v>18172</v>
      </c>
      <c r="AK1988" s="6" t="s">
        <v>17712</v>
      </c>
      <c r="AL1988" s="6" t="s">
        <v>18444</v>
      </c>
      <c r="AM1988" s="6" t="s">
        <v>19378</v>
      </c>
      <c r="AN1988" s="6" t="s">
        <v>19693</v>
      </c>
      <c r="AO1988" s="6" t="s">
        <v>19858</v>
      </c>
      <c r="AP1988" s="6" t="s">
        <v>16538</v>
      </c>
      <c r="AQ1988" s="6" t="s">
        <v>81</v>
      </c>
      <c r="AR1988" s="6" t="s">
        <v>18172</v>
      </c>
      <c r="AS1988" s="6" t="s">
        <v>17712</v>
      </c>
      <c r="AT1988" s="6" t="s">
        <v>18444</v>
      </c>
      <c r="AU1988" s="6" t="s">
        <v>19378</v>
      </c>
      <c r="AV1988" s="6" t="s">
        <v>81</v>
      </c>
      <c r="AW1988" s="6" t="s">
        <v>81</v>
      </c>
      <c r="AX1988" s="6" t="s">
        <v>81</v>
      </c>
      <c r="AY1988" s="6" t="s">
        <v>81</v>
      </c>
      <c r="AZ1988" s="6" t="s">
        <v>81</v>
      </c>
      <c r="BA1988" s="6" t="s">
        <v>81</v>
      </c>
      <c r="BB1988" s="6" t="s">
        <v>81</v>
      </c>
      <c r="BC1988" s="26"/>
      <c r="BD1988" s="26"/>
      <c r="BE1988" s="26"/>
      <c r="BF1988" s="26"/>
      <c r="BG1988" s="26"/>
      <c r="BH1988" s="26"/>
      <c r="BI1988" s="26"/>
      <c r="BJ1988" s="26"/>
      <c r="BK1988" s="26"/>
      <c r="BL1988" s="26"/>
      <c r="BM1988" s="26"/>
      <c r="BN1988" s="26"/>
      <c r="BO1988" s="26"/>
      <c r="BP1988" s="16" t="n">
        <v>43461</v>
      </c>
      <c r="BQ1988" s="28" t="str">
        <f>HYPERLINK("https://organic.ams.usda.gov/Integrity/Certificate.aspx?cid=68&amp;nopid=8210004326")</f>
        <v>https://organic.ams.usda.gov/Integrity/Certificate.aspx?cid=68&amp;nopid=8210004326</v>
      </c>
    </row>
    <row r="1989">
      <c r="A1989" t="s">
        <v>3</v>
      </c>
      <c r="B1989" s="6" t="s">
        <v>35</v>
      </c>
      <c r="C1989" s="6" t="s">
        <v>82</v>
      </c>
      <c r="D1989" s="6" t="s">
        <v>127</v>
      </c>
      <c r="E1989" s="10" t="s">
        <v>2130</v>
      </c>
      <c r="F1989" s="6" t="s">
        <v>4843</v>
      </c>
      <c r="G1989" s="6" t="s">
        <v>81</v>
      </c>
      <c r="H1989" s="6" t="s">
        <v>7710</v>
      </c>
      <c r="I1989" s="6" t="s">
        <v>8928</v>
      </c>
      <c r="J1989" s="6" t="s">
        <v>10534</v>
      </c>
      <c r="K1989" s="6" t="s">
        <v>10886</v>
      </c>
      <c r="L1989" s="16" t="n">
        <v>37514</v>
      </c>
      <c r="M1989" s="16" t="n">
        <v>45762</v>
      </c>
      <c r="N1989" s="6" t="s">
        <v>10886</v>
      </c>
      <c r="O1989" s="16" t="n">
        <v>37514</v>
      </c>
      <c r="P1989" s="6" t="s">
        <v>12053</v>
      </c>
      <c r="Q1989" s="6" t="s">
        <v>81</v>
      </c>
      <c r="R1989" s="6" t="s">
        <v>12993</v>
      </c>
      <c r="S1989" s="6" t="s">
        <v>10886</v>
      </c>
      <c r="T1989" s="16" t="n">
        <v>37514</v>
      </c>
      <c r="U1989" s="6" t="s">
        <v>13504</v>
      </c>
      <c r="V1989" s="6" t="s">
        <v>81</v>
      </c>
      <c r="W1989" s="6" t="s">
        <v>12993</v>
      </c>
      <c r="X1989" s="6" t="s">
        <v>81</v>
      </c>
      <c r="Y1989" s="21" t="s">
        <v>81</v>
      </c>
      <c r="Z1989" s="6" t="s">
        <v>81</v>
      </c>
      <c r="AA1989" s="6" t="s">
        <v>81</v>
      </c>
      <c r="AB1989" s="6" t="s">
        <v>81</v>
      </c>
      <c r="AC1989" s="6" t="s">
        <v>81</v>
      </c>
      <c r="AD1989" s="21" t="s">
        <v>81</v>
      </c>
      <c r="AE1989" s="6" t="s">
        <v>81</v>
      </c>
      <c r="AF1989" s="6" t="s">
        <v>81</v>
      </c>
      <c r="AG1989" s="6" t="s">
        <v>81</v>
      </c>
      <c r="AH1989" s="6" t="s">
        <v>16539</v>
      </c>
      <c r="AI1989" s="6" t="s">
        <v>81</v>
      </c>
      <c r="AJ1989" s="6" t="s">
        <v>17979</v>
      </c>
      <c r="AK1989" s="6" t="s">
        <v>18405</v>
      </c>
      <c r="AL1989" s="6" t="s">
        <v>18444</v>
      </c>
      <c r="AM1989" s="6" t="s">
        <v>19379</v>
      </c>
      <c r="AN1989" s="6" t="s">
        <v>19683</v>
      </c>
      <c r="AO1989" s="6" t="s">
        <v>20017</v>
      </c>
      <c r="AP1989" s="6" t="s">
        <v>20363</v>
      </c>
      <c r="AQ1989" s="6" t="s">
        <v>81</v>
      </c>
      <c r="AR1989" s="6" t="s">
        <v>17979</v>
      </c>
      <c r="AS1989" s="6" t="s">
        <v>18405</v>
      </c>
      <c r="AT1989" s="6" t="s">
        <v>18444</v>
      </c>
      <c r="AU1989" s="6" t="s">
        <v>19379</v>
      </c>
      <c r="AV1989" s="6" t="s">
        <v>81</v>
      </c>
      <c r="AW1989" s="6" t="s">
        <v>81</v>
      </c>
      <c r="AX1989" s="6" t="s">
        <v>22027</v>
      </c>
      <c r="AY1989" s="6" t="s">
        <v>23278</v>
      </c>
      <c r="AZ1989" s="6" t="s">
        <v>81</v>
      </c>
      <c r="BA1989" s="6" t="s">
        <v>81</v>
      </c>
      <c r="BB1989" s="24" t="n">
        <v>175</v>
      </c>
      <c r="BC1989" s="26"/>
      <c r="BD1989" s="26"/>
      <c r="BE1989" s="26"/>
      <c r="BF1989" s="26"/>
      <c r="BG1989" s="26"/>
      <c r="BH1989" s="26"/>
      <c r="BI1989" s="26"/>
      <c r="BJ1989" s="26"/>
      <c r="BK1989" s="26"/>
      <c r="BL1989" s="26"/>
      <c r="BM1989" s="26"/>
      <c r="BN1989" s="26"/>
      <c r="BO1989" s="26"/>
      <c r="BP1989" s="16" t="n">
        <v>45694</v>
      </c>
      <c r="BQ1989" s="28" t="str">
        <f>HYPERLINK("https://organic.ams.usda.gov/Integrity/Certificate.aspx?cid=47&amp;nopid=7142071156")</f>
        <v>https://organic.ams.usda.gov/Integrity/Certificate.aspx?cid=47&amp;nopid=7142071156</v>
      </c>
    </row>
    <row r="1990">
      <c r="A1990" t="s">
        <v>3</v>
      </c>
      <c r="B1990" s="6" t="s">
        <v>29</v>
      </c>
      <c r="C1990" s="6" t="s">
        <v>76</v>
      </c>
      <c r="D1990" s="6" t="s">
        <v>122</v>
      </c>
      <c r="E1990" s="10" t="s">
        <v>2131</v>
      </c>
      <c r="F1990" s="6" t="s">
        <v>4844</v>
      </c>
      <c r="G1990" s="6" t="s">
        <v>81</v>
      </c>
      <c r="H1990" s="6" t="s">
        <v>7711</v>
      </c>
      <c r="I1990" s="6" t="s">
        <v>9372</v>
      </c>
      <c r="J1990" s="6" t="s">
        <v>9665</v>
      </c>
      <c r="K1990" s="6" t="s">
        <v>10886</v>
      </c>
      <c r="L1990" s="16" t="n">
        <v>42156</v>
      </c>
      <c r="M1990" s="16" t="n">
        <v>45870</v>
      </c>
      <c r="N1990" s="6" t="s">
        <v>10886</v>
      </c>
      <c r="O1990" s="16" t="n">
        <v>42156</v>
      </c>
      <c r="P1990" s="6" t="s">
        <v>12054</v>
      </c>
      <c r="Q1990" s="6" t="s">
        <v>81</v>
      </c>
      <c r="R1990" s="6" t="s">
        <v>12994</v>
      </c>
      <c r="S1990" s="6" t="s">
        <v>10886</v>
      </c>
      <c r="T1990" s="16" t="n">
        <v>42156</v>
      </c>
      <c r="U1990" s="6" t="s">
        <v>13288</v>
      </c>
      <c r="V1990" s="6" t="s">
        <v>81</v>
      </c>
      <c r="W1990" s="6" t="s">
        <v>12994</v>
      </c>
      <c r="X1990" s="6" t="s">
        <v>81</v>
      </c>
      <c r="Y1990" s="21" t="s">
        <v>81</v>
      </c>
      <c r="Z1990" s="6" t="s">
        <v>81</v>
      </c>
      <c r="AA1990" s="6" t="s">
        <v>81</v>
      </c>
      <c r="AB1990" s="6" t="s">
        <v>81</v>
      </c>
      <c r="AC1990" s="6" t="s">
        <v>81</v>
      </c>
      <c r="AD1990" s="21" t="s">
        <v>81</v>
      </c>
      <c r="AE1990" s="6" t="s">
        <v>81</v>
      </c>
      <c r="AF1990" s="6" t="s">
        <v>81</v>
      </c>
      <c r="AG1990" s="6" t="s">
        <v>81</v>
      </c>
      <c r="AH1990" s="6" t="s">
        <v>16540</v>
      </c>
      <c r="AI1990" s="6" t="s">
        <v>81</v>
      </c>
      <c r="AJ1990" s="6" t="s">
        <v>17618</v>
      </c>
      <c r="AK1990" s="6" t="s">
        <v>17712</v>
      </c>
      <c r="AL1990" s="6" t="s">
        <v>18444</v>
      </c>
      <c r="AM1990" s="6" t="s">
        <v>18786</v>
      </c>
      <c r="AN1990" s="6" t="s">
        <v>19645</v>
      </c>
      <c r="AO1990" s="6" t="s">
        <v>19770</v>
      </c>
      <c r="AP1990" s="6" t="s">
        <v>81</v>
      </c>
      <c r="AQ1990" s="6" t="s">
        <v>81</v>
      </c>
      <c r="AR1990" s="6" t="s">
        <v>81</v>
      </c>
      <c r="AS1990" s="6" t="s">
        <v>81</v>
      </c>
      <c r="AT1990" s="6" t="s">
        <v>81</v>
      </c>
      <c r="AU1990" s="6" t="s">
        <v>81</v>
      </c>
      <c r="AV1990" s="6" t="s">
        <v>81</v>
      </c>
      <c r="AW1990" s="6" t="s">
        <v>81</v>
      </c>
      <c r="AX1990" s="6" t="s">
        <v>22028</v>
      </c>
      <c r="AY1990" s="6" t="s">
        <v>81</v>
      </c>
      <c r="AZ1990" s="6" t="s">
        <v>81</v>
      </c>
      <c r="BA1990" s="6" t="s">
        <v>81</v>
      </c>
      <c r="BB1990" s="24" t="n">
        <v>163</v>
      </c>
      <c r="BC1990" s="26"/>
      <c r="BD1990" s="26"/>
      <c r="BE1990" s="26"/>
      <c r="BF1990" s="26" t="s">
        <v>23900</v>
      </c>
      <c r="BG1990" s="26"/>
      <c r="BH1990" s="26"/>
      <c r="BI1990" s="26"/>
      <c r="BJ1990" s="26"/>
      <c r="BK1990" s="26"/>
      <c r="BL1990" s="26"/>
      <c r="BM1990" s="26"/>
      <c r="BN1990" s="26"/>
      <c r="BO1990" s="26"/>
      <c r="BP1990" s="16" t="n">
        <v>45737</v>
      </c>
      <c r="BQ1990" s="28" t="str">
        <f>HYPERLINK("https://organic.ams.usda.gov/Integrity/Certificate.aspx?cid=31&amp;nopid=3928971469")</f>
        <v>https://organic.ams.usda.gov/Integrity/Certificate.aspx?cid=31&amp;nopid=3928971469</v>
      </c>
    </row>
    <row r="1991">
      <c r="A1991" t="s">
        <v>3</v>
      </c>
      <c r="B1991" s="6" t="s">
        <v>8</v>
      </c>
      <c r="C1991" s="6" t="s">
        <v>55</v>
      </c>
      <c r="D1991" s="6" t="s">
        <v>101</v>
      </c>
      <c r="E1991" s="10" t="s">
        <v>2132</v>
      </c>
      <c r="F1991" s="6" t="s">
        <v>4845</v>
      </c>
      <c r="G1991" s="6" t="s">
        <v>81</v>
      </c>
      <c r="H1991" s="6" t="s">
        <v>7712</v>
      </c>
      <c r="I1991" s="6" t="s">
        <v>8824</v>
      </c>
      <c r="J1991" s="6" t="s">
        <v>9677</v>
      </c>
      <c r="K1991" s="6" t="s">
        <v>10886</v>
      </c>
      <c r="L1991" s="16" t="n">
        <v>41103</v>
      </c>
      <c r="M1991" s="16" t="n">
        <v>45383</v>
      </c>
      <c r="N1991" s="6" t="s">
        <v>10886</v>
      </c>
      <c r="O1991" s="16" t="n">
        <v>41103</v>
      </c>
      <c r="P1991" s="6" t="s">
        <v>12055</v>
      </c>
      <c r="Q1991" s="6" t="s">
        <v>81</v>
      </c>
      <c r="R1991" s="6" t="s">
        <v>7712</v>
      </c>
      <c r="S1991" s="6" t="s">
        <v>10886</v>
      </c>
      <c r="T1991" s="16" t="n">
        <v>41103</v>
      </c>
      <c r="U1991" s="6" t="s">
        <v>13774</v>
      </c>
      <c r="V1991" s="6" t="s">
        <v>81</v>
      </c>
      <c r="W1991" s="6" t="s">
        <v>7712</v>
      </c>
      <c r="X1991" s="6" t="s">
        <v>81</v>
      </c>
      <c r="Y1991" s="21" t="s">
        <v>81</v>
      </c>
      <c r="Z1991" s="6" t="s">
        <v>81</v>
      </c>
      <c r="AA1991" s="6" t="s">
        <v>81</v>
      </c>
      <c r="AB1991" s="6" t="s">
        <v>81</v>
      </c>
      <c r="AC1991" s="6" t="s">
        <v>81</v>
      </c>
      <c r="AD1991" s="21" t="s">
        <v>81</v>
      </c>
      <c r="AE1991" s="6" t="s">
        <v>81</v>
      </c>
      <c r="AF1991" s="6" t="s">
        <v>81</v>
      </c>
      <c r="AG1991" s="6" t="s">
        <v>81</v>
      </c>
      <c r="AH1991" s="6" t="s">
        <v>16541</v>
      </c>
      <c r="AI1991" s="6" t="s">
        <v>81</v>
      </c>
      <c r="AJ1991" s="6" t="s">
        <v>17413</v>
      </c>
      <c r="AK1991" s="6" t="s">
        <v>18380</v>
      </c>
      <c r="AL1991" s="6" t="s">
        <v>18444</v>
      </c>
      <c r="AM1991" s="6" t="s">
        <v>18569</v>
      </c>
      <c r="AN1991" s="6" t="s">
        <v>19639</v>
      </c>
      <c r="AO1991" s="6" t="s">
        <v>19725</v>
      </c>
      <c r="AP1991" s="6" t="s">
        <v>16541</v>
      </c>
      <c r="AQ1991" s="6" t="s">
        <v>81</v>
      </c>
      <c r="AR1991" s="6" t="s">
        <v>17413</v>
      </c>
      <c r="AS1991" s="6" t="s">
        <v>18380</v>
      </c>
      <c r="AT1991" s="6" t="s">
        <v>18444</v>
      </c>
      <c r="AU1991" s="6" t="s">
        <v>18569</v>
      </c>
      <c r="AV1991" s="6" t="s">
        <v>81</v>
      </c>
      <c r="AW1991" s="6" t="s">
        <v>81</v>
      </c>
      <c r="AX1991" s="6" t="s">
        <v>81</v>
      </c>
      <c r="AY1991" s="6" t="s">
        <v>81</v>
      </c>
      <c r="AZ1991" s="6" t="s">
        <v>81</v>
      </c>
      <c r="BA1991" s="6" t="s">
        <v>23824</v>
      </c>
      <c r="BB1991" s="24" t="n">
        <v>72</v>
      </c>
      <c r="BC1991" s="26"/>
      <c r="BD1991" s="26"/>
      <c r="BE1991" s="26"/>
      <c r="BF1991" s="26" t="s">
        <v>23900</v>
      </c>
      <c r="BG1991" s="26"/>
      <c r="BH1991" s="26"/>
      <c r="BI1991" s="26"/>
      <c r="BJ1991" s="26"/>
      <c r="BK1991" s="26"/>
      <c r="BL1991" s="26"/>
      <c r="BM1991" s="26"/>
      <c r="BN1991" s="26"/>
      <c r="BO1991" s="26"/>
      <c r="BP1991" s="16" t="n">
        <v>45517</v>
      </c>
      <c r="BQ1991" s="28" t="str">
        <f>HYPERLINK("https://organic.ams.usda.gov/Integrity/Certificate.aspx?cid=45&amp;nopid=9950004796")</f>
        <v>https://organic.ams.usda.gov/Integrity/Certificate.aspx?cid=45&amp;nopid=9950004796</v>
      </c>
    </row>
    <row r="1992">
      <c r="A1992" t="s">
        <v>3</v>
      </c>
      <c r="B1992" s="6" t="s">
        <v>24</v>
      </c>
      <c r="C1992" s="6" t="s">
        <v>71</v>
      </c>
      <c r="D1992" s="6" t="s">
        <v>117</v>
      </c>
      <c r="E1992" s="10" t="s">
        <v>2133</v>
      </c>
      <c r="F1992" s="6" t="s">
        <v>4846</v>
      </c>
      <c r="G1992" s="6" t="s">
        <v>81</v>
      </c>
      <c r="H1992" s="6" t="s">
        <v>81</v>
      </c>
      <c r="I1992" s="6" t="s">
        <v>8987</v>
      </c>
      <c r="J1992" s="6" t="s">
        <v>10535</v>
      </c>
      <c r="K1992" s="6" t="s">
        <v>10886</v>
      </c>
      <c r="L1992" s="16" t="n">
        <v>45602</v>
      </c>
      <c r="M1992" s="16" t="n">
        <v>45822</v>
      </c>
      <c r="N1992" s="6" t="s">
        <v>81</v>
      </c>
      <c r="O1992" s="21" t="s">
        <v>81</v>
      </c>
      <c r="P1992" s="6" t="s">
        <v>81</v>
      </c>
      <c r="Q1992" s="6" t="s">
        <v>81</v>
      </c>
      <c r="R1992" s="6" t="s">
        <v>81</v>
      </c>
      <c r="S1992" s="6" t="s">
        <v>81</v>
      </c>
      <c r="T1992" s="21" t="s">
        <v>81</v>
      </c>
      <c r="U1992" s="6" t="s">
        <v>81</v>
      </c>
      <c r="V1992" s="6" t="s">
        <v>81</v>
      </c>
      <c r="W1992" s="6" t="s">
        <v>81</v>
      </c>
      <c r="X1992" s="6" t="s">
        <v>81</v>
      </c>
      <c r="Y1992" s="21" t="s">
        <v>81</v>
      </c>
      <c r="Z1992" s="6" t="s">
        <v>81</v>
      </c>
      <c r="AA1992" s="6" t="s">
        <v>81</v>
      </c>
      <c r="AB1992" s="6" t="s">
        <v>81</v>
      </c>
      <c r="AC1992" s="6" t="s">
        <v>10886</v>
      </c>
      <c r="AD1992" s="16" t="n">
        <v>45602</v>
      </c>
      <c r="AE1992" s="6" t="s">
        <v>14353</v>
      </c>
      <c r="AF1992" s="6" t="s">
        <v>81</v>
      </c>
      <c r="AG1992" s="6" t="s">
        <v>14581</v>
      </c>
      <c r="AH1992" s="6" t="s">
        <v>16542</v>
      </c>
      <c r="AI1992" s="6" t="s">
        <v>81</v>
      </c>
      <c r="AJ1992" s="6" t="s">
        <v>17614</v>
      </c>
      <c r="AK1992" s="6" t="s">
        <v>18398</v>
      </c>
      <c r="AL1992" s="6" t="s">
        <v>18444</v>
      </c>
      <c r="AM1992" s="6" t="s">
        <v>18782</v>
      </c>
      <c r="AN1992" s="6" t="s">
        <v>81</v>
      </c>
      <c r="AO1992" s="6" t="s">
        <v>81</v>
      </c>
      <c r="AP1992" s="6" t="s">
        <v>16542</v>
      </c>
      <c r="AQ1992" s="6" t="s">
        <v>81</v>
      </c>
      <c r="AR1992" s="6" t="s">
        <v>17614</v>
      </c>
      <c r="AS1992" s="6" t="s">
        <v>18398</v>
      </c>
      <c r="AT1992" s="6" t="s">
        <v>18444</v>
      </c>
      <c r="AU1992" s="6" t="s">
        <v>18782</v>
      </c>
      <c r="AV1992" s="6" t="s">
        <v>81</v>
      </c>
      <c r="AW1992" s="6" t="s">
        <v>81</v>
      </c>
      <c r="AX1992" s="6" t="s">
        <v>81</v>
      </c>
      <c r="AY1992" s="6" t="s">
        <v>23279</v>
      </c>
      <c r="AZ1992" s="6" t="s">
        <v>81</v>
      </c>
      <c r="BA1992" s="6" t="s">
        <v>81</v>
      </c>
      <c r="BB1992" s="6" t="s">
        <v>81</v>
      </c>
      <c r="BC1992" s="26"/>
      <c r="BD1992" s="26"/>
      <c r="BE1992" s="26"/>
      <c r="BF1992" s="26"/>
      <c r="BG1992" s="26"/>
      <c r="BH1992" s="26"/>
      <c r="BI1992" s="26"/>
      <c r="BJ1992" s="26"/>
      <c r="BK1992" s="26"/>
      <c r="BL1992" s="26"/>
      <c r="BM1992" s="26"/>
      <c r="BN1992" s="26"/>
      <c r="BO1992" s="26"/>
      <c r="BP1992" s="16" t="n">
        <v>45616</v>
      </c>
      <c r="BQ1992" s="28" t="str">
        <f>HYPERLINK("https://organic.ams.usda.gov/Integrity/Certificate.aspx?cid=1&amp;nopid=9092422802")</f>
        <v>https://organic.ams.usda.gov/Integrity/Certificate.aspx?cid=1&amp;nopid=9092422802</v>
      </c>
    </row>
    <row r="1993">
      <c r="A1993" t="s">
        <v>3</v>
      </c>
      <c r="B1993" s="6" t="s">
        <v>25</v>
      </c>
      <c r="C1993" s="6" t="s">
        <v>72</v>
      </c>
      <c r="D1993" s="6" t="s">
        <v>118</v>
      </c>
      <c r="E1993" s="10" t="s">
        <v>2134</v>
      </c>
      <c r="F1993" s="6" t="s">
        <v>4847</v>
      </c>
      <c r="G1993" s="6" t="s">
        <v>81</v>
      </c>
      <c r="H1993" s="6" t="s">
        <v>7713</v>
      </c>
      <c r="I1993" s="6" t="s">
        <v>9373</v>
      </c>
      <c r="J1993" s="6" t="s">
        <v>10536</v>
      </c>
      <c r="K1993" s="6" t="s">
        <v>10886</v>
      </c>
      <c r="L1993" s="16" t="n">
        <v>41339</v>
      </c>
      <c r="M1993" s="16" t="n">
        <v>46023</v>
      </c>
      <c r="N1993" s="6" t="s">
        <v>10886</v>
      </c>
      <c r="O1993" s="16" t="n">
        <v>41339</v>
      </c>
      <c r="P1993" s="6" t="s">
        <v>11031</v>
      </c>
      <c r="Q1993" s="6" t="s">
        <v>81</v>
      </c>
      <c r="R1993" s="6" t="s">
        <v>81</v>
      </c>
      <c r="S1993" s="6" t="s">
        <v>10886</v>
      </c>
      <c r="T1993" s="16" t="n">
        <v>42475</v>
      </c>
      <c r="U1993" s="6" t="s">
        <v>13775</v>
      </c>
      <c r="V1993" s="6" t="s">
        <v>81</v>
      </c>
      <c r="W1993" s="6" t="s">
        <v>81</v>
      </c>
      <c r="X1993" s="6" t="s">
        <v>81</v>
      </c>
      <c r="Y1993" s="21" t="s">
        <v>81</v>
      </c>
      <c r="Z1993" s="6" t="s">
        <v>81</v>
      </c>
      <c r="AA1993" s="6" t="s">
        <v>81</v>
      </c>
      <c r="AB1993" s="6" t="s">
        <v>81</v>
      </c>
      <c r="AC1993" s="6" t="s">
        <v>10886</v>
      </c>
      <c r="AD1993" s="16" t="n">
        <v>44734</v>
      </c>
      <c r="AE1993" s="6" t="s">
        <v>14055</v>
      </c>
      <c r="AF1993" s="6" t="s">
        <v>81</v>
      </c>
      <c r="AG1993" s="6" t="s">
        <v>81</v>
      </c>
      <c r="AH1993" s="6" t="s">
        <v>16543</v>
      </c>
      <c r="AI1993" s="6" t="s">
        <v>81</v>
      </c>
      <c r="AJ1993" s="6" t="s">
        <v>17421</v>
      </c>
      <c r="AK1993" s="6" t="s">
        <v>18386</v>
      </c>
      <c r="AL1993" s="6" t="s">
        <v>18444</v>
      </c>
      <c r="AM1993" s="6" t="s">
        <v>18872</v>
      </c>
      <c r="AN1993" s="6" t="s">
        <v>19672</v>
      </c>
      <c r="AO1993" s="6" t="s">
        <v>19787</v>
      </c>
      <c r="AP1993" s="6" t="s">
        <v>16543</v>
      </c>
      <c r="AQ1993" s="6" t="s">
        <v>81</v>
      </c>
      <c r="AR1993" s="6" t="s">
        <v>17421</v>
      </c>
      <c r="AS1993" s="6" t="s">
        <v>18386</v>
      </c>
      <c r="AT1993" s="6" t="s">
        <v>18444</v>
      </c>
      <c r="AU1993" s="6" t="s">
        <v>18872</v>
      </c>
      <c r="AV1993" s="6" t="s">
        <v>81</v>
      </c>
      <c r="AW1993" s="6" t="s">
        <v>81</v>
      </c>
      <c r="AX1993" s="6" t="s">
        <v>22029</v>
      </c>
      <c r="AY1993" s="6" t="s">
        <v>23280</v>
      </c>
      <c r="AZ1993" s="6" t="s">
        <v>81</v>
      </c>
      <c r="BA1993" s="6" t="s">
        <v>81</v>
      </c>
      <c r="BB1993" s="24" t="n">
        <v>661</v>
      </c>
      <c r="BC1993" s="26"/>
      <c r="BD1993" s="26"/>
      <c r="BE1993" s="26"/>
      <c r="BF1993" s="26"/>
      <c r="BG1993" s="26"/>
      <c r="BH1993" s="26"/>
      <c r="BI1993" s="26"/>
      <c r="BJ1993" s="26"/>
      <c r="BK1993" s="26"/>
      <c r="BL1993" s="26"/>
      <c r="BM1993" s="26"/>
      <c r="BN1993" s="26"/>
      <c r="BO1993" s="26"/>
      <c r="BP1993" s="16" t="n">
        <v>45667</v>
      </c>
      <c r="BQ1993" s="28" t="str">
        <f>HYPERLINK("https://organic.ams.usda.gov/Integrity/Certificate.aspx?cid=15&amp;nopid=5561001401")</f>
        <v>https://organic.ams.usda.gov/Integrity/Certificate.aspx?cid=15&amp;nopid=5561001401</v>
      </c>
    </row>
    <row r="1994">
      <c r="A1994" t="s">
        <v>3</v>
      </c>
      <c r="B1994" s="6" t="s">
        <v>25</v>
      </c>
      <c r="C1994" s="6" t="s">
        <v>72</v>
      </c>
      <c r="D1994" s="6" t="s">
        <v>118</v>
      </c>
      <c r="E1994" s="10" t="s">
        <v>2135</v>
      </c>
      <c r="F1994" s="6" t="s">
        <v>4848</v>
      </c>
      <c r="G1994" s="6" t="s">
        <v>81</v>
      </c>
      <c r="H1994" s="6" t="s">
        <v>7714</v>
      </c>
      <c r="I1994" s="6" t="s">
        <v>8552</v>
      </c>
      <c r="J1994" s="6" t="s">
        <v>10537</v>
      </c>
      <c r="K1994" s="6" t="s">
        <v>10886</v>
      </c>
      <c r="L1994" s="16" t="n">
        <v>42940</v>
      </c>
      <c r="M1994" s="16" t="n">
        <v>46023</v>
      </c>
      <c r="N1994" s="6" t="s">
        <v>81</v>
      </c>
      <c r="O1994" s="21" t="s">
        <v>81</v>
      </c>
      <c r="P1994" s="6" t="s">
        <v>81</v>
      </c>
      <c r="Q1994" s="6" t="s">
        <v>81</v>
      </c>
      <c r="R1994" s="6" t="s">
        <v>81</v>
      </c>
      <c r="S1994" s="6" t="s">
        <v>81</v>
      </c>
      <c r="T1994" s="21" t="s">
        <v>81</v>
      </c>
      <c r="U1994" s="6" t="s">
        <v>81</v>
      </c>
      <c r="V1994" s="6" t="s">
        <v>81</v>
      </c>
      <c r="W1994" s="6" t="s">
        <v>81</v>
      </c>
      <c r="X1994" s="6" t="s">
        <v>81</v>
      </c>
      <c r="Y1994" s="21" t="s">
        <v>81</v>
      </c>
      <c r="Z1994" s="6" t="s">
        <v>81</v>
      </c>
      <c r="AA1994" s="6" t="s">
        <v>81</v>
      </c>
      <c r="AB1994" s="6" t="s">
        <v>81</v>
      </c>
      <c r="AC1994" s="6" t="s">
        <v>10886</v>
      </c>
      <c r="AD1994" s="16" t="n">
        <v>42940</v>
      </c>
      <c r="AE1994" s="6" t="s">
        <v>14354</v>
      </c>
      <c r="AF1994" s="6" t="s">
        <v>81</v>
      </c>
      <c r="AG1994" s="6" t="s">
        <v>81</v>
      </c>
      <c r="AH1994" s="6" t="s">
        <v>16544</v>
      </c>
      <c r="AI1994" s="6" t="s">
        <v>81</v>
      </c>
      <c r="AJ1994" s="6" t="s">
        <v>18173</v>
      </c>
      <c r="AK1994" s="6" t="s">
        <v>18395</v>
      </c>
      <c r="AL1994" s="6" t="s">
        <v>18444</v>
      </c>
      <c r="AM1994" s="6" t="s">
        <v>19380</v>
      </c>
      <c r="AN1994" s="6" t="s">
        <v>19713</v>
      </c>
      <c r="AO1994" s="6" t="s">
        <v>20027</v>
      </c>
      <c r="AP1994" s="6" t="s">
        <v>20364</v>
      </c>
      <c r="AQ1994" s="6" t="s">
        <v>81</v>
      </c>
      <c r="AR1994" s="6" t="s">
        <v>20495</v>
      </c>
      <c r="AS1994" s="6" t="s">
        <v>18386</v>
      </c>
      <c r="AT1994" s="6" t="s">
        <v>18444</v>
      </c>
      <c r="AU1994" s="6" t="s">
        <v>20602</v>
      </c>
      <c r="AV1994" s="6" t="s">
        <v>81</v>
      </c>
      <c r="AW1994" s="6" t="s">
        <v>81</v>
      </c>
      <c r="AX1994" s="6" t="s">
        <v>22030</v>
      </c>
      <c r="AY1994" s="6" t="s">
        <v>23281</v>
      </c>
      <c r="AZ1994" s="6" t="s">
        <v>81</v>
      </c>
      <c r="BA1994" s="6" t="s">
        <v>23880</v>
      </c>
      <c r="BB1994" s="6" t="s">
        <v>81</v>
      </c>
      <c r="BC1994" s="26"/>
      <c r="BD1994" s="26"/>
      <c r="BE1994" s="26"/>
      <c r="BF1994" s="26"/>
      <c r="BG1994" s="26"/>
      <c r="BH1994" s="26"/>
      <c r="BI1994" s="26"/>
      <c r="BJ1994" s="26"/>
      <c r="BK1994" s="26"/>
      <c r="BL1994" s="26"/>
      <c r="BM1994" s="26"/>
      <c r="BN1994" s="26"/>
      <c r="BO1994" s="26"/>
      <c r="BP1994" s="16" t="n">
        <v>45667</v>
      </c>
      <c r="BQ1994" s="28" t="str">
        <f>HYPERLINK("https://organic.ams.usda.gov/Integrity/Certificate.aspx?cid=15&amp;nopid=5561004622")</f>
        <v>https://organic.ams.usda.gov/Integrity/Certificate.aspx?cid=15&amp;nopid=5561004622</v>
      </c>
    </row>
    <row r="1995">
      <c r="A1995" t="s">
        <v>3</v>
      </c>
      <c r="B1995" s="6" t="s">
        <v>25</v>
      </c>
      <c r="C1995" s="6" t="s">
        <v>72</v>
      </c>
      <c r="D1995" s="6" t="s">
        <v>118</v>
      </c>
      <c r="E1995" s="10" t="s">
        <v>2136</v>
      </c>
      <c r="F1995" s="6" t="s">
        <v>4849</v>
      </c>
      <c r="G1995" s="6" t="s">
        <v>5776</v>
      </c>
      <c r="H1995" s="6" t="s">
        <v>7715</v>
      </c>
      <c r="I1995" s="6" t="s">
        <v>8501</v>
      </c>
      <c r="J1995" s="6" t="s">
        <v>10538</v>
      </c>
      <c r="K1995" s="6" t="s">
        <v>10886</v>
      </c>
      <c r="L1995" s="16" t="n">
        <v>43608</v>
      </c>
      <c r="M1995" s="16" t="n">
        <v>46023</v>
      </c>
      <c r="N1995" s="6" t="s">
        <v>81</v>
      </c>
      <c r="O1995" s="21" t="s">
        <v>81</v>
      </c>
      <c r="P1995" s="6" t="s">
        <v>81</v>
      </c>
      <c r="Q1995" s="6" t="s">
        <v>81</v>
      </c>
      <c r="R1995" s="6" t="s">
        <v>81</v>
      </c>
      <c r="S1995" s="6" t="s">
        <v>81</v>
      </c>
      <c r="T1995" s="21" t="s">
        <v>81</v>
      </c>
      <c r="U1995" s="6" t="s">
        <v>81</v>
      </c>
      <c r="V1995" s="6" t="s">
        <v>81</v>
      </c>
      <c r="W1995" s="6" t="s">
        <v>81</v>
      </c>
      <c r="X1995" s="6" t="s">
        <v>81</v>
      </c>
      <c r="Y1995" s="21" t="s">
        <v>81</v>
      </c>
      <c r="Z1995" s="6" t="s">
        <v>81</v>
      </c>
      <c r="AA1995" s="6" t="s">
        <v>81</v>
      </c>
      <c r="AB1995" s="6" t="s">
        <v>81</v>
      </c>
      <c r="AC1995" s="6" t="s">
        <v>10886</v>
      </c>
      <c r="AD1995" s="16" t="n">
        <v>43608</v>
      </c>
      <c r="AE1995" s="6" t="s">
        <v>14355</v>
      </c>
      <c r="AF1995" s="6" t="s">
        <v>81</v>
      </c>
      <c r="AG1995" s="6" t="s">
        <v>81</v>
      </c>
      <c r="AH1995" s="6" t="s">
        <v>16545</v>
      </c>
      <c r="AI1995" s="6" t="s">
        <v>81</v>
      </c>
      <c r="AJ1995" s="6" t="s">
        <v>17359</v>
      </c>
      <c r="AK1995" s="6" t="s">
        <v>18386</v>
      </c>
      <c r="AL1995" s="6" t="s">
        <v>18444</v>
      </c>
      <c r="AM1995" s="6" t="s">
        <v>19381</v>
      </c>
      <c r="AN1995" s="6" t="s">
        <v>7450</v>
      </c>
      <c r="AO1995" s="6" t="s">
        <v>19749</v>
      </c>
      <c r="AP1995" s="6" t="s">
        <v>16545</v>
      </c>
      <c r="AQ1995" s="6" t="s">
        <v>81</v>
      </c>
      <c r="AR1995" s="6" t="s">
        <v>17359</v>
      </c>
      <c r="AS1995" s="6" t="s">
        <v>18386</v>
      </c>
      <c r="AT1995" s="6" t="s">
        <v>18444</v>
      </c>
      <c r="AU1995" s="6" t="s">
        <v>19381</v>
      </c>
      <c r="AV1995" s="6" t="s">
        <v>81</v>
      </c>
      <c r="AW1995" s="6" t="s">
        <v>81</v>
      </c>
      <c r="AX1995" s="6" t="s">
        <v>22031</v>
      </c>
      <c r="AY1995" s="6" t="s">
        <v>23282</v>
      </c>
      <c r="AZ1995" s="6" t="s">
        <v>23741</v>
      </c>
      <c r="BA1995" s="6" t="s">
        <v>23827</v>
      </c>
      <c r="BB1995" s="6" t="s">
        <v>81</v>
      </c>
      <c r="BC1995" s="26"/>
      <c r="BD1995" s="26"/>
      <c r="BE1995" s="26"/>
      <c r="BF1995" s="26"/>
      <c r="BG1995" s="26"/>
      <c r="BH1995" s="26"/>
      <c r="BI1995" s="26"/>
      <c r="BJ1995" s="26"/>
      <c r="BK1995" s="26"/>
      <c r="BL1995" s="26"/>
      <c r="BM1995" s="26"/>
      <c r="BN1995" s="26"/>
      <c r="BO1995" s="26"/>
      <c r="BP1995" s="16" t="n">
        <v>45736</v>
      </c>
      <c r="BQ1995" s="28" t="str">
        <f>HYPERLINK("https://organic.ams.usda.gov/Integrity/Certificate.aspx?cid=15&amp;nopid=5561005416")</f>
        <v>https://organic.ams.usda.gov/Integrity/Certificate.aspx?cid=15&amp;nopid=5561005416</v>
      </c>
    </row>
    <row r="1996">
      <c r="A1996" t="s">
        <v>3</v>
      </c>
      <c r="B1996" s="6" t="s">
        <v>8</v>
      </c>
      <c r="C1996" s="6" t="s">
        <v>55</v>
      </c>
      <c r="D1996" s="6" t="s">
        <v>101</v>
      </c>
      <c r="E1996" s="10" t="s">
        <v>2137</v>
      </c>
      <c r="F1996" s="6" t="s">
        <v>4850</v>
      </c>
      <c r="G1996" s="6" t="s">
        <v>5777</v>
      </c>
      <c r="H1996" s="6" t="s">
        <v>7716</v>
      </c>
      <c r="I1996" s="6" t="s">
        <v>8907</v>
      </c>
      <c r="J1996" s="6" t="s">
        <v>10539</v>
      </c>
      <c r="K1996" s="6" t="s">
        <v>10886</v>
      </c>
      <c r="L1996" s="16" t="n">
        <v>36374</v>
      </c>
      <c r="M1996" s="16" t="n">
        <v>45748</v>
      </c>
      <c r="N1996" s="6" t="s">
        <v>10886</v>
      </c>
      <c r="O1996" s="16" t="n">
        <v>36374</v>
      </c>
      <c r="P1996" s="6" t="s">
        <v>12056</v>
      </c>
      <c r="Q1996" s="6" t="s">
        <v>81</v>
      </c>
      <c r="R1996" s="6" t="s">
        <v>7716</v>
      </c>
      <c r="S1996" s="6" t="s">
        <v>10886</v>
      </c>
      <c r="T1996" s="16" t="n">
        <v>36374</v>
      </c>
      <c r="U1996" s="6" t="s">
        <v>13776</v>
      </c>
      <c r="V1996" s="6" t="s">
        <v>81</v>
      </c>
      <c r="W1996" s="6" t="s">
        <v>7716</v>
      </c>
      <c r="X1996" s="6" t="s">
        <v>81</v>
      </c>
      <c r="Y1996" s="21" t="s">
        <v>81</v>
      </c>
      <c r="Z1996" s="6" t="s">
        <v>81</v>
      </c>
      <c r="AA1996" s="6" t="s">
        <v>81</v>
      </c>
      <c r="AB1996" s="6" t="s">
        <v>81</v>
      </c>
      <c r="AC1996" s="6" t="s">
        <v>81</v>
      </c>
      <c r="AD1996" s="21" t="s">
        <v>81</v>
      </c>
      <c r="AE1996" s="6" t="s">
        <v>81</v>
      </c>
      <c r="AF1996" s="6" t="s">
        <v>81</v>
      </c>
      <c r="AG1996" s="6" t="s">
        <v>81</v>
      </c>
      <c r="AH1996" s="6" t="s">
        <v>16546</v>
      </c>
      <c r="AI1996" s="6" t="s">
        <v>81</v>
      </c>
      <c r="AJ1996" s="6" t="s">
        <v>17503</v>
      </c>
      <c r="AK1996" s="6" t="s">
        <v>18377</v>
      </c>
      <c r="AL1996" s="6" t="s">
        <v>18444</v>
      </c>
      <c r="AM1996" s="6" t="s">
        <v>18664</v>
      </c>
      <c r="AN1996" s="6" t="s">
        <v>19643</v>
      </c>
      <c r="AO1996" s="6" t="s">
        <v>19730</v>
      </c>
      <c r="AP1996" s="6" t="s">
        <v>20365</v>
      </c>
      <c r="AQ1996" s="6" t="s">
        <v>81</v>
      </c>
      <c r="AR1996" s="6" t="s">
        <v>17503</v>
      </c>
      <c r="AS1996" s="6" t="s">
        <v>18377</v>
      </c>
      <c r="AT1996" s="6" t="s">
        <v>18444</v>
      </c>
      <c r="AU1996" s="6" t="s">
        <v>18664</v>
      </c>
      <c r="AV1996" s="6" t="s">
        <v>81</v>
      </c>
      <c r="AW1996" s="6" t="s">
        <v>81</v>
      </c>
      <c r="AX1996" s="6" t="s">
        <v>22032</v>
      </c>
      <c r="AY1996" s="6" t="s">
        <v>23283</v>
      </c>
      <c r="AZ1996" s="6" t="s">
        <v>23742</v>
      </c>
      <c r="BA1996" s="6" t="s">
        <v>23824</v>
      </c>
      <c r="BB1996" s="24" t="n">
        <v>93</v>
      </c>
      <c r="BC1996" s="26"/>
      <c r="BD1996" s="26"/>
      <c r="BE1996" s="26"/>
      <c r="BF1996" s="26"/>
      <c r="BG1996" s="26"/>
      <c r="BH1996" s="26"/>
      <c r="BI1996" s="26"/>
      <c r="BJ1996" s="26"/>
      <c r="BK1996" s="26"/>
      <c r="BL1996" s="26"/>
      <c r="BM1996" s="26"/>
      <c r="BN1996" s="26"/>
      <c r="BO1996" s="26"/>
      <c r="BP1996" s="16" t="n">
        <v>45580</v>
      </c>
      <c r="BQ1996" s="28" t="str">
        <f>HYPERLINK("https://organic.ams.usda.gov/Integrity/Certificate.aspx?cid=45&amp;nopid=9950000232")</f>
        <v>https://organic.ams.usda.gov/Integrity/Certificate.aspx?cid=45&amp;nopid=9950000232</v>
      </c>
    </row>
    <row r="1997">
      <c r="A1997" t="s">
        <v>3</v>
      </c>
      <c r="B1997" s="6" t="s">
        <v>11</v>
      </c>
      <c r="C1997" s="6" t="s">
        <v>58</v>
      </c>
      <c r="D1997" s="6" t="s">
        <v>104</v>
      </c>
      <c r="E1997" s="10" t="s">
        <v>2138</v>
      </c>
      <c r="F1997" s="6" t="s">
        <v>4851</v>
      </c>
      <c r="G1997" s="6" t="s">
        <v>81</v>
      </c>
      <c r="H1997" s="6" t="s">
        <v>81</v>
      </c>
      <c r="I1997" s="6" t="s">
        <v>8787</v>
      </c>
      <c r="J1997" s="6" t="s">
        <v>10540</v>
      </c>
      <c r="K1997" s="6" t="s">
        <v>10886</v>
      </c>
      <c r="L1997" s="16" t="n">
        <v>41179</v>
      </c>
      <c r="M1997" s="16" t="n">
        <v>45748</v>
      </c>
      <c r="N1997" s="6" t="s">
        <v>10886</v>
      </c>
      <c r="O1997" s="16" t="n">
        <v>41179</v>
      </c>
      <c r="P1997" s="6" t="s">
        <v>12057</v>
      </c>
      <c r="Q1997" s="6" t="s">
        <v>81</v>
      </c>
      <c r="R1997" s="6" t="s">
        <v>81</v>
      </c>
      <c r="S1997" s="6" t="s">
        <v>10886</v>
      </c>
      <c r="T1997" s="16" t="n">
        <v>41988</v>
      </c>
      <c r="U1997" s="6" t="s">
        <v>13442</v>
      </c>
      <c r="V1997" s="6" t="s">
        <v>81</v>
      </c>
      <c r="W1997" s="6" t="s">
        <v>81</v>
      </c>
      <c r="X1997" s="6" t="s">
        <v>81</v>
      </c>
      <c r="Y1997" s="21" t="s">
        <v>81</v>
      </c>
      <c r="Z1997" s="6" t="s">
        <v>81</v>
      </c>
      <c r="AA1997" s="6" t="s">
        <v>81</v>
      </c>
      <c r="AB1997" s="6" t="s">
        <v>81</v>
      </c>
      <c r="AC1997" s="6" t="s">
        <v>81</v>
      </c>
      <c r="AD1997" s="21" t="s">
        <v>81</v>
      </c>
      <c r="AE1997" s="6" t="s">
        <v>81</v>
      </c>
      <c r="AF1997" s="6" t="s">
        <v>81</v>
      </c>
      <c r="AG1997" s="6" t="s">
        <v>81</v>
      </c>
      <c r="AH1997" s="6" t="s">
        <v>16547</v>
      </c>
      <c r="AI1997" s="6" t="s">
        <v>81</v>
      </c>
      <c r="AJ1997" s="6" t="s">
        <v>18174</v>
      </c>
      <c r="AK1997" s="6" t="s">
        <v>18381</v>
      </c>
      <c r="AL1997" s="6" t="s">
        <v>18444</v>
      </c>
      <c r="AM1997" s="6" t="s">
        <v>19382</v>
      </c>
      <c r="AN1997" s="6" t="s">
        <v>19706</v>
      </c>
      <c r="AO1997" s="6" t="s">
        <v>20036</v>
      </c>
      <c r="AP1997" s="6" t="s">
        <v>16547</v>
      </c>
      <c r="AQ1997" s="6" t="s">
        <v>81</v>
      </c>
      <c r="AR1997" s="6" t="s">
        <v>18174</v>
      </c>
      <c r="AS1997" s="6" t="s">
        <v>18381</v>
      </c>
      <c r="AT1997" s="6" t="s">
        <v>18444</v>
      </c>
      <c r="AU1997" s="6" t="s">
        <v>19382</v>
      </c>
      <c r="AV1997" s="6" t="s">
        <v>81</v>
      </c>
      <c r="AW1997" s="6" t="s">
        <v>81</v>
      </c>
      <c r="AX1997" s="6" t="s">
        <v>22033</v>
      </c>
      <c r="AY1997" s="6" t="s">
        <v>81</v>
      </c>
      <c r="AZ1997" s="6" t="s">
        <v>81</v>
      </c>
      <c r="BA1997" s="6" t="s">
        <v>81</v>
      </c>
      <c r="BB1997" s="24" t="n">
        <v>373</v>
      </c>
      <c r="BC1997" s="26"/>
      <c r="BD1997" s="26"/>
      <c r="BE1997" s="26"/>
      <c r="BF1997" s="26"/>
      <c r="BG1997" s="26"/>
      <c r="BH1997" s="26"/>
      <c r="BI1997" s="26"/>
      <c r="BJ1997" s="26"/>
      <c r="BK1997" s="26"/>
      <c r="BL1997" s="26"/>
      <c r="BM1997" s="26"/>
      <c r="BN1997" s="26"/>
      <c r="BO1997" s="26"/>
      <c r="BP1997" s="16" t="n">
        <v>45653</v>
      </c>
      <c r="BQ1997" s="28" t="str">
        <f>HYPERLINK("https://organic.ams.usda.gov/Integrity/Certificate.aspx?cid=46&amp;nopid=3671200014")</f>
        <v>https://organic.ams.usda.gov/Integrity/Certificate.aspx?cid=46&amp;nopid=3671200014</v>
      </c>
    </row>
    <row r="1998">
      <c r="A1998" t="s">
        <v>3</v>
      </c>
      <c r="B1998" s="6" t="s">
        <v>8</v>
      </c>
      <c r="C1998" s="6" t="s">
        <v>55</v>
      </c>
      <c r="D1998" s="6" t="s">
        <v>101</v>
      </c>
      <c r="E1998" s="10" t="s">
        <v>2139</v>
      </c>
      <c r="F1998" s="6" t="s">
        <v>4852</v>
      </c>
      <c r="G1998" s="6" t="s">
        <v>81</v>
      </c>
      <c r="H1998" s="6" t="s">
        <v>7717</v>
      </c>
      <c r="I1998" s="6" t="s">
        <v>8707</v>
      </c>
      <c r="J1998" s="6" t="s">
        <v>9976</v>
      </c>
      <c r="K1998" s="6" t="s">
        <v>10886</v>
      </c>
      <c r="L1998" s="16" t="n">
        <v>41026</v>
      </c>
      <c r="M1998" s="18" t="s">
        <v>81</v>
      </c>
      <c r="N1998" s="6" t="s">
        <v>10886</v>
      </c>
      <c r="O1998" s="16" t="n">
        <v>41026</v>
      </c>
      <c r="P1998" s="6" t="s">
        <v>12058</v>
      </c>
      <c r="Q1998" s="6" t="s">
        <v>81</v>
      </c>
      <c r="R1998" s="6" t="s">
        <v>81</v>
      </c>
      <c r="S1998" s="6" t="s">
        <v>10886</v>
      </c>
      <c r="T1998" s="16" t="n">
        <v>41026</v>
      </c>
      <c r="U1998" s="6" t="s">
        <v>13777</v>
      </c>
      <c r="V1998" s="6" t="s">
        <v>81</v>
      </c>
      <c r="W1998" s="6" t="s">
        <v>81</v>
      </c>
      <c r="X1998" s="6" t="s">
        <v>81</v>
      </c>
      <c r="Y1998" s="21" t="s">
        <v>81</v>
      </c>
      <c r="Z1998" s="6" t="s">
        <v>81</v>
      </c>
      <c r="AA1998" s="6" t="s">
        <v>81</v>
      </c>
      <c r="AB1998" s="6" t="s">
        <v>81</v>
      </c>
      <c r="AC1998" s="6" t="s">
        <v>81</v>
      </c>
      <c r="AD1998" s="21" t="s">
        <v>81</v>
      </c>
      <c r="AE1998" s="6" t="s">
        <v>81</v>
      </c>
      <c r="AF1998" s="6" t="s">
        <v>81</v>
      </c>
      <c r="AG1998" s="6" t="s">
        <v>81</v>
      </c>
      <c r="AH1998" s="6" t="s">
        <v>16548</v>
      </c>
      <c r="AI1998" s="6" t="s">
        <v>81</v>
      </c>
      <c r="AJ1998" s="6" t="s">
        <v>17377</v>
      </c>
      <c r="AK1998" s="6" t="s">
        <v>18377</v>
      </c>
      <c r="AL1998" s="6" t="s">
        <v>18444</v>
      </c>
      <c r="AM1998" s="6" t="s">
        <v>18530</v>
      </c>
      <c r="AN1998" s="6" t="s">
        <v>19634</v>
      </c>
      <c r="AO1998" s="6" t="s">
        <v>19764</v>
      </c>
      <c r="AP1998" s="6" t="s">
        <v>81</v>
      </c>
      <c r="AQ1998" s="6" t="s">
        <v>81</v>
      </c>
      <c r="AR1998" s="6" t="s">
        <v>81</v>
      </c>
      <c r="AS1998" s="6" t="s">
        <v>81</v>
      </c>
      <c r="AT1998" s="6" t="s">
        <v>81</v>
      </c>
      <c r="AU1998" s="6" t="s">
        <v>81</v>
      </c>
      <c r="AV1998" s="6" t="s">
        <v>81</v>
      </c>
      <c r="AW1998" s="6" t="s">
        <v>81</v>
      </c>
      <c r="AX1998" s="6" t="s">
        <v>81</v>
      </c>
      <c r="AY1998" s="6" t="s">
        <v>81</v>
      </c>
      <c r="AZ1998" s="6" t="s">
        <v>81</v>
      </c>
      <c r="BA1998" s="6" t="s">
        <v>81</v>
      </c>
      <c r="BB1998" s="24" t="n">
        <v>55</v>
      </c>
      <c r="BC1998" s="26"/>
      <c r="BD1998" s="26"/>
      <c r="BE1998" s="26"/>
      <c r="BF1998" s="26"/>
      <c r="BG1998" s="26"/>
      <c r="BH1998" s="26"/>
      <c r="BI1998" s="26"/>
      <c r="BJ1998" s="26"/>
      <c r="BK1998" s="26"/>
      <c r="BL1998" s="26"/>
      <c r="BM1998" s="26"/>
      <c r="BN1998" s="26"/>
      <c r="BO1998" s="26"/>
      <c r="BP1998" s="16" t="n">
        <v>45292</v>
      </c>
      <c r="BQ1998" s="28" t="str">
        <f>HYPERLINK("https://organic.ams.usda.gov/Integrity/Certificate.aspx?cid=45&amp;nopid=9950004802")</f>
        <v>https://organic.ams.usda.gov/Integrity/Certificate.aspx?cid=45&amp;nopid=9950004802</v>
      </c>
    </row>
    <row r="1999">
      <c r="A1999" t="s">
        <v>3</v>
      </c>
      <c r="B1999" s="6" t="s">
        <v>6</v>
      </c>
      <c r="C1999" s="6" t="s">
        <v>53</v>
      </c>
      <c r="D1999" s="6" t="s">
        <v>99</v>
      </c>
      <c r="E1999" s="10" t="s">
        <v>2140</v>
      </c>
      <c r="F1999" s="6" t="s">
        <v>4853</v>
      </c>
      <c r="G1999" s="6" t="s">
        <v>81</v>
      </c>
      <c r="H1999" s="6" t="s">
        <v>7718</v>
      </c>
      <c r="I1999" s="6" t="s">
        <v>9374</v>
      </c>
      <c r="J1999" s="6" t="s">
        <v>9920</v>
      </c>
      <c r="K1999" s="6" t="s">
        <v>10886</v>
      </c>
      <c r="L1999" s="16" t="n">
        <v>42370</v>
      </c>
      <c r="M1999" s="16" t="n">
        <v>45695</v>
      </c>
      <c r="N1999" s="6" t="s">
        <v>10886</v>
      </c>
      <c r="O1999" s="16" t="n">
        <v>42370</v>
      </c>
      <c r="P1999" s="6" t="s">
        <v>12059</v>
      </c>
      <c r="Q1999" s="6" t="s">
        <v>81</v>
      </c>
      <c r="R1999" s="6" t="s">
        <v>12995</v>
      </c>
      <c r="S1999" s="6" t="s">
        <v>81</v>
      </c>
      <c r="T1999" s="21" t="s">
        <v>81</v>
      </c>
      <c r="U1999" s="6" t="s">
        <v>81</v>
      </c>
      <c r="V1999" s="6" t="s">
        <v>81</v>
      </c>
      <c r="W1999" s="6" t="s">
        <v>81</v>
      </c>
      <c r="X1999" s="6" t="s">
        <v>81</v>
      </c>
      <c r="Y1999" s="21" t="s">
        <v>81</v>
      </c>
      <c r="Z1999" s="6" t="s">
        <v>81</v>
      </c>
      <c r="AA1999" s="6" t="s">
        <v>81</v>
      </c>
      <c r="AB1999" s="6" t="s">
        <v>81</v>
      </c>
      <c r="AC1999" s="6" t="s">
        <v>10886</v>
      </c>
      <c r="AD1999" s="16" t="n">
        <v>42370</v>
      </c>
      <c r="AE1999" s="6" t="s">
        <v>14356</v>
      </c>
      <c r="AF1999" s="6" t="s">
        <v>81</v>
      </c>
      <c r="AG1999" s="6" t="s">
        <v>14582</v>
      </c>
      <c r="AH1999" s="6" t="s">
        <v>16549</v>
      </c>
      <c r="AI1999" s="6" t="s">
        <v>81</v>
      </c>
      <c r="AJ1999" s="6" t="s">
        <v>18175</v>
      </c>
      <c r="AK1999" s="6" t="s">
        <v>18433</v>
      </c>
      <c r="AL1999" s="6" t="s">
        <v>9834</v>
      </c>
      <c r="AM1999" s="6" t="s">
        <v>19383</v>
      </c>
      <c r="AN1999" s="6" t="s">
        <v>81</v>
      </c>
      <c r="AO1999" s="6" t="s">
        <v>81</v>
      </c>
      <c r="AP1999" s="6" t="s">
        <v>81</v>
      </c>
      <c r="AQ1999" s="6" t="s">
        <v>81</v>
      </c>
      <c r="AR1999" s="6" t="s">
        <v>81</v>
      </c>
      <c r="AS1999" s="6" t="s">
        <v>81</v>
      </c>
      <c r="AT1999" s="6" t="s">
        <v>81</v>
      </c>
      <c r="AU1999" s="6" t="s">
        <v>81</v>
      </c>
      <c r="AV1999" s="6" t="s">
        <v>81</v>
      </c>
      <c r="AW1999" s="6" t="s">
        <v>81</v>
      </c>
      <c r="AX1999" s="6" t="s">
        <v>22034</v>
      </c>
      <c r="AY1999" s="6" t="s">
        <v>23284</v>
      </c>
      <c r="AZ1999" s="6" t="s">
        <v>81</v>
      </c>
      <c r="BA1999" s="6" t="s">
        <v>81</v>
      </c>
      <c r="BB1999" s="24" t="n">
        <v>15</v>
      </c>
      <c r="BC1999" s="26"/>
      <c r="BD1999" s="26"/>
      <c r="BE1999" s="26"/>
      <c r="BF1999" s="26"/>
      <c r="BG1999" s="26"/>
      <c r="BH1999" s="26"/>
      <c r="BI1999" s="26"/>
      <c r="BJ1999" s="26"/>
      <c r="BK1999" s="26"/>
      <c r="BL1999" s="26"/>
      <c r="BM1999" s="26"/>
      <c r="BN1999" s="26"/>
      <c r="BO1999" s="26"/>
      <c r="BP1999" s="16" t="n">
        <v>45737</v>
      </c>
      <c r="BQ1999" s="28" t="str">
        <f>HYPERLINK("https://organic.ams.usda.gov/Integrity/Certificate.aspx?cid=32&amp;nopid=2230004122")</f>
        <v>https://organic.ams.usda.gov/Integrity/Certificate.aspx?cid=32&amp;nopid=2230004122</v>
      </c>
    </row>
    <row r="2000">
      <c r="A2000" t="s">
        <v>3</v>
      </c>
      <c r="B2000" s="6" t="s">
        <v>11</v>
      </c>
      <c r="C2000" s="6" t="s">
        <v>58</v>
      </c>
      <c r="D2000" s="6" t="s">
        <v>104</v>
      </c>
      <c r="E2000" s="10" t="s">
        <v>2141</v>
      </c>
      <c r="F2000" s="6" t="s">
        <v>4854</v>
      </c>
      <c r="G2000" s="6" t="s">
        <v>81</v>
      </c>
      <c r="H2000" s="6" t="s">
        <v>81</v>
      </c>
      <c r="I2000" s="6" t="s">
        <v>8744</v>
      </c>
      <c r="J2000" s="6" t="s">
        <v>9742</v>
      </c>
      <c r="K2000" s="6" t="s">
        <v>10886</v>
      </c>
      <c r="L2000" s="16" t="n">
        <v>43545</v>
      </c>
      <c r="M2000" s="16" t="n">
        <v>45383</v>
      </c>
      <c r="N2000" s="6" t="s">
        <v>10886</v>
      </c>
      <c r="O2000" s="16" t="n">
        <v>43545</v>
      </c>
      <c r="P2000" s="6" t="s">
        <v>12060</v>
      </c>
      <c r="Q2000" s="6" t="s">
        <v>81</v>
      </c>
      <c r="R2000" s="6" t="s">
        <v>81</v>
      </c>
      <c r="S2000" s="6" t="s">
        <v>10886</v>
      </c>
      <c r="T2000" s="16" t="n">
        <v>43545</v>
      </c>
      <c r="U2000" s="6" t="s">
        <v>13778</v>
      </c>
      <c r="V2000" s="6" t="s">
        <v>81</v>
      </c>
      <c r="W2000" s="6" t="s">
        <v>81</v>
      </c>
      <c r="X2000" s="6" t="s">
        <v>81</v>
      </c>
      <c r="Y2000" s="21" t="s">
        <v>81</v>
      </c>
      <c r="Z2000" s="6" t="s">
        <v>81</v>
      </c>
      <c r="AA2000" s="6" t="s">
        <v>81</v>
      </c>
      <c r="AB2000" s="6" t="s">
        <v>81</v>
      </c>
      <c r="AC2000" s="6" t="s">
        <v>81</v>
      </c>
      <c r="AD2000" s="21" t="s">
        <v>81</v>
      </c>
      <c r="AE2000" s="6" t="s">
        <v>81</v>
      </c>
      <c r="AF2000" s="6" t="s">
        <v>81</v>
      </c>
      <c r="AG2000" s="6" t="s">
        <v>81</v>
      </c>
      <c r="AH2000" s="6" t="s">
        <v>16550</v>
      </c>
      <c r="AI2000" s="6" t="s">
        <v>81</v>
      </c>
      <c r="AJ2000" s="6" t="s">
        <v>17737</v>
      </c>
      <c r="AK2000" s="6" t="s">
        <v>18381</v>
      </c>
      <c r="AL2000" s="6" t="s">
        <v>18444</v>
      </c>
      <c r="AM2000" s="6" t="s">
        <v>18905</v>
      </c>
      <c r="AN2000" s="6" t="s">
        <v>19663</v>
      </c>
      <c r="AO2000" s="6" t="s">
        <v>19763</v>
      </c>
      <c r="AP2000" s="6" t="s">
        <v>16550</v>
      </c>
      <c r="AQ2000" s="6" t="s">
        <v>81</v>
      </c>
      <c r="AR2000" s="6" t="s">
        <v>17737</v>
      </c>
      <c r="AS2000" s="6" t="s">
        <v>18381</v>
      </c>
      <c r="AT2000" s="6" t="s">
        <v>18444</v>
      </c>
      <c r="AU2000" s="6" t="s">
        <v>18905</v>
      </c>
      <c r="AV2000" s="6" t="s">
        <v>81</v>
      </c>
      <c r="AW2000" s="6" t="s">
        <v>81</v>
      </c>
      <c r="AX2000" s="6" t="s">
        <v>81</v>
      </c>
      <c r="AY2000" s="6" t="s">
        <v>81</v>
      </c>
      <c r="AZ2000" s="6" t="s">
        <v>81</v>
      </c>
      <c r="BA2000" s="6" t="s">
        <v>23825</v>
      </c>
      <c r="BB2000" s="24" t="n">
        <v>168</v>
      </c>
      <c r="BC2000" s="26"/>
      <c r="BD2000" s="26"/>
      <c r="BE2000" s="26"/>
      <c r="BF2000" s="26"/>
      <c r="BG2000" s="26"/>
      <c r="BH2000" s="26"/>
      <c r="BI2000" s="26"/>
      <c r="BJ2000" s="26"/>
      <c r="BK2000" s="26"/>
      <c r="BL2000" s="26"/>
      <c r="BM2000" s="26"/>
      <c r="BN2000" s="26"/>
      <c r="BO2000" s="26"/>
      <c r="BP2000" s="16" t="n">
        <v>45708</v>
      </c>
      <c r="BQ2000" s="28" t="str">
        <f>HYPERLINK("https://organic.ams.usda.gov/Integrity/Certificate.aspx?cid=46&amp;nopid=3671900011")</f>
        <v>https://organic.ams.usda.gov/Integrity/Certificate.aspx?cid=46&amp;nopid=3671900011</v>
      </c>
    </row>
    <row r="2001">
      <c r="A2001" t="s">
        <v>3</v>
      </c>
      <c r="B2001" s="6" t="s">
        <v>29</v>
      </c>
      <c r="C2001" s="6" t="s">
        <v>76</v>
      </c>
      <c r="D2001" s="6" t="s">
        <v>122</v>
      </c>
      <c r="E2001" s="10" t="s">
        <v>2142</v>
      </c>
      <c r="F2001" s="6" t="s">
        <v>4855</v>
      </c>
      <c r="G2001" s="6" t="s">
        <v>81</v>
      </c>
      <c r="H2001" s="6" t="s">
        <v>7719</v>
      </c>
      <c r="I2001" s="6" t="s">
        <v>9375</v>
      </c>
      <c r="J2001" s="6" t="s">
        <v>9733</v>
      </c>
      <c r="K2001" s="6" t="s">
        <v>10886</v>
      </c>
      <c r="L2001" s="16" t="n">
        <v>45588</v>
      </c>
      <c r="M2001" s="16" t="n">
        <v>45870</v>
      </c>
      <c r="N2001" s="6" t="s">
        <v>10886</v>
      </c>
      <c r="O2001" s="16" t="n">
        <v>45588</v>
      </c>
      <c r="P2001" s="6" t="s">
        <v>12061</v>
      </c>
      <c r="Q2001" s="6" t="s">
        <v>81</v>
      </c>
      <c r="R2001" s="6" t="s">
        <v>12996</v>
      </c>
      <c r="S2001" s="6" t="s">
        <v>10886</v>
      </c>
      <c r="T2001" s="16" t="n">
        <v>45704</v>
      </c>
      <c r="U2001" s="6" t="s">
        <v>13366</v>
      </c>
      <c r="V2001" s="6" t="s">
        <v>81</v>
      </c>
      <c r="W2001" s="6" t="s">
        <v>12996</v>
      </c>
      <c r="X2001" s="6" t="s">
        <v>81</v>
      </c>
      <c r="Y2001" s="21" t="s">
        <v>81</v>
      </c>
      <c r="Z2001" s="6" t="s">
        <v>81</v>
      </c>
      <c r="AA2001" s="6" t="s">
        <v>81</v>
      </c>
      <c r="AB2001" s="6" t="s">
        <v>81</v>
      </c>
      <c r="AC2001" s="6" t="s">
        <v>81</v>
      </c>
      <c r="AD2001" s="21" t="s">
        <v>81</v>
      </c>
      <c r="AE2001" s="6" t="s">
        <v>81</v>
      </c>
      <c r="AF2001" s="6" t="s">
        <v>81</v>
      </c>
      <c r="AG2001" s="6" t="s">
        <v>81</v>
      </c>
      <c r="AH2001" s="6" t="s">
        <v>16551</v>
      </c>
      <c r="AI2001" s="6" t="s">
        <v>81</v>
      </c>
      <c r="AJ2001" s="6" t="s">
        <v>18176</v>
      </c>
      <c r="AK2001" s="6" t="s">
        <v>8428</v>
      </c>
      <c r="AL2001" s="6" t="s">
        <v>18444</v>
      </c>
      <c r="AM2001" s="6" t="s">
        <v>19384</v>
      </c>
      <c r="AN2001" s="6" t="s">
        <v>81</v>
      </c>
      <c r="AO2001" s="6" t="s">
        <v>81</v>
      </c>
      <c r="AP2001" s="6" t="s">
        <v>81</v>
      </c>
      <c r="AQ2001" s="6" t="s">
        <v>81</v>
      </c>
      <c r="AR2001" s="6" t="s">
        <v>81</v>
      </c>
      <c r="AS2001" s="6" t="s">
        <v>81</v>
      </c>
      <c r="AT2001" s="6" t="s">
        <v>81</v>
      </c>
      <c r="AU2001" s="6" t="s">
        <v>81</v>
      </c>
      <c r="AV2001" s="6" t="s">
        <v>81</v>
      </c>
      <c r="AW2001" s="6" t="s">
        <v>81</v>
      </c>
      <c r="AX2001" s="6" t="s">
        <v>81</v>
      </c>
      <c r="AY2001" s="6" t="s">
        <v>81</v>
      </c>
      <c r="AZ2001" s="6" t="s">
        <v>81</v>
      </c>
      <c r="BA2001" s="6" t="s">
        <v>81</v>
      </c>
      <c r="BB2001" s="24" t="n">
        <v>49</v>
      </c>
      <c r="BC2001" s="26"/>
      <c r="BD2001" s="26"/>
      <c r="BE2001" s="26"/>
      <c r="BF2001" s="26" t="s">
        <v>23900</v>
      </c>
      <c r="BG2001" s="26"/>
      <c r="BH2001" s="26"/>
      <c r="BI2001" s="26"/>
      <c r="BJ2001" s="26"/>
      <c r="BK2001" s="26"/>
      <c r="BL2001" s="26"/>
      <c r="BM2001" s="26"/>
      <c r="BN2001" s="26"/>
      <c r="BO2001" s="26"/>
      <c r="BP2001" s="16" t="n">
        <v>45737</v>
      </c>
      <c r="BQ2001" s="28" t="str">
        <f>HYPERLINK("https://organic.ams.usda.gov/Integrity/Certificate.aspx?cid=31&amp;nopid=3928972459")</f>
        <v>https://organic.ams.usda.gov/Integrity/Certificate.aspx?cid=31&amp;nopid=3928972459</v>
      </c>
    </row>
    <row r="2002">
      <c r="A2002" t="s">
        <v>3</v>
      </c>
      <c r="B2002" s="6" t="s">
        <v>8</v>
      </c>
      <c r="C2002" s="6" t="s">
        <v>55</v>
      </c>
      <c r="D2002" s="6" t="s">
        <v>101</v>
      </c>
      <c r="E2002" s="10" t="s">
        <v>2143</v>
      </c>
      <c r="F2002" s="6" t="s">
        <v>4856</v>
      </c>
      <c r="G2002" s="6" t="s">
        <v>5778</v>
      </c>
      <c r="H2002" s="6" t="s">
        <v>7720</v>
      </c>
      <c r="I2002" s="6" t="s">
        <v>8514</v>
      </c>
      <c r="J2002" s="6" t="s">
        <v>10541</v>
      </c>
      <c r="K2002" s="6" t="s">
        <v>10886</v>
      </c>
      <c r="L2002" s="16" t="n">
        <v>40140</v>
      </c>
      <c r="M2002" s="16" t="n">
        <v>45748</v>
      </c>
      <c r="N2002" s="6" t="s">
        <v>10886</v>
      </c>
      <c r="O2002" s="16" t="n">
        <v>40140</v>
      </c>
      <c r="P2002" s="6" t="s">
        <v>12062</v>
      </c>
      <c r="Q2002" s="6" t="s">
        <v>81</v>
      </c>
      <c r="R2002" s="6" t="s">
        <v>7720</v>
      </c>
      <c r="S2002" s="6" t="s">
        <v>10886</v>
      </c>
      <c r="T2002" s="16" t="n">
        <v>40140</v>
      </c>
      <c r="U2002" s="6" t="s">
        <v>13779</v>
      </c>
      <c r="V2002" s="6" t="s">
        <v>81</v>
      </c>
      <c r="W2002" s="6" t="s">
        <v>7720</v>
      </c>
      <c r="X2002" s="6" t="s">
        <v>81</v>
      </c>
      <c r="Y2002" s="21" t="s">
        <v>81</v>
      </c>
      <c r="Z2002" s="6" t="s">
        <v>81</v>
      </c>
      <c r="AA2002" s="6" t="s">
        <v>81</v>
      </c>
      <c r="AB2002" s="6" t="s">
        <v>81</v>
      </c>
      <c r="AC2002" s="6" t="s">
        <v>81</v>
      </c>
      <c r="AD2002" s="21" t="s">
        <v>81</v>
      </c>
      <c r="AE2002" s="6" t="s">
        <v>81</v>
      </c>
      <c r="AF2002" s="6" t="s">
        <v>81</v>
      </c>
      <c r="AG2002" s="6" t="s">
        <v>81</v>
      </c>
      <c r="AH2002" s="6" t="s">
        <v>16552</v>
      </c>
      <c r="AI2002" s="6" t="s">
        <v>81</v>
      </c>
      <c r="AJ2002" s="6" t="s">
        <v>17678</v>
      </c>
      <c r="AK2002" s="6" t="s">
        <v>18377</v>
      </c>
      <c r="AL2002" s="6" t="s">
        <v>18444</v>
      </c>
      <c r="AM2002" s="6" t="s">
        <v>18844</v>
      </c>
      <c r="AN2002" s="6" t="s">
        <v>19665</v>
      </c>
      <c r="AO2002" s="6" t="s">
        <v>19898</v>
      </c>
      <c r="AP2002" s="6" t="s">
        <v>81</v>
      </c>
      <c r="AQ2002" s="6" t="s">
        <v>81</v>
      </c>
      <c r="AR2002" s="6" t="s">
        <v>81</v>
      </c>
      <c r="AS2002" s="6" t="s">
        <v>81</v>
      </c>
      <c r="AT2002" s="6" t="s">
        <v>81</v>
      </c>
      <c r="AU2002" s="6" t="s">
        <v>81</v>
      </c>
      <c r="AV2002" s="6" t="s">
        <v>81</v>
      </c>
      <c r="AW2002" s="6" t="s">
        <v>81</v>
      </c>
      <c r="AX2002" s="6" t="s">
        <v>81</v>
      </c>
      <c r="AY2002" s="6" t="s">
        <v>23285</v>
      </c>
      <c r="AZ2002" s="6" t="s">
        <v>81</v>
      </c>
      <c r="BA2002" s="6" t="s">
        <v>23824</v>
      </c>
      <c r="BB2002" s="24" t="n">
        <v>997</v>
      </c>
      <c r="BC2002" s="26"/>
      <c r="BD2002" s="26"/>
      <c r="BE2002" s="26"/>
      <c r="BF2002" s="26" t="s">
        <v>23900</v>
      </c>
      <c r="BG2002" s="26"/>
      <c r="BH2002" s="26"/>
      <c r="BI2002" s="26"/>
      <c r="BJ2002" s="26"/>
      <c r="BK2002" s="26"/>
      <c r="BL2002" s="26"/>
      <c r="BM2002" s="26"/>
      <c r="BN2002" s="26"/>
      <c r="BO2002" s="26"/>
      <c r="BP2002" s="16" t="n">
        <v>45645</v>
      </c>
      <c r="BQ2002" s="28" t="str">
        <f>HYPERLINK("https://organic.ams.usda.gov/Integrity/Certificate.aspx?cid=45&amp;nopid=9950003689")</f>
        <v>https://organic.ams.usda.gov/Integrity/Certificate.aspx?cid=45&amp;nopid=9950003689</v>
      </c>
    </row>
    <row r="2003">
      <c r="A2003" t="s">
        <v>3</v>
      </c>
      <c r="B2003" s="6" t="s">
        <v>8</v>
      </c>
      <c r="C2003" s="6" t="s">
        <v>55</v>
      </c>
      <c r="D2003" s="6" t="s">
        <v>101</v>
      </c>
      <c r="E2003" s="10" t="s">
        <v>2144</v>
      </c>
      <c r="F2003" s="6" t="s">
        <v>4857</v>
      </c>
      <c r="G2003" s="6" t="s">
        <v>81</v>
      </c>
      <c r="H2003" s="6" t="s">
        <v>7721</v>
      </c>
      <c r="I2003" s="6" t="s">
        <v>8685</v>
      </c>
      <c r="J2003" s="6" t="s">
        <v>9682</v>
      </c>
      <c r="K2003" s="6" t="s">
        <v>10886</v>
      </c>
      <c r="L2003" s="16" t="n">
        <v>45105</v>
      </c>
      <c r="M2003" s="16" t="n">
        <v>45748</v>
      </c>
      <c r="N2003" s="6" t="s">
        <v>10886</v>
      </c>
      <c r="O2003" s="16" t="n">
        <v>45105</v>
      </c>
      <c r="P2003" s="6" t="s">
        <v>12063</v>
      </c>
      <c r="Q2003" s="6" t="s">
        <v>81</v>
      </c>
      <c r="R2003" s="6" t="s">
        <v>7721</v>
      </c>
      <c r="S2003" s="6" t="s">
        <v>10886</v>
      </c>
      <c r="T2003" s="16" t="n">
        <v>45105</v>
      </c>
      <c r="U2003" s="6" t="s">
        <v>13780</v>
      </c>
      <c r="V2003" s="6" t="s">
        <v>81</v>
      </c>
      <c r="W2003" s="6" t="s">
        <v>7721</v>
      </c>
      <c r="X2003" s="6" t="s">
        <v>81</v>
      </c>
      <c r="Y2003" s="21" t="s">
        <v>81</v>
      </c>
      <c r="Z2003" s="6" t="s">
        <v>81</v>
      </c>
      <c r="AA2003" s="6" t="s">
        <v>81</v>
      </c>
      <c r="AB2003" s="6" t="s">
        <v>81</v>
      </c>
      <c r="AC2003" s="6" t="s">
        <v>81</v>
      </c>
      <c r="AD2003" s="21" t="s">
        <v>81</v>
      </c>
      <c r="AE2003" s="6" t="s">
        <v>81</v>
      </c>
      <c r="AF2003" s="6" t="s">
        <v>81</v>
      </c>
      <c r="AG2003" s="6" t="s">
        <v>81</v>
      </c>
      <c r="AH2003" s="6" t="s">
        <v>16553</v>
      </c>
      <c r="AI2003" s="6" t="s">
        <v>81</v>
      </c>
      <c r="AJ2003" s="6" t="s">
        <v>17339</v>
      </c>
      <c r="AK2003" s="6" t="s">
        <v>18377</v>
      </c>
      <c r="AL2003" s="6" t="s">
        <v>18444</v>
      </c>
      <c r="AM2003" s="6" t="s">
        <v>19385</v>
      </c>
      <c r="AN2003" s="6" t="s">
        <v>19643</v>
      </c>
      <c r="AO2003" s="6" t="s">
        <v>19730</v>
      </c>
      <c r="AP2003" s="6" t="s">
        <v>81</v>
      </c>
      <c r="AQ2003" s="6" t="s">
        <v>81</v>
      </c>
      <c r="AR2003" s="6" t="s">
        <v>81</v>
      </c>
      <c r="AS2003" s="6" t="s">
        <v>81</v>
      </c>
      <c r="AT2003" s="6" t="s">
        <v>81</v>
      </c>
      <c r="AU2003" s="6" t="s">
        <v>81</v>
      </c>
      <c r="AV2003" s="6" t="s">
        <v>81</v>
      </c>
      <c r="AW2003" s="6" t="s">
        <v>81</v>
      </c>
      <c r="AX2003" s="6" t="s">
        <v>22035</v>
      </c>
      <c r="AY2003" s="6" t="s">
        <v>81</v>
      </c>
      <c r="AZ2003" s="6" t="s">
        <v>81</v>
      </c>
      <c r="BA2003" s="6" t="s">
        <v>23819</v>
      </c>
      <c r="BB2003" s="24" t="n">
        <v>80</v>
      </c>
      <c r="BC2003" s="26"/>
      <c r="BD2003" s="26"/>
      <c r="BE2003" s="26"/>
      <c r="BF2003" s="26"/>
      <c r="BG2003" s="26"/>
      <c r="BH2003" s="26"/>
      <c r="BI2003" s="26"/>
      <c r="BJ2003" s="26"/>
      <c r="BK2003" s="26"/>
      <c r="BL2003" s="26"/>
      <c r="BM2003" s="26"/>
      <c r="BN2003" s="26"/>
      <c r="BO2003" s="26"/>
      <c r="BP2003" s="16" t="n">
        <v>45524</v>
      </c>
      <c r="BQ2003" s="28" t="str">
        <f>HYPERLINK("https://organic.ams.usda.gov/Integrity/Certificate.aspx?cid=45&amp;nopid=9950013629")</f>
        <v>https://organic.ams.usda.gov/Integrity/Certificate.aspx?cid=45&amp;nopid=9950013629</v>
      </c>
    </row>
    <row r="2004">
      <c r="A2004" t="s">
        <v>3</v>
      </c>
      <c r="B2004" s="6" t="s">
        <v>24</v>
      </c>
      <c r="C2004" s="6" t="s">
        <v>71</v>
      </c>
      <c r="D2004" s="6" t="s">
        <v>117</v>
      </c>
      <c r="E2004" s="10" t="s">
        <v>2145</v>
      </c>
      <c r="F2004" s="6" t="s">
        <v>4858</v>
      </c>
      <c r="G2004" s="6" t="s">
        <v>81</v>
      </c>
      <c r="H2004" s="6" t="s">
        <v>81</v>
      </c>
      <c r="I2004" s="6" t="s">
        <v>9376</v>
      </c>
      <c r="J2004" s="6" t="s">
        <v>10542</v>
      </c>
      <c r="K2004" s="6" t="s">
        <v>10886</v>
      </c>
      <c r="L2004" s="16" t="n">
        <v>44712</v>
      </c>
      <c r="M2004" s="16" t="n">
        <v>45901</v>
      </c>
      <c r="N2004" s="6" t="s">
        <v>10886</v>
      </c>
      <c r="O2004" s="16" t="n">
        <v>45077</v>
      </c>
      <c r="P2004" s="6" t="s">
        <v>12064</v>
      </c>
      <c r="Q2004" s="6" t="s">
        <v>81</v>
      </c>
      <c r="R2004" s="6" t="s">
        <v>81</v>
      </c>
      <c r="S2004" s="6" t="s">
        <v>10886</v>
      </c>
      <c r="T2004" s="16" t="n">
        <v>44712</v>
      </c>
      <c r="U2004" s="6" t="s">
        <v>13781</v>
      </c>
      <c r="V2004" s="6" t="s">
        <v>81</v>
      </c>
      <c r="W2004" s="6" t="s">
        <v>81</v>
      </c>
      <c r="X2004" s="6" t="s">
        <v>81</v>
      </c>
      <c r="Y2004" s="21" t="s">
        <v>81</v>
      </c>
      <c r="Z2004" s="6" t="s">
        <v>81</v>
      </c>
      <c r="AA2004" s="6" t="s">
        <v>81</v>
      </c>
      <c r="AB2004" s="6" t="s">
        <v>81</v>
      </c>
      <c r="AC2004" s="6" t="s">
        <v>10886</v>
      </c>
      <c r="AD2004" s="16" t="n">
        <v>44712</v>
      </c>
      <c r="AE2004" s="6" t="s">
        <v>14014</v>
      </c>
      <c r="AF2004" s="6" t="s">
        <v>81</v>
      </c>
      <c r="AG2004" s="6" t="s">
        <v>81</v>
      </c>
      <c r="AH2004" s="6" t="s">
        <v>16554</v>
      </c>
      <c r="AI2004" s="6" t="s">
        <v>81</v>
      </c>
      <c r="AJ2004" s="6" t="s">
        <v>17514</v>
      </c>
      <c r="AK2004" s="6" t="s">
        <v>18404</v>
      </c>
      <c r="AL2004" s="6" t="s">
        <v>18444</v>
      </c>
      <c r="AM2004" s="6" t="s">
        <v>18679</v>
      </c>
      <c r="AN2004" s="6" t="s">
        <v>19684</v>
      </c>
      <c r="AO2004" s="6" t="s">
        <v>19829</v>
      </c>
      <c r="AP2004" s="6" t="s">
        <v>20366</v>
      </c>
      <c r="AQ2004" s="6" t="s">
        <v>81</v>
      </c>
      <c r="AR2004" s="6" t="s">
        <v>17514</v>
      </c>
      <c r="AS2004" s="6" t="s">
        <v>18404</v>
      </c>
      <c r="AT2004" s="6" t="s">
        <v>18444</v>
      </c>
      <c r="AU2004" s="6" t="s">
        <v>18679</v>
      </c>
      <c r="AV2004" s="6" t="s">
        <v>81</v>
      </c>
      <c r="AW2004" s="6" t="s">
        <v>81</v>
      </c>
      <c r="AX2004" s="6" t="s">
        <v>81</v>
      </c>
      <c r="AY2004" s="6" t="s">
        <v>23286</v>
      </c>
      <c r="AZ2004" s="6" t="s">
        <v>81</v>
      </c>
      <c r="BA2004" s="6" t="s">
        <v>81</v>
      </c>
      <c r="BB2004" s="24" t="n">
        <v>980</v>
      </c>
      <c r="BC2004" s="26"/>
      <c r="BD2004" s="26"/>
      <c r="BE2004" s="26"/>
      <c r="BF2004" s="26"/>
      <c r="BG2004" s="26"/>
      <c r="BH2004" s="26"/>
      <c r="BI2004" s="26"/>
      <c r="BJ2004" s="26"/>
      <c r="BK2004" s="26"/>
      <c r="BL2004" s="26"/>
      <c r="BM2004" s="26"/>
      <c r="BN2004" s="26"/>
      <c r="BO2004" s="26"/>
      <c r="BP2004" s="16" t="n">
        <v>45628</v>
      </c>
      <c r="BQ2004" s="28" t="str">
        <f>HYPERLINK("https://organic.ams.usda.gov/Integrity/Certificate.aspx?cid=1&amp;nopid=9092204701")</f>
        <v>https://organic.ams.usda.gov/Integrity/Certificate.aspx?cid=1&amp;nopid=9092204701</v>
      </c>
    </row>
    <row r="2005">
      <c r="A2005" t="s">
        <v>3</v>
      </c>
      <c r="B2005" s="6" t="s">
        <v>21</v>
      </c>
      <c r="C2005" s="6" t="s">
        <v>68</v>
      </c>
      <c r="D2005" s="6" t="s">
        <v>114</v>
      </c>
      <c r="E2005" s="10" t="s">
        <v>2146</v>
      </c>
      <c r="F2005" s="6" t="s">
        <v>4859</v>
      </c>
      <c r="G2005" s="6" t="s">
        <v>81</v>
      </c>
      <c r="H2005" s="6" t="s">
        <v>7722</v>
      </c>
      <c r="I2005" s="6" t="s">
        <v>9377</v>
      </c>
      <c r="J2005" s="6" t="s">
        <v>10543</v>
      </c>
      <c r="K2005" s="6" t="s">
        <v>10886</v>
      </c>
      <c r="L2005" s="16" t="n">
        <v>43591</v>
      </c>
      <c r="M2005" s="16" t="n">
        <v>46023</v>
      </c>
      <c r="N2005" s="6" t="s">
        <v>81</v>
      </c>
      <c r="O2005" s="21" t="s">
        <v>81</v>
      </c>
      <c r="P2005" s="6" t="s">
        <v>81</v>
      </c>
      <c r="Q2005" s="6" t="s">
        <v>81</v>
      </c>
      <c r="R2005" s="6" t="s">
        <v>81</v>
      </c>
      <c r="S2005" s="6" t="s">
        <v>81</v>
      </c>
      <c r="T2005" s="21" t="s">
        <v>81</v>
      </c>
      <c r="U2005" s="6" t="s">
        <v>81</v>
      </c>
      <c r="V2005" s="6" t="s">
        <v>81</v>
      </c>
      <c r="W2005" s="6" t="s">
        <v>81</v>
      </c>
      <c r="X2005" s="6" t="s">
        <v>81</v>
      </c>
      <c r="Y2005" s="21" t="s">
        <v>81</v>
      </c>
      <c r="Z2005" s="6" t="s">
        <v>81</v>
      </c>
      <c r="AA2005" s="6" t="s">
        <v>81</v>
      </c>
      <c r="AB2005" s="6" t="s">
        <v>81</v>
      </c>
      <c r="AC2005" s="6" t="s">
        <v>10886</v>
      </c>
      <c r="AD2005" s="16" t="n">
        <v>43591</v>
      </c>
      <c r="AE2005" s="6" t="s">
        <v>14357</v>
      </c>
      <c r="AF2005" s="6" t="s">
        <v>81</v>
      </c>
      <c r="AG2005" s="6" t="s">
        <v>81</v>
      </c>
      <c r="AH2005" s="6" t="s">
        <v>81</v>
      </c>
      <c r="AI2005" s="6" t="s">
        <v>81</v>
      </c>
      <c r="AJ2005" s="6" t="s">
        <v>81</v>
      </c>
      <c r="AK2005" s="6" t="s">
        <v>81</v>
      </c>
      <c r="AL2005" s="6" t="s">
        <v>81</v>
      </c>
      <c r="AM2005" s="6" t="s">
        <v>81</v>
      </c>
      <c r="AN2005" s="6" t="s">
        <v>81</v>
      </c>
      <c r="AO2005" s="6" t="s">
        <v>81</v>
      </c>
      <c r="AP2005" s="6" t="s">
        <v>20367</v>
      </c>
      <c r="AQ2005" s="6" t="s">
        <v>81</v>
      </c>
      <c r="AR2005" s="6" t="s">
        <v>17722</v>
      </c>
      <c r="AS2005" s="6" t="s">
        <v>18393</v>
      </c>
      <c r="AT2005" s="6" t="s">
        <v>18444</v>
      </c>
      <c r="AU2005" s="6" t="s">
        <v>18890</v>
      </c>
      <c r="AV2005" s="6" t="s">
        <v>8053</v>
      </c>
      <c r="AW2005" s="6" t="s">
        <v>19912</v>
      </c>
      <c r="AX2005" s="6" t="s">
        <v>22036</v>
      </c>
      <c r="AY2005" s="6" t="s">
        <v>23287</v>
      </c>
      <c r="AZ2005" s="6" t="s">
        <v>81</v>
      </c>
      <c r="BA2005" s="6" t="s">
        <v>81</v>
      </c>
      <c r="BB2005" s="6" t="s">
        <v>81</v>
      </c>
      <c r="BC2005" s="26"/>
      <c r="BD2005" s="26"/>
      <c r="BE2005" s="26"/>
      <c r="BF2005" s="26"/>
      <c r="BG2005" s="26"/>
      <c r="BH2005" s="26" t="s">
        <v>23900</v>
      </c>
      <c r="BI2005" s="26"/>
      <c r="BJ2005" s="26"/>
      <c r="BK2005" s="26"/>
      <c r="BL2005" s="26"/>
      <c r="BM2005" s="26"/>
      <c r="BN2005" s="26"/>
      <c r="BO2005" s="26"/>
      <c r="BP2005" s="16" t="n">
        <v>45702</v>
      </c>
      <c r="BQ2005" s="28" t="str">
        <f>HYPERLINK("https://organic.ams.usda.gov/Integrity/Certificate.aspx?cid=62&amp;nopid=8150009931")</f>
        <v>https://organic.ams.usda.gov/Integrity/Certificate.aspx?cid=62&amp;nopid=8150009931</v>
      </c>
    </row>
    <row r="2006">
      <c r="A2006" t="s">
        <v>3</v>
      </c>
      <c r="B2006" s="6" t="s">
        <v>12</v>
      </c>
      <c r="C2006" s="6" t="s">
        <v>59</v>
      </c>
      <c r="D2006" s="6" t="s">
        <v>105</v>
      </c>
      <c r="E2006" s="10" t="s">
        <v>2147</v>
      </c>
      <c r="F2006" s="6" t="s">
        <v>4860</v>
      </c>
      <c r="G2006" s="6" t="s">
        <v>81</v>
      </c>
      <c r="H2006" s="6" t="s">
        <v>7723</v>
      </c>
      <c r="I2006" s="6" t="s">
        <v>9378</v>
      </c>
      <c r="J2006" s="6" t="s">
        <v>10544</v>
      </c>
      <c r="K2006" s="6" t="s">
        <v>10886</v>
      </c>
      <c r="L2006" s="16" t="n">
        <v>37550</v>
      </c>
      <c r="M2006" s="16" t="n">
        <v>45717</v>
      </c>
      <c r="N2006" s="6" t="s">
        <v>81</v>
      </c>
      <c r="O2006" s="21" t="s">
        <v>81</v>
      </c>
      <c r="P2006" s="6" t="s">
        <v>81</v>
      </c>
      <c r="Q2006" s="6" t="s">
        <v>81</v>
      </c>
      <c r="R2006" s="6" t="s">
        <v>81</v>
      </c>
      <c r="S2006" s="6" t="s">
        <v>81</v>
      </c>
      <c r="T2006" s="21" t="s">
        <v>81</v>
      </c>
      <c r="U2006" s="6" t="s">
        <v>81</v>
      </c>
      <c r="V2006" s="6" t="s">
        <v>81</v>
      </c>
      <c r="W2006" s="6" t="s">
        <v>81</v>
      </c>
      <c r="X2006" s="6" t="s">
        <v>81</v>
      </c>
      <c r="Y2006" s="21" t="s">
        <v>81</v>
      </c>
      <c r="Z2006" s="6" t="s">
        <v>81</v>
      </c>
      <c r="AA2006" s="6" t="s">
        <v>81</v>
      </c>
      <c r="AB2006" s="6" t="s">
        <v>81</v>
      </c>
      <c r="AC2006" s="6" t="s">
        <v>10886</v>
      </c>
      <c r="AD2006" s="16" t="n">
        <v>37550</v>
      </c>
      <c r="AE2006" s="6" t="s">
        <v>14358</v>
      </c>
      <c r="AF2006" s="6" t="s">
        <v>81</v>
      </c>
      <c r="AG2006" s="6" t="s">
        <v>81</v>
      </c>
      <c r="AH2006" s="6" t="s">
        <v>16555</v>
      </c>
      <c r="AI2006" s="6" t="s">
        <v>81</v>
      </c>
      <c r="AJ2006" s="6" t="s">
        <v>17762</v>
      </c>
      <c r="AK2006" s="6" t="s">
        <v>18380</v>
      </c>
      <c r="AL2006" s="6" t="s">
        <v>18444</v>
      </c>
      <c r="AM2006" s="6" t="s">
        <v>18935</v>
      </c>
      <c r="AN2006" s="6" t="s">
        <v>19639</v>
      </c>
      <c r="AO2006" s="6" t="s">
        <v>19725</v>
      </c>
      <c r="AP2006" s="6" t="s">
        <v>20368</v>
      </c>
      <c r="AQ2006" s="6" t="s">
        <v>81</v>
      </c>
      <c r="AR2006" s="6" t="s">
        <v>17762</v>
      </c>
      <c r="AS2006" s="6" t="s">
        <v>18380</v>
      </c>
      <c r="AT2006" s="6" t="s">
        <v>18444</v>
      </c>
      <c r="AU2006" s="6" t="s">
        <v>18935</v>
      </c>
      <c r="AV2006" s="6" t="s">
        <v>81</v>
      </c>
      <c r="AW2006" s="6" t="s">
        <v>81</v>
      </c>
      <c r="AX2006" s="6" t="s">
        <v>22037</v>
      </c>
      <c r="AY2006" s="6" t="s">
        <v>23288</v>
      </c>
      <c r="AZ2006" s="6" t="s">
        <v>81</v>
      </c>
      <c r="BA2006" s="6" t="s">
        <v>81</v>
      </c>
      <c r="BB2006" s="6" t="s">
        <v>81</v>
      </c>
      <c r="BC2006" s="26"/>
      <c r="BD2006" s="26"/>
      <c r="BE2006" s="26"/>
      <c r="BF2006" s="26"/>
      <c r="BG2006" s="26"/>
      <c r="BH2006" s="26"/>
      <c r="BI2006" s="26"/>
      <c r="BJ2006" s="26"/>
      <c r="BK2006" s="26"/>
      <c r="BL2006" s="26"/>
      <c r="BM2006" s="26"/>
      <c r="BN2006" s="26"/>
      <c r="BO2006" s="26"/>
      <c r="BP2006" s="16" t="n">
        <v>45684</v>
      </c>
      <c r="BQ2006" s="28" t="str">
        <f>HYPERLINK("https://organic.ams.usda.gov/Integrity/Certificate.aspx?cid=68&amp;nopid=8210003540")</f>
        <v>https://organic.ams.usda.gov/Integrity/Certificate.aspx?cid=68&amp;nopid=8210003540</v>
      </c>
    </row>
    <row r="2007">
      <c r="A2007" t="s">
        <v>3</v>
      </c>
      <c r="B2007" s="6" t="s">
        <v>29</v>
      </c>
      <c r="C2007" s="6" t="s">
        <v>76</v>
      </c>
      <c r="D2007" s="6" t="s">
        <v>122</v>
      </c>
      <c r="E2007" s="10" t="s">
        <v>2148</v>
      </c>
      <c r="F2007" s="6" t="s">
        <v>4861</v>
      </c>
      <c r="G2007" s="6" t="s">
        <v>5779</v>
      </c>
      <c r="H2007" s="6" t="s">
        <v>7724</v>
      </c>
      <c r="I2007" s="6" t="s">
        <v>9379</v>
      </c>
      <c r="J2007" s="6" t="s">
        <v>9744</v>
      </c>
      <c r="K2007" s="6" t="s">
        <v>10886</v>
      </c>
      <c r="L2007" s="16" t="n">
        <v>41564</v>
      </c>
      <c r="M2007" s="16" t="n">
        <v>45870</v>
      </c>
      <c r="N2007" s="6" t="s">
        <v>10886</v>
      </c>
      <c r="O2007" s="16" t="n">
        <v>41564</v>
      </c>
      <c r="P2007" s="6" t="s">
        <v>12065</v>
      </c>
      <c r="Q2007" s="6" t="s">
        <v>81</v>
      </c>
      <c r="R2007" s="6" t="s">
        <v>12997</v>
      </c>
      <c r="S2007" s="6" t="s">
        <v>10886</v>
      </c>
      <c r="T2007" s="16" t="n">
        <v>42272</v>
      </c>
      <c r="U2007" s="6" t="s">
        <v>13222</v>
      </c>
      <c r="V2007" s="6" t="s">
        <v>81</v>
      </c>
      <c r="W2007" s="6" t="s">
        <v>12997</v>
      </c>
      <c r="X2007" s="6" t="s">
        <v>81</v>
      </c>
      <c r="Y2007" s="21" t="s">
        <v>81</v>
      </c>
      <c r="Z2007" s="6" t="s">
        <v>81</v>
      </c>
      <c r="AA2007" s="6" t="s">
        <v>81</v>
      </c>
      <c r="AB2007" s="6" t="s">
        <v>81</v>
      </c>
      <c r="AC2007" s="6" t="s">
        <v>81</v>
      </c>
      <c r="AD2007" s="21" t="s">
        <v>81</v>
      </c>
      <c r="AE2007" s="6" t="s">
        <v>81</v>
      </c>
      <c r="AF2007" s="6" t="s">
        <v>81</v>
      </c>
      <c r="AG2007" s="6" t="s">
        <v>81</v>
      </c>
      <c r="AH2007" s="6" t="s">
        <v>16556</v>
      </c>
      <c r="AI2007" s="6" t="s">
        <v>81</v>
      </c>
      <c r="AJ2007" s="6" t="s">
        <v>18177</v>
      </c>
      <c r="AK2007" s="6" t="s">
        <v>18391</v>
      </c>
      <c r="AL2007" s="6" t="s">
        <v>18444</v>
      </c>
      <c r="AM2007" s="6" t="s">
        <v>19386</v>
      </c>
      <c r="AN2007" s="6" t="s">
        <v>19651</v>
      </c>
      <c r="AO2007" s="6" t="s">
        <v>20037</v>
      </c>
      <c r="AP2007" s="6" t="s">
        <v>81</v>
      </c>
      <c r="AQ2007" s="6" t="s">
        <v>81</v>
      </c>
      <c r="AR2007" s="6" t="s">
        <v>81</v>
      </c>
      <c r="AS2007" s="6" t="s">
        <v>81</v>
      </c>
      <c r="AT2007" s="6" t="s">
        <v>81</v>
      </c>
      <c r="AU2007" s="6" t="s">
        <v>81</v>
      </c>
      <c r="AV2007" s="6" t="s">
        <v>81</v>
      </c>
      <c r="AW2007" s="6" t="s">
        <v>81</v>
      </c>
      <c r="AX2007" s="6" t="s">
        <v>22038</v>
      </c>
      <c r="AY2007" s="6" t="s">
        <v>81</v>
      </c>
      <c r="AZ2007" s="6" t="s">
        <v>81</v>
      </c>
      <c r="BA2007" s="6" t="s">
        <v>81</v>
      </c>
      <c r="BB2007" s="24" t="n">
        <v>124</v>
      </c>
      <c r="BC2007" s="26"/>
      <c r="BD2007" s="26"/>
      <c r="BE2007" s="26"/>
      <c r="BF2007" s="26" t="s">
        <v>23900</v>
      </c>
      <c r="BG2007" s="26"/>
      <c r="BH2007" s="26"/>
      <c r="BI2007" s="26"/>
      <c r="BJ2007" s="26"/>
      <c r="BK2007" s="26"/>
      <c r="BL2007" s="26"/>
      <c r="BM2007" s="26"/>
      <c r="BN2007" s="26"/>
      <c r="BO2007" s="26"/>
      <c r="BP2007" s="16" t="n">
        <v>45737</v>
      </c>
      <c r="BQ2007" s="28" t="str">
        <f>HYPERLINK("https://organic.ams.usda.gov/Integrity/Certificate.aspx?cid=31&amp;nopid=3928971346")</f>
        <v>https://organic.ams.usda.gov/Integrity/Certificate.aspx?cid=31&amp;nopid=3928971346</v>
      </c>
    </row>
    <row r="2008">
      <c r="A2008" t="s">
        <v>3</v>
      </c>
      <c r="B2008" s="6" t="s">
        <v>8</v>
      </c>
      <c r="C2008" s="6" t="s">
        <v>55</v>
      </c>
      <c r="D2008" s="6" t="s">
        <v>101</v>
      </c>
      <c r="E2008" s="10" t="s">
        <v>2149</v>
      </c>
      <c r="F2008" s="6" t="s">
        <v>4862</v>
      </c>
      <c r="G2008" s="6" t="s">
        <v>81</v>
      </c>
      <c r="H2008" s="6" t="s">
        <v>7725</v>
      </c>
      <c r="I2008" s="6" t="s">
        <v>8611</v>
      </c>
      <c r="J2008" s="6" t="s">
        <v>9753</v>
      </c>
      <c r="K2008" s="6" t="s">
        <v>10886</v>
      </c>
      <c r="L2008" s="16" t="n">
        <v>43136</v>
      </c>
      <c r="M2008" s="16" t="n">
        <v>45689</v>
      </c>
      <c r="N2008" s="6" t="s">
        <v>81</v>
      </c>
      <c r="O2008" s="21" t="s">
        <v>81</v>
      </c>
      <c r="P2008" s="6" t="s">
        <v>81</v>
      </c>
      <c r="Q2008" s="6" t="s">
        <v>81</v>
      </c>
      <c r="R2008" s="6" t="s">
        <v>81</v>
      </c>
      <c r="S2008" s="6" t="s">
        <v>81</v>
      </c>
      <c r="T2008" s="21" t="s">
        <v>81</v>
      </c>
      <c r="U2008" s="6" t="s">
        <v>81</v>
      </c>
      <c r="V2008" s="6" t="s">
        <v>81</v>
      </c>
      <c r="W2008" s="6" t="s">
        <v>81</v>
      </c>
      <c r="X2008" s="6" t="s">
        <v>81</v>
      </c>
      <c r="Y2008" s="21" t="s">
        <v>81</v>
      </c>
      <c r="Z2008" s="6" t="s">
        <v>81</v>
      </c>
      <c r="AA2008" s="6" t="s">
        <v>81</v>
      </c>
      <c r="AB2008" s="6" t="s">
        <v>81</v>
      </c>
      <c r="AC2008" s="6" t="s">
        <v>10886</v>
      </c>
      <c r="AD2008" s="16" t="n">
        <v>43136</v>
      </c>
      <c r="AE2008" s="6" t="s">
        <v>14359</v>
      </c>
      <c r="AF2008" s="6" t="s">
        <v>81</v>
      </c>
      <c r="AG2008" s="6" t="s">
        <v>7725</v>
      </c>
      <c r="AH2008" s="6" t="s">
        <v>16557</v>
      </c>
      <c r="AI2008" s="6" t="s">
        <v>81</v>
      </c>
      <c r="AJ2008" s="6" t="s">
        <v>17427</v>
      </c>
      <c r="AK2008" s="6" t="s">
        <v>18377</v>
      </c>
      <c r="AL2008" s="6" t="s">
        <v>18444</v>
      </c>
      <c r="AM2008" s="6" t="s">
        <v>18584</v>
      </c>
      <c r="AN2008" s="6" t="s">
        <v>19634</v>
      </c>
      <c r="AO2008" s="6" t="s">
        <v>19764</v>
      </c>
      <c r="AP2008" s="6" t="s">
        <v>20369</v>
      </c>
      <c r="AQ2008" s="6" t="s">
        <v>81</v>
      </c>
      <c r="AR2008" s="6" t="s">
        <v>17427</v>
      </c>
      <c r="AS2008" s="6" t="s">
        <v>18377</v>
      </c>
      <c r="AT2008" s="6" t="s">
        <v>18444</v>
      </c>
      <c r="AU2008" s="6" t="s">
        <v>18584</v>
      </c>
      <c r="AV2008" s="6" t="s">
        <v>81</v>
      </c>
      <c r="AW2008" s="6" t="s">
        <v>81</v>
      </c>
      <c r="AX2008" s="6" t="s">
        <v>22039</v>
      </c>
      <c r="AY2008" s="6" t="s">
        <v>23289</v>
      </c>
      <c r="AZ2008" s="6" t="s">
        <v>23743</v>
      </c>
      <c r="BA2008" s="6" t="s">
        <v>81</v>
      </c>
      <c r="BB2008" s="24" t="n">
        <v>0</v>
      </c>
      <c r="BC2008" s="26"/>
      <c r="BD2008" s="26"/>
      <c r="BE2008" s="26"/>
      <c r="BF2008" s="26"/>
      <c r="BG2008" s="26"/>
      <c r="BH2008" s="26"/>
      <c r="BI2008" s="26"/>
      <c r="BJ2008" s="26"/>
      <c r="BK2008" s="26"/>
      <c r="BL2008" s="26" t="s">
        <v>23900</v>
      </c>
      <c r="BM2008" s="26"/>
      <c r="BN2008" s="26" t="s">
        <v>23900</v>
      </c>
      <c r="BO2008" s="26"/>
      <c r="BP2008" s="16" t="n">
        <v>45729</v>
      </c>
      <c r="BQ2008" s="28" t="str">
        <f>HYPERLINK("https://organic.ams.usda.gov/Integrity/Certificate.aspx?cid=45&amp;nopid=9950010596")</f>
        <v>https://organic.ams.usda.gov/Integrity/Certificate.aspx?cid=45&amp;nopid=9950010596</v>
      </c>
    </row>
    <row r="2009">
      <c r="A2009" t="s">
        <v>3</v>
      </c>
      <c r="B2009" s="6" t="s">
        <v>8</v>
      </c>
      <c r="C2009" s="6" t="s">
        <v>55</v>
      </c>
      <c r="D2009" s="6" t="s">
        <v>101</v>
      </c>
      <c r="E2009" s="10" t="s">
        <v>2150</v>
      </c>
      <c r="F2009" s="6" t="s">
        <v>4863</v>
      </c>
      <c r="G2009" s="6" t="s">
        <v>5780</v>
      </c>
      <c r="H2009" s="6" t="s">
        <v>7726</v>
      </c>
      <c r="I2009" s="6" t="s">
        <v>9185</v>
      </c>
      <c r="J2009" s="6" t="s">
        <v>9942</v>
      </c>
      <c r="K2009" s="6" t="s">
        <v>10886</v>
      </c>
      <c r="L2009" s="16" t="n">
        <v>43081</v>
      </c>
      <c r="M2009" s="16" t="n">
        <v>45383</v>
      </c>
      <c r="N2009" s="6" t="s">
        <v>81</v>
      </c>
      <c r="O2009" s="21" t="s">
        <v>81</v>
      </c>
      <c r="P2009" s="6" t="s">
        <v>81</v>
      </c>
      <c r="Q2009" s="6" t="s">
        <v>81</v>
      </c>
      <c r="R2009" s="6" t="s">
        <v>81</v>
      </c>
      <c r="S2009" s="6" t="s">
        <v>81</v>
      </c>
      <c r="T2009" s="21" t="s">
        <v>81</v>
      </c>
      <c r="U2009" s="6" t="s">
        <v>81</v>
      </c>
      <c r="V2009" s="6" t="s">
        <v>81</v>
      </c>
      <c r="W2009" s="6" t="s">
        <v>81</v>
      </c>
      <c r="X2009" s="6" t="s">
        <v>81</v>
      </c>
      <c r="Y2009" s="21" t="s">
        <v>81</v>
      </c>
      <c r="Z2009" s="6" t="s">
        <v>81</v>
      </c>
      <c r="AA2009" s="6" t="s">
        <v>81</v>
      </c>
      <c r="AB2009" s="6" t="s">
        <v>81</v>
      </c>
      <c r="AC2009" s="6" t="s">
        <v>10886</v>
      </c>
      <c r="AD2009" s="16" t="n">
        <v>43081</v>
      </c>
      <c r="AE2009" s="6" t="s">
        <v>14360</v>
      </c>
      <c r="AF2009" s="6" t="s">
        <v>81</v>
      </c>
      <c r="AG2009" s="6" t="s">
        <v>7726</v>
      </c>
      <c r="AH2009" s="6" t="s">
        <v>16558</v>
      </c>
      <c r="AI2009" s="6" t="s">
        <v>81</v>
      </c>
      <c r="AJ2009" s="6" t="s">
        <v>17708</v>
      </c>
      <c r="AK2009" s="6" t="s">
        <v>18377</v>
      </c>
      <c r="AL2009" s="6" t="s">
        <v>18444</v>
      </c>
      <c r="AM2009" s="6" t="s">
        <v>18875</v>
      </c>
      <c r="AN2009" s="6" t="s">
        <v>19646</v>
      </c>
      <c r="AO2009" s="6" t="s">
        <v>19733</v>
      </c>
      <c r="AP2009" s="6" t="s">
        <v>20370</v>
      </c>
      <c r="AQ2009" s="6" t="s">
        <v>81</v>
      </c>
      <c r="AR2009" s="6" t="s">
        <v>9214</v>
      </c>
      <c r="AS2009" s="6" t="s">
        <v>18377</v>
      </c>
      <c r="AT2009" s="6" t="s">
        <v>18444</v>
      </c>
      <c r="AU2009" s="6" t="s">
        <v>19272</v>
      </c>
      <c r="AV2009" s="6" t="s">
        <v>81</v>
      </c>
      <c r="AW2009" s="6" t="s">
        <v>81</v>
      </c>
      <c r="AX2009" s="6" t="s">
        <v>22040</v>
      </c>
      <c r="AY2009" s="6" t="s">
        <v>23290</v>
      </c>
      <c r="AZ2009" s="6" t="s">
        <v>23744</v>
      </c>
      <c r="BA2009" s="6" t="s">
        <v>81</v>
      </c>
      <c r="BB2009" s="24" t="n">
        <v>0</v>
      </c>
      <c r="BC2009" s="26"/>
      <c r="BD2009" s="26"/>
      <c r="BE2009" s="26"/>
      <c r="BF2009" s="26"/>
      <c r="BG2009" s="26"/>
      <c r="BH2009" s="26"/>
      <c r="BI2009" s="26"/>
      <c r="BJ2009" s="26"/>
      <c r="BK2009" s="26"/>
      <c r="BL2009" s="26"/>
      <c r="BM2009" s="26"/>
      <c r="BN2009" s="26"/>
      <c r="BO2009" s="26"/>
      <c r="BP2009" s="16" t="n">
        <v>45406</v>
      </c>
      <c r="BQ2009" s="28" t="str">
        <f>HYPERLINK("https://organic.ams.usda.gov/Integrity/Certificate.aspx?cid=45&amp;nopid=9950009418")</f>
        <v>https://organic.ams.usda.gov/Integrity/Certificate.aspx?cid=45&amp;nopid=9950009418</v>
      </c>
    </row>
    <row r="2010">
      <c r="A2010" t="s">
        <v>3</v>
      </c>
      <c r="B2010" s="6" t="s">
        <v>8</v>
      </c>
      <c r="C2010" s="6" t="s">
        <v>55</v>
      </c>
      <c r="D2010" s="6" t="s">
        <v>101</v>
      </c>
      <c r="E2010" s="10" t="s">
        <v>2151</v>
      </c>
      <c r="F2010" s="6" t="s">
        <v>4864</v>
      </c>
      <c r="G2010" s="6" t="s">
        <v>81</v>
      </c>
      <c r="H2010" s="6" t="s">
        <v>7727</v>
      </c>
      <c r="I2010" s="6" t="s">
        <v>8706</v>
      </c>
      <c r="J2010" s="6" t="s">
        <v>10545</v>
      </c>
      <c r="K2010" s="6" t="s">
        <v>10886</v>
      </c>
      <c r="L2010" s="16" t="n">
        <v>38090</v>
      </c>
      <c r="M2010" s="16" t="n">
        <v>45689</v>
      </c>
      <c r="N2010" s="6" t="s">
        <v>10886</v>
      </c>
      <c r="O2010" s="16" t="n">
        <v>38090</v>
      </c>
      <c r="P2010" s="6" t="s">
        <v>12066</v>
      </c>
      <c r="Q2010" s="6" t="s">
        <v>81</v>
      </c>
      <c r="R2010" s="6" t="s">
        <v>7727</v>
      </c>
      <c r="S2010" s="6" t="s">
        <v>10886</v>
      </c>
      <c r="T2010" s="16" t="n">
        <v>38090</v>
      </c>
      <c r="U2010" s="6" t="s">
        <v>13286</v>
      </c>
      <c r="V2010" s="6" t="s">
        <v>81</v>
      </c>
      <c r="W2010" s="6" t="s">
        <v>7727</v>
      </c>
      <c r="X2010" s="6" t="s">
        <v>81</v>
      </c>
      <c r="Y2010" s="21" t="s">
        <v>81</v>
      </c>
      <c r="Z2010" s="6" t="s">
        <v>81</v>
      </c>
      <c r="AA2010" s="6" t="s">
        <v>81</v>
      </c>
      <c r="AB2010" s="6" t="s">
        <v>81</v>
      </c>
      <c r="AC2010" s="6" t="s">
        <v>81</v>
      </c>
      <c r="AD2010" s="21" t="s">
        <v>81</v>
      </c>
      <c r="AE2010" s="6" t="s">
        <v>81</v>
      </c>
      <c r="AF2010" s="6" t="s">
        <v>81</v>
      </c>
      <c r="AG2010" s="6" t="s">
        <v>81</v>
      </c>
      <c r="AH2010" s="6" t="s">
        <v>16559</v>
      </c>
      <c r="AI2010" s="6" t="s">
        <v>81</v>
      </c>
      <c r="AJ2010" s="6" t="s">
        <v>18031</v>
      </c>
      <c r="AK2010" s="6" t="s">
        <v>18381</v>
      </c>
      <c r="AL2010" s="6" t="s">
        <v>18444</v>
      </c>
      <c r="AM2010" s="6" t="s">
        <v>19223</v>
      </c>
      <c r="AN2010" s="6" t="s">
        <v>19676</v>
      </c>
      <c r="AO2010" s="6" t="s">
        <v>19797</v>
      </c>
      <c r="AP2010" s="6" t="s">
        <v>81</v>
      </c>
      <c r="AQ2010" s="6" t="s">
        <v>81</v>
      </c>
      <c r="AR2010" s="6" t="s">
        <v>81</v>
      </c>
      <c r="AS2010" s="6" t="s">
        <v>81</v>
      </c>
      <c r="AT2010" s="6" t="s">
        <v>81</v>
      </c>
      <c r="AU2010" s="6" t="s">
        <v>81</v>
      </c>
      <c r="AV2010" s="6" t="s">
        <v>81</v>
      </c>
      <c r="AW2010" s="6" t="s">
        <v>81</v>
      </c>
      <c r="AX2010" s="6" t="s">
        <v>22041</v>
      </c>
      <c r="AY2010" s="6" t="s">
        <v>23291</v>
      </c>
      <c r="AZ2010" s="6" t="s">
        <v>81</v>
      </c>
      <c r="BA2010" s="6" t="s">
        <v>23819</v>
      </c>
      <c r="BB2010" s="24" t="n">
        <v>718</v>
      </c>
      <c r="BC2010" s="26"/>
      <c r="BD2010" s="26"/>
      <c r="BE2010" s="26"/>
      <c r="BF2010" s="26" t="s">
        <v>23900</v>
      </c>
      <c r="BG2010" s="26"/>
      <c r="BH2010" s="26"/>
      <c r="BI2010" s="26"/>
      <c r="BJ2010" s="26"/>
      <c r="BK2010" s="26"/>
      <c r="BL2010" s="26"/>
      <c r="BM2010" s="26"/>
      <c r="BN2010" s="26"/>
      <c r="BO2010" s="26"/>
      <c r="BP2010" s="16" t="n">
        <v>45730</v>
      </c>
      <c r="BQ2010" s="28" t="str">
        <f>HYPERLINK("https://organic.ams.usda.gov/Integrity/Certificate.aspx?cid=45&amp;nopid=9950001341")</f>
        <v>https://organic.ams.usda.gov/Integrity/Certificate.aspx?cid=45&amp;nopid=9950001341</v>
      </c>
    </row>
    <row r="2011">
      <c r="A2011" t="s">
        <v>3</v>
      </c>
      <c r="B2011" s="6" t="s">
        <v>9</v>
      </c>
      <c r="C2011" s="6" t="s">
        <v>56</v>
      </c>
      <c r="D2011" s="6" t="s">
        <v>102</v>
      </c>
      <c r="E2011" s="10" t="s">
        <v>2152</v>
      </c>
      <c r="F2011" s="6" t="s">
        <v>4865</v>
      </c>
      <c r="G2011" s="6" t="s">
        <v>81</v>
      </c>
      <c r="H2011" s="6" t="s">
        <v>7728</v>
      </c>
      <c r="I2011" s="6" t="s">
        <v>81</v>
      </c>
      <c r="J2011" s="6" t="s">
        <v>81</v>
      </c>
      <c r="K2011" s="6" t="s">
        <v>10886</v>
      </c>
      <c r="L2011" s="16" t="n">
        <v>42265</v>
      </c>
      <c r="M2011" s="16" t="n">
        <v>45748</v>
      </c>
      <c r="N2011" s="6" t="s">
        <v>10886</v>
      </c>
      <c r="O2011" s="16" t="n">
        <v>42265</v>
      </c>
      <c r="P2011" s="6" t="s">
        <v>10907</v>
      </c>
      <c r="Q2011" s="6" t="s">
        <v>81</v>
      </c>
      <c r="R2011" s="6" t="s">
        <v>12998</v>
      </c>
      <c r="S2011" s="6" t="s">
        <v>10886</v>
      </c>
      <c r="T2011" s="16" t="n">
        <v>42265</v>
      </c>
      <c r="U2011" s="6" t="s">
        <v>13168</v>
      </c>
      <c r="V2011" s="6" t="s">
        <v>81</v>
      </c>
      <c r="W2011" s="6" t="s">
        <v>12998</v>
      </c>
      <c r="X2011" s="6" t="s">
        <v>81</v>
      </c>
      <c r="Y2011" s="21" t="s">
        <v>81</v>
      </c>
      <c r="Z2011" s="6" t="s">
        <v>81</v>
      </c>
      <c r="AA2011" s="6" t="s">
        <v>81</v>
      </c>
      <c r="AB2011" s="6" t="s">
        <v>81</v>
      </c>
      <c r="AC2011" s="6" t="s">
        <v>81</v>
      </c>
      <c r="AD2011" s="21" t="s">
        <v>81</v>
      </c>
      <c r="AE2011" s="6" t="s">
        <v>81</v>
      </c>
      <c r="AF2011" s="6" t="s">
        <v>81</v>
      </c>
      <c r="AG2011" s="6" t="s">
        <v>81</v>
      </c>
      <c r="AH2011" s="6" t="s">
        <v>16560</v>
      </c>
      <c r="AI2011" s="6" t="s">
        <v>81</v>
      </c>
      <c r="AJ2011" s="6" t="s">
        <v>18024</v>
      </c>
      <c r="AK2011" s="6" t="s">
        <v>18377</v>
      </c>
      <c r="AL2011" s="6" t="s">
        <v>18444</v>
      </c>
      <c r="AM2011" s="6" t="s">
        <v>19214</v>
      </c>
      <c r="AN2011" s="6" t="s">
        <v>19634</v>
      </c>
      <c r="AO2011" s="6" t="s">
        <v>19764</v>
      </c>
      <c r="AP2011" s="6" t="s">
        <v>20371</v>
      </c>
      <c r="AQ2011" s="6" t="s">
        <v>81</v>
      </c>
      <c r="AR2011" s="6" t="s">
        <v>18024</v>
      </c>
      <c r="AS2011" s="6" t="s">
        <v>18377</v>
      </c>
      <c r="AT2011" s="6" t="s">
        <v>18444</v>
      </c>
      <c r="AU2011" s="6" t="s">
        <v>19214</v>
      </c>
      <c r="AV2011" s="6" t="s">
        <v>81</v>
      </c>
      <c r="AW2011" s="6" t="s">
        <v>81</v>
      </c>
      <c r="AX2011" s="6" t="s">
        <v>22042</v>
      </c>
      <c r="AY2011" s="6" t="s">
        <v>23292</v>
      </c>
      <c r="AZ2011" s="6" t="s">
        <v>81</v>
      </c>
      <c r="BA2011" s="6" t="s">
        <v>81</v>
      </c>
      <c r="BB2011" s="24" t="n">
        <v>463</v>
      </c>
      <c r="BC2011" s="26"/>
      <c r="BD2011" s="26"/>
      <c r="BE2011" s="26"/>
      <c r="BF2011" s="26"/>
      <c r="BG2011" s="26"/>
      <c r="BH2011" s="26"/>
      <c r="BI2011" s="26"/>
      <c r="BJ2011" s="26"/>
      <c r="BK2011" s="26"/>
      <c r="BL2011" s="26"/>
      <c r="BM2011" s="26"/>
      <c r="BN2011" s="26"/>
      <c r="BO2011" s="26"/>
      <c r="BP2011" s="16" t="n">
        <v>45738</v>
      </c>
      <c r="BQ2011" s="28" t="str">
        <f>HYPERLINK("https://organic.ams.usda.gov/Integrity/Certificate.aspx?cid=52&amp;nopid=8431501112")</f>
        <v>https://organic.ams.usda.gov/Integrity/Certificate.aspx?cid=52&amp;nopid=8431501112</v>
      </c>
    </row>
    <row r="2012">
      <c r="A2012" t="s">
        <v>3</v>
      </c>
      <c r="B2012" s="6" t="s">
        <v>8</v>
      </c>
      <c r="C2012" s="6" t="s">
        <v>55</v>
      </c>
      <c r="D2012" s="6" t="s">
        <v>101</v>
      </c>
      <c r="E2012" s="10" t="s">
        <v>2153</v>
      </c>
      <c r="F2012" s="6" t="s">
        <v>4866</v>
      </c>
      <c r="G2012" s="6" t="s">
        <v>81</v>
      </c>
      <c r="H2012" s="6" t="s">
        <v>7729</v>
      </c>
      <c r="I2012" s="6" t="s">
        <v>9380</v>
      </c>
      <c r="J2012" s="6" t="s">
        <v>10546</v>
      </c>
      <c r="K2012" s="6" t="s">
        <v>10886</v>
      </c>
      <c r="L2012" s="16" t="n">
        <v>42286</v>
      </c>
      <c r="M2012" s="18" t="s">
        <v>81</v>
      </c>
      <c r="N2012" s="6" t="s">
        <v>10886</v>
      </c>
      <c r="O2012" s="16" t="n">
        <v>42286</v>
      </c>
      <c r="P2012" s="6" t="s">
        <v>12067</v>
      </c>
      <c r="Q2012" s="6" t="s">
        <v>81</v>
      </c>
      <c r="R2012" s="6" t="s">
        <v>81</v>
      </c>
      <c r="S2012" s="6" t="s">
        <v>10886</v>
      </c>
      <c r="T2012" s="16" t="n">
        <v>42286</v>
      </c>
      <c r="U2012" s="6" t="s">
        <v>13782</v>
      </c>
      <c r="V2012" s="6" t="s">
        <v>81</v>
      </c>
      <c r="W2012" s="6" t="s">
        <v>81</v>
      </c>
      <c r="X2012" s="6" t="s">
        <v>81</v>
      </c>
      <c r="Y2012" s="21" t="s">
        <v>81</v>
      </c>
      <c r="Z2012" s="6" t="s">
        <v>81</v>
      </c>
      <c r="AA2012" s="6" t="s">
        <v>81</v>
      </c>
      <c r="AB2012" s="6" t="s">
        <v>81</v>
      </c>
      <c r="AC2012" s="6" t="s">
        <v>81</v>
      </c>
      <c r="AD2012" s="21" t="s">
        <v>81</v>
      </c>
      <c r="AE2012" s="6" t="s">
        <v>81</v>
      </c>
      <c r="AF2012" s="6" t="s">
        <v>81</v>
      </c>
      <c r="AG2012" s="6" t="s">
        <v>81</v>
      </c>
      <c r="AH2012" s="6" t="s">
        <v>16561</v>
      </c>
      <c r="AI2012" s="6" t="s">
        <v>81</v>
      </c>
      <c r="AJ2012" s="6" t="s">
        <v>18154</v>
      </c>
      <c r="AK2012" s="6" t="s">
        <v>18377</v>
      </c>
      <c r="AL2012" s="6" t="s">
        <v>18444</v>
      </c>
      <c r="AM2012" s="6" t="s">
        <v>19357</v>
      </c>
      <c r="AN2012" s="6" t="s">
        <v>19652</v>
      </c>
      <c r="AO2012" s="6" t="s">
        <v>19772</v>
      </c>
      <c r="AP2012" s="6" t="s">
        <v>81</v>
      </c>
      <c r="AQ2012" s="6" t="s">
        <v>81</v>
      </c>
      <c r="AR2012" s="6" t="s">
        <v>81</v>
      </c>
      <c r="AS2012" s="6" t="s">
        <v>81</v>
      </c>
      <c r="AT2012" s="6" t="s">
        <v>81</v>
      </c>
      <c r="AU2012" s="6" t="s">
        <v>81</v>
      </c>
      <c r="AV2012" s="6" t="s">
        <v>81</v>
      </c>
      <c r="AW2012" s="6" t="s">
        <v>81</v>
      </c>
      <c r="AX2012" s="6" t="s">
        <v>81</v>
      </c>
      <c r="AY2012" s="6" t="s">
        <v>81</v>
      </c>
      <c r="AZ2012" s="6" t="s">
        <v>81</v>
      </c>
      <c r="BA2012" s="6" t="s">
        <v>81</v>
      </c>
      <c r="BB2012" s="24" t="n">
        <v>877</v>
      </c>
      <c r="BC2012" s="26"/>
      <c r="BD2012" s="26"/>
      <c r="BE2012" s="26"/>
      <c r="BF2012" s="26"/>
      <c r="BG2012" s="26"/>
      <c r="BH2012" s="26"/>
      <c r="BI2012" s="26"/>
      <c r="BJ2012" s="26"/>
      <c r="BK2012" s="26"/>
      <c r="BL2012" s="26"/>
      <c r="BM2012" s="26"/>
      <c r="BN2012" s="26"/>
      <c r="BO2012" s="26"/>
      <c r="BP2012" s="16" t="n">
        <v>45292</v>
      </c>
      <c r="BQ2012" s="28" t="str">
        <f>HYPERLINK("https://organic.ams.usda.gov/Integrity/Certificate.aspx?cid=45&amp;nopid=9950007187")</f>
        <v>https://organic.ams.usda.gov/Integrity/Certificate.aspx?cid=45&amp;nopid=9950007187</v>
      </c>
    </row>
    <row r="2013">
      <c r="A2013" t="s">
        <v>3</v>
      </c>
      <c r="B2013" s="6" t="s">
        <v>12</v>
      </c>
      <c r="C2013" s="6" t="s">
        <v>59</v>
      </c>
      <c r="D2013" s="6" t="s">
        <v>105</v>
      </c>
      <c r="E2013" s="10" t="s">
        <v>2154</v>
      </c>
      <c r="F2013" s="6" t="s">
        <v>4867</v>
      </c>
      <c r="G2013" s="6" t="s">
        <v>81</v>
      </c>
      <c r="H2013" s="6" t="s">
        <v>7730</v>
      </c>
      <c r="I2013" s="6" t="s">
        <v>8601</v>
      </c>
      <c r="J2013" s="6" t="s">
        <v>10547</v>
      </c>
      <c r="K2013" s="6" t="s">
        <v>10886</v>
      </c>
      <c r="L2013" s="16" t="n">
        <v>43502</v>
      </c>
      <c r="M2013" s="16" t="n">
        <v>45717</v>
      </c>
      <c r="N2013" s="6" t="s">
        <v>81</v>
      </c>
      <c r="O2013" s="21" t="s">
        <v>81</v>
      </c>
      <c r="P2013" s="6" t="s">
        <v>81</v>
      </c>
      <c r="Q2013" s="6" t="s">
        <v>81</v>
      </c>
      <c r="R2013" s="6" t="s">
        <v>81</v>
      </c>
      <c r="S2013" s="6" t="s">
        <v>81</v>
      </c>
      <c r="T2013" s="21" t="s">
        <v>81</v>
      </c>
      <c r="U2013" s="6" t="s">
        <v>81</v>
      </c>
      <c r="V2013" s="6" t="s">
        <v>81</v>
      </c>
      <c r="W2013" s="6" t="s">
        <v>81</v>
      </c>
      <c r="X2013" s="6" t="s">
        <v>81</v>
      </c>
      <c r="Y2013" s="21" t="s">
        <v>81</v>
      </c>
      <c r="Z2013" s="6" t="s">
        <v>81</v>
      </c>
      <c r="AA2013" s="6" t="s">
        <v>81</v>
      </c>
      <c r="AB2013" s="6" t="s">
        <v>81</v>
      </c>
      <c r="AC2013" s="6" t="s">
        <v>10886</v>
      </c>
      <c r="AD2013" s="16" t="n">
        <v>43502</v>
      </c>
      <c r="AE2013" s="6" t="s">
        <v>14361</v>
      </c>
      <c r="AF2013" s="6" t="s">
        <v>81</v>
      </c>
      <c r="AG2013" s="6" t="s">
        <v>81</v>
      </c>
      <c r="AH2013" s="6" t="s">
        <v>16562</v>
      </c>
      <c r="AI2013" s="6" t="s">
        <v>81</v>
      </c>
      <c r="AJ2013" s="6" t="s">
        <v>18178</v>
      </c>
      <c r="AK2013" s="6" t="s">
        <v>18380</v>
      </c>
      <c r="AL2013" s="6" t="s">
        <v>18444</v>
      </c>
      <c r="AM2013" s="6" t="s">
        <v>19387</v>
      </c>
      <c r="AN2013" s="6" t="s">
        <v>19640</v>
      </c>
      <c r="AO2013" s="6" t="s">
        <v>19958</v>
      </c>
      <c r="AP2013" s="6" t="s">
        <v>16562</v>
      </c>
      <c r="AQ2013" s="6" t="s">
        <v>81</v>
      </c>
      <c r="AR2013" s="6" t="s">
        <v>18178</v>
      </c>
      <c r="AS2013" s="6" t="s">
        <v>18380</v>
      </c>
      <c r="AT2013" s="6" t="s">
        <v>18444</v>
      </c>
      <c r="AU2013" s="6" t="s">
        <v>19387</v>
      </c>
      <c r="AV2013" s="6" t="s">
        <v>81</v>
      </c>
      <c r="AW2013" s="6" t="s">
        <v>81</v>
      </c>
      <c r="AX2013" s="6" t="s">
        <v>22043</v>
      </c>
      <c r="AY2013" s="6" t="s">
        <v>23293</v>
      </c>
      <c r="AZ2013" s="6" t="s">
        <v>81</v>
      </c>
      <c r="BA2013" s="6" t="s">
        <v>81</v>
      </c>
      <c r="BB2013" s="6" t="s">
        <v>81</v>
      </c>
      <c r="BC2013" s="26"/>
      <c r="BD2013" s="26"/>
      <c r="BE2013" s="26"/>
      <c r="BF2013" s="26"/>
      <c r="BG2013" s="26"/>
      <c r="BH2013" s="26"/>
      <c r="BI2013" s="26"/>
      <c r="BJ2013" s="26"/>
      <c r="BK2013" s="26"/>
      <c r="BL2013" s="26"/>
      <c r="BM2013" s="26"/>
      <c r="BN2013" s="26"/>
      <c r="BO2013" s="26"/>
      <c r="BP2013" s="16" t="n">
        <v>45720</v>
      </c>
      <c r="BQ2013" s="28" t="str">
        <f>HYPERLINK("https://organic.ams.usda.gov/Integrity/Certificate.aspx?cid=68&amp;nopid=8210006148")</f>
        <v>https://organic.ams.usda.gov/Integrity/Certificate.aspx?cid=68&amp;nopid=8210006148</v>
      </c>
    </row>
    <row r="2014">
      <c r="A2014" t="s">
        <v>3</v>
      </c>
      <c r="B2014" s="6" t="s">
        <v>22</v>
      </c>
      <c r="C2014" s="6" t="s">
        <v>69</v>
      </c>
      <c r="D2014" s="6" t="s">
        <v>115</v>
      </c>
      <c r="E2014" s="10" t="s">
        <v>2155</v>
      </c>
      <c r="F2014" s="6" t="s">
        <v>4868</v>
      </c>
      <c r="G2014" s="6" t="s">
        <v>81</v>
      </c>
      <c r="H2014" s="6" t="s">
        <v>7731</v>
      </c>
      <c r="I2014" s="6" t="s">
        <v>9381</v>
      </c>
      <c r="J2014" s="6" t="s">
        <v>10548</v>
      </c>
      <c r="K2014" s="6" t="s">
        <v>10886</v>
      </c>
      <c r="L2014" s="16" t="n">
        <v>44634</v>
      </c>
      <c r="M2014" s="16" t="n">
        <v>45977</v>
      </c>
      <c r="N2014" s="6" t="s">
        <v>81</v>
      </c>
      <c r="O2014" s="21" t="s">
        <v>81</v>
      </c>
      <c r="P2014" s="6" t="s">
        <v>81</v>
      </c>
      <c r="Q2014" s="6" t="s">
        <v>81</v>
      </c>
      <c r="R2014" s="6" t="s">
        <v>81</v>
      </c>
      <c r="S2014" s="6" t="s">
        <v>81</v>
      </c>
      <c r="T2014" s="21" t="s">
        <v>81</v>
      </c>
      <c r="U2014" s="6" t="s">
        <v>81</v>
      </c>
      <c r="V2014" s="6" t="s">
        <v>81</v>
      </c>
      <c r="W2014" s="6" t="s">
        <v>81</v>
      </c>
      <c r="X2014" s="6" t="s">
        <v>81</v>
      </c>
      <c r="Y2014" s="21" t="s">
        <v>81</v>
      </c>
      <c r="Z2014" s="6" t="s">
        <v>81</v>
      </c>
      <c r="AA2014" s="6" t="s">
        <v>81</v>
      </c>
      <c r="AB2014" s="6" t="s">
        <v>81</v>
      </c>
      <c r="AC2014" s="6" t="s">
        <v>10886</v>
      </c>
      <c r="AD2014" s="16" t="n">
        <v>44634</v>
      </c>
      <c r="AE2014" s="6" t="s">
        <v>14362</v>
      </c>
      <c r="AF2014" s="6" t="s">
        <v>81</v>
      </c>
      <c r="AG2014" s="6" t="s">
        <v>81</v>
      </c>
      <c r="AH2014" s="6" t="s">
        <v>16563</v>
      </c>
      <c r="AI2014" s="6" t="s">
        <v>81</v>
      </c>
      <c r="AJ2014" s="6" t="s">
        <v>18179</v>
      </c>
      <c r="AK2014" s="6" t="s">
        <v>18434</v>
      </c>
      <c r="AL2014" s="6" t="s">
        <v>17856</v>
      </c>
      <c r="AM2014" s="6" t="s">
        <v>19388</v>
      </c>
      <c r="AN2014" s="6" t="s">
        <v>81</v>
      </c>
      <c r="AO2014" s="6" t="s">
        <v>81</v>
      </c>
      <c r="AP2014" s="6" t="s">
        <v>16563</v>
      </c>
      <c r="AQ2014" s="6" t="s">
        <v>81</v>
      </c>
      <c r="AR2014" s="6" t="s">
        <v>18179</v>
      </c>
      <c r="AS2014" s="6" t="s">
        <v>18434</v>
      </c>
      <c r="AT2014" s="6" t="s">
        <v>17856</v>
      </c>
      <c r="AU2014" s="6" t="s">
        <v>19388</v>
      </c>
      <c r="AV2014" s="6" t="s">
        <v>81</v>
      </c>
      <c r="AW2014" s="6" t="s">
        <v>81</v>
      </c>
      <c r="AX2014" s="6" t="s">
        <v>22044</v>
      </c>
      <c r="AY2014" s="6" t="s">
        <v>23294</v>
      </c>
      <c r="AZ2014" s="6" t="s">
        <v>81</v>
      </c>
      <c r="BA2014" s="6" t="s">
        <v>81</v>
      </c>
      <c r="BB2014" s="6" t="s">
        <v>81</v>
      </c>
      <c r="BC2014" s="26"/>
      <c r="BD2014" s="26"/>
      <c r="BE2014" s="26"/>
      <c r="BF2014" s="26"/>
      <c r="BG2014" s="26"/>
      <c r="BH2014" s="26"/>
      <c r="BI2014" s="26"/>
      <c r="BJ2014" s="26"/>
      <c r="BK2014" s="26"/>
      <c r="BL2014" s="26"/>
      <c r="BM2014" s="26"/>
      <c r="BN2014" s="26"/>
      <c r="BO2014" s="26"/>
      <c r="BP2014" s="16" t="n">
        <v>45663</v>
      </c>
      <c r="BQ2014" s="28" t="str">
        <f>HYPERLINK("https://organic.ams.usda.gov/Integrity/Certificate.aspx?cid=21&amp;nopid=1780863998")</f>
        <v>https://organic.ams.usda.gov/Integrity/Certificate.aspx?cid=21&amp;nopid=1780863998</v>
      </c>
    </row>
    <row r="2015">
      <c r="A2015" t="s">
        <v>3</v>
      </c>
      <c r="B2015" s="6" t="s">
        <v>25</v>
      </c>
      <c r="C2015" s="6" t="s">
        <v>72</v>
      </c>
      <c r="D2015" s="6" t="s">
        <v>118</v>
      </c>
      <c r="E2015" s="10" t="s">
        <v>2156</v>
      </c>
      <c r="F2015" s="6" t="s">
        <v>4869</v>
      </c>
      <c r="G2015" s="6" t="s">
        <v>5781</v>
      </c>
      <c r="H2015" s="6" t="s">
        <v>7732</v>
      </c>
      <c r="I2015" s="6" t="s">
        <v>8401</v>
      </c>
      <c r="J2015" s="6" t="s">
        <v>10549</v>
      </c>
      <c r="K2015" s="6" t="s">
        <v>10886</v>
      </c>
      <c r="L2015" s="16" t="n">
        <v>42849</v>
      </c>
      <c r="M2015" s="16" t="n">
        <v>46023</v>
      </c>
      <c r="N2015" s="6" t="s">
        <v>81</v>
      </c>
      <c r="O2015" s="21" t="s">
        <v>81</v>
      </c>
      <c r="P2015" s="6" t="s">
        <v>81</v>
      </c>
      <c r="Q2015" s="6" t="s">
        <v>81</v>
      </c>
      <c r="R2015" s="6" t="s">
        <v>81</v>
      </c>
      <c r="S2015" s="6" t="s">
        <v>81</v>
      </c>
      <c r="T2015" s="21" t="s">
        <v>81</v>
      </c>
      <c r="U2015" s="6" t="s">
        <v>81</v>
      </c>
      <c r="V2015" s="6" t="s">
        <v>81</v>
      </c>
      <c r="W2015" s="6" t="s">
        <v>81</v>
      </c>
      <c r="X2015" s="6" t="s">
        <v>81</v>
      </c>
      <c r="Y2015" s="21" t="s">
        <v>81</v>
      </c>
      <c r="Z2015" s="6" t="s">
        <v>81</v>
      </c>
      <c r="AA2015" s="6" t="s">
        <v>81</v>
      </c>
      <c r="AB2015" s="6" t="s">
        <v>81</v>
      </c>
      <c r="AC2015" s="6" t="s">
        <v>10886</v>
      </c>
      <c r="AD2015" s="16" t="n">
        <v>42849</v>
      </c>
      <c r="AE2015" s="6" t="s">
        <v>14363</v>
      </c>
      <c r="AF2015" s="6" t="s">
        <v>81</v>
      </c>
      <c r="AG2015" s="6" t="s">
        <v>81</v>
      </c>
      <c r="AH2015" s="6" t="s">
        <v>16564</v>
      </c>
      <c r="AI2015" s="6" t="s">
        <v>81</v>
      </c>
      <c r="AJ2015" s="6" t="s">
        <v>17561</v>
      </c>
      <c r="AK2015" s="6" t="s">
        <v>18386</v>
      </c>
      <c r="AL2015" s="6" t="s">
        <v>18444</v>
      </c>
      <c r="AM2015" s="6" t="s">
        <v>18725</v>
      </c>
      <c r="AN2015" s="6" t="s">
        <v>19672</v>
      </c>
      <c r="AO2015" s="6" t="s">
        <v>19787</v>
      </c>
      <c r="AP2015" s="6" t="s">
        <v>20372</v>
      </c>
      <c r="AQ2015" s="6" t="s">
        <v>81</v>
      </c>
      <c r="AR2015" s="6" t="s">
        <v>17561</v>
      </c>
      <c r="AS2015" s="6" t="s">
        <v>18386</v>
      </c>
      <c r="AT2015" s="6" t="s">
        <v>18444</v>
      </c>
      <c r="AU2015" s="6" t="s">
        <v>20647</v>
      </c>
      <c r="AV2015" s="6" t="s">
        <v>81</v>
      </c>
      <c r="AW2015" s="6" t="s">
        <v>81</v>
      </c>
      <c r="AX2015" s="6" t="s">
        <v>22045</v>
      </c>
      <c r="AY2015" s="6" t="s">
        <v>23295</v>
      </c>
      <c r="AZ2015" s="6" t="s">
        <v>23745</v>
      </c>
      <c r="BA2015" s="6" t="s">
        <v>23827</v>
      </c>
      <c r="BB2015" s="6" t="s">
        <v>81</v>
      </c>
      <c r="BC2015" s="26"/>
      <c r="BD2015" s="26"/>
      <c r="BE2015" s="26"/>
      <c r="BF2015" s="26"/>
      <c r="BG2015" s="26"/>
      <c r="BH2015" s="26"/>
      <c r="BI2015" s="26"/>
      <c r="BJ2015" s="26"/>
      <c r="BK2015" s="26"/>
      <c r="BL2015" s="26"/>
      <c r="BM2015" s="26"/>
      <c r="BN2015" s="26"/>
      <c r="BO2015" s="26"/>
      <c r="BP2015" s="16" t="n">
        <v>45734</v>
      </c>
      <c r="BQ2015" s="28" t="str">
        <f>HYPERLINK("https://organic.ams.usda.gov/Integrity/Certificate.aspx?cid=15&amp;nopid=5561004747")</f>
        <v>https://organic.ams.usda.gov/Integrity/Certificate.aspx?cid=15&amp;nopid=5561004747</v>
      </c>
    </row>
    <row r="2016">
      <c r="A2016" t="s">
        <v>3</v>
      </c>
      <c r="B2016" s="6" t="s">
        <v>16</v>
      </c>
      <c r="C2016" s="6" t="s">
        <v>63</v>
      </c>
      <c r="D2016" s="6" t="s">
        <v>109</v>
      </c>
      <c r="E2016" s="10" t="s">
        <v>2157</v>
      </c>
      <c r="F2016" s="6" t="s">
        <v>4870</v>
      </c>
      <c r="G2016" s="6" t="s">
        <v>81</v>
      </c>
      <c r="H2016" s="6" t="s">
        <v>7733</v>
      </c>
      <c r="I2016" s="6" t="s">
        <v>8530</v>
      </c>
      <c r="J2016" s="6" t="s">
        <v>10550</v>
      </c>
      <c r="K2016" s="6" t="s">
        <v>10886</v>
      </c>
      <c r="L2016" s="16" t="n">
        <v>38899</v>
      </c>
      <c r="M2016" s="16" t="n">
        <v>45731</v>
      </c>
      <c r="N2016" s="6" t="s">
        <v>10886</v>
      </c>
      <c r="O2016" s="16" t="n">
        <v>38899</v>
      </c>
      <c r="P2016" s="6" t="s">
        <v>11544</v>
      </c>
      <c r="Q2016" s="6" t="s">
        <v>81</v>
      </c>
      <c r="R2016" s="6" t="s">
        <v>81</v>
      </c>
      <c r="S2016" s="6" t="s">
        <v>10886</v>
      </c>
      <c r="T2016" s="16" t="n">
        <v>38899</v>
      </c>
      <c r="U2016" s="6" t="s">
        <v>13551</v>
      </c>
      <c r="V2016" s="6" t="s">
        <v>81</v>
      </c>
      <c r="W2016" s="6" t="s">
        <v>81</v>
      </c>
      <c r="X2016" s="6" t="s">
        <v>81</v>
      </c>
      <c r="Y2016" s="21" t="s">
        <v>81</v>
      </c>
      <c r="Z2016" s="6" t="s">
        <v>81</v>
      </c>
      <c r="AA2016" s="6" t="s">
        <v>81</v>
      </c>
      <c r="AB2016" s="6" t="s">
        <v>81</v>
      </c>
      <c r="AC2016" s="6" t="s">
        <v>10886</v>
      </c>
      <c r="AD2016" s="16" t="n">
        <v>38899</v>
      </c>
      <c r="AE2016" s="6" t="s">
        <v>81</v>
      </c>
      <c r="AF2016" s="6" t="s">
        <v>81</v>
      </c>
      <c r="AG2016" s="6" t="s">
        <v>81</v>
      </c>
      <c r="AH2016" s="6" t="s">
        <v>16565</v>
      </c>
      <c r="AI2016" s="6" t="s">
        <v>81</v>
      </c>
      <c r="AJ2016" s="6" t="s">
        <v>17777</v>
      </c>
      <c r="AK2016" s="6" t="s">
        <v>18383</v>
      </c>
      <c r="AL2016" s="6" t="s">
        <v>18444</v>
      </c>
      <c r="AM2016" s="6" t="s">
        <v>18949</v>
      </c>
      <c r="AN2016" s="6" t="s">
        <v>19653</v>
      </c>
      <c r="AO2016" s="6" t="s">
        <v>19928</v>
      </c>
      <c r="AP2016" s="6" t="s">
        <v>81</v>
      </c>
      <c r="AQ2016" s="6" t="s">
        <v>81</v>
      </c>
      <c r="AR2016" s="6" t="s">
        <v>81</v>
      </c>
      <c r="AS2016" s="6" t="s">
        <v>81</v>
      </c>
      <c r="AT2016" s="6" t="s">
        <v>81</v>
      </c>
      <c r="AU2016" s="6" t="s">
        <v>81</v>
      </c>
      <c r="AV2016" s="6" t="s">
        <v>81</v>
      </c>
      <c r="AW2016" s="6" t="s">
        <v>81</v>
      </c>
      <c r="AX2016" s="6" t="s">
        <v>22046</v>
      </c>
      <c r="AY2016" s="6" t="s">
        <v>81</v>
      </c>
      <c r="AZ2016" s="6" t="s">
        <v>81</v>
      </c>
      <c r="BA2016" s="6" t="s">
        <v>81</v>
      </c>
      <c r="BB2016" s="24" t="n">
        <v>280</v>
      </c>
      <c r="BC2016" s="26"/>
      <c r="BD2016" s="26"/>
      <c r="BE2016" s="26"/>
      <c r="BF2016" s="26"/>
      <c r="BG2016" s="26"/>
      <c r="BH2016" s="26"/>
      <c r="BI2016" s="26"/>
      <c r="BJ2016" s="26"/>
      <c r="BK2016" s="26"/>
      <c r="BL2016" s="26"/>
      <c r="BM2016" s="26"/>
      <c r="BN2016" s="26"/>
      <c r="BO2016" s="26"/>
      <c r="BP2016" s="16" t="n">
        <v>45701</v>
      </c>
      <c r="BQ2016" s="28" t="str">
        <f>HYPERLINK("https://organic.ams.usda.gov/Integrity/Certificate.aspx?cid=81&amp;nopid=4210006012")</f>
        <v>https://organic.ams.usda.gov/Integrity/Certificate.aspx?cid=81&amp;nopid=4210006012</v>
      </c>
    </row>
    <row r="2017">
      <c r="A2017" t="s">
        <v>3</v>
      </c>
      <c r="B2017" s="6" t="s">
        <v>16</v>
      </c>
      <c r="C2017" s="6" t="s">
        <v>63</v>
      </c>
      <c r="D2017" s="6" t="s">
        <v>109</v>
      </c>
      <c r="E2017" s="10" t="s">
        <v>2158</v>
      </c>
      <c r="F2017" s="6" t="s">
        <v>4871</v>
      </c>
      <c r="G2017" s="6" t="s">
        <v>81</v>
      </c>
      <c r="H2017" s="6" t="s">
        <v>6365</v>
      </c>
      <c r="I2017" s="6" t="s">
        <v>9382</v>
      </c>
      <c r="J2017" s="6" t="s">
        <v>10551</v>
      </c>
      <c r="K2017" s="6" t="s">
        <v>10886</v>
      </c>
      <c r="L2017" s="16" t="n">
        <v>44186</v>
      </c>
      <c r="M2017" s="16" t="n">
        <v>45731</v>
      </c>
      <c r="N2017" s="6" t="s">
        <v>10886</v>
      </c>
      <c r="O2017" s="16" t="n">
        <v>44186</v>
      </c>
      <c r="P2017" s="6" t="s">
        <v>11564</v>
      </c>
      <c r="Q2017" s="6" t="s">
        <v>81</v>
      </c>
      <c r="R2017" s="6" t="s">
        <v>81</v>
      </c>
      <c r="S2017" s="6" t="s">
        <v>10886</v>
      </c>
      <c r="T2017" s="16" t="n">
        <v>44186</v>
      </c>
      <c r="U2017" s="6" t="s">
        <v>13281</v>
      </c>
      <c r="V2017" s="6" t="s">
        <v>81</v>
      </c>
      <c r="W2017" s="6" t="s">
        <v>81</v>
      </c>
      <c r="X2017" s="6" t="s">
        <v>81</v>
      </c>
      <c r="Y2017" s="21" t="s">
        <v>81</v>
      </c>
      <c r="Z2017" s="6" t="s">
        <v>81</v>
      </c>
      <c r="AA2017" s="6" t="s">
        <v>81</v>
      </c>
      <c r="AB2017" s="6" t="s">
        <v>81</v>
      </c>
      <c r="AC2017" s="6" t="s">
        <v>10886</v>
      </c>
      <c r="AD2017" s="16" t="n">
        <v>44186</v>
      </c>
      <c r="AE2017" s="6" t="s">
        <v>81</v>
      </c>
      <c r="AF2017" s="6" t="s">
        <v>81</v>
      </c>
      <c r="AG2017" s="6" t="s">
        <v>81</v>
      </c>
      <c r="AH2017" s="6" t="s">
        <v>16566</v>
      </c>
      <c r="AI2017" s="6" t="s">
        <v>81</v>
      </c>
      <c r="AJ2017" s="6" t="s">
        <v>17699</v>
      </c>
      <c r="AK2017" s="6" t="s">
        <v>18383</v>
      </c>
      <c r="AL2017" s="6" t="s">
        <v>18444</v>
      </c>
      <c r="AM2017" s="6" t="s">
        <v>18865</v>
      </c>
      <c r="AN2017" s="6" t="s">
        <v>19646</v>
      </c>
      <c r="AO2017" s="6" t="s">
        <v>19841</v>
      </c>
      <c r="AP2017" s="6" t="s">
        <v>20373</v>
      </c>
      <c r="AQ2017" s="6" t="s">
        <v>81</v>
      </c>
      <c r="AR2017" s="6" t="s">
        <v>20560</v>
      </c>
      <c r="AS2017" s="6" t="s">
        <v>18383</v>
      </c>
      <c r="AT2017" s="6" t="s">
        <v>18444</v>
      </c>
      <c r="AU2017" s="6" t="s">
        <v>20689</v>
      </c>
      <c r="AV2017" s="6" t="s">
        <v>81</v>
      </c>
      <c r="AW2017" s="6" t="s">
        <v>81</v>
      </c>
      <c r="AX2017" s="6" t="s">
        <v>22047</v>
      </c>
      <c r="AY2017" s="6" t="s">
        <v>81</v>
      </c>
      <c r="AZ2017" s="6" t="s">
        <v>81</v>
      </c>
      <c r="BA2017" s="6" t="s">
        <v>81</v>
      </c>
      <c r="BB2017" s="24" t="n">
        <v>330</v>
      </c>
      <c r="BC2017" s="26"/>
      <c r="BD2017" s="26"/>
      <c r="BE2017" s="26"/>
      <c r="BF2017" s="26"/>
      <c r="BG2017" s="26"/>
      <c r="BH2017" s="26"/>
      <c r="BI2017" s="26"/>
      <c r="BJ2017" s="26"/>
      <c r="BK2017" s="26"/>
      <c r="BL2017" s="26"/>
      <c r="BM2017" s="26"/>
      <c r="BN2017" s="26"/>
      <c r="BO2017" s="26"/>
      <c r="BP2017" s="16" t="n">
        <v>45701</v>
      </c>
      <c r="BQ2017" s="28" t="str">
        <f>HYPERLINK("https://organic.ams.usda.gov/Integrity/Certificate.aspx?cid=81&amp;nopid=4212020073")</f>
        <v>https://organic.ams.usda.gov/Integrity/Certificate.aspx?cid=81&amp;nopid=4212020073</v>
      </c>
    </row>
    <row r="2018">
      <c r="A2018" t="s">
        <v>3</v>
      </c>
      <c r="B2018" s="6" t="s">
        <v>16</v>
      </c>
      <c r="C2018" s="6" t="s">
        <v>63</v>
      </c>
      <c r="D2018" s="6" t="s">
        <v>109</v>
      </c>
      <c r="E2018" s="10" t="s">
        <v>2159</v>
      </c>
      <c r="F2018" s="6" t="s">
        <v>4872</v>
      </c>
      <c r="G2018" s="6" t="s">
        <v>81</v>
      </c>
      <c r="H2018" s="6" t="s">
        <v>7734</v>
      </c>
      <c r="I2018" s="6" t="s">
        <v>9383</v>
      </c>
      <c r="J2018" s="6" t="s">
        <v>10552</v>
      </c>
      <c r="K2018" s="6" t="s">
        <v>10886</v>
      </c>
      <c r="L2018" s="16" t="n">
        <v>38169</v>
      </c>
      <c r="M2018" s="16" t="n">
        <v>45731</v>
      </c>
      <c r="N2018" s="6" t="s">
        <v>10886</v>
      </c>
      <c r="O2018" s="16" t="n">
        <v>38169</v>
      </c>
      <c r="P2018" s="6" t="s">
        <v>11130</v>
      </c>
      <c r="Q2018" s="6" t="s">
        <v>81</v>
      </c>
      <c r="R2018" s="6" t="s">
        <v>81</v>
      </c>
      <c r="S2018" s="6" t="s">
        <v>10886</v>
      </c>
      <c r="T2018" s="16" t="n">
        <v>38169</v>
      </c>
      <c r="U2018" s="6" t="s">
        <v>13281</v>
      </c>
      <c r="V2018" s="6" t="s">
        <v>81</v>
      </c>
      <c r="W2018" s="6" t="s">
        <v>81</v>
      </c>
      <c r="X2018" s="6" t="s">
        <v>81</v>
      </c>
      <c r="Y2018" s="21" t="s">
        <v>81</v>
      </c>
      <c r="Z2018" s="6" t="s">
        <v>81</v>
      </c>
      <c r="AA2018" s="6" t="s">
        <v>81</v>
      </c>
      <c r="AB2018" s="6" t="s">
        <v>81</v>
      </c>
      <c r="AC2018" s="6" t="s">
        <v>10886</v>
      </c>
      <c r="AD2018" s="16" t="n">
        <v>38169</v>
      </c>
      <c r="AE2018" s="6" t="s">
        <v>81</v>
      </c>
      <c r="AF2018" s="6" t="s">
        <v>81</v>
      </c>
      <c r="AG2018" s="6" t="s">
        <v>81</v>
      </c>
      <c r="AH2018" s="6" t="s">
        <v>16567</v>
      </c>
      <c r="AI2018" s="6" t="s">
        <v>81</v>
      </c>
      <c r="AJ2018" s="6" t="s">
        <v>18077</v>
      </c>
      <c r="AK2018" s="6" t="s">
        <v>18383</v>
      </c>
      <c r="AL2018" s="6" t="s">
        <v>18444</v>
      </c>
      <c r="AM2018" s="6" t="s">
        <v>19273</v>
      </c>
      <c r="AN2018" s="6" t="s">
        <v>19646</v>
      </c>
      <c r="AO2018" s="6" t="s">
        <v>19841</v>
      </c>
      <c r="AP2018" s="6" t="s">
        <v>81</v>
      </c>
      <c r="AQ2018" s="6" t="s">
        <v>81</v>
      </c>
      <c r="AR2018" s="6" t="s">
        <v>81</v>
      </c>
      <c r="AS2018" s="6" t="s">
        <v>81</v>
      </c>
      <c r="AT2018" s="6" t="s">
        <v>81</v>
      </c>
      <c r="AU2018" s="6" t="s">
        <v>81</v>
      </c>
      <c r="AV2018" s="6" t="s">
        <v>81</v>
      </c>
      <c r="AW2018" s="6" t="s">
        <v>81</v>
      </c>
      <c r="AX2018" s="6" t="s">
        <v>22048</v>
      </c>
      <c r="AY2018" s="6" t="s">
        <v>81</v>
      </c>
      <c r="AZ2018" s="6" t="s">
        <v>81</v>
      </c>
      <c r="BA2018" s="6" t="s">
        <v>81</v>
      </c>
      <c r="BB2018" s="24" t="n">
        <v>168</v>
      </c>
      <c r="BC2018" s="26"/>
      <c r="BD2018" s="26"/>
      <c r="BE2018" s="26"/>
      <c r="BF2018" s="26"/>
      <c r="BG2018" s="26"/>
      <c r="BH2018" s="26"/>
      <c r="BI2018" s="26"/>
      <c r="BJ2018" s="26"/>
      <c r="BK2018" s="26"/>
      <c r="BL2018" s="26"/>
      <c r="BM2018" s="26"/>
      <c r="BN2018" s="26"/>
      <c r="BO2018" s="26"/>
      <c r="BP2018" s="16" t="n">
        <v>45701</v>
      </c>
      <c r="BQ2018" s="28" t="str">
        <f>HYPERLINK("https://organic.ams.usda.gov/Integrity/Certificate.aspx?cid=81&amp;nopid=4210004027")</f>
        <v>https://organic.ams.usda.gov/Integrity/Certificate.aspx?cid=81&amp;nopid=4210004027</v>
      </c>
    </row>
    <row r="2019">
      <c r="A2019" t="s">
        <v>3</v>
      </c>
      <c r="B2019" s="6" t="s">
        <v>16</v>
      </c>
      <c r="C2019" s="6" t="s">
        <v>63</v>
      </c>
      <c r="D2019" s="6" t="s">
        <v>109</v>
      </c>
      <c r="E2019" s="10" t="s">
        <v>2160</v>
      </c>
      <c r="F2019" s="6" t="s">
        <v>4873</v>
      </c>
      <c r="G2019" s="6" t="s">
        <v>81</v>
      </c>
      <c r="H2019" s="6" t="s">
        <v>7735</v>
      </c>
      <c r="I2019" s="6" t="s">
        <v>8437</v>
      </c>
      <c r="J2019" s="6" t="s">
        <v>10553</v>
      </c>
      <c r="K2019" s="6" t="s">
        <v>10886</v>
      </c>
      <c r="L2019" s="16" t="n">
        <v>39238</v>
      </c>
      <c r="M2019" s="16" t="n">
        <v>45731</v>
      </c>
      <c r="N2019" s="6" t="s">
        <v>10886</v>
      </c>
      <c r="O2019" s="16" t="n">
        <v>39238</v>
      </c>
      <c r="P2019" s="6" t="s">
        <v>11546</v>
      </c>
      <c r="Q2019" s="6" t="s">
        <v>81</v>
      </c>
      <c r="R2019" s="6" t="s">
        <v>81</v>
      </c>
      <c r="S2019" s="6" t="s">
        <v>10886</v>
      </c>
      <c r="T2019" s="16" t="n">
        <v>39238</v>
      </c>
      <c r="U2019" s="6" t="s">
        <v>13281</v>
      </c>
      <c r="V2019" s="6" t="s">
        <v>81</v>
      </c>
      <c r="W2019" s="6" t="s">
        <v>81</v>
      </c>
      <c r="X2019" s="6" t="s">
        <v>81</v>
      </c>
      <c r="Y2019" s="21" t="s">
        <v>81</v>
      </c>
      <c r="Z2019" s="6" t="s">
        <v>81</v>
      </c>
      <c r="AA2019" s="6" t="s">
        <v>81</v>
      </c>
      <c r="AB2019" s="6" t="s">
        <v>81</v>
      </c>
      <c r="AC2019" s="6" t="s">
        <v>10886</v>
      </c>
      <c r="AD2019" s="16" t="n">
        <v>39238</v>
      </c>
      <c r="AE2019" s="6" t="s">
        <v>81</v>
      </c>
      <c r="AF2019" s="6" t="s">
        <v>81</v>
      </c>
      <c r="AG2019" s="6" t="s">
        <v>81</v>
      </c>
      <c r="AH2019" s="6" t="s">
        <v>16568</v>
      </c>
      <c r="AI2019" s="6" t="s">
        <v>81</v>
      </c>
      <c r="AJ2019" s="6" t="s">
        <v>18180</v>
      </c>
      <c r="AK2019" s="6" t="s">
        <v>18383</v>
      </c>
      <c r="AL2019" s="6" t="s">
        <v>18444</v>
      </c>
      <c r="AM2019" s="6" t="s">
        <v>19389</v>
      </c>
      <c r="AN2019" s="6" t="s">
        <v>19646</v>
      </c>
      <c r="AO2019" s="6" t="s">
        <v>19841</v>
      </c>
      <c r="AP2019" s="6" t="s">
        <v>20374</v>
      </c>
      <c r="AQ2019" s="6" t="s">
        <v>81</v>
      </c>
      <c r="AR2019" s="6" t="s">
        <v>18180</v>
      </c>
      <c r="AS2019" s="6" t="s">
        <v>18383</v>
      </c>
      <c r="AT2019" s="6" t="s">
        <v>18444</v>
      </c>
      <c r="AU2019" s="6" t="s">
        <v>19389</v>
      </c>
      <c r="AV2019" s="6" t="s">
        <v>81</v>
      </c>
      <c r="AW2019" s="6" t="s">
        <v>81</v>
      </c>
      <c r="AX2019" s="6" t="s">
        <v>22049</v>
      </c>
      <c r="AY2019" s="6" t="s">
        <v>81</v>
      </c>
      <c r="AZ2019" s="6" t="s">
        <v>81</v>
      </c>
      <c r="BA2019" s="6" t="s">
        <v>81</v>
      </c>
      <c r="BB2019" s="24" t="n">
        <v>325</v>
      </c>
      <c r="BC2019" s="26"/>
      <c r="BD2019" s="26"/>
      <c r="BE2019" s="26"/>
      <c r="BF2019" s="26"/>
      <c r="BG2019" s="26"/>
      <c r="BH2019" s="26"/>
      <c r="BI2019" s="26"/>
      <c r="BJ2019" s="26"/>
      <c r="BK2019" s="26"/>
      <c r="BL2019" s="26"/>
      <c r="BM2019" s="26"/>
      <c r="BN2019" s="26"/>
      <c r="BO2019" s="26"/>
      <c r="BP2019" s="16" t="n">
        <v>45701</v>
      </c>
      <c r="BQ2019" s="28" t="str">
        <f>HYPERLINK("https://organic.ams.usda.gov/Integrity/Certificate.aspx?cid=81&amp;nopid=4210007070")</f>
        <v>https://organic.ams.usda.gov/Integrity/Certificate.aspx?cid=81&amp;nopid=4210007070</v>
      </c>
    </row>
    <row r="2020">
      <c r="A2020" t="s">
        <v>3</v>
      </c>
      <c r="B2020" s="6" t="s">
        <v>16</v>
      </c>
      <c r="C2020" s="6" t="s">
        <v>63</v>
      </c>
      <c r="D2020" s="6" t="s">
        <v>109</v>
      </c>
      <c r="E2020" s="10" t="s">
        <v>2161</v>
      </c>
      <c r="F2020" s="6" t="s">
        <v>4874</v>
      </c>
      <c r="G2020" s="6" t="s">
        <v>5782</v>
      </c>
      <c r="H2020" s="6" t="s">
        <v>7736</v>
      </c>
      <c r="I2020" s="6" t="s">
        <v>9384</v>
      </c>
      <c r="J2020" s="6" t="s">
        <v>10554</v>
      </c>
      <c r="K2020" s="6" t="s">
        <v>10886</v>
      </c>
      <c r="L2020" s="16" t="n">
        <v>43617</v>
      </c>
      <c r="M2020" s="16" t="n">
        <v>45731</v>
      </c>
      <c r="N2020" s="6" t="s">
        <v>10886</v>
      </c>
      <c r="O2020" s="16" t="n">
        <v>43617</v>
      </c>
      <c r="P2020" s="6" t="s">
        <v>11085</v>
      </c>
      <c r="Q2020" s="6" t="s">
        <v>81</v>
      </c>
      <c r="R2020" s="6" t="s">
        <v>81</v>
      </c>
      <c r="S2020" s="6" t="s">
        <v>10886</v>
      </c>
      <c r="T2020" s="16" t="n">
        <v>43617</v>
      </c>
      <c r="U2020" s="6" t="s">
        <v>13783</v>
      </c>
      <c r="V2020" s="6" t="s">
        <v>81</v>
      </c>
      <c r="W2020" s="6" t="s">
        <v>81</v>
      </c>
      <c r="X2020" s="6" t="s">
        <v>81</v>
      </c>
      <c r="Y2020" s="21" t="s">
        <v>81</v>
      </c>
      <c r="Z2020" s="6" t="s">
        <v>81</v>
      </c>
      <c r="AA2020" s="6" t="s">
        <v>81</v>
      </c>
      <c r="AB2020" s="6" t="s">
        <v>81</v>
      </c>
      <c r="AC2020" s="6" t="s">
        <v>10886</v>
      </c>
      <c r="AD2020" s="16" t="n">
        <v>43617</v>
      </c>
      <c r="AE2020" s="6" t="s">
        <v>81</v>
      </c>
      <c r="AF2020" s="6" t="s">
        <v>81</v>
      </c>
      <c r="AG2020" s="6" t="s">
        <v>81</v>
      </c>
      <c r="AH2020" s="6" t="s">
        <v>16569</v>
      </c>
      <c r="AI2020" s="6" t="s">
        <v>81</v>
      </c>
      <c r="AJ2020" s="6" t="s">
        <v>18181</v>
      </c>
      <c r="AK2020" s="6" t="s">
        <v>18388</v>
      </c>
      <c r="AL2020" s="6" t="s">
        <v>18444</v>
      </c>
      <c r="AM2020" s="6" t="s">
        <v>19390</v>
      </c>
      <c r="AN2020" s="6" t="s">
        <v>19646</v>
      </c>
      <c r="AO2020" s="6" t="s">
        <v>20038</v>
      </c>
      <c r="AP2020" s="6" t="s">
        <v>81</v>
      </c>
      <c r="AQ2020" s="6" t="s">
        <v>81</v>
      </c>
      <c r="AR2020" s="6" t="s">
        <v>81</v>
      </c>
      <c r="AS2020" s="6" t="s">
        <v>81</v>
      </c>
      <c r="AT2020" s="6" t="s">
        <v>81</v>
      </c>
      <c r="AU2020" s="6" t="s">
        <v>81</v>
      </c>
      <c r="AV2020" s="6" t="s">
        <v>81</v>
      </c>
      <c r="AW2020" s="6" t="s">
        <v>81</v>
      </c>
      <c r="AX2020" s="6" t="s">
        <v>22050</v>
      </c>
      <c r="AY2020" s="6" t="s">
        <v>81</v>
      </c>
      <c r="AZ2020" s="6" t="s">
        <v>81</v>
      </c>
      <c r="BA2020" s="6" t="s">
        <v>81</v>
      </c>
      <c r="BB2020" s="24" t="n">
        <v>293</v>
      </c>
      <c r="BC2020" s="26"/>
      <c r="BD2020" s="26"/>
      <c r="BE2020" s="26"/>
      <c r="BF2020" s="26"/>
      <c r="BG2020" s="26"/>
      <c r="BH2020" s="26"/>
      <c r="BI2020" s="26"/>
      <c r="BJ2020" s="26"/>
      <c r="BK2020" s="26"/>
      <c r="BL2020" s="26"/>
      <c r="BM2020" s="26"/>
      <c r="BN2020" s="26"/>
      <c r="BO2020" s="26"/>
      <c r="BP2020" s="16" t="n">
        <v>45701</v>
      </c>
      <c r="BQ2020" s="28" t="str">
        <f>HYPERLINK("https://organic.ams.usda.gov/Integrity/Certificate.aspx?cid=81&amp;nopid=4210019024")</f>
        <v>https://organic.ams.usda.gov/Integrity/Certificate.aspx?cid=81&amp;nopid=4210019024</v>
      </c>
    </row>
    <row r="2021">
      <c r="A2021" t="s">
        <v>3</v>
      </c>
      <c r="B2021" s="6" t="s">
        <v>16</v>
      </c>
      <c r="C2021" s="6" t="s">
        <v>63</v>
      </c>
      <c r="D2021" s="6" t="s">
        <v>109</v>
      </c>
      <c r="E2021" s="10" t="s">
        <v>2162</v>
      </c>
      <c r="F2021" s="6" t="s">
        <v>4875</v>
      </c>
      <c r="G2021" s="6" t="s">
        <v>81</v>
      </c>
      <c r="H2021" s="6" t="s">
        <v>7737</v>
      </c>
      <c r="I2021" s="6" t="s">
        <v>8419</v>
      </c>
      <c r="J2021" s="6" t="s">
        <v>10555</v>
      </c>
      <c r="K2021" s="6" t="s">
        <v>10886</v>
      </c>
      <c r="L2021" s="16" t="n">
        <v>39217</v>
      </c>
      <c r="M2021" s="16" t="n">
        <v>45731</v>
      </c>
      <c r="N2021" s="6" t="s">
        <v>10886</v>
      </c>
      <c r="O2021" s="16" t="n">
        <v>39217</v>
      </c>
      <c r="P2021" s="6" t="s">
        <v>11085</v>
      </c>
      <c r="Q2021" s="6" t="s">
        <v>81</v>
      </c>
      <c r="R2021" s="6" t="s">
        <v>81</v>
      </c>
      <c r="S2021" s="6" t="s">
        <v>10886</v>
      </c>
      <c r="T2021" s="16" t="n">
        <v>39217</v>
      </c>
      <c r="U2021" s="6" t="s">
        <v>13784</v>
      </c>
      <c r="V2021" s="6" t="s">
        <v>81</v>
      </c>
      <c r="W2021" s="6" t="s">
        <v>81</v>
      </c>
      <c r="X2021" s="6" t="s">
        <v>81</v>
      </c>
      <c r="Y2021" s="21" t="s">
        <v>81</v>
      </c>
      <c r="Z2021" s="6" t="s">
        <v>81</v>
      </c>
      <c r="AA2021" s="6" t="s">
        <v>81</v>
      </c>
      <c r="AB2021" s="6" t="s">
        <v>81</v>
      </c>
      <c r="AC2021" s="6" t="s">
        <v>10886</v>
      </c>
      <c r="AD2021" s="16" t="n">
        <v>39217</v>
      </c>
      <c r="AE2021" s="6" t="s">
        <v>81</v>
      </c>
      <c r="AF2021" s="6" t="s">
        <v>81</v>
      </c>
      <c r="AG2021" s="6" t="s">
        <v>81</v>
      </c>
      <c r="AH2021" s="6" t="s">
        <v>16570</v>
      </c>
      <c r="AI2021" s="6" t="s">
        <v>81</v>
      </c>
      <c r="AJ2021" s="6" t="s">
        <v>17334</v>
      </c>
      <c r="AK2021" s="6" t="s">
        <v>18383</v>
      </c>
      <c r="AL2021" s="6" t="s">
        <v>18444</v>
      </c>
      <c r="AM2021" s="6" t="s">
        <v>19304</v>
      </c>
      <c r="AN2021" s="6" t="s">
        <v>19683</v>
      </c>
      <c r="AO2021" s="6" t="s">
        <v>19751</v>
      </c>
      <c r="AP2021" s="6" t="s">
        <v>20375</v>
      </c>
      <c r="AQ2021" s="6" t="s">
        <v>81</v>
      </c>
      <c r="AR2021" s="6" t="s">
        <v>17334</v>
      </c>
      <c r="AS2021" s="6" t="s">
        <v>18383</v>
      </c>
      <c r="AT2021" s="6" t="s">
        <v>18444</v>
      </c>
      <c r="AU2021" s="6" t="s">
        <v>19304</v>
      </c>
      <c r="AV2021" s="6" t="s">
        <v>81</v>
      </c>
      <c r="AW2021" s="6" t="s">
        <v>81</v>
      </c>
      <c r="AX2021" s="6" t="s">
        <v>22051</v>
      </c>
      <c r="AY2021" s="6" t="s">
        <v>81</v>
      </c>
      <c r="AZ2021" s="6" t="s">
        <v>81</v>
      </c>
      <c r="BA2021" s="6" t="s">
        <v>81</v>
      </c>
      <c r="BB2021" s="24" t="n">
        <v>613</v>
      </c>
      <c r="BC2021" s="26"/>
      <c r="BD2021" s="26"/>
      <c r="BE2021" s="26"/>
      <c r="BF2021" s="26"/>
      <c r="BG2021" s="26"/>
      <c r="BH2021" s="26"/>
      <c r="BI2021" s="26"/>
      <c r="BJ2021" s="26"/>
      <c r="BK2021" s="26"/>
      <c r="BL2021" s="26"/>
      <c r="BM2021" s="26"/>
      <c r="BN2021" s="26"/>
      <c r="BO2021" s="26"/>
      <c r="BP2021" s="16" t="n">
        <v>45701</v>
      </c>
      <c r="BQ2021" s="28" t="str">
        <f>HYPERLINK("https://organic.ams.usda.gov/Integrity/Certificate.aspx?cid=81&amp;nopid=4210007046")</f>
        <v>https://organic.ams.usda.gov/Integrity/Certificate.aspx?cid=81&amp;nopid=4210007046</v>
      </c>
    </row>
    <row r="2022">
      <c r="A2022" t="s">
        <v>3</v>
      </c>
      <c r="B2022" s="6" t="s">
        <v>16</v>
      </c>
      <c r="C2022" s="6" t="s">
        <v>63</v>
      </c>
      <c r="D2022" s="6" t="s">
        <v>109</v>
      </c>
      <c r="E2022" s="10" t="s">
        <v>2163</v>
      </c>
      <c r="F2022" s="6" t="s">
        <v>4876</v>
      </c>
      <c r="G2022" s="6" t="s">
        <v>5783</v>
      </c>
      <c r="H2022" s="6" t="s">
        <v>7738</v>
      </c>
      <c r="I2022" s="6" t="s">
        <v>8530</v>
      </c>
      <c r="J2022" s="6" t="s">
        <v>10556</v>
      </c>
      <c r="K2022" s="6" t="s">
        <v>10886</v>
      </c>
      <c r="L2022" s="16" t="n">
        <v>38661</v>
      </c>
      <c r="M2022" s="16" t="n">
        <v>45731</v>
      </c>
      <c r="N2022" s="6" t="s">
        <v>10886</v>
      </c>
      <c r="O2022" s="16" t="n">
        <v>38661</v>
      </c>
      <c r="P2022" s="6" t="s">
        <v>11544</v>
      </c>
      <c r="Q2022" s="6" t="s">
        <v>81</v>
      </c>
      <c r="R2022" s="6" t="s">
        <v>81</v>
      </c>
      <c r="S2022" s="6" t="s">
        <v>10886</v>
      </c>
      <c r="T2022" s="16" t="n">
        <v>38661</v>
      </c>
      <c r="U2022" s="6" t="s">
        <v>13281</v>
      </c>
      <c r="V2022" s="6" t="s">
        <v>81</v>
      </c>
      <c r="W2022" s="6" t="s">
        <v>81</v>
      </c>
      <c r="X2022" s="6" t="s">
        <v>81</v>
      </c>
      <c r="Y2022" s="21" t="s">
        <v>81</v>
      </c>
      <c r="Z2022" s="6" t="s">
        <v>81</v>
      </c>
      <c r="AA2022" s="6" t="s">
        <v>81</v>
      </c>
      <c r="AB2022" s="6" t="s">
        <v>81</v>
      </c>
      <c r="AC2022" s="6" t="s">
        <v>10886</v>
      </c>
      <c r="AD2022" s="16" t="n">
        <v>38661</v>
      </c>
      <c r="AE2022" s="6" t="s">
        <v>81</v>
      </c>
      <c r="AF2022" s="6" t="s">
        <v>81</v>
      </c>
      <c r="AG2022" s="6" t="s">
        <v>81</v>
      </c>
      <c r="AH2022" s="6" t="s">
        <v>16571</v>
      </c>
      <c r="AI2022" s="6" t="s">
        <v>81</v>
      </c>
      <c r="AJ2022" s="6" t="s">
        <v>8500</v>
      </c>
      <c r="AK2022" s="6" t="s">
        <v>18383</v>
      </c>
      <c r="AL2022" s="6" t="s">
        <v>18444</v>
      </c>
      <c r="AM2022" s="6" t="s">
        <v>19391</v>
      </c>
      <c r="AN2022" s="6" t="s">
        <v>19646</v>
      </c>
      <c r="AO2022" s="6" t="s">
        <v>19841</v>
      </c>
      <c r="AP2022" s="6" t="s">
        <v>16571</v>
      </c>
      <c r="AQ2022" s="6" t="s">
        <v>81</v>
      </c>
      <c r="AR2022" s="6" t="s">
        <v>18077</v>
      </c>
      <c r="AS2022" s="6" t="s">
        <v>18383</v>
      </c>
      <c r="AT2022" s="6" t="s">
        <v>18444</v>
      </c>
      <c r="AU2022" s="6" t="s">
        <v>19273</v>
      </c>
      <c r="AV2022" s="6" t="s">
        <v>81</v>
      </c>
      <c r="AW2022" s="6" t="s">
        <v>81</v>
      </c>
      <c r="AX2022" s="6" t="s">
        <v>22052</v>
      </c>
      <c r="AY2022" s="6" t="s">
        <v>81</v>
      </c>
      <c r="AZ2022" s="6" t="s">
        <v>81</v>
      </c>
      <c r="BA2022" s="6" t="s">
        <v>81</v>
      </c>
      <c r="BB2022" s="24" t="n">
        <v>314</v>
      </c>
      <c r="BC2022" s="26"/>
      <c r="BD2022" s="26"/>
      <c r="BE2022" s="26"/>
      <c r="BF2022" s="26"/>
      <c r="BG2022" s="26"/>
      <c r="BH2022" s="26"/>
      <c r="BI2022" s="26"/>
      <c r="BJ2022" s="26"/>
      <c r="BK2022" s="26"/>
      <c r="BL2022" s="26"/>
      <c r="BM2022" s="26"/>
      <c r="BN2022" s="26"/>
      <c r="BO2022" s="26"/>
      <c r="BP2022" s="16" t="n">
        <v>45701</v>
      </c>
      <c r="BQ2022" s="28" t="str">
        <f>HYPERLINK("https://organic.ams.usda.gov/Integrity/Certificate.aspx?cid=81&amp;nopid=4210005055")</f>
        <v>https://organic.ams.usda.gov/Integrity/Certificate.aspx?cid=81&amp;nopid=4210005055</v>
      </c>
    </row>
    <row r="2023">
      <c r="A2023" t="s">
        <v>3</v>
      </c>
      <c r="B2023" s="6" t="s">
        <v>16</v>
      </c>
      <c r="C2023" s="6" t="s">
        <v>63</v>
      </c>
      <c r="D2023" s="6" t="s">
        <v>109</v>
      </c>
      <c r="E2023" s="10" t="s">
        <v>2164</v>
      </c>
      <c r="F2023" s="6" t="s">
        <v>4877</v>
      </c>
      <c r="G2023" s="6" t="s">
        <v>5784</v>
      </c>
      <c r="H2023" s="6" t="s">
        <v>7739</v>
      </c>
      <c r="I2023" s="6" t="s">
        <v>8540</v>
      </c>
      <c r="J2023" s="6" t="s">
        <v>9671</v>
      </c>
      <c r="K2023" s="6" t="s">
        <v>10886</v>
      </c>
      <c r="L2023" s="16" t="n">
        <v>45554</v>
      </c>
      <c r="M2023" s="16" t="n">
        <v>45731</v>
      </c>
      <c r="N2023" s="6" t="s">
        <v>10886</v>
      </c>
      <c r="O2023" s="16" t="n">
        <v>45554</v>
      </c>
      <c r="P2023" s="6" t="s">
        <v>12068</v>
      </c>
      <c r="Q2023" s="6" t="s">
        <v>81</v>
      </c>
      <c r="R2023" s="6" t="s">
        <v>81</v>
      </c>
      <c r="S2023" s="6" t="s">
        <v>10886</v>
      </c>
      <c r="T2023" s="16" t="n">
        <v>45554</v>
      </c>
      <c r="U2023" s="6" t="s">
        <v>13182</v>
      </c>
      <c r="V2023" s="6" t="s">
        <v>81</v>
      </c>
      <c r="W2023" s="6" t="s">
        <v>81</v>
      </c>
      <c r="X2023" s="6" t="s">
        <v>81</v>
      </c>
      <c r="Y2023" s="21" t="s">
        <v>81</v>
      </c>
      <c r="Z2023" s="6" t="s">
        <v>81</v>
      </c>
      <c r="AA2023" s="6" t="s">
        <v>81</v>
      </c>
      <c r="AB2023" s="6" t="s">
        <v>81</v>
      </c>
      <c r="AC2023" s="6" t="s">
        <v>10886</v>
      </c>
      <c r="AD2023" s="16" t="n">
        <v>45554</v>
      </c>
      <c r="AE2023" s="6" t="s">
        <v>81</v>
      </c>
      <c r="AF2023" s="6" t="s">
        <v>81</v>
      </c>
      <c r="AG2023" s="6" t="s">
        <v>81</v>
      </c>
      <c r="AH2023" s="6" t="s">
        <v>16572</v>
      </c>
      <c r="AI2023" s="6" t="s">
        <v>81</v>
      </c>
      <c r="AJ2023" s="6" t="s">
        <v>8500</v>
      </c>
      <c r="AK2023" s="6" t="s">
        <v>18383</v>
      </c>
      <c r="AL2023" s="6" t="s">
        <v>18444</v>
      </c>
      <c r="AM2023" s="6" t="s">
        <v>19391</v>
      </c>
      <c r="AN2023" s="6" t="s">
        <v>81</v>
      </c>
      <c r="AO2023" s="6" t="s">
        <v>81</v>
      </c>
      <c r="AP2023" s="6" t="s">
        <v>20376</v>
      </c>
      <c r="AQ2023" s="6" t="s">
        <v>81</v>
      </c>
      <c r="AR2023" s="6" t="s">
        <v>20561</v>
      </c>
      <c r="AS2023" s="6" t="s">
        <v>18383</v>
      </c>
      <c r="AT2023" s="6" t="s">
        <v>18444</v>
      </c>
      <c r="AU2023" s="6" t="s">
        <v>20689</v>
      </c>
      <c r="AV2023" s="6" t="s">
        <v>81</v>
      </c>
      <c r="AW2023" s="6" t="s">
        <v>81</v>
      </c>
      <c r="AX2023" s="6" t="s">
        <v>5606</v>
      </c>
      <c r="AY2023" s="6" t="s">
        <v>81</v>
      </c>
      <c r="AZ2023" s="6" t="s">
        <v>81</v>
      </c>
      <c r="BA2023" s="6" t="s">
        <v>81</v>
      </c>
      <c r="BB2023" s="24" t="n">
        <v>66</v>
      </c>
      <c r="BC2023" s="26"/>
      <c r="BD2023" s="26"/>
      <c r="BE2023" s="26"/>
      <c r="BF2023" s="26"/>
      <c r="BG2023" s="26"/>
      <c r="BH2023" s="26"/>
      <c r="BI2023" s="26"/>
      <c r="BJ2023" s="26"/>
      <c r="BK2023" s="26"/>
      <c r="BL2023" s="26"/>
      <c r="BM2023" s="26"/>
      <c r="BN2023" s="26"/>
      <c r="BO2023" s="26"/>
      <c r="BP2023" s="16" t="n">
        <v>45701</v>
      </c>
      <c r="BQ2023" s="28" t="str">
        <f>HYPERLINK("https://organic.ams.usda.gov/Integrity/Certificate.aspx?cid=81&amp;nopid=4212024042")</f>
        <v>https://organic.ams.usda.gov/Integrity/Certificate.aspx?cid=81&amp;nopid=4212024042</v>
      </c>
    </row>
    <row r="2024">
      <c r="A2024" t="s">
        <v>3</v>
      </c>
      <c r="B2024" s="6" t="s">
        <v>16</v>
      </c>
      <c r="C2024" s="6" t="s">
        <v>63</v>
      </c>
      <c r="D2024" s="6" t="s">
        <v>109</v>
      </c>
      <c r="E2024" s="10" t="s">
        <v>2165</v>
      </c>
      <c r="F2024" s="6" t="s">
        <v>4878</v>
      </c>
      <c r="G2024" s="6" t="s">
        <v>81</v>
      </c>
      <c r="H2024" s="6" t="s">
        <v>7080</v>
      </c>
      <c r="I2024" s="6" t="s">
        <v>8521</v>
      </c>
      <c r="J2024" s="6" t="s">
        <v>10557</v>
      </c>
      <c r="K2024" s="6" t="s">
        <v>10886</v>
      </c>
      <c r="L2024" s="16" t="n">
        <v>45230</v>
      </c>
      <c r="M2024" s="16" t="n">
        <v>45731</v>
      </c>
      <c r="N2024" s="6" t="s">
        <v>10886</v>
      </c>
      <c r="O2024" s="16" t="n">
        <v>45230</v>
      </c>
      <c r="P2024" s="6" t="s">
        <v>12069</v>
      </c>
      <c r="Q2024" s="6" t="s">
        <v>81</v>
      </c>
      <c r="R2024" s="6" t="s">
        <v>81</v>
      </c>
      <c r="S2024" s="6" t="s">
        <v>10886</v>
      </c>
      <c r="T2024" s="16" t="n">
        <v>45230</v>
      </c>
      <c r="U2024" s="6" t="s">
        <v>13182</v>
      </c>
      <c r="V2024" s="6" t="s">
        <v>81</v>
      </c>
      <c r="W2024" s="6" t="s">
        <v>81</v>
      </c>
      <c r="X2024" s="6" t="s">
        <v>81</v>
      </c>
      <c r="Y2024" s="21" t="s">
        <v>81</v>
      </c>
      <c r="Z2024" s="6" t="s">
        <v>81</v>
      </c>
      <c r="AA2024" s="6" t="s">
        <v>81</v>
      </c>
      <c r="AB2024" s="6" t="s">
        <v>81</v>
      </c>
      <c r="AC2024" s="6" t="s">
        <v>10886</v>
      </c>
      <c r="AD2024" s="16" t="n">
        <v>45230</v>
      </c>
      <c r="AE2024" s="6" t="s">
        <v>81</v>
      </c>
      <c r="AF2024" s="6" t="s">
        <v>81</v>
      </c>
      <c r="AG2024" s="6" t="s">
        <v>81</v>
      </c>
      <c r="AH2024" s="6" t="s">
        <v>16573</v>
      </c>
      <c r="AI2024" s="6" t="s">
        <v>81</v>
      </c>
      <c r="AJ2024" s="6" t="s">
        <v>17381</v>
      </c>
      <c r="AK2024" s="6" t="s">
        <v>18383</v>
      </c>
      <c r="AL2024" s="6" t="s">
        <v>18444</v>
      </c>
      <c r="AM2024" s="6" t="s">
        <v>19392</v>
      </c>
      <c r="AN2024" s="6" t="s">
        <v>81</v>
      </c>
      <c r="AO2024" s="6" t="s">
        <v>81</v>
      </c>
      <c r="AP2024" s="6" t="s">
        <v>20377</v>
      </c>
      <c r="AQ2024" s="6" t="s">
        <v>81</v>
      </c>
      <c r="AR2024" s="6" t="s">
        <v>20562</v>
      </c>
      <c r="AS2024" s="6" t="s">
        <v>18383</v>
      </c>
      <c r="AT2024" s="6" t="s">
        <v>18444</v>
      </c>
      <c r="AU2024" s="6" t="s">
        <v>20690</v>
      </c>
      <c r="AV2024" s="6" t="s">
        <v>81</v>
      </c>
      <c r="AW2024" s="6" t="s">
        <v>81</v>
      </c>
      <c r="AX2024" s="6" t="s">
        <v>22053</v>
      </c>
      <c r="AY2024" s="6" t="s">
        <v>81</v>
      </c>
      <c r="AZ2024" s="6" t="s">
        <v>81</v>
      </c>
      <c r="BA2024" s="6" t="s">
        <v>81</v>
      </c>
      <c r="BB2024" s="24" t="n">
        <v>425</v>
      </c>
      <c r="BC2024" s="26"/>
      <c r="BD2024" s="26"/>
      <c r="BE2024" s="26"/>
      <c r="BF2024" s="26"/>
      <c r="BG2024" s="26"/>
      <c r="BH2024" s="26"/>
      <c r="BI2024" s="26"/>
      <c r="BJ2024" s="26"/>
      <c r="BK2024" s="26"/>
      <c r="BL2024" s="26"/>
      <c r="BM2024" s="26"/>
      <c r="BN2024" s="26"/>
      <c r="BO2024" s="26"/>
      <c r="BP2024" s="16" t="n">
        <v>45701</v>
      </c>
      <c r="BQ2024" s="28" t="str">
        <f>HYPERLINK("https://organic.ams.usda.gov/Integrity/Certificate.aspx?cid=81&amp;nopid=4212023027")</f>
        <v>https://organic.ams.usda.gov/Integrity/Certificate.aspx?cid=81&amp;nopid=4212023027</v>
      </c>
    </row>
    <row r="2025">
      <c r="A2025" t="s">
        <v>3</v>
      </c>
      <c r="B2025" s="6" t="s">
        <v>16</v>
      </c>
      <c r="C2025" s="6" t="s">
        <v>63</v>
      </c>
      <c r="D2025" s="6" t="s">
        <v>109</v>
      </c>
      <c r="E2025" s="10" t="s">
        <v>2166</v>
      </c>
      <c r="F2025" s="6" t="s">
        <v>4879</v>
      </c>
      <c r="G2025" s="6" t="s">
        <v>81</v>
      </c>
      <c r="H2025" s="6" t="s">
        <v>7740</v>
      </c>
      <c r="I2025" s="6" t="s">
        <v>8633</v>
      </c>
      <c r="J2025" s="6" t="s">
        <v>10558</v>
      </c>
      <c r="K2025" s="6" t="s">
        <v>10886</v>
      </c>
      <c r="L2025" s="16" t="n">
        <v>40892</v>
      </c>
      <c r="M2025" s="16" t="n">
        <v>45731</v>
      </c>
      <c r="N2025" s="6" t="s">
        <v>10886</v>
      </c>
      <c r="O2025" s="16" t="n">
        <v>40892</v>
      </c>
      <c r="P2025" s="6" t="s">
        <v>11085</v>
      </c>
      <c r="Q2025" s="6" t="s">
        <v>81</v>
      </c>
      <c r="R2025" s="6" t="s">
        <v>81</v>
      </c>
      <c r="S2025" s="6" t="s">
        <v>10886</v>
      </c>
      <c r="T2025" s="16" t="n">
        <v>40892</v>
      </c>
      <c r="U2025" s="6" t="s">
        <v>13281</v>
      </c>
      <c r="V2025" s="6" t="s">
        <v>81</v>
      </c>
      <c r="W2025" s="6" t="s">
        <v>81</v>
      </c>
      <c r="X2025" s="6" t="s">
        <v>81</v>
      </c>
      <c r="Y2025" s="21" t="s">
        <v>81</v>
      </c>
      <c r="Z2025" s="6" t="s">
        <v>81</v>
      </c>
      <c r="AA2025" s="6" t="s">
        <v>81</v>
      </c>
      <c r="AB2025" s="6" t="s">
        <v>81</v>
      </c>
      <c r="AC2025" s="6" t="s">
        <v>10886</v>
      </c>
      <c r="AD2025" s="16" t="n">
        <v>40892</v>
      </c>
      <c r="AE2025" s="6" t="s">
        <v>81</v>
      </c>
      <c r="AF2025" s="6" t="s">
        <v>81</v>
      </c>
      <c r="AG2025" s="6" t="s">
        <v>81</v>
      </c>
      <c r="AH2025" s="6" t="s">
        <v>16574</v>
      </c>
      <c r="AI2025" s="6" t="s">
        <v>81</v>
      </c>
      <c r="AJ2025" s="6" t="s">
        <v>17840</v>
      </c>
      <c r="AK2025" s="6" t="s">
        <v>18383</v>
      </c>
      <c r="AL2025" s="6" t="s">
        <v>18444</v>
      </c>
      <c r="AM2025" s="6" t="s">
        <v>19022</v>
      </c>
      <c r="AN2025" s="6" t="s">
        <v>19683</v>
      </c>
      <c r="AO2025" s="6" t="s">
        <v>19751</v>
      </c>
      <c r="AP2025" s="6" t="s">
        <v>20378</v>
      </c>
      <c r="AQ2025" s="6" t="s">
        <v>81</v>
      </c>
      <c r="AR2025" s="6" t="s">
        <v>17840</v>
      </c>
      <c r="AS2025" s="6" t="s">
        <v>18383</v>
      </c>
      <c r="AT2025" s="6" t="s">
        <v>18444</v>
      </c>
      <c r="AU2025" s="6" t="s">
        <v>19022</v>
      </c>
      <c r="AV2025" s="6" t="s">
        <v>81</v>
      </c>
      <c r="AW2025" s="6" t="s">
        <v>81</v>
      </c>
      <c r="AX2025" s="6" t="s">
        <v>22054</v>
      </c>
      <c r="AY2025" s="6" t="s">
        <v>81</v>
      </c>
      <c r="AZ2025" s="6" t="s">
        <v>81</v>
      </c>
      <c r="BA2025" s="6" t="s">
        <v>81</v>
      </c>
      <c r="BB2025" s="24" t="n">
        <v>411</v>
      </c>
      <c r="BC2025" s="26"/>
      <c r="BD2025" s="26"/>
      <c r="BE2025" s="26"/>
      <c r="BF2025" s="26"/>
      <c r="BG2025" s="26"/>
      <c r="BH2025" s="26"/>
      <c r="BI2025" s="26"/>
      <c r="BJ2025" s="26"/>
      <c r="BK2025" s="26"/>
      <c r="BL2025" s="26"/>
      <c r="BM2025" s="26"/>
      <c r="BN2025" s="26"/>
      <c r="BO2025" s="26"/>
      <c r="BP2025" s="16" t="n">
        <v>45701</v>
      </c>
      <c r="BQ2025" s="28" t="str">
        <f>HYPERLINK("https://organic.ams.usda.gov/Integrity/Certificate.aspx?cid=81&amp;nopid=4210011041")</f>
        <v>https://organic.ams.usda.gov/Integrity/Certificate.aspx?cid=81&amp;nopid=4210011041</v>
      </c>
    </row>
    <row r="2026">
      <c r="A2026" t="s">
        <v>3</v>
      </c>
      <c r="B2026" s="6" t="s">
        <v>16</v>
      </c>
      <c r="C2026" s="6" t="s">
        <v>63</v>
      </c>
      <c r="D2026" s="6" t="s">
        <v>109</v>
      </c>
      <c r="E2026" s="10" t="s">
        <v>2167</v>
      </c>
      <c r="F2026" s="6" t="s">
        <v>4880</v>
      </c>
      <c r="G2026" s="6" t="s">
        <v>81</v>
      </c>
      <c r="H2026" s="6" t="s">
        <v>7741</v>
      </c>
      <c r="I2026" s="6" t="s">
        <v>8520</v>
      </c>
      <c r="J2026" s="6" t="s">
        <v>9215</v>
      </c>
      <c r="K2026" s="6" t="s">
        <v>10886</v>
      </c>
      <c r="L2026" s="16" t="n">
        <v>38069</v>
      </c>
      <c r="M2026" s="16" t="n">
        <v>45731</v>
      </c>
      <c r="N2026" s="6" t="s">
        <v>10886</v>
      </c>
      <c r="O2026" s="16" t="n">
        <v>38069</v>
      </c>
      <c r="P2026" s="6" t="s">
        <v>11564</v>
      </c>
      <c r="Q2026" s="6" t="s">
        <v>81</v>
      </c>
      <c r="R2026" s="6" t="s">
        <v>81</v>
      </c>
      <c r="S2026" s="6" t="s">
        <v>10886</v>
      </c>
      <c r="T2026" s="16" t="n">
        <v>38069</v>
      </c>
      <c r="U2026" s="6" t="s">
        <v>13281</v>
      </c>
      <c r="V2026" s="6" t="s">
        <v>81</v>
      </c>
      <c r="W2026" s="6" t="s">
        <v>81</v>
      </c>
      <c r="X2026" s="6" t="s">
        <v>81</v>
      </c>
      <c r="Y2026" s="21" t="s">
        <v>81</v>
      </c>
      <c r="Z2026" s="6" t="s">
        <v>81</v>
      </c>
      <c r="AA2026" s="6" t="s">
        <v>81</v>
      </c>
      <c r="AB2026" s="6" t="s">
        <v>81</v>
      </c>
      <c r="AC2026" s="6" t="s">
        <v>10886</v>
      </c>
      <c r="AD2026" s="16" t="n">
        <v>38069</v>
      </c>
      <c r="AE2026" s="6" t="s">
        <v>81</v>
      </c>
      <c r="AF2026" s="6" t="s">
        <v>81</v>
      </c>
      <c r="AG2026" s="6" t="s">
        <v>81</v>
      </c>
      <c r="AH2026" s="6" t="s">
        <v>16575</v>
      </c>
      <c r="AI2026" s="6" t="s">
        <v>81</v>
      </c>
      <c r="AJ2026" s="6" t="s">
        <v>17748</v>
      </c>
      <c r="AK2026" s="6" t="s">
        <v>18383</v>
      </c>
      <c r="AL2026" s="6" t="s">
        <v>18444</v>
      </c>
      <c r="AM2026" s="6" t="s">
        <v>18916</v>
      </c>
      <c r="AN2026" s="6" t="s">
        <v>19655</v>
      </c>
      <c r="AO2026" s="6" t="s">
        <v>19886</v>
      </c>
      <c r="AP2026" s="6" t="s">
        <v>81</v>
      </c>
      <c r="AQ2026" s="6" t="s">
        <v>81</v>
      </c>
      <c r="AR2026" s="6" t="s">
        <v>81</v>
      </c>
      <c r="AS2026" s="6" t="s">
        <v>81</v>
      </c>
      <c r="AT2026" s="6" t="s">
        <v>81</v>
      </c>
      <c r="AU2026" s="6" t="s">
        <v>81</v>
      </c>
      <c r="AV2026" s="6" t="s">
        <v>81</v>
      </c>
      <c r="AW2026" s="6" t="s">
        <v>81</v>
      </c>
      <c r="AX2026" s="6" t="s">
        <v>22055</v>
      </c>
      <c r="AY2026" s="6" t="s">
        <v>81</v>
      </c>
      <c r="AZ2026" s="6" t="s">
        <v>81</v>
      </c>
      <c r="BA2026" s="6" t="s">
        <v>81</v>
      </c>
      <c r="BB2026" s="24" t="n">
        <v>428</v>
      </c>
      <c r="BC2026" s="26"/>
      <c r="BD2026" s="26"/>
      <c r="BE2026" s="26"/>
      <c r="BF2026" s="26"/>
      <c r="BG2026" s="26"/>
      <c r="BH2026" s="26"/>
      <c r="BI2026" s="26"/>
      <c r="BJ2026" s="26"/>
      <c r="BK2026" s="26"/>
      <c r="BL2026" s="26"/>
      <c r="BM2026" s="26"/>
      <c r="BN2026" s="26"/>
      <c r="BO2026" s="26"/>
      <c r="BP2026" s="16" t="n">
        <v>45701</v>
      </c>
      <c r="BQ2026" s="28" t="str">
        <f>HYPERLINK("https://organic.ams.usda.gov/Integrity/Certificate.aspx?cid=81&amp;nopid=4210004010")</f>
        <v>https://organic.ams.usda.gov/Integrity/Certificate.aspx?cid=81&amp;nopid=4210004010</v>
      </c>
    </row>
    <row r="2027">
      <c r="A2027" t="s">
        <v>3</v>
      </c>
      <c r="B2027" s="6" t="s">
        <v>16</v>
      </c>
      <c r="C2027" s="6" t="s">
        <v>63</v>
      </c>
      <c r="D2027" s="6" t="s">
        <v>109</v>
      </c>
      <c r="E2027" s="10" t="s">
        <v>2168</v>
      </c>
      <c r="F2027" s="6" t="s">
        <v>4881</v>
      </c>
      <c r="G2027" s="6" t="s">
        <v>81</v>
      </c>
      <c r="H2027" s="6" t="s">
        <v>7742</v>
      </c>
      <c r="I2027" s="6" t="s">
        <v>8556</v>
      </c>
      <c r="J2027" s="6" t="s">
        <v>10559</v>
      </c>
      <c r="K2027" s="6" t="s">
        <v>10886</v>
      </c>
      <c r="L2027" s="16" t="n">
        <v>41396</v>
      </c>
      <c r="M2027" s="16" t="n">
        <v>45731</v>
      </c>
      <c r="N2027" s="6" t="s">
        <v>10886</v>
      </c>
      <c r="O2027" s="16" t="n">
        <v>41396</v>
      </c>
      <c r="P2027" s="6" t="s">
        <v>10946</v>
      </c>
      <c r="Q2027" s="6" t="s">
        <v>81</v>
      </c>
      <c r="R2027" s="6" t="s">
        <v>81</v>
      </c>
      <c r="S2027" s="6" t="s">
        <v>10886</v>
      </c>
      <c r="T2027" s="16" t="n">
        <v>41396</v>
      </c>
      <c r="U2027" s="6" t="s">
        <v>13785</v>
      </c>
      <c r="V2027" s="6" t="s">
        <v>81</v>
      </c>
      <c r="W2027" s="6" t="s">
        <v>81</v>
      </c>
      <c r="X2027" s="6" t="s">
        <v>81</v>
      </c>
      <c r="Y2027" s="21" t="s">
        <v>81</v>
      </c>
      <c r="Z2027" s="6" t="s">
        <v>81</v>
      </c>
      <c r="AA2027" s="6" t="s">
        <v>81</v>
      </c>
      <c r="AB2027" s="6" t="s">
        <v>81</v>
      </c>
      <c r="AC2027" s="6" t="s">
        <v>81</v>
      </c>
      <c r="AD2027" s="21" t="s">
        <v>81</v>
      </c>
      <c r="AE2027" s="6" t="s">
        <v>81</v>
      </c>
      <c r="AF2027" s="6" t="s">
        <v>81</v>
      </c>
      <c r="AG2027" s="6" t="s">
        <v>81</v>
      </c>
      <c r="AH2027" s="6" t="s">
        <v>16576</v>
      </c>
      <c r="AI2027" s="6" t="s">
        <v>81</v>
      </c>
      <c r="AJ2027" s="6" t="s">
        <v>18182</v>
      </c>
      <c r="AK2027" s="6" t="s">
        <v>18383</v>
      </c>
      <c r="AL2027" s="6" t="s">
        <v>18444</v>
      </c>
      <c r="AM2027" s="6" t="s">
        <v>19392</v>
      </c>
      <c r="AN2027" s="6" t="s">
        <v>19655</v>
      </c>
      <c r="AO2027" s="6" t="s">
        <v>19886</v>
      </c>
      <c r="AP2027" s="6" t="s">
        <v>81</v>
      </c>
      <c r="AQ2027" s="6" t="s">
        <v>81</v>
      </c>
      <c r="AR2027" s="6" t="s">
        <v>81</v>
      </c>
      <c r="AS2027" s="6" t="s">
        <v>81</v>
      </c>
      <c r="AT2027" s="6" t="s">
        <v>81</v>
      </c>
      <c r="AU2027" s="6" t="s">
        <v>81</v>
      </c>
      <c r="AV2027" s="6" t="s">
        <v>81</v>
      </c>
      <c r="AW2027" s="6" t="s">
        <v>81</v>
      </c>
      <c r="AX2027" s="6" t="s">
        <v>22056</v>
      </c>
      <c r="AY2027" s="6" t="s">
        <v>81</v>
      </c>
      <c r="AZ2027" s="6" t="s">
        <v>81</v>
      </c>
      <c r="BA2027" s="6" t="s">
        <v>81</v>
      </c>
      <c r="BB2027" s="24" t="n">
        <v>91</v>
      </c>
      <c r="BC2027" s="26"/>
      <c r="BD2027" s="26"/>
      <c r="BE2027" s="26"/>
      <c r="BF2027" s="26"/>
      <c r="BG2027" s="26"/>
      <c r="BH2027" s="26"/>
      <c r="BI2027" s="26"/>
      <c r="BJ2027" s="26"/>
      <c r="BK2027" s="26"/>
      <c r="BL2027" s="26"/>
      <c r="BM2027" s="26"/>
      <c r="BN2027" s="26"/>
      <c r="BO2027" s="26"/>
      <c r="BP2027" s="16" t="n">
        <v>45701</v>
      </c>
      <c r="BQ2027" s="28" t="str">
        <f>HYPERLINK("https://organic.ams.usda.gov/Integrity/Certificate.aspx?cid=81&amp;nopid=4210013026")</f>
        <v>https://organic.ams.usda.gov/Integrity/Certificate.aspx?cid=81&amp;nopid=4210013026</v>
      </c>
    </row>
    <row r="2028">
      <c r="A2028" t="s">
        <v>3</v>
      </c>
      <c r="B2028" s="6" t="s">
        <v>16</v>
      </c>
      <c r="C2028" s="6" t="s">
        <v>63</v>
      </c>
      <c r="D2028" s="6" t="s">
        <v>109</v>
      </c>
      <c r="E2028" s="10" t="s">
        <v>2169</v>
      </c>
      <c r="F2028" s="6" t="s">
        <v>4882</v>
      </c>
      <c r="G2028" s="6" t="s">
        <v>81</v>
      </c>
      <c r="H2028" s="6" t="s">
        <v>7743</v>
      </c>
      <c r="I2028" s="6" t="s">
        <v>8636</v>
      </c>
      <c r="J2028" s="6" t="s">
        <v>10560</v>
      </c>
      <c r="K2028" s="6" t="s">
        <v>10886</v>
      </c>
      <c r="L2028" s="16" t="n">
        <v>37575</v>
      </c>
      <c r="M2028" s="16" t="n">
        <v>45731</v>
      </c>
      <c r="N2028" s="6" t="s">
        <v>10886</v>
      </c>
      <c r="O2028" s="16" t="n">
        <v>37575</v>
      </c>
      <c r="P2028" s="6" t="s">
        <v>11175</v>
      </c>
      <c r="Q2028" s="6" t="s">
        <v>81</v>
      </c>
      <c r="R2028" s="6" t="s">
        <v>81</v>
      </c>
      <c r="S2028" s="6" t="s">
        <v>10886</v>
      </c>
      <c r="T2028" s="16" t="n">
        <v>37575</v>
      </c>
      <c r="U2028" s="6" t="s">
        <v>13281</v>
      </c>
      <c r="V2028" s="6" t="s">
        <v>81</v>
      </c>
      <c r="W2028" s="6" t="s">
        <v>81</v>
      </c>
      <c r="X2028" s="6" t="s">
        <v>81</v>
      </c>
      <c r="Y2028" s="21" t="s">
        <v>81</v>
      </c>
      <c r="Z2028" s="6" t="s">
        <v>81</v>
      </c>
      <c r="AA2028" s="6" t="s">
        <v>81</v>
      </c>
      <c r="AB2028" s="6" t="s">
        <v>81</v>
      </c>
      <c r="AC2028" s="6" t="s">
        <v>10886</v>
      </c>
      <c r="AD2028" s="16" t="n">
        <v>37575</v>
      </c>
      <c r="AE2028" s="6" t="s">
        <v>81</v>
      </c>
      <c r="AF2028" s="6" t="s">
        <v>81</v>
      </c>
      <c r="AG2028" s="6" t="s">
        <v>81</v>
      </c>
      <c r="AH2028" s="6" t="s">
        <v>16577</v>
      </c>
      <c r="AI2028" s="6" t="s">
        <v>81</v>
      </c>
      <c r="AJ2028" s="6" t="s">
        <v>17887</v>
      </c>
      <c r="AK2028" s="6" t="s">
        <v>18383</v>
      </c>
      <c r="AL2028" s="6" t="s">
        <v>18444</v>
      </c>
      <c r="AM2028" s="6" t="s">
        <v>19073</v>
      </c>
      <c r="AN2028" s="6" t="s">
        <v>19653</v>
      </c>
      <c r="AO2028" s="6" t="s">
        <v>19928</v>
      </c>
      <c r="AP2028" s="6" t="s">
        <v>81</v>
      </c>
      <c r="AQ2028" s="6" t="s">
        <v>81</v>
      </c>
      <c r="AR2028" s="6" t="s">
        <v>81</v>
      </c>
      <c r="AS2028" s="6" t="s">
        <v>81</v>
      </c>
      <c r="AT2028" s="6" t="s">
        <v>81</v>
      </c>
      <c r="AU2028" s="6" t="s">
        <v>81</v>
      </c>
      <c r="AV2028" s="6" t="s">
        <v>81</v>
      </c>
      <c r="AW2028" s="6" t="s">
        <v>81</v>
      </c>
      <c r="AX2028" s="6" t="s">
        <v>22057</v>
      </c>
      <c r="AY2028" s="6" t="s">
        <v>81</v>
      </c>
      <c r="AZ2028" s="6" t="s">
        <v>81</v>
      </c>
      <c r="BA2028" s="6" t="s">
        <v>81</v>
      </c>
      <c r="BB2028" s="24" t="n">
        <v>316</v>
      </c>
      <c r="BC2028" s="26"/>
      <c r="BD2028" s="26"/>
      <c r="BE2028" s="26"/>
      <c r="BF2028" s="26"/>
      <c r="BG2028" s="26"/>
      <c r="BH2028" s="26"/>
      <c r="BI2028" s="26"/>
      <c r="BJ2028" s="26"/>
      <c r="BK2028" s="26"/>
      <c r="BL2028" s="26"/>
      <c r="BM2028" s="26"/>
      <c r="BN2028" s="26"/>
      <c r="BO2028" s="26"/>
      <c r="BP2028" s="16" t="n">
        <v>45701</v>
      </c>
      <c r="BQ2028" s="28" t="str">
        <f>HYPERLINK("https://organic.ams.usda.gov/Integrity/Certificate.aspx?cid=81&amp;nopid=4210099001")</f>
        <v>https://organic.ams.usda.gov/Integrity/Certificate.aspx?cid=81&amp;nopid=4210099001</v>
      </c>
    </row>
    <row r="2029">
      <c r="A2029" t="s">
        <v>3</v>
      </c>
      <c r="B2029" s="6" t="s">
        <v>16</v>
      </c>
      <c r="C2029" s="6" t="s">
        <v>63</v>
      </c>
      <c r="D2029" s="6" t="s">
        <v>109</v>
      </c>
      <c r="E2029" s="10" t="s">
        <v>2170</v>
      </c>
      <c r="F2029" s="6" t="s">
        <v>4883</v>
      </c>
      <c r="G2029" s="6" t="s">
        <v>5785</v>
      </c>
      <c r="H2029" s="6" t="s">
        <v>7744</v>
      </c>
      <c r="I2029" s="6" t="s">
        <v>9385</v>
      </c>
      <c r="J2029" s="6" t="s">
        <v>10534</v>
      </c>
      <c r="K2029" s="6" t="s">
        <v>10886</v>
      </c>
      <c r="L2029" s="16" t="n">
        <v>45229</v>
      </c>
      <c r="M2029" s="16" t="n">
        <v>45731</v>
      </c>
      <c r="N2029" s="6" t="s">
        <v>10886</v>
      </c>
      <c r="O2029" s="16" t="n">
        <v>45229</v>
      </c>
      <c r="P2029" s="6" t="s">
        <v>11175</v>
      </c>
      <c r="Q2029" s="6" t="s">
        <v>81</v>
      </c>
      <c r="R2029" s="6" t="s">
        <v>81</v>
      </c>
      <c r="S2029" s="6" t="s">
        <v>10886</v>
      </c>
      <c r="T2029" s="16" t="n">
        <v>45229</v>
      </c>
      <c r="U2029" s="6" t="s">
        <v>13281</v>
      </c>
      <c r="V2029" s="6" t="s">
        <v>81</v>
      </c>
      <c r="W2029" s="6" t="s">
        <v>81</v>
      </c>
      <c r="X2029" s="6" t="s">
        <v>81</v>
      </c>
      <c r="Y2029" s="21" t="s">
        <v>81</v>
      </c>
      <c r="Z2029" s="6" t="s">
        <v>81</v>
      </c>
      <c r="AA2029" s="6" t="s">
        <v>81</v>
      </c>
      <c r="AB2029" s="6" t="s">
        <v>81</v>
      </c>
      <c r="AC2029" s="6" t="s">
        <v>81</v>
      </c>
      <c r="AD2029" s="21" t="s">
        <v>81</v>
      </c>
      <c r="AE2029" s="6" t="s">
        <v>81</v>
      </c>
      <c r="AF2029" s="6" t="s">
        <v>81</v>
      </c>
      <c r="AG2029" s="6" t="s">
        <v>81</v>
      </c>
      <c r="AH2029" s="6" t="s">
        <v>16578</v>
      </c>
      <c r="AI2029" s="6" t="s">
        <v>81</v>
      </c>
      <c r="AJ2029" s="6" t="s">
        <v>18183</v>
      </c>
      <c r="AK2029" s="6" t="s">
        <v>18383</v>
      </c>
      <c r="AL2029" s="6" t="s">
        <v>18444</v>
      </c>
      <c r="AM2029" s="6" t="s">
        <v>19393</v>
      </c>
      <c r="AN2029" s="6" t="s">
        <v>19653</v>
      </c>
      <c r="AO2029" s="6" t="s">
        <v>19928</v>
      </c>
      <c r="AP2029" s="6" t="s">
        <v>81</v>
      </c>
      <c r="AQ2029" s="6" t="s">
        <v>81</v>
      </c>
      <c r="AR2029" s="6" t="s">
        <v>81</v>
      </c>
      <c r="AS2029" s="6" t="s">
        <v>81</v>
      </c>
      <c r="AT2029" s="6" t="s">
        <v>81</v>
      </c>
      <c r="AU2029" s="6" t="s">
        <v>81</v>
      </c>
      <c r="AV2029" s="6" t="s">
        <v>81</v>
      </c>
      <c r="AW2029" s="6" t="s">
        <v>81</v>
      </c>
      <c r="AX2029" s="6" t="s">
        <v>22058</v>
      </c>
      <c r="AY2029" s="6" t="s">
        <v>81</v>
      </c>
      <c r="AZ2029" s="6" t="s">
        <v>81</v>
      </c>
      <c r="BA2029" s="6" t="s">
        <v>81</v>
      </c>
      <c r="BB2029" s="24" t="n">
        <v>34</v>
      </c>
      <c r="BC2029" s="26"/>
      <c r="BD2029" s="26"/>
      <c r="BE2029" s="26"/>
      <c r="BF2029" s="26"/>
      <c r="BG2029" s="26"/>
      <c r="BH2029" s="26"/>
      <c r="BI2029" s="26"/>
      <c r="BJ2029" s="26"/>
      <c r="BK2029" s="26"/>
      <c r="BL2029" s="26"/>
      <c r="BM2029" s="26"/>
      <c r="BN2029" s="26"/>
      <c r="BO2029" s="26"/>
      <c r="BP2029" s="16" t="n">
        <v>45701</v>
      </c>
      <c r="BQ2029" s="28" t="str">
        <f>HYPERLINK("https://organic.ams.usda.gov/Integrity/Certificate.aspx?cid=81&amp;nopid=4210006037")</f>
        <v>https://organic.ams.usda.gov/Integrity/Certificate.aspx?cid=81&amp;nopid=4210006037</v>
      </c>
    </row>
    <row r="2030">
      <c r="A2030" t="s">
        <v>3</v>
      </c>
      <c r="B2030" s="6" t="s">
        <v>16</v>
      </c>
      <c r="C2030" s="6" t="s">
        <v>63</v>
      </c>
      <c r="D2030" s="6" t="s">
        <v>109</v>
      </c>
      <c r="E2030" s="10" t="s">
        <v>2171</v>
      </c>
      <c r="F2030" s="6" t="s">
        <v>4884</v>
      </c>
      <c r="G2030" s="6" t="s">
        <v>81</v>
      </c>
      <c r="H2030" s="6" t="s">
        <v>7745</v>
      </c>
      <c r="I2030" s="6" t="s">
        <v>9386</v>
      </c>
      <c r="J2030" s="6" t="s">
        <v>10561</v>
      </c>
      <c r="K2030" s="6" t="s">
        <v>10886</v>
      </c>
      <c r="L2030" s="16" t="n">
        <v>38487</v>
      </c>
      <c r="M2030" s="16" t="n">
        <v>45731</v>
      </c>
      <c r="N2030" s="6" t="s">
        <v>10886</v>
      </c>
      <c r="O2030" s="16" t="n">
        <v>38487</v>
      </c>
      <c r="P2030" s="6" t="s">
        <v>11130</v>
      </c>
      <c r="Q2030" s="6" t="s">
        <v>81</v>
      </c>
      <c r="R2030" s="6" t="s">
        <v>81</v>
      </c>
      <c r="S2030" s="6" t="s">
        <v>10886</v>
      </c>
      <c r="T2030" s="16" t="n">
        <v>38487</v>
      </c>
      <c r="U2030" s="6" t="s">
        <v>13182</v>
      </c>
      <c r="V2030" s="6" t="s">
        <v>81</v>
      </c>
      <c r="W2030" s="6" t="s">
        <v>81</v>
      </c>
      <c r="X2030" s="6" t="s">
        <v>81</v>
      </c>
      <c r="Y2030" s="21" t="s">
        <v>81</v>
      </c>
      <c r="Z2030" s="6" t="s">
        <v>81</v>
      </c>
      <c r="AA2030" s="6" t="s">
        <v>81</v>
      </c>
      <c r="AB2030" s="6" t="s">
        <v>81</v>
      </c>
      <c r="AC2030" s="6" t="s">
        <v>10886</v>
      </c>
      <c r="AD2030" s="16" t="n">
        <v>38487</v>
      </c>
      <c r="AE2030" s="6" t="s">
        <v>81</v>
      </c>
      <c r="AF2030" s="6" t="s">
        <v>81</v>
      </c>
      <c r="AG2030" s="6" t="s">
        <v>81</v>
      </c>
      <c r="AH2030" s="6" t="s">
        <v>16579</v>
      </c>
      <c r="AI2030" s="6" t="s">
        <v>81</v>
      </c>
      <c r="AJ2030" s="6" t="s">
        <v>17840</v>
      </c>
      <c r="AK2030" s="6" t="s">
        <v>18383</v>
      </c>
      <c r="AL2030" s="6" t="s">
        <v>18444</v>
      </c>
      <c r="AM2030" s="6" t="s">
        <v>19022</v>
      </c>
      <c r="AN2030" s="6" t="s">
        <v>19683</v>
      </c>
      <c r="AO2030" s="6" t="s">
        <v>19751</v>
      </c>
      <c r="AP2030" s="6" t="s">
        <v>81</v>
      </c>
      <c r="AQ2030" s="6" t="s">
        <v>81</v>
      </c>
      <c r="AR2030" s="6" t="s">
        <v>81</v>
      </c>
      <c r="AS2030" s="6" t="s">
        <v>81</v>
      </c>
      <c r="AT2030" s="6" t="s">
        <v>81</v>
      </c>
      <c r="AU2030" s="6" t="s">
        <v>81</v>
      </c>
      <c r="AV2030" s="6" t="s">
        <v>81</v>
      </c>
      <c r="AW2030" s="6" t="s">
        <v>81</v>
      </c>
      <c r="AX2030" s="6" t="s">
        <v>22059</v>
      </c>
      <c r="AY2030" s="6" t="s">
        <v>81</v>
      </c>
      <c r="AZ2030" s="6" t="s">
        <v>81</v>
      </c>
      <c r="BA2030" s="6" t="s">
        <v>81</v>
      </c>
      <c r="BB2030" s="24" t="n">
        <v>302</v>
      </c>
      <c r="BC2030" s="26"/>
      <c r="BD2030" s="26"/>
      <c r="BE2030" s="26"/>
      <c r="BF2030" s="26"/>
      <c r="BG2030" s="26"/>
      <c r="BH2030" s="26"/>
      <c r="BI2030" s="26"/>
      <c r="BJ2030" s="26"/>
      <c r="BK2030" s="26"/>
      <c r="BL2030" s="26"/>
      <c r="BM2030" s="26"/>
      <c r="BN2030" s="26"/>
      <c r="BO2030" s="26"/>
      <c r="BP2030" s="16" t="n">
        <v>45701</v>
      </c>
      <c r="BQ2030" s="28" t="str">
        <f>HYPERLINK("https://organic.ams.usda.gov/Integrity/Certificate.aspx?cid=81&amp;nopid=4210005006")</f>
        <v>https://organic.ams.usda.gov/Integrity/Certificate.aspx?cid=81&amp;nopid=4210005006</v>
      </c>
    </row>
    <row r="2031">
      <c r="A2031" t="s">
        <v>3</v>
      </c>
      <c r="B2031" s="6" t="s">
        <v>16</v>
      </c>
      <c r="C2031" s="6" t="s">
        <v>63</v>
      </c>
      <c r="D2031" s="6" t="s">
        <v>109</v>
      </c>
      <c r="E2031" s="10" t="s">
        <v>2172</v>
      </c>
      <c r="F2031" s="6" t="s">
        <v>4885</v>
      </c>
      <c r="G2031" s="6" t="s">
        <v>81</v>
      </c>
      <c r="H2031" s="6" t="s">
        <v>7746</v>
      </c>
      <c r="I2031" s="6" t="s">
        <v>8707</v>
      </c>
      <c r="J2031" s="6" t="s">
        <v>10562</v>
      </c>
      <c r="K2031" s="6" t="s">
        <v>10886</v>
      </c>
      <c r="L2031" s="16" t="n">
        <v>37575</v>
      </c>
      <c r="M2031" s="16" t="n">
        <v>45731</v>
      </c>
      <c r="N2031" s="6" t="s">
        <v>10886</v>
      </c>
      <c r="O2031" s="16" t="n">
        <v>37575</v>
      </c>
      <c r="P2031" s="6" t="s">
        <v>11564</v>
      </c>
      <c r="Q2031" s="6" t="s">
        <v>81</v>
      </c>
      <c r="R2031" s="6" t="s">
        <v>81</v>
      </c>
      <c r="S2031" s="6" t="s">
        <v>10886</v>
      </c>
      <c r="T2031" s="16" t="n">
        <v>37575</v>
      </c>
      <c r="U2031" s="6" t="s">
        <v>13506</v>
      </c>
      <c r="V2031" s="6" t="s">
        <v>81</v>
      </c>
      <c r="W2031" s="6" t="s">
        <v>81</v>
      </c>
      <c r="X2031" s="6" t="s">
        <v>81</v>
      </c>
      <c r="Y2031" s="21" t="s">
        <v>81</v>
      </c>
      <c r="Z2031" s="6" t="s">
        <v>81</v>
      </c>
      <c r="AA2031" s="6" t="s">
        <v>81</v>
      </c>
      <c r="AB2031" s="6" t="s">
        <v>81</v>
      </c>
      <c r="AC2031" s="6" t="s">
        <v>10886</v>
      </c>
      <c r="AD2031" s="16" t="n">
        <v>37575</v>
      </c>
      <c r="AE2031" s="6" t="s">
        <v>81</v>
      </c>
      <c r="AF2031" s="6" t="s">
        <v>81</v>
      </c>
      <c r="AG2031" s="6" t="s">
        <v>81</v>
      </c>
      <c r="AH2031" s="6" t="s">
        <v>16580</v>
      </c>
      <c r="AI2031" s="6" t="s">
        <v>81</v>
      </c>
      <c r="AJ2031" s="6" t="s">
        <v>17777</v>
      </c>
      <c r="AK2031" s="6" t="s">
        <v>18383</v>
      </c>
      <c r="AL2031" s="6" t="s">
        <v>18444</v>
      </c>
      <c r="AM2031" s="6" t="s">
        <v>18949</v>
      </c>
      <c r="AN2031" s="6" t="s">
        <v>19653</v>
      </c>
      <c r="AO2031" s="6" t="s">
        <v>19928</v>
      </c>
      <c r="AP2031" s="6" t="s">
        <v>81</v>
      </c>
      <c r="AQ2031" s="6" t="s">
        <v>81</v>
      </c>
      <c r="AR2031" s="6" t="s">
        <v>81</v>
      </c>
      <c r="AS2031" s="6" t="s">
        <v>81</v>
      </c>
      <c r="AT2031" s="6" t="s">
        <v>81</v>
      </c>
      <c r="AU2031" s="6" t="s">
        <v>81</v>
      </c>
      <c r="AV2031" s="6" t="s">
        <v>81</v>
      </c>
      <c r="AW2031" s="6" t="s">
        <v>81</v>
      </c>
      <c r="AX2031" s="6" t="s">
        <v>22060</v>
      </c>
      <c r="AY2031" s="6" t="s">
        <v>81</v>
      </c>
      <c r="AZ2031" s="6" t="s">
        <v>81</v>
      </c>
      <c r="BA2031" s="6" t="s">
        <v>81</v>
      </c>
      <c r="BB2031" s="24" t="n">
        <v>130</v>
      </c>
      <c r="BC2031" s="26"/>
      <c r="BD2031" s="26"/>
      <c r="BE2031" s="26"/>
      <c r="BF2031" s="26"/>
      <c r="BG2031" s="26"/>
      <c r="BH2031" s="26"/>
      <c r="BI2031" s="26"/>
      <c r="BJ2031" s="26"/>
      <c r="BK2031" s="26"/>
      <c r="BL2031" s="26"/>
      <c r="BM2031" s="26"/>
      <c r="BN2031" s="26"/>
      <c r="BO2031" s="26"/>
      <c r="BP2031" s="16" t="n">
        <v>45701</v>
      </c>
      <c r="BQ2031" s="28" t="str">
        <f>HYPERLINK("https://organic.ams.usda.gov/Integrity/Certificate.aspx?cid=81&amp;nopid=4210099074")</f>
        <v>https://organic.ams.usda.gov/Integrity/Certificate.aspx?cid=81&amp;nopid=4210099074</v>
      </c>
    </row>
    <row r="2032">
      <c r="A2032" t="s">
        <v>3</v>
      </c>
      <c r="B2032" s="6" t="s">
        <v>16</v>
      </c>
      <c r="C2032" s="6" t="s">
        <v>63</v>
      </c>
      <c r="D2032" s="6" t="s">
        <v>109</v>
      </c>
      <c r="E2032" s="10" t="s">
        <v>2173</v>
      </c>
      <c r="F2032" s="6" t="s">
        <v>4886</v>
      </c>
      <c r="G2032" s="6" t="s">
        <v>81</v>
      </c>
      <c r="H2032" s="6" t="s">
        <v>7747</v>
      </c>
      <c r="I2032" s="6" t="s">
        <v>8513</v>
      </c>
      <c r="J2032" s="6" t="s">
        <v>10563</v>
      </c>
      <c r="K2032" s="6" t="s">
        <v>10886</v>
      </c>
      <c r="L2032" s="16" t="n">
        <v>39234</v>
      </c>
      <c r="M2032" s="16" t="n">
        <v>45731</v>
      </c>
      <c r="N2032" s="6" t="s">
        <v>10886</v>
      </c>
      <c r="O2032" s="16" t="n">
        <v>39234</v>
      </c>
      <c r="P2032" s="6" t="s">
        <v>11130</v>
      </c>
      <c r="Q2032" s="6" t="s">
        <v>81</v>
      </c>
      <c r="R2032" s="6" t="s">
        <v>81</v>
      </c>
      <c r="S2032" s="6" t="s">
        <v>10886</v>
      </c>
      <c r="T2032" s="16" t="n">
        <v>39234</v>
      </c>
      <c r="U2032" s="6" t="s">
        <v>13281</v>
      </c>
      <c r="V2032" s="6" t="s">
        <v>81</v>
      </c>
      <c r="W2032" s="6" t="s">
        <v>81</v>
      </c>
      <c r="X2032" s="6" t="s">
        <v>81</v>
      </c>
      <c r="Y2032" s="21" t="s">
        <v>81</v>
      </c>
      <c r="Z2032" s="6" t="s">
        <v>81</v>
      </c>
      <c r="AA2032" s="6" t="s">
        <v>81</v>
      </c>
      <c r="AB2032" s="6" t="s">
        <v>81</v>
      </c>
      <c r="AC2032" s="6" t="s">
        <v>10886</v>
      </c>
      <c r="AD2032" s="16" t="n">
        <v>39234</v>
      </c>
      <c r="AE2032" s="6" t="s">
        <v>81</v>
      </c>
      <c r="AF2032" s="6" t="s">
        <v>81</v>
      </c>
      <c r="AG2032" s="6" t="s">
        <v>81</v>
      </c>
      <c r="AH2032" s="6" t="s">
        <v>16581</v>
      </c>
      <c r="AI2032" s="6" t="s">
        <v>81</v>
      </c>
      <c r="AJ2032" s="6" t="s">
        <v>17334</v>
      </c>
      <c r="AK2032" s="6" t="s">
        <v>18383</v>
      </c>
      <c r="AL2032" s="6" t="s">
        <v>18444</v>
      </c>
      <c r="AM2032" s="6" t="s">
        <v>19304</v>
      </c>
      <c r="AN2032" s="6" t="s">
        <v>19683</v>
      </c>
      <c r="AO2032" s="6" t="s">
        <v>19751</v>
      </c>
      <c r="AP2032" s="6" t="s">
        <v>81</v>
      </c>
      <c r="AQ2032" s="6" t="s">
        <v>81</v>
      </c>
      <c r="AR2032" s="6" t="s">
        <v>81</v>
      </c>
      <c r="AS2032" s="6" t="s">
        <v>81</v>
      </c>
      <c r="AT2032" s="6" t="s">
        <v>81</v>
      </c>
      <c r="AU2032" s="6" t="s">
        <v>81</v>
      </c>
      <c r="AV2032" s="6" t="s">
        <v>81</v>
      </c>
      <c r="AW2032" s="6" t="s">
        <v>81</v>
      </c>
      <c r="AX2032" s="6" t="s">
        <v>22061</v>
      </c>
      <c r="AY2032" s="6" t="s">
        <v>81</v>
      </c>
      <c r="AZ2032" s="6" t="s">
        <v>81</v>
      </c>
      <c r="BA2032" s="6" t="s">
        <v>81</v>
      </c>
      <c r="BB2032" s="24" t="n">
        <v>264</v>
      </c>
      <c r="BC2032" s="26"/>
      <c r="BD2032" s="26"/>
      <c r="BE2032" s="26"/>
      <c r="BF2032" s="26"/>
      <c r="BG2032" s="26"/>
      <c r="BH2032" s="26"/>
      <c r="BI2032" s="26"/>
      <c r="BJ2032" s="26"/>
      <c r="BK2032" s="26"/>
      <c r="BL2032" s="26"/>
      <c r="BM2032" s="26"/>
      <c r="BN2032" s="26"/>
      <c r="BO2032" s="26"/>
      <c r="BP2032" s="16" t="n">
        <v>45701</v>
      </c>
      <c r="BQ2032" s="28" t="str">
        <f>HYPERLINK("https://organic.ams.usda.gov/Integrity/Certificate.aspx?cid=81&amp;nopid=4210007054")</f>
        <v>https://organic.ams.usda.gov/Integrity/Certificate.aspx?cid=81&amp;nopid=4210007054</v>
      </c>
    </row>
    <row r="2033">
      <c r="A2033" t="s">
        <v>3</v>
      </c>
      <c r="B2033" s="6" t="s">
        <v>16</v>
      </c>
      <c r="C2033" s="6" t="s">
        <v>63</v>
      </c>
      <c r="D2033" s="6" t="s">
        <v>109</v>
      </c>
      <c r="E2033" s="10" t="s">
        <v>2174</v>
      </c>
      <c r="F2033" s="6" t="s">
        <v>4887</v>
      </c>
      <c r="G2033" s="6" t="s">
        <v>81</v>
      </c>
      <c r="H2033" s="6" t="s">
        <v>7748</v>
      </c>
      <c r="I2033" s="6" t="s">
        <v>8513</v>
      </c>
      <c r="J2033" s="6" t="s">
        <v>10564</v>
      </c>
      <c r="K2033" s="6" t="s">
        <v>10886</v>
      </c>
      <c r="L2033" s="16" t="n">
        <v>37575</v>
      </c>
      <c r="M2033" s="16" t="n">
        <v>45731</v>
      </c>
      <c r="N2033" s="6" t="s">
        <v>10886</v>
      </c>
      <c r="O2033" s="16" t="n">
        <v>37575</v>
      </c>
      <c r="P2033" s="6" t="s">
        <v>11073</v>
      </c>
      <c r="Q2033" s="6" t="s">
        <v>81</v>
      </c>
      <c r="R2033" s="6" t="s">
        <v>81</v>
      </c>
      <c r="S2033" s="6" t="s">
        <v>10886</v>
      </c>
      <c r="T2033" s="16" t="n">
        <v>37575</v>
      </c>
      <c r="U2033" s="6" t="s">
        <v>13786</v>
      </c>
      <c r="V2033" s="6" t="s">
        <v>81</v>
      </c>
      <c r="W2033" s="6" t="s">
        <v>81</v>
      </c>
      <c r="X2033" s="6" t="s">
        <v>81</v>
      </c>
      <c r="Y2033" s="21" t="s">
        <v>81</v>
      </c>
      <c r="Z2033" s="6" t="s">
        <v>81</v>
      </c>
      <c r="AA2033" s="6" t="s">
        <v>81</v>
      </c>
      <c r="AB2033" s="6" t="s">
        <v>81</v>
      </c>
      <c r="AC2033" s="6" t="s">
        <v>10886</v>
      </c>
      <c r="AD2033" s="16" t="n">
        <v>37575</v>
      </c>
      <c r="AE2033" s="6" t="s">
        <v>81</v>
      </c>
      <c r="AF2033" s="6" t="s">
        <v>81</v>
      </c>
      <c r="AG2033" s="6" t="s">
        <v>81</v>
      </c>
      <c r="AH2033" s="6" t="s">
        <v>16582</v>
      </c>
      <c r="AI2033" s="6" t="s">
        <v>81</v>
      </c>
      <c r="AJ2033" s="6" t="s">
        <v>17695</v>
      </c>
      <c r="AK2033" s="6" t="s">
        <v>18383</v>
      </c>
      <c r="AL2033" s="6" t="s">
        <v>18444</v>
      </c>
      <c r="AM2033" s="6" t="s">
        <v>19394</v>
      </c>
      <c r="AN2033" s="6" t="s">
        <v>19660</v>
      </c>
      <c r="AO2033" s="6" t="s">
        <v>20039</v>
      </c>
      <c r="AP2033" s="6" t="s">
        <v>81</v>
      </c>
      <c r="AQ2033" s="6" t="s">
        <v>81</v>
      </c>
      <c r="AR2033" s="6" t="s">
        <v>81</v>
      </c>
      <c r="AS2033" s="6" t="s">
        <v>81</v>
      </c>
      <c r="AT2033" s="6" t="s">
        <v>81</v>
      </c>
      <c r="AU2033" s="6" t="s">
        <v>81</v>
      </c>
      <c r="AV2033" s="6" t="s">
        <v>81</v>
      </c>
      <c r="AW2033" s="6" t="s">
        <v>81</v>
      </c>
      <c r="AX2033" s="6" t="s">
        <v>22062</v>
      </c>
      <c r="AY2033" s="6" t="s">
        <v>81</v>
      </c>
      <c r="AZ2033" s="6" t="s">
        <v>81</v>
      </c>
      <c r="BA2033" s="6" t="s">
        <v>81</v>
      </c>
      <c r="BB2033" s="24" t="n">
        <v>210</v>
      </c>
      <c r="BC2033" s="26"/>
      <c r="BD2033" s="26"/>
      <c r="BE2033" s="26"/>
      <c r="BF2033" s="26"/>
      <c r="BG2033" s="26"/>
      <c r="BH2033" s="26"/>
      <c r="BI2033" s="26"/>
      <c r="BJ2033" s="26"/>
      <c r="BK2033" s="26"/>
      <c r="BL2033" s="26"/>
      <c r="BM2033" s="26"/>
      <c r="BN2033" s="26"/>
      <c r="BO2033" s="26"/>
      <c r="BP2033" s="16" t="n">
        <v>45701</v>
      </c>
      <c r="BQ2033" s="28" t="str">
        <f>HYPERLINK("https://organic.ams.usda.gov/Integrity/Certificate.aspx?cid=81&amp;nopid=4210099148")</f>
        <v>https://organic.ams.usda.gov/Integrity/Certificate.aspx?cid=81&amp;nopid=4210099148</v>
      </c>
    </row>
    <row r="2034">
      <c r="A2034" t="s">
        <v>3</v>
      </c>
      <c r="B2034" s="6" t="s">
        <v>16</v>
      </c>
      <c r="C2034" s="6" t="s">
        <v>63</v>
      </c>
      <c r="D2034" s="6" t="s">
        <v>109</v>
      </c>
      <c r="E2034" s="10" t="s">
        <v>2175</v>
      </c>
      <c r="F2034" s="6" t="s">
        <v>4888</v>
      </c>
      <c r="G2034" s="6" t="s">
        <v>81</v>
      </c>
      <c r="H2034" s="6" t="s">
        <v>7749</v>
      </c>
      <c r="I2034" s="6" t="s">
        <v>8758</v>
      </c>
      <c r="J2034" s="6" t="s">
        <v>10565</v>
      </c>
      <c r="K2034" s="6" t="s">
        <v>10886</v>
      </c>
      <c r="L2034" s="16" t="n">
        <v>39241</v>
      </c>
      <c r="M2034" s="16" t="n">
        <v>45731</v>
      </c>
      <c r="N2034" s="6" t="s">
        <v>10886</v>
      </c>
      <c r="O2034" s="16" t="n">
        <v>39241</v>
      </c>
      <c r="P2034" s="6" t="s">
        <v>11175</v>
      </c>
      <c r="Q2034" s="6" t="s">
        <v>81</v>
      </c>
      <c r="R2034" s="6" t="s">
        <v>81</v>
      </c>
      <c r="S2034" s="6" t="s">
        <v>10886</v>
      </c>
      <c r="T2034" s="16" t="n">
        <v>39241</v>
      </c>
      <c r="U2034" s="6" t="s">
        <v>13281</v>
      </c>
      <c r="V2034" s="6" t="s">
        <v>81</v>
      </c>
      <c r="W2034" s="6" t="s">
        <v>81</v>
      </c>
      <c r="X2034" s="6" t="s">
        <v>81</v>
      </c>
      <c r="Y2034" s="21" t="s">
        <v>81</v>
      </c>
      <c r="Z2034" s="6" t="s">
        <v>81</v>
      </c>
      <c r="AA2034" s="6" t="s">
        <v>81</v>
      </c>
      <c r="AB2034" s="6" t="s">
        <v>81</v>
      </c>
      <c r="AC2034" s="6" t="s">
        <v>10886</v>
      </c>
      <c r="AD2034" s="16" t="n">
        <v>39241</v>
      </c>
      <c r="AE2034" s="6" t="s">
        <v>81</v>
      </c>
      <c r="AF2034" s="6" t="s">
        <v>81</v>
      </c>
      <c r="AG2034" s="6" t="s">
        <v>81</v>
      </c>
      <c r="AH2034" s="6" t="s">
        <v>16583</v>
      </c>
      <c r="AI2034" s="6" t="s">
        <v>81</v>
      </c>
      <c r="AJ2034" s="6" t="s">
        <v>17887</v>
      </c>
      <c r="AK2034" s="6" t="s">
        <v>18383</v>
      </c>
      <c r="AL2034" s="6" t="s">
        <v>18444</v>
      </c>
      <c r="AM2034" s="6" t="s">
        <v>19073</v>
      </c>
      <c r="AN2034" s="6" t="s">
        <v>19653</v>
      </c>
      <c r="AO2034" s="6" t="s">
        <v>19928</v>
      </c>
      <c r="AP2034" s="6" t="s">
        <v>81</v>
      </c>
      <c r="AQ2034" s="6" t="s">
        <v>81</v>
      </c>
      <c r="AR2034" s="6" t="s">
        <v>81</v>
      </c>
      <c r="AS2034" s="6" t="s">
        <v>81</v>
      </c>
      <c r="AT2034" s="6" t="s">
        <v>81</v>
      </c>
      <c r="AU2034" s="6" t="s">
        <v>81</v>
      </c>
      <c r="AV2034" s="6" t="s">
        <v>81</v>
      </c>
      <c r="AW2034" s="6" t="s">
        <v>81</v>
      </c>
      <c r="AX2034" s="6" t="s">
        <v>22063</v>
      </c>
      <c r="AY2034" s="6" t="s">
        <v>81</v>
      </c>
      <c r="AZ2034" s="6" t="s">
        <v>81</v>
      </c>
      <c r="BA2034" s="6" t="s">
        <v>81</v>
      </c>
      <c r="BB2034" s="24" t="n">
        <v>251</v>
      </c>
      <c r="BC2034" s="26"/>
      <c r="BD2034" s="26"/>
      <c r="BE2034" s="26"/>
      <c r="BF2034" s="26"/>
      <c r="BG2034" s="26"/>
      <c r="BH2034" s="26"/>
      <c r="BI2034" s="26"/>
      <c r="BJ2034" s="26"/>
      <c r="BK2034" s="26"/>
      <c r="BL2034" s="26"/>
      <c r="BM2034" s="26"/>
      <c r="BN2034" s="26"/>
      <c r="BO2034" s="26"/>
      <c r="BP2034" s="16" t="n">
        <v>45701</v>
      </c>
      <c r="BQ2034" s="28" t="str">
        <f>HYPERLINK("https://organic.ams.usda.gov/Integrity/Certificate.aspx?cid=81&amp;nopid=4210007087")</f>
        <v>https://organic.ams.usda.gov/Integrity/Certificate.aspx?cid=81&amp;nopid=4210007087</v>
      </c>
    </row>
    <row r="2035">
      <c r="A2035" t="s">
        <v>3</v>
      </c>
      <c r="B2035" s="6" t="s">
        <v>16</v>
      </c>
      <c r="C2035" s="6" t="s">
        <v>63</v>
      </c>
      <c r="D2035" s="6" t="s">
        <v>109</v>
      </c>
      <c r="E2035" s="10" t="s">
        <v>2176</v>
      </c>
      <c r="F2035" s="6" t="s">
        <v>4889</v>
      </c>
      <c r="G2035" s="6" t="s">
        <v>81</v>
      </c>
      <c r="H2035" s="6" t="s">
        <v>7750</v>
      </c>
      <c r="I2035" s="6" t="s">
        <v>9387</v>
      </c>
      <c r="J2035" s="6" t="s">
        <v>10566</v>
      </c>
      <c r="K2035" s="6" t="s">
        <v>10886</v>
      </c>
      <c r="L2035" s="16" t="n">
        <v>43106</v>
      </c>
      <c r="M2035" s="16" t="n">
        <v>45731</v>
      </c>
      <c r="N2035" s="6" t="s">
        <v>10886</v>
      </c>
      <c r="O2035" s="16" t="n">
        <v>43106</v>
      </c>
      <c r="P2035" s="6" t="s">
        <v>11085</v>
      </c>
      <c r="Q2035" s="6" t="s">
        <v>81</v>
      </c>
      <c r="R2035" s="6" t="s">
        <v>81</v>
      </c>
      <c r="S2035" s="6" t="s">
        <v>10886</v>
      </c>
      <c r="T2035" s="16" t="n">
        <v>43106</v>
      </c>
      <c r="U2035" s="6" t="s">
        <v>13281</v>
      </c>
      <c r="V2035" s="6" t="s">
        <v>81</v>
      </c>
      <c r="W2035" s="6" t="s">
        <v>81</v>
      </c>
      <c r="X2035" s="6" t="s">
        <v>81</v>
      </c>
      <c r="Y2035" s="21" t="s">
        <v>81</v>
      </c>
      <c r="Z2035" s="6" t="s">
        <v>81</v>
      </c>
      <c r="AA2035" s="6" t="s">
        <v>81</v>
      </c>
      <c r="AB2035" s="6" t="s">
        <v>81</v>
      </c>
      <c r="AC2035" s="6" t="s">
        <v>10886</v>
      </c>
      <c r="AD2035" s="16" t="n">
        <v>43106</v>
      </c>
      <c r="AE2035" s="6" t="s">
        <v>81</v>
      </c>
      <c r="AF2035" s="6" t="s">
        <v>81</v>
      </c>
      <c r="AG2035" s="6" t="s">
        <v>81</v>
      </c>
      <c r="AH2035" s="6" t="s">
        <v>16584</v>
      </c>
      <c r="AI2035" s="6" t="s">
        <v>81</v>
      </c>
      <c r="AJ2035" s="6" t="s">
        <v>17613</v>
      </c>
      <c r="AK2035" s="6" t="s">
        <v>18383</v>
      </c>
      <c r="AL2035" s="6" t="s">
        <v>18444</v>
      </c>
      <c r="AM2035" s="6" t="s">
        <v>18779</v>
      </c>
      <c r="AN2035" s="6" t="s">
        <v>19646</v>
      </c>
      <c r="AO2035" s="6" t="s">
        <v>19841</v>
      </c>
      <c r="AP2035" s="6" t="s">
        <v>81</v>
      </c>
      <c r="AQ2035" s="6" t="s">
        <v>81</v>
      </c>
      <c r="AR2035" s="6" t="s">
        <v>81</v>
      </c>
      <c r="AS2035" s="6" t="s">
        <v>81</v>
      </c>
      <c r="AT2035" s="6" t="s">
        <v>81</v>
      </c>
      <c r="AU2035" s="6" t="s">
        <v>81</v>
      </c>
      <c r="AV2035" s="6" t="s">
        <v>81</v>
      </c>
      <c r="AW2035" s="6" t="s">
        <v>81</v>
      </c>
      <c r="AX2035" s="6" t="s">
        <v>22064</v>
      </c>
      <c r="AY2035" s="6" t="s">
        <v>81</v>
      </c>
      <c r="AZ2035" s="6" t="s">
        <v>81</v>
      </c>
      <c r="BA2035" s="6" t="s">
        <v>81</v>
      </c>
      <c r="BB2035" s="24" t="n">
        <v>415</v>
      </c>
      <c r="BC2035" s="26"/>
      <c r="BD2035" s="26"/>
      <c r="BE2035" s="26"/>
      <c r="BF2035" s="26"/>
      <c r="BG2035" s="26"/>
      <c r="BH2035" s="26"/>
      <c r="BI2035" s="26"/>
      <c r="BJ2035" s="26"/>
      <c r="BK2035" s="26"/>
      <c r="BL2035" s="26"/>
      <c r="BM2035" s="26"/>
      <c r="BN2035" s="26"/>
      <c r="BO2035" s="26"/>
      <c r="BP2035" s="16" t="n">
        <v>45701</v>
      </c>
      <c r="BQ2035" s="28" t="str">
        <f>HYPERLINK("https://organic.ams.usda.gov/Integrity/Certificate.aspx?cid=81&amp;nopid=4213724486")</f>
        <v>https://organic.ams.usda.gov/Integrity/Certificate.aspx?cid=81&amp;nopid=4213724486</v>
      </c>
    </row>
    <row r="2036">
      <c r="A2036" t="s">
        <v>3</v>
      </c>
      <c r="B2036" s="6" t="s">
        <v>16</v>
      </c>
      <c r="C2036" s="6" t="s">
        <v>63</v>
      </c>
      <c r="D2036" s="6" t="s">
        <v>109</v>
      </c>
      <c r="E2036" s="10" t="s">
        <v>2177</v>
      </c>
      <c r="F2036" s="6" t="s">
        <v>4890</v>
      </c>
      <c r="G2036" s="6" t="s">
        <v>81</v>
      </c>
      <c r="H2036" s="6" t="s">
        <v>7751</v>
      </c>
      <c r="I2036" s="6" t="s">
        <v>8794</v>
      </c>
      <c r="J2036" s="6" t="s">
        <v>10567</v>
      </c>
      <c r="K2036" s="6" t="s">
        <v>10886</v>
      </c>
      <c r="L2036" s="16" t="n">
        <v>39156</v>
      </c>
      <c r="M2036" s="16" t="n">
        <v>45731</v>
      </c>
      <c r="N2036" s="6" t="s">
        <v>10886</v>
      </c>
      <c r="O2036" s="16" t="n">
        <v>39156</v>
      </c>
      <c r="P2036" s="6" t="s">
        <v>11175</v>
      </c>
      <c r="Q2036" s="6" t="s">
        <v>81</v>
      </c>
      <c r="R2036" s="6" t="s">
        <v>81</v>
      </c>
      <c r="S2036" s="6" t="s">
        <v>10886</v>
      </c>
      <c r="T2036" s="16" t="n">
        <v>39156</v>
      </c>
      <c r="U2036" s="6" t="s">
        <v>13281</v>
      </c>
      <c r="V2036" s="6" t="s">
        <v>81</v>
      </c>
      <c r="W2036" s="6" t="s">
        <v>81</v>
      </c>
      <c r="X2036" s="6" t="s">
        <v>81</v>
      </c>
      <c r="Y2036" s="21" t="s">
        <v>81</v>
      </c>
      <c r="Z2036" s="6" t="s">
        <v>81</v>
      </c>
      <c r="AA2036" s="6" t="s">
        <v>81</v>
      </c>
      <c r="AB2036" s="6" t="s">
        <v>81</v>
      </c>
      <c r="AC2036" s="6" t="s">
        <v>10886</v>
      </c>
      <c r="AD2036" s="16" t="n">
        <v>39156</v>
      </c>
      <c r="AE2036" s="6" t="s">
        <v>81</v>
      </c>
      <c r="AF2036" s="6" t="s">
        <v>81</v>
      </c>
      <c r="AG2036" s="6" t="s">
        <v>81</v>
      </c>
      <c r="AH2036" s="6" t="s">
        <v>16585</v>
      </c>
      <c r="AI2036" s="6" t="s">
        <v>81</v>
      </c>
      <c r="AJ2036" s="6" t="s">
        <v>18184</v>
      </c>
      <c r="AK2036" s="6" t="s">
        <v>18383</v>
      </c>
      <c r="AL2036" s="6" t="s">
        <v>18444</v>
      </c>
      <c r="AM2036" s="6" t="s">
        <v>19395</v>
      </c>
      <c r="AN2036" s="6" t="s">
        <v>19660</v>
      </c>
      <c r="AO2036" s="6" t="s">
        <v>20039</v>
      </c>
      <c r="AP2036" s="6" t="s">
        <v>81</v>
      </c>
      <c r="AQ2036" s="6" t="s">
        <v>81</v>
      </c>
      <c r="AR2036" s="6" t="s">
        <v>81</v>
      </c>
      <c r="AS2036" s="6" t="s">
        <v>81</v>
      </c>
      <c r="AT2036" s="6" t="s">
        <v>81</v>
      </c>
      <c r="AU2036" s="6" t="s">
        <v>81</v>
      </c>
      <c r="AV2036" s="6" t="s">
        <v>81</v>
      </c>
      <c r="AW2036" s="6" t="s">
        <v>81</v>
      </c>
      <c r="AX2036" s="6" t="s">
        <v>22065</v>
      </c>
      <c r="AY2036" s="6" t="s">
        <v>81</v>
      </c>
      <c r="AZ2036" s="6" t="s">
        <v>81</v>
      </c>
      <c r="BA2036" s="6" t="s">
        <v>81</v>
      </c>
      <c r="BB2036" s="24" t="n">
        <v>122</v>
      </c>
      <c r="BC2036" s="26"/>
      <c r="BD2036" s="26"/>
      <c r="BE2036" s="26"/>
      <c r="BF2036" s="26"/>
      <c r="BG2036" s="26"/>
      <c r="BH2036" s="26"/>
      <c r="BI2036" s="26"/>
      <c r="BJ2036" s="26"/>
      <c r="BK2036" s="26"/>
      <c r="BL2036" s="26"/>
      <c r="BM2036" s="26"/>
      <c r="BN2036" s="26"/>
      <c r="BO2036" s="26"/>
      <c r="BP2036" s="16" t="n">
        <v>45701</v>
      </c>
      <c r="BQ2036" s="28" t="str">
        <f>HYPERLINK("https://organic.ams.usda.gov/Integrity/Certificate.aspx?cid=81&amp;nopid=4210007013")</f>
        <v>https://organic.ams.usda.gov/Integrity/Certificate.aspx?cid=81&amp;nopid=4210007013</v>
      </c>
    </row>
    <row r="2037">
      <c r="A2037" t="s">
        <v>3</v>
      </c>
      <c r="B2037" s="6" t="s">
        <v>16</v>
      </c>
      <c r="C2037" s="6" t="s">
        <v>63</v>
      </c>
      <c r="D2037" s="6" t="s">
        <v>109</v>
      </c>
      <c r="E2037" s="10" t="s">
        <v>2178</v>
      </c>
      <c r="F2037" s="6" t="s">
        <v>4891</v>
      </c>
      <c r="G2037" s="6" t="s">
        <v>5786</v>
      </c>
      <c r="H2037" s="6" t="s">
        <v>7752</v>
      </c>
      <c r="I2037" s="6" t="s">
        <v>8544</v>
      </c>
      <c r="J2037" s="6" t="s">
        <v>10568</v>
      </c>
      <c r="K2037" s="6" t="s">
        <v>10886</v>
      </c>
      <c r="L2037" s="16" t="n">
        <v>39278</v>
      </c>
      <c r="M2037" s="16" t="n">
        <v>45731</v>
      </c>
      <c r="N2037" s="6" t="s">
        <v>10886</v>
      </c>
      <c r="O2037" s="16" t="n">
        <v>39278</v>
      </c>
      <c r="P2037" s="6" t="s">
        <v>11564</v>
      </c>
      <c r="Q2037" s="6" t="s">
        <v>81</v>
      </c>
      <c r="R2037" s="6" t="s">
        <v>81</v>
      </c>
      <c r="S2037" s="6" t="s">
        <v>10886</v>
      </c>
      <c r="T2037" s="16" t="n">
        <v>39278</v>
      </c>
      <c r="U2037" s="6" t="s">
        <v>13182</v>
      </c>
      <c r="V2037" s="6" t="s">
        <v>81</v>
      </c>
      <c r="W2037" s="6" t="s">
        <v>81</v>
      </c>
      <c r="X2037" s="6" t="s">
        <v>81</v>
      </c>
      <c r="Y2037" s="21" t="s">
        <v>81</v>
      </c>
      <c r="Z2037" s="6" t="s">
        <v>81</v>
      </c>
      <c r="AA2037" s="6" t="s">
        <v>81</v>
      </c>
      <c r="AB2037" s="6" t="s">
        <v>81</v>
      </c>
      <c r="AC2037" s="6" t="s">
        <v>10886</v>
      </c>
      <c r="AD2037" s="16" t="n">
        <v>39278</v>
      </c>
      <c r="AE2037" s="6" t="s">
        <v>81</v>
      </c>
      <c r="AF2037" s="6" t="s">
        <v>81</v>
      </c>
      <c r="AG2037" s="6" t="s">
        <v>81</v>
      </c>
      <c r="AH2037" s="6" t="s">
        <v>16586</v>
      </c>
      <c r="AI2037" s="6" t="s">
        <v>81</v>
      </c>
      <c r="AJ2037" s="6" t="s">
        <v>18180</v>
      </c>
      <c r="AK2037" s="6" t="s">
        <v>18383</v>
      </c>
      <c r="AL2037" s="6" t="s">
        <v>18444</v>
      </c>
      <c r="AM2037" s="6" t="s">
        <v>19389</v>
      </c>
      <c r="AN2037" s="6" t="s">
        <v>19646</v>
      </c>
      <c r="AO2037" s="6" t="s">
        <v>19841</v>
      </c>
      <c r="AP2037" s="6" t="s">
        <v>81</v>
      </c>
      <c r="AQ2037" s="6" t="s">
        <v>81</v>
      </c>
      <c r="AR2037" s="6" t="s">
        <v>81</v>
      </c>
      <c r="AS2037" s="6" t="s">
        <v>81</v>
      </c>
      <c r="AT2037" s="6" t="s">
        <v>81</v>
      </c>
      <c r="AU2037" s="6" t="s">
        <v>81</v>
      </c>
      <c r="AV2037" s="6" t="s">
        <v>81</v>
      </c>
      <c r="AW2037" s="6" t="s">
        <v>81</v>
      </c>
      <c r="AX2037" s="6" t="s">
        <v>22066</v>
      </c>
      <c r="AY2037" s="6" t="s">
        <v>81</v>
      </c>
      <c r="AZ2037" s="6" t="s">
        <v>81</v>
      </c>
      <c r="BA2037" s="6" t="s">
        <v>81</v>
      </c>
      <c r="BB2037" s="24" t="n">
        <v>431</v>
      </c>
      <c r="BC2037" s="26"/>
      <c r="BD2037" s="26"/>
      <c r="BE2037" s="26"/>
      <c r="BF2037" s="26"/>
      <c r="BG2037" s="26"/>
      <c r="BH2037" s="26"/>
      <c r="BI2037" s="26"/>
      <c r="BJ2037" s="26"/>
      <c r="BK2037" s="26"/>
      <c r="BL2037" s="26"/>
      <c r="BM2037" s="26"/>
      <c r="BN2037" s="26"/>
      <c r="BO2037" s="26"/>
      <c r="BP2037" s="16" t="n">
        <v>45701</v>
      </c>
      <c r="BQ2037" s="28" t="str">
        <f>HYPERLINK("https://organic.ams.usda.gov/Integrity/Certificate.aspx?cid=81&amp;nopid=4210007018")</f>
        <v>https://organic.ams.usda.gov/Integrity/Certificate.aspx?cid=81&amp;nopid=4210007018</v>
      </c>
    </row>
    <row r="2038">
      <c r="A2038" t="s">
        <v>3</v>
      </c>
      <c r="B2038" s="6" t="s">
        <v>16</v>
      </c>
      <c r="C2038" s="6" t="s">
        <v>63</v>
      </c>
      <c r="D2038" s="6" t="s">
        <v>109</v>
      </c>
      <c r="E2038" s="10" t="s">
        <v>2179</v>
      </c>
      <c r="F2038" s="6" t="s">
        <v>4892</v>
      </c>
      <c r="G2038" s="6" t="s">
        <v>81</v>
      </c>
      <c r="H2038" s="6" t="s">
        <v>7753</v>
      </c>
      <c r="I2038" s="6" t="s">
        <v>8818</v>
      </c>
      <c r="J2038" s="6" t="s">
        <v>9710</v>
      </c>
      <c r="K2038" s="6" t="s">
        <v>10886</v>
      </c>
      <c r="L2038" s="16" t="n">
        <v>39783</v>
      </c>
      <c r="M2038" s="16" t="n">
        <v>45731</v>
      </c>
      <c r="N2038" s="6" t="s">
        <v>10886</v>
      </c>
      <c r="O2038" s="16" t="n">
        <v>39783</v>
      </c>
      <c r="P2038" s="6" t="s">
        <v>11085</v>
      </c>
      <c r="Q2038" s="6" t="s">
        <v>81</v>
      </c>
      <c r="R2038" s="6" t="s">
        <v>81</v>
      </c>
      <c r="S2038" s="6" t="s">
        <v>10886</v>
      </c>
      <c r="T2038" s="16" t="n">
        <v>39783</v>
      </c>
      <c r="U2038" s="6" t="s">
        <v>13551</v>
      </c>
      <c r="V2038" s="6" t="s">
        <v>81</v>
      </c>
      <c r="W2038" s="6" t="s">
        <v>81</v>
      </c>
      <c r="X2038" s="6" t="s">
        <v>81</v>
      </c>
      <c r="Y2038" s="21" t="s">
        <v>81</v>
      </c>
      <c r="Z2038" s="6" t="s">
        <v>81</v>
      </c>
      <c r="AA2038" s="6" t="s">
        <v>81</v>
      </c>
      <c r="AB2038" s="6" t="s">
        <v>81</v>
      </c>
      <c r="AC2038" s="6" t="s">
        <v>10886</v>
      </c>
      <c r="AD2038" s="16" t="n">
        <v>39783</v>
      </c>
      <c r="AE2038" s="6" t="s">
        <v>81</v>
      </c>
      <c r="AF2038" s="6" t="s">
        <v>81</v>
      </c>
      <c r="AG2038" s="6" t="s">
        <v>81</v>
      </c>
      <c r="AH2038" s="6" t="s">
        <v>16587</v>
      </c>
      <c r="AI2038" s="6" t="s">
        <v>81</v>
      </c>
      <c r="AJ2038" s="6" t="s">
        <v>18185</v>
      </c>
      <c r="AK2038" s="6" t="s">
        <v>18383</v>
      </c>
      <c r="AL2038" s="6" t="s">
        <v>18444</v>
      </c>
      <c r="AM2038" s="6" t="s">
        <v>19396</v>
      </c>
      <c r="AN2038" s="6" t="s">
        <v>19683</v>
      </c>
      <c r="AO2038" s="6" t="s">
        <v>19751</v>
      </c>
      <c r="AP2038" s="6" t="s">
        <v>81</v>
      </c>
      <c r="AQ2038" s="6" t="s">
        <v>81</v>
      </c>
      <c r="AR2038" s="6" t="s">
        <v>81</v>
      </c>
      <c r="AS2038" s="6" t="s">
        <v>81</v>
      </c>
      <c r="AT2038" s="6" t="s">
        <v>81</v>
      </c>
      <c r="AU2038" s="6" t="s">
        <v>81</v>
      </c>
      <c r="AV2038" s="6" t="s">
        <v>81</v>
      </c>
      <c r="AW2038" s="6" t="s">
        <v>81</v>
      </c>
      <c r="AX2038" s="6" t="s">
        <v>22067</v>
      </c>
      <c r="AY2038" s="6" t="s">
        <v>81</v>
      </c>
      <c r="AZ2038" s="6" t="s">
        <v>81</v>
      </c>
      <c r="BA2038" s="6" t="s">
        <v>81</v>
      </c>
      <c r="BB2038" s="24" t="n">
        <v>231</v>
      </c>
      <c r="BC2038" s="26"/>
      <c r="BD2038" s="26"/>
      <c r="BE2038" s="26"/>
      <c r="BF2038" s="26"/>
      <c r="BG2038" s="26"/>
      <c r="BH2038" s="26"/>
      <c r="BI2038" s="26"/>
      <c r="BJ2038" s="26"/>
      <c r="BK2038" s="26"/>
      <c r="BL2038" s="26"/>
      <c r="BM2038" s="26"/>
      <c r="BN2038" s="26"/>
      <c r="BO2038" s="26"/>
      <c r="BP2038" s="16" t="n">
        <v>45701</v>
      </c>
      <c r="BQ2038" s="28" t="str">
        <f>HYPERLINK("https://organic.ams.usda.gov/Integrity/Certificate.aspx?cid=81&amp;nopid=4210008093")</f>
        <v>https://organic.ams.usda.gov/Integrity/Certificate.aspx?cid=81&amp;nopid=4210008093</v>
      </c>
    </row>
    <row r="2039">
      <c r="A2039" t="s">
        <v>3</v>
      </c>
      <c r="B2039" s="6" t="s">
        <v>16</v>
      </c>
      <c r="C2039" s="6" t="s">
        <v>63</v>
      </c>
      <c r="D2039" s="6" t="s">
        <v>109</v>
      </c>
      <c r="E2039" s="10" t="s">
        <v>2180</v>
      </c>
      <c r="F2039" s="6" t="s">
        <v>4893</v>
      </c>
      <c r="G2039" s="6" t="s">
        <v>5787</v>
      </c>
      <c r="H2039" s="6" t="s">
        <v>7754</v>
      </c>
      <c r="I2039" s="6" t="s">
        <v>8452</v>
      </c>
      <c r="J2039" s="6" t="s">
        <v>9792</v>
      </c>
      <c r="K2039" s="6" t="s">
        <v>10886</v>
      </c>
      <c r="L2039" s="16" t="n">
        <v>42501</v>
      </c>
      <c r="M2039" s="16" t="n">
        <v>45731</v>
      </c>
      <c r="N2039" s="6" t="s">
        <v>10886</v>
      </c>
      <c r="O2039" s="16" t="n">
        <v>42501</v>
      </c>
      <c r="P2039" s="6" t="s">
        <v>11564</v>
      </c>
      <c r="Q2039" s="6" t="s">
        <v>81</v>
      </c>
      <c r="R2039" s="6" t="s">
        <v>81</v>
      </c>
      <c r="S2039" s="6" t="s">
        <v>10886</v>
      </c>
      <c r="T2039" s="16" t="n">
        <v>42501</v>
      </c>
      <c r="U2039" s="6" t="s">
        <v>13182</v>
      </c>
      <c r="V2039" s="6" t="s">
        <v>81</v>
      </c>
      <c r="W2039" s="6" t="s">
        <v>81</v>
      </c>
      <c r="X2039" s="6" t="s">
        <v>81</v>
      </c>
      <c r="Y2039" s="21" t="s">
        <v>81</v>
      </c>
      <c r="Z2039" s="6" t="s">
        <v>81</v>
      </c>
      <c r="AA2039" s="6" t="s">
        <v>81</v>
      </c>
      <c r="AB2039" s="6" t="s">
        <v>81</v>
      </c>
      <c r="AC2039" s="6" t="s">
        <v>10886</v>
      </c>
      <c r="AD2039" s="16" t="n">
        <v>42501</v>
      </c>
      <c r="AE2039" s="6" t="s">
        <v>81</v>
      </c>
      <c r="AF2039" s="6" t="s">
        <v>81</v>
      </c>
      <c r="AG2039" s="6" t="s">
        <v>81</v>
      </c>
      <c r="AH2039" s="6" t="s">
        <v>16588</v>
      </c>
      <c r="AI2039" s="6" t="s">
        <v>81</v>
      </c>
      <c r="AJ2039" s="6" t="s">
        <v>18186</v>
      </c>
      <c r="AK2039" s="6" t="s">
        <v>18383</v>
      </c>
      <c r="AL2039" s="6" t="s">
        <v>18444</v>
      </c>
      <c r="AM2039" s="6" t="s">
        <v>19397</v>
      </c>
      <c r="AN2039" s="6" t="s">
        <v>19636</v>
      </c>
      <c r="AO2039" s="6" t="s">
        <v>19740</v>
      </c>
      <c r="AP2039" s="6" t="s">
        <v>16588</v>
      </c>
      <c r="AQ2039" s="6" t="s">
        <v>81</v>
      </c>
      <c r="AR2039" s="6" t="s">
        <v>18205</v>
      </c>
      <c r="AS2039" s="6" t="s">
        <v>18383</v>
      </c>
      <c r="AT2039" s="6" t="s">
        <v>18444</v>
      </c>
      <c r="AU2039" s="6" t="s">
        <v>19419</v>
      </c>
      <c r="AV2039" s="6" t="s">
        <v>81</v>
      </c>
      <c r="AW2039" s="6" t="s">
        <v>81</v>
      </c>
      <c r="AX2039" s="6" t="s">
        <v>22068</v>
      </c>
      <c r="AY2039" s="6" t="s">
        <v>81</v>
      </c>
      <c r="AZ2039" s="6" t="s">
        <v>81</v>
      </c>
      <c r="BA2039" s="6" t="s">
        <v>81</v>
      </c>
      <c r="BB2039" s="24" t="n">
        <v>105</v>
      </c>
      <c r="BC2039" s="26"/>
      <c r="BD2039" s="26"/>
      <c r="BE2039" s="26"/>
      <c r="BF2039" s="26"/>
      <c r="BG2039" s="26"/>
      <c r="BH2039" s="26"/>
      <c r="BI2039" s="26"/>
      <c r="BJ2039" s="26"/>
      <c r="BK2039" s="26"/>
      <c r="BL2039" s="26"/>
      <c r="BM2039" s="26"/>
      <c r="BN2039" s="26"/>
      <c r="BO2039" s="26"/>
      <c r="BP2039" s="16" t="n">
        <v>45701</v>
      </c>
      <c r="BQ2039" s="28" t="str">
        <f>HYPERLINK("https://organic.ams.usda.gov/Integrity/Certificate.aspx?cid=81&amp;nopid=4210016070")</f>
        <v>https://organic.ams.usda.gov/Integrity/Certificate.aspx?cid=81&amp;nopid=4210016070</v>
      </c>
    </row>
    <row r="2040">
      <c r="A2040" t="s">
        <v>3</v>
      </c>
      <c r="B2040" s="6" t="s">
        <v>16</v>
      </c>
      <c r="C2040" s="6" t="s">
        <v>63</v>
      </c>
      <c r="D2040" s="6" t="s">
        <v>109</v>
      </c>
      <c r="E2040" s="10" t="s">
        <v>2181</v>
      </c>
      <c r="F2040" s="6" t="s">
        <v>4894</v>
      </c>
      <c r="G2040" s="6" t="s">
        <v>81</v>
      </c>
      <c r="H2040" s="6" t="s">
        <v>7755</v>
      </c>
      <c r="I2040" s="6" t="s">
        <v>9388</v>
      </c>
      <c r="J2040" s="6" t="s">
        <v>10569</v>
      </c>
      <c r="K2040" s="6" t="s">
        <v>10886</v>
      </c>
      <c r="L2040" s="16" t="n">
        <v>42513</v>
      </c>
      <c r="M2040" s="16" t="n">
        <v>45731</v>
      </c>
      <c r="N2040" s="6" t="s">
        <v>10886</v>
      </c>
      <c r="O2040" s="16" t="n">
        <v>42513</v>
      </c>
      <c r="P2040" s="6" t="s">
        <v>10933</v>
      </c>
      <c r="Q2040" s="6" t="s">
        <v>81</v>
      </c>
      <c r="R2040" s="6" t="s">
        <v>81</v>
      </c>
      <c r="S2040" s="6" t="s">
        <v>10886</v>
      </c>
      <c r="T2040" s="16" t="n">
        <v>42513</v>
      </c>
      <c r="U2040" s="6" t="s">
        <v>13551</v>
      </c>
      <c r="V2040" s="6" t="s">
        <v>81</v>
      </c>
      <c r="W2040" s="6" t="s">
        <v>81</v>
      </c>
      <c r="X2040" s="6" t="s">
        <v>81</v>
      </c>
      <c r="Y2040" s="21" t="s">
        <v>81</v>
      </c>
      <c r="Z2040" s="6" t="s">
        <v>81</v>
      </c>
      <c r="AA2040" s="6" t="s">
        <v>81</v>
      </c>
      <c r="AB2040" s="6" t="s">
        <v>81</v>
      </c>
      <c r="AC2040" s="6" t="s">
        <v>10886</v>
      </c>
      <c r="AD2040" s="16" t="n">
        <v>42513</v>
      </c>
      <c r="AE2040" s="6" t="s">
        <v>81</v>
      </c>
      <c r="AF2040" s="6" t="s">
        <v>81</v>
      </c>
      <c r="AG2040" s="6" t="s">
        <v>81</v>
      </c>
      <c r="AH2040" s="6" t="s">
        <v>16589</v>
      </c>
      <c r="AI2040" s="6" t="s">
        <v>81</v>
      </c>
      <c r="AJ2040" s="6" t="s">
        <v>18187</v>
      </c>
      <c r="AK2040" s="6" t="s">
        <v>18383</v>
      </c>
      <c r="AL2040" s="6" t="s">
        <v>18444</v>
      </c>
      <c r="AM2040" s="6" t="s">
        <v>19398</v>
      </c>
      <c r="AN2040" s="6" t="s">
        <v>19653</v>
      </c>
      <c r="AO2040" s="6" t="s">
        <v>19928</v>
      </c>
      <c r="AP2040" s="6" t="s">
        <v>81</v>
      </c>
      <c r="AQ2040" s="6" t="s">
        <v>81</v>
      </c>
      <c r="AR2040" s="6" t="s">
        <v>81</v>
      </c>
      <c r="AS2040" s="6" t="s">
        <v>81</v>
      </c>
      <c r="AT2040" s="6" t="s">
        <v>81</v>
      </c>
      <c r="AU2040" s="6" t="s">
        <v>81</v>
      </c>
      <c r="AV2040" s="6" t="s">
        <v>81</v>
      </c>
      <c r="AW2040" s="6" t="s">
        <v>81</v>
      </c>
      <c r="AX2040" s="6" t="s">
        <v>22069</v>
      </c>
      <c r="AY2040" s="6" t="s">
        <v>81</v>
      </c>
      <c r="AZ2040" s="6" t="s">
        <v>81</v>
      </c>
      <c r="BA2040" s="6" t="s">
        <v>81</v>
      </c>
      <c r="BB2040" s="24" t="n">
        <v>213</v>
      </c>
      <c r="BC2040" s="26"/>
      <c r="BD2040" s="26"/>
      <c r="BE2040" s="26"/>
      <c r="BF2040" s="26"/>
      <c r="BG2040" s="26"/>
      <c r="BH2040" s="26"/>
      <c r="BI2040" s="26"/>
      <c r="BJ2040" s="26"/>
      <c r="BK2040" s="26"/>
      <c r="BL2040" s="26"/>
      <c r="BM2040" s="26"/>
      <c r="BN2040" s="26"/>
      <c r="BO2040" s="26"/>
      <c r="BP2040" s="16" t="n">
        <v>45701</v>
      </c>
      <c r="BQ2040" s="28" t="str">
        <f>HYPERLINK("https://organic.ams.usda.gov/Integrity/Certificate.aspx?cid=81&amp;nopid=4210016078")</f>
        <v>https://organic.ams.usda.gov/Integrity/Certificate.aspx?cid=81&amp;nopid=4210016078</v>
      </c>
    </row>
    <row r="2041">
      <c r="A2041" t="s">
        <v>3</v>
      </c>
      <c r="B2041" s="6" t="s">
        <v>16</v>
      </c>
      <c r="C2041" s="6" t="s">
        <v>63</v>
      </c>
      <c r="D2041" s="6" t="s">
        <v>109</v>
      </c>
      <c r="E2041" s="10" t="s">
        <v>2182</v>
      </c>
      <c r="F2041" s="6" t="s">
        <v>4895</v>
      </c>
      <c r="G2041" s="6" t="s">
        <v>81</v>
      </c>
      <c r="H2041" s="6" t="s">
        <v>7756</v>
      </c>
      <c r="I2041" s="6" t="s">
        <v>9389</v>
      </c>
      <c r="J2041" s="6" t="s">
        <v>10570</v>
      </c>
      <c r="K2041" s="6" t="s">
        <v>10886</v>
      </c>
      <c r="L2041" s="16" t="n">
        <v>37862</v>
      </c>
      <c r="M2041" s="16" t="n">
        <v>45731</v>
      </c>
      <c r="N2041" s="6" t="s">
        <v>10886</v>
      </c>
      <c r="O2041" s="16" t="n">
        <v>37862</v>
      </c>
      <c r="P2041" s="6" t="s">
        <v>11085</v>
      </c>
      <c r="Q2041" s="6" t="s">
        <v>81</v>
      </c>
      <c r="R2041" s="6" t="s">
        <v>81</v>
      </c>
      <c r="S2041" s="6" t="s">
        <v>10886</v>
      </c>
      <c r="T2041" s="16" t="n">
        <v>37862</v>
      </c>
      <c r="U2041" s="6" t="s">
        <v>13551</v>
      </c>
      <c r="V2041" s="6" t="s">
        <v>81</v>
      </c>
      <c r="W2041" s="6" t="s">
        <v>81</v>
      </c>
      <c r="X2041" s="6" t="s">
        <v>81</v>
      </c>
      <c r="Y2041" s="21" t="s">
        <v>81</v>
      </c>
      <c r="Z2041" s="6" t="s">
        <v>81</v>
      </c>
      <c r="AA2041" s="6" t="s">
        <v>81</v>
      </c>
      <c r="AB2041" s="6" t="s">
        <v>81</v>
      </c>
      <c r="AC2041" s="6" t="s">
        <v>10886</v>
      </c>
      <c r="AD2041" s="16" t="n">
        <v>37862</v>
      </c>
      <c r="AE2041" s="6" t="s">
        <v>81</v>
      </c>
      <c r="AF2041" s="6" t="s">
        <v>81</v>
      </c>
      <c r="AG2041" s="6" t="s">
        <v>81</v>
      </c>
      <c r="AH2041" s="6" t="s">
        <v>16590</v>
      </c>
      <c r="AI2041" s="6" t="s">
        <v>81</v>
      </c>
      <c r="AJ2041" s="6" t="s">
        <v>18188</v>
      </c>
      <c r="AK2041" s="6" t="s">
        <v>18383</v>
      </c>
      <c r="AL2041" s="6" t="s">
        <v>18444</v>
      </c>
      <c r="AM2041" s="6" t="s">
        <v>19399</v>
      </c>
      <c r="AN2041" s="6" t="s">
        <v>19683</v>
      </c>
      <c r="AO2041" s="6" t="s">
        <v>19751</v>
      </c>
      <c r="AP2041" s="6" t="s">
        <v>20379</v>
      </c>
      <c r="AQ2041" s="6" t="s">
        <v>81</v>
      </c>
      <c r="AR2041" s="6" t="s">
        <v>18188</v>
      </c>
      <c r="AS2041" s="6" t="s">
        <v>18383</v>
      </c>
      <c r="AT2041" s="6" t="s">
        <v>18444</v>
      </c>
      <c r="AU2041" s="6" t="s">
        <v>19399</v>
      </c>
      <c r="AV2041" s="6" t="s">
        <v>81</v>
      </c>
      <c r="AW2041" s="6" t="s">
        <v>81</v>
      </c>
      <c r="AX2041" s="6" t="s">
        <v>22070</v>
      </c>
      <c r="AY2041" s="6" t="s">
        <v>81</v>
      </c>
      <c r="AZ2041" s="6" t="s">
        <v>81</v>
      </c>
      <c r="BA2041" s="6" t="s">
        <v>81</v>
      </c>
      <c r="BB2041" s="24" t="n">
        <v>174</v>
      </c>
      <c r="BC2041" s="26"/>
      <c r="BD2041" s="26"/>
      <c r="BE2041" s="26"/>
      <c r="BF2041" s="26"/>
      <c r="BG2041" s="26"/>
      <c r="BH2041" s="26"/>
      <c r="BI2041" s="26"/>
      <c r="BJ2041" s="26"/>
      <c r="BK2041" s="26"/>
      <c r="BL2041" s="26"/>
      <c r="BM2041" s="26"/>
      <c r="BN2041" s="26"/>
      <c r="BO2041" s="26"/>
      <c r="BP2041" s="16" t="n">
        <v>45701</v>
      </c>
      <c r="BQ2041" s="28" t="str">
        <f>HYPERLINK("https://organic.ams.usda.gov/Integrity/Certificate.aspx?cid=81&amp;nopid=4210003040")</f>
        <v>https://organic.ams.usda.gov/Integrity/Certificate.aspx?cid=81&amp;nopid=4210003040</v>
      </c>
    </row>
    <row r="2042">
      <c r="A2042" t="s">
        <v>3</v>
      </c>
      <c r="B2042" s="6" t="s">
        <v>16</v>
      </c>
      <c r="C2042" s="6" t="s">
        <v>63</v>
      </c>
      <c r="D2042" s="6" t="s">
        <v>109</v>
      </c>
      <c r="E2042" s="10" t="s">
        <v>2183</v>
      </c>
      <c r="F2042" s="6" t="s">
        <v>4896</v>
      </c>
      <c r="G2042" s="6" t="s">
        <v>81</v>
      </c>
      <c r="H2042" s="6" t="s">
        <v>7757</v>
      </c>
      <c r="I2042" s="6" t="s">
        <v>9390</v>
      </c>
      <c r="J2042" s="6" t="s">
        <v>10571</v>
      </c>
      <c r="K2042" s="6" t="s">
        <v>10886</v>
      </c>
      <c r="L2042" s="16" t="n">
        <v>37862</v>
      </c>
      <c r="M2042" s="16" t="n">
        <v>45731</v>
      </c>
      <c r="N2042" s="6" t="s">
        <v>10886</v>
      </c>
      <c r="O2042" s="16" t="n">
        <v>37862</v>
      </c>
      <c r="P2042" s="6" t="s">
        <v>11085</v>
      </c>
      <c r="Q2042" s="6" t="s">
        <v>81</v>
      </c>
      <c r="R2042" s="6" t="s">
        <v>81</v>
      </c>
      <c r="S2042" s="6" t="s">
        <v>10886</v>
      </c>
      <c r="T2042" s="16" t="n">
        <v>37862</v>
      </c>
      <c r="U2042" s="6" t="s">
        <v>13182</v>
      </c>
      <c r="V2042" s="6" t="s">
        <v>81</v>
      </c>
      <c r="W2042" s="6" t="s">
        <v>81</v>
      </c>
      <c r="X2042" s="6" t="s">
        <v>81</v>
      </c>
      <c r="Y2042" s="21" t="s">
        <v>81</v>
      </c>
      <c r="Z2042" s="6" t="s">
        <v>81</v>
      </c>
      <c r="AA2042" s="6" t="s">
        <v>81</v>
      </c>
      <c r="AB2042" s="6" t="s">
        <v>81</v>
      </c>
      <c r="AC2042" s="6" t="s">
        <v>10886</v>
      </c>
      <c r="AD2042" s="16" t="n">
        <v>37862</v>
      </c>
      <c r="AE2042" s="6" t="s">
        <v>81</v>
      </c>
      <c r="AF2042" s="6" t="s">
        <v>81</v>
      </c>
      <c r="AG2042" s="6" t="s">
        <v>81</v>
      </c>
      <c r="AH2042" s="6" t="s">
        <v>16591</v>
      </c>
      <c r="AI2042" s="6" t="s">
        <v>81</v>
      </c>
      <c r="AJ2042" s="6" t="s">
        <v>17344</v>
      </c>
      <c r="AK2042" s="6" t="s">
        <v>18383</v>
      </c>
      <c r="AL2042" s="6" t="s">
        <v>18444</v>
      </c>
      <c r="AM2042" s="6" t="s">
        <v>18498</v>
      </c>
      <c r="AN2042" s="6" t="s">
        <v>19636</v>
      </c>
      <c r="AO2042" s="6" t="s">
        <v>19740</v>
      </c>
      <c r="AP2042" s="6" t="s">
        <v>81</v>
      </c>
      <c r="AQ2042" s="6" t="s">
        <v>81</v>
      </c>
      <c r="AR2042" s="6" t="s">
        <v>81</v>
      </c>
      <c r="AS2042" s="6" t="s">
        <v>81</v>
      </c>
      <c r="AT2042" s="6" t="s">
        <v>81</v>
      </c>
      <c r="AU2042" s="6" t="s">
        <v>81</v>
      </c>
      <c r="AV2042" s="6" t="s">
        <v>81</v>
      </c>
      <c r="AW2042" s="6" t="s">
        <v>81</v>
      </c>
      <c r="AX2042" s="6" t="s">
        <v>22071</v>
      </c>
      <c r="AY2042" s="6" t="s">
        <v>81</v>
      </c>
      <c r="AZ2042" s="6" t="s">
        <v>81</v>
      </c>
      <c r="BA2042" s="6" t="s">
        <v>81</v>
      </c>
      <c r="BB2042" s="24" t="n">
        <v>140</v>
      </c>
      <c r="BC2042" s="26"/>
      <c r="BD2042" s="26"/>
      <c r="BE2042" s="26"/>
      <c r="BF2042" s="26"/>
      <c r="BG2042" s="26"/>
      <c r="BH2042" s="26"/>
      <c r="BI2042" s="26"/>
      <c r="BJ2042" s="26"/>
      <c r="BK2042" s="26"/>
      <c r="BL2042" s="26"/>
      <c r="BM2042" s="26"/>
      <c r="BN2042" s="26"/>
      <c r="BO2042" s="26"/>
      <c r="BP2042" s="16" t="n">
        <v>45701</v>
      </c>
      <c r="BQ2042" s="28" t="str">
        <f>HYPERLINK("https://organic.ams.usda.gov/Integrity/Certificate.aspx?cid=81&amp;nopid=4210003042")</f>
        <v>https://organic.ams.usda.gov/Integrity/Certificate.aspx?cid=81&amp;nopid=4210003042</v>
      </c>
    </row>
    <row r="2043">
      <c r="A2043" t="s">
        <v>3</v>
      </c>
      <c r="B2043" s="6" t="s">
        <v>16</v>
      </c>
      <c r="C2043" s="6" t="s">
        <v>63</v>
      </c>
      <c r="D2043" s="6" t="s">
        <v>109</v>
      </c>
      <c r="E2043" s="10" t="s">
        <v>2184</v>
      </c>
      <c r="F2043" s="6" t="s">
        <v>4897</v>
      </c>
      <c r="G2043" s="6" t="s">
        <v>81</v>
      </c>
      <c r="H2043" s="6" t="s">
        <v>7758</v>
      </c>
      <c r="I2043" s="6" t="s">
        <v>9391</v>
      </c>
      <c r="J2043" s="6" t="s">
        <v>9839</v>
      </c>
      <c r="K2043" s="6" t="s">
        <v>10886</v>
      </c>
      <c r="L2043" s="16" t="n">
        <v>39234</v>
      </c>
      <c r="M2043" s="16" t="n">
        <v>45731</v>
      </c>
      <c r="N2043" s="6" t="s">
        <v>10886</v>
      </c>
      <c r="O2043" s="16" t="n">
        <v>39234</v>
      </c>
      <c r="P2043" s="6" t="s">
        <v>11302</v>
      </c>
      <c r="Q2043" s="6" t="s">
        <v>81</v>
      </c>
      <c r="R2043" s="6" t="s">
        <v>81</v>
      </c>
      <c r="S2043" s="6" t="s">
        <v>10886</v>
      </c>
      <c r="T2043" s="16" t="n">
        <v>39234</v>
      </c>
      <c r="U2043" s="6" t="s">
        <v>13787</v>
      </c>
      <c r="V2043" s="6" t="s">
        <v>81</v>
      </c>
      <c r="W2043" s="6" t="s">
        <v>81</v>
      </c>
      <c r="X2043" s="6" t="s">
        <v>81</v>
      </c>
      <c r="Y2043" s="21" t="s">
        <v>81</v>
      </c>
      <c r="Z2043" s="6" t="s">
        <v>81</v>
      </c>
      <c r="AA2043" s="6" t="s">
        <v>81</v>
      </c>
      <c r="AB2043" s="6" t="s">
        <v>81</v>
      </c>
      <c r="AC2043" s="6" t="s">
        <v>10886</v>
      </c>
      <c r="AD2043" s="16" t="n">
        <v>39234</v>
      </c>
      <c r="AE2043" s="6" t="s">
        <v>81</v>
      </c>
      <c r="AF2043" s="6" t="s">
        <v>81</v>
      </c>
      <c r="AG2043" s="6" t="s">
        <v>81</v>
      </c>
      <c r="AH2043" s="6" t="s">
        <v>16592</v>
      </c>
      <c r="AI2043" s="6" t="s">
        <v>81</v>
      </c>
      <c r="AJ2043" s="6" t="s">
        <v>18189</v>
      </c>
      <c r="AK2043" s="6" t="s">
        <v>18383</v>
      </c>
      <c r="AL2043" s="6" t="s">
        <v>18444</v>
      </c>
      <c r="AM2043" s="6" t="s">
        <v>19398</v>
      </c>
      <c r="AN2043" s="6" t="s">
        <v>19651</v>
      </c>
      <c r="AO2043" s="6" t="s">
        <v>19721</v>
      </c>
      <c r="AP2043" s="6" t="s">
        <v>20380</v>
      </c>
      <c r="AQ2043" s="6" t="s">
        <v>81</v>
      </c>
      <c r="AR2043" s="6" t="s">
        <v>18189</v>
      </c>
      <c r="AS2043" s="6" t="s">
        <v>18383</v>
      </c>
      <c r="AT2043" s="6" t="s">
        <v>18444</v>
      </c>
      <c r="AU2043" s="6" t="s">
        <v>19398</v>
      </c>
      <c r="AV2043" s="6" t="s">
        <v>81</v>
      </c>
      <c r="AW2043" s="6" t="s">
        <v>81</v>
      </c>
      <c r="AX2043" s="6" t="s">
        <v>22072</v>
      </c>
      <c r="AY2043" s="6" t="s">
        <v>81</v>
      </c>
      <c r="AZ2043" s="6" t="s">
        <v>23746</v>
      </c>
      <c r="BA2043" s="6" t="s">
        <v>81</v>
      </c>
      <c r="BB2043" s="24" t="n">
        <v>339</v>
      </c>
      <c r="BC2043" s="26"/>
      <c r="BD2043" s="26"/>
      <c r="BE2043" s="26"/>
      <c r="BF2043" s="26"/>
      <c r="BG2043" s="26"/>
      <c r="BH2043" s="26"/>
      <c r="BI2043" s="26"/>
      <c r="BJ2043" s="26"/>
      <c r="BK2043" s="26"/>
      <c r="BL2043" s="26"/>
      <c r="BM2043" s="26"/>
      <c r="BN2043" s="26"/>
      <c r="BO2043" s="26"/>
      <c r="BP2043" s="16" t="n">
        <v>45701</v>
      </c>
      <c r="BQ2043" s="28" t="str">
        <f>HYPERLINK("https://organic.ams.usda.gov/Integrity/Certificate.aspx?cid=81&amp;nopid=4210007062")</f>
        <v>https://organic.ams.usda.gov/Integrity/Certificate.aspx?cid=81&amp;nopid=4210007062</v>
      </c>
    </row>
    <row r="2044">
      <c r="A2044" t="s">
        <v>3</v>
      </c>
      <c r="B2044" s="6" t="s">
        <v>16</v>
      </c>
      <c r="C2044" s="6" t="s">
        <v>63</v>
      </c>
      <c r="D2044" s="6" t="s">
        <v>109</v>
      </c>
      <c r="E2044" s="10" t="s">
        <v>2185</v>
      </c>
      <c r="F2044" s="6" t="s">
        <v>4898</v>
      </c>
      <c r="G2044" s="6" t="s">
        <v>81</v>
      </c>
      <c r="H2044" s="6" t="s">
        <v>7759</v>
      </c>
      <c r="I2044" s="6" t="s">
        <v>8931</v>
      </c>
      <c r="J2044" s="6" t="s">
        <v>9786</v>
      </c>
      <c r="K2044" s="6" t="s">
        <v>10886</v>
      </c>
      <c r="L2044" s="16" t="n">
        <v>42514</v>
      </c>
      <c r="M2044" s="16" t="n">
        <v>45731</v>
      </c>
      <c r="N2044" s="6" t="s">
        <v>10886</v>
      </c>
      <c r="O2044" s="16" t="n">
        <v>42514</v>
      </c>
      <c r="P2044" s="6" t="s">
        <v>11130</v>
      </c>
      <c r="Q2044" s="6" t="s">
        <v>81</v>
      </c>
      <c r="R2044" s="6" t="s">
        <v>81</v>
      </c>
      <c r="S2044" s="6" t="s">
        <v>10886</v>
      </c>
      <c r="T2044" s="16" t="n">
        <v>42514</v>
      </c>
      <c r="U2044" s="6" t="s">
        <v>13281</v>
      </c>
      <c r="V2044" s="6" t="s">
        <v>81</v>
      </c>
      <c r="W2044" s="6" t="s">
        <v>81</v>
      </c>
      <c r="X2044" s="6" t="s">
        <v>81</v>
      </c>
      <c r="Y2044" s="21" t="s">
        <v>81</v>
      </c>
      <c r="Z2044" s="6" t="s">
        <v>81</v>
      </c>
      <c r="AA2044" s="6" t="s">
        <v>81</v>
      </c>
      <c r="AB2044" s="6" t="s">
        <v>81</v>
      </c>
      <c r="AC2044" s="6" t="s">
        <v>10886</v>
      </c>
      <c r="AD2044" s="16" t="n">
        <v>42514</v>
      </c>
      <c r="AE2044" s="6" t="s">
        <v>81</v>
      </c>
      <c r="AF2044" s="6" t="s">
        <v>81</v>
      </c>
      <c r="AG2044" s="6" t="s">
        <v>81</v>
      </c>
      <c r="AH2044" s="6" t="s">
        <v>16593</v>
      </c>
      <c r="AI2044" s="6" t="s">
        <v>81</v>
      </c>
      <c r="AJ2044" s="6" t="s">
        <v>18190</v>
      </c>
      <c r="AK2044" s="6" t="s">
        <v>18383</v>
      </c>
      <c r="AL2044" s="6" t="s">
        <v>18444</v>
      </c>
      <c r="AM2044" s="6" t="s">
        <v>19400</v>
      </c>
      <c r="AN2044" s="6" t="s">
        <v>19692</v>
      </c>
      <c r="AO2044" s="6" t="s">
        <v>20019</v>
      </c>
      <c r="AP2044" s="6" t="s">
        <v>81</v>
      </c>
      <c r="AQ2044" s="6" t="s">
        <v>81</v>
      </c>
      <c r="AR2044" s="6" t="s">
        <v>81</v>
      </c>
      <c r="AS2044" s="6" t="s">
        <v>81</v>
      </c>
      <c r="AT2044" s="6" t="s">
        <v>81</v>
      </c>
      <c r="AU2044" s="6" t="s">
        <v>81</v>
      </c>
      <c r="AV2044" s="6" t="s">
        <v>81</v>
      </c>
      <c r="AW2044" s="6" t="s">
        <v>81</v>
      </c>
      <c r="AX2044" s="6" t="s">
        <v>22073</v>
      </c>
      <c r="AY2044" s="6" t="s">
        <v>81</v>
      </c>
      <c r="AZ2044" s="6" t="s">
        <v>23747</v>
      </c>
      <c r="BA2044" s="6" t="s">
        <v>81</v>
      </c>
      <c r="BB2044" s="24" t="n">
        <v>349</v>
      </c>
      <c r="BC2044" s="26"/>
      <c r="BD2044" s="26"/>
      <c r="BE2044" s="26"/>
      <c r="BF2044" s="26"/>
      <c r="BG2044" s="26"/>
      <c r="BH2044" s="26"/>
      <c r="BI2044" s="26"/>
      <c r="BJ2044" s="26"/>
      <c r="BK2044" s="26"/>
      <c r="BL2044" s="26"/>
      <c r="BM2044" s="26"/>
      <c r="BN2044" s="26"/>
      <c r="BO2044" s="26"/>
      <c r="BP2044" s="16" t="n">
        <v>45701</v>
      </c>
      <c r="BQ2044" s="28" t="str">
        <f>HYPERLINK("https://organic.ams.usda.gov/Integrity/Certificate.aspx?cid=81&amp;nopid=4210016076")</f>
        <v>https://organic.ams.usda.gov/Integrity/Certificate.aspx?cid=81&amp;nopid=4210016076</v>
      </c>
    </row>
    <row r="2045">
      <c r="A2045" t="s">
        <v>3</v>
      </c>
      <c r="B2045" s="6" t="s">
        <v>16</v>
      </c>
      <c r="C2045" s="6" t="s">
        <v>63</v>
      </c>
      <c r="D2045" s="6" t="s">
        <v>109</v>
      </c>
      <c r="E2045" s="10" t="s">
        <v>2186</v>
      </c>
      <c r="F2045" s="6" t="s">
        <v>4899</v>
      </c>
      <c r="G2045" s="6" t="s">
        <v>81</v>
      </c>
      <c r="H2045" s="6" t="s">
        <v>7760</v>
      </c>
      <c r="I2045" s="6" t="s">
        <v>8931</v>
      </c>
      <c r="J2045" s="6" t="s">
        <v>10572</v>
      </c>
      <c r="K2045" s="6" t="s">
        <v>10886</v>
      </c>
      <c r="L2045" s="16" t="n">
        <v>37575</v>
      </c>
      <c r="M2045" s="16" t="n">
        <v>45731</v>
      </c>
      <c r="N2045" s="6" t="s">
        <v>10886</v>
      </c>
      <c r="O2045" s="16" t="n">
        <v>37575</v>
      </c>
      <c r="P2045" s="6" t="s">
        <v>11544</v>
      </c>
      <c r="Q2045" s="6" t="s">
        <v>81</v>
      </c>
      <c r="R2045" s="6" t="s">
        <v>81</v>
      </c>
      <c r="S2045" s="6" t="s">
        <v>10886</v>
      </c>
      <c r="T2045" s="16" t="n">
        <v>37575</v>
      </c>
      <c r="U2045" s="6" t="s">
        <v>13281</v>
      </c>
      <c r="V2045" s="6" t="s">
        <v>81</v>
      </c>
      <c r="W2045" s="6" t="s">
        <v>81</v>
      </c>
      <c r="X2045" s="6" t="s">
        <v>81</v>
      </c>
      <c r="Y2045" s="21" t="s">
        <v>81</v>
      </c>
      <c r="Z2045" s="6" t="s">
        <v>81</v>
      </c>
      <c r="AA2045" s="6" t="s">
        <v>81</v>
      </c>
      <c r="AB2045" s="6" t="s">
        <v>81</v>
      </c>
      <c r="AC2045" s="6" t="s">
        <v>10886</v>
      </c>
      <c r="AD2045" s="16" t="n">
        <v>37575</v>
      </c>
      <c r="AE2045" s="6" t="s">
        <v>81</v>
      </c>
      <c r="AF2045" s="6" t="s">
        <v>81</v>
      </c>
      <c r="AG2045" s="6" t="s">
        <v>81</v>
      </c>
      <c r="AH2045" s="6" t="s">
        <v>16594</v>
      </c>
      <c r="AI2045" s="6" t="s">
        <v>81</v>
      </c>
      <c r="AJ2045" s="6" t="s">
        <v>17898</v>
      </c>
      <c r="AK2045" s="6" t="s">
        <v>18383</v>
      </c>
      <c r="AL2045" s="6" t="s">
        <v>18444</v>
      </c>
      <c r="AM2045" s="6" t="s">
        <v>19086</v>
      </c>
      <c r="AN2045" s="6" t="s">
        <v>19653</v>
      </c>
      <c r="AO2045" s="6" t="s">
        <v>19928</v>
      </c>
      <c r="AP2045" s="6" t="s">
        <v>81</v>
      </c>
      <c r="AQ2045" s="6" t="s">
        <v>81</v>
      </c>
      <c r="AR2045" s="6" t="s">
        <v>81</v>
      </c>
      <c r="AS2045" s="6" t="s">
        <v>81</v>
      </c>
      <c r="AT2045" s="6" t="s">
        <v>81</v>
      </c>
      <c r="AU2045" s="6" t="s">
        <v>81</v>
      </c>
      <c r="AV2045" s="6" t="s">
        <v>81</v>
      </c>
      <c r="AW2045" s="6" t="s">
        <v>81</v>
      </c>
      <c r="AX2045" s="6" t="s">
        <v>22074</v>
      </c>
      <c r="AY2045" s="6" t="s">
        <v>81</v>
      </c>
      <c r="AZ2045" s="6" t="s">
        <v>81</v>
      </c>
      <c r="BA2045" s="6" t="s">
        <v>81</v>
      </c>
      <c r="BB2045" s="24" t="n">
        <v>430</v>
      </c>
      <c r="BC2045" s="26"/>
      <c r="BD2045" s="26"/>
      <c r="BE2045" s="26"/>
      <c r="BF2045" s="26"/>
      <c r="BG2045" s="26"/>
      <c r="BH2045" s="26"/>
      <c r="BI2045" s="26"/>
      <c r="BJ2045" s="26"/>
      <c r="BK2045" s="26"/>
      <c r="BL2045" s="26"/>
      <c r="BM2045" s="26"/>
      <c r="BN2045" s="26"/>
      <c r="BO2045" s="26"/>
      <c r="BP2045" s="16" t="n">
        <v>45701</v>
      </c>
      <c r="BQ2045" s="28" t="str">
        <f>HYPERLINK("https://organic.ams.usda.gov/Integrity/Certificate.aspx?cid=81&amp;nopid=4210099120")</f>
        <v>https://organic.ams.usda.gov/Integrity/Certificate.aspx?cid=81&amp;nopid=4210099120</v>
      </c>
    </row>
    <row r="2046">
      <c r="A2046" t="s">
        <v>3</v>
      </c>
      <c r="B2046" s="6" t="s">
        <v>16</v>
      </c>
      <c r="C2046" s="6" t="s">
        <v>63</v>
      </c>
      <c r="D2046" s="6" t="s">
        <v>109</v>
      </c>
      <c r="E2046" s="10" t="s">
        <v>2187</v>
      </c>
      <c r="F2046" s="6" t="s">
        <v>4900</v>
      </c>
      <c r="G2046" s="6" t="s">
        <v>5788</v>
      </c>
      <c r="H2046" s="6" t="s">
        <v>7761</v>
      </c>
      <c r="I2046" s="6" t="s">
        <v>9392</v>
      </c>
      <c r="J2046" s="6" t="s">
        <v>10573</v>
      </c>
      <c r="K2046" s="6" t="s">
        <v>10886</v>
      </c>
      <c r="L2046" s="16" t="n">
        <v>37975</v>
      </c>
      <c r="M2046" s="16" t="n">
        <v>45731</v>
      </c>
      <c r="N2046" s="6" t="s">
        <v>10886</v>
      </c>
      <c r="O2046" s="16" t="n">
        <v>37975</v>
      </c>
      <c r="P2046" s="6" t="s">
        <v>11564</v>
      </c>
      <c r="Q2046" s="6" t="s">
        <v>81</v>
      </c>
      <c r="R2046" s="6" t="s">
        <v>81</v>
      </c>
      <c r="S2046" s="6" t="s">
        <v>10886</v>
      </c>
      <c r="T2046" s="16" t="n">
        <v>37975</v>
      </c>
      <c r="U2046" s="6" t="s">
        <v>13281</v>
      </c>
      <c r="V2046" s="6" t="s">
        <v>81</v>
      </c>
      <c r="W2046" s="6" t="s">
        <v>81</v>
      </c>
      <c r="X2046" s="6" t="s">
        <v>81</v>
      </c>
      <c r="Y2046" s="21" t="s">
        <v>81</v>
      </c>
      <c r="Z2046" s="6" t="s">
        <v>81</v>
      </c>
      <c r="AA2046" s="6" t="s">
        <v>81</v>
      </c>
      <c r="AB2046" s="6" t="s">
        <v>81</v>
      </c>
      <c r="AC2046" s="6" t="s">
        <v>10886</v>
      </c>
      <c r="AD2046" s="16" t="n">
        <v>37975</v>
      </c>
      <c r="AE2046" s="6" t="s">
        <v>81</v>
      </c>
      <c r="AF2046" s="6" t="s">
        <v>81</v>
      </c>
      <c r="AG2046" s="6" t="s">
        <v>81</v>
      </c>
      <c r="AH2046" s="6" t="s">
        <v>16595</v>
      </c>
      <c r="AI2046" s="6" t="s">
        <v>81</v>
      </c>
      <c r="AJ2046" s="6" t="s">
        <v>18187</v>
      </c>
      <c r="AK2046" s="6" t="s">
        <v>18383</v>
      </c>
      <c r="AL2046" s="6" t="s">
        <v>18444</v>
      </c>
      <c r="AM2046" s="6" t="s">
        <v>19401</v>
      </c>
      <c r="AN2046" s="6" t="s">
        <v>19653</v>
      </c>
      <c r="AO2046" s="6" t="s">
        <v>19928</v>
      </c>
      <c r="AP2046" s="6" t="s">
        <v>20381</v>
      </c>
      <c r="AQ2046" s="6" t="s">
        <v>81</v>
      </c>
      <c r="AR2046" s="6" t="s">
        <v>20563</v>
      </c>
      <c r="AS2046" s="6" t="s">
        <v>18383</v>
      </c>
      <c r="AT2046" s="6" t="s">
        <v>18444</v>
      </c>
      <c r="AU2046" s="6" t="s">
        <v>19401</v>
      </c>
      <c r="AV2046" s="6" t="s">
        <v>81</v>
      </c>
      <c r="AW2046" s="6" t="s">
        <v>81</v>
      </c>
      <c r="AX2046" s="6" t="s">
        <v>22075</v>
      </c>
      <c r="AY2046" s="6" t="s">
        <v>81</v>
      </c>
      <c r="AZ2046" s="6" t="s">
        <v>81</v>
      </c>
      <c r="BA2046" s="6" t="s">
        <v>81</v>
      </c>
      <c r="BB2046" s="24" t="n">
        <v>94</v>
      </c>
      <c r="BC2046" s="26"/>
      <c r="BD2046" s="26"/>
      <c r="BE2046" s="26"/>
      <c r="BF2046" s="26"/>
      <c r="BG2046" s="26"/>
      <c r="BH2046" s="26"/>
      <c r="BI2046" s="26"/>
      <c r="BJ2046" s="26"/>
      <c r="BK2046" s="26"/>
      <c r="BL2046" s="26"/>
      <c r="BM2046" s="26"/>
      <c r="BN2046" s="26"/>
      <c r="BO2046" s="26"/>
      <c r="BP2046" s="16" t="n">
        <v>45701</v>
      </c>
      <c r="BQ2046" s="28" t="str">
        <f>HYPERLINK("https://organic.ams.usda.gov/Integrity/Certificate.aspx?cid=81&amp;nopid=4210003057")</f>
        <v>https://organic.ams.usda.gov/Integrity/Certificate.aspx?cid=81&amp;nopid=4210003057</v>
      </c>
    </row>
    <row r="2047">
      <c r="A2047" t="s">
        <v>3</v>
      </c>
      <c r="B2047" s="6" t="s">
        <v>16</v>
      </c>
      <c r="C2047" s="6" t="s">
        <v>63</v>
      </c>
      <c r="D2047" s="6" t="s">
        <v>109</v>
      </c>
      <c r="E2047" s="10" t="s">
        <v>2188</v>
      </c>
      <c r="F2047" s="6" t="s">
        <v>4901</v>
      </c>
      <c r="G2047" s="6" t="s">
        <v>5789</v>
      </c>
      <c r="H2047" s="6" t="s">
        <v>7762</v>
      </c>
      <c r="I2047" s="6" t="s">
        <v>9393</v>
      </c>
      <c r="J2047" s="6" t="s">
        <v>10574</v>
      </c>
      <c r="K2047" s="6" t="s">
        <v>10886</v>
      </c>
      <c r="L2047" s="16" t="n">
        <v>39217</v>
      </c>
      <c r="M2047" s="16" t="n">
        <v>45731</v>
      </c>
      <c r="N2047" s="6" t="s">
        <v>10886</v>
      </c>
      <c r="O2047" s="16" t="n">
        <v>39217</v>
      </c>
      <c r="P2047" s="6" t="s">
        <v>11948</v>
      </c>
      <c r="Q2047" s="6" t="s">
        <v>81</v>
      </c>
      <c r="R2047" s="6" t="s">
        <v>81</v>
      </c>
      <c r="S2047" s="6" t="s">
        <v>10886</v>
      </c>
      <c r="T2047" s="16" t="n">
        <v>39217</v>
      </c>
      <c r="U2047" s="6" t="s">
        <v>13182</v>
      </c>
      <c r="V2047" s="6" t="s">
        <v>81</v>
      </c>
      <c r="W2047" s="6" t="s">
        <v>81</v>
      </c>
      <c r="X2047" s="6" t="s">
        <v>81</v>
      </c>
      <c r="Y2047" s="21" t="s">
        <v>81</v>
      </c>
      <c r="Z2047" s="6" t="s">
        <v>81</v>
      </c>
      <c r="AA2047" s="6" t="s">
        <v>81</v>
      </c>
      <c r="AB2047" s="6" t="s">
        <v>81</v>
      </c>
      <c r="AC2047" s="6" t="s">
        <v>10886</v>
      </c>
      <c r="AD2047" s="16" t="n">
        <v>39217</v>
      </c>
      <c r="AE2047" s="6" t="s">
        <v>81</v>
      </c>
      <c r="AF2047" s="6" t="s">
        <v>81</v>
      </c>
      <c r="AG2047" s="6" t="s">
        <v>81</v>
      </c>
      <c r="AH2047" s="6" t="s">
        <v>16596</v>
      </c>
      <c r="AI2047" s="6" t="s">
        <v>81</v>
      </c>
      <c r="AJ2047" s="6" t="s">
        <v>17499</v>
      </c>
      <c r="AK2047" s="6" t="s">
        <v>18383</v>
      </c>
      <c r="AL2047" s="6" t="s">
        <v>18444</v>
      </c>
      <c r="AM2047" s="6" t="s">
        <v>18660</v>
      </c>
      <c r="AN2047" s="6" t="s">
        <v>19683</v>
      </c>
      <c r="AO2047" s="6" t="s">
        <v>19751</v>
      </c>
      <c r="AP2047" s="6" t="s">
        <v>81</v>
      </c>
      <c r="AQ2047" s="6" t="s">
        <v>81</v>
      </c>
      <c r="AR2047" s="6" t="s">
        <v>81</v>
      </c>
      <c r="AS2047" s="6" t="s">
        <v>81</v>
      </c>
      <c r="AT2047" s="6" t="s">
        <v>81</v>
      </c>
      <c r="AU2047" s="6" t="s">
        <v>81</v>
      </c>
      <c r="AV2047" s="6" t="s">
        <v>81</v>
      </c>
      <c r="AW2047" s="6" t="s">
        <v>81</v>
      </c>
      <c r="AX2047" s="6" t="s">
        <v>22076</v>
      </c>
      <c r="AY2047" s="6" t="s">
        <v>81</v>
      </c>
      <c r="AZ2047" s="6" t="s">
        <v>81</v>
      </c>
      <c r="BA2047" s="6" t="s">
        <v>81</v>
      </c>
      <c r="BB2047" s="24" t="n">
        <v>403</v>
      </c>
      <c r="BC2047" s="26"/>
      <c r="BD2047" s="26"/>
      <c r="BE2047" s="26"/>
      <c r="BF2047" s="26"/>
      <c r="BG2047" s="26"/>
      <c r="BH2047" s="26"/>
      <c r="BI2047" s="26"/>
      <c r="BJ2047" s="26"/>
      <c r="BK2047" s="26"/>
      <c r="BL2047" s="26"/>
      <c r="BM2047" s="26"/>
      <c r="BN2047" s="26"/>
      <c r="BO2047" s="26"/>
      <c r="BP2047" s="16" t="n">
        <v>45701</v>
      </c>
      <c r="BQ2047" s="28" t="str">
        <f>HYPERLINK("https://organic.ams.usda.gov/Integrity/Certificate.aspx?cid=81&amp;nopid=4210007043")</f>
        <v>https://organic.ams.usda.gov/Integrity/Certificate.aspx?cid=81&amp;nopid=4210007043</v>
      </c>
    </row>
    <row r="2048">
      <c r="A2048" t="s">
        <v>3</v>
      </c>
      <c r="B2048" s="6" t="s">
        <v>16</v>
      </c>
      <c r="C2048" s="6" t="s">
        <v>63</v>
      </c>
      <c r="D2048" s="6" t="s">
        <v>109</v>
      </c>
      <c r="E2048" s="10" t="s">
        <v>2189</v>
      </c>
      <c r="F2048" s="6" t="s">
        <v>4902</v>
      </c>
      <c r="G2048" s="6" t="s">
        <v>5790</v>
      </c>
      <c r="H2048" s="6" t="s">
        <v>7763</v>
      </c>
      <c r="I2048" s="6" t="s">
        <v>9394</v>
      </c>
      <c r="J2048" s="6" t="s">
        <v>10575</v>
      </c>
      <c r="K2048" s="6" t="s">
        <v>10886</v>
      </c>
      <c r="L2048" s="16" t="n">
        <v>40848</v>
      </c>
      <c r="M2048" s="16" t="n">
        <v>45731</v>
      </c>
      <c r="N2048" s="6" t="s">
        <v>10886</v>
      </c>
      <c r="O2048" s="16" t="n">
        <v>40848</v>
      </c>
      <c r="P2048" s="6" t="s">
        <v>11564</v>
      </c>
      <c r="Q2048" s="6" t="s">
        <v>81</v>
      </c>
      <c r="R2048" s="6" t="s">
        <v>81</v>
      </c>
      <c r="S2048" s="6" t="s">
        <v>10886</v>
      </c>
      <c r="T2048" s="16" t="n">
        <v>40848</v>
      </c>
      <c r="U2048" s="6" t="s">
        <v>13551</v>
      </c>
      <c r="V2048" s="6" t="s">
        <v>81</v>
      </c>
      <c r="W2048" s="6" t="s">
        <v>81</v>
      </c>
      <c r="X2048" s="6" t="s">
        <v>81</v>
      </c>
      <c r="Y2048" s="21" t="s">
        <v>81</v>
      </c>
      <c r="Z2048" s="6" t="s">
        <v>81</v>
      </c>
      <c r="AA2048" s="6" t="s">
        <v>81</v>
      </c>
      <c r="AB2048" s="6" t="s">
        <v>81</v>
      </c>
      <c r="AC2048" s="6" t="s">
        <v>10886</v>
      </c>
      <c r="AD2048" s="16" t="n">
        <v>40848</v>
      </c>
      <c r="AE2048" s="6" t="s">
        <v>81</v>
      </c>
      <c r="AF2048" s="6" t="s">
        <v>81</v>
      </c>
      <c r="AG2048" s="6" t="s">
        <v>81</v>
      </c>
      <c r="AH2048" s="6" t="s">
        <v>16597</v>
      </c>
      <c r="AI2048" s="6" t="s">
        <v>81</v>
      </c>
      <c r="AJ2048" s="6" t="s">
        <v>18191</v>
      </c>
      <c r="AK2048" s="6" t="s">
        <v>18383</v>
      </c>
      <c r="AL2048" s="6" t="s">
        <v>18444</v>
      </c>
      <c r="AM2048" s="6" t="s">
        <v>18715</v>
      </c>
      <c r="AN2048" s="6" t="s">
        <v>19636</v>
      </c>
      <c r="AO2048" s="6" t="s">
        <v>19740</v>
      </c>
      <c r="AP2048" s="6" t="s">
        <v>16597</v>
      </c>
      <c r="AQ2048" s="6" t="s">
        <v>81</v>
      </c>
      <c r="AR2048" s="6" t="s">
        <v>17552</v>
      </c>
      <c r="AS2048" s="6" t="s">
        <v>18383</v>
      </c>
      <c r="AT2048" s="6" t="s">
        <v>18444</v>
      </c>
      <c r="AU2048" s="6" t="s">
        <v>18715</v>
      </c>
      <c r="AV2048" s="6" t="s">
        <v>81</v>
      </c>
      <c r="AW2048" s="6" t="s">
        <v>81</v>
      </c>
      <c r="AX2048" s="6" t="s">
        <v>22077</v>
      </c>
      <c r="AY2048" s="6" t="s">
        <v>81</v>
      </c>
      <c r="AZ2048" s="6" t="s">
        <v>81</v>
      </c>
      <c r="BA2048" s="6" t="s">
        <v>81</v>
      </c>
      <c r="BB2048" s="24" t="n">
        <v>461</v>
      </c>
      <c r="BC2048" s="26"/>
      <c r="BD2048" s="26"/>
      <c r="BE2048" s="26"/>
      <c r="BF2048" s="26"/>
      <c r="BG2048" s="26"/>
      <c r="BH2048" s="26"/>
      <c r="BI2048" s="26"/>
      <c r="BJ2048" s="26"/>
      <c r="BK2048" s="26"/>
      <c r="BL2048" s="26"/>
      <c r="BM2048" s="26"/>
      <c r="BN2048" s="26"/>
      <c r="BO2048" s="26"/>
      <c r="BP2048" s="16" t="n">
        <v>45701</v>
      </c>
      <c r="BQ2048" s="28" t="str">
        <f>HYPERLINK("https://organic.ams.usda.gov/Integrity/Certificate.aspx?cid=81&amp;nopid=4210011036")</f>
        <v>https://organic.ams.usda.gov/Integrity/Certificate.aspx?cid=81&amp;nopid=4210011036</v>
      </c>
    </row>
    <row r="2049">
      <c r="A2049" t="s">
        <v>3</v>
      </c>
      <c r="B2049" s="6" t="s">
        <v>16</v>
      </c>
      <c r="C2049" s="6" t="s">
        <v>63</v>
      </c>
      <c r="D2049" s="6" t="s">
        <v>109</v>
      </c>
      <c r="E2049" s="10" t="s">
        <v>2190</v>
      </c>
      <c r="F2049" s="6" t="s">
        <v>4903</v>
      </c>
      <c r="G2049" s="6" t="s">
        <v>5791</v>
      </c>
      <c r="H2049" s="6" t="s">
        <v>7764</v>
      </c>
      <c r="I2049" s="6" t="s">
        <v>9395</v>
      </c>
      <c r="J2049" s="6" t="s">
        <v>10576</v>
      </c>
      <c r="K2049" s="6" t="s">
        <v>10886</v>
      </c>
      <c r="L2049" s="16" t="n">
        <v>41835</v>
      </c>
      <c r="M2049" s="16" t="n">
        <v>45731</v>
      </c>
      <c r="N2049" s="6" t="s">
        <v>10886</v>
      </c>
      <c r="O2049" s="16" t="n">
        <v>41835</v>
      </c>
      <c r="P2049" s="6" t="s">
        <v>11130</v>
      </c>
      <c r="Q2049" s="6" t="s">
        <v>81</v>
      </c>
      <c r="R2049" s="6" t="s">
        <v>81</v>
      </c>
      <c r="S2049" s="6" t="s">
        <v>10886</v>
      </c>
      <c r="T2049" s="16" t="n">
        <v>41835</v>
      </c>
      <c r="U2049" s="6" t="s">
        <v>13281</v>
      </c>
      <c r="V2049" s="6" t="s">
        <v>81</v>
      </c>
      <c r="W2049" s="6" t="s">
        <v>81</v>
      </c>
      <c r="X2049" s="6" t="s">
        <v>81</v>
      </c>
      <c r="Y2049" s="21" t="s">
        <v>81</v>
      </c>
      <c r="Z2049" s="6" t="s">
        <v>81</v>
      </c>
      <c r="AA2049" s="6" t="s">
        <v>81</v>
      </c>
      <c r="AB2049" s="6" t="s">
        <v>81</v>
      </c>
      <c r="AC2049" s="6" t="s">
        <v>10886</v>
      </c>
      <c r="AD2049" s="16" t="n">
        <v>41835</v>
      </c>
      <c r="AE2049" s="6" t="s">
        <v>14364</v>
      </c>
      <c r="AF2049" s="6" t="s">
        <v>81</v>
      </c>
      <c r="AG2049" s="6" t="s">
        <v>81</v>
      </c>
      <c r="AH2049" s="6" t="s">
        <v>16598</v>
      </c>
      <c r="AI2049" s="6" t="s">
        <v>81</v>
      </c>
      <c r="AJ2049" s="6" t="s">
        <v>18192</v>
      </c>
      <c r="AK2049" s="6" t="s">
        <v>18383</v>
      </c>
      <c r="AL2049" s="6" t="s">
        <v>18444</v>
      </c>
      <c r="AM2049" s="6" t="s">
        <v>19402</v>
      </c>
      <c r="AN2049" s="6" t="s">
        <v>19653</v>
      </c>
      <c r="AO2049" s="6" t="s">
        <v>19928</v>
      </c>
      <c r="AP2049" s="6" t="s">
        <v>81</v>
      </c>
      <c r="AQ2049" s="6" t="s">
        <v>81</v>
      </c>
      <c r="AR2049" s="6" t="s">
        <v>81</v>
      </c>
      <c r="AS2049" s="6" t="s">
        <v>81</v>
      </c>
      <c r="AT2049" s="6" t="s">
        <v>81</v>
      </c>
      <c r="AU2049" s="6" t="s">
        <v>81</v>
      </c>
      <c r="AV2049" s="6" t="s">
        <v>81</v>
      </c>
      <c r="AW2049" s="6" t="s">
        <v>81</v>
      </c>
      <c r="AX2049" s="6" t="s">
        <v>22078</v>
      </c>
      <c r="AY2049" s="6" t="s">
        <v>81</v>
      </c>
      <c r="AZ2049" s="6" t="s">
        <v>81</v>
      </c>
      <c r="BA2049" s="6" t="s">
        <v>81</v>
      </c>
      <c r="BB2049" s="24" t="n">
        <v>465</v>
      </c>
      <c r="BC2049" s="26"/>
      <c r="BD2049" s="26"/>
      <c r="BE2049" s="26"/>
      <c r="BF2049" s="26"/>
      <c r="BG2049" s="26"/>
      <c r="BH2049" s="26"/>
      <c r="BI2049" s="26"/>
      <c r="BJ2049" s="26"/>
      <c r="BK2049" s="26"/>
      <c r="BL2049" s="26"/>
      <c r="BM2049" s="26"/>
      <c r="BN2049" s="26"/>
      <c r="BO2049" s="26"/>
      <c r="BP2049" s="16" t="n">
        <v>45701</v>
      </c>
      <c r="BQ2049" s="28" t="str">
        <f>HYPERLINK("https://organic.ams.usda.gov/Integrity/Certificate.aspx?cid=81&amp;nopid=4210014027")</f>
        <v>https://organic.ams.usda.gov/Integrity/Certificate.aspx?cid=81&amp;nopid=4210014027</v>
      </c>
    </row>
    <row r="2050">
      <c r="A2050" t="s">
        <v>3</v>
      </c>
      <c r="B2050" s="6" t="s">
        <v>16</v>
      </c>
      <c r="C2050" s="6" t="s">
        <v>63</v>
      </c>
      <c r="D2050" s="6" t="s">
        <v>109</v>
      </c>
      <c r="E2050" s="10" t="s">
        <v>2191</v>
      </c>
      <c r="F2050" s="6" t="s">
        <v>4904</v>
      </c>
      <c r="G2050" s="6" t="s">
        <v>5792</v>
      </c>
      <c r="H2050" s="6" t="s">
        <v>7765</v>
      </c>
      <c r="I2050" s="6" t="s">
        <v>9395</v>
      </c>
      <c r="J2050" s="6" t="s">
        <v>10577</v>
      </c>
      <c r="K2050" s="6" t="s">
        <v>10886</v>
      </c>
      <c r="L2050" s="16" t="n">
        <v>37575</v>
      </c>
      <c r="M2050" s="16" t="n">
        <v>45731</v>
      </c>
      <c r="N2050" s="6" t="s">
        <v>10886</v>
      </c>
      <c r="O2050" s="16" t="n">
        <v>37575</v>
      </c>
      <c r="P2050" s="6" t="s">
        <v>11564</v>
      </c>
      <c r="Q2050" s="6" t="s">
        <v>81</v>
      </c>
      <c r="R2050" s="6" t="s">
        <v>81</v>
      </c>
      <c r="S2050" s="6" t="s">
        <v>10886</v>
      </c>
      <c r="T2050" s="16" t="n">
        <v>37575</v>
      </c>
      <c r="U2050" s="6" t="s">
        <v>13788</v>
      </c>
      <c r="V2050" s="6" t="s">
        <v>81</v>
      </c>
      <c r="W2050" s="6" t="s">
        <v>81</v>
      </c>
      <c r="X2050" s="6" t="s">
        <v>81</v>
      </c>
      <c r="Y2050" s="21" t="s">
        <v>81</v>
      </c>
      <c r="Z2050" s="6" t="s">
        <v>81</v>
      </c>
      <c r="AA2050" s="6" t="s">
        <v>81</v>
      </c>
      <c r="AB2050" s="6" t="s">
        <v>81</v>
      </c>
      <c r="AC2050" s="6" t="s">
        <v>81</v>
      </c>
      <c r="AD2050" s="21" t="s">
        <v>81</v>
      </c>
      <c r="AE2050" s="6" t="s">
        <v>81</v>
      </c>
      <c r="AF2050" s="6" t="s">
        <v>81</v>
      </c>
      <c r="AG2050" s="6" t="s">
        <v>81</v>
      </c>
      <c r="AH2050" s="6" t="s">
        <v>16599</v>
      </c>
      <c r="AI2050" s="6" t="s">
        <v>81</v>
      </c>
      <c r="AJ2050" s="6" t="s">
        <v>18193</v>
      </c>
      <c r="AK2050" s="6" t="s">
        <v>18383</v>
      </c>
      <c r="AL2050" s="6" t="s">
        <v>18444</v>
      </c>
      <c r="AM2050" s="6" t="s">
        <v>19403</v>
      </c>
      <c r="AN2050" s="6" t="s">
        <v>19651</v>
      </c>
      <c r="AO2050" s="6" t="s">
        <v>19721</v>
      </c>
      <c r="AP2050" s="6" t="s">
        <v>81</v>
      </c>
      <c r="AQ2050" s="6" t="s">
        <v>81</v>
      </c>
      <c r="AR2050" s="6" t="s">
        <v>81</v>
      </c>
      <c r="AS2050" s="6" t="s">
        <v>81</v>
      </c>
      <c r="AT2050" s="6" t="s">
        <v>81</v>
      </c>
      <c r="AU2050" s="6" t="s">
        <v>81</v>
      </c>
      <c r="AV2050" s="6" t="s">
        <v>81</v>
      </c>
      <c r="AW2050" s="6" t="s">
        <v>81</v>
      </c>
      <c r="AX2050" s="6" t="s">
        <v>22079</v>
      </c>
      <c r="AY2050" s="6" t="s">
        <v>81</v>
      </c>
      <c r="AZ2050" s="6" t="s">
        <v>23748</v>
      </c>
      <c r="BA2050" s="6" t="s">
        <v>81</v>
      </c>
      <c r="BB2050" s="24" t="n">
        <v>77</v>
      </c>
      <c r="BC2050" s="26"/>
      <c r="BD2050" s="26"/>
      <c r="BE2050" s="26"/>
      <c r="BF2050" s="26"/>
      <c r="BG2050" s="26"/>
      <c r="BH2050" s="26"/>
      <c r="BI2050" s="26"/>
      <c r="BJ2050" s="26"/>
      <c r="BK2050" s="26"/>
      <c r="BL2050" s="26"/>
      <c r="BM2050" s="26"/>
      <c r="BN2050" s="26"/>
      <c r="BO2050" s="26"/>
      <c r="BP2050" s="16" t="n">
        <v>45701</v>
      </c>
      <c r="BQ2050" s="28" t="str">
        <f>HYPERLINK("https://organic.ams.usda.gov/Integrity/Certificate.aspx?cid=81&amp;nopid=4210099189")</f>
        <v>https://organic.ams.usda.gov/Integrity/Certificate.aspx?cid=81&amp;nopid=4210099189</v>
      </c>
    </row>
    <row r="2051">
      <c r="A2051" t="s">
        <v>3</v>
      </c>
      <c r="B2051" s="6" t="s">
        <v>16</v>
      </c>
      <c r="C2051" s="6" t="s">
        <v>63</v>
      </c>
      <c r="D2051" s="6" t="s">
        <v>109</v>
      </c>
      <c r="E2051" s="10" t="s">
        <v>2192</v>
      </c>
      <c r="F2051" s="6" t="s">
        <v>4905</v>
      </c>
      <c r="G2051" s="6" t="s">
        <v>81</v>
      </c>
      <c r="H2051" s="6" t="s">
        <v>7766</v>
      </c>
      <c r="I2051" s="6" t="s">
        <v>8589</v>
      </c>
      <c r="J2051" s="6" t="s">
        <v>9759</v>
      </c>
      <c r="K2051" s="6" t="s">
        <v>10886</v>
      </c>
      <c r="L2051" s="16" t="n">
        <v>38261</v>
      </c>
      <c r="M2051" s="16" t="n">
        <v>45731</v>
      </c>
      <c r="N2051" s="6" t="s">
        <v>10886</v>
      </c>
      <c r="O2051" s="16" t="n">
        <v>38261</v>
      </c>
      <c r="P2051" s="6" t="s">
        <v>11567</v>
      </c>
      <c r="Q2051" s="6" t="s">
        <v>81</v>
      </c>
      <c r="R2051" s="6" t="s">
        <v>81</v>
      </c>
      <c r="S2051" s="6" t="s">
        <v>10886</v>
      </c>
      <c r="T2051" s="16" t="n">
        <v>38261</v>
      </c>
      <c r="U2051" s="6" t="s">
        <v>13281</v>
      </c>
      <c r="V2051" s="6" t="s">
        <v>81</v>
      </c>
      <c r="W2051" s="6" t="s">
        <v>81</v>
      </c>
      <c r="X2051" s="6" t="s">
        <v>81</v>
      </c>
      <c r="Y2051" s="21" t="s">
        <v>81</v>
      </c>
      <c r="Z2051" s="6" t="s">
        <v>81</v>
      </c>
      <c r="AA2051" s="6" t="s">
        <v>81</v>
      </c>
      <c r="AB2051" s="6" t="s">
        <v>81</v>
      </c>
      <c r="AC2051" s="6" t="s">
        <v>10886</v>
      </c>
      <c r="AD2051" s="16" t="n">
        <v>38261</v>
      </c>
      <c r="AE2051" s="6" t="s">
        <v>81</v>
      </c>
      <c r="AF2051" s="6" t="s">
        <v>81</v>
      </c>
      <c r="AG2051" s="6" t="s">
        <v>81</v>
      </c>
      <c r="AH2051" s="6" t="s">
        <v>16600</v>
      </c>
      <c r="AI2051" s="6" t="s">
        <v>81</v>
      </c>
      <c r="AJ2051" s="6" t="s">
        <v>18184</v>
      </c>
      <c r="AK2051" s="6" t="s">
        <v>18383</v>
      </c>
      <c r="AL2051" s="6" t="s">
        <v>18444</v>
      </c>
      <c r="AM2051" s="6" t="s">
        <v>19395</v>
      </c>
      <c r="AN2051" s="6" t="s">
        <v>19660</v>
      </c>
      <c r="AO2051" s="6" t="s">
        <v>20039</v>
      </c>
      <c r="AP2051" s="6" t="s">
        <v>81</v>
      </c>
      <c r="AQ2051" s="6" t="s">
        <v>81</v>
      </c>
      <c r="AR2051" s="6" t="s">
        <v>81</v>
      </c>
      <c r="AS2051" s="6" t="s">
        <v>81</v>
      </c>
      <c r="AT2051" s="6" t="s">
        <v>81</v>
      </c>
      <c r="AU2051" s="6" t="s">
        <v>81</v>
      </c>
      <c r="AV2051" s="6" t="s">
        <v>81</v>
      </c>
      <c r="AW2051" s="6" t="s">
        <v>81</v>
      </c>
      <c r="AX2051" s="6" t="s">
        <v>22080</v>
      </c>
      <c r="AY2051" s="6" t="s">
        <v>81</v>
      </c>
      <c r="AZ2051" s="6" t="s">
        <v>81</v>
      </c>
      <c r="BA2051" s="6" t="s">
        <v>81</v>
      </c>
      <c r="BB2051" s="24" t="n">
        <v>312</v>
      </c>
      <c r="BC2051" s="26"/>
      <c r="BD2051" s="26"/>
      <c r="BE2051" s="26"/>
      <c r="BF2051" s="26"/>
      <c r="BG2051" s="26"/>
      <c r="BH2051" s="26"/>
      <c r="BI2051" s="26"/>
      <c r="BJ2051" s="26"/>
      <c r="BK2051" s="26"/>
      <c r="BL2051" s="26"/>
      <c r="BM2051" s="26"/>
      <c r="BN2051" s="26"/>
      <c r="BO2051" s="26"/>
      <c r="BP2051" s="16" t="n">
        <v>45701</v>
      </c>
      <c r="BQ2051" s="28" t="str">
        <f>HYPERLINK("https://organic.ams.usda.gov/Integrity/Certificate.aspx?cid=81&amp;nopid=4210004061")</f>
        <v>https://organic.ams.usda.gov/Integrity/Certificate.aspx?cid=81&amp;nopid=4210004061</v>
      </c>
    </row>
    <row r="2052">
      <c r="A2052" t="s">
        <v>3</v>
      </c>
      <c r="B2052" s="6" t="s">
        <v>16</v>
      </c>
      <c r="C2052" s="6" t="s">
        <v>63</v>
      </c>
      <c r="D2052" s="6" t="s">
        <v>109</v>
      </c>
      <c r="E2052" s="10" t="s">
        <v>2193</v>
      </c>
      <c r="F2052" s="6" t="s">
        <v>4906</v>
      </c>
      <c r="G2052" s="6" t="s">
        <v>81</v>
      </c>
      <c r="H2052" s="6" t="s">
        <v>7767</v>
      </c>
      <c r="I2052" s="6" t="s">
        <v>8954</v>
      </c>
      <c r="J2052" s="6" t="s">
        <v>10578</v>
      </c>
      <c r="K2052" s="6" t="s">
        <v>10886</v>
      </c>
      <c r="L2052" s="16" t="n">
        <v>39121</v>
      </c>
      <c r="M2052" s="16" t="n">
        <v>45731</v>
      </c>
      <c r="N2052" s="6" t="s">
        <v>10886</v>
      </c>
      <c r="O2052" s="16" t="n">
        <v>39121</v>
      </c>
      <c r="P2052" s="6" t="s">
        <v>11073</v>
      </c>
      <c r="Q2052" s="6" t="s">
        <v>81</v>
      </c>
      <c r="R2052" s="6" t="s">
        <v>81</v>
      </c>
      <c r="S2052" s="6" t="s">
        <v>10886</v>
      </c>
      <c r="T2052" s="16" t="n">
        <v>39121</v>
      </c>
      <c r="U2052" s="6" t="s">
        <v>13281</v>
      </c>
      <c r="V2052" s="6" t="s">
        <v>81</v>
      </c>
      <c r="W2052" s="6" t="s">
        <v>81</v>
      </c>
      <c r="X2052" s="6" t="s">
        <v>81</v>
      </c>
      <c r="Y2052" s="21" t="s">
        <v>81</v>
      </c>
      <c r="Z2052" s="6" t="s">
        <v>81</v>
      </c>
      <c r="AA2052" s="6" t="s">
        <v>81</v>
      </c>
      <c r="AB2052" s="6" t="s">
        <v>81</v>
      </c>
      <c r="AC2052" s="6" t="s">
        <v>10886</v>
      </c>
      <c r="AD2052" s="16" t="n">
        <v>39121</v>
      </c>
      <c r="AE2052" s="6" t="s">
        <v>81</v>
      </c>
      <c r="AF2052" s="6" t="s">
        <v>81</v>
      </c>
      <c r="AG2052" s="6" t="s">
        <v>81</v>
      </c>
      <c r="AH2052" s="6" t="s">
        <v>16601</v>
      </c>
      <c r="AI2052" s="6" t="s">
        <v>81</v>
      </c>
      <c r="AJ2052" s="6" t="s">
        <v>18194</v>
      </c>
      <c r="AK2052" s="6" t="s">
        <v>18383</v>
      </c>
      <c r="AL2052" s="6" t="s">
        <v>18444</v>
      </c>
      <c r="AM2052" s="6" t="s">
        <v>19404</v>
      </c>
      <c r="AN2052" s="6" t="s">
        <v>19660</v>
      </c>
      <c r="AO2052" s="6" t="s">
        <v>20039</v>
      </c>
      <c r="AP2052" s="6" t="s">
        <v>81</v>
      </c>
      <c r="AQ2052" s="6" t="s">
        <v>81</v>
      </c>
      <c r="AR2052" s="6" t="s">
        <v>81</v>
      </c>
      <c r="AS2052" s="6" t="s">
        <v>81</v>
      </c>
      <c r="AT2052" s="6" t="s">
        <v>81</v>
      </c>
      <c r="AU2052" s="6" t="s">
        <v>81</v>
      </c>
      <c r="AV2052" s="6" t="s">
        <v>81</v>
      </c>
      <c r="AW2052" s="6" t="s">
        <v>81</v>
      </c>
      <c r="AX2052" s="6" t="s">
        <v>22081</v>
      </c>
      <c r="AY2052" s="6" t="s">
        <v>81</v>
      </c>
      <c r="AZ2052" s="6" t="s">
        <v>81</v>
      </c>
      <c r="BA2052" s="6" t="s">
        <v>81</v>
      </c>
      <c r="BB2052" s="24" t="n">
        <v>300</v>
      </c>
      <c r="BC2052" s="26"/>
      <c r="BD2052" s="26"/>
      <c r="BE2052" s="26"/>
      <c r="BF2052" s="26"/>
      <c r="BG2052" s="26"/>
      <c r="BH2052" s="26"/>
      <c r="BI2052" s="26"/>
      <c r="BJ2052" s="26"/>
      <c r="BK2052" s="26"/>
      <c r="BL2052" s="26"/>
      <c r="BM2052" s="26"/>
      <c r="BN2052" s="26"/>
      <c r="BO2052" s="26"/>
      <c r="BP2052" s="16" t="n">
        <v>45701</v>
      </c>
      <c r="BQ2052" s="28" t="str">
        <f>HYPERLINK("https://organic.ams.usda.gov/Integrity/Certificate.aspx?cid=81&amp;nopid=4210007005")</f>
        <v>https://organic.ams.usda.gov/Integrity/Certificate.aspx?cid=81&amp;nopid=4210007005</v>
      </c>
    </row>
    <row r="2053">
      <c r="A2053" t="s">
        <v>3</v>
      </c>
      <c r="B2053" s="6" t="s">
        <v>16</v>
      </c>
      <c r="C2053" s="6" t="s">
        <v>63</v>
      </c>
      <c r="D2053" s="6" t="s">
        <v>109</v>
      </c>
      <c r="E2053" s="10" t="s">
        <v>2194</v>
      </c>
      <c r="F2053" s="6" t="s">
        <v>4907</v>
      </c>
      <c r="G2053" s="6" t="s">
        <v>5793</v>
      </c>
      <c r="H2053" s="6" t="s">
        <v>7768</v>
      </c>
      <c r="I2053" s="6" t="s">
        <v>9396</v>
      </c>
      <c r="J2053" s="6" t="s">
        <v>10579</v>
      </c>
      <c r="K2053" s="6" t="s">
        <v>10886</v>
      </c>
      <c r="L2053" s="16" t="n">
        <v>38443</v>
      </c>
      <c r="M2053" s="16" t="n">
        <v>45731</v>
      </c>
      <c r="N2053" s="6" t="s">
        <v>10886</v>
      </c>
      <c r="O2053" s="16" t="n">
        <v>38443</v>
      </c>
      <c r="P2053" s="6" t="s">
        <v>11130</v>
      </c>
      <c r="Q2053" s="6" t="s">
        <v>81</v>
      </c>
      <c r="R2053" s="6" t="s">
        <v>81</v>
      </c>
      <c r="S2053" s="6" t="s">
        <v>10886</v>
      </c>
      <c r="T2053" s="16" t="n">
        <v>38443</v>
      </c>
      <c r="U2053" s="6" t="s">
        <v>13789</v>
      </c>
      <c r="V2053" s="6" t="s">
        <v>81</v>
      </c>
      <c r="W2053" s="6" t="s">
        <v>81</v>
      </c>
      <c r="X2053" s="6" t="s">
        <v>81</v>
      </c>
      <c r="Y2053" s="21" t="s">
        <v>81</v>
      </c>
      <c r="Z2053" s="6" t="s">
        <v>81</v>
      </c>
      <c r="AA2053" s="6" t="s">
        <v>81</v>
      </c>
      <c r="AB2053" s="6" t="s">
        <v>81</v>
      </c>
      <c r="AC2053" s="6" t="s">
        <v>10886</v>
      </c>
      <c r="AD2053" s="16" t="n">
        <v>38443</v>
      </c>
      <c r="AE2053" s="6" t="s">
        <v>14120</v>
      </c>
      <c r="AF2053" s="6" t="s">
        <v>81</v>
      </c>
      <c r="AG2053" s="6" t="s">
        <v>81</v>
      </c>
      <c r="AH2053" s="6" t="s">
        <v>16602</v>
      </c>
      <c r="AI2053" s="6" t="s">
        <v>81</v>
      </c>
      <c r="AJ2053" s="6" t="s">
        <v>18195</v>
      </c>
      <c r="AK2053" s="6" t="s">
        <v>18383</v>
      </c>
      <c r="AL2053" s="6" t="s">
        <v>18444</v>
      </c>
      <c r="AM2053" s="6" t="s">
        <v>19405</v>
      </c>
      <c r="AN2053" s="6" t="s">
        <v>19636</v>
      </c>
      <c r="AO2053" s="6" t="s">
        <v>19740</v>
      </c>
      <c r="AP2053" s="6" t="s">
        <v>81</v>
      </c>
      <c r="AQ2053" s="6" t="s">
        <v>81</v>
      </c>
      <c r="AR2053" s="6" t="s">
        <v>81</v>
      </c>
      <c r="AS2053" s="6" t="s">
        <v>81</v>
      </c>
      <c r="AT2053" s="6" t="s">
        <v>81</v>
      </c>
      <c r="AU2053" s="6" t="s">
        <v>81</v>
      </c>
      <c r="AV2053" s="6" t="s">
        <v>81</v>
      </c>
      <c r="AW2053" s="6" t="s">
        <v>81</v>
      </c>
      <c r="AX2053" s="6" t="s">
        <v>22082</v>
      </c>
      <c r="AY2053" s="6" t="s">
        <v>81</v>
      </c>
      <c r="AZ2053" s="6" t="s">
        <v>81</v>
      </c>
      <c r="BA2053" s="6" t="s">
        <v>81</v>
      </c>
      <c r="BB2053" s="24" t="n">
        <v>404</v>
      </c>
      <c r="BC2053" s="26"/>
      <c r="BD2053" s="26"/>
      <c r="BE2053" s="26"/>
      <c r="BF2053" s="26"/>
      <c r="BG2053" s="26"/>
      <c r="BH2053" s="26"/>
      <c r="BI2053" s="26"/>
      <c r="BJ2053" s="26"/>
      <c r="BK2053" s="26"/>
      <c r="BL2053" s="26"/>
      <c r="BM2053" s="26"/>
      <c r="BN2053" s="26"/>
      <c r="BO2053" s="26"/>
      <c r="BP2053" s="16" t="n">
        <v>45701</v>
      </c>
      <c r="BQ2053" s="28" t="str">
        <f>HYPERLINK("https://organic.ams.usda.gov/Integrity/Certificate.aspx?cid=81&amp;nopid=4210004049")</f>
        <v>https://organic.ams.usda.gov/Integrity/Certificate.aspx?cid=81&amp;nopid=4210004049</v>
      </c>
    </row>
    <row r="2054">
      <c r="A2054" t="s">
        <v>3</v>
      </c>
      <c r="B2054" s="6" t="s">
        <v>16</v>
      </c>
      <c r="C2054" s="6" t="s">
        <v>63</v>
      </c>
      <c r="D2054" s="6" t="s">
        <v>109</v>
      </c>
      <c r="E2054" s="10" t="s">
        <v>2195</v>
      </c>
      <c r="F2054" s="6" t="s">
        <v>4908</v>
      </c>
      <c r="G2054" s="6" t="s">
        <v>81</v>
      </c>
      <c r="H2054" s="6" t="s">
        <v>7769</v>
      </c>
      <c r="I2054" s="6" t="s">
        <v>8511</v>
      </c>
      <c r="J2054" s="6" t="s">
        <v>10580</v>
      </c>
      <c r="K2054" s="6" t="s">
        <v>10886</v>
      </c>
      <c r="L2054" s="16" t="n">
        <v>39203</v>
      </c>
      <c r="M2054" s="16" t="n">
        <v>45731</v>
      </c>
      <c r="N2054" s="6" t="s">
        <v>10886</v>
      </c>
      <c r="O2054" s="16" t="n">
        <v>39203</v>
      </c>
      <c r="P2054" s="6" t="s">
        <v>11130</v>
      </c>
      <c r="Q2054" s="6" t="s">
        <v>81</v>
      </c>
      <c r="R2054" s="6" t="s">
        <v>81</v>
      </c>
      <c r="S2054" s="6" t="s">
        <v>10886</v>
      </c>
      <c r="T2054" s="16" t="n">
        <v>39203</v>
      </c>
      <c r="U2054" s="6" t="s">
        <v>13182</v>
      </c>
      <c r="V2054" s="6" t="s">
        <v>81</v>
      </c>
      <c r="W2054" s="6" t="s">
        <v>81</v>
      </c>
      <c r="X2054" s="6" t="s">
        <v>81</v>
      </c>
      <c r="Y2054" s="21" t="s">
        <v>81</v>
      </c>
      <c r="Z2054" s="6" t="s">
        <v>81</v>
      </c>
      <c r="AA2054" s="6" t="s">
        <v>81</v>
      </c>
      <c r="AB2054" s="6" t="s">
        <v>81</v>
      </c>
      <c r="AC2054" s="6" t="s">
        <v>10886</v>
      </c>
      <c r="AD2054" s="16" t="n">
        <v>39203</v>
      </c>
      <c r="AE2054" s="6" t="s">
        <v>81</v>
      </c>
      <c r="AF2054" s="6" t="s">
        <v>81</v>
      </c>
      <c r="AG2054" s="6" t="s">
        <v>81</v>
      </c>
      <c r="AH2054" s="6" t="s">
        <v>16603</v>
      </c>
      <c r="AI2054" s="6" t="s">
        <v>81</v>
      </c>
      <c r="AJ2054" s="6" t="s">
        <v>18156</v>
      </c>
      <c r="AK2054" s="6" t="s">
        <v>18383</v>
      </c>
      <c r="AL2054" s="6" t="s">
        <v>18444</v>
      </c>
      <c r="AM2054" s="6" t="s">
        <v>19359</v>
      </c>
      <c r="AN2054" s="6" t="s">
        <v>19653</v>
      </c>
      <c r="AO2054" s="6" t="s">
        <v>19928</v>
      </c>
      <c r="AP2054" s="6" t="s">
        <v>81</v>
      </c>
      <c r="AQ2054" s="6" t="s">
        <v>81</v>
      </c>
      <c r="AR2054" s="6" t="s">
        <v>81</v>
      </c>
      <c r="AS2054" s="6" t="s">
        <v>81</v>
      </c>
      <c r="AT2054" s="6" t="s">
        <v>81</v>
      </c>
      <c r="AU2054" s="6" t="s">
        <v>81</v>
      </c>
      <c r="AV2054" s="6" t="s">
        <v>81</v>
      </c>
      <c r="AW2054" s="6" t="s">
        <v>81</v>
      </c>
      <c r="AX2054" s="6" t="s">
        <v>22083</v>
      </c>
      <c r="AY2054" s="6" t="s">
        <v>81</v>
      </c>
      <c r="AZ2054" s="6" t="s">
        <v>81</v>
      </c>
      <c r="BA2054" s="6" t="s">
        <v>81</v>
      </c>
      <c r="BB2054" s="24" t="n">
        <v>200</v>
      </c>
      <c r="BC2054" s="26"/>
      <c r="BD2054" s="26"/>
      <c r="BE2054" s="26"/>
      <c r="BF2054" s="26"/>
      <c r="BG2054" s="26"/>
      <c r="BH2054" s="26"/>
      <c r="BI2054" s="26"/>
      <c r="BJ2054" s="26"/>
      <c r="BK2054" s="26"/>
      <c r="BL2054" s="26"/>
      <c r="BM2054" s="26"/>
      <c r="BN2054" s="26"/>
      <c r="BO2054" s="26"/>
      <c r="BP2054" s="16" t="n">
        <v>45701</v>
      </c>
      <c r="BQ2054" s="28" t="str">
        <f>HYPERLINK("https://organic.ams.usda.gov/Integrity/Certificate.aspx?cid=81&amp;nopid=4210007033")</f>
        <v>https://organic.ams.usda.gov/Integrity/Certificate.aspx?cid=81&amp;nopid=4210007033</v>
      </c>
    </row>
    <row r="2055">
      <c r="A2055" t="s">
        <v>3</v>
      </c>
      <c r="B2055" s="6" t="s">
        <v>16</v>
      </c>
      <c r="C2055" s="6" t="s">
        <v>63</v>
      </c>
      <c r="D2055" s="6" t="s">
        <v>109</v>
      </c>
      <c r="E2055" s="10" t="s">
        <v>2196</v>
      </c>
      <c r="F2055" s="6" t="s">
        <v>4909</v>
      </c>
      <c r="G2055" s="6" t="s">
        <v>81</v>
      </c>
      <c r="H2055" s="6" t="s">
        <v>7770</v>
      </c>
      <c r="I2055" s="6" t="s">
        <v>8511</v>
      </c>
      <c r="J2055" s="6" t="s">
        <v>10563</v>
      </c>
      <c r="K2055" s="6" t="s">
        <v>10886</v>
      </c>
      <c r="L2055" s="16" t="n">
        <v>41086</v>
      </c>
      <c r="M2055" s="16" t="n">
        <v>45731</v>
      </c>
      <c r="N2055" s="6" t="s">
        <v>10886</v>
      </c>
      <c r="O2055" s="16" t="n">
        <v>41086</v>
      </c>
      <c r="P2055" s="6" t="s">
        <v>11100</v>
      </c>
      <c r="Q2055" s="6" t="s">
        <v>81</v>
      </c>
      <c r="R2055" s="6" t="s">
        <v>81</v>
      </c>
      <c r="S2055" s="6" t="s">
        <v>10886</v>
      </c>
      <c r="T2055" s="16" t="n">
        <v>41086</v>
      </c>
      <c r="U2055" s="6" t="s">
        <v>13281</v>
      </c>
      <c r="V2055" s="6" t="s">
        <v>81</v>
      </c>
      <c r="W2055" s="6" t="s">
        <v>81</v>
      </c>
      <c r="X2055" s="6" t="s">
        <v>81</v>
      </c>
      <c r="Y2055" s="21" t="s">
        <v>81</v>
      </c>
      <c r="Z2055" s="6" t="s">
        <v>81</v>
      </c>
      <c r="AA2055" s="6" t="s">
        <v>81</v>
      </c>
      <c r="AB2055" s="6" t="s">
        <v>81</v>
      </c>
      <c r="AC2055" s="6" t="s">
        <v>10886</v>
      </c>
      <c r="AD2055" s="16" t="n">
        <v>41086</v>
      </c>
      <c r="AE2055" s="6" t="s">
        <v>81</v>
      </c>
      <c r="AF2055" s="6" t="s">
        <v>81</v>
      </c>
      <c r="AG2055" s="6" t="s">
        <v>81</v>
      </c>
      <c r="AH2055" s="6" t="s">
        <v>16604</v>
      </c>
      <c r="AI2055" s="6" t="s">
        <v>81</v>
      </c>
      <c r="AJ2055" s="6" t="s">
        <v>17334</v>
      </c>
      <c r="AK2055" s="6" t="s">
        <v>18383</v>
      </c>
      <c r="AL2055" s="6" t="s">
        <v>18444</v>
      </c>
      <c r="AM2055" s="6" t="s">
        <v>19304</v>
      </c>
      <c r="AN2055" s="6" t="s">
        <v>19683</v>
      </c>
      <c r="AO2055" s="6" t="s">
        <v>19751</v>
      </c>
      <c r="AP2055" s="6" t="s">
        <v>81</v>
      </c>
      <c r="AQ2055" s="6" t="s">
        <v>81</v>
      </c>
      <c r="AR2055" s="6" t="s">
        <v>81</v>
      </c>
      <c r="AS2055" s="6" t="s">
        <v>81</v>
      </c>
      <c r="AT2055" s="6" t="s">
        <v>81</v>
      </c>
      <c r="AU2055" s="6" t="s">
        <v>81</v>
      </c>
      <c r="AV2055" s="6" t="s">
        <v>81</v>
      </c>
      <c r="AW2055" s="6" t="s">
        <v>81</v>
      </c>
      <c r="AX2055" s="6" t="s">
        <v>22084</v>
      </c>
      <c r="AY2055" s="6" t="s">
        <v>81</v>
      </c>
      <c r="AZ2055" s="6" t="s">
        <v>81</v>
      </c>
      <c r="BA2055" s="6" t="s">
        <v>81</v>
      </c>
      <c r="BB2055" s="24" t="n">
        <v>351</v>
      </c>
      <c r="BC2055" s="26"/>
      <c r="BD2055" s="26"/>
      <c r="BE2055" s="26"/>
      <c r="BF2055" s="26"/>
      <c r="BG2055" s="26"/>
      <c r="BH2055" s="26"/>
      <c r="BI2055" s="26"/>
      <c r="BJ2055" s="26"/>
      <c r="BK2055" s="26"/>
      <c r="BL2055" s="26"/>
      <c r="BM2055" s="26"/>
      <c r="BN2055" s="26"/>
      <c r="BO2055" s="26"/>
      <c r="BP2055" s="16" t="n">
        <v>45701</v>
      </c>
      <c r="BQ2055" s="28" t="str">
        <f>HYPERLINK("https://organic.ams.usda.gov/Integrity/Certificate.aspx?cid=81&amp;nopid=4210012027")</f>
        <v>https://organic.ams.usda.gov/Integrity/Certificate.aspx?cid=81&amp;nopid=4210012027</v>
      </c>
    </row>
    <row r="2056">
      <c r="A2056" t="s">
        <v>3</v>
      </c>
      <c r="B2056" s="6" t="s">
        <v>16</v>
      </c>
      <c r="C2056" s="6" t="s">
        <v>63</v>
      </c>
      <c r="D2056" s="6" t="s">
        <v>109</v>
      </c>
      <c r="E2056" s="10" t="s">
        <v>2197</v>
      </c>
      <c r="F2056" s="6" t="s">
        <v>4910</v>
      </c>
      <c r="G2056" s="6" t="s">
        <v>81</v>
      </c>
      <c r="H2056" s="6" t="s">
        <v>7771</v>
      </c>
      <c r="I2056" s="6" t="s">
        <v>9397</v>
      </c>
      <c r="J2056" s="6" t="s">
        <v>10581</v>
      </c>
      <c r="K2056" s="6" t="s">
        <v>10886</v>
      </c>
      <c r="L2056" s="16" t="n">
        <v>42299</v>
      </c>
      <c r="M2056" s="16" t="n">
        <v>45731</v>
      </c>
      <c r="N2056" s="6" t="s">
        <v>10886</v>
      </c>
      <c r="O2056" s="16" t="n">
        <v>42299</v>
      </c>
      <c r="P2056" s="6" t="s">
        <v>11130</v>
      </c>
      <c r="Q2056" s="6" t="s">
        <v>81</v>
      </c>
      <c r="R2056" s="6" t="s">
        <v>81</v>
      </c>
      <c r="S2056" s="6" t="s">
        <v>10886</v>
      </c>
      <c r="T2056" s="16" t="n">
        <v>42299</v>
      </c>
      <c r="U2056" s="6" t="s">
        <v>13281</v>
      </c>
      <c r="V2056" s="6" t="s">
        <v>81</v>
      </c>
      <c r="W2056" s="6" t="s">
        <v>81</v>
      </c>
      <c r="X2056" s="6" t="s">
        <v>81</v>
      </c>
      <c r="Y2056" s="21" t="s">
        <v>81</v>
      </c>
      <c r="Z2056" s="6" t="s">
        <v>81</v>
      </c>
      <c r="AA2056" s="6" t="s">
        <v>81</v>
      </c>
      <c r="AB2056" s="6" t="s">
        <v>81</v>
      </c>
      <c r="AC2056" s="6" t="s">
        <v>10886</v>
      </c>
      <c r="AD2056" s="16" t="n">
        <v>42299</v>
      </c>
      <c r="AE2056" s="6" t="s">
        <v>81</v>
      </c>
      <c r="AF2056" s="6" t="s">
        <v>81</v>
      </c>
      <c r="AG2056" s="6" t="s">
        <v>81</v>
      </c>
      <c r="AH2056" s="6" t="s">
        <v>16605</v>
      </c>
      <c r="AI2056" s="6" t="s">
        <v>81</v>
      </c>
      <c r="AJ2056" s="6" t="s">
        <v>18196</v>
      </c>
      <c r="AK2056" s="6" t="s">
        <v>18383</v>
      </c>
      <c r="AL2056" s="6" t="s">
        <v>18444</v>
      </c>
      <c r="AM2056" s="6" t="s">
        <v>19406</v>
      </c>
      <c r="AN2056" s="6" t="s">
        <v>19683</v>
      </c>
      <c r="AO2056" s="6" t="s">
        <v>19751</v>
      </c>
      <c r="AP2056" s="6" t="s">
        <v>81</v>
      </c>
      <c r="AQ2056" s="6" t="s">
        <v>81</v>
      </c>
      <c r="AR2056" s="6" t="s">
        <v>81</v>
      </c>
      <c r="AS2056" s="6" t="s">
        <v>81</v>
      </c>
      <c r="AT2056" s="6" t="s">
        <v>81</v>
      </c>
      <c r="AU2056" s="6" t="s">
        <v>81</v>
      </c>
      <c r="AV2056" s="6" t="s">
        <v>81</v>
      </c>
      <c r="AW2056" s="6" t="s">
        <v>81</v>
      </c>
      <c r="AX2056" s="6" t="s">
        <v>22085</v>
      </c>
      <c r="AY2056" s="6" t="s">
        <v>81</v>
      </c>
      <c r="AZ2056" s="6" t="s">
        <v>81</v>
      </c>
      <c r="BA2056" s="6" t="s">
        <v>81</v>
      </c>
      <c r="BB2056" s="24" t="n">
        <v>165</v>
      </c>
      <c r="BC2056" s="26"/>
      <c r="BD2056" s="26"/>
      <c r="BE2056" s="26"/>
      <c r="BF2056" s="26"/>
      <c r="BG2056" s="26"/>
      <c r="BH2056" s="26"/>
      <c r="BI2056" s="26"/>
      <c r="BJ2056" s="26"/>
      <c r="BK2056" s="26"/>
      <c r="BL2056" s="26"/>
      <c r="BM2056" s="26"/>
      <c r="BN2056" s="26"/>
      <c r="BO2056" s="26"/>
      <c r="BP2056" s="16" t="n">
        <v>45701</v>
      </c>
      <c r="BQ2056" s="28" t="str">
        <f>HYPERLINK("https://organic.ams.usda.gov/Integrity/Certificate.aspx?cid=81&amp;nopid=4210015047")</f>
        <v>https://organic.ams.usda.gov/Integrity/Certificate.aspx?cid=81&amp;nopid=4210015047</v>
      </c>
    </row>
    <row r="2057">
      <c r="A2057" t="s">
        <v>3</v>
      </c>
      <c r="B2057" s="6" t="s">
        <v>16</v>
      </c>
      <c r="C2057" s="6" t="s">
        <v>63</v>
      </c>
      <c r="D2057" s="6" t="s">
        <v>109</v>
      </c>
      <c r="E2057" s="10" t="s">
        <v>2198</v>
      </c>
      <c r="F2057" s="6" t="s">
        <v>4911</v>
      </c>
      <c r="G2057" s="6" t="s">
        <v>81</v>
      </c>
      <c r="H2057" s="6" t="s">
        <v>7772</v>
      </c>
      <c r="I2057" s="6" t="s">
        <v>8511</v>
      </c>
      <c r="J2057" s="6" t="s">
        <v>10582</v>
      </c>
      <c r="K2057" s="6" t="s">
        <v>10886</v>
      </c>
      <c r="L2057" s="16" t="n">
        <v>38913</v>
      </c>
      <c r="M2057" s="16" t="n">
        <v>45731</v>
      </c>
      <c r="N2057" s="6" t="s">
        <v>10886</v>
      </c>
      <c r="O2057" s="16" t="n">
        <v>38913</v>
      </c>
      <c r="P2057" s="6" t="s">
        <v>12070</v>
      </c>
      <c r="Q2057" s="6" t="s">
        <v>81</v>
      </c>
      <c r="R2057" s="6" t="s">
        <v>81</v>
      </c>
      <c r="S2057" s="6" t="s">
        <v>10886</v>
      </c>
      <c r="T2057" s="16" t="n">
        <v>38913</v>
      </c>
      <c r="U2057" s="6" t="s">
        <v>13551</v>
      </c>
      <c r="V2057" s="6" t="s">
        <v>81</v>
      </c>
      <c r="W2057" s="6" t="s">
        <v>81</v>
      </c>
      <c r="X2057" s="6" t="s">
        <v>81</v>
      </c>
      <c r="Y2057" s="21" t="s">
        <v>81</v>
      </c>
      <c r="Z2057" s="6" t="s">
        <v>81</v>
      </c>
      <c r="AA2057" s="6" t="s">
        <v>81</v>
      </c>
      <c r="AB2057" s="6" t="s">
        <v>81</v>
      </c>
      <c r="AC2057" s="6" t="s">
        <v>10886</v>
      </c>
      <c r="AD2057" s="16" t="n">
        <v>38913</v>
      </c>
      <c r="AE2057" s="6" t="s">
        <v>81</v>
      </c>
      <c r="AF2057" s="6" t="s">
        <v>81</v>
      </c>
      <c r="AG2057" s="6" t="s">
        <v>81</v>
      </c>
      <c r="AH2057" s="6" t="s">
        <v>16606</v>
      </c>
      <c r="AI2057" s="6" t="s">
        <v>81</v>
      </c>
      <c r="AJ2057" s="6" t="s">
        <v>18197</v>
      </c>
      <c r="AK2057" s="6" t="s">
        <v>18383</v>
      </c>
      <c r="AL2057" s="6" t="s">
        <v>18444</v>
      </c>
      <c r="AM2057" s="6" t="s">
        <v>19407</v>
      </c>
      <c r="AN2057" s="6" t="s">
        <v>19646</v>
      </c>
      <c r="AO2057" s="6" t="s">
        <v>19841</v>
      </c>
      <c r="AP2057" s="6" t="s">
        <v>81</v>
      </c>
      <c r="AQ2057" s="6" t="s">
        <v>81</v>
      </c>
      <c r="AR2057" s="6" t="s">
        <v>81</v>
      </c>
      <c r="AS2057" s="6" t="s">
        <v>81</v>
      </c>
      <c r="AT2057" s="6" t="s">
        <v>81</v>
      </c>
      <c r="AU2057" s="6" t="s">
        <v>81</v>
      </c>
      <c r="AV2057" s="6" t="s">
        <v>81</v>
      </c>
      <c r="AW2057" s="6" t="s">
        <v>81</v>
      </c>
      <c r="AX2057" s="6" t="s">
        <v>22086</v>
      </c>
      <c r="AY2057" s="6" t="s">
        <v>81</v>
      </c>
      <c r="AZ2057" s="6" t="s">
        <v>81</v>
      </c>
      <c r="BA2057" s="6" t="s">
        <v>81</v>
      </c>
      <c r="BB2057" s="24" t="n">
        <v>483</v>
      </c>
      <c r="BC2057" s="26"/>
      <c r="BD2057" s="26"/>
      <c r="BE2057" s="26"/>
      <c r="BF2057" s="26"/>
      <c r="BG2057" s="26"/>
      <c r="BH2057" s="26"/>
      <c r="BI2057" s="26"/>
      <c r="BJ2057" s="26"/>
      <c r="BK2057" s="26"/>
      <c r="BL2057" s="26"/>
      <c r="BM2057" s="26"/>
      <c r="BN2057" s="26"/>
      <c r="BO2057" s="26"/>
      <c r="BP2057" s="16" t="n">
        <v>45701</v>
      </c>
      <c r="BQ2057" s="28" t="str">
        <f>HYPERLINK("https://organic.ams.usda.gov/Integrity/Certificate.aspx?cid=81&amp;nopid=4210006048")</f>
        <v>https://organic.ams.usda.gov/Integrity/Certificate.aspx?cid=81&amp;nopid=4210006048</v>
      </c>
    </row>
    <row r="2058">
      <c r="A2058" t="s">
        <v>3</v>
      </c>
      <c r="B2058" s="6" t="s">
        <v>16</v>
      </c>
      <c r="C2058" s="6" t="s">
        <v>63</v>
      </c>
      <c r="D2058" s="6" t="s">
        <v>109</v>
      </c>
      <c r="E2058" s="10" t="s">
        <v>2199</v>
      </c>
      <c r="F2058" s="6" t="s">
        <v>4912</v>
      </c>
      <c r="G2058" s="6" t="s">
        <v>5794</v>
      </c>
      <c r="H2058" s="6" t="s">
        <v>7773</v>
      </c>
      <c r="I2058" s="6" t="s">
        <v>8511</v>
      </c>
      <c r="J2058" s="6" t="s">
        <v>9896</v>
      </c>
      <c r="K2058" s="6" t="s">
        <v>10886</v>
      </c>
      <c r="L2058" s="16" t="n">
        <v>39203</v>
      </c>
      <c r="M2058" s="16" t="n">
        <v>45731</v>
      </c>
      <c r="N2058" s="6" t="s">
        <v>10886</v>
      </c>
      <c r="O2058" s="16" t="n">
        <v>39203</v>
      </c>
      <c r="P2058" s="6" t="s">
        <v>11564</v>
      </c>
      <c r="Q2058" s="6" t="s">
        <v>81</v>
      </c>
      <c r="R2058" s="6" t="s">
        <v>81</v>
      </c>
      <c r="S2058" s="6" t="s">
        <v>10886</v>
      </c>
      <c r="T2058" s="16" t="n">
        <v>39203</v>
      </c>
      <c r="U2058" s="6" t="s">
        <v>13308</v>
      </c>
      <c r="V2058" s="6" t="s">
        <v>81</v>
      </c>
      <c r="W2058" s="6" t="s">
        <v>81</v>
      </c>
      <c r="X2058" s="6" t="s">
        <v>81</v>
      </c>
      <c r="Y2058" s="21" t="s">
        <v>81</v>
      </c>
      <c r="Z2058" s="6" t="s">
        <v>81</v>
      </c>
      <c r="AA2058" s="6" t="s">
        <v>81</v>
      </c>
      <c r="AB2058" s="6" t="s">
        <v>81</v>
      </c>
      <c r="AC2058" s="6" t="s">
        <v>10886</v>
      </c>
      <c r="AD2058" s="16" t="n">
        <v>39203</v>
      </c>
      <c r="AE2058" s="6" t="s">
        <v>81</v>
      </c>
      <c r="AF2058" s="6" t="s">
        <v>81</v>
      </c>
      <c r="AG2058" s="6" t="s">
        <v>81</v>
      </c>
      <c r="AH2058" s="6" t="s">
        <v>16607</v>
      </c>
      <c r="AI2058" s="6" t="s">
        <v>81</v>
      </c>
      <c r="AJ2058" s="6" t="s">
        <v>18198</v>
      </c>
      <c r="AK2058" s="6" t="s">
        <v>18383</v>
      </c>
      <c r="AL2058" s="6" t="s">
        <v>18444</v>
      </c>
      <c r="AM2058" s="6" t="s">
        <v>19408</v>
      </c>
      <c r="AN2058" s="6" t="s">
        <v>19648</v>
      </c>
      <c r="AO2058" s="6" t="s">
        <v>19952</v>
      </c>
      <c r="AP2058" s="6" t="s">
        <v>16607</v>
      </c>
      <c r="AQ2058" s="6" t="s">
        <v>81</v>
      </c>
      <c r="AR2058" s="6" t="s">
        <v>17838</v>
      </c>
      <c r="AS2058" s="6" t="s">
        <v>18383</v>
      </c>
      <c r="AT2058" s="6" t="s">
        <v>18444</v>
      </c>
      <c r="AU2058" s="6" t="s">
        <v>19020</v>
      </c>
      <c r="AV2058" s="6" t="s">
        <v>81</v>
      </c>
      <c r="AW2058" s="6" t="s">
        <v>81</v>
      </c>
      <c r="AX2058" s="6" t="s">
        <v>22087</v>
      </c>
      <c r="AY2058" s="6" t="s">
        <v>81</v>
      </c>
      <c r="AZ2058" s="6" t="s">
        <v>81</v>
      </c>
      <c r="BA2058" s="6" t="s">
        <v>81</v>
      </c>
      <c r="BB2058" s="24" t="n">
        <v>116</v>
      </c>
      <c r="BC2058" s="26"/>
      <c r="BD2058" s="26"/>
      <c r="BE2058" s="26"/>
      <c r="BF2058" s="26"/>
      <c r="BG2058" s="26"/>
      <c r="BH2058" s="26"/>
      <c r="BI2058" s="26"/>
      <c r="BJ2058" s="26"/>
      <c r="BK2058" s="26"/>
      <c r="BL2058" s="26"/>
      <c r="BM2058" s="26"/>
      <c r="BN2058" s="26"/>
      <c r="BO2058" s="26"/>
      <c r="BP2058" s="16" t="n">
        <v>45701</v>
      </c>
      <c r="BQ2058" s="28" t="str">
        <f>HYPERLINK("https://organic.ams.usda.gov/Integrity/Certificate.aspx?cid=81&amp;nopid=4210007029")</f>
        <v>https://organic.ams.usda.gov/Integrity/Certificate.aspx?cid=81&amp;nopid=4210007029</v>
      </c>
    </row>
    <row r="2059">
      <c r="A2059" t="s">
        <v>3</v>
      </c>
      <c r="B2059" s="6" t="s">
        <v>16</v>
      </c>
      <c r="C2059" s="6" t="s">
        <v>63</v>
      </c>
      <c r="D2059" s="6" t="s">
        <v>109</v>
      </c>
      <c r="E2059" s="10" t="s">
        <v>2200</v>
      </c>
      <c r="F2059" s="6" t="s">
        <v>4913</v>
      </c>
      <c r="G2059" s="6" t="s">
        <v>5795</v>
      </c>
      <c r="H2059" s="6" t="s">
        <v>7774</v>
      </c>
      <c r="I2059" s="6" t="s">
        <v>8792</v>
      </c>
      <c r="J2059" s="6" t="s">
        <v>10073</v>
      </c>
      <c r="K2059" s="6" t="s">
        <v>10886</v>
      </c>
      <c r="L2059" s="16" t="n">
        <v>37452</v>
      </c>
      <c r="M2059" s="16" t="n">
        <v>45731</v>
      </c>
      <c r="N2059" s="6" t="s">
        <v>10886</v>
      </c>
      <c r="O2059" s="16" t="n">
        <v>37452</v>
      </c>
      <c r="P2059" s="6" t="s">
        <v>11564</v>
      </c>
      <c r="Q2059" s="6" t="s">
        <v>81</v>
      </c>
      <c r="R2059" s="6" t="s">
        <v>81</v>
      </c>
      <c r="S2059" s="6" t="s">
        <v>10886</v>
      </c>
      <c r="T2059" s="16" t="n">
        <v>37452</v>
      </c>
      <c r="U2059" s="6" t="s">
        <v>13787</v>
      </c>
      <c r="V2059" s="6" t="s">
        <v>81</v>
      </c>
      <c r="W2059" s="6" t="s">
        <v>81</v>
      </c>
      <c r="X2059" s="6" t="s">
        <v>81</v>
      </c>
      <c r="Y2059" s="21" t="s">
        <v>81</v>
      </c>
      <c r="Z2059" s="6" t="s">
        <v>81</v>
      </c>
      <c r="AA2059" s="6" t="s">
        <v>81</v>
      </c>
      <c r="AB2059" s="6" t="s">
        <v>81</v>
      </c>
      <c r="AC2059" s="6" t="s">
        <v>10886</v>
      </c>
      <c r="AD2059" s="16" t="n">
        <v>37452</v>
      </c>
      <c r="AE2059" s="6" t="s">
        <v>81</v>
      </c>
      <c r="AF2059" s="6" t="s">
        <v>81</v>
      </c>
      <c r="AG2059" s="6" t="s">
        <v>81</v>
      </c>
      <c r="AH2059" s="6" t="s">
        <v>16608</v>
      </c>
      <c r="AI2059" s="6" t="s">
        <v>81</v>
      </c>
      <c r="AJ2059" s="6" t="s">
        <v>17552</v>
      </c>
      <c r="AK2059" s="6" t="s">
        <v>18383</v>
      </c>
      <c r="AL2059" s="6" t="s">
        <v>18444</v>
      </c>
      <c r="AM2059" s="6" t="s">
        <v>18715</v>
      </c>
      <c r="AN2059" s="6" t="s">
        <v>19651</v>
      </c>
      <c r="AO2059" s="6" t="s">
        <v>19721</v>
      </c>
      <c r="AP2059" s="6" t="s">
        <v>81</v>
      </c>
      <c r="AQ2059" s="6" t="s">
        <v>81</v>
      </c>
      <c r="AR2059" s="6" t="s">
        <v>81</v>
      </c>
      <c r="AS2059" s="6" t="s">
        <v>81</v>
      </c>
      <c r="AT2059" s="6" t="s">
        <v>81</v>
      </c>
      <c r="AU2059" s="6" t="s">
        <v>81</v>
      </c>
      <c r="AV2059" s="6" t="s">
        <v>81</v>
      </c>
      <c r="AW2059" s="6" t="s">
        <v>81</v>
      </c>
      <c r="AX2059" s="6" t="s">
        <v>22088</v>
      </c>
      <c r="AY2059" s="6" t="s">
        <v>81</v>
      </c>
      <c r="AZ2059" s="6" t="s">
        <v>81</v>
      </c>
      <c r="BA2059" s="6" t="s">
        <v>81</v>
      </c>
      <c r="BB2059" s="24" t="n">
        <v>648</v>
      </c>
      <c r="BC2059" s="26"/>
      <c r="BD2059" s="26"/>
      <c r="BE2059" s="26"/>
      <c r="BF2059" s="26"/>
      <c r="BG2059" s="26"/>
      <c r="BH2059" s="26"/>
      <c r="BI2059" s="26"/>
      <c r="BJ2059" s="26"/>
      <c r="BK2059" s="26"/>
      <c r="BL2059" s="26"/>
      <c r="BM2059" s="26"/>
      <c r="BN2059" s="26"/>
      <c r="BO2059" s="26"/>
      <c r="BP2059" s="16" t="n">
        <v>45701</v>
      </c>
      <c r="BQ2059" s="28" t="str">
        <f>HYPERLINK("https://organic.ams.usda.gov/Integrity/Certificate.aspx?cid=81&amp;nopid=4210002001")</f>
        <v>https://organic.ams.usda.gov/Integrity/Certificate.aspx?cid=81&amp;nopid=4210002001</v>
      </c>
    </row>
    <row r="2060">
      <c r="A2060" t="s">
        <v>3</v>
      </c>
      <c r="B2060" s="6" t="s">
        <v>16</v>
      </c>
      <c r="C2060" s="6" t="s">
        <v>63</v>
      </c>
      <c r="D2060" s="6" t="s">
        <v>109</v>
      </c>
      <c r="E2060" s="10" t="s">
        <v>2201</v>
      </c>
      <c r="F2060" s="6" t="s">
        <v>4914</v>
      </c>
      <c r="G2060" s="6" t="s">
        <v>5796</v>
      </c>
      <c r="H2060" s="6" t="s">
        <v>7775</v>
      </c>
      <c r="I2060" s="6" t="s">
        <v>8851</v>
      </c>
      <c r="J2060" s="6" t="s">
        <v>10583</v>
      </c>
      <c r="K2060" s="6" t="s">
        <v>10886</v>
      </c>
      <c r="L2060" s="16" t="n">
        <v>39573</v>
      </c>
      <c r="M2060" s="16" t="n">
        <v>45731</v>
      </c>
      <c r="N2060" s="6" t="s">
        <v>10886</v>
      </c>
      <c r="O2060" s="16" t="n">
        <v>39573</v>
      </c>
      <c r="P2060" s="6" t="s">
        <v>11564</v>
      </c>
      <c r="Q2060" s="6" t="s">
        <v>81</v>
      </c>
      <c r="R2060" s="6" t="s">
        <v>81</v>
      </c>
      <c r="S2060" s="6" t="s">
        <v>10886</v>
      </c>
      <c r="T2060" s="16" t="n">
        <v>39573</v>
      </c>
      <c r="U2060" s="6" t="s">
        <v>13308</v>
      </c>
      <c r="V2060" s="6" t="s">
        <v>81</v>
      </c>
      <c r="W2060" s="6" t="s">
        <v>81</v>
      </c>
      <c r="X2060" s="6" t="s">
        <v>81</v>
      </c>
      <c r="Y2060" s="21" t="s">
        <v>81</v>
      </c>
      <c r="Z2060" s="6" t="s">
        <v>81</v>
      </c>
      <c r="AA2060" s="6" t="s">
        <v>81</v>
      </c>
      <c r="AB2060" s="6" t="s">
        <v>81</v>
      </c>
      <c r="AC2060" s="6" t="s">
        <v>81</v>
      </c>
      <c r="AD2060" s="21" t="s">
        <v>81</v>
      </c>
      <c r="AE2060" s="6" t="s">
        <v>81</v>
      </c>
      <c r="AF2060" s="6" t="s">
        <v>81</v>
      </c>
      <c r="AG2060" s="6" t="s">
        <v>81</v>
      </c>
      <c r="AH2060" s="6" t="s">
        <v>16609</v>
      </c>
      <c r="AI2060" s="6" t="s">
        <v>81</v>
      </c>
      <c r="AJ2060" s="6" t="s">
        <v>17402</v>
      </c>
      <c r="AK2060" s="6" t="s">
        <v>18383</v>
      </c>
      <c r="AL2060" s="6" t="s">
        <v>18444</v>
      </c>
      <c r="AM2060" s="6" t="s">
        <v>19409</v>
      </c>
      <c r="AN2060" s="6" t="s">
        <v>19692</v>
      </c>
      <c r="AO2060" s="6" t="s">
        <v>20019</v>
      </c>
      <c r="AP2060" s="6" t="s">
        <v>81</v>
      </c>
      <c r="AQ2060" s="6" t="s">
        <v>81</v>
      </c>
      <c r="AR2060" s="6" t="s">
        <v>81</v>
      </c>
      <c r="AS2060" s="6" t="s">
        <v>81</v>
      </c>
      <c r="AT2060" s="6" t="s">
        <v>81</v>
      </c>
      <c r="AU2060" s="6" t="s">
        <v>81</v>
      </c>
      <c r="AV2060" s="6" t="s">
        <v>81</v>
      </c>
      <c r="AW2060" s="6" t="s">
        <v>81</v>
      </c>
      <c r="AX2060" s="6" t="s">
        <v>22089</v>
      </c>
      <c r="AY2060" s="6" t="s">
        <v>81</v>
      </c>
      <c r="AZ2060" s="6" t="s">
        <v>23749</v>
      </c>
      <c r="BA2060" s="6" t="s">
        <v>81</v>
      </c>
      <c r="BB2060" s="24" t="n">
        <v>367</v>
      </c>
      <c r="BC2060" s="26"/>
      <c r="BD2060" s="26"/>
      <c r="BE2060" s="26"/>
      <c r="BF2060" s="26"/>
      <c r="BG2060" s="26"/>
      <c r="BH2060" s="26"/>
      <c r="BI2060" s="26"/>
      <c r="BJ2060" s="26"/>
      <c r="BK2060" s="26"/>
      <c r="BL2060" s="26"/>
      <c r="BM2060" s="26"/>
      <c r="BN2060" s="26"/>
      <c r="BO2060" s="26"/>
      <c r="BP2060" s="16" t="n">
        <v>45701</v>
      </c>
      <c r="BQ2060" s="28" t="str">
        <f>HYPERLINK("https://organic.ams.usda.gov/Integrity/Certificate.aspx?cid=81&amp;nopid=4210008053")</f>
        <v>https://organic.ams.usda.gov/Integrity/Certificate.aspx?cid=81&amp;nopid=4210008053</v>
      </c>
    </row>
    <row r="2061">
      <c r="A2061" t="s">
        <v>3</v>
      </c>
      <c r="B2061" s="6" t="s">
        <v>16</v>
      </c>
      <c r="C2061" s="6" t="s">
        <v>63</v>
      </c>
      <c r="D2061" s="6" t="s">
        <v>109</v>
      </c>
      <c r="E2061" s="10" t="s">
        <v>2202</v>
      </c>
      <c r="F2061" s="6" t="s">
        <v>4915</v>
      </c>
      <c r="G2061" s="6" t="s">
        <v>81</v>
      </c>
      <c r="H2061" s="6" t="s">
        <v>7776</v>
      </c>
      <c r="I2061" s="6" t="s">
        <v>9398</v>
      </c>
      <c r="J2061" s="6" t="s">
        <v>8478</v>
      </c>
      <c r="K2061" s="6" t="s">
        <v>10886</v>
      </c>
      <c r="L2061" s="16" t="n">
        <v>39326</v>
      </c>
      <c r="M2061" s="16" t="n">
        <v>45731</v>
      </c>
      <c r="N2061" s="6" t="s">
        <v>10886</v>
      </c>
      <c r="O2061" s="16" t="n">
        <v>39326</v>
      </c>
      <c r="P2061" s="6" t="s">
        <v>11567</v>
      </c>
      <c r="Q2061" s="6" t="s">
        <v>81</v>
      </c>
      <c r="R2061" s="6" t="s">
        <v>81</v>
      </c>
      <c r="S2061" s="6" t="s">
        <v>10886</v>
      </c>
      <c r="T2061" s="16" t="n">
        <v>39326</v>
      </c>
      <c r="U2061" s="6" t="s">
        <v>13281</v>
      </c>
      <c r="V2061" s="6" t="s">
        <v>81</v>
      </c>
      <c r="W2061" s="6" t="s">
        <v>81</v>
      </c>
      <c r="X2061" s="6" t="s">
        <v>81</v>
      </c>
      <c r="Y2061" s="21" t="s">
        <v>81</v>
      </c>
      <c r="Z2061" s="6" t="s">
        <v>81</v>
      </c>
      <c r="AA2061" s="6" t="s">
        <v>81</v>
      </c>
      <c r="AB2061" s="6" t="s">
        <v>81</v>
      </c>
      <c r="AC2061" s="6" t="s">
        <v>10886</v>
      </c>
      <c r="AD2061" s="16" t="n">
        <v>39326</v>
      </c>
      <c r="AE2061" s="6" t="s">
        <v>81</v>
      </c>
      <c r="AF2061" s="6" t="s">
        <v>81</v>
      </c>
      <c r="AG2061" s="6" t="s">
        <v>81</v>
      </c>
      <c r="AH2061" s="6" t="s">
        <v>16610</v>
      </c>
      <c r="AI2061" s="6" t="s">
        <v>81</v>
      </c>
      <c r="AJ2061" s="6" t="s">
        <v>18199</v>
      </c>
      <c r="AK2061" s="6" t="s">
        <v>18383</v>
      </c>
      <c r="AL2061" s="6" t="s">
        <v>18444</v>
      </c>
      <c r="AM2061" s="6" t="s">
        <v>19410</v>
      </c>
      <c r="AN2061" s="6" t="s">
        <v>19646</v>
      </c>
      <c r="AO2061" s="6" t="s">
        <v>19841</v>
      </c>
      <c r="AP2061" s="6" t="s">
        <v>16610</v>
      </c>
      <c r="AQ2061" s="6" t="s">
        <v>81</v>
      </c>
      <c r="AR2061" s="6" t="s">
        <v>20561</v>
      </c>
      <c r="AS2061" s="6" t="s">
        <v>18383</v>
      </c>
      <c r="AT2061" s="6" t="s">
        <v>18444</v>
      </c>
      <c r="AU2061" s="6" t="s">
        <v>20689</v>
      </c>
      <c r="AV2061" s="6" t="s">
        <v>81</v>
      </c>
      <c r="AW2061" s="6" t="s">
        <v>81</v>
      </c>
      <c r="AX2061" s="6" t="s">
        <v>22090</v>
      </c>
      <c r="AY2061" s="6" t="s">
        <v>81</v>
      </c>
      <c r="AZ2061" s="6" t="s">
        <v>81</v>
      </c>
      <c r="BA2061" s="6" t="s">
        <v>81</v>
      </c>
      <c r="BB2061" s="24" t="n">
        <v>1101</v>
      </c>
      <c r="BC2061" s="26"/>
      <c r="BD2061" s="26"/>
      <c r="BE2061" s="26"/>
      <c r="BF2061" s="26"/>
      <c r="BG2061" s="26"/>
      <c r="BH2061" s="26"/>
      <c r="BI2061" s="26"/>
      <c r="BJ2061" s="26"/>
      <c r="BK2061" s="26"/>
      <c r="BL2061" s="26"/>
      <c r="BM2061" s="26"/>
      <c r="BN2061" s="26"/>
      <c r="BO2061" s="26"/>
      <c r="BP2061" s="16" t="n">
        <v>45701</v>
      </c>
      <c r="BQ2061" s="28" t="str">
        <f>HYPERLINK("https://organic.ams.usda.gov/Integrity/Certificate.aspx?cid=81&amp;nopid=4210008004")</f>
        <v>https://organic.ams.usda.gov/Integrity/Certificate.aspx?cid=81&amp;nopid=4210008004</v>
      </c>
    </row>
    <row r="2062">
      <c r="A2062" t="s">
        <v>3</v>
      </c>
      <c r="B2062" s="6" t="s">
        <v>16</v>
      </c>
      <c r="C2062" s="6" t="s">
        <v>63</v>
      </c>
      <c r="D2062" s="6" t="s">
        <v>109</v>
      </c>
      <c r="E2062" s="10" t="s">
        <v>2203</v>
      </c>
      <c r="F2062" s="6" t="s">
        <v>4916</v>
      </c>
      <c r="G2062" s="6" t="s">
        <v>81</v>
      </c>
      <c r="H2062" s="6" t="s">
        <v>7777</v>
      </c>
      <c r="I2062" s="6" t="s">
        <v>8552</v>
      </c>
      <c r="J2062" s="6" t="s">
        <v>10277</v>
      </c>
      <c r="K2062" s="6" t="s">
        <v>10886</v>
      </c>
      <c r="L2062" s="16" t="n">
        <v>39203</v>
      </c>
      <c r="M2062" s="16" t="n">
        <v>45731</v>
      </c>
      <c r="N2062" s="6" t="s">
        <v>10886</v>
      </c>
      <c r="O2062" s="16" t="n">
        <v>39203</v>
      </c>
      <c r="P2062" s="6" t="s">
        <v>11085</v>
      </c>
      <c r="Q2062" s="6" t="s">
        <v>81</v>
      </c>
      <c r="R2062" s="6" t="s">
        <v>81</v>
      </c>
      <c r="S2062" s="6" t="s">
        <v>10886</v>
      </c>
      <c r="T2062" s="16" t="n">
        <v>39203</v>
      </c>
      <c r="U2062" s="6" t="s">
        <v>13281</v>
      </c>
      <c r="V2062" s="6" t="s">
        <v>81</v>
      </c>
      <c r="W2062" s="6" t="s">
        <v>81</v>
      </c>
      <c r="X2062" s="6" t="s">
        <v>81</v>
      </c>
      <c r="Y2062" s="21" t="s">
        <v>81</v>
      </c>
      <c r="Z2062" s="6" t="s">
        <v>81</v>
      </c>
      <c r="AA2062" s="6" t="s">
        <v>81</v>
      </c>
      <c r="AB2062" s="6" t="s">
        <v>81</v>
      </c>
      <c r="AC2062" s="6" t="s">
        <v>10886</v>
      </c>
      <c r="AD2062" s="16" t="n">
        <v>39203</v>
      </c>
      <c r="AE2062" s="6" t="s">
        <v>81</v>
      </c>
      <c r="AF2062" s="6" t="s">
        <v>81</v>
      </c>
      <c r="AG2062" s="6" t="s">
        <v>81</v>
      </c>
      <c r="AH2062" s="6" t="s">
        <v>16611</v>
      </c>
      <c r="AI2062" s="6" t="s">
        <v>81</v>
      </c>
      <c r="AJ2062" s="6" t="s">
        <v>18200</v>
      </c>
      <c r="AK2062" s="6" t="s">
        <v>18383</v>
      </c>
      <c r="AL2062" s="6" t="s">
        <v>18444</v>
      </c>
      <c r="AM2062" s="6" t="s">
        <v>19411</v>
      </c>
      <c r="AN2062" s="6" t="s">
        <v>19646</v>
      </c>
      <c r="AO2062" s="6" t="s">
        <v>19841</v>
      </c>
      <c r="AP2062" s="6" t="s">
        <v>81</v>
      </c>
      <c r="AQ2062" s="6" t="s">
        <v>81</v>
      </c>
      <c r="AR2062" s="6" t="s">
        <v>81</v>
      </c>
      <c r="AS2062" s="6" t="s">
        <v>81</v>
      </c>
      <c r="AT2062" s="6" t="s">
        <v>81</v>
      </c>
      <c r="AU2062" s="6" t="s">
        <v>81</v>
      </c>
      <c r="AV2062" s="6" t="s">
        <v>81</v>
      </c>
      <c r="AW2062" s="6" t="s">
        <v>81</v>
      </c>
      <c r="AX2062" s="6" t="s">
        <v>22091</v>
      </c>
      <c r="AY2062" s="6" t="s">
        <v>81</v>
      </c>
      <c r="AZ2062" s="6" t="s">
        <v>81</v>
      </c>
      <c r="BA2062" s="6" t="s">
        <v>81</v>
      </c>
      <c r="BB2062" s="24" t="n">
        <v>253</v>
      </c>
      <c r="BC2062" s="26"/>
      <c r="BD2062" s="26"/>
      <c r="BE2062" s="26"/>
      <c r="BF2062" s="26"/>
      <c r="BG2062" s="26"/>
      <c r="BH2062" s="26"/>
      <c r="BI2062" s="26"/>
      <c r="BJ2062" s="26"/>
      <c r="BK2062" s="26"/>
      <c r="BL2062" s="26"/>
      <c r="BM2062" s="26"/>
      <c r="BN2062" s="26"/>
      <c r="BO2062" s="26"/>
      <c r="BP2062" s="16" t="n">
        <v>45701</v>
      </c>
      <c r="BQ2062" s="28" t="str">
        <f>HYPERLINK("https://organic.ams.usda.gov/Integrity/Certificate.aspx?cid=81&amp;nopid=4210007031")</f>
        <v>https://organic.ams.usda.gov/Integrity/Certificate.aspx?cid=81&amp;nopid=4210007031</v>
      </c>
    </row>
    <row r="2063">
      <c r="A2063" t="s">
        <v>3</v>
      </c>
      <c r="B2063" s="6" t="s">
        <v>16</v>
      </c>
      <c r="C2063" s="6" t="s">
        <v>63</v>
      </c>
      <c r="D2063" s="6" t="s">
        <v>109</v>
      </c>
      <c r="E2063" s="10" t="s">
        <v>2204</v>
      </c>
      <c r="F2063" s="6" t="s">
        <v>4917</v>
      </c>
      <c r="G2063" s="6" t="s">
        <v>5797</v>
      </c>
      <c r="H2063" s="6" t="s">
        <v>7778</v>
      </c>
      <c r="I2063" s="6" t="s">
        <v>8552</v>
      </c>
      <c r="J2063" s="6" t="s">
        <v>10584</v>
      </c>
      <c r="K2063" s="6" t="s">
        <v>10886</v>
      </c>
      <c r="L2063" s="16" t="n">
        <v>41569</v>
      </c>
      <c r="M2063" s="16" t="n">
        <v>45731</v>
      </c>
      <c r="N2063" s="6" t="s">
        <v>10886</v>
      </c>
      <c r="O2063" s="16" t="n">
        <v>41569</v>
      </c>
      <c r="P2063" s="6" t="s">
        <v>11963</v>
      </c>
      <c r="Q2063" s="6" t="s">
        <v>81</v>
      </c>
      <c r="R2063" s="6" t="s">
        <v>81</v>
      </c>
      <c r="S2063" s="6" t="s">
        <v>10886</v>
      </c>
      <c r="T2063" s="16" t="n">
        <v>41569</v>
      </c>
      <c r="U2063" s="6" t="s">
        <v>13790</v>
      </c>
      <c r="V2063" s="6" t="s">
        <v>81</v>
      </c>
      <c r="W2063" s="6" t="s">
        <v>81</v>
      </c>
      <c r="X2063" s="6" t="s">
        <v>81</v>
      </c>
      <c r="Y2063" s="21" t="s">
        <v>81</v>
      </c>
      <c r="Z2063" s="6" t="s">
        <v>81</v>
      </c>
      <c r="AA2063" s="6" t="s">
        <v>81</v>
      </c>
      <c r="AB2063" s="6" t="s">
        <v>81</v>
      </c>
      <c r="AC2063" s="6" t="s">
        <v>10886</v>
      </c>
      <c r="AD2063" s="16" t="n">
        <v>41569</v>
      </c>
      <c r="AE2063" s="6" t="s">
        <v>14134</v>
      </c>
      <c r="AF2063" s="6" t="s">
        <v>81</v>
      </c>
      <c r="AG2063" s="6" t="s">
        <v>81</v>
      </c>
      <c r="AH2063" s="6" t="s">
        <v>16612</v>
      </c>
      <c r="AI2063" s="6" t="s">
        <v>81</v>
      </c>
      <c r="AJ2063" s="6" t="s">
        <v>17499</v>
      </c>
      <c r="AK2063" s="6" t="s">
        <v>18383</v>
      </c>
      <c r="AL2063" s="6" t="s">
        <v>18444</v>
      </c>
      <c r="AM2063" s="6" t="s">
        <v>18660</v>
      </c>
      <c r="AN2063" s="6" t="s">
        <v>19683</v>
      </c>
      <c r="AO2063" s="6" t="s">
        <v>19751</v>
      </c>
      <c r="AP2063" s="6" t="s">
        <v>81</v>
      </c>
      <c r="AQ2063" s="6" t="s">
        <v>81</v>
      </c>
      <c r="AR2063" s="6" t="s">
        <v>81</v>
      </c>
      <c r="AS2063" s="6" t="s">
        <v>81</v>
      </c>
      <c r="AT2063" s="6" t="s">
        <v>81</v>
      </c>
      <c r="AU2063" s="6" t="s">
        <v>81</v>
      </c>
      <c r="AV2063" s="6" t="s">
        <v>81</v>
      </c>
      <c r="AW2063" s="6" t="s">
        <v>81</v>
      </c>
      <c r="AX2063" s="6" t="s">
        <v>22092</v>
      </c>
      <c r="AY2063" s="6" t="s">
        <v>81</v>
      </c>
      <c r="AZ2063" s="6" t="s">
        <v>81</v>
      </c>
      <c r="BA2063" s="6" t="s">
        <v>81</v>
      </c>
      <c r="BB2063" s="24" t="n">
        <v>332</v>
      </c>
      <c r="BC2063" s="26"/>
      <c r="BD2063" s="26"/>
      <c r="BE2063" s="26"/>
      <c r="BF2063" s="26"/>
      <c r="BG2063" s="26"/>
      <c r="BH2063" s="26"/>
      <c r="BI2063" s="26"/>
      <c r="BJ2063" s="26"/>
      <c r="BK2063" s="26"/>
      <c r="BL2063" s="26"/>
      <c r="BM2063" s="26"/>
      <c r="BN2063" s="26"/>
      <c r="BO2063" s="26"/>
      <c r="BP2063" s="16" t="n">
        <v>45701</v>
      </c>
      <c r="BQ2063" s="28" t="str">
        <f>HYPERLINK("https://organic.ams.usda.gov/Integrity/Certificate.aspx?cid=81&amp;nopid=4210013049")</f>
        <v>https://organic.ams.usda.gov/Integrity/Certificate.aspx?cid=81&amp;nopid=4210013049</v>
      </c>
    </row>
    <row r="2064">
      <c r="A2064" t="s">
        <v>3</v>
      </c>
      <c r="B2064" s="6" t="s">
        <v>16</v>
      </c>
      <c r="C2064" s="6" t="s">
        <v>63</v>
      </c>
      <c r="D2064" s="6" t="s">
        <v>109</v>
      </c>
      <c r="E2064" s="10" t="s">
        <v>2205</v>
      </c>
      <c r="F2064" s="6" t="s">
        <v>4918</v>
      </c>
      <c r="G2064" s="6" t="s">
        <v>5798</v>
      </c>
      <c r="H2064" s="6" t="s">
        <v>7779</v>
      </c>
      <c r="I2064" s="6" t="s">
        <v>8552</v>
      </c>
      <c r="J2064" s="6" t="s">
        <v>10585</v>
      </c>
      <c r="K2064" s="6" t="s">
        <v>10886</v>
      </c>
      <c r="L2064" s="16" t="n">
        <v>39626</v>
      </c>
      <c r="M2064" s="16" t="n">
        <v>45731</v>
      </c>
      <c r="N2064" s="6" t="s">
        <v>10886</v>
      </c>
      <c r="O2064" s="16" t="n">
        <v>39626</v>
      </c>
      <c r="P2064" s="6" t="s">
        <v>10946</v>
      </c>
      <c r="Q2064" s="6" t="s">
        <v>81</v>
      </c>
      <c r="R2064" s="6" t="s">
        <v>81</v>
      </c>
      <c r="S2064" s="6" t="s">
        <v>10886</v>
      </c>
      <c r="T2064" s="16" t="n">
        <v>39626</v>
      </c>
      <c r="U2064" s="6" t="s">
        <v>13391</v>
      </c>
      <c r="V2064" s="6" t="s">
        <v>81</v>
      </c>
      <c r="W2064" s="6" t="s">
        <v>81</v>
      </c>
      <c r="X2064" s="6" t="s">
        <v>81</v>
      </c>
      <c r="Y2064" s="21" t="s">
        <v>81</v>
      </c>
      <c r="Z2064" s="6" t="s">
        <v>81</v>
      </c>
      <c r="AA2064" s="6" t="s">
        <v>81</v>
      </c>
      <c r="AB2064" s="6" t="s">
        <v>81</v>
      </c>
      <c r="AC2064" s="6" t="s">
        <v>81</v>
      </c>
      <c r="AD2064" s="21" t="s">
        <v>81</v>
      </c>
      <c r="AE2064" s="6" t="s">
        <v>81</v>
      </c>
      <c r="AF2064" s="6" t="s">
        <v>81</v>
      </c>
      <c r="AG2064" s="6" t="s">
        <v>81</v>
      </c>
      <c r="AH2064" s="6" t="s">
        <v>16613</v>
      </c>
      <c r="AI2064" s="6" t="s">
        <v>81</v>
      </c>
      <c r="AJ2064" s="6" t="s">
        <v>17517</v>
      </c>
      <c r="AK2064" s="6" t="s">
        <v>18383</v>
      </c>
      <c r="AL2064" s="6" t="s">
        <v>18444</v>
      </c>
      <c r="AM2064" s="6" t="s">
        <v>18682</v>
      </c>
      <c r="AN2064" s="6" t="s">
        <v>19651</v>
      </c>
      <c r="AO2064" s="6" t="s">
        <v>19721</v>
      </c>
      <c r="AP2064" s="6" t="s">
        <v>81</v>
      </c>
      <c r="AQ2064" s="6" t="s">
        <v>81</v>
      </c>
      <c r="AR2064" s="6" t="s">
        <v>81</v>
      </c>
      <c r="AS2064" s="6" t="s">
        <v>81</v>
      </c>
      <c r="AT2064" s="6" t="s">
        <v>81</v>
      </c>
      <c r="AU2064" s="6" t="s">
        <v>81</v>
      </c>
      <c r="AV2064" s="6" t="s">
        <v>81</v>
      </c>
      <c r="AW2064" s="6" t="s">
        <v>81</v>
      </c>
      <c r="AX2064" s="6" t="s">
        <v>22093</v>
      </c>
      <c r="AY2064" s="6" t="s">
        <v>81</v>
      </c>
      <c r="AZ2064" s="6" t="s">
        <v>81</v>
      </c>
      <c r="BA2064" s="6" t="s">
        <v>81</v>
      </c>
      <c r="BB2064" s="24" t="n">
        <v>24</v>
      </c>
      <c r="BC2064" s="26"/>
      <c r="BD2064" s="26"/>
      <c r="BE2064" s="26"/>
      <c r="BF2064" s="26"/>
      <c r="BG2064" s="26"/>
      <c r="BH2064" s="26"/>
      <c r="BI2064" s="26"/>
      <c r="BJ2064" s="26"/>
      <c r="BK2064" s="26"/>
      <c r="BL2064" s="26"/>
      <c r="BM2064" s="26"/>
      <c r="BN2064" s="26"/>
      <c r="BO2064" s="26"/>
      <c r="BP2064" s="16" t="n">
        <v>45701</v>
      </c>
      <c r="BQ2064" s="28" t="str">
        <f>HYPERLINK("https://organic.ams.usda.gov/Integrity/Certificate.aspx?cid=81&amp;nopid=4210008076")</f>
        <v>https://organic.ams.usda.gov/Integrity/Certificate.aspx?cid=81&amp;nopid=4210008076</v>
      </c>
    </row>
    <row r="2065">
      <c r="A2065" t="s">
        <v>3</v>
      </c>
      <c r="B2065" s="6" t="s">
        <v>16</v>
      </c>
      <c r="C2065" s="6" t="s">
        <v>63</v>
      </c>
      <c r="D2065" s="6" t="s">
        <v>109</v>
      </c>
      <c r="E2065" s="10" t="s">
        <v>2206</v>
      </c>
      <c r="F2065" s="6" t="s">
        <v>4919</v>
      </c>
      <c r="G2065" s="6" t="s">
        <v>81</v>
      </c>
      <c r="H2065" s="6" t="s">
        <v>7780</v>
      </c>
      <c r="I2065" s="6" t="s">
        <v>8552</v>
      </c>
      <c r="J2065" s="6" t="s">
        <v>10187</v>
      </c>
      <c r="K2065" s="6" t="s">
        <v>10886</v>
      </c>
      <c r="L2065" s="16" t="n">
        <v>44645</v>
      </c>
      <c r="M2065" s="16" t="n">
        <v>45731</v>
      </c>
      <c r="N2065" s="6" t="s">
        <v>10886</v>
      </c>
      <c r="O2065" s="16" t="n">
        <v>44645</v>
      </c>
      <c r="P2065" s="6" t="s">
        <v>11130</v>
      </c>
      <c r="Q2065" s="6" t="s">
        <v>81</v>
      </c>
      <c r="R2065" s="6" t="s">
        <v>81</v>
      </c>
      <c r="S2065" s="6" t="s">
        <v>10886</v>
      </c>
      <c r="T2065" s="16" t="n">
        <v>44645</v>
      </c>
      <c r="U2065" s="6" t="s">
        <v>13182</v>
      </c>
      <c r="V2065" s="6" t="s">
        <v>81</v>
      </c>
      <c r="W2065" s="6" t="s">
        <v>81</v>
      </c>
      <c r="X2065" s="6" t="s">
        <v>81</v>
      </c>
      <c r="Y2065" s="21" t="s">
        <v>81</v>
      </c>
      <c r="Z2065" s="6" t="s">
        <v>81</v>
      </c>
      <c r="AA2065" s="6" t="s">
        <v>81</v>
      </c>
      <c r="AB2065" s="6" t="s">
        <v>81</v>
      </c>
      <c r="AC2065" s="6" t="s">
        <v>10886</v>
      </c>
      <c r="AD2065" s="16" t="n">
        <v>44645</v>
      </c>
      <c r="AE2065" s="6" t="s">
        <v>81</v>
      </c>
      <c r="AF2065" s="6" t="s">
        <v>81</v>
      </c>
      <c r="AG2065" s="6" t="s">
        <v>81</v>
      </c>
      <c r="AH2065" s="6" t="s">
        <v>16614</v>
      </c>
      <c r="AI2065" s="6" t="s">
        <v>81</v>
      </c>
      <c r="AJ2065" s="6" t="s">
        <v>17343</v>
      </c>
      <c r="AK2065" s="6" t="s">
        <v>18383</v>
      </c>
      <c r="AL2065" s="6" t="s">
        <v>18444</v>
      </c>
      <c r="AM2065" s="6" t="s">
        <v>19412</v>
      </c>
      <c r="AN2065" s="6" t="s">
        <v>19692</v>
      </c>
      <c r="AO2065" s="6" t="s">
        <v>20019</v>
      </c>
      <c r="AP2065" s="6" t="s">
        <v>20382</v>
      </c>
      <c r="AQ2065" s="6" t="s">
        <v>81</v>
      </c>
      <c r="AR2065" s="6" t="s">
        <v>17343</v>
      </c>
      <c r="AS2065" s="6" t="s">
        <v>18383</v>
      </c>
      <c r="AT2065" s="6" t="s">
        <v>18444</v>
      </c>
      <c r="AU2065" s="6" t="s">
        <v>19412</v>
      </c>
      <c r="AV2065" s="6" t="s">
        <v>81</v>
      </c>
      <c r="AW2065" s="6" t="s">
        <v>81</v>
      </c>
      <c r="AX2065" s="6" t="s">
        <v>22094</v>
      </c>
      <c r="AY2065" s="6" t="s">
        <v>81</v>
      </c>
      <c r="AZ2065" s="6" t="s">
        <v>81</v>
      </c>
      <c r="BA2065" s="6" t="s">
        <v>81</v>
      </c>
      <c r="BB2065" s="24" t="n">
        <v>187</v>
      </c>
      <c r="BC2065" s="26"/>
      <c r="BD2065" s="26"/>
      <c r="BE2065" s="26"/>
      <c r="BF2065" s="26"/>
      <c r="BG2065" s="26"/>
      <c r="BH2065" s="26"/>
      <c r="BI2065" s="26"/>
      <c r="BJ2065" s="26"/>
      <c r="BK2065" s="26"/>
      <c r="BL2065" s="26"/>
      <c r="BM2065" s="26"/>
      <c r="BN2065" s="26"/>
      <c r="BO2065" s="26"/>
      <c r="BP2065" s="16" t="n">
        <v>45701</v>
      </c>
      <c r="BQ2065" s="28" t="str">
        <f>HYPERLINK("https://organic.ams.usda.gov/Integrity/Certificate.aspx?cid=81&amp;nopid=4212022009")</f>
        <v>https://organic.ams.usda.gov/Integrity/Certificate.aspx?cid=81&amp;nopid=4212022009</v>
      </c>
    </row>
    <row r="2066">
      <c r="A2066" t="s">
        <v>3</v>
      </c>
      <c r="B2066" s="6" t="s">
        <v>16</v>
      </c>
      <c r="C2066" s="6" t="s">
        <v>63</v>
      </c>
      <c r="D2066" s="6" t="s">
        <v>109</v>
      </c>
      <c r="E2066" s="10" t="s">
        <v>2207</v>
      </c>
      <c r="F2066" s="6" t="s">
        <v>4920</v>
      </c>
      <c r="G2066" s="6" t="s">
        <v>81</v>
      </c>
      <c r="H2066" s="6" t="s">
        <v>7781</v>
      </c>
      <c r="I2066" s="6" t="s">
        <v>8552</v>
      </c>
      <c r="J2066" s="6" t="s">
        <v>10586</v>
      </c>
      <c r="K2066" s="6" t="s">
        <v>10886</v>
      </c>
      <c r="L2066" s="16" t="n">
        <v>43595</v>
      </c>
      <c r="M2066" s="16" t="n">
        <v>45731</v>
      </c>
      <c r="N2066" s="6" t="s">
        <v>10886</v>
      </c>
      <c r="O2066" s="16" t="n">
        <v>43595</v>
      </c>
      <c r="P2066" s="6" t="s">
        <v>11085</v>
      </c>
      <c r="Q2066" s="6" t="s">
        <v>81</v>
      </c>
      <c r="R2066" s="6" t="s">
        <v>81</v>
      </c>
      <c r="S2066" s="6" t="s">
        <v>10886</v>
      </c>
      <c r="T2066" s="16" t="n">
        <v>43595</v>
      </c>
      <c r="U2066" s="6" t="s">
        <v>13791</v>
      </c>
      <c r="V2066" s="6" t="s">
        <v>81</v>
      </c>
      <c r="W2066" s="6" t="s">
        <v>81</v>
      </c>
      <c r="X2066" s="6" t="s">
        <v>81</v>
      </c>
      <c r="Y2066" s="21" t="s">
        <v>81</v>
      </c>
      <c r="Z2066" s="6" t="s">
        <v>81</v>
      </c>
      <c r="AA2066" s="6" t="s">
        <v>81</v>
      </c>
      <c r="AB2066" s="6" t="s">
        <v>81</v>
      </c>
      <c r="AC2066" s="6" t="s">
        <v>10886</v>
      </c>
      <c r="AD2066" s="16" t="n">
        <v>43595</v>
      </c>
      <c r="AE2066" s="6" t="s">
        <v>81</v>
      </c>
      <c r="AF2066" s="6" t="s">
        <v>81</v>
      </c>
      <c r="AG2066" s="6" t="s">
        <v>81</v>
      </c>
      <c r="AH2066" s="6" t="s">
        <v>16615</v>
      </c>
      <c r="AI2066" s="6" t="s">
        <v>81</v>
      </c>
      <c r="AJ2066" s="6" t="s">
        <v>17840</v>
      </c>
      <c r="AK2066" s="6" t="s">
        <v>18383</v>
      </c>
      <c r="AL2066" s="6" t="s">
        <v>18444</v>
      </c>
      <c r="AM2066" s="6" t="s">
        <v>19022</v>
      </c>
      <c r="AN2066" s="6" t="s">
        <v>19683</v>
      </c>
      <c r="AO2066" s="6" t="s">
        <v>19751</v>
      </c>
      <c r="AP2066" s="6" t="s">
        <v>20383</v>
      </c>
      <c r="AQ2066" s="6" t="s">
        <v>81</v>
      </c>
      <c r="AR2066" s="6" t="s">
        <v>17840</v>
      </c>
      <c r="AS2066" s="6" t="s">
        <v>18383</v>
      </c>
      <c r="AT2066" s="6" t="s">
        <v>18444</v>
      </c>
      <c r="AU2066" s="6" t="s">
        <v>19022</v>
      </c>
      <c r="AV2066" s="6" t="s">
        <v>81</v>
      </c>
      <c r="AW2066" s="6" t="s">
        <v>81</v>
      </c>
      <c r="AX2066" s="6" t="s">
        <v>22095</v>
      </c>
      <c r="AY2066" s="6" t="s">
        <v>81</v>
      </c>
      <c r="AZ2066" s="6" t="s">
        <v>81</v>
      </c>
      <c r="BA2066" s="6" t="s">
        <v>81</v>
      </c>
      <c r="BB2066" s="24" t="n">
        <v>318</v>
      </c>
      <c r="BC2066" s="26"/>
      <c r="BD2066" s="26"/>
      <c r="BE2066" s="26"/>
      <c r="BF2066" s="26"/>
      <c r="BG2066" s="26"/>
      <c r="BH2066" s="26"/>
      <c r="BI2066" s="26"/>
      <c r="BJ2066" s="26"/>
      <c r="BK2066" s="26"/>
      <c r="BL2066" s="26"/>
      <c r="BM2066" s="26"/>
      <c r="BN2066" s="26"/>
      <c r="BO2066" s="26"/>
      <c r="BP2066" s="16" t="n">
        <v>45701</v>
      </c>
      <c r="BQ2066" s="28" t="str">
        <f>HYPERLINK("https://organic.ams.usda.gov/Integrity/Certificate.aspx?cid=81&amp;nopid=4210019021")</f>
        <v>https://organic.ams.usda.gov/Integrity/Certificate.aspx?cid=81&amp;nopid=4210019021</v>
      </c>
    </row>
    <row r="2067">
      <c r="A2067" t="s">
        <v>3</v>
      </c>
      <c r="B2067" s="6" t="s">
        <v>16</v>
      </c>
      <c r="C2067" s="6" t="s">
        <v>63</v>
      </c>
      <c r="D2067" s="6" t="s">
        <v>109</v>
      </c>
      <c r="E2067" s="10" t="s">
        <v>2208</v>
      </c>
      <c r="F2067" s="6" t="s">
        <v>4921</v>
      </c>
      <c r="G2067" s="6" t="s">
        <v>5799</v>
      </c>
      <c r="H2067" s="6" t="s">
        <v>7782</v>
      </c>
      <c r="I2067" s="6" t="s">
        <v>8807</v>
      </c>
      <c r="J2067" s="6" t="s">
        <v>10587</v>
      </c>
      <c r="K2067" s="6" t="s">
        <v>10886</v>
      </c>
      <c r="L2067" s="16" t="n">
        <v>37535</v>
      </c>
      <c r="M2067" s="16" t="n">
        <v>45731</v>
      </c>
      <c r="N2067" s="6" t="s">
        <v>10886</v>
      </c>
      <c r="O2067" s="16" t="n">
        <v>37535</v>
      </c>
      <c r="P2067" s="6" t="s">
        <v>12071</v>
      </c>
      <c r="Q2067" s="6" t="s">
        <v>81</v>
      </c>
      <c r="R2067" s="6" t="s">
        <v>81</v>
      </c>
      <c r="S2067" s="6" t="s">
        <v>10886</v>
      </c>
      <c r="T2067" s="16" t="n">
        <v>37535</v>
      </c>
      <c r="U2067" s="6" t="s">
        <v>13350</v>
      </c>
      <c r="V2067" s="6" t="s">
        <v>81</v>
      </c>
      <c r="W2067" s="6" t="s">
        <v>81</v>
      </c>
      <c r="X2067" s="6" t="s">
        <v>81</v>
      </c>
      <c r="Y2067" s="21" t="s">
        <v>81</v>
      </c>
      <c r="Z2067" s="6" t="s">
        <v>81</v>
      </c>
      <c r="AA2067" s="6" t="s">
        <v>81</v>
      </c>
      <c r="AB2067" s="6" t="s">
        <v>81</v>
      </c>
      <c r="AC2067" s="6" t="s">
        <v>10886</v>
      </c>
      <c r="AD2067" s="16" t="n">
        <v>37535</v>
      </c>
      <c r="AE2067" s="6" t="s">
        <v>14065</v>
      </c>
      <c r="AF2067" s="6" t="s">
        <v>81</v>
      </c>
      <c r="AG2067" s="6" t="s">
        <v>81</v>
      </c>
      <c r="AH2067" s="6" t="s">
        <v>16616</v>
      </c>
      <c r="AI2067" s="6" t="s">
        <v>81</v>
      </c>
      <c r="AJ2067" s="6" t="s">
        <v>8918</v>
      </c>
      <c r="AK2067" s="6" t="s">
        <v>18383</v>
      </c>
      <c r="AL2067" s="6" t="s">
        <v>18444</v>
      </c>
      <c r="AM2067" s="6" t="s">
        <v>18670</v>
      </c>
      <c r="AN2067" s="6" t="s">
        <v>19683</v>
      </c>
      <c r="AO2067" s="6" t="s">
        <v>19751</v>
      </c>
      <c r="AP2067" s="6" t="s">
        <v>81</v>
      </c>
      <c r="AQ2067" s="6" t="s">
        <v>81</v>
      </c>
      <c r="AR2067" s="6" t="s">
        <v>81</v>
      </c>
      <c r="AS2067" s="6" t="s">
        <v>81</v>
      </c>
      <c r="AT2067" s="6" t="s">
        <v>81</v>
      </c>
      <c r="AU2067" s="6" t="s">
        <v>81</v>
      </c>
      <c r="AV2067" s="6" t="s">
        <v>81</v>
      </c>
      <c r="AW2067" s="6" t="s">
        <v>81</v>
      </c>
      <c r="AX2067" s="6" t="s">
        <v>22096</v>
      </c>
      <c r="AY2067" s="6" t="s">
        <v>81</v>
      </c>
      <c r="AZ2067" s="6" t="s">
        <v>81</v>
      </c>
      <c r="BA2067" s="6" t="s">
        <v>81</v>
      </c>
      <c r="BB2067" s="24" t="n">
        <v>211</v>
      </c>
      <c r="BC2067" s="26"/>
      <c r="BD2067" s="26"/>
      <c r="BE2067" s="26"/>
      <c r="BF2067" s="26"/>
      <c r="BG2067" s="26"/>
      <c r="BH2067" s="26"/>
      <c r="BI2067" s="26"/>
      <c r="BJ2067" s="26"/>
      <c r="BK2067" s="26"/>
      <c r="BL2067" s="26"/>
      <c r="BM2067" s="26"/>
      <c r="BN2067" s="26"/>
      <c r="BO2067" s="26"/>
      <c r="BP2067" s="16" t="n">
        <v>45701</v>
      </c>
      <c r="BQ2067" s="28" t="str">
        <f>HYPERLINK("https://organic.ams.usda.gov/Integrity/Certificate.aspx?cid=81&amp;nopid=4210099066")</f>
        <v>https://organic.ams.usda.gov/Integrity/Certificate.aspx?cid=81&amp;nopid=4210099066</v>
      </c>
    </row>
    <row r="2068">
      <c r="A2068" t="s">
        <v>3</v>
      </c>
      <c r="B2068" s="6" t="s">
        <v>16</v>
      </c>
      <c r="C2068" s="6" t="s">
        <v>63</v>
      </c>
      <c r="D2068" s="6" t="s">
        <v>109</v>
      </c>
      <c r="E2068" s="10" t="s">
        <v>2209</v>
      </c>
      <c r="F2068" s="6" t="s">
        <v>4922</v>
      </c>
      <c r="G2068" s="6" t="s">
        <v>5800</v>
      </c>
      <c r="H2068" s="6" t="s">
        <v>7783</v>
      </c>
      <c r="I2068" s="6" t="s">
        <v>8807</v>
      </c>
      <c r="J2068" s="6" t="s">
        <v>10588</v>
      </c>
      <c r="K2068" s="6" t="s">
        <v>10886</v>
      </c>
      <c r="L2068" s="16" t="n">
        <v>41660</v>
      </c>
      <c r="M2068" s="16" t="n">
        <v>45731</v>
      </c>
      <c r="N2068" s="6" t="s">
        <v>10886</v>
      </c>
      <c r="O2068" s="16" t="n">
        <v>41660</v>
      </c>
      <c r="P2068" s="6" t="s">
        <v>11948</v>
      </c>
      <c r="Q2068" s="6" t="s">
        <v>81</v>
      </c>
      <c r="R2068" s="6" t="s">
        <v>81</v>
      </c>
      <c r="S2068" s="6" t="s">
        <v>10886</v>
      </c>
      <c r="T2068" s="16" t="n">
        <v>41660</v>
      </c>
      <c r="U2068" s="6" t="s">
        <v>13281</v>
      </c>
      <c r="V2068" s="6" t="s">
        <v>81</v>
      </c>
      <c r="W2068" s="6" t="s">
        <v>81</v>
      </c>
      <c r="X2068" s="6" t="s">
        <v>81</v>
      </c>
      <c r="Y2068" s="21" t="s">
        <v>81</v>
      </c>
      <c r="Z2068" s="6" t="s">
        <v>81</v>
      </c>
      <c r="AA2068" s="6" t="s">
        <v>81</v>
      </c>
      <c r="AB2068" s="6" t="s">
        <v>81</v>
      </c>
      <c r="AC2068" s="6" t="s">
        <v>10886</v>
      </c>
      <c r="AD2068" s="16" t="n">
        <v>41660</v>
      </c>
      <c r="AE2068" s="6" t="s">
        <v>14364</v>
      </c>
      <c r="AF2068" s="6" t="s">
        <v>81</v>
      </c>
      <c r="AG2068" s="6" t="s">
        <v>81</v>
      </c>
      <c r="AH2068" s="6" t="s">
        <v>16617</v>
      </c>
      <c r="AI2068" s="6" t="s">
        <v>81</v>
      </c>
      <c r="AJ2068" s="6" t="s">
        <v>18201</v>
      </c>
      <c r="AK2068" s="6" t="s">
        <v>18383</v>
      </c>
      <c r="AL2068" s="6" t="s">
        <v>18444</v>
      </c>
      <c r="AM2068" s="6" t="s">
        <v>19413</v>
      </c>
      <c r="AN2068" s="6" t="s">
        <v>19636</v>
      </c>
      <c r="AO2068" s="6" t="s">
        <v>19740</v>
      </c>
      <c r="AP2068" s="6" t="s">
        <v>81</v>
      </c>
      <c r="AQ2068" s="6" t="s">
        <v>81</v>
      </c>
      <c r="AR2068" s="6" t="s">
        <v>81</v>
      </c>
      <c r="AS2068" s="6" t="s">
        <v>81</v>
      </c>
      <c r="AT2068" s="6" t="s">
        <v>81</v>
      </c>
      <c r="AU2068" s="6" t="s">
        <v>81</v>
      </c>
      <c r="AV2068" s="6" t="s">
        <v>81</v>
      </c>
      <c r="AW2068" s="6" t="s">
        <v>81</v>
      </c>
      <c r="AX2068" s="6" t="s">
        <v>22097</v>
      </c>
      <c r="AY2068" s="6" t="s">
        <v>81</v>
      </c>
      <c r="AZ2068" s="6" t="s">
        <v>81</v>
      </c>
      <c r="BA2068" s="6" t="s">
        <v>81</v>
      </c>
      <c r="BB2068" s="24" t="n">
        <v>404</v>
      </c>
      <c r="BC2068" s="26"/>
      <c r="BD2068" s="26"/>
      <c r="BE2068" s="26"/>
      <c r="BF2068" s="26"/>
      <c r="BG2068" s="26"/>
      <c r="BH2068" s="26"/>
      <c r="BI2068" s="26"/>
      <c r="BJ2068" s="26"/>
      <c r="BK2068" s="26"/>
      <c r="BL2068" s="26"/>
      <c r="BM2068" s="26"/>
      <c r="BN2068" s="26"/>
      <c r="BO2068" s="26"/>
      <c r="BP2068" s="16" t="n">
        <v>45701</v>
      </c>
      <c r="BQ2068" s="28" t="str">
        <f>HYPERLINK("https://organic.ams.usda.gov/Integrity/Certificate.aspx?cid=81&amp;nopid=4210012046")</f>
        <v>https://organic.ams.usda.gov/Integrity/Certificate.aspx?cid=81&amp;nopid=4210012046</v>
      </c>
    </row>
    <row r="2069">
      <c r="A2069" t="s">
        <v>3</v>
      </c>
      <c r="B2069" s="6" t="s">
        <v>16</v>
      </c>
      <c r="C2069" s="6" t="s">
        <v>63</v>
      </c>
      <c r="D2069" s="6" t="s">
        <v>109</v>
      </c>
      <c r="E2069" s="10" t="s">
        <v>2210</v>
      </c>
      <c r="F2069" s="6" t="s">
        <v>4923</v>
      </c>
      <c r="G2069" s="6" t="s">
        <v>5801</v>
      </c>
      <c r="H2069" s="6" t="s">
        <v>7784</v>
      </c>
      <c r="I2069" s="6" t="s">
        <v>9399</v>
      </c>
      <c r="J2069" s="6" t="s">
        <v>10589</v>
      </c>
      <c r="K2069" s="6" t="s">
        <v>10886</v>
      </c>
      <c r="L2069" s="16" t="n">
        <v>44839</v>
      </c>
      <c r="M2069" s="16" t="n">
        <v>45731</v>
      </c>
      <c r="N2069" s="6" t="s">
        <v>10886</v>
      </c>
      <c r="O2069" s="16" t="n">
        <v>44839</v>
      </c>
      <c r="P2069" s="6" t="s">
        <v>10946</v>
      </c>
      <c r="Q2069" s="6" t="s">
        <v>81</v>
      </c>
      <c r="R2069" s="6" t="s">
        <v>81</v>
      </c>
      <c r="S2069" s="6" t="s">
        <v>10886</v>
      </c>
      <c r="T2069" s="16" t="n">
        <v>44839</v>
      </c>
      <c r="U2069" s="6" t="s">
        <v>13281</v>
      </c>
      <c r="V2069" s="6" t="s">
        <v>81</v>
      </c>
      <c r="W2069" s="6" t="s">
        <v>81</v>
      </c>
      <c r="X2069" s="6" t="s">
        <v>81</v>
      </c>
      <c r="Y2069" s="21" t="s">
        <v>81</v>
      </c>
      <c r="Z2069" s="6" t="s">
        <v>81</v>
      </c>
      <c r="AA2069" s="6" t="s">
        <v>81</v>
      </c>
      <c r="AB2069" s="6" t="s">
        <v>81</v>
      </c>
      <c r="AC2069" s="6" t="s">
        <v>10886</v>
      </c>
      <c r="AD2069" s="16" t="n">
        <v>44839</v>
      </c>
      <c r="AE2069" s="6" t="s">
        <v>81</v>
      </c>
      <c r="AF2069" s="6" t="s">
        <v>81</v>
      </c>
      <c r="AG2069" s="6" t="s">
        <v>81</v>
      </c>
      <c r="AH2069" s="6" t="s">
        <v>16618</v>
      </c>
      <c r="AI2069" s="6" t="s">
        <v>81</v>
      </c>
      <c r="AJ2069" s="6" t="s">
        <v>18202</v>
      </c>
      <c r="AK2069" s="6" t="s">
        <v>18383</v>
      </c>
      <c r="AL2069" s="6" t="s">
        <v>18444</v>
      </c>
      <c r="AM2069" s="6" t="s">
        <v>19414</v>
      </c>
      <c r="AN2069" s="6" t="s">
        <v>19653</v>
      </c>
      <c r="AO2069" s="6" t="s">
        <v>19928</v>
      </c>
      <c r="AP2069" s="6" t="s">
        <v>81</v>
      </c>
      <c r="AQ2069" s="6" t="s">
        <v>81</v>
      </c>
      <c r="AR2069" s="6" t="s">
        <v>81</v>
      </c>
      <c r="AS2069" s="6" t="s">
        <v>81</v>
      </c>
      <c r="AT2069" s="6" t="s">
        <v>81</v>
      </c>
      <c r="AU2069" s="6" t="s">
        <v>81</v>
      </c>
      <c r="AV2069" s="6" t="s">
        <v>81</v>
      </c>
      <c r="AW2069" s="6" t="s">
        <v>81</v>
      </c>
      <c r="AX2069" s="6" t="s">
        <v>22098</v>
      </c>
      <c r="AY2069" s="6" t="s">
        <v>81</v>
      </c>
      <c r="AZ2069" s="6" t="s">
        <v>81</v>
      </c>
      <c r="BA2069" s="6" t="s">
        <v>81</v>
      </c>
      <c r="BB2069" s="24" t="n">
        <v>33</v>
      </c>
      <c r="BC2069" s="26"/>
      <c r="BD2069" s="26"/>
      <c r="BE2069" s="26"/>
      <c r="BF2069" s="26"/>
      <c r="BG2069" s="26"/>
      <c r="BH2069" s="26"/>
      <c r="BI2069" s="26"/>
      <c r="BJ2069" s="26"/>
      <c r="BK2069" s="26"/>
      <c r="BL2069" s="26"/>
      <c r="BM2069" s="26"/>
      <c r="BN2069" s="26"/>
      <c r="BO2069" s="26"/>
      <c r="BP2069" s="16" t="n">
        <v>45701</v>
      </c>
      <c r="BQ2069" s="28" t="str">
        <f>HYPERLINK("https://organic.ams.usda.gov/Integrity/Certificate.aspx?cid=81&amp;nopid=4210016116")</f>
        <v>https://organic.ams.usda.gov/Integrity/Certificate.aspx?cid=81&amp;nopid=4210016116</v>
      </c>
    </row>
    <row r="2070">
      <c r="A2070" t="s">
        <v>3</v>
      </c>
      <c r="B2070" s="6" t="s">
        <v>16</v>
      </c>
      <c r="C2070" s="6" t="s">
        <v>63</v>
      </c>
      <c r="D2070" s="6" t="s">
        <v>109</v>
      </c>
      <c r="E2070" s="10" t="s">
        <v>2211</v>
      </c>
      <c r="F2070" s="6" t="s">
        <v>4924</v>
      </c>
      <c r="G2070" s="6" t="s">
        <v>81</v>
      </c>
      <c r="H2070" s="6" t="s">
        <v>6155</v>
      </c>
      <c r="I2070" s="6" t="s">
        <v>8637</v>
      </c>
      <c r="J2070" s="6" t="s">
        <v>10590</v>
      </c>
      <c r="K2070" s="6" t="s">
        <v>10886</v>
      </c>
      <c r="L2070" s="16" t="n">
        <v>40452</v>
      </c>
      <c r="M2070" s="16" t="n">
        <v>45731</v>
      </c>
      <c r="N2070" s="6" t="s">
        <v>10886</v>
      </c>
      <c r="O2070" s="16" t="n">
        <v>40452</v>
      </c>
      <c r="P2070" s="6" t="s">
        <v>11175</v>
      </c>
      <c r="Q2070" s="6" t="s">
        <v>81</v>
      </c>
      <c r="R2070" s="6" t="s">
        <v>81</v>
      </c>
      <c r="S2070" s="6" t="s">
        <v>10886</v>
      </c>
      <c r="T2070" s="16" t="n">
        <v>40452</v>
      </c>
      <c r="U2070" s="6" t="s">
        <v>13281</v>
      </c>
      <c r="V2070" s="6" t="s">
        <v>81</v>
      </c>
      <c r="W2070" s="6" t="s">
        <v>81</v>
      </c>
      <c r="X2070" s="6" t="s">
        <v>81</v>
      </c>
      <c r="Y2070" s="21" t="s">
        <v>81</v>
      </c>
      <c r="Z2070" s="6" t="s">
        <v>81</v>
      </c>
      <c r="AA2070" s="6" t="s">
        <v>81</v>
      </c>
      <c r="AB2070" s="6" t="s">
        <v>81</v>
      </c>
      <c r="AC2070" s="6" t="s">
        <v>10886</v>
      </c>
      <c r="AD2070" s="16" t="n">
        <v>40452</v>
      </c>
      <c r="AE2070" s="6" t="s">
        <v>81</v>
      </c>
      <c r="AF2070" s="6" t="s">
        <v>81</v>
      </c>
      <c r="AG2070" s="6" t="s">
        <v>81</v>
      </c>
      <c r="AH2070" s="6" t="s">
        <v>16619</v>
      </c>
      <c r="AI2070" s="6" t="s">
        <v>81</v>
      </c>
      <c r="AJ2070" s="6" t="s">
        <v>17613</v>
      </c>
      <c r="AK2070" s="6" t="s">
        <v>18383</v>
      </c>
      <c r="AL2070" s="6" t="s">
        <v>18444</v>
      </c>
      <c r="AM2070" s="6" t="s">
        <v>18779</v>
      </c>
      <c r="AN2070" s="6" t="s">
        <v>19646</v>
      </c>
      <c r="AO2070" s="6" t="s">
        <v>19841</v>
      </c>
      <c r="AP2070" s="6" t="s">
        <v>81</v>
      </c>
      <c r="AQ2070" s="6" t="s">
        <v>81</v>
      </c>
      <c r="AR2070" s="6" t="s">
        <v>81</v>
      </c>
      <c r="AS2070" s="6" t="s">
        <v>81</v>
      </c>
      <c r="AT2070" s="6" t="s">
        <v>81</v>
      </c>
      <c r="AU2070" s="6" t="s">
        <v>81</v>
      </c>
      <c r="AV2070" s="6" t="s">
        <v>81</v>
      </c>
      <c r="AW2070" s="6" t="s">
        <v>81</v>
      </c>
      <c r="AX2070" s="6" t="s">
        <v>22099</v>
      </c>
      <c r="AY2070" s="6" t="s">
        <v>81</v>
      </c>
      <c r="AZ2070" s="6" t="s">
        <v>81</v>
      </c>
      <c r="BA2070" s="6" t="s">
        <v>81</v>
      </c>
      <c r="BB2070" s="24" t="n">
        <v>146</v>
      </c>
      <c r="BC2070" s="26"/>
      <c r="BD2070" s="26"/>
      <c r="BE2070" s="26"/>
      <c r="BF2070" s="26"/>
      <c r="BG2070" s="26"/>
      <c r="BH2070" s="26"/>
      <c r="BI2070" s="26"/>
      <c r="BJ2070" s="26"/>
      <c r="BK2070" s="26"/>
      <c r="BL2070" s="26"/>
      <c r="BM2070" s="26"/>
      <c r="BN2070" s="26"/>
      <c r="BO2070" s="26"/>
      <c r="BP2070" s="16" t="n">
        <v>45701</v>
      </c>
      <c r="BQ2070" s="28" t="str">
        <f>HYPERLINK("https://organic.ams.usda.gov/Integrity/Certificate.aspx?cid=81&amp;nopid=4210010048")</f>
        <v>https://organic.ams.usda.gov/Integrity/Certificate.aspx?cid=81&amp;nopid=4210010048</v>
      </c>
    </row>
    <row r="2071">
      <c r="A2071" t="s">
        <v>3</v>
      </c>
      <c r="B2071" s="6" t="s">
        <v>16</v>
      </c>
      <c r="C2071" s="6" t="s">
        <v>63</v>
      </c>
      <c r="D2071" s="6" t="s">
        <v>109</v>
      </c>
      <c r="E2071" s="10" t="s">
        <v>2212</v>
      </c>
      <c r="F2071" s="6" t="s">
        <v>4925</v>
      </c>
      <c r="G2071" s="6" t="s">
        <v>5802</v>
      </c>
      <c r="H2071" s="6" t="s">
        <v>7785</v>
      </c>
      <c r="I2071" s="6" t="s">
        <v>8961</v>
      </c>
      <c r="J2071" s="6" t="s">
        <v>10591</v>
      </c>
      <c r="K2071" s="6" t="s">
        <v>10886</v>
      </c>
      <c r="L2071" s="16" t="n">
        <v>40695</v>
      </c>
      <c r="M2071" s="16" t="n">
        <v>45731</v>
      </c>
      <c r="N2071" s="6" t="s">
        <v>10886</v>
      </c>
      <c r="O2071" s="16" t="n">
        <v>40695</v>
      </c>
      <c r="P2071" s="6" t="s">
        <v>12072</v>
      </c>
      <c r="Q2071" s="6" t="s">
        <v>81</v>
      </c>
      <c r="R2071" s="6" t="s">
        <v>81</v>
      </c>
      <c r="S2071" s="6" t="s">
        <v>10886</v>
      </c>
      <c r="T2071" s="16" t="n">
        <v>40695</v>
      </c>
      <c r="U2071" s="6" t="s">
        <v>13792</v>
      </c>
      <c r="V2071" s="6" t="s">
        <v>81</v>
      </c>
      <c r="W2071" s="6" t="s">
        <v>81</v>
      </c>
      <c r="X2071" s="6" t="s">
        <v>81</v>
      </c>
      <c r="Y2071" s="21" t="s">
        <v>81</v>
      </c>
      <c r="Z2071" s="6" t="s">
        <v>81</v>
      </c>
      <c r="AA2071" s="6" t="s">
        <v>81</v>
      </c>
      <c r="AB2071" s="6" t="s">
        <v>81</v>
      </c>
      <c r="AC2071" s="6" t="s">
        <v>10886</v>
      </c>
      <c r="AD2071" s="16" t="n">
        <v>40695</v>
      </c>
      <c r="AE2071" s="6" t="s">
        <v>81</v>
      </c>
      <c r="AF2071" s="6" t="s">
        <v>81</v>
      </c>
      <c r="AG2071" s="6" t="s">
        <v>81</v>
      </c>
      <c r="AH2071" s="6" t="s">
        <v>16620</v>
      </c>
      <c r="AI2071" s="6" t="s">
        <v>81</v>
      </c>
      <c r="AJ2071" s="6" t="s">
        <v>17838</v>
      </c>
      <c r="AK2071" s="6" t="s">
        <v>18383</v>
      </c>
      <c r="AL2071" s="6" t="s">
        <v>18444</v>
      </c>
      <c r="AM2071" s="6" t="s">
        <v>19415</v>
      </c>
      <c r="AN2071" s="6" t="s">
        <v>19648</v>
      </c>
      <c r="AO2071" s="6" t="s">
        <v>19952</v>
      </c>
      <c r="AP2071" s="6" t="s">
        <v>16620</v>
      </c>
      <c r="AQ2071" s="6" t="s">
        <v>81</v>
      </c>
      <c r="AR2071" s="6" t="s">
        <v>20564</v>
      </c>
      <c r="AS2071" s="6" t="s">
        <v>18383</v>
      </c>
      <c r="AT2071" s="6" t="s">
        <v>18444</v>
      </c>
      <c r="AU2071" s="6" t="s">
        <v>19415</v>
      </c>
      <c r="AV2071" s="6" t="s">
        <v>81</v>
      </c>
      <c r="AW2071" s="6" t="s">
        <v>81</v>
      </c>
      <c r="AX2071" s="6" t="s">
        <v>22100</v>
      </c>
      <c r="AY2071" s="6" t="s">
        <v>81</v>
      </c>
      <c r="AZ2071" s="6" t="s">
        <v>23750</v>
      </c>
      <c r="BA2071" s="6" t="s">
        <v>81</v>
      </c>
      <c r="BB2071" s="24" t="n">
        <v>73</v>
      </c>
      <c r="BC2071" s="26"/>
      <c r="BD2071" s="26"/>
      <c r="BE2071" s="26"/>
      <c r="BF2071" s="26"/>
      <c r="BG2071" s="26"/>
      <c r="BH2071" s="26"/>
      <c r="BI2071" s="26"/>
      <c r="BJ2071" s="26"/>
      <c r="BK2071" s="26"/>
      <c r="BL2071" s="26"/>
      <c r="BM2071" s="26"/>
      <c r="BN2071" s="26"/>
      <c r="BO2071" s="26"/>
      <c r="BP2071" s="16" t="n">
        <v>45701</v>
      </c>
      <c r="BQ2071" s="28" t="str">
        <f>HYPERLINK("https://organic.ams.usda.gov/Integrity/Certificate.aspx?cid=81&amp;nopid=4210011008")</f>
        <v>https://organic.ams.usda.gov/Integrity/Certificate.aspx?cid=81&amp;nopid=4210011008</v>
      </c>
    </row>
    <row r="2072">
      <c r="A2072" t="s">
        <v>3</v>
      </c>
      <c r="B2072" s="6" t="s">
        <v>16</v>
      </c>
      <c r="C2072" s="6" t="s">
        <v>63</v>
      </c>
      <c r="D2072" s="6" t="s">
        <v>109</v>
      </c>
      <c r="E2072" s="10" t="s">
        <v>2213</v>
      </c>
      <c r="F2072" s="6" t="s">
        <v>4926</v>
      </c>
      <c r="G2072" s="6" t="s">
        <v>81</v>
      </c>
      <c r="H2072" s="6" t="s">
        <v>7786</v>
      </c>
      <c r="I2072" s="6" t="s">
        <v>9306</v>
      </c>
      <c r="J2072" s="6" t="s">
        <v>10592</v>
      </c>
      <c r="K2072" s="6" t="s">
        <v>10886</v>
      </c>
      <c r="L2072" s="16" t="n">
        <v>39203</v>
      </c>
      <c r="M2072" s="16" t="n">
        <v>45731</v>
      </c>
      <c r="N2072" s="6" t="s">
        <v>10886</v>
      </c>
      <c r="O2072" s="16" t="n">
        <v>39203</v>
      </c>
      <c r="P2072" s="6" t="s">
        <v>11085</v>
      </c>
      <c r="Q2072" s="6" t="s">
        <v>81</v>
      </c>
      <c r="R2072" s="6" t="s">
        <v>81</v>
      </c>
      <c r="S2072" s="6" t="s">
        <v>10886</v>
      </c>
      <c r="T2072" s="16" t="n">
        <v>39203</v>
      </c>
      <c r="U2072" s="6" t="s">
        <v>13182</v>
      </c>
      <c r="V2072" s="6" t="s">
        <v>81</v>
      </c>
      <c r="W2072" s="6" t="s">
        <v>81</v>
      </c>
      <c r="X2072" s="6" t="s">
        <v>81</v>
      </c>
      <c r="Y2072" s="21" t="s">
        <v>81</v>
      </c>
      <c r="Z2072" s="6" t="s">
        <v>81</v>
      </c>
      <c r="AA2072" s="6" t="s">
        <v>81</v>
      </c>
      <c r="AB2072" s="6" t="s">
        <v>81</v>
      </c>
      <c r="AC2072" s="6" t="s">
        <v>10886</v>
      </c>
      <c r="AD2072" s="16" t="n">
        <v>39203</v>
      </c>
      <c r="AE2072" s="6" t="s">
        <v>81</v>
      </c>
      <c r="AF2072" s="6" t="s">
        <v>81</v>
      </c>
      <c r="AG2072" s="6" t="s">
        <v>81</v>
      </c>
      <c r="AH2072" s="6" t="s">
        <v>16621</v>
      </c>
      <c r="AI2072" s="6" t="s">
        <v>81</v>
      </c>
      <c r="AJ2072" s="6" t="s">
        <v>18203</v>
      </c>
      <c r="AK2072" s="6" t="s">
        <v>18383</v>
      </c>
      <c r="AL2072" s="6" t="s">
        <v>18444</v>
      </c>
      <c r="AM2072" s="6" t="s">
        <v>19416</v>
      </c>
      <c r="AN2072" s="6" t="s">
        <v>19696</v>
      </c>
      <c r="AO2072" s="6" t="s">
        <v>19935</v>
      </c>
      <c r="AP2072" s="6" t="s">
        <v>20384</v>
      </c>
      <c r="AQ2072" s="6" t="s">
        <v>81</v>
      </c>
      <c r="AR2072" s="6" t="s">
        <v>20565</v>
      </c>
      <c r="AS2072" s="6" t="s">
        <v>18383</v>
      </c>
      <c r="AT2072" s="6" t="s">
        <v>18444</v>
      </c>
      <c r="AU2072" s="6" t="s">
        <v>19416</v>
      </c>
      <c r="AV2072" s="6" t="s">
        <v>81</v>
      </c>
      <c r="AW2072" s="6" t="s">
        <v>81</v>
      </c>
      <c r="AX2072" s="6" t="s">
        <v>22101</v>
      </c>
      <c r="AY2072" s="6" t="s">
        <v>81</v>
      </c>
      <c r="AZ2072" s="6" t="s">
        <v>81</v>
      </c>
      <c r="BA2072" s="6" t="s">
        <v>81</v>
      </c>
      <c r="BB2072" s="24" t="n">
        <v>178</v>
      </c>
      <c r="BC2072" s="26"/>
      <c r="BD2072" s="26"/>
      <c r="BE2072" s="26"/>
      <c r="BF2072" s="26"/>
      <c r="BG2072" s="26"/>
      <c r="BH2072" s="26"/>
      <c r="BI2072" s="26"/>
      <c r="BJ2072" s="26"/>
      <c r="BK2072" s="26"/>
      <c r="BL2072" s="26"/>
      <c r="BM2072" s="26"/>
      <c r="BN2072" s="26"/>
      <c r="BO2072" s="26"/>
      <c r="BP2072" s="16" t="n">
        <v>45701</v>
      </c>
      <c r="BQ2072" s="28" t="str">
        <f>HYPERLINK("https://organic.ams.usda.gov/Integrity/Certificate.aspx?cid=81&amp;nopid=4210007028")</f>
        <v>https://organic.ams.usda.gov/Integrity/Certificate.aspx?cid=81&amp;nopid=4210007028</v>
      </c>
    </row>
    <row r="2073">
      <c r="A2073" t="s">
        <v>3</v>
      </c>
      <c r="B2073" s="6" t="s">
        <v>16</v>
      </c>
      <c r="C2073" s="6" t="s">
        <v>63</v>
      </c>
      <c r="D2073" s="6" t="s">
        <v>109</v>
      </c>
      <c r="E2073" s="10" t="s">
        <v>2214</v>
      </c>
      <c r="F2073" s="6" t="s">
        <v>4927</v>
      </c>
      <c r="G2073" s="6" t="s">
        <v>5803</v>
      </c>
      <c r="H2073" s="6" t="s">
        <v>7787</v>
      </c>
      <c r="I2073" s="6" t="s">
        <v>9400</v>
      </c>
      <c r="J2073" s="6" t="s">
        <v>10593</v>
      </c>
      <c r="K2073" s="6" t="s">
        <v>10886</v>
      </c>
      <c r="L2073" s="16" t="n">
        <v>39234</v>
      </c>
      <c r="M2073" s="16" t="n">
        <v>45731</v>
      </c>
      <c r="N2073" s="6" t="s">
        <v>10886</v>
      </c>
      <c r="O2073" s="16" t="n">
        <v>39234</v>
      </c>
      <c r="P2073" s="6" t="s">
        <v>11567</v>
      </c>
      <c r="Q2073" s="6" t="s">
        <v>81</v>
      </c>
      <c r="R2073" s="6" t="s">
        <v>81</v>
      </c>
      <c r="S2073" s="6" t="s">
        <v>10886</v>
      </c>
      <c r="T2073" s="16" t="n">
        <v>39234</v>
      </c>
      <c r="U2073" s="6" t="s">
        <v>13281</v>
      </c>
      <c r="V2073" s="6" t="s">
        <v>81</v>
      </c>
      <c r="W2073" s="6" t="s">
        <v>81</v>
      </c>
      <c r="X2073" s="6" t="s">
        <v>81</v>
      </c>
      <c r="Y2073" s="21" t="s">
        <v>81</v>
      </c>
      <c r="Z2073" s="6" t="s">
        <v>81</v>
      </c>
      <c r="AA2073" s="6" t="s">
        <v>81</v>
      </c>
      <c r="AB2073" s="6" t="s">
        <v>81</v>
      </c>
      <c r="AC2073" s="6" t="s">
        <v>10886</v>
      </c>
      <c r="AD2073" s="16" t="n">
        <v>39234</v>
      </c>
      <c r="AE2073" s="6" t="s">
        <v>81</v>
      </c>
      <c r="AF2073" s="6" t="s">
        <v>81</v>
      </c>
      <c r="AG2073" s="6" t="s">
        <v>81</v>
      </c>
      <c r="AH2073" s="6" t="s">
        <v>16622</v>
      </c>
      <c r="AI2073" s="6" t="s">
        <v>81</v>
      </c>
      <c r="AJ2073" s="6" t="s">
        <v>17699</v>
      </c>
      <c r="AK2073" s="6" t="s">
        <v>18383</v>
      </c>
      <c r="AL2073" s="6" t="s">
        <v>18444</v>
      </c>
      <c r="AM2073" s="6" t="s">
        <v>18865</v>
      </c>
      <c r="AN2073" s="6" t="s">
        <v>19646</v>
      </c>
      <c r="AO2073" s="6" t="s">
        <v>19841</v>
      </c>
      <c r="AP2073" s="6" t="s">
        <v>16622</v>
      </c>
      <c r="AQ2073" s="6" t="s">
        <v>81</v>
      </c>
      <c r="AR2073" s="6" t="s">
        <v>20518</v>
      </c>
      <c r="AS2073" s="6" t="s">
        <v>18383</v>
      </c>
      <c r="AT2073" s="6" t="s">
        <v>18444</v>
      </c>
      <c r="AU2073" s="6" t="s">
        <v>18865</v>
      </c>
      <c r="AV2073" s="6" t="s">
        <v>81</v>
      </c>
      <c r="AW2073" s="6" t="s">
        <v>81</v>
      </c>
      <c r="AX2073" s="6" t="s">
        <v>22102</v>
      </c>
      <c r="AY2073" s="6" t="s">
        <v>81</v>
      </c>
      <c r="AZ2073" s="6" t="s">
        <v>81</v>
      </c>
      <c r="BA2073" s="6" t="s">
        <v>81</v>
      </c>
      <c r="BB2073" s="24" t="n">
        <v>379</v>
      </c>
      <c r="BC2073" s="26"/>
      <c r="BD2073" s="26"/>
      <c r="BE2073" s="26"/>
      <c r="BF2073" s="26"/>
      <c r="BG2073" s="26"/>
      <c r="BH2073" s="26"/>
      <c r="BI2073" s="26"/>
      <c r="BJ2073" s="26"/>
      <c r="BK2073" s="26"/>
      <c r="BL2073" s="26"/>
      <c r="BM2073" s="26"/>
      <c r="BN2073" s="26"/>
      <c r="BO2073" s="26"/>
      <c r="BP2073" s="16" t="n">
        <v>45701</v>
      </c>
      <c r="BQ2073" s="28" t="str">
        <f>HYPERLINK("https://organic.ams.usda.gov/Integrity/Certificate.aspx?cid=81&amp;nopid=4210007041")</f>
        <v>https://organic.ams.usda.gov/Integrity/Certificate.aspx?cid=81&amp;nopid=4210007041</v>
      </c>
    </row>
    <row r="2074">
      <c r="A2074" t="s">
        <v>3</v>
      </c>
      <c r="B2074" s="6" t="s">
        <v>16</v>
      </c>
      <c r="C2074" s="6" t="s">
        <v>63</v>
      </c>
      <c r="D2074" s="6" t="s">
        <v>109</v>
      </c>
      <c r="E2074" s="10" t="s">
        <v>2215</v>
      </c>
      <c r="F2074" s="6" t="s">
        <v>4928</v>
      </c>
      <c r="G2074" s="6" t="s">
        <v>81</v>
      </c>
      <c r="H2074" s="6" t="s">
        <v>7788</v>
      </c>
      <c r="I2074" s="6" t="s">
        <v>9401</v>
      </c>
      <c r="J2074" s="6" t="s">
        <v>10594</v>
      </c>
      <c r="K2074" s="6" t="s">
        <v>10886</v>
      </c>
      <c r="L2074" s="16" t="n">
        <v>42576</v>
      </c>
      <c r="M2074" s="16" t="n">
        <v>45731</v>
      </c>
      <c r="N2074" s="6" t="s">
        <v>10886</v>
      </c>
      <c r="O2074" s="16" t="n">
        <v>42576</v>
      </c>
      <c r="P2074" s="6" t="s">
        <v>11564</v>
      </c>
      <c r="Q2074" s="6" t="s">
        <v>81</v>
      </c>
      <c r="R2074" s="6" t="s">
        <v>81</v>
      </c>
      <c r="S2074" s="6" t="s">
        <v>10886</v>
      </c>
      <c r="T2074" s="16" t="n">
        <v>42576</v>
      </c>
      <c r="U2074" s="6" t="s">
        <v>13784</v>
      </c>
      <c r="V2074" s="6" t="s">
        <v>81</v>
      </c>
      <c r="W2074" s="6" t="s">
        <v>81</v>
      </c>
      <c r="X2074" s="6" t="s">
        <v>81</v>
      </c>
      <c r="Y2074" s="21" t="s">
        <v>81</v>
      </c>
      <c r="Z2074" s="6" t="s">
        <v>81</v>
      </c>
      <c r="AA2074" s="6" t="s">
        <v>81</v>
      </c>
      <c r="AB2074" s="6" t="s">
        <v>81</v>
      </c>
      <c r="AC2074" s="6" t="s">
        <v>10886</v>
      </c>
      <c r="AD2074" s="16" t="n">
        <v>42576</v>
      </c>
      <c r="AE2074" s="6" t="s">
        <v>81</v>
      </c>
      <c r="AF2074" s="6" t="s">
        <v>81</v>
      </c>
      <c r="AG2074" s="6" t="s">
        <v>81</v>
      </c>
      <c r="AH2074" s="6" t="s">
        <v>16623</v>
      </c>
      <c r="AI2074" s="6" t="s">
        <v>81</v>
      </c>
      <c r="AJ2074" s="6" t="s">
        <v>18204</v>
      </c>
      <c r="AK2074" s="6" t="s">
        <v>18383</v>
      </c>
      <c r="AL2074" s="6" t="s">
        <v>18444</v>
      </c>
      <c r="AM2074" s="6" t="s">
        <v>19417</v>
      </c>
      <c r="AN2074" s="6" t="s">
        <v>19646</v>
      </c>
      <c r="AO2074" s="6" t="s">
        <v>19841</v>
      </c>
      <c r="AP2074" s="6" t="s">
        <v>20385</v>
      </c>
      <c r="AQ2074" s="6" t="s">
        <v>81</v>
      </c>
      <c r="AR2074" s="6" t="s">
        <v>20561</v>
      </c>
      <c r="AS2074" s="6" t="s">
        <v>18383</v>
      </c>
      <c r="AT2074" s="6" t="s">
        <v>18444</v>
      </c>
      <c r="AU2074" s="6" t="s">
        <v>20689</v>
      </c>
      <c r="AV2074" s="6" t="s">
        <v>81</v>
      </c>
      <c r="AW2074" s="6" t="s">
        <v>81</v>
      </c>
      <c r="AX2074" s="6" t="s">
        <v>22103</v>
      </c>
      <c r="AY2074" s="6" t="s">
        <v>81</v>
      </c>
      <c r="AZ2074" s="6" t="s">
        <v>81</v>
      </c>
      <c r="BA2074" s="6" t="s">
        <v>81</v>
      </c>
      <c r="BB2074" s="24" t="n">
        <v>329</v>
      </c>
      <c r="BC2074" s="26"/>
      <c r="BD2074" s="26"/>
      <c r="BE2074" s="26"/>
      <c r="BF2074" s="26"/>
      <c r="BG2074" s="26"/>
      <c r="BH2074" s="26"/>
      <c r="BI2074" s="26"/>
      <c r="BJ2074" s="26"/>
      <c r="BK2074" s="26"/>
      <c r="BL2074" s="26"/>
      <c r="BM2074" s="26"/>
      <c r="BN2074" s="26"/>
      <c r="BO2074" s="26"/>
      <c r="BP2074" s="16" t="n">
        <v>45701</v>
      </c>
      <c r="BQ2074" s="28" t="str">
        <f>HYPERLINK("https://organic.ams.usda.gov/Integrity/Certificate.aspx?cid=81&amp;nopid=4210016090")</f>
        <v>https://organic.ams.usda.gov/Integrity/Certificate.aspx?cid=81&amp;nopid=4210016090</v>
      </c>
    </row>
    <row r="2075">
      <c r="A2075" t="s">
        <v>3</v>
      </c>
      <c r="B2075" s="6" t="s">
        <v>16</v>
      </c>
      <c r="C2075" s="6" t="s">
        <v>63</v>
      </c>
      <c r="D2075" s="6" t="s">
        <v>109</v>
      </c>
      <c r="E2075" s="10" t="s">
        <v>2216</v>
      </c>
      <c r="F2075" s="6" t="s">
        <v>4929</v>
      </c>
      <c r="G2075" s="6" t="s">
        <v>81</v>
      </c>
      <c r="H2075" s="6" t="s">
        <v>7789</v>
      </c>
      <c r="I2075" s="6" t="s">
        <v>8509</v>
      </c>
      <c r="J2075" s="6" t="s">
        <v>10534</v>
      </c>
      <c r="K2075" s="6" t="s">
        <v>10886</v>
      </c>
      <c r="L2075" s="16" t="n">
        <v>37452</v>
      </c>
      <c r="M2075" s="16" t="n">
        <v>45731</v>
      </c>
      <c r="N2075" s="6" t="s">
        <v>10886</v>
      </c>
      <c r="O2075" s="16" t="n">
        <v>37452</v>
      </c>
      <c r="P2075" s="6" t="s">
        <v>12073</v>
      </c>
      <c r="Q2075" s="6" t="s">
        <v>81</v>
      </c>
      <c r="R2075" s="6" t="s">
        <v>81</v>
      </c>
      <c r="S2075" s="6" t="s">
        <v>10886</v>
      </c>
      <c r="T2075" s="16" t="n">
        <v>37452</v>
      </c>
      <c r="U2075" s="6" t="s">
        <v>13793</v>
      </c>
      <c r="V2075" s="6" t="s">
        <v>81</v>
      </c>
      <c r="W2075" s="6" t="s">
        <v>81</v>
      </c>
      <c r="X2075" s="6" t="s">
        <v>81</v>
      </c>
      <c r="Y2075" s="21" t="s">
        <v>81</v>
      </c>
      <c r="Z2075" s="6" t="s">
        <v>81</v>
      </c>
      <c r="AA2075" s="6" t="s">
        <v>81</v>
      </c>
      <c r="AB2075" s="6" t="s">
        <v>81</v>
      </c>
      <c r="AC2075" s="6" t="s">
        <v>10886</v>
      </c>
      <c r="AD2075" s="16" t="n">
        <v>37452</v>
      </c>
      <c r="AE2075" s="6" t="s">
        <v>81</v>
      </c>
      <c r="AF2075" s="6" t="s">
        <v>81</v>
      </c>
      <c r="AG2075" s="6" t="s">
        <v>81</v>
      </c>
      <c r="AH2075" s="6" t="s">
        <v>16624</v>
      </c>
      <c r="AI2075" s="6" t="s">
        <v>81</v>
      </c>
      <c r="AJ2075" s="6" t="s">
        <v>18023</v>
      </c>
      <c r="AK2075" s="6" t="s">
        <v>18383</v>
      </c>
      <c r="AL2075" s="6" t="s">
        <v>18444</v>
      </c>
      <c r="AM2075" s="6" t="s">
        <v>19213</v>
      </c>
      <c r="AN2075" s="6" t="s">
        <v>19655</v>
      </c>
      <c r="AO2075" s="6" t="s">
        <v>19886</v>
      </c>
      <c r="AP2075" s="6" t="s">
        <v>81</v>
      </c>
      <c r="AQ2075" s="6" t="s">
        <v>81</v>
      </c>
      <c r="AR2075" s="6" t="s">
        <v>81</v>
      </c>
      <c r="AS2075" s="6" t="s">
        <v>81</v>
      </c>
      <c r="AT2075" s="6" t="s">
        <v>81</v>
      </c>
      <c r="AU2075" s="6" t="s">
        <v>81</v>
      </c>
      <c r="AV2075" s="6" t="s">
        <v>81</v>
      </c>
      <c r="AW2075" s="6" t="s">
        <v>81</v>
      </c>
      <c r="AX2075" s="6" t="s">
        <v>22104</v>
      </c>
      <c r="AY2075" s="6" t="s">
        <v>81</v>
      </c>
      <c r="AZ2075" s="6" t="s">
        <v>81</v>
      </c>
      <c r="BA2075" s="6" t="s">
        <v>81</v>
      </c>
      <c r="BB2075" s="24" t="n">
        <v>219</v>
      </c>
      <c r="BC2075" s="26"/>
      <c r="BD2075" s="26"/>
      <c r="BE2075" s="26"/>
      <c r="BF2075" s="26"/>
      <c r="BG2075" s="26"/>
      <c r="BH2075" s="26"/>
      <c r="BI2075" s="26"/>
      <c r="BJ2075" s="26"/>
      <c r="BK2075" s="26"/>
      <c r="BL2075" s="26"/>
      <c r="BM2075" s="26"/>
      <c r="BN2075" s="26"/>
      <c r="BO2075" s="26"/>
      <c r="BP2075" s="16" t="n">
        <v>45701</v>
      </c>
      <c r="BQ2075" s="28" t="str">
        <f>HYPERLINK("https://organic.ams.usda.gov/Integrity/Certificate.aspx?cid=81&amp;nopid=4210099150")</f>
        <v>https://organic.ams.usda.gov/Integrity/Certificate.aspx?cid=81&amp;nopid=4210099150</v>
      </c>
    </row>
    <row r="2076">
      <c r="A2076" t="s">
        <v>3</v>
      </c>
      <c r="B2076" s="6" t="s">
        <v>16</v>
      </c>
      <c r="C2076" s="6" t="s">
        <v>63</v>
      </c>
      <c r="D2076" s="6" t="s">
        <v>109</v>
      </c>
      <c r="E2076" s="10" t="s">
        <v>2217</v>
      </c>
      <c r="F2076" s="6" t="s">
        <v>4930</v>
      </c>
      <c r="G2076" s="6" t="s">
        <v>81</v>
      </c>
      <c r="H2076" s="6" t="s">
        <v>7790</v>
      </c>
      <c r="I2076" s="6" t="s">
        <v>8509</v>
      </c>
      <c r="J2076" s="6" t="s">
        <v>9907</v>
      </c>
      <c r="K2076" s="6" t="s">
        <v>10886</v>
      </c>
      <c r="L2076" s="16" t="n">
        <v>44068</v>
      </c>
      <c r="M2076" s="16" t="n">
        <v>45731</v>
      </c>
      <c r="N2076" s="6" t="s">
        <v>10886</v>
      </c>
      <c r="O2076" s="16" t="n">
        <v>44068</v>
      </c>
      <c r="P2076" s="6" t="s">
        <v>12074</v>
      </c>
      <c r="Q2076" s="6" t="s">
        <v>81</v>
      </c>
      <c r="R2076" s="6" t="s">
        <v>81</v>
      </c>
      <c r="S2076" s="6" t="s">
        <v>10886</v>
      </c>
      <c r="T2076" s="16" t="n">
        <v>44068</v>
      </c>
      <c r="U2076" s="6" t="s">
        <v>13281</v>
      </c>
      <c r="V2076" s="6" t="s">
        <v>81</v>
      </c>
      <c r="W2076" s="6" t="s">
        <v>81</v>
      </c>
      <c r="X2076" s="6" t="s">
        <v>81</v>
      </c>
      <c r="Y2076" s="21" t="s">
        <v>81</v>
      </c>
      <c r="Z2076" s="6" t="s">
        <v>81</v>
      </c>
      <c r="AA2076" s="6" t="s">
        <v>81</v>
      </c>
      <c r="AB2076" s="6" t="s">
        <v>81</v>
      </c>
      <c r="AC2076" s="6" t="s">
        <v>10886</v>
      </c>
      <c r="AD2076" s="16" t="n">
        <v>44068</v>
      </c>
      <c r="AE2076" s="6" t="s">
        <v>81</v>
      </c>
      <c r="AF2076" s="6" t="s">
        <v>81</v>
      </c>
      <c r="AG2076" s="6" t="s">
        <v>81</v>
      </c>
      <c r="AH2076" s="6" t="s">
        <v>16625</v>
      </c>
      <c r="AI2076" s="6" t="s">
        <v>81</v>
      </c>
      <c r="AJ2076" s="6" t="s">
        <v>9295</v>
      </c>
      <c r="AK2076" s="6" t="s">
        <v>18388</v>
      </c>
      <c r="AL2076" s="6" t="s">
        <v>18444</v>
      </c>
      <c r="AM2076" s="6" t="s">
        <v>19418</v>
      </c>
      <c r="AN2076" s="6" t="s">
        <v>19677</v>
      </c>
      <c r="AO2076" s="6" t="s">
        <v>20040</v>
      </c>
      <c r="AP2076" s="6" t="s">
        <v>81</v>
      </c>
      <c r="AQ2076" s="6" t="s">
        <v>81</v>
      </c>
      <c r="AR2076" s="6" t="s">
        <v>81</v>
      </c>
      <c r="AS2076" s="6" t="s">
        <v>81</v>
      </c>
      <c r="AT2076" s="6" t="s">
        <v>81</v>
      </c>
      <c r="AU2076" s="6" t="s">
        <v>81</v>
      </c>
      <c r="AV2076" s="6" t="s">
        <v>81</v>
      </c>
      <c r="AW2076" s="6" t="s">
        <v>81</v>
      </c>
      <c r="AX2076" s="6" t="s">
        <v>22105</v>
      </c>
      <c r="AY2076" s="6" t="s">
        <v>81</v>
      </c>
      <c r="AZ2076" s="6" t="s">
        <v>81</v>
      </c>
      <c r="BA2076" s="6" t="s">
        <v>81</v>
      </c>
      <c r="BB2076" s="24" t="n">
        <v>344</v>
      </c>
      <c r="BC2076" s="26"/>
      <c r="BD2076" s="26"/>
      <c r="BE2076" s="26"/>
      <c r="BF2076" s="26"/>
      <c r="BG2076" s="26"/>
      <c r="BH2076" s="26"/>
      <c r="BI2076" s="26"/>
      <c r="BJ2076" s="26"/>
      <c r="BK2076" s="26"/>
      <c r="BL2076" s="26"/>
      <c r="BM2076" s="26"/>
      <c r="BN2076" s="26"/>
      <c r="BO2076" s="26"/>
      <c r="BP2076" s="16" t="n">
        <v>45701</v>
      </c>
      <c r="BQ2076" s="28" t="str">
        <f>HYPERLINK("https://organic.ams.usda.gov/Integrity/Certificate.aspx?cid=81&amp;nopid=4212020059")</f>
        <v>https://organic.ams.usda.gov/Integrity/Certificate.aspx?cid=81&amp;nopid=4212020059</v>
      </c>
    </row>
    <row r="2077">
      <c r="A2077" t="s">
        <v>3</v>
      </c>
      <c r="B2077" s="6" t="s">
        <v>16</v>
      </c>
      <c r="C2077" s="6" t="s">
        <v>63</v>
      </c>
      <c r="D2077" s="6" t="s">
        <v>109</v>
      </c>
      <c r="E2077" s="10" t="s">
        <v>2218</v>
      </c>
      <c r="F2077" s="6" t="s">
        <v>4931</v>
      </c>
      <c r="G2077" s="6" t="s">
        <v>5804</v>
      </c>
      <c r="H2077" s="6" t="s">
        <v>7791</v>
      </c>
      <c r="I2077" s="6" t="s">
        <v>8509</v>
      </c>
      <c r="J2077" s="6" t="s">
        <v>10595</v>
      </c>
      <c r="K2077" s="6" t="s">
        <v>10886</v>
      </c>
      <c r="L2077" s="16" t="n">
        <v>40969</v>
      </c>
      <c r="M2077" s="16" t="n">
        <v>45731</v>
      </c>
      <c r="N2077" s="6" t="s">
        <v>10886</v>
      </c>
      <c r="O2077" s="16" t="n">
        <v>40969</v>
      </c>
      <c r="P2077" s="6" t="s">
        <v>11175</v>
      </c>
      <c r="Q2077" s="6" t="s">
        <v>81</v>
      </c>
      <c r="R2077" s="6" t="s">
        <v>81</v>
      </c>
      <c r="S2077" s="6" t="s">
        <v>10886</v>
      </c>
      <c r="T2077" s="16" t="n">
        <v>40969</v>
      </c>
      <c r="U2077" s="6" t="s">
        <v>13182</v>
      </c>
      <c r="V2077" s="6" t="s">
        <v>81</v>
      </c>
      <c r="W2077" s="6" t="s">
        <v>81</v>
      </c>
      <c r="X2077" s="6" t="s">
        <v>81</v>
      </c>
      <c r="Y2077" s="21" t="s">
        <v>81</v>
      </c>
      <c r="Z2077" s="6" t="s">
        <v>81</v>
      </c>
      <c r="AA2077" s="6" t="s">
        <v>81</v>
      </c>
      <c r="AB2077" s="6" t="s">
        <v>81</v>
      </c>
      <c r="AC2077" s="6" t="s">
        <v>10886</v>
      </c>
      <c r="AD2077" s="16" t="n">
        <v>40969</v>
      </c>
      <c r="AE2077" s="6" t="s">
        <v>81</v>
      </c>
      <c r="AF2077" s="6" t="s">
        <v>81</v>
      </c>
      <c r="AG2077" s="6" t="s">
        <v>81</v>
      </c>
      <c r="AH2077" s="6" t="s">
        <v>16626</v>
      </c>
      <c r="AI2077" s="6" t="s">
        <v>81</v>
      </c>
      <c r="AJ2077" s="6" t="s">
        <v>17334</v>
      </c>
      <c r="AK2077" s="6" t="s">
        <v>18383</v>
      </c>
      <c r="AL2077" s="6" t="s">
        <v>18444</v>
      </c>
      <c r="AM2077" s="6" t="s">
        <v>19304</v>
      </c>
      <c r="AN2077" s="6" t="s">
        <v>19683</v>
      </c>
      <c r="AO2077" s="6" t="s">
        <v>19751</v>
      </c>
      <c r="AP2077" s="6" t="s">
        <v>81</v>
      </c>
      <c r="AQ2077" s="6" t="s">
        <v>81</v>
      </c>
      <c r="AR2077" s="6" t="s">
        <v>81</v>
      </c>
      <c r="AS2077" s="6" t="s">
        <v>81</v>
      </c>
      <c r="AT2077" s="6" t="s">
        <v>81</v>
      </c>
      <c r="AU2077" s="6" t="s">
        <v>81</v>
      </c>
      <c r="AV2077" s="6" t="s">
        <v>81</v>
      </c>
      <c r="AW2077" s="6" t="s">
        <v>81</v>
      </c>
      <c r="AX2077" s="6" t="s">
        <v>22106</v>
      </c>
      <c r="AY2077" s="6" t="s">
        <v>81</v>
      </c>
      <c r="AZ2077" s="6" t="s">
        <v>81</v>
      </c>
      <c r="BA2077" s="6" t="s">
        <v>81</v>
      </c>
      <c r="BB2077" s="24" t="n">
        <v>183</v>
      </c>
      <c r="BC2077" s="26"/>
      <c r="BD2077" s="26"/>
      <c r="BE2077" s="26"/>
      <c r="BF2077" s="26"/>
      <c r="BG2077" s="26"/>
      <c r="BH2077" s="26"/>
      <c r="BI2077" s="26"/>
      <c r="BJ2077" s="26"/>
      <c r="BK2077" s="26"/>
      <c r="BL2077" s="26"/>
      <c r="BM2077" s="26"/>
      <c r="BN2077" s="26"/>
      <c r="BO2077" s="26"/>
      <c r="BP2077" s="16" t="n">
        <v>45701</v>
      </c>
      <c r="BQ2077" s="28" t="str">
        <f>HYPERLINK("https://organic.ams.usda.gov/Integrity/Certificate.aspx?cid=81&amp;nopid=4210012005")</f>
        <v>https://organic.ams.usda.gov/Integrity/Certificate.aspx?cid=81&amp;nopid=4210012005</v>
      </c>
    </row>
    <row r="2078">
      <c r="A2078" t="s">
        <v>3</v>
      </c>
      <c r="B2078" s="6" t="s">
        <v>16</v>
      </c>
      <c r="C2078" s="6" t="s">
        <v>63</v>
      </c>
      <c r="D2078" s="6" t="s">
        <v>109</v>
      </c>
      <c r="E2078" s="10" t="s">
        <v>2219</v>
      </c>
      <c r="F2078" s="6" t="s">
        <v>4932</v>
      </c>
      <c r="G2078" s="6" t="s">
        <v>81</v>
      </c>
      <c r="H2078" s="6" t="s">
        <v>7792</v>
      </c>
      <c r="I2078" s="6" t="s">
        <v>9233</v>
      </c>
      <c r="J2078" s="6" t="s">
        <v>10073</v>
      </c>
      <c r="K2078" s="6" t="s">
        <v>10886</v>
      </c>
      <c r="L2078" s="16" t="n">
        <v>42190</v>
      </c>
      <c r="M2078" s="16" t="n">
        <v>45731</v>
      </c>
      <c r="N2078" s="6" t="s">
        <v>10886</v>
      </c>
      <c r="O2078" s="16" t="n">
        <v>42190</v>
      </c>
      <c r="P2078" s="6" t="s">
        <v>11175</v>
      </c>
      <c r="Q2078" s="6" t="s">
        <v>81</v>
      </c>
      <c r="R2078" s="6" t="s">
        <v>81</v>
      </c>
      <c r="S2078" s="6" t="s">
        <v>10886</v>
      </c>
      <c r="T2078" s="16" t="n">
        <v>42190</v>
      </c>
      <c r="U2078" s="6" t="s">
        <v>13551</v>
      </c>
      <c r="V2078" s="6" t="s">
        <v>81</v>
      </c>
      <c r="W2078" s="6" t="s">
        <v>81</v>
      </c>
      <c r="X2078" s="6" t="s">
        <v>81</v>
      </c>
      <c r="Y2078" s="21" t="s">
        <v>81</v>
      </c>
      <c r="Z2078" s="6" t="s">
        <v>81</v>
      </c>
      <c r="AA2078" s="6" t="s">
        <v>81</v>
      </c>
      <c r="AB2078" s="6" t="s">
        <v>81</v>
      </c>
      <c r="AC2078" s="6" t="s">
        <v>10886</v>
      </c>
      <c r="AD2078" s="16" t="n">
        <v>42190</v>
      </c>
      <c r="AE2078" s="6" t="s">
        <v>81</v>
      </c>
      <c r="AF2078" s="6" t="s">
        <v>81</v>
      </c>
      <c r="AG2078" s="6" t="s">
        <v>81</v>
      </c>
      <c r="AH2078" s="6" t="s">
        <v>16627</v>
      </c>
      <c r="AI2078" s="6" t="s">
        <v>81</v>
      </c>
      <c r="AJ2078" s="6" t="s">
        <v>17552</v>
      </c>
      <c r="AK2078" s="6" t="s">
        <v>18383</v>
      </c>
      <c r="AL2078" s="6" t="s">
        <v>18444</v>
      </c>
      <c r="AM2078" s="6" t="s">
        <v>18715</v>
      </c>
      <c r="AN2078" s="6" t="s">
        <v>19651</v>
      </c>
      <c r="AO2078" s="6" t="s">
        <v>19721</v>
      </c>
      <c r="AP2078" s="6" t="s">
        <v>81</v>
      </c>
      <c r="AQ2078" s="6" t="s">
        <v>81</v>
      </c>
      <c r="AR2078" s="6" t="s">
        <v>81</v>
      </c>
      <c r="AS2078" s="6" t="s">
        <v>81</v>
      </c>
      <c r="AT2078" s="6" t="s">
        <v>81</v>
      </c>
      <c r="AU2078" s="6" t="s">
        <v>81</v>
      </c>
      <c r="AV2078" s="6" t="s">
        <v>81</v>
      </c>
      <c r="AW2078" s="6" t="s">
        <v>81</v>
      </c>
      <c r="AX2078" s="6" t="s">
        <v>22107</v>
      </c>
      <c r="AY2078" s="6" t="s">
        <v>81</v>
      </c>
      <c r="AZ2078" s="6" t="s">
        <v>81</v>
      </c>
      <c r="BA2078" s="6" t="s">
        <v>81</v>
      </c>
      <c r="BB2078" s="24" t="n">
        <v>193</v>
      </c>
      <c r="BC2078" s="26"/>
      <c r="BD2078" s="26"/>
      <c r="BE2078" s="26"/>
      <c r="BF2078" s="26"/>
      <c r="BG2078" s="26"/>
      <c r="BH2078" s="26"/>
      <c r="BI2078" s="26"/>
      <c r="BJ2078" s="26"/>
      <c r="BK2078" s="26"/>
      <c r="BL2078" s="26"/>
      <c r="BM2078" s="26"/>
      <c r="BN2078" s="26"/>
      <c r="BO2078" s="26"/>
      <c r="BP2078" s="16" t="n">
        <v>45701</v>
      </c>
      <c r="BQ2078" s="28" t="str">
        <f>HYPERLINK("https://organic.ams.usda.gov/Integrity/Certificate.aspx?cid=81&amp;nopid=4210015026")</f>
        <v>https://organic.ams.usda.gov/Integrity/Certificate.aspx?cid=81&amp;nopid=4210015026</v>
      </c>
    </row>
    <row r="2079">
      <c r="A2079" t="s">
        <v>3</v>
      </c>
      <c r="B2079" s="6" t="s">
        <v>16</v>
      </c>
      <c r="C2079" s="6" t="s">
        <v>63</v>
      </c>
      <c r="D2079" s="6" t="s">
        <v>109</v>
      </c>
      <c r="E2079" s="10" t="s">
        <v>2220</v>
      </c>
      <c r="F2079" s="6" t="s">
        <v>4933</v>
      </c>
      <c r="G2079" s="6" t="s">
        <v>81</v>
      </c>
      <c r="H2079" s="6" t="s">
        <v>7793</v>
      </c>
      <c r="I2079" s="6" t="s">
        <v>9007</v>
      </c>
      <c r="J2079" s="6" t="s">
        <v>10596</v>
      </c>
      <c r="K2079" s="6" t="s">
        <v>10886</v>
      </c>
      <c r="L2079" s="16" t="n">
        <v>38626</v>
      </c>
      <c r="M2079" s="16" t="n">
        <v>45731</v>
      </c>
      <c r="N2079" s="6" t="s">
        <v>10886</v>
      </c>
      <c r="O2079" s="16" t="n">
        <v>38626</v>
      </c>
      <c r="P2079" s="6" t="s">
        <v>12075</v>
      </c>
      <c r="Q2079" s="6" t="s">
        <v>81</v>
      </c>
      <c r="R2079" s="6" t="s">
        <v>81</v>
      </c>
      <c r="S2079" s="6" t="s">
        <v>10886</v>
      </c>
      <c r="T2079" s="16" t="n">
        <v>38626</v>
      </c>
      <c r="U2079" s="6" t="s">
        <v>13350</v>
      </c>
      <c r="V2079" s="6" t="s">
        <v>81</v>
      </c>
      <c r="W2079" s="6" t="s">
        <v>81</v>
      </c>
      <c r="X2079" s="6" t="s">
        <v>81</v>
      </c>
      <c r="Y2079" s="21" t="s">
        <v>81</v>
      </c>
      <c r="Z2079" s="6" t="s">
        <v>81</v>
      </c>
      <c r="AA2079" s="6" t="s">
        <v>81</v>
      </c>
      <c r="AB2079" s="6" t="s">
        <v>81</v>
      </c>
      <c r="AC2079" s="6" t="s">
        <v>10886</v>
      </c>
      <c r="AD2079" s="16" t="n">
        <v>38626</v>
      </c>
      <c r="AE2079" s="6" t="s">
        <v>14364</v>
      </c>
      <c r="AF2079" s="6" t="s">
        <v>81</v>
      </c>
      <c r="AG2079" s="6" t="s">
        <v>81</v>
      </c>
      <c r="AH2079" s="6" t="s">
        <v>16628</v>
      </c>
      <c r="AI2079" s="6" t="s">
        <v>81</v>
      </c>
      <c r="AJ2079" s="6" t="s">
        <v>18205</v>
      </c>
      <c r="AK2079" s="6" t="s">
        <v>18383</v>
      </c>
      <c r="AL2079" s="6" t="s">
        <v>18444</v>
      </c>
      <c r="AM2079" s="6" t="s">
        <v>19419</v>
      </c>
      <c r="AN2079" s="6" t="s">
        <v>19651</v>
      </c>
      <c r="AO2079" s="6" t="s">
        <v>19721</v>
      </c>
      <c r="AP2079" s="6" t="s">
        <v>81</v>
      </c>
      <c r="AQ2079" s="6" t="s">
        <v>81</v>
      </c>
      <c r="AR2079" s="6" t="s">
        <v>81</v>
      </c>
      <c r="AS2079" s="6" t="s">
        <v>81</v>
      </c>
      <c r="AT2079" s="6" t="s">
        <v>81</v>
      </c>
      <c r="AU2079" s="6" t="s">
        <v>81</v>
      </c>
      <c r="AV2079" s="6" t="s">
        <v>81</v>
      </c>
      <c r="AW2079" s="6" t="s">
        <v>81</v>
      </c>
      <c r="AX2079" s="6" t="s">
        <v>22108</v>
      </c>
      <c r="AY2079" s="6" t="s">
        <v>81</v>
      </c>
      <c r="AZ2079" s="6" t="s">
        <v>81</v>
      </c>
      <c r="BA2079" s="6" t="s">
        <v>81</v>
      </c>
      <c r="BB2079" s="24" t="n">
        <v>780</v>
      </c>
      <c r="BC2079" s="26"/>
      <c r="BD2079" s="26"/>
      <c r="BE2079" s="26"/>
      <c r="BF2079" s="26"/>
      <c r="BG2079" s="26"/>
      <c r="BH2079" s="26"/>
      <c r="BI2079" s="26"/>
      <c r="BJ2079" s="26"/>
      <c r="BK2079" s="26"/>
      <c r="BL2079" s="26"/>
      <c r="BM2079" s="26"/>
      <c r="BN2079" s="26"/>
      <c r="BO2079" s="26"/>
      <c r="BP2079" s="16" t="n">
        <v>45701</v>
      </c>
      <c r="BQ2079" s="28" t="str">
        <f>HYPERLINK("https://organic.ams.usda.gov/Integrity/Certificate.aspx?cid=81&amp;nopid=4210005050")</f>
        <v>https://organic.ams.usda.gov/Integrity/Certificate.aspx?cid=81&amp;nopid=4210005050</v>
      </c>
    </row>
    <row r="2080">
      <c r="A2080" t="s">
        <v>3</v>
      </c>
      <c r="B2080" s="6" t="s">
        <v>16</v>
      </c>
      <c r="C2080" s="6" t="s">
        <v>63</v>
      </c>
      <c r="D2080" s="6" t="s">
        <v>109</v>
      </c>
      <c r="E2080" s="10" t="s">
        <v>2221</v>
      </c>
      <c r="F2080" s="6" t="s">
        <v>4934</v>
      </c>
      <c r="G2080" s="6" t="s">
        <v>81</v>
      </c>
      <c r="H2080" s="6" t="s">
        <v>7794</v>
      </c>
      <c r="I2080" s="6" t="s">
        <v>8514</v>
      </c>
      <c r="J2080" s="6" t="s">
        <v>10597</v>
      </c>
      <c r="K2080" s="6" t="s">
        <v>10886</v>
      </c>
      <c r="L2080" s="16" t="n">
        <v>39228</v>
      </c>
      <c r="M2080" s="16" t="n">
        <v>45731</v>
      </c>
      <c r="N2080" s="6" t="s">
        <v>10886</v>
      </c>
      <c r="O2080" s="16" t="n">
        <v>39228</v>
      </c>
      <c r="P2080" s="6" t="s">
        <v>11564</v>
      </c>
      <c r="Q2080" s="6" t="s">
        <v>81</v>
      </c>
      <c r="R2080" s="6" t="s">
        <v>81</v>
      </c>
      <c r="S2080" s="6" t="s">
        <v>10886</v>
      </c>
      <c r="T2080" s="16" t="n">
        <v>39228</v>
      </c>
      <c r="U2080" s="6" t="s">
        <v>13506</v>
      </c>
      <c r="V2080" s="6" t="s">
        <v>81</v>
      </c>
      <c r="W2080" s="6" t="s">
        <v>81</v>
      </c>
      <c r="X2080" s="6" t="s">
        <v>81</v>
      </c>
      <c r="Y2080" s="21" t="s">
        <v>81</v>
      </c>
      <c r="Z2080" s="6" t="s">
        <v>81</v>
      </c>
      <c r="AA2080" s="6" t="s">
        <v>81</v>
      </c>
      <c r="AB2080" s="6" t="s">
        <v>81</v>
      </c>
      <c r="AC2080" s="6" t="s">
        <v>10886</v>
      </c>
      <c r="AD2080" s="16" t="n">
        <v>39228</v>
      </c>
      <c r="AE2080" s="6" t="s">
        <v>81</v>
      </c>
      <c r="AF2080" s="6" t="s">
        <v>81</v>
      </c>
      <c r="AG2080" s="6" t="s">
        <v>81</v>
      </c>
      <c r="AH2080" s="6" t="s">
        <v>16629</v>
      </c>
      <c r="AI2080" s="6" t="s">
        <v>81</v>
      </c>
      <c r="AJ2080" s="6" t="s">
        <v>18180</v>
      </c>
      <c r="AK2080" s="6" t="s">
        <v>18383</v>
      </c>
      <c r="AL2080" s="6" t="s">
        <v>18444</v>
      </c>
      <c r="AM2080" s="6" t="s">
        <v>19389</v>
      </c>
      <c r="AN2080" s="6" t="s">
        <v>19646</v>
      </c>
      <c r="AO2080" s="6" t="s">
        <v>19841</v>
      </c>
      <c r="AP2080" s="6" t="s">
        <v>20386</v>
      </c>
      <c r="AQ2080" s="6" t="s">
        <v>81</v>
      </c>
      <c r="AR2080" s="6" t="s">
        <v>18180</v>
      </c>
      <c r="AS2080" s="6" t="s">
        <v>18383</v>
      </c>
      <c r="AT2080" s="6" t="s">
        <v>18444</v>
      </c>
      <c r="AU2080" s="6" t="s">
        <v>19389</v>
      </c>
      <c r="AV2080" s="6" t="s">
        <v>81</v>
      </c>
      <c r="AW2080" s="6" t="s">
        <v>81</v>
      </c>
      <c r="AX2080" s="6" t="s">
        <v>22109</v>
      </c>
      <c r="AY2080" s="6" t="s">
        <v>81</v>
      </c>
      <c r="AZ2080" s="6" t="s">
        <v>81</v>
      </c>
      <c r="BA2080" s="6" t="s">
        <v>81</v>
      </c>
      <c r="BB2080" s="24" t="n">
        <v>418</v>
      </c>
      <c r="BC2080" s="26"/>
      <c r="BD2080" s="26"/>
      <c r="BE2080" s="26"/>
      <c r="BF2080" s="26"/>
      <c r="BG2080" s="26"/>
      <c r="BH2080" s="26"/>
      <c r="BI2080" s="26"/>
      <c r="BJ2080" s="26"/>
      <c r="BK2080" s="26"/>
      <c r="BL2080" s="26"/>
      <c r="BM2080" s="26"/>
      <c r="BN2080" s="26"/>
      <c r="BO2080" s="26"/>
      <c r="BP2080" s="16" t="n">
        <v>45701</v>
      </c>
      <c r="BQ2080" s="28" t="str">
        <f>HYPERLINK("https://organic.ams.usda.gov/Integrity/Certificate.aspx?cid=81&amp;nopid=4210007052")</f>
        <v>https://organic.ams.usda.gov/Integrity/Certificate.aspx?cid=81&amp;nopid=4210007052</v>
      </c>
    </row>
    <row r="2081">
      <c r="A2081" t="s">
        <v>3</v>
      </c>
      <c r="B2081" s="6" t="s">
        <v>16</v>
      </c>
      <c r="C2081" s="6" t="s">
        <v>63</v>
      </c>
      <c r="D2081" s="6" t="s">
        <v>109</v>
      </c>
      <c r="E2081" s="10" t="s">
        <v>2222</v>
      </c>
      <c r="F2081" s="6" t="s">
        <v>4935</v>
      </c>
      <c r="G2081" s="6" t="s">
        <v>81</v>
      </c>
      <c r="H2081" s="6" t="s">
        <v>7795</v>
      </c>
      <c r="I2081" s="6" t="s">
        <v>8514</v>
      </c>
      <c r="J2081" s="6" t="s">
        <v>10598</v>
      </c>
      <c r="K2081" s="6" t="s">
        <v>10886</v>
      </c>
      <c r="L2081" s="16" t="n">
        <v>37582</v>
      </c>
      <c r="M2081" s="16" t="n">
        <v>45731</v>
      </c>
      <c r="N2081" s="6" t="s">
        <v>10886</v>
      </c>
      <c r="O2081" s="16" t="n">
        <v>37582</v>
      </c>
      <c r="P2081" s="6" t="s">
        <v>11130</v>
      </c>
      <c r="Q2081" s="6" t="s">
        <v>81</v>
      </c>
      <c r="R2081" s="6" t="s">
        <v>81</v>
      </c>
      <c r="S2081" s="6" t="s">
        <v>10886</v>
      </c>
      <c r="T2081" s="16" t="n">
        <v>37582</v>
      </c>
      <c r="U2081" s="6" t="s">
        <v>13281</v>
      </c>
      <c r="V2081" s="6" t="s">
        <v>81</v>
      </c>
      <c r="W2081" s="6" t="s">
        <v>81</v>
      </c>
      <c r="X2081" s="6" t="s">
        <v>81</v>
      </c>
      <c r="Y2081" s="21" t="s">
        <v>81</v>
      </c>
      <c r="Z2081" s="6" t="s">
        <v>81</v>
      </c>
      <c r="AA2081" s="6" t="s">
        <v>81</v>
      </c>
      <c r="AB2081" s="6" t="s">
        <v>81</v>
      </c>
      <c r="AC2081" s="6" t="s">
        <v>10886</v>
      </c>
      <c r="AD2081" s="16" t="n">
        <v>37582</v>
      </c>
      <c r="AE2081" s="6" t="s">
        <v>81</v>
      </c>
      <c r="AF2081" s="6" t="s">
        <v>81</v>
      </c>
      <c r="AG2081" s="6" t="s">
        <v>81</v>
      </c>
      <c r="AH2081" s="6" t="s">
        <v>16630</v>
      </c>
      <c r="AI2081" s="6" t="s">
        <v>81</v>
      </c>
      <c r="AJ2081" s="6" t="s">
        <v>17334</v>
      </c>
      <c r="AK2081" s="6" t="s">
        <v>18383</v>
      </c>
      <c r="AL2081" s="6" t="s">
        <v>18444</v>
      </c>
      <c r="AM2081" s="6" t="s">
        <v>19304</v>
      </c>
      <c r="AN2081" s="6" t="s">
        <v>19683</v>
      </c>
      <c r="AO2081" s="6" t="s">
        <v>19751</v>
      </c>
      <c r="AP2081" s="6" t="s">
        <v>81</v>
      </c>
      <c r="AQ2081" s="6" t="s">
        <v>81</v>
      </c>
      <c r="AR2081" s="6" t="s">
        <v>81</v>
      </c>
      <c r="AS2081" s="6" t="s">
        <v>81</v>
      </c>
      <c r="AT2081" s="6" t="s">
        <v>81</v>
      </c>
      <c r="AU2081" s="6" t="s">
        <v>81</v>
      </c>
      <c r="AV2081" s="6" t="s">
        <v>81</v>
      </c>
      <c r="AW2081" s="6" t="s">
        <v>81</v>
      </c>
      <c r="AX2081" s="6" t="s">
        <v>22110</v>
      </c>
      <c r="AY2081" s="6" t="s">
        <v>81</v>
      </c>
      <c r="AZ2081" s="6" t="s">
        <v>81</v>
      </c>
      <c r="BA2081" s="6" t="s">
        <v>81</v>
      </c>
      <c r="BB2081" s="24" t="n">
        <v>305</v>
      </c>
      <c r="BC2081" s="26"/>
      <c r="BD2081" s="26"/>
      <c r="BE2081" s="26"/>
      <c r="BF2081" s="26"/>
      <c r="BG2081" s="26"/>
      <c r="BH2081" s="26"/>
      <c r="BI2081" s="26"/>
      <c r="BJ2081" s="26"/>
      <c r="BK2081" s="26"/>
      <c r="BL2081" s="26"/>
      <c r="BM2081" s="26"/>
      <c r="BN2081" s="26"/>
      <c r="BO2081" s="26"/>
      <c r="BP2081" s="16" t="n">
        <v>45701</v>
      </c>
      <c r="BQ2081" s="28" t="str">
        <f>HYPERLINK("https://organic.ams.usda.gov/Integrity/Certificate.aspx?cid=81&amp;nopid=4210002039")</f>
        <v>https://organic.ams.usda.gov/Integrity/Certificate.aspx?cid=81&amp;nopid=4210002039</v>
      </c>
    </row>
    <row r="2082">
      <c r="A2082" t="s">
        <v>3</v>
      </c>
      <c r="B2082" s="6" t="s">
        <v>16</v>
      </c>
      <c r="C2082" s="6" t="s">
        <v>63</v>
      </c>
      <c r="D2082" s="6" t="s">
        <v>109</v>
      </c>
      <c r="E2082" s="10" t="s">
        <v>2223</v>
      </c>
      <c r="F2082" s="6" t="s">
        <v>4936</v>
      </c>
      <c r="G2082" s="6" t="s">
        <v>81</v>
      </c>
      <c r="H2082" s="6" t="s">
        <v>7796</v>
      </c>
      <c r="I2082" s="6" t="s">
        <v>8590</v>
      </c>
      <c r="J2082" s="6" t="s">
        <v>10599</v>
      </c>
      <c r="K2082" s="6" t="s">
        <v>10886</v>
      </c>
      <c r="L2082" s="16" t="n">
        <v>38991</v>
      </c>
      <c r="M2082" s="16" t="n">
        <v>45731</v>
      </c>
      <c r="N2082" s="6" t="s">
        <v>10886</v>
      </c>
      <c r="O2082" s="16" t="n">
        <v>38991</v>
      </c>
      <c r="P2082" s="6" t="s">
        <v>12076</v>
      </c>
      <c r="Q2082" s="6" t="s">
        <v>81</v>
      </c>
      <c r="R2082" s="6" t="s">
        <v>81</v>
      </c>
      <c r="S2082" s="6" t="s">
        <v>10886</v>
      </c>
      <c r="T2082" s="16" t="n">
        <v>38991</v>
      </c>
      <c r="U2082" s="6" t="s">
        <v>13551</v>
      </c>
      <c r="V2082" s="6" t="s">
        <v>81</v>
      </c>
      <c r="W2082" s="6" t="s">
        <v>81</v>
      </c>
      <c r="X2082" s="6" t="s">
        <v>81</v>
      </c>
      <c r="Y2082" s="21" t="s">
        <v>81</v>
      </c>
      <c r="Z2082" s="6" t="s">
        <v>81</v>
      </c>
      <c r="AA2082" s="6" t="s">
        <v>81</v>
      </c>
      <c r="AB2082" s="6" t="s">
        <v>81</v>
      </c>
      <c r="AC2082" s="6" t="s">
        <v>10886</v>
      </c>
      <c r="AD2082" s="16" t="n">
        <v>38991</v>
      </c>
      <c r="AE2082" s="6" t="s">
        <v>81</v>
      </c>
      <c r="AF2082" s="6" t="s">
        <v>81</v>
      </c>
      <c r="AG2082" s="6" t="s">
        <v>81</v>
      </c>
      <c r="AH2082" s="6" t="s">
        <v>16631</v>
      </c>
      <c r="AI2082" s="6" t="s">
        <v>81</v>
      </c>
      <c r="AJ2082" s="6" t="s">
        <v>17466</v>
      </c>
      <c r="AK2082" s="6" t="s">
        <v>18383</v>
      </c>
      <c r="AL2082" s="6" t="s">
        <v>18444</v>
      </c>
      <c r="AM2082" s="6" t="s">
        <v>19420</v>
      </c>
      <c r="AN2082" s="6" t="s">
        <v>19655</v>
      </c>
      <c r="AO2082" s="6" t="s">
        <v>19886</v>
      </c>
      <c r="AP2082" s="6" t="s">
        <v>81</v>
      </c>
      <c r="AQ2082" s="6" t="s">
        <v>81</v>
      </c>
      <c r="AR2082" s="6" t="s">
        <v>81</v>
      </c>
      <c r="AS2082" s="6" t="s">
        <v>81</v>
      </c>
      <c r="AT2082" s="6" t="s">
        <v>81</v>
      </c>
      <c r="AU2082" s="6" t="s">
        <v>81</v>
      </c>
      <c r="AV2082" s="6" t="s">
        <v>81</v>
      </c>
      <c r="AW2082" s="6" t="s">
        <v>81</v>
      </c>
      <c r="AX2082" s="6" t="s">
        <v>22111</v>
      </c>
      <c r="AY2082" s="6" t="s">
        <v>81</v>
      </c>
      <c r="AZ2082" s="6" t="s">
        <v>81</v>
      </c>
      <c r="BA2082" s="6" t="s">
        <v>81</v>
      </c>
      <c r="BB2082" s="24" t="n">
        <v>212</v>
      </c>
      <c r="BC2082" s="26"/>
      <c r="BD2082" s="26"/>
      <c r="BE2082" s="26"/>
      <c r="BF2082" s="26"/>
      <c r="BG2082" s="26"/>
      <c r="BH2082" s="26"/>
      <c r="BI2082" s="26"/>
      <c r="BJ2082" s="26"/>
      <c r="BK2082" s="26"/>
      <c r="BL2082" s="26"/>
      <c r="BM2082" s="26"/>
      <c r="BN2082" s="26"/>
      <c r="BO2082" s="26"/>
      <c r="BP2082" s="16" t="n">
        <v>45701</v>
      </c>
      <c r="BQ2082" s="28" t="str">
        <f>HYPERLINK("https://organic.ams.usda.gov/Integrity/Certificate.aspx?cid=81&amp;nopid=4210006059")</f>
        <v>https://organic.ams.usda.gov/Integrity/Certificate.aspx?cid=81&amp;nopid=4210006059</v>
      </c>
    </row>
    <row r="2083">
      <c r="A2083" t="s">
        <v>3</v>
      </c>
      <c r="B2083" s="6" t="s">
        <v>16</v>
      </c>
      <c r="C2083" s="6" t="s">
        <v>63</v>
      </c>
      <c r="D2083" s="6" t="s">
        <v>109</v>
      </c>
      <c r="E2083" s="10" t="s">
        <v>2224</v>
      </c>
      <c r="F2083" s="6" t="s">
        <v>4937</v>
      </c>
      <c r="G2083" s="6" t="s">
        <v>5805</v>
      </c>
      <c r="H2083" s="6" t="s">
        <v>7797</v>
      </c>
      <c r="I2083" s="6" t="s">
        <v>9402</v>
      </c>
      <c r="J2083" s="6" t="s">
        <v>10088</v>
      </c>
      <c r="K2083" s="6" t="s">
        <v>10886</v>
      </c>
      <c r="L2083" s="16" t="n">
        <v>44250</v>
      </c>
      <c r="M2083" s="16" t="n">
        <v>45731</v>
      </c>
      <c r="N2083" s="6" t="s">
        <v>10886</v>
      </c>
      <c r="O2083" s="16" t="n">
        <v>44250</v>
      </c>
      <c r="P2083" s="6" t="s">
        <v>10946</v>
      </c>
      <c r="Q2083" s="6" t="s">
        <v>81</v>
      </c>
      <c r="R2083" s="6" t="s">
        <v>81</v>
      </c>
      <c r="S2083" s="6" t="s">
        <v>10886</v>
      </c>
      <c r="T2083" s="16" t="n">
        <v>44250</v>
      </c>
      <c r="U2083" s="6" t="s">
        <v>13473</v>
      </c>
      <c r="V2083" s="6" t="s">
        <v>81</v>
      </c>
      <c r="W2083" s="6" t="s">
        <v>81</v>
      </c>
      <c r="X2083" s="6" t="s">
        <v>81</v>
      </c>
      <c r="Y2083" s="21" t="s">
        <v>81</v>
      </c>
      <c r="Z2083" s="6" t="s">
        <v>81</v>
      </c>
      <c r="AA2083" s="6" t="s">
        <v>81</v>
      </c>
      <c r="AB2083" s="6" t="s">
        <v>81</v>
      </c>
      <c r="AC2083" s="6" t="s">
        <v>10886</v>
      </c>
      <c r="AD2083" s="16" t="n">
        <v>44250</v>
      </c>
      <c r="AE2083" s="6" t="s">
        <v>81</v>
      </c>
      <c r="AF2083" s="6" t="s">
        <v>81</v>
      </c>
      <c r="AG2083" s="6" t="s">
        <v>81</v>
      </c>
      <c r="AH2083" s="6" t="s">
        <v>16632</v>
      </c>
      <c r="AI2083" s="6" t="s">
        <v>81</v>
      </c>
      <c r="AJ2083" s="6" t="s">
        <v>17777</v>
      </c>
      <c r="AK2083" s="6" t="s">
        <v>18383</v>
      </c>
      <c r="AL2083" s="6" t="s">
        <v>18444</v>
      </c>
      <c r="AM2083" s="6" t="s">
        <v>18949</v>
      </c>
      <c r="AN2083" s="6" t="s">
        <v>19653</v>
      </c>
      <c r="AO2083" s="6" t="s">
        <v>19928</v>
      </c>
      <c r="AP2083" s="6" t="s">
        <v>81</v>
      </c>
      <c r="AQ2083" s="6" t="s">
        <v>81</v>
      </c>
      <c r="AR2083" s="6" t="s">
        <v>81</v>
      </c>
      <c r="AS2083" s="6" t="s">
        <v>81</v>
      </c>
      <c r="AT2083" s="6" t="s">
        <v>81</v>
      </c>
      <c r="AU2083" s="6" t="s">
        <v>81</v>
      </c>
      <c r="AV2083" s="6" t="s">
        <v>81</v>
      </c>
      <c r="AW2083" s="6" t="s">
        <v>81</v>
      </c>
      <c r="AX2083" s="6" t="s">
        <v>22112</v>
      </c>
      <c r="AY2083" s="6" t="s">
        <v>81</v>
      </c>
      <c r="AZ2083" s="6" t="s">
        <v>81</v>
      </c>
      <c r="BA2083" s="6" t="s">
        <v>81</v>
      </c>
      <c r="BB2083" s="24" t="n">
        <v>0</v>
      </c>
      <c r="BC2083" s="26"/>
      <c r="BD2083" s="26"/>
      <c r="BE2083" s="26"/>
      <c r="BF2083" s="26"/>
      <c r="BG2083" s="26"/>
      <c r="BH2083" s="26"/>
      <c r="BI2083" s="26"/>
      <c r="BJ2083" s="26"/>
      <c r="BK2083" s="26"/>
      <c r="BL2083" s="26"/>
      <c r="BM2083" s="26"/>
      <c r="BN2083" s="26"/>
      <c r="BO2083" s="26"/>
      <c r="BP2083" s="16" t="n">
        <v>45701</v>
      </c>
      <c r="BQ2083" s="28" t="str">
        <f>HYPERLINK("https://organic.ams.usda.gov/Integrity/Certificate.aspx?cid=81&amp;nopid=4212021022")</f>
        <v>https://organic.ams.usda.gov/Integrity/Certificate.aspx?cid=81&amp;nopid=4212021022</v>
      </c>
    </row>
    <row r="2084">
      <c r="A2084" t="s">
        <v>3</v>
      </c>
      <c r="B2084" s="6" t="s">
        <v>16</v>
      </c>
      <c r="C2084" s="6" t="s">
        <v>63</v>
      </c>
      <c r="D2084" s="6" t="s">
        <v>109</v>
      </c>
      <c r="E2084" s="10" t="s">
        <v>2225</v>
      </c>
      <c r="F2084" s="6" t="s">
        <v>4938</v>
      </c>
      <c r="G2084" s="6" t="s">
        <v>81</v>
      </c>
      <c r="H2084" s="6" t="s">
        <v>7798</v>
      </c>
      <c r="I2084" s="6" t="s">
        <v>9403</v>
      </c>
      <c r="J2084" s="6" t="s">
        <v>10600</v>
      </c>
      <c r="K2084" s="6" t="s">
        <v>10886</v>
      </c>
      <c r="L2084" s="16" t="n">
        <v>41210</v>
      </c>
      <c r="M2084" s="16" t="n">
        <v>45731</v>
      </c>
      <c r="N2084" s="6" t="s">
        <v>10886</v>
      </c>
      <c r="O2084" s="16" t="n">
        <v>41210</v>
      </c>
      <c r="P2084" s="6" t="s">
        <v>12077</v>
      </c>
      <c r="Q2084" s="6" t="s">
        <v>81</v>
      </c>
      <c r="R2084" s="6" t="s">
        <v>81</v>
      </c>
      <c r="S2084" s="6" t="s">
        <v>10886</v>
      </c>
      <c r="T2084" s="16" t="n">
        <v>41210</v>
      </c>
      <c r="U2084" s="6" t="s">
        <v>13281</v>
      </c>
      <c r="V2084" s="6" t="s">
        <v>81</v>
      </c>
      <c r="W2084" s="6" t="s">
        <v>81</v>
      </c>
      <c r="X2084" s="6" t="s">
        <v>10886</v>
      </c>
      <c r="Y2084" s="16" t="n">
        <v>41210</v>
      </c>
      <c r="Z2084" s="6" t="s">
        <v>13989</v>
      </c>
      <c r="AA2084" s="6" t="s">
        <v>81</v>
      </c>
      <c r="AB2084" s="6" t="s">
        <v>81</v>
      </c>
      <c r="AC2084" s="6" t="s">
        <v>10886</v>
      </c>
      <c r="AD2084" s="16" t="n">
        <v>41210</v>
      </c>
      <c r="AE2084" s="6" t="s">
        <v>14365</v>
      </c>
      <c r="AF2084" s="6" t="s">
        <v>81</v>
      </c>
      <c r="AG2084" s="6" t="s">
        <v>81</v>
      </c>
      <c r="AH2084" s="6" t="s">
        <v>16633</v>
      </c>
      <c r="AI2084" s="6" t="s">
        <v>81</v>
      </c>
      <c r="AJ2084" s="6" t="s">
        <v>17466</v>
      </c>
      <c r="AK2084" s="6" t="s">
        <v>18383</v>
      </c>
      <c r="AL2084" s="6" t="s">
        <v>18444</v>
      </c>
      <c r="AM2084" s="6" t="s">
        <v>19420</v>
      </c>
      <c r="AN2084" s="6" t="s">
        <v>81</v>
      </c>
      <c r="AO2084" s="6" t="s">
        <v>81</v>
      </c>
      <c r="AP2084" s="6" t="s">
        <v>20387</v>
      </c>
      <c r="AQ2084" s="6" t="s">
        <v>81</v>
      </c>
      <c r="AR2084" s="6" t="s">
        <v>17466</v>
      </c>
      <c r="AS2084" s="6" t="s">
        <v>18383</v>
      </c>
      <c r="AT2084" s="6" t="s">
        <v>18444</v>
      </c>
      <c r="AU2084" s="6" t="s">
        <v>19420</v>
      </c>
      <c r="AV2084" s="6" t="s">
        <v>81</v>
      </c>
      <c r="AW2084" s="6" t="s">
        <v>81</v>
      </c>
      <c r="AX2084" s="6" t="s">
        <v>22113</v>
      </c>
      <c r="AY2084" s="6" t="s">
        <v>81</v>
      </c>
      <c r="AZ2084" s="6" t="s">
        <v>81</v>
      </c>
      <c r="BA2084" s="6" t="s">
        <v>81</v>
      </c>
      <c r="BB2084" s="24" t="n">
        <v>675</v>
      </c>
      <c r="BC2084" s="26"/>
      <c r="BD2084" s="26"/>
      <c r="BE2084" s="26"/>
      <c r="BF2084" s="26"/>
      <c r="BG2084" s="26"/>
      <c r="BH2084" s="26"/>
      <c r="BI2084" s="26"/>
      <c r="BJ2084" s="26"/>
      <c r="BK2084" s="26"/>
      <c r="BL2084" s="26"/>
      <c r="BM2084" s="26"/>
      <c r="BN2084" s="26"/>
      <c r="BO2084" s="26"/>
      <c r="BP2084" s="16" t="n">
        <v>45701</v>
      </c>
      <c r="BQ2084" s="28" t="str">
        <f>HYPERLINK("https://organic.ams.usda.gov/Integrity/Certificate.aspx?cid=81&amp;nopid=4210012044")</f>
        <v>https://organic.ams.usda.gov/Integrity/Certificate.aspx?cid=81&amp;nopid=4210012044</v>
      </c>
    </row>
    <row r="2085">
      <c r="A2085" t="s">
        <v>3</v>
      </c>
      <c r="B2085" s="6" t="s">
        <v>16</v>
      </c>
      <c r="C2085" s="6" t="s">
        <v>63</v>
      </c>
      <c r="D2085" s="6" t="s">
        <v>109</v>
      </c>
      <c r="E2085" s="10" t="s">
        <v>2226</v>
      </c>
      <c r="F2085" s="6" t="s">
        <v>4939</v>
      </c>
      <c r="G2085" s="6" t="s">
        <v>81</v>
      </c>
      <c r="H2085" s="6" t="s">
        <v>7799</v>
      </c>
      <c r="I2085" s="6" t="s">
        <v>8529</v>
      </c>
      <c r="J2085" s="6" t="s">
        <v>10601</v>
      </c>
      <c r="K2085" s="6" t="s">
        <v>10886</v>
      </c>
      <c r="L2085" s="16" t="n">
        <v>38883</v>
      </c>
      <c r="M2085" s="16" t="n">
        <v>45731</v>
      </c>
      <c r="N2085" s="6" t="s">
        <v>10886</v>
      </c>
      <c r="O2085" s="16" t="n">
        <v>38883</v>
      </c>
      <c r="P2085" s="6" t="s">
        <v>12076</v>
      </c>
      <c r="Q2085" s="6" t="s">
        <v>81</v>
      </c>
      <c r="R2085" s="6" t="s">
        <v>81</v>
      </c>
      <c r="S2085" s="6" t="s">
        <v>10886</v>
      </c>
      <c r="T2085" s="16" t="n">
        <v>38883</v>
      </c>
      <c r="U2085" s="6" t="s">
        <v>13790</v>
      </c>
      <c r="V2085" s="6" t="s">
        <v>81</v>
      </c>
      <c r="W2085" s="6" t="s">
        <v>81</v>
      </c>
      <c r="X2085" s="6" t="s">
        <v>81</v>
      </c>
      <c r="Y2085" s="21" t="s">
        <v>81</v>
      </c>
      <c r="Z2085" s="6" t="s">
        <v>81</v>
      </c>
      <c r="AA2085" s="6" t="s">
        <v>81</v>
      </c>
      <c r="AB2085" s="6" t="s">
        <v>81</v>
      </c>
      <c r="AC2085" s="6" t="s">
        <v>10886</v>
      </c>
      <c r="AD2085" s="16" t="n">
        <v>45449</v>
      </c>
      <c r="AE2085" s="6" t="s">
        <v>14065</v>
      </c>
      <c r="AF2085" s="6" t="s">
        <v>81</v>
      </c>
      <c r="AG2085" s="6" t="s">
        <v>81</v>
      </c>
      <c r="AH2085" s="6" t="s">
        <v>16634</v>
      </c>
      <c r="AI2085" s="6" t="s">
        <v>81</v>
      </c>
      <c r="AJ2085" s="6" t="s">
        <v>18188</v>
      </c>
      <c r="AK2085" s="6" t="s">
        <v>18383</v>
      </c>
      <c r="AL2085" s="6" t="s">
        <v>18444</v>
      </c>
      <c r="AM2085" s="6" t="s">
        <v>19399</v>
      </c>
      <c r="AN2085" s="6" t="s">
        <v>19683</v>
      </c>
      <c r="AO2085" s="6" t="s">
        <v>19751</v>
      </c>
      <c r="AP2085" s="6" t="s">
        <v>81</v>
      </c>
      <c r="AQ2085" s="6" t="s">
        <v>81</v>
      </c>
      <c r="AR2085" s="6" t="s">
        <v>81</v>
      </c>
      <c r="AS2085" s="6" t="s">
        <v>81</v>
      </c>
      <c r="AT2085" s="6" t="s">
        <v>81</v>
      </c>
      <c r="AU2085" s="6" t="s">
        <v>81</v>
      </c>
      <c r="AV2085" s="6" t="s">
        <v>81</v>
      </c>
      <c r="AW2085" s="6" t="s">
        <v>81</v>
      </c>
      <c r="AX2085" s="6" t="s">
        <v>22114</v>
      </c>
      <c r="AY2085" s="6" t="s">
        <v>81</v>
      </c>
      <c r="AZ2085" s="6" t="s">
        <v>81</v>
      </c>
      <c r="BA2085" s="6" t="s">
        <v>81</v>
      </c>
      <c r="BB2085" s="24" t="n">
        <v>110</v>
      </c>
      <c r="BC2085" s="26"/>
      <c r="BD2085" s="26"/>
      <c r="BE2085" s="26"/>
      <c r="BF2085" s="26"/>
      <c r="BG2085" s="26"/>
      <c r="BH2085" s="26"/>
      <c r="BI2085" s="26"/>
      <c r="BJ2085" s="26"/>
      <c r="BK2085" s="26"/>
      <c r="BL2085" s="26"/>
      <c r="BM2085" s="26"/>
      <c r="BN2085" s="26"/>
      <c r="BO2085" s="26"/>
      <c r="BP2085" s="16" t="n">
        <v>45701</v>
      </c>
      <c r="BQ2085" s="28" t="str">
        <f>HYPERLINK("https://organic.ams.usda.gov/Integrity/Certificate.aspx?cid=81&amp;nopid=4210006023")</f>
        <v>https://organic.ams.usda.gov/Integrity/Certificate.aspx?cid=81&amp;nopid=4210006023</v>
      </c>
    </row>
    <row r="2086">
      <c r="A2086" t="s">
        <v>3</v>
      </c>
      <c r="B2086" s="6" t="s">
        <v>16</v>
      </c>
      <c r="C2086" s="6" t="s">
        <v>63</v>
      </c>
      <c r="D2086" s="6" t="s">
        <v>109</v>
      </c>
      <c r="E2086" s="10" t="s">
        <v>2227</v>
      </c>
      <c r="F2086" s="6" t="s">
        <v>4940</v>
      </c>
      <c r="G2086" s="6" t="s">
        <v>5806</v>
      </c>
      <c r="H2086" s="6" t="s">
        <v>7800</v>
      </c>
      <c r="I2086" s="6" t="s">
        <v>8529</v>
      </c>
      <c r="J2086" s="6" t="s">
        <v>10602</v>
      </c>
      <c r="K2086" s="6" t="s">
        <v>10886</v>
      </c>
      <c r="L2086" s="16" t="n">
        <v>37575</v>
      </c>
      <c r="M2086" s="16" t="n">
        <v>45731</v>
      </c>
      <c r="N2086" s="6" t="s">
        <v>10886</v>
      </c>
      <c r="O2086" s="16" t="n">
        <v>37575</v>
      </c>
      <c r="P2086" s="6" t="s">
        <v>12078</v>
      </c>
      <c r="Q2086" s="6" t="s">
        <v>81</v>
      </c>
      <c r="R2086" s="6" t="s">
        <v>81</v>
      </c>
      <c r="S2086" s="6" t="s">
        <v>10886</v>
      </c>
      <c r="T2086" s="16" t="n">
        <v>37575</v>
      </c>
      <c r="U2086" s="6" t="s">
        <v>13788</v>
      </c>
      <c r="V2086" s="6" t="s">
        <v>81</v>
      </c>
      <c r="W2086" s="6" t="s">
        <v>81</v>
      </c>
      <c r="X2086" s="6" t="s">
        <v>81</v>
      </c>
      <c r="Y2086" s="21" t="s">
        <v>81</v>
      </c>
      <c r="Z2086" s="6" t="s">
        <v>81</v>
      </c>
      <c r="AA2086" s="6" t="s">
        <v>81</v>
      </c>
      <c r="AB2086" s="6" t="s">
        <v>81</v>
      </c>
      <c r="AC2086" s="6" t="s">
        <v>10886</v>
      </c>
      <c r="AD2086" s="16" t="n">
        <v>37575</v>
      </c>
      <c r="AE2086" s="6" t="s">
        <v>14065</v>
      </c>
      <c r="AF2086" s="6" t="s">
        <v>81</v>
      </c>
      <c r="AG2086" s="6" t="s">
        <v>81</v>
      </c>
      <c r="AH2086" s="6" t="s">
        <v>16635</v>
      </c>
      <c r="AI2086" s="6" t="s">
        <v>81</v>
      </c>
      <c r="AJ2086" s="6" t="s">
        <v>17552</v>
      </c>
      <c r="AK2086" s="6" t="s">
        <v>18383</v>
      </c>
      <c r="AL2086" s="6" t="s">
        <v>18444</v>
      </c>
      <c r="AM2086" s="6" t="s">
        <v>18715</v>
      </c>
      <c r="AN2086" s="6" t="s">
        <v>19651</v>
      </c>
      <c r="AO2086" s="6" t="s">
        <v>19721</v>
      </c>
      <c r="AP2086" s="6" t="s">
        <v>81</v>
      </c>
      <c r="AQ2086" s="6" t="s">
        <v>81</v>
      </c>
      <c r="AR2086" s="6" t="s">
        <v>81</v>
      </c>
      <c r="AS2086" s="6" t="s">
        <v>81</v>
      </c>
      <c r="AT2086" s="6" t="s">
        <v>81</v>
      </c>
      <c r="AU2086" s="6" t="s">
        <v>81</v>
      </c>
      <c r="AV2086" s="6" t="s">
        <v>81</v>
      </c>
      <c r="AW2086" s="6" t="s">
        <v>81</v>
      </c>
      <c r="AX2086" s="6" t="s">
        <v>22115</v>
      </c>
      <c r="AY2086" s="6" t="s">
        <v>81</v>
      </c>
      <c r="AZ2086" s="6" t="s">
        <v>23751</v>
      </c>
      <c r="BA2086" s="6" t="s">
        <v>81</v>
      </c>
      <c r="BB2086" s="24" t="n">
        <v>102</v>
      </c>
      <c r="BC2086" s="26"/>
      <c r="BD2086" s="26"/>
      <c r="BE2086" s="26"/>
      <c r="BF2086" s="26"/>
      <c r="BG2086" s="26"/>
      <c r="BH2086" s="26"/>
      <c r="BI2086" s="26"/>
      <c r="BJ2086" s="26"/>
      <c r="BK2086" s="26"/>
      <c r="BL2086" s="26"/>
      <c r="BM2086" s="26"/>
      <c r="BN2086" s="26"/>
      <c r="BO2086" s="26"/>
      <c r="BP2086" s="16" t="n">
        <v>45701</v>
      </c>
      <c r="BQ2086" s="28" t="str">
        <f>HYPERLINK("https://organic.ams.usda.gov/Integrity/Certificate.aspx?cid=81&amp;nopid=4210099197")</f>
        <v>https://organic.ams.usda.gov/Integrity/Certificate.aspx?cid=81&amp;nopid=4210099197</v>
      </c>
    </row>
    <row r="2087">
      <c r="A2087" t="s">
        <v>3</v>
      </c>
      <c r="B2087" s="6" t="s">
        <v>16</v>
      </c>
      <c r="C2087" s="6" t="s">
        <v>63</v>
      </c>
      <c r="D2087" s="6" t="s">
        <v>109</v>
      </c>
      <c r="E2087" s="10" t="s">
        <v>2228</v>
      </c>
      <c r="F2087" s="6" t="s">
        <v>4941</v>
      </c>
      <c r="G2087" s="6" t="s">
        <v>81</v>
      </c>
      <c r="H2087" s="6" t="s">
        <v>7801</v>
      </c>
      <c r="I2087" s="6" t="s">
        <v>9404</v>
      </c>
      <c r="J2087" s="6" t="s">
        <v>10603</v>
      </c>
      <c r="K2087" s="6" t="s">
        <v>10886</v>
      </c>
      <c r="L2087" s="16" t="n">
        <v>42864</v>
      </c>
      <c r="M2087" s="16" t="n">
        <v>45731</v>
      </c>
      <c r="N2087" s="6" t="s">
        <v>10886</v>
      </c>
      <c r="O2087" s="16" t="n">
        <v>42864</v>
      </c>
      <c r="P2087" s="6" t="s">
        <v>11100</v>
      </c>
      <c r="Q2087" s="6" t="s">
        <v>81</v>
      </c>
      <c r="R2087" s="6" t="s">
        <v>81</v>
      </c>
      <c r="S2087" s="6" t="s">
        <v>10886</v>
      </c>
      <c r="T2087" s="16" t="n">
        <v>42864</v>
      </c>
      <c r="U2087" s="6" t="s">
        <v>13551</v>
      </c>
      <c r="V2087" s="6" t="s">
        <v>81</v>
      </c>
      <c r="W2087" s="6" t="s">
        <v>81</v>
      </c>
      <c r="X2087" s="6" t="s">
        <v>81</v>
      </c>
      <c r="Y2087" s="21" t="s">
        <v>81</v>
      </c>
      <c r="Z2087" s="6" t="s">
        <v>81</v>
      </c>
      <c r="AA2087" s="6" t="s">
        <v>81</v>
      </c>
      <c r="AB2087" s="6" t="s">
        <v>81</v>
      </c>
      <c r="AC2087" s="6" t="s">
        <v>10886</v>
      </c>
      <c r="AD2087" s="16" t="n">
        <v>42864</v>
      </c>
      <c r="AE2087" s="6" t="s">
        <v>81</v>
      </c>
      <c r="AF2087" s="6" t="s">
        <v>81</v>
      </c>
      <c r="AG2087" s="6" t="s">
        <v>81</v>
      </c>
      <c r="AH2087" s="6" t="s">
        <v>16636</v>
      </c>
      <c r="AI2087" s="6" t="s">
        <v>81</v>
      </c>
      <c r="AJ2087" s="6" t="s">
        <v>18197</v>
      </c>
      <c r="AK2087" s="6" t="s">
        <v>18383</v>
      </c>
      <c r="AL2087" s="6" t="s">
        <v>18444</v>
      </c>
      <c r="AM2087" s="6" t="s">
        <v>19407</v>
      </c>
      <c r="AN2087" s="6" t="s">
        <v>19646</v>
      </c>
      <c r="AO2087" s="6" t="s">
        <v>19841</v>
      </c>
      <c r="AP2087" s="6" t="s">
        <v>20388</v>
      </c>
      <c r="AQ2087" s="6" t="s">
        <v>81</v>
      </c>
      <c r="AR2087" s="6" t="s">
        <v>18197</v>
      </c>
      <c r="AS2087" s="6" t="s">
        <v>18383</v>
      </c>
      <c r="AT2087" s="6" t="s">
        <v>18444</v>
      </c>
      <c r="AU2087" s="6" t="s">
        <v>19407</v>
      </c>
      <c r="AV2087" s="6" t="s">
        <v>81</v>
      </c>
      <c r="AW2087" s="6" t="s">
        <v>81</v>
      </c>
      <c r="AX2087" s="6" t="s">
        <v>22116</v>
      </c>
      <c r="AY2087" s="6" t="s">
        <v>81</v>
      </c>
      <c r="AZ2087" s="6" t="s">
        <v>81</v>
      </c>
      <c r="BA2087" s="6" t="s">
        <v>81</v>
      </c>
      <c r="BB2087" s="24" t="n">
        <v>789</v>
      </c>
      <c r="BC2087" s="26"/>
      <c r="BD2087" s="26"/>
      <c r="BE2087" s="26"/>
      <c r="BF2087" s="26"/>
      <c r="BG2087" s="26"/>
      <c r="BH2087" s="26"/>
      <c r="BI2087" s="26"/>
      <c r="BJ2087" s="26"/>
      <c r="BK2087" s="26"/>
      <c r="BL2087" s="26"/>
      <c r="BM2087" s="26"/>
      <c r="BN2087" s="26"/>
      <c r="BO2087" s="26"/>
      <c r="BP2087" s="16" t="n">
        <v>45701</v>
      </c>
      <c r="BQ2087" s="28" t="str">
        <f>HYPERLINK("https://organic.ams.usda.gov/Integrity/Certificate.aspx?cid=81&amp;nopid=4213724415")</f>
        <v>https://organic.ams.usda.gov/Integrity/Certificate.aspx?cid=81&amp;nopid=4213724415</v>
      </c>
    </row>
    <row r="2088">
      <c r="A2088" t="s">
        <v>3</v>
      </c>
      <c r="B2088" s="6" t="s">
        <v>16</v>
      </c>
      <c r="C2088" s="6" t="s">
        <v>63</v>
      </c>
      <c r="D2088" s="6" t="s">
        <v>109</v>
      </c>
      <c r="E2088" s="10" t="s">
        <v>2229</v>
      </c>
      <c r="F2088" s="6" t="s">
        <v>4942</v>
      </c>
      <c r="G2088" s="6" t="s">
        <v>5807</v>
      </c>
      <c r="H2088" s="6" t="s">
        <v>7802</v>
      </c>
      <c r="I2088" s="6" t="s">
        <v>8421</v>
      </c>
      <c r="J2088" s="6" t="s">
        <v>10604</v>
      </c>
      <c r="K2088" s="6" t="s">
        <v>10886</v>
      </c>
      <c r="L2088" s="16" t="n">
        <v>37738</v>
      </c>
      <c r="M2088" s="16" t="n">
        <v>45731</v>
      </c>
      <c r="N2088" s="6" t="s">
        <v>10886</v>
      </c>
      <c r="O2088" s="16" t="n">
        <v>37738</v>
      </c>
      <c r="P2088" s="6" t="s">
        <v>12079</v>
      </c>
      <c r="Q2088" s="6" t="s">
        <v>81</v>
      </c>
      <c r="R2088" s="6" t="s">
        <v>81</v>
      </c>
      <c r="S2088" s="6" t="s">
        <v>10886</v>
      </c>
      <c r="T2088" s="16" t="n">
        <v>37738</v>
      </c>
      <c r="U2088" s="6" t="s">
        <v>13281</v>
      </c>
      <c r="V2088" s="6" t="s">
        <v>81</v>
      </c>
      <c r="W2088" s="6" t="s">
        <v>81</v>
      </c>
      <c r="X2088" s="6" t="s">
        <v>81</v>
      </c>
      <c r="Y2088" s="21" t="s">
        <v>81</v>
      </c>
      <c r="Z2088" s="6" t="s">
        <v>81</v>
      </c>
      <c r="AA2088" s="6" t="s">
        <v>81</v>
      </c>
      <c r="AB2088" s="6" t="s">
        <v>81</v>
      </c>
      <c r="AC2088" s="6" t="s">
        <v>10886</v>
      </c>
      <c r="AD2088" s="16" t="n">
        <v>37738</v>
      </c>
      <c r="AE2088" s="6" t="s">
        <v>81</v>
      </c>
      <c r="AF2088" s="6" t="s">
        <v>81</v>
      </c>
      <c r="AG2088" s="6" t="s">
        <v>81</v>
      </c>
      <c r="AH2088" s="6" t="s">
        <v>16637</v>
      </c>
      <c r="AI2088" s="6" t="s">
        <v>81</v>
      </c>
      <c r="AJ2088" s="6" t="s">
        <v>18188</v>
      </c>
      <c r="AK2088" s="6" t="s">
        <v>18383</v>
      </c>
      <c r="AL2088" s="6" t="s">
        <v>18444</v>
      </c>
      <c r="AM2088" s="6" t="s">
        <v>18660</v>
      </c>
      <c r="AN2088" s="6" t="s">
        <v>19683</v>
      </c>
      <c r="AO2088" s="6" t="s">
        <v>19751</v>
      </c>
      <c r="AP2088" s="6" t="s">
        <v>16637</v>
      </c>
      <c r="AQ2088" s="6" t="s">
        <v>81</v>
      </c>
      <c r="AR2088" s="6" t="s">
        <v>20548</v>
      </c>
      <c r="AS2088" s="6" t="s">
        <v>18383</v>
      </c>
      <c r="AT2088" s="6" t="s">
        <v>18444</v>
      </c>
      <c r="AU2088" s="6" t="s">
        <v>18660</v>
      </c>
      <c r="AV2088" s="6" t="s">
        <v>81</v>
      </c>
      <c r="AW2088" s="6" t="s">
        <v>81</v>
      </c>
      <c r="AX2088" s="6" t="s">
        <v>22117</v>
      </c>
      <c r="AY2088" s="6" t="s">
        <v>81</v>
      </c>
      <c r="AZ2088" s="6" t="s">
        <v>81</v>
      </c>
      <c r="BA2088" s="6" t="s">
        <v>81</v>
      </c>
      <c r="BB2088" s="24" t="n">
        <v>287</v>
      </c>
      <c r="BC2088" s="26"/>
      <c r="BD2088" s="26"/>
      <c r="BE2088" s="26"/>
      <c r="BF2088" s="26"/>
      <c r="BG2088" s="26"/>
      <c r="BH2088" s="26"/>
      <c r="BI2088" s="26"/>
      <c r="BJ2088" s="26"/>
      <c r="BK2088" s="26"/>
      <c r="BL2088" s="26"/>
      <c r="BM2088" s="26"/>
      <c r="BN2088" s="26"/>
      <c r="BO2088" s="26"/>
      <c r="BP2088" s="16" t="n">
        <v>45701</v>
      </c>
      <c r="BQ2088" s="28" t="str">
        <f>HYPERLINK("https://organic.ams.usda.gov/Integrity/Certificate.aspx?cid=81&amp;nopid=4210003002")</f>
        <v>https://organic.ams.usda.gov/Integrity/Certificate.aspx?cid=81&amp;nopid=4210003002</v>
      </c>
    </row>
    <row r="2089">
      <c r="A2089" t="s">
        <v>3</v>
      </c>
      <c r="B2089" s="6" t="s">
        <v>16</v>
      </c>
      <c r="C2089" s="6" t="s">
        <v>63</v>
      </c>
      <c r="D2089" s="6" t="s">
        <v>109</v>
      </c>
      <c r="E2089" s="10" t="s">
        <v>2230</v>
      </c>
      <c r="F2089" s="6" t="s">
        <v>4943</v>
      </c>
      <c r="G2089" s="6" t="s">
        <v>81</v>
      </c>
      <c r="H2089" s="6" t="s">
        <v>6543</v>
      </c>
      <c r="I2089" s="6" t="s">
        <v>9405</v>
      </c>
      <c r="J2089" s="6" t="s">
        <v>9671</v>
      </c>
      <c r="K2089" s="6" t="s">
        <v>10886</v>
      </c>
      <c r="L2089" s="16" t="n">
        <v>45387</v>
      </c>
      <c r="M2089" s="16" t="n">
        <v>45731</v>
      </c>
      <c r="N2089" s="6" t="s">
        <v>10886</v>
      </c>
      <c r="O2089" s="16" t="n">
        <v>45387</v>
      </c>
      <c r="P2089" s="6" t="s">
        <v>11130</v>
      </c>
      <c r="Q2089" s="6" t="s">
        <v>81</v>
      </c>
      <c r="R2089" s="6" t="s">
        <v>81</v>
      </c>
      <c r="S2089" s="6" t="s">
        <v>10886</v>
      </c>
      <c r="T2089" s="16" t="n">
        <v>45387</v>
      </c>
      <c r="U2089" s="6" t="s">
        <v>13281</v>
      </c>
      <c r="V2089" s="6" t="s">
        <v>81</v>
      </c>
      <c r="W2089" s="6" t="s">
        <v>81</v>
      </c>
      <c r="X2089" s="6" t="s">
        <v>81</v>
      </c>
      <c r="Y2089" s="21" t="s">
        <v>81</v>
      </c>
      <c r="Z2089" s="6" t="s">
        <v>81</v>
      </c>
      <c r="AA2089" s="6" t="s">
        <v>81</v>
      </c>
      <c r="AB2089" s="6" t="s">
        <v>81</v>
      </c>
      <c r="AC2089" s="6" t="s">
        <v>10886</v>
      </c>
      <c r="AD2089" s="16" t="n">
        <v>45387</v>
      </c>
      <c r="AE2089" s="6" t="s">
        <v>14364</v>
      </c>
      <c r="AF2089" s="6" t="s">
        <v>81</v>
      </c>
      <c r="AG2089" s="6" t="s">
        <v>81</v>
      </c>
      <c r="AH2089" s="6" t="s">
        <v>16638</v>
      </c>
      <c r="AI2089" s="6" t="s">
        <v>81</v>
      </c>
      <c r="AJ2089" s="6" t="s">
        <v>18206</v>
      </c>
      <c r="AK2089" s="6" t="s">
        <v>18383</v>
      </c>
      <c r="AL2089" s="6" t="s">
        <v>18444</v>
      </c>
      <c r="AM2089" s="6" t="s">
        <v>18779</v>
      </c>
      <c r="AN2089" s="6" t="s">
        <v>81</v>
      </c>
      <c r="AO2089" s="6" t="s">
        <v>81</v>
      </c>
      <c r="AP2089" s="6" t="s">
        <v>16638</v>
      </c>
      <c r="AQ2089" s="6" t="s">
        <v>81</v>
      </c>
      <c r="AR2089" s="6" t="s">
        <v>20561</v>
      </c>
      <c r="AS2089" s="6" t="s">
        <v>18383</v>
      </c>
      <c r="AT2089" s="6" t="s">
        <v>18444</v>
      </c>
      <c r="AU2089" s="6" t="s">
        <v>20689</v>
      </c>
      <c r="AV2089" s="6" t="s">
        <v>81</v>
      </c>
      <c r="AW2089" s="6" t="s">
        <v>81</v>
      </c>
      <c r="AX2089" s="6" t="s">
        <v>5606</v>
      </c>
      <c r="AY2089" s="6" t="s">
        <v>81</v>
      </c>
      <c r="AZ2089" s="6" t="s">
        <v>81</v>
      </c>
      <c r="BA2089" s="6" t="s">
        <v>81</v>
      </c>
      <c r="BB2089" s="24" t="n">
        <v>164</v>
      </c>
      <c r="BC2089" s="26"/>
      <c r="BD2089" s="26"/>
      <c r="BE2089" s="26"/>
      <c r="BF2089" s="26"/>
      <c r="BG2089" s="26"/>
      <c r="BH2089" s="26"/>
      <c r="BI2089" s="26"/>
      <c r="BJ2089" s="26"/>
      <c r="BK2089" s="26"/>
      <c r="BL2089" s="26"/>
      <c r="BM2089" s="26"/>
      <c r="BN2089" s="26"/>
      <c r="BO2089" s="26"/>
      <c r="BP2089" s="16" t="n">
        <v>45701</v>
      </c>
      <c r="BQ2089" s="28" t="str">
        <f>HYPERLINK("https://organic.ams.usda.gov/Integrity/Certificate.aspx?cid=81&amp;nopid=4212024021")</f>
        <v>https://organic.ams.usda.gov/Integrity/Certificate.aspx?cid=81&amp;nopid=4212024021</v>
      </c>
    </row>
    <row r="2090">
      <c r="A2090" t="s">
        <v>3</v>
      </c>
      <c r="B2090" s="6" t="s">
        <v>16</v>
      </c>
      <c r="C2090" s="6" t="s">
        <v>63</v>
      </c>
      <c r="D2090" s="6" t="s">
        <v>109</v>
      </c>
      <c r="E2090" s="10" t="s">
        <v>2231</v>
      </c>
      <c r="F2090" s="6" t="s">
        <v>4944</v>
      </c>
      <c r="G2090" s="6" t="s">
        <v>5808</v>
      </c>
      <c r="H2090" s="6" t="s">
        <v>7803</v>
      </c>
      <c r="I2090" s="6" t="s">
        <v>9406</v>
      </c>
      <c r="J2090" s="6" t="s">
        <v>10605</v>
      </c>
      <c r="K2090" s="6" t="s">
        <v>10886</v>
      </c>
      <c r="L2090" s="16" t="n">
        <v>42865</v>
      </c>
      <c r="M2090" s="16" t="n">
        <v>45731</v>
      </c>
      <c r="N2090" s="6" t="s">
        <v>10886</v>
      </c>
      <c r="O2090" s="16" t="n">
        <v>42865</v>
      </c>
      <c r="P2090" s="6" t="s">
        <v>11564</v>
      </c>
      <c r="Q2090" s="6" t="s">
        <v>81</v>
      </c>
      <c r="R2090" s="6" t="s">
        <v>81</v>
      </c>
      <c r="S2090" s="6" t="s">
        <v>10886</v>
      </c>
      <c r="T2090" s="16" t="n">
        <v>42865</v>
      </c>
      <c r="U2090" s="6" t="s">
        <v>13281</v>
      </c>
      <c r="V2090" s="6" t="s">
        <v>81</v>
      </c>
      <c r="W2090" s="6" t="s">
        <v>81</v>
      </c>
      <c r="X2090" s="6" t="s">
        <v>81</v>
      </c>
      <c r="Y2090" s="21" t="s">
        <v>81</v>
      </c>
      <c r="Z2090" s="6" t="s">
        <v>81</v>
      </c>
      <c r="AA2090" s="6" t="s">
        <v>81</v>
      </c>
      <c r="AB2090" s="6" t="s">
        <v>81</v>
      </c>
      <c r="AC2090" s="6" t="s">
        <v>10886</v>
      </c>
      <c r="AD2090" s="16" t="n">
        <v>42865</v>
      </c>
      <c r="AE2090" s="6" t="s">
        <v>14366</v>
      </c>
      <c r="AF2090" s="6" t="s">
        <v>81</v>
      </c>
      <c r="AG2090" s="6" t="s">
        <v>81</v>
      </c>
      <c r="AH2090" s="6" t="s">
        <v>16639</v>
      </c>
      <c r="AI2090" s="6" t="s">
        <v>81</v>
      </c>
      <c r="AJ2090" s="6" t="s">
        <v>18207</v>
      </c>
      <c r="AK2090" s="6" t="s">
        <v>18383</v>
      </c>
      <c r="AL2090" s="6" t="s">
        <v>18444</v>
      </c>
      <c r="AM2090" s="6" t="s">
        <v>19421</v>
      </c>
      <c r="AN2090" s="6" t="s">
        <v>19682</v>
      </c>
      <c r="AO2090" s="6" t="s">
        <v>20041</v>
      </c>
      <c r="AP2090" s="6" t="s">
        <v>81</v>
      </c>
      <c r="AQ2090" s="6" t="s">
        <v>81</v>
      </c>
      <c r="AR2090" s="6" t="s">
        <v>81</v>
      </c>
      <c r="AS2090" s="6" t="s">
        <v>81</v>
      </c>
      <c r="AT2090" s="6" t="s">
        <v>81</v>
      </c>
      <c r="AU2090" s="6" t="s">
        <v>81</v>
      </c>
      <c r="AV2090" s="6" t="s">
        <v>81</v>
      </c>
      <c r="AW2090" s="6" t="s">
        <v>81</v>
      </c>
      <c r="AX2090" s="6" t="s">
        <v>22118</v>
      </c>
      <c r="AY2090" s="6" t="s">
        <v>81</v>
      </c>
      <c r="AZ2090" s="6" t="s">
        <v>23752</v>
      </c>
      <c r="BA2090" s="6" t="s">
        <v>81</v>
      </c>
      <c r="BB2090" s="24" t="n">
        <v>130</v>
      </c>
      <c r="BC2090" s="26"/>
      <c r="BD2090" s="26"/>
      <c r="BE2090" s="26"/>
      <c r="BF2090" s="26"/>
      <c r="BG2090" s="26"/>
      <c r="BH2090" s="26"/>
      <c r="BI2090" s="26"/>
      <c r="BJ2090" s="26"/>
      <c r="BK2090" s="26"/>
      <c r="BL2090" s="26"/>
      <c r="BM2090" s="26"/>
      <c r="BN2090" s="26"/>
      <c r="BO2090" s="26"/>
      <c r="BP2090" s="16" t="n">
        <v>45701</v>
      </c>
      <c r="BQ2090" s="28" t="str">
        <f>HYPERLINK("https://organic.ams.usda.gov/Integrity/Certificate.aspx?cid=81&amp;nopid=4213724407")</f>
        <v>https://organic.ams.usda.gov/Integrity/Certificate.aspx?cid=81&amp;nopid=4213724407</v>
      </c>
    </row>
    <row r="2091">
      <c r="A2091" t="s">
        <v>3</v>
      </c>
      <c r="B2091" s="6" t="s">
        <v>16</v>
      </c>
      <c r="C2091" s="6" t="s">
        <v>63</v>
      </c>
      <c r="D2091" s="6" t="s">
        <v>109</v>
      </c>
      <c r="E2091" s="10" t="s">
        <v>2232</v>
      </c>
      <c r="F2091" s="6" t="s">
        <v>4945</v>
      </c>
      <c r="G2091" s="6" t="s">
        <v>81</v>
      </c>
      <c r="H2091" s="6" t="s">
        <v>7804</v>
      </c>
      <c r="I2091" s="6" t="s">
        <v>8914</v>
      </c>
      <c r="J2091" s="6" t="s">
        <v>10606</v>
      </c>
      <c r="K2091" s="6" t="s">
        <v>10886</v>
      </c>
      <c r="L2091" s="16" t="n">
        <v>42465</v>
      </c>
      <c r="M2091" s="16" t="n">
        <v>45731</v>
      </c>
      <c r="N2091" s="6" t="s">
        <v>10886</v>
      </c>
      <c r="O2091" s="16" t="n">
        <v>42465</v>
      </c>
      <c r="P2091" s="6" t="s">
        <v>11085</v>
      </c>
      <c r="Q2091" s="6" t="s">
        <v>81</v>
      </c>
      <c r="R2091" s="6" t="s">
        <v>81</v>
      </c>
      <c r="S2091" s="6" t="s">
        <v>10886</v>
      </c>
      <c r="T2091" s="16" t="n">
        <v>42465</v>
      </c>
      <c r="U2091" s="6" t="s">
        <v>13551</v>
      </c>
      <c r="V2091" s="6" t="s">
        <v>81</v>
      </c>
      <c r="W2091" s="6" t="s">
        <v>81</v>
      </c>
      <c r="X2091" s="6" t="s">
        <v>81</v>
      </c>
      <c r="Y2091" s="21" t="s">
        <v>81</v>
      </c>
      <c r="Z2091" s="6" t="s">
        <v>81</v>
      </c>
      <c r="AA2091" s="6" t="s">
        <v>81</v>
      </c>
      <c r="AB2091" s="6" t="s">
        <v>81</v>
      </c>
      <c r="AC2091" s="6" t="s">
        <v>10886</v>
      </c>
      <c r="AD2091" s="16" t="n">
        <v>42465</v>
      </c>
      <c r="AE2091" s="6" t="s">
        <v>81</v>
      </c>
      <c r="AF2091" s="6" t="s">
        <v>81</v>
      </c>
      <c r="AG2091" s="6" t="s">
        <v>81</v>
      </c>
      <c r="AH2091" s="6" t="s">
        <v>16640</v>
      </c>
      <c r="AI2091" s="6" t="s">
        <v>81</v>
      </c>
      <c r="AJ2091" s="6" t="s">
        <v>18208</v>
      </c>
      <c r="AK2091" s="6" t="s">
        <v>18383</v>
      </c>
      <c r="AL2091" s="6" t="s">
        <v>18444</v>
      </c>
      <c r="AM2091" s="6" t="s">
        <v>19422</v>
      </c>
      <c r="AN2091" s="6" t="s">
        <v>19692</v>
      </c>
      <c r="AO2091" s="6" t="s">
        <v>20019</v>
      </c>
      <c r="AP2091" s="6" t="s">
        <v>20389</v>
      </c>
      <c r="AQ2091" s="6" t="s">
        <v>81</v>
      </c>
      <c r="AR2091" s="6" t="s">
        <v>18208</v>
      </c>
      <c r="AS2091" s="6" t="s">
        <v>18383</v>
      </c>
      <c r="AT2091" s="6" t="s">
        <v>18444</v>
      </c>
      <c r="AU2091" s="6" t="s">
        <v>19422</v>
      </c>
      <c r="AV2091" s="6" t="s">
        <v>81</v>
      </c>
      <c r="AW2091" s="6" t="s">
        <v>81</v>
      </c>
      <c r="AX2091" s="6" t="s">
        <v>22119</v>
      </c>
      <c r="AY2091" s="6" t="s">
        <v>81</v>
      </c>
      <c r="AZ2091" s="6" t="s">
        <v>81</v>
      </c>
      <c r="BA2091" s="6" t="s">
        <v>81</v>
      </c>
      <c r="BB2091" s="24" t="n">
        <v>140</v>
      </c>
      <c r="BC2091" s="26"/>
      <c r="BD2091" s="26"/>
      <c r="BE2091" s="26"/>
      <c r="BF2091" s="26"/>
      <c r="BG2091" s="26"/>
      <c r="BH2091" s="26"/>
      <c r="BI2091" s="26"/>
      <c r="BJ2091" s="26"/>
      <c r="BK2091" s="26"/>
      <c r="BL2091" s="26"/>
      <c r="BM2091" s="26"/>
      <c r="BN2091" s="26"/>
      <c r="BO2091" s="26"/>
      <c r="BP2091" s="16" t="n">
        <v>45701</v>
      </c>
      <c r="BQ2091" s="28" t="str">
        <f>HYPERLINK("https://organic.ams.usda.gov/Integrity/Certificate.aspx?cid=81&amp;nopid=4210016020")</f>
        <v>https://organic.ams.usda.gov/Integrity/Certificate.aspx?cid=81&amp;nopid=4210016020</v>
      </c>
    </row>
    <row r="2092">
      <c r="A2092" t="s">
        <v>3</v>
      </c>
      <c r="B2092" s="6" t="s">
        <v>16</v>
      </c>
      <c r="C2092" s="6" t="s">
        <v>63</v>
      </c>
      <c r="D2092" s="6" t="s">
        <v>109</v>
      </c>
      <c r="E2092" s="10" t="s">
        <v>2233</v>
      </c>
      <c r="F2092" s="6" t="s">
        <v>4946</v>
      </c>
      <c r="G2092" s="6" t="s">
        <v>5809</v>
      </c>
      <c r="H2092" s="6" t="s">
        <v>7805</v>
      </c>
      <c r="I2092" s="6" t="s">
        <v>8914</v>
      </c>
      <c r="J2092" s="6" t="s">
        <v>10256</v>
      </c>
      <c r="K2092" s="6" t="s">
        <v>10886</v>
      </c>
      <c r="L2092" s="16" t="n">
        <v>37544</v>
      </c>
      <c r="M2092" s="16" t="n">
        <v>45731</v>
      </c>
      <c r="N2092" s="6" t="s">
        <v>10886</v>
      </c>
      <c r="O2092" s="16" t="n">
        <v>37544</v>
      </c>
      <c r="P2092" s="6" t="s">
        <v>11130</v>
      </c>
      <c r="Q2092" s="6" t="s">
        <v>81</v>
      </c>
      <c r="R2092" s="6" t="s">
        <v>81</v>
      </c>
      <c r="S2092" s="6" t="s">
        <v>10886</v>
      </c>
      <c r="T2092" s="16" t="n">
        <v>37544</v>
      </c>
      <c r="U2092" s="6" t="s">
        <v>13281</v>
      </c>
      <c r="V2092" s="6" t="s">
        <v>81</v>
      </c>
      <c r="W2092" s="6" t="s">
        <v>81</v>
      </c>
      <c r="X2092" s="6" t="s">
        <v>81</v>
      </c>
      <c r="Y2092" s="21" t="s">
        <v>81</v>
      </c>
      <c r="Z2092" s="6" t="s">
        <v>81</v>
      </c>
      <c r="AA2092" s="6" t="s">
        <v>81</v>
      </c>
      <c r="AB2092" s="6" t="s">
        <v>81</v>
      </c>
      <c r="AC2092" s="6" t="s">
        <v>10886</v>
      </c>
      <c r="AD2092" s="16" t="n">
        <v>37544</v>
      </c>
      <c r="AE2092" s="6" t="s">
        <v>81</v>
      </c>
      <c r="AF2092" s="6" t="s">
        <v>81</v>
      </c>
      <c r="AG2092" s="6" t="s">
        <v>81</v>
      </c>
      <c r="AH2092" s="6" t="s">
        <v>16641</v>
      </c>
      <c r="AI2092" s="6" t="s">
        <v>81</v>
      </c>
      <c r="AJ2092" s="6" t="s">
        <v>17898</v>
      </c>
      <c r="AK2092" s="6" t="s">
        <v>18383</v>
      </c>
      <c r="AL2092" s="6" t="s">
        <v>18444</v>
      </c>
      <c r="AM2092" s="6" t="s">
        <v>19086</v>
      </c>
      <c r="AN2092" s="6" t="s">
        <v>19653</v>
      </c>
      <c r="AO2092" s="6" t="s">
        <v>19928</v>
      </c>
      <c r="AP2092" s="6" t="s">
        <v>81</v>
      </c>
      <c r="AQ2092" s="6" t="s">
        <v>81</v>
      </c>
      <c r="AR2092" s="6" t="s">
        <v>81</v>
      </c>
      <c r="AS2092" s="6" t="s">
        <v>81</v>
      </c>
      <c r="AT2092" s="6" t="s">
        <v>81</v>
      </c>
      <c r="AU2092" s="6" t="s">
        <v>81</v>
      </c>
      <c r="AV2092" s="6" t="s">
        <v>81</v>
      </c>
      <c r="AW2092" s="6" t="s">
        <v>81</v>
      </c>
      <c r="AX2092" s="6" t="s">
        <v>22120</v>
      </c>
      <c r="AY2092" s="6" t="s">
        <v>81</v>
      </c>
      <c r="AZ2092" s="6" t="s">
        <v>23753</v>
      </c>
      <c r="BA2092" s="6" t="s">
        <v>81</v>
      </c>
      <c r="BB2092" s="24" t="n">
        <v>197</v>
      </c>
      <c r="BC2092" s="26"/>
      <c r="BD2092" s="26"/>
      <c r="BE2092" s="26"/>
      <c r="BF2092" s="26"/>
      <c r="BG2092" s="26"/>
      <c r="BH2092" s="26"/>
      <c r="BI2092" s="26"/>
      <c r="BJ2092" s="26"/>
      <c r="BK2092" s="26"/>
      <c r="BL2092" s="26"/>
      <c r="BM2092" s="26"/>
      <c r="BN2092" s="26"/>
      <c r="BO2092" s="26"/>
      <c r="BP2092" s="16" t="n">
        <v>45701</v>
      </c>
      <c r="BQ2092" s="28" t="str">
        <f>HYPERLINK("https://organic.ams.usda.gov/Integrity/Certificate.aspx?cid=81&amp;nopid=4210099088")</f>
        <v>https://organic.ams.usda.gov/Integrity/Certificate.aspx?cid=81&amp;nopid=4210099088</v>
      </c>
    </row>
    <row r="2093">
      <c r="A2093" t="s">
        <v>3</v>
      </c>
      <c r="B2093" s="6" t="s">
        <v>16</v>
      </c>
      <c r="C2093" s="6" t="s">
        <v>63</v>
      </c>
      <c r="D2093" s="6" t="s">
        <v>109</v>
      </c>
      <c r="E2093" s="10" t="s">
        <v>2234</v>
      </c>
      <c r="F2093" s="6" t="s">
        <v>4947</v>
      </c>
      <c r="G2093" s="6" t="s">
        <v>5810</v>
      </c>
      <c r="H2093" s="6" t="s">
        <v>7806</v>
      </c>
      <c r="I2093" s="6" t="s">
        <v>8914</v>
      </c>
      <c r="J2093" s="6" t="s">
        <v>10607</v>
      </c>
      <c r="K2093" s="6" t="s">
        <v>10886</v>
      </c>
      <c r="L2093" s="16" t="n">
        <v>37500</v>
      </c>
      <c r="M2093" s="16" t="n">
        <v>45731</v>
      </c>
      <c r="N2093" s="6" t="s">
        <v>10886</v>
      </c>
      <c r="O2093" s="16" t="n">
        <v>37500</v>
      </c>
      <c r="P2093" s="6" t="s">
        <v>11073</v>
      </c>
      <c r="Q2093" s="6" t="s">
        <v>81</v>
      </c>
      <c r="R2093" s="6" t="s">
        <v>81</v>
      </c>
      <c r="S2093" s="6" t="s">
        <v>10886</v>
      </c>
      <c r="T2093" s="16" t="n">
        <v>37500</v>
      </c>
      <c r="U2093" s="6" t="s">
        <v>13281</v>
      </c>
      <c r="V2093" s="6" t="s">
        <v>81</v>
      </c>
      <c r="W2093" s="6" t="s">
        <v>81</v>
      </c>
      <c r="X2093" s="6" t="s">
        <v>81</v>
      </c>
      <c r="Y2093" s="21" t="s">
        <v>81</v>
      </c>
      <c r="Z2093" s="6" t="s">
        <v>81</v>
      </c>
      <c r="AA2093" s="6" t="s">
        <v>81</v>
      </c>
      <c r="AB2093" s="6" t="s">
        <v>81</v>
      </c>
      <c r="AC2093" s="6" t="s">
        <v>10886</v>
      </c>
      <c r="AD2093" s="16" t="n">
        <v>37500</v>
      </c>
      <c r="AE2093" s="6" t="s">
        <v>81</v>
      </c>
      <c r="AF2093" s="6" t="s">
        <v>81</v>
      </c>
      <c r="AG2093" s="6" t="s">
        <v>81</v>
      </c>
      <c r="AH2093" s="6" t="s">
        <v>16642</v>
      </c>
      <c r="AI2093" s="6" t="s">
        <v>81</v>
      </c>
      <c r="AJ2093" s="6" t="s">
        <v>18204</v>
      </c>
      <c r="AK2093" s="6" t="s">
        <v>18383</v>
      </c>
      <c r="AL2093" s="6" t="s">
        <v>18444</v>
      </c>
      <c r="AM2093" s="6" t="s">
        <v>19417</v>
      </c>
      <c r="AN2093" s="6" t="s">
        <v>19646</v>
      </c>
      <c r="AO2093" s="6" t="s">
        <v>19841</v>
      </c>
      <c r="AP2093" s="6" t="s">
        <v>16642</v>
      </c>
      <c r="AQ2093" s="6" t="s">
        <v>81</v>
      </c>
      <c r="AR2093" s="6" t="s">
        <v>20561</v>
      </c>
      <c r="AS2093" s="6" t="s">
        <v>18383</v>
      </c>
      <c r="AT2093" s="6" t="s">
        <v>18444</v>
      </c>
      <c r="AU2093" s="6" t="s">
        <v>20689</v>
      </c>
      <c r="AV2093" s="6" t="s">
        <v>81</v>
      </c>
      <c r="AW2093" s="6" t="s">
        <v>81</v>
      </c>
      <c r="AX2093" s="6" t="s">
        <v>22121</v>
      </c>
      <c r="AY2093" s="6" t="s">
        <v>81</v>
      </c>
      <c r="AZ2093" s="6" t="s">
        <v>81</v>
      </c>
      <c r="BA2093" s="6" t="s">
        <v>81</v>
      </c>
      <c r="BB2093" s="24" t="n">
        <v>198</v>
      </c>
      <c r="BC2093" s="26"/>
      <c r="BD2093" s="26"/>
      <c r="BE2093" s="26"/>
      <c r="BF2093" s="26"/>
      <c r="BG2093" s="26"/>
      <c r="BH2093" s="26"/>
      <c r="BI2093" s="26"/>
      <c r="BJ2093" s="26"/>
      <c r="BK2093" s="26"/>
      <c r="BL2093" s="26"/>
      <c r="BM2093" s="26"/>
      <c r="BN2093" s="26"/>
      <c r="BO2093" s="26"/>
      <c r="BP2093" s="16" t="n">
        <v>45701</v>
      </c>
      <c r="BQ2093" s="28" t="str">
        <f>HYPERLINK("https://organic.ams.usda.gov/Integrity/Certificate.aspx?cid=81&amp;nopid=4210002017")</f>
        <v>https://organic.ams.usda.gov/Integrity/Certificate.aspx?cid=81&amp;nopid=4210002017</v>
      </c>
    </row>
    <row r="2094">
      <c r="A2094" t="s">
        <v>3</v>
      </c>
      <c r="B2094" s="6" t="s">
        <v>16</v>
      </c>
      <c r="C2094" s="6" t="s">
        <v>63</v>
      </c>
      <c r="D2094" s="6" t="s">
        <v>109</v>
      </c>
      <c r="E2094" s="10" t="s">
        <v>2235</v>
      </c>
      <c r="F2094" s="6" t="s">
        <v>4948</v>
      </c>
      <c r="G2094" s="6" t="s">
        <v>5811</v>
      </c>
      <c r="H2094" s="6" t="s">
        <v>7807</v>
      </c>
      <c r="I2094" s="6" t="s">
        <v>8912</v>
      </c>
      <c r="J2094" s="6" t="s">
        <v>10608</v>
      </c>
      <c r="K2094" s="6" t="s">
        <v>10886</v>
      </c>
      <c r="L2094" s="16" t="n">
        <v>39203</v>
      </c>
      <c r="M2094" s="16" t="n">
        <v>45731</v>
      </c>
      <c r="N2094" s="6" t="s">
        <v>10886</v>
      </c>
      <c r="O2094" s="16" t="n">
        <v>39203</v>
      </c>
      <c r="P2094" s="6" t="s">
        <v>11073</v>
      </c>
      <c r="Q2094" s="6" t="s">
        <v>81</v>
      </c>
      <c r="R2094" s="6" t="s">
        <v>81</v>
      </c>
      <c r="S2094" s="6" t="s">
        <v>10886</v>
      </c>
      <c r="T2094" s="16" t="n">
        <v>39203</v>
      </c>
      <c r="U2094" s="6" t="s">
        <v>13281</v>
      </c>
      <c r="V2094" s="6" t="s">
        <v>81</v>
      </c>
      <c r="W2094" s="6" t="s">
        <v>81</v>
      </c>
      <c r="X2094" s="6" t="s">
        <v>81</v>
      </c>
      <c r="Y2094" s="21" t="s">
        <v>81</v>
      </c>
      <c r="Z2094" s="6" t="s">
        <v>81</v>
      </c>
      <c r="AA2094" s="6" t="s">
        <v>81</v>
      </c>
      <c r="AB2094" s="6" t="s">
        <v>81</v>
      </c>
      <c r="AC2094" s="6" t="s">
        <v>10886</v>
      </c>
      <c r="AD2094" s="16" t="n">
        <v>39203</v>
      </c>
      <c r="AE2094" s="6" t="s">
        <v>81</v>
      </c>
      <c r="AF2094" s="6" t="s">
        <v>81</v>
      </c>
      <c r="AG2094" s="6" t="s">
        <v>81</v>
      </c>
      <c r="AH2094" s="6" t="s">
        <v>16643</v>
      </c>
      <c r="AI2094" s="6" t="s">
        <v>81</v>
      </c>
      <c r="AJ2094" s="6" t="s">
        <v>18209</v>
      </c>
      <c r="AK2094" s="6" t="s">
        <v>18383</v>
      </c>
      <c r="AL2094" s="6" t="s">
        <v>18444</v>
      </c>
      <c r="AM2094" s="6" t="s">
        <v>18798</v>
      </c>
      <c r="AN2094" s="6" t="s">
        <v>19655</v>
      </c>
      <c r="AO2094" s="6" t="s">
        <v>19886</v>
      </c>
      <c r="AP2094" s="6" t="s">
        <v>20390</v>
      </c>
      <c r="AQ2094" s="6" t="s">
        <v>81</v>
      </c>
      <c r="AR2094" s="6" t="s">
        <v>20566</v>
      </c>
      <c r="AS2094" s="6" t="s">
        <v>18383</v>
      </c>
      <c r="AT2094" s="6" t="s">
        <v>18444</v>
      </c>
      <c r="AU2094" s="6" t="s">
        <v>19392</v>
      </c>
      <c r="AV2094" s="6" t="s">
        <v>81</v>
      </c>
      <c r="AW2094" s="6" t="s">
        <v>81</v>
      </c>
      <c r="AX2094" s="6" t="s">
        <v>22122</v>
      </c>
      <c r="AY2094" s="6" t="s">
        <v>81</v>
      </c>
      <c r="AZ2094" s="6" t="s">
        <v>81</v>
      </c>
      <c r="BA2094" s="6" t="s">
        <v>81</v>
      </c>
      <c r="BB2094" s="24" t="n">
        <v>323</v>
      </c>
      <c r="BC2094" s="26"/>
      <c r="BD2094" s="26"/>
      <c r="BE2094" s="26"/>
      <c r="BF2094" s="26"/>
      <c r="BG2094" s="26"/>
      <c r="BH2094" s="26"/>
      <c r="BI2094" s="26"/>
      <c r="BJ2094" s="26"/>
      <c r="BK2094" s="26"/>
      <c r="BL2094" s="26"/>
      <c r="BM2094" s="26"/>
      <c r="BN2094" s="26"/>
      <c r="BO2094" s="26"/>
      <c r="BP2094" s="16" t="n">
        <v>45701</v>
      </c>
      <c r="BQ2094" s="28" t="str">
        <f>HYPERLINK("https://organic.ams.usda.gov/Integrity/Certificate.aspx?cid=81&amp;nopid=4210007008")</f>
        <v>https://organic.ams.usda.gov/Integrity/Certificate.aspx?cid=81&amp;nopid=4210007008</v>
      </c>
    </row>
    <row r="2095">
      <c r="A2095" t="s">
        <v>3</v>
      </c>
      <c r="B2095" s="6" t="s">
        <v>16</v>
      </c>
      <c r="C2095" s="6" t="s">
        <v>63</v>
      </c>
      <c r="D2095" s="6" t="s">
        <v>109</v>
      </c>
      <c r="E2095" s="10" t="s">
        <v>2236</v>
      </c>
      <c r="F2095" s="6" t="s">
        <v>4949</v>
      </c>
      <c r="G2095" s="6" t="s">
        <v>81</v>
      </c>
      <c r="H2095" s="6" t="s">
        <v>6430</v>
      </c>
      <c r="I2095" s="6" t="s">
        <v>9407</v>
      </c>
      <c r="J2095" s="6" t="s">
        <v>10609</v>
      </c>
      <c r="K2095" s="6" t="s">
        <v>10886</v>
      </c>
      <c r="L2095" s="16" t="n">
        <v>45568</v>
      </c>
      <c r="M2095" s="16" t="n">
        <v>45823</v>
      </c>
      <c r="N2095" s="6" t="s">
        <v>81</v>
      </c>
      <c r="O2095" s="21" t="s">
        <v>81</v>
      </c>
      <c r="P2095" s="6" t="s">
        <v>81</v>
      </c>
      <c r="Q2095" s="6" t="s">
        <v>81</v>
      </c>
      <c r="R2095" s="6" t="s">
        <v>81</v>
      </c>
      <c r="S2095" s="6" t="s">
        <v>10886</v>
      </c>
      <c r="T2095" s="16" t="n">
        <v>45568</v>
      </c>
      <c r="U2095" s="6" t="s">
        <v>13793</v>
      </c>
      <c r="V2095" s="6" t="s">
        <v>81</v>
      </c>
      <c r="W2095" s="6" t="s">
        <v>81</v>
      </c>
      <c r="X2095" s="6" t="s">
        <v>81</v>
      </c>
      <c r="Y2095" s="21" t="s">
        <v>81</v>
      </c>
      <c r="Z2095" s="6" t="s">
        <v>81</v>
      </c>
      <c r="AA2095" s="6" t="s">
        <v>81</v>
      </c>
      <c r="AB2095" s="6" t="s">
        <v>81</v>
      </c>
      <c r="AC2095" s="6" t="s">
        <v>10886</v>
      </c>
      <c r="AD2095" s="16" t="n">
        <v>45568</v>
      </c>
      <c r="AE2095" s="6" t="s">
        <v>81</v>
      </c>
      <c r="AF2095" s="6" t="s">
        <v>81</v>
      </c>
      <c r="AG2095" s="6" t="s">
        <v>81</v>
      </c>
      <c r="AH2095" s="6" t="s">
        <v>16644</v>
      </c>
      <c r="AI2095" s="6" t="s">
        <v>81</v>
      </c>
      <c r="AJ2095" s="6" t="s">
        <v>17466</v>
      </c>
      <c r="AK2095" s="6" t="s">
        <v>18383</v>
      </c>
      <c r="AL2095" s="6" t="s">
        <v>18444</v>
      </c>
      <c r="AM2095" s="6" t="s">
        <v>19420</v>
      </c>
      <c r="AN2095" s="6" t="s">
        <v>81</v>
      </c>
      <c r="AO2095" s="6" t="s">
        <v>81</v>
      </c>
      <c r="AP2095" s="6" t="s">
        <v>20391</v>
      </c>
      <c r="AQ2095" s="6" t="s">
        <v>81</v>
      </c>
      <c r="AR2095" s="6" t="s">
        <v>20567</v>
      </c>
      <c r="AS2095" s="6" t="s">
        <v>18383</v>
      </c>
      <c r="AT2095" s="6" t="s">
        <v>18444</v>
      </c>
      <c r="AU2095" s="6" t="s">
        <v>20691</v>
      </c>
      <c r="AV2095" s="6" t="s">
        <v>81</v>
      </c>
      <c r="AW2095" s="6" t="s">
        <v>81</v>
      </c>
      <c r="AX2095" s="6" t="s">
        <v>22123</v>
      </c>
      <c r="AY2095" s="6" t="s">
        <v>81</v>
      </c>
      <c r="AZ2095" s="6" t="s">
        <v>81</v>
      </c>
      <c r="BA2095" s="6" t="s">
        <v>81</v>
      </c>
      <c r="BB2095" s="24" t="n">
        <v>0</v>
      </c>
      <c r="BC2095" s="26"/>
      <c r="BD2095" s="26"/>
      <c r="BE2095" s="26"/>
      <c r="BF2095" s="26"/>
      <c r="BG2095" s="26"/>
      <c r="BH2095" s="26"/>
      <c r="BI2095" s="26"/>
      <c r="BJ2095" s="26"/>
      <c r="BK2095" s="26"/>
      <c r="BL2095" s="26"/>
      <c r="BM2095" s="26"/>
      <c r="BN2095" s="26"/>
      <c r="BO2095" s="26"/>
      <c r="BP2095" s="16" t="n">
        <v>45701</v>
      </c>
      <c r="BQ2095" s="28" t="str">
        <f>HYPERLINK("https://organic.ams.usda.gov/Integrity/Certificate.aspx?cid=81&amp;nopid=4212024045")</f>
        <v>https://organic.ams.usda.gov/Integrity/Certificate.aspx?cid=81&amp;nopid=4212024045</v>
      </c>
    </row>
    <row r="2096">
      <c r="A2096" t="s">
        <v>3</v>
      </c>
      <c r="B2096" s="6" t="s">
        <v>16</v>
      </c>
      <c r="C2096" s="6" t="s">
        <v>63</v>
      </c>
      <c r="D2096" s="6" t="s">
        <v>109</v>
      </c>
      <c r="E2096" s="10" t="s">
        <v>2237</v>
      </c>
      <c r="F2096" s="6" t="s">
        <v>4950</v>
      </c>
      <c r="G2096" s="6" t="s">
        <v>81</v>
      </c>
      <c r="H2096" s="6" t="s">
        <v>7808</v>
      </c>
      <c r="I2096" s="6" t="s">
        <v>9408</v>
      </c>
      <c r="J2096" s="6" t="s">
        <v>8437</v>
      </c>
      <c r="K2096" s="6" t="s">
        <v>10886</v>
      </c>
      <c r="L2096" s="16" t="n">
        <v>39234</v>
      </c>
      <c r="M2096" s="16" t="n">
        <v>45731</v>
      </c>
      <c r="N2096" s="6" t="s">
        <v>10886</v>
      </c>
      <c r="O2096" s="16" t="n">
        <v>39234</v>
      </c>
      <c r="P2096" s="6" t="s">
        <v>11544</v>
      </c>
      <c r="Q2096" s="6" t="s">
        <v>81</v>
      </c>
      <c r="R2096" s="6" t="s">
        <v>81</v>
      </c>
      <c r="S2096" s="6" t="s">
        <v>10886</v>
      </c>
      <c r="T2096" s="16" t="n">
        <v>39234</v>
      </c>
      <c r="U2096" s="6" t="s">
        <v>13281</v>
      </c>
      <c r="V2096" s="6" t="s">
        <v>81</v>
      </c>
      <c r="W2096" s="6" t="s">
        <v>81</v>
      </c>
      <c r="X2096" s="6" t="s">
        <v>81</v>
      </c>
      <c r="Y2096" s="21" t="s">
        <v>81</v>
      </c>
      <c r="Z2096" s="6" t="s">
        <v>81</v>
      </c>
      <c r="AA2096" s="6" t="s">
        <v>81</v>
      </c>
      <c r="AB2096" s="6" t="s">
        <v>81</v>
      </c>
      <c r="AC2096" s="6" t="s">
        <v>10886</v>
      </c>
      <c r="AD2096" s="16" t="n">
        <v>39234</v>
      </c>
      <c r="AE2096" s="6" t="s">
        <v>81</v>
      </c>
      <c r="AF2096" s="6" t="s">
        <v>81</v>
      </c>
      <c r="AG2096" s="6" t="s">
        <v>81</v>
      </c>
      <c r="AH2096" s="6" t="s">
        <v>16645</v>
      </c>
      <c r="AI2096" s="6" t="s">
        <v>81</v>
      </c>
      <c r="AJ2096" s="6" t="s">
        <v>18156</v>
      </c>
      <c r="AK2096" s="6" t="s">
        <v>18383</v>
      </c>
      <c r="AL2096" s="6" t="s">
        <v>18444</v>
      </c>
      <c r="AM2096" s="6" t="s">
        <v>19359</v>
      </c>
      <c r="AN2096" s="6" t="s">
        <v>19653</v>
      </c>
      <c r="AO2096" s="6" t="s">
        <v>19928</v>
      </c>
      <c r="AP2096" s="6" t="s">
        <v>81</v>
      </c>
      <c r="AQ2096" s="6" t="s">
        <v>81</v>
      </c>
      <c r="AR2096" s="6" t="s">
        <v>81</v>
      </c>
      <c r="AS2096" s="6" t="s">
        <v>81</v>
      </c>
      <c r="AT2096" s="6" t="s">
        <v>81</v>
      </c>
      <c r="AU2096" s="6" t="s">
        <v>81</v>
      </c>
      <c r="AV2096" s="6" t="s">
        <v>81</v>
      </c>
      <c r="AW2096" s="6" t="s">
        <v>81</v>
      </c>
      <c r="AX2096" s="6" t="s">
        <v>22124</v>
      </c>
      <c r="AY2096" s="6" t="s">
        <v>81</v>
      </c>
      <c r="AZ2096" s="6" t="s">
        <v>81</v>
      </c>
      <c r="BA2096" s="6" t="s">
        <v>81</v>
      </c>
      <c r="BB2096" s="24" t="n">
        <v>641</v>
      </c>
      <c r="BC2096" s="26"/>
      <c r="BD2096" s="26"/>
      <c r="BE2096" s="26"/>
      <c r="BF2096" s="26"/>
      <c r="BG2096" s="26"/>
      <c r="BH2096" s="26"/>
      <c r="BI2096" s="26"/>
      <c r="BJ2096" s="26"/>
      <c r="BK2096" s="26"/>
      <c r="BL2096" s="26"/>
      <c r="BM2096" s="26"/>
      <c r="BN2096" s="26"/>
      <c r="BO2096" s="26"/>
      <c r="BP2096" s="16" t="n">
        <v>45701</v>
      </c>
      <c r="BQ2096" s="28" t="str">
        <f>HYPERLINK("https://organic.ams.usda.gov/Integrity/Certificate.aspx?cid=81&amp;nopid=4210007059")</f>
        <v>https://organic.ams.usda.gov/Integrity/Certificate.aspx?cid=81&amp;nopid=4210007059</v>
      </c>
    </row>
    <row r="2097">
      <c r="A2097" t="s">
        <v>3</v>
      </c>
      <c r="B2097" s="6" t="s">
        <v>16</v>
      </c>
      <c r="C2097" s="6" t="s">
        <v>63</v>
      </c>
      <c r="D2097" s="6" t="s">
        <v>109</v>
      </c>
      <c r="E2097" s="10" t="s">
        <v>2238</v>
      </c>
      <c r="F2097" s="6" t="s">
        <v>4951</v>
      </c>
      <c r="G2097" s="6" t="s">
        <v>81</v>
      </c>
      <c r="H2097" s="6" t="s">
        <v>7096</v>
      </c>
      <c r="I2097" s="6" t="s">
        <v>8440</v>
      </c>
      <c r="J2097" s="6" t="s">
        <v>9671</v>
      </c>
      <c r="K2097" s="6" t="s">
        <v>10886</v>
      </c>
      <c r="L2097" s="16" t="n">
        <v>45387</v>
      </c>
      <c r="M2097" s="16" t="n">
        <v>45731</v>
      </c>
      <c r="N2097" s="6" t="s">
        <v>10886</v>
      </c>
      <c r="O2097" s="16" t="n">
        <v>45387</v>
      </c>
      <c r="P2097" s="6" t="s">
        <v>12080</v>
      </c>
      <c r="Q2097" s="6" t="s">
        <v>81</v>
      </c>
      <c r="R2097" s="6" t="s">
        <v>81</v>
      </c>
      <c r="S2097" s="6" t="s">
        <v>10886</v>
      </c>
      <c r="T2097" s="16" t="n">
        <v>45387</v>
      </c>
      <c r="U2097" s="6" t="s">
        <v>13182</v>
      </c>
      <c r="V2097" s="6" t="s">
        <v>81</v>
      </c>
      <c r="W2097" s="6" t="s">
        <v>81</v>
      </c>
      <c r="X2097" s="6" t="s">
        <v>81</v>
      </c>
      <c r="Y2097" s="21" t="s">
        <v>81</v>
      </c>
      <c r="Z2097" s="6" t="s">
        <v>81</v>
      </c>
      <c r="AA2097" s="6" t="s">
        <v>81</v>
      </c>
      <c r="AB2097" s="6" t="s">
        <v>81</v>
      </c>
      <c r="AC2097" s="6" t="s">
        <v>10886</v>
      </c>
      <c r="AD2097" s="16" t="n">
        <v>45387</v>
      </c>
      <c r="AE2097" s="6" t="s">
        <v>81</v>
      </c>
      <c r="AF2097" s="6" t="s">
        <v>81</v>
      </c>
      <c r="AG2097" s="6" t="s">
        <v>81</v>
      </c>
      <c r="AH2097" s="6" t="s">
        <v>16646</v>
      </c>
      <c r="AI2097" s="6" t="s">
        <v>81</v>
      </c>
      <c r="AJ2097" s="6" t="s">
        <v>17613</v>
      </c>
      <c r="AK2097" s="6" t="s">
        <v>18383</v>
      </c>
      <c r="AL2097" s="6" t="s">
        <v>18444</v>
      </c>
      <c r="AM2097" s="6" t="s">
        <v>18779</v>
      </c>
      <c r="AN2097" s="6" t="s">
        <v>81</v>
      </c>
      <c r="AO2097" s="6" t="s">
        <v>81</v>
      </c>
      <c r="AP2097" s="6" t="s">
        <v>81</v>
      </c>
      <c r="AQ2097" s="6" t="s">
        <v>81</v>
      </c>
      <c r="AR2097" s="6" t="s">
        <v>81</v>
      </c>
      <c r="AS2097" s="6" t="s">
        <v>81</v>
      </c>
      <c r="AT2097" s="6" t="s">
        <v>81</v>
      </c>
      <c r="AU2097" s="6" t="s">
        <v>81</v>
      </c>
      <c r="AV2097" s="6" t="s">
        <v>81</v>
      </c>
      <c r="AW2097" s="6" t="s">
        <v>81</v>
      </c>
      <c r="AX2097" s="6" t="s">
        <v>22125</v>
      </c>
      <c r="AY2097" s="6" t="s">
        <v>81</v>
      </c>
      <c r="AZ2097" s="6" t="s">
        <v>81</v>
      </c>
      <c r="BA2097" s="6" t="s">
        <v>81</v>
      </c>
      <c r="BB2097" s="24" t="n">
        <v>97</v>
      </c>
      <c r="BC2097" s="26"/>
      <c r="BD2097" s="26"/>
      <c r="BE2097" s="26"/>
      <c r="BF2097" s="26"/>
      <c r="BG2097" s="26"/>
      <c r="BH2097" s="26"/>
      <c r="BI2097" s="26"/>
      <c r="BJ2097" s="26"/>
      <c r="BK2097" s="26"/>
      <c r="BL2097" s="26"/>
      <c r="BM2097" s="26"/>
      <c r="BN2097" s="26"/>
      <c r="BO2097" s="26"/>
      <c r="BP2097" s="16" t="n">
        <v>45701</v>
      </c>
      <c r="BQ2097" s="28" t="str">
        <f>HYPERLINK("https://organic.ams.usda.gov/Integrity/Certificate.aspx?cid=81&amp;nopid=4212024020")</f>
        <v>https://organic.ams.usda.gov/Integrity/Certificate.aspx?cid=81&amp;nopid=4212024020</v>
      </c>
    </row>
    <row r="2098">
      <c r="A2098" t="s">
        <v>3</v>
      </c>
      <c r="B2098" s="6" t="s">
        <v>16</v>
      </c>
      <c r="C2098" s="6" t="s">
        <v>63</v>
      </c>
      <c r="D2098" s="6" t="s">
        <v>109</v>
      </c>
      <c r="E2098" s="10" t="s">
        <v>2239</v>
      </c>
      <c r="F2098" s="6" t="s">
        <v>4952</v>
      </c>
      <c r="G2098" s="6" t="s">
        <v>81</v>
      </c>
      <c r="H2098" s="6" t="s">
        <v>7809</v>
      </c>
      <c r="I2098" s="6" t="s">
        <v>8671</v>
      </c>
      <c r="J2098" s="6" t="s">
        <v>10610</v>
      </c>
      <c r="K2098" s="6" t="s">
        <v>10886</v>
      </c>
      <c r="L2098" s="16" t="n">
        <v>42569</v>
      </c>
      <c r="M2098" s="16" t="n">
        <v>45731</v>
      </c>
      <c r="N2098" s="6" t="s">
        <v>10886</v>
      </c>
      <c r="O2098" s="16" t="n">
        <v>42569</v>
      </c>
      <c r="P2098" s="6" t="s">
        <v>11564</v>
      </c>
      <c r="Q2098" s="6" t="s">
        <v>81</v>
      </c>
      <c r="R2098" s="6" t="s">
        <v>81</v>
      </c>
      <c r="S2098" s="6" t="s">
        <v>10886</v>
      </c>
      <c r="T2098" s="16" t="n">
        <v>42569</v>
      </c>
      <c r="U2098" s="6" t="s">
        <v>13783</v>
      </c>
      <c r="V2098" s="6" t="s">
        <v>81</v>
      </c>
      <c r="W2098" s="6" t="s">
        <v>81</v>
      </c>
      <c r="X2098" s="6" t="s">
        <v>81</v>
      </c>
      <c r="Y2098" s="21" t="s">
        <v>81</v>
      </c>
      <c r="Z2098" s="6" t="s">
        <v>81</v>
      </c>
      <c r="AA2098" s="6" t="s">
        <v>81</v>
      </c>
      <c r="AB2098" s="6" t="s">
        <v>81</v>
      </c>
      <c r="AC2098" s="6" t="s">
        <v>10886</v>
      </c>
      <c r="AD2098" s="16" t="n">
        <v>42569</v>
      </c>
      <c r="AE2098" s="6" t="s">
        <v>81</v>
      </c>
      <c r="AF2098" s="6" t="s">
        <v>81</v>
      </c>
      <c r="AG2098" s="6" t="s">
        <v>81</v>
      </c>
      <c r="AH2098" s="6" t="s">
        <v>16647</v>
      </c>
      <c r="AI2098" s="6" t="s">
        <v>81</v>
      </c>
      <c r="AJ2098" s="6" t="s">
        <v>17613</v>
      </c>
      <c r="AK2098" s="6" t="s">
        <v>18383</v>
      </c>
      <c r="AL2098" s="6" t="s">
        <v>18444</v>
      </c>
      <c r="AM2098" s="6" t="s">
        <v>18779</v>
      </c>
      <c r="AN2098" s="6" t="s">
        <v>19646</v>
      </c>
      <c r="AO2098" s="6" t="s">
        <v>19841</v>
      </c>
      <c r="AP2098" s="6" t="s">
        <v>81</v>
      </c>
      <c r="AQ2098" s="6" t="s">
        <v>81</v>
      </c>
      <c r="AR2098" s="6" t="s">
        <v>81</v>
      </c>
      <c r="AS2098" s="6" t="s">
        <v>81</v>
      </c>
      <c r="AT2098" s="6" t="s">
        <v>81</v>
      </c>
      <c r="AU2098" s="6" t="s">
        <v>81</v>
      </c>
      <c r="AV2098" s="6" t="s">
        <v>81</v>
      </c>
      <c r="AW2098" s="6" t="s">
        <v>81</v>
      </c>
      <c r="AX2098" s="6" t="s">
        <v>22126</v>
      </c>
      <c r="AY2098" s="6" t="s">
        <v>81</v>
      </c>
      <c r="AZ2098" s="6" t="s">
        <v>81</v>
      </c>
      <c r="BA2098" s="6" t="s">
        <v>81</v>
      </c>
      <c r="BB2098" s="24" t="n">
        <v>377</v>
      </c>
      <c r="BC2098" s="26"/>
      <c r="BD2098" s="26"/>
      <c r="BE2098" s="26"/>
      <c r="BF2098" s="26"/>
      <c r="BG2098" s="26"/>
      <c r="BH2098" s="26"/>
      <c r="BI2098" s="26"/>
      <c r="BJ2098" s="26"/>
      <c r="BK2098" s="26"/>
      <c r="BL2098" s="26"/>
      <c r="BM2098" s="26"/>
      <c r="BN2098" s="26"/>
      <c r="BO2098" s="26"/>
      <c r="BP2098" s="16" t="n">
        <v>45701</v>
      </c>
      <c r="BQ2098" s="28" t="str">
        <f>HYPERLINK("https://organic.ams.usda.gov/Integrity/Certificate.aspx?cid=81&amp;nopid=4210016087")</f>
        <v>https://organic.ams.usda.gov/Integrity/Certificate.aspx?cid=81&amp;nopid=4210016087</v>
      </c>
    </row>
    <row r="2099">
      <c r="A2099" t="s">
        <v>3</v>
      </c>
      <c r="B2099" s="6" t="s">
        <v>16</v>
      </c>
      <c r="C2099" s="6" t="s">
        <v>63</v>
      </c>
      <c r="D2099" s="6" t="s">
        <v>109</v>
      </c>
      <c r="E2099" s="10" t="s">
        <v>2240</v>
      </c>
      <c r="F2099" s="6" t="s">
        <v>4953</v>
      </c>
      <c r="G2099" s="6" t="s">
        <v>5812</v>
      </c>
      <c r="H2099" s="6" t="s">
        <v>7810</v>
      </c>
      <c r="I2099" s="6" t="s">
        <v>8693</v>
      </c>
      <c r="J2099" s="6" t="s">
        <v>10611</v>
      </c>
      <c r="K2099" s="6" t="s">
        <v>10886</v>
      </c>
      <c r="L2099" s="16" t="n">
        <v>38279</v>
      </c>
      <c r="M2099" s="16" t="n">
        <v>45731</v>
      </c>
      <c r="N2099" s="6" t="s">
        <v>10886</v>
      </c>
      <c r="O2099" s="16" t="n">
        <v>38279</v>
      </c>
      <c r="P2099" s="6" t="s">
        <v>11564</v>
      </c>
      <c r="Q2099" s="6" t="s">
        <v>81</v>
      </c>
      <c r="R2099" s="6" t="s">
        <v>81</v>
      </c>
      <c r="S2099" s="6" t="s">
        <v>10886</v>
      </c>
      <c r="T2099" s="16" t="n">
        <v>38279</v>
      </c>
      <c r="U2099" s="6" t="s">
        <v>13182</v>
      </c>
      <c r="V2099" s="6" t="s">
        <v>81</v>
      </c>
      <c r="W2099" s="6" t="s">
        <v>81</v>
      </c>
      <c r="X2099" s="6" t="s">
        <v>81</v>
      </c>
      <c r="Y2099" s="21" t="s">
        <v>81</v>
      </c>
      <c r="Z2099" s="6" t="s">
        <v>81</v>
      </c>
      <c r="AA2099" s="6" t="s">
        <v>81</v>
      </c>
      <c r="AB2099" s="6" t="s">
        <v>81</v>
      </c>
      <c r="AC2099" s="6" t="s">
        <v>10886</v>
      </c>
      <c r="AD2099" s="16" t="n">
        <v>38279</v>
      </c>
      <c r="AE2099" s="6" t="s">
        <v>81</v>
      </c>
      <c r="AF2099" s="6" t="s">
        <v>81</v>
      </c>
      <c r="AG2099" s="6" t="s">
        <v>81</v>
      </c>
      <c r="AH2099" s="6" t="s">
        <v>16648</v>
      </c>
      <c r="AI2099" s="6" t="s">
        <v>81</v>
      </c>
      <c r="AJ2099" s="6" t="s">
        <v>17695</v>
      </c>
      <c r="AK2099" s="6" t="s">
        <v>18383</v>
      </c>
      <c r="AL2099" s="6" t="s">
        <v>18444</v>
      </c>
      <c r="AM2099" s="6" t="s">
        <v>19394</v>
      </c>
      <c r="AN2099" s="6" t="s">
        <v>19660</v>
      </c>
      <c r="AO2099" s="6" t="s">
        <v>20039</v>
      </c>
      <c r="AP2099" s="6" t="s">
        <v>81</v>
      </c>
      <c r="AQ2099" s="6" t="s">
        <v>81</v>
      </c>
      <c r="AR2099" s="6" t="s">
        <v>81</v>
      </c>
      <c r="AS2099" s="6" t="s">
        <v>81</v>
      </c>
      <c r="AT2099" s="6" t="s">
        <v>81</v>
      </c>
      <c r="AU2099" s="6" t="s">
        <v>81</v>
      </c>
      <c r="AV2099" s="6" t="s">
        <v>81</v>
      </c>
      <c r="AW2099" s="6" t="s">
        <v>81</v>
      </c>
      <c r="AX2099" s="6" t="s">
        <v>22127</v>
      </c>
      <c r="AY2099" s="6" t="s">
        <v>81</v>
      </c>
      <c r="AZ2099" s="6" t="s">
        <v>81</v>
      </c>
      <c r="BA2099" s="6" t="s">
        <v>81</v>
      </c>
      <c r="BB2099" s="24" t="n">
        <v>160</v>
      </c>
      <c r="BC2099" s="26"/>
      <c r="BD2099" s="26"/>
      <c r="BE2099" s="26"/>
      <c r="BF2099" s="26"/>
      <c r="BG2099" s="26"/>
      <c r="BH2099" s="26"/>
      <c r="BI2099" s="26"/>
      <c r="BJ2099" s="26"/>
      <c r="BK2099" s="26"/>
      <c r="BL2099" s="26"/>
      <c r="BM2099" s="26"/>
      <c r="BN2099" s="26"/>
      <c r="BO2099" s="26"/>
      <c r="BP2099" s="16" t="n">
        <v>45701</v>
      </c>
      <c r="BQ2099" s="28" t="str">
        <f>HYPERLINK("https://organic.ams.usda.gov/Integrity/Certificate.aspx?cid=81&amp;nopid=4210004064")</f>
        <v>https://organic.ams.usda.gov/Integrity/Certificate.aspx?cid=81&amp;nopid=4210004064</v>
      </c>
    </row>
    <row r="2100">
      <c r="A2100" t="s">
        <v>3</v>
      </c>
      <c r="B2100" s="6" t="s">
        <v>16</v>
      </c>
      <c r="C2100" s="6" t="s">
        <v>63</v>
      </c>
      <c r="D2100" s="6" t="s">
        <v>109</v>
      </c>
      <c r="E2100" s="10" t="s">
        <v>2241</v>
      </c>
      <c r="F2100" s="6" t="s">
        <v>4954</v>
      </c>
      <c r="G2100" s="6" t="s">
        <v>81</v>
      </c>
      <c r="H2100" s="6" t="s">
        <v>6676</v>
      </c>
      <c r="I2100" s="6" t="s">
        <v>9409</v>
      </c>
      <c r="J2100" s="6" t="s">
        <v>10612</v>
      </c>
      <c r="K2100" s="6" t="s">
        <v>10886</v>
      </c>
      <c r="L2100" s="16" t="n">
        <v>45412</v>
      </c>
      <c r="M2100" s="16" t="n">
        <v>45731</v>
      </c>
      <c r="N2100" s="6" t="s">
        <v>10886</v>
      </c>
      <c r="O2100" s="16" t="n">
        <v>45412</v>
      </c>
      <c r="P2100" s="6" t="s">
        <v>81</v>
      </c>
      <c r="Q2100" s="6" t="s">
        <v>81</v>
      </c>
      <c r="R2100" s="6" t="s">
        <v>81</v>
      </c>
      <c r="S2100" s="6" t="s">
        <v>10886</v>
      </c>
      <c r="T2100" s="16" t="n">
        <v>45412</v>
      </c>
      <c r="U2100" s="6" t="s">
        <v>13281</v>
      </c>
      <c r="V2100" s="6" t="s">
        <v>81</v>
      </c>
      <c r="W2100" s="6" t="s">
        <v>81</v>
      </c>
      <c r="X2100" s="6" t="s">
        <v>81</v>
      </c>
      <c r="Y2100" s="21" t="s">
        <v>81</v>
      </c>
      <c r="Z2100" s="6" t="s">
        <v>81</v>
      </c>
      <c r="AA2100" s="6" t="s">
        <v>81</v>
      </c>
      <c r="AB2100" s="6" t="s">
        <v>81</v>
      </c>
      <c r="AC2100" s="6" t="s">
        <v>10886</v>
      </c>
      <c r="AD2100" s="16" t="n">
        <v>45412</v>
      </c>
      <c r="AE2100" s="6" t="s">
        <v>81</v>
      </c>
      <c r="AF2100" s="6" t="s">
        <v>81</v>
      </c>
      <c r="AG2100" s="6" t="s">
        <v>81</v>
      </c>
      <c r="AH2100" s="6" t="s">
        <v>16649</v>
      </c>
      <c r="AI2100" s="6" t="s">
        <v>81</v>
      </c>
      <c r="AJ2100" s="6" t="s">
        <v>17400</v>
      </c>
      <c r="AK2100" s="6" t="s">
        <v>18383</v>
      </c>
      <c r="AL2100" s="6" t="s">
        <v>18444</v>
      </c>
      <c r="AM2100" s="6" t="s">
        <v>18695</v>
      </c>
      <c r="AN2100" s="6" t="s">
        <v>81</v>
      </c>
      <c r="AO2100" s="6" t="s">
        <v>81</v>
      </c>
      <c r="AP2100" s="6" t="s">
        <v>81</v>
      </c>
      <c r="AQ2100" s="6" t="s">
        <v>81</v>
      </c>
      <c r="AR2100" s="6" t="s">
        <v>81</v>
      </c>
      <c r="AS2100" s="6" t="s">
        <v>81</v>
      </c>
      <c r="AT2100" s="6" t="s">
        <v>81</v>
      </c>
      <c r="AU2100" s="6" t="s">
        <v>81</v>
      </c>
      <c r="AV2100" s="6" t="s">
        <v>81</v>
      </c>
      <c r="AW2100" s="6" t="s">
        <v>81</v>
      </c>
      <c r="AX2100" s="6" t="s">
        <v>22128</v>
      </c>
      <c r="AY2100" s="6" t="s">
        <v>81</v>
      </c>
      <c r="AZ2100" s="6" t="s">
        <v>81</v>
      </c>
      <c r="BA2100" s="6" t="s">
        <v>81</v>
      </c>
      <c r="BB2100" s="24" t="n">
        <v>372</v>
      </c>
      <c r="BC2100" s="26"/>
      <c r="BD2100" s="26"/>
      <c r="BE2100" s="26"/>
      <c r="BF2100" s="26"/>
      <c r="BG2100" s="26"/>
      <c r="BH2100" s="26"/>
      <c r="BI2100" s="26"/>
      <c r="BJ2100" s="26"/>
      <c r="BK2100" s="26"/>
      <c r="BL2100" s="26"/>
      <c r="BM2100" s="26"/>
      <c r="BN2100" s="26"/>
      <c r="BO2100" s="26"/>
      <c r="BP2100" s="16" t="n">
        <v>45701</v>
      </c>
      <c r="BQ2100" s="28" t="str">
        <f>HYPERLINK("https://organic.ams.usda.gov/Integrity/Certificate.aspx?cid=81&amp;nopid=4212024025")</f>
        <v>https://organic.ams.usda.gov/Integrity/Certificate.aspx?cid=81&amp;nopid=4212024025</v>
      </c>
    </row>
    <row r="2101">
      <c r="A2101" t="s">
        <v>3</v>
      </c>
      <c r="B2101" s="6" t="s">
        <v>16</v>
      </c>
      <c r="C2101" s="6" t="s">
        <v>63</v>
      </c>
      <c r="D2101" s="6" t="s">
        <v>109</v>
      </c>
      <c r="E2101" s="10" t="s">
        <v>2242</v>
      </c>
      <c r="F2101" s="6" t="s">
        <v>4955</v>
      </c>
      <c r="G2101" s="6" t="s">
        <v>81</v>
      </c>
      <c r="H2101" s="6" t="s">
        <v>7811</v>
      </c>
      <c r="I2101" s="6" t="s">
        <v>8928</v>
      </c>
      <c r="J2101" s="6" t="s">
        <v>9735</v>
      </c>
      <c r="K2101" s="6" t="s">
        <v>10886</v>
      </c>
      <c r="L2101" s="16" t="n">
        <v>39173</v>
      </c>
      <c r="M2101" s="16" t="n">
        <v>45731</v>
      </c>
      <c r="N2101" s="6" t="s">
        <v>10886</v>
      </c>
      <c r="O2101" s="16" t="n">
        <v>39173</v>
      </c>
      <c r="P2101" s="6" t="s">
        <v>11130</v>
      </c>
      <c r="Q2101" s="6" t="s">
        <v>81</v>
      </c>
      <c r="R2101" s="6" t="s">
        <v>81</v>
      </c>
      <c r="S2101" s="6" t="s">
        <v>10886</v>
      </c>
      <c r="T2101" s="16" t="n">
        <v>39173</v>
      </c>
      <c r="U2101" s="6" t="s">
        <v>13350</v>
      </c>
      <c r="V2101" s="6" t="s">
        <v>81</v>
      </c>
      <c r="W2101" s="6" t="s">
        <v>81</v>
      </c>
      <c r="X2101" s="6" t="s">
        <v>81</v>
      </c>
      <c r="Y2101" s="21" t="s">
        <v>81</v>
      </c>
      <c r="Z2101" s="6" t="s">
        <v>81</v>
      </c>
      <c r="AA2101" s="6" t="s">
        <v>81</v>
      </c>
      <c r="AB2101" s="6" t="s">
        <v>81</v>
      </c>
      <c r="AC2101" s="6" t="s">
        <v>10886</v>
      </c>
      <c r="AD2101" s="16" t="n">
        <v>39173</v>
      </c>
      <c r="AE2101" s="6" t="s">
        <v>81</v>
      </c>
      <c r="AF2101" s="6" t="s">
        <v>81</v>
      </c>
      <c r="AG2101" s="6" t="s">
        <v>81</v>
      </c>
      <c r="AH2101" s="6" t="s">
        <v>16650</v>
      </c>
      <c r="AI2101" s="6" t="s">
        <v>81</v>
      </c>
      <c r="AJ2101" s="6" t="s">
        <v>18210</v>
      </c>
      <c r="AK2101" s="6" t="s">
        <v>18383</v>
      </c>
      <c r="AL2101" s="6" t="s">
        <v>18444</v>
      </c>
      <c r="AM2101" s="6" t="s">
        <v>19423</v>
      </c>
      <c r="AN2101" s="6" t="s">
        <v>19636</v>
      </c>
      <c r="AO2101" s="6" t="s">
        <v>19740</v>
      </c>
      <c r="AP2101" s="6" t="s">
        <v>16650</v>
      </c>
      <c r="AQ2101" s="6" t="s">
        <v>81</v>
      </c>
      <c r="AR2101" s="6" t="s">
        <v>20568</v>
      </c>
      <c r="AS2101" s="6" t="s">
        <v>18383</v>
      </c>
      <c r="AT2101" s="6" t="s">
        <v>18444</v>
      </c>
      <c r="AU2101" s="6" t="s">
        <v>19423</v>
      </c>
      <c r="AV2101" s="6" t="s">
        <v>81</v>
      </c>
      <c r="AW2101" s="6" t="s">
        <v>81</v>
      </c>
      <c r="AX2101" s="6" t="s">
        <v>22129</v>
      </c>
      <c r="AY2101" s="6" t="s">
        <v>81</v>
      </c>
      <c r="AZ2101" s="6" t="s">
        <v>81</v>
      </c>
      <c r="BA2101" s="6" t="s">
        <v>81</v>
      </c>
      <c r="BB2101" s="24" t="n">
        <v>244</v>
      </c>
      <c r="BC2101" s="26"/>
      <c r="BD2101" s="26"/>
      <c r="BE2101" s="26"/>
      <c r="BF2101" s="26"/>
      <c r="BG2101" s="26"/>
      <c r="BH2101" s="26"/>
      <c r="BI2101" s="26"/>
      <c r="BJ2101" s="26"/>
      <c r="BK2101" s="26"/>
      <c r="BL2101" s="26"/>
      <c r="BM2101" s="26"/>
      <c r="BN2101" s="26"/>
      <c r="BO2101" s="26"/>
      <c r="BP2101" s="16" t="n">
        <v>45701</v>
      </c>
      <c r="BQ2101" s="28" t="str">
        <f>HYPERLINK("https://organic.ams.usda.gov/Integrity/Certificate.aspx?cid=81&amp;nopid=4210007017")</f>
        <v>https://organic.ams.usda.gov/Integrity/Certificate.aspx?cid=81&amp;nopid=4210007017</v>
      </c>
    </row>
    <row r="2102">
      <c r="A2102" t="s">
        <v>3</v>
      </c>
      <c r="B2102" s="6" t="s">
        <v>16</v>
      </c>
      <c r="C2102" s="6" t="s">
        <v>63</v>
      </c>
      <c r="D2102" s="6" t="s">
        <v>109</v>
      </c>
      <c r="E2102" s="10" t="s">
        <v>2243</v>
      </c>
      <c r="F2102" s="6" t="s">
        <v>4956</v>
      </c>
      <c r="G2102" s="6" t="s">
        <v>81</v>
      </c>
      <c r="H2102" s="6" t="s">
        <v>7812</v>
      </c>
      <c r="I2102" s="6" t="s">
        <v>9410</v>
      </c>
      <c r="J2102" s="6" t="s">
        <v>10613</v>
      </c>
      <c r="K2102" s="6" t="s">
        <v>10886</v>
      </c>
      <c r="L2102" s="16" t="n">
        <v>38718</v>
      </c>
      <c r="M2102" s="16" t="n">
        <v>45731</v>
      </c>
      <c r="N2102" s="6" t="s">
        <v>10886</v>
      </c>
      <c r="O2102" s="16" t="n">
        <v>38718</v>
      </c>
      <c r="P2102" s="6" t="s">
        <v>11130</v>
      </c>
      <c r="Q2102" s="6" t="s">
        <v>81</v>
      </c>
      <c r="R2102" s="6" t="s">
        <v>81</v>
      </c>
      <c r="S2102" s="6" t="s">
        <v>10886</v>
      </c>
      <c r="T2102" s="16" t="n">
        <v>38718</v>
      </c>
      <c r="U2102" s="6" t="s">
        <v>13794</v>
      </c>
      <c r="V2102" s="6" t="s">
        <v>81</v>
      </c>
      <c r="W2102" s="6" t="s">
        <v>81</v>
      </c>
      <c r="X2102" s="6" t="s">
        <v>81</v>
      </c>
      <c r="Y2102" s="21" t="s">
        <v>81</v>
      </c>
      <c r="Z2102" s="6" t="s">
        <v>81</v>
      </c>
      <c r="AA2102" s="6" t="s">
        <v>81</v>
      </c>
      <c r="AB2102" s="6" t="s">
        <v>81</v>
      </c>
      <c r="AC2102" s="6" t="s">
        <v>81</v>
      </c>
      <c r="AD2102" s="21" t="s">
        <v>81</v>
      </c>
      <c r="AE2102" s="6" t="s">
        <v>81</v>
      </c>
      <c r="AF2102" s="6" t="s">
        <v>81</v>
      </c>
      <c r="AG2102" s="6" t="s">
        <v>81</v>
      </c>
      <c r="AH2102" s="6" t="s">
        <v>16651</v>
      </c>
      <c r="AI2102" s="6" t="s">
        <v>81</v>
      </c>
      <c r="AJ2102" s="6" t="s">
        <v>18211</v>
      </c>
      <c r="AK2102" s="6" t="s">
        <v>18383</v>
      </c>
      <c r="AL2102" s="6" t="s">
        <v>18444</v>
      </c>
      <c r="AM2102" s="6" t="s">
        <v>19424</v>
      </c>
      <c r="AN2102" s="6" t="s">
        <v>19682</v>
      </c>
      <c r="AO2102" s="6" t="s">
        <v>20041</v>
      </c>
      <c r="AP2102" s="6" t="s">
        <v>81</v>
      </c>
      <c r="AQ2102" s="6" t="s">
        <v>81</v>
      </c>
      <c r="AR2102" s="6" t="s">
        <v>81</v>
      </c>
      <c r="AS2102" s="6" t="s">
        <v>81</v>
      </c>
      <c r="AT2102" s="6" t="s">
        <v>81</v>
      </c>
      <c r="AU2102" s="6" t="s">
        <v>81</v>
      </c>
      <c r="AV2102" s="6" t="s">
        <v>81</v>
      </c>
      <c r="AW2102" s="6" t="s">
        <v>81</v>
      </c>
      <c r="AX2102" s="6" t="s">
        <v>22130</v>
      </c>
      <c r="AY2102" s="6" t="s">
        <v>81</v>
      </c>
      <c r="AZ2102" s="6" t="s">
        <v>81</v>
      </c>
      <c r="BA2102" s="6" t="s">
        <v>81</v>
      </c>
      <c r="BB2102" s="24" t="n">
        <v>225</v>
      </c>
      <c r="BC2102" s="26"/>
      <c r="BD2102" s="26"/>
      <c r="BE2102" s="26"/>
      <c r="BF2102" s="26"/>
      <c r="BG2102" s="26"/>
      <c r="BH2102" s="26"/>
      <c r="BI2102" s="26"/>
      <c r="BJ2102" s="26"/>
      <c r="BK2102" s="26"/>
      <c r="BL2102" s="26"/>
      <c r="BM2102" s="26"/>
      <c r="BN2102" s="26"/>
      <c r="BO2102" s="26"/>
      <c r="BP2102" s="16" t="n">
        <v>45701</v>
      </c>
      <c r="BQ2102" s="28" t="str">
        <f>HYPERLINK("https://organic.ams.usda.gov/Integrity/Certificate.aspx?cid=81&amp;nopid=4210005058")</f>
        <v>https://organic.ams.usda.gov/Integrity/Certificate.aspx?cid=81&amp;nopid=4210005058</v>
      </c>
    </row>
    <row r="2103">
      <c r="A2103" t="s">
        <v>3</v>
      </c>
      <c r="B2103" s="6" t="s">
        <v>16</v>
      </c>
      <c r="C2103" s="6" t="s">
        <v>63</v>
      </c>
      <c r="D2103" s="6" t="s">
        <v>109</v>
      </c>
      <c r="E2103" s="10" t="s">
        <v>2244</v>
      </c>
      <c r="F2103" s="6" t="s">
        <v>4957</v>
      </c>
      <c r="G2103" s="6" t="s">
        <v>5813</v>
      </c>
      <c r="H2103" s="6" t="s">
        <v>7813</v>
      </c>
      <c r="I2103" s="6" t="s">
        <v>9411</v>
      </c>
      <c r="J2103" s="6" t="s">
        <v>10614</v>
      </c>
      <c r="K2103" s="6" t="s">
        <v>10886</v>
      </c>
      <c r="L2103" s="16" t="n">
        <v>43287</v>
      </c>
      <c r="M2103" s="16" t="n">
        <v>45731</v>
      </c>
      <c r="N2103" s="6" t="s">
        <v>10886</v>
      </c>
      <c r="O2103" s="16" t="n">
        <v>43287</v>
      </c>
      <c r="P2103" s="6" t="s">
        <v>10946</v>
      </c>
      <c r="Q2103" s="6" t="s">
        <v>81</v>
      </c>
      <c r="R2103" s="6" t="s">
        <v>81</v>
      </c>
      <c r="S2103" s="6" t="s">
        <v>10886</v>
      </c>
      <c r="T2103" s="16" t="n">
        <v>43287</v>
      </c>
      <c r="U2103" s="6" t="s">
        <v>13308</v>
      </c>
      <c r="V2103" s="6" t="s">
        <v>81</v>
      </c>
      <c r="W2103" s="6" t="s">
        <v>81</v>
      </c>
      <c r="X2103" s="6" t="s">
        <v>81</v>
      </c>
      <c r="Y2103" s="21" t="s">
        <v>81</v>
      </c>
      <c r="Z2103" s="6" t="s">
        <v>81</v>
      </c>
      <c r="AA2103" s="6" t="s">
        <v>81</v>
      </c>
      <c r="AB2103" s="6" t="s">
        <v>81</v>
      </c>
      <c r="AC2103" s="6" t="s">
        <v>81</v>
      </c>
      <c r="AD2103" s="21" t="s">
        <v>81</v>
      </c>
      <c r="AE2103" s="6" t="s">
        <v>81</v>
      </c>
      <c r="AF2103" s="6" t="s">
        <v>81</v>
      </c>
      <c r="AG2103" s="6" t="s">
        <v>81</v>
      </c>
      <c r="AH2103" s="6" t="s">
        <v>16652</v>
      </c>
      <c r="AI2103" s="6" t="s">
        <v>81</v>
      </c>
      <c r="AJ2103" s="6" t="s">
        <v>17613</v>
      </c>
      <c r="AK2103" s="6" t="s">
        <v>18383</v>
      </c>
      <c r="AL2103" s="6" t="s">
        <v>18444</v>
      </c>
      <c r="AM2103" s="6" t="s">
        <v>18779</v>
      </c>
      <c r="AN2103" s="6" t="s">
        <v>19646</v>
      </c>
      <c r="AO2103" s="6" t="s">
        <v>19841</v>
      </c>
      <c r="AP2103" s="6" t="s">
        <v>20392</v>
      </c>
      <c r="AQ2103" s="6" t="s">
        <v>81</v>
      </c>
      <c r="AR2103" s="6" t="s">
        <v>17613</v>
      </c>
      <c r="AS2103" s="6" t="s">
        <v>18383</v>
      </c>
      <c r="AT2103" s="6" t="s">
        <v>18444</v>
      </c>
      <c r="AU2103" s="6" t="s">
        <v>18779</v>
      </c>
      <c r="AV2103" s="6" t="s">
        <v>81</v>
      </c>
      <c r="AW2103" s="6" t="s">
        <v>81</v>
      </c>
      <c r="AX2103" s="6" t="s">
        <v>22131</v>
      </c>
      <c r="AY2103" s="6" t="s">
        <v>81</v>
      </c>
      <c r="AZ2103" s="6" t="s">
        <v>81</v>
      </c>
      <c r="BA2103" s="6" t="s">
        <v>81</v>
      </c>
      <c r="BB2103" s="24" t="n">
        <v>138</v>
      </c>
      <c r="BC2103" s="26"/>
      <c r="BD2103" s="26"/>
      <c r="BE2103" s="26"/>
      <c r="BF2103" s="26"/>
      <c r="BG2103" s="26"/>
      <c r="BH2103" s="26"/>
      <c r="BI2103" s="26"/>
      <c r="BJ2103" s="26"/>
      <c r="BK2103" s="26"/>
      <c r="BL2103" s="26"/>
      <c r="BM2103" s="26"/>
      <c r="BN2103" s="26"/>
      <c r="BO2103" s="26"/>
      <c r="BP2103" s="16" t="n">
        <v>45701</v>
      </c>
      <c r="BQ2103" s="28" t="str">
        <f>HYPERLINK("https://organic.ams.usda.gov/Integrity/Certificate.aspx?cid=81&amp;nopid=4210018043")</f>
        <v>https://organic.ams.usda.gov/Integrity/Certificate.aspx?cid=81&amp;nopid=4210018043</v>
      </c>
    </row>
    <row r="2104">
      <c r="A2104" t="s">
        <v>3</v>
      </c>
      <c r="B2104" s="6" t="s">
        <v>16</v>
      </c>
      <c r="C2104" s="6" t="s">
        <v>63</v>
      </c>
      <c r="D2104" s="6" t="s">
        <v>109</v>
      </c>
      <c r="E2104" s="10" t="s">
        <v>2245</v>
      </c>
      <c r="F2104" s="6" t="s">
        <v>4958</v>
      </c>
      <c r="G2104" s="6" t="s">
        <v>81</v>
      </c>
      <c r="H2104" s="6" t="s">
        <v>7814</v>
      </c>
      <c r="I2104" s="6" t="s">
        <v>9412</v>
      </c>
      <c r="J2104" s="6" t="s">
        <v>9671</v>
      </c>
      <c r="K2104" s="6" t="s">
        <v>10886</v>
      </c>
      <c r="L2104" s="16" t="n">
        <v>45554</v>
      </c>
      <c r="M2104" s="16" t="n">
        <v>45731</v>
      </c>
      <c r="N2104" s="6" t="s">
        <v>10886</v>
      </c>
      <c r="O2104" s="16" t="n">
        <v>45554</v>
      </c>
      <c r="P2104" s="6" t="s">
        <v>12081</v>
      </c>
      <c r="Q2104" s="6" t="s">
        <v>81</v>
      </c>
      <c r="R2104" s="6" t="s">
        <v>81</v>
      </c>
      <c r="S2104" s="6" t="s">
        <v>10886</v>
      </c>
      <c r="T2104" s="16" t="n">
        <v>45554</v>
      </c>
      <c r="U2104" s="6" t="s">
        <v>13281</v>
      </c>
      <c r="V2104" s="6" t="s">
        <v>81</v>
      </c>
      <c r="W2104" s="6" t="s">
        <v>81</v>
      </c>
      <c r="X2104" s="6" t="s">
        <v>81</v>
      </c>
      <c r="Y2104" s="21" t="s">
        <v>81</v>
      </c>
      <c r="Z2104" s="6" t="s">
        <v>81</v>
      </c>
      <c r="AA2104" s="6" t="s">
        <v>81</v>
      </c>
      <c r="AB2104" s="6" t="s">
        <v>81</v>
      </c>
      <c r="AC2104" s="6" t="s">
        <v>10886</v>
      </c>
      <c r="AD2104" s="16" t="n">
        <v>45554</v>
      </c>
      <c r="AE2104" s="6" t="s">
        <v>81</v>
      </c>
      <c r="AF2104" s="6" t="s">
        <v>81</v>
      </c>
      <c r="AG2104" s="6" t="s">
        <v>81</v>
      </c>
      <c r="AH2104" s="6" t="s">
        <v>16653</v>
      </c>
      <c r="AI2104" s="6" t="s">
        <v>81</v>
      </c>
      <c r="AJ2104" s="6" t="s">
        <v>17613</v>
      </c>
      <c r="AK2104" s="6" t="s">
        <v>18383</v>
      </c>
      <c r="AL2104" s="6" t="s">
        <v>18444</v>
      </c>
      <c r="AM2104" s="6" t="s">
        <v>18779</v>
      </c>
      <c r="AN2104" s="6" t="s">
        <v>81</v>
      </c>
      <c r="AO2104" s="6" t="s">
        <v>81</v>
      </c>
      <c r="AP2104" s="6" t="s">
        <v>16653</v>
      </c>
      <c r="AQ2104" s="6" t="s">
        <v>81</v>
      </c>
      <c r="AR2104" s="6" t="s">
        <v>17613</v>
      </c>
      <c r="AS2104" s="6" t="s">
        <v>18383</v>
      </c>
      <c r="AT2104" s="6" t="s">
        <v>18444</v>
      </c>
      <c r="AU2104" s="6" t="s">
        <v>20692</v>
      </c>
      <c r="AV2104" s="6" t="s">
        <v>81</v>
      </c>
      <c r="AW2104" s="6" t="s">
        <v>81</v>
      </c>
      <c r="AX2104" s="6" t="s">
        <v>81</v>
      </c>
      <c r="AY2104" s="6" t="s">
        <v>81</v>
      </c>
      <c r="AZ2104" s="6" t="s">
        <v>81</v>
      </c>
      <c r="BA2104" s="6" t="s">
        <v>81</v>
      </c>
      <c r="BB2104" s="24" t="n">
        <v>195</v>
      </c>
      <c r="BC2104" s="26"/>
      <c r="BD2104" s="26"/>
      <c r="BE2104" s="26"/>
      <c r="BF2104" s="26"/>
      <c r="BG2104" s="26"/>
      <c r="BH2104" s="26"/>
      <c r="BI2104" s="26"/>
      <c r="BJ2104" s="26"/>
      <c r="BK2104" s="26"/>
      <c r="BL2104" s="26"/>
      <c r="BM2104" s="26"/>
      <c r="BN2104" s="26"/>
      <c r="BO2104" s="26"/>
      <c r="BP2104" s="16" t="n">
        <v>45701</v>
      </c>
      <c r="BQ2104" s="28" t="str">
        <f>HYPERLINK("https://organic.ams.usda.gov/Integrity/Certificate.aspx?cid=81&amp;nopid=4212024043")</f>
        <v>https://organic.ams.usda.gov/Integrity/Certificate.aspx?cid=81&amp;nopid=4212024043</v>
      </c>
    </row>
    <row r="2105">
      <c r="A2105" t="s">
        <v>3</v>
      </c>
      <c r="B2105" s="6" t="s">
        <v>16</v>
      </c>
      <c r="C2105" s="6" t="s">
        <v>63</v>
      </c>
      <c r="D2105" s="6" t="s">
        <v>109</v>
      </c>
      <c r="E2105" s="10" t="s">
        <v>2246</v>
      </c>
      <c r="F2105" s="6" t="s">
        <v>4959</v>
      </c>
      <c r="G2105" s="6" t="s">
        <v>81</v>
      </c>
      <c r="H2105" s="6" t="s">
        <v>7815</v>
      </c>
      <c r="I2105" s="6" t="s">
        <v>8651</v>
      </c>
      <c r="J2105" s="6" t="s">
        <v>10610</v>
      </c>
      <c r="K2105" s="6" t="s">
        <v>10886</v>
      </c>
      <c r="L2105" s="16" t="n">
        <v>39217</v>
      </c>
      <c r="M2105" s="16" t="n">
        <v>45731</v>
      </c>
      <c r="N2105" s="6" t="s">
        <v>10886</v>
      </c>
      <c r="O2105" s="16" t="n">
        <v>39217</v>
      </c>
      <c r="P2105" s="6" t="s">
        <v>11564</v>
      </c>
      <c r="Q2105" s="6" t="s">
        <v>81</v>
      </c>
      <c r="R2105" s="6" t="s">
        <v>81</v>
      </c>
      <c r="S2105" s="6" t="s">
        <v>10886</v>
      </c>
      <c r="T2105" s="16" t="n">
        <v>39217</v>
      </c>
      <c r="U2105" s="6" t="s">
        <v>13350</v>
      </c>
      <c r="V2105" s="6" t="s">
        <v>81</v>
      </c>
      <c r="W2105" s="6" t="s">
        <v>81</v>
      </c>
      <c r="X2105" s="6" t="s">
        <v>81</v>
      </c>
      <c r="Y2105" s="21" t="s">
        <v>81</v>
      </c>
      <c r="Z2105" s="6" t="s">
        <v>81</v>
      </c>
      <c r="AA2105" s="6" t="s">
        <v>81</v>
      </c>
      <c r="AB2105" s="6" t="s">
        <v>81</v>
      </c>
      <c r="AC2105" s="6" t="s">
        <v>10886</v>
      </c>
      <c r="AD2105" s="16" t="n">
        <v>39217</v>
      </c>
      <c r="AE2105" s="6" t="s">
        <v>81</v>
      </c>
      <c r="AF2105" s="6" t="s">
        <v>81</v>
      </c>
      <c r="AG2105" s="6" t="s">
        <v>81</v>
      </c>
      <c r="AH2105" s="6" t="s">
        <v>16654</v>
      </c>
      <c r="AI2105" s="6" t="s">
        <v>81</v>
      </c>
      <c r="AJ2105" s="6" t="s">
        <v>17613</v>
      </c>
      <c r="AK2105" s="6" t="s">
        <v>18383</v>
      </c>
      <c r="AL2105" s="6" t="s">
        <v>18444</v>
      </c>
      <c r="AM2105" s="6" t="s">
        <v>18779</v>
      </c>
      <c r="AN2105" s="6" t="s">
        <v>19646</v>
      </c>
      <c r="AO2105" s="6" t="s">
        <v>19841</v>
      </c>
      <c r="AP2105" s="6" t="s">
        <v>81</v>
      </c>
      <c r="AQ2105" s="6" t="s">
        <v>81</v>
      </c>
      <c r="AR2105" s="6" t="s">
        <v>81</v>
      </c>
      <c r="AS2105" s="6" t="s">
        <v>81</v>
      </c>
      <c r="AT2105" s="6" t="s">
        <v>81</v>
      </c>
      <c r="AU2105" s="6" t="s">
        <v>81</v>
      </c>
      <c r="AV2105" s="6" t="s">
        <v>81</v>
      </c>
      <c r="AW2105" s="6" t="s">
        <v>81</v>
      </c>
      <c r="AX2105" s="6" t="s">
        <v>22132</v>
      </c>
      <c r="AY2105" s="6" t="s">
        <v>81</v>
      </c>
      <c r="AZ2105" s="6" t="s">
        <v>81</v>
      </c>
      <c r="BA2105" s="6" t="s">
        <v>81</v>
      </c>
      <c r="BB2105" s="24" t="n">
        <v>147</v>
      </c>
      <c r="BC2105" s="26"/>
      <c r="BD2105" s="26"/>
      <c r="BE2105" s="26"/>
      <c r="BF2105" s="26"/>
      <c r="BG2105" s="26"/>
      <c r="BH2105" s="26"/>
      <c r="BI2105" s="26"/>
      <c r="BJ2105" s="26"/>
      <c r="BK2105" s="26"/>
      <c r="BL2105" s="26"/>
      <c r="BM2105" s="26"/>
      <c r="BN2105" s="26"/>
      <c r="BO2105" s="26"/>
      <c r="BP2105" s="16" t="n">
        <v>45701</v>
      </c>
      <c r="BQ2105" s="28" t="str">
        <f>HYPERLINK("https://organic.ams.usda.gov/Integrity/Certificate.aspx?cid=81&amp;nopid=4210007050")</f>
        <v>https://organic.ams.usda.gov/Integrity/Certificate.aspx?cid=81&amp;nopid=4210007050</v>
      </c>
    </row>
    <row r="2106">
      <c r="A2106" t="s">
        <v>3</v>
      </c>
      <c r="B2106" s="6" t="s">
        <v>16</v>
      </c>
      <c r="C2106" s="6" t="s">
        <v>63</v>
      </c>
      <c r="D2106" s="6" t="s">
        <v>109</v>
      </c>
      <c r="E2106" s="10" t="s">
        <v>2247</v>
      </c>
      <c r="F2106" s="6" t="s">
        <v>4960</v>
      </c>
      <c r="G2106" s="6" t="s">
        <v>5814</v>
      </c>
      <c r="H2106" s="6" t="s">
        <v>7816</v>
      </c>
      <c r="I2106" s="6" t="s">
        <v>9413</v>
      </c>
      <c r="J2106" s="6" t="s">
        <v>10615</v>
      </c>
      <c r="K2106" s="6" t="s">
        <v>10886</v>
      </c>
      <c r="L2106" s="16" t="n">
        <v>39217</v>
      </c>
      <c r="M2106" s="16" t="n">
        <v>45731</v>
      </c>
      <c r="N2106" s="6" t="s">
        <v>10886</v>
      </c>
      <c r="O2106" s="16" t="n">
        <v>39217</v>
      </c>
      <c r="P2106" s="6" t="s">
        <v>11544</v>
      </c>
      <c r="Q2106" s="6" t="s">
        <v>81</v>
      </c>
      <c r="R2106" s="6" t="s">
        <v>81</v>
      </c>
      <c r="S2106" s="6" t="s">
        <v>10886</v>
      </c>
      <c r="T2106" s="16" t="n">
        <v>39217</v>
      </c>
      <c r="U2106" s="6" t="s">
        <v>13795</v>
      </c>
      <c r="V2106" s="6" t="s">
        <v>81</v>
      </c>
      <c r="W2106" s="6" t="s">
        <v>81</v>
      </c>
      <c r="X2106" s="6" t="s">
        <v>81</v>
      </c>
      <c r="Y2106" s="21" t="s">
        <v>81</v>
      </c>
      <c r="Z2106" s="6" t="s">
        <v>81</v>
      </c>
      <c r="AA2106" s="6" t="s">
        <v>81</v>
      </c>
      <c r="AB2106" s="6" t="s">
        <v>81</v>
      </c>
      <c r="AC2106" s="6" t="s">
        <v>81</v>
      </c>
      <c r="AD2106" s="21" t="s">
        <v>81</v>
      </c>
      <c r="AE2106" s="6" t="s">
        <v>81</v>
      </c>
      <c r="AF2106" s="6" t="s">
        <v>81</v>
      </c>
      <c r="AG2106" s="6" t="s">
        <v>81</v>
      </c>
      <c r="AH2106" s="6" t="s">
        <v>16655</v>
      </c>
      <c r="AI2106" s="6" t="s">
        <v>81</v>
      </c>
      <c r="AJ2106" s="6" t="s">
        <v>17613</v>
      </c>
      <c r="AK2106" s="6" t="s">
        <v>18383</v>
      </c>
      <c r="AL2106" s="6" t="s">
        <v>18444</v>
      </c>
      <c r="AM2106" s="6" t="s">
        <v>18779</v>
      </c>
      <c r="AN2106" s="6" t="s">
        <v>19646</v>
      </c>
      <c r="AO2106" s="6" t="s">
        <v>19841</v>
      </c>
      <c r="AP2106" s="6" t="s">
        <v>81</v>
      </c>
      <c r="AQ2106" s="6" t="s">
        <v>81</v>
      </c>
      <c r="AR2106" s="6" t="s">
        <v>81</v>
      </c>
      <c r="AS2106" s="6" t="s">
        <v>81</v>
      </c>
      <c r="AT2106" s="6" t="s">
        <v>81</v>
      </c>
      <c r="AU2106" s="6" t="s">
        <v>81</v>
      </c>
      <c r="AV2106" s="6" t="s">
        <v>81</v>
      </c>
      <c r="AW2106" s="6" t="s">
        <v>81</v>
      </c>
      <c r="AX2106" s="6" t="s">
        <v>22133</v>
      </c>
      <c r="AY2106" s="6" t="s">
        <v>81</v>
      </c>
      <c r="AZ2106" s="6" t="s">
        <v>81</v>
      </c>
      <c r="BA2106" s="6" t="s">
        <v>81</v>
      </c>
      <c r="BB2106" s="24" t="n">
        <v>435</v>
      </c>
      <c r="BC2106" s="26"/>
      <c r="BD2106" s="26"/>
      <c r="BE2106" s="26"/>
      <c r="BF2106" s="26"/>
      <c r="BG2106" s="26"/>
      <c r="BH2106" s="26"/>
      <c r="BI2106" s="26"/>
      <c r="BJ2106" s="26"/>
      <c r="BK2106" s="26"/>
      <c r="BL2106" s="26"/>
      <c r="BM2106" s="26"/>
      <c r="BN2106" s="26"/>
      <c r="BO2106" s="26"/>
      <c r="BP2106" s="16" t="n">
        <v>45701</v>
      </c>
      <c r="BQ2106" s="28" t="str">
        <f>HYPERLINK("https://organic.ams.usda.gov/Integrity/Certificate.aspx?cid=81&amp;nopid=4210007051")</f>
        <v>https://organic.ams.usda.gov/Integrity/Certificate.aspx?cid=81&amp;nopid=4210007051</v>
      </c>
    </row>
    <row r="2107">
      <c r="A2107" t="s">
        <v>3</v>
      </c>
      <c r="B2107" s="6" t="s">
        <v>16</v>
      </c>
      <c r="C2107" s="6" t="s">
        <v>63</v>
      </c>
      <c r="D2107" s="6" t="s">
        <v>109</v>
      </c>
      <c r="E2107" s="10" t="s">
        <v>2248</v>
      </c>
      <c r="F2107" s="6" t="s">
        <v>4961</v>
      </c>
      <c r="G2107" s="6" t="s">
        <v>5815</v>
      </c>
      <c r="H2107" s="6" t="s">
        <v>7817</v>
      </c>
      <c r="I2107" s="6" t="s">
        <v>9403</v>
      </c>
      <c r="J2107" s="6" t="s">
        <v>10616</v>
      </c>
      <c r="K2107" s="6" t="s">
        <v>10886</v>
      </c>
      <c r="L2107" s="16" t="n">
        <v>38111</v>
      </c>
      <c r="M2107" s="16" t="n">
        <v>45731</v>
      </c>
      <c r="N2107" s="6" t="s">
        <v>10886</v>
      </c>
      <c r="O2107" s="16" t="n">
        <v>38111</v>
      </c>
      <c r="P2107" s="6" t="s">
        <v>11175</v>
      </c>
      <c r="Q2107" s="6" t="s">
        <v>81</v>
      </c>
      <c r="R2107" s="6" t="s">
        <v>81</v>
      </c>
      <c r="S2107" s="6" t="s">
        <v>10886</v>
      </c>
      <c r="T2107" s="16" t="n">
        <v>38111</v>
      </c>
      <c r="U2107" s="6" t="s">
        <v>13551</v>
      </c>
      <c r="V2107" s="6" t="s">
        <v>81</v>
      </c>
      <c r="W2107" s="6" t="s">
        <v>81</v>
      </c>
      <c r="X2107" s="6" t="s">
        <v>81</v>
      </c>
      <c r="Y2107" s="21" t="s">
        <v>81</v>
      </c>
      <c r="Z2107" s="6" t="s">
        <v>81</v>
      </c>
      <c r="AA2107" s="6" t="s">
        <v>81</v>
      </c>
      <c r="AB2107" s="6" t="s">
        <v>81</v>
      </c>
      <c r="AC2107" s="6" t="s">
        <v>10886</v>
      </c>
      <c r="AD2107" s="16" t="n">
        <v>38111</v>
      </c>
      <c r="AE2107" s="6" t="s">
        <v>14367</v>
      </c>
      <c r="AF2107" s="6" t="s">
        <v>81</v>
      </c>
      <c r="AG2107" s="6" t="s">
        <v>81</v>
      </c>
      <c r="AH2107" s="6" t="s">
        <v>16656</v>
      </c>
      <c r="AI2107" s="6" t="s">
        <v>81</v>
      </c>
      <c r="AJ2107" s="6" t="s">
        <v>17334</v>
      </c>
      <c r="AK2107" s="6" t="s">
        <v>18383</v>
      </c>
      <c r="AL2107" s="6" t="s">
        <v>18444</v>
      </c>
      <c r="AM2107" s="6" t="s">
        <v>19304</v>
      </c>
      <c r="AN2107" s="6" t="s">
        <v>19683</v>
      </c>
      <c r="AO2107" s="6" t="s">
        <v>19751</v>
      </c>
      <c r="AP2107" s="6" t="s">
        <v>16656</v>
      </c>
      <c r="AQ2107" s="6" t="s">
        <v>81</v>
      </c>
      <c r="AR2107" s="6" t="s">
        <v>17840</v>
      </c>
      <c r="AS2107" s="6" t="s">
        <v>18383</v>
      </c>
      <c r="AT2107" s="6" t="s">
        <v>18444</v>
      </c>
      <c r="AU2107" s="6" t="s">
        <v>19022</v>
      </c>
      <c r="AV2107" s="6" t="s">
        <v>81</v>
      </c>
      <c r="AW2107" s="6" t="s">
        <v>81</v>
      </c>
      <c r="AX2107" s="6" t="s">
        <v>22134</v>
      </c>
      <c r="AY2107" s="6" t="s">
        <v>81</v>
      </c>
      <c r="AZ2107" s="6" t="s">
        <v>23754</v>
      </c>
      <c r="BA2107" s="6" t="s">
        <v>81</v>
      </c>
      <c r="BB2107" s="24" t="n">
        <v>311</v>
      </c>
      <c r="BC2107" s="26"/>
      <c r="BD2107" s="26"/>
      <c r="BE2107" s="26"/>
      <c r="BF2107" s="26"/>
      <c r="BG2107" s="26"/>
      <c r="BH2107" s="26"/>
      <c r="BI2107" s="26"/>
      <c r="BJ2107" s="26"/>
      <c r="BK2107" s="26"/>
      <c r="BL2107" s="26"/>
      <c r="BM2107" s="26"/>
      <c r="BN2107" s="26"/>
      <c r="BO2107" s="26"/>
      <c r="BP2107" s="16" t="n">
        <v>45701</v>
      </c>
      <c r="BQ2107" s="28" t="str">
        <f>HYPERLINK("https://organic.ams.usda.gov/Integrity/Certificate.aspx?cid=81&amp;nopid=4210004019")</f>
        <v>https://organic.ams.usda.gov/Integrity/Certificate.aspx?cid=81&amp;nopid=4210004019</v>
      </c>
    </row>
    <row r="2108">
      <c r="A2108" t="s">
        <v>3</v>
      </c>
      <c r="B2108" s="6" t="s">
        <v>16</v>
      </c>
      <c r="C2108" s="6" t="s">
        <v>63</v>
      </c>
      <c r="D2108" s="6" t="s">
        <v>109</v>
      </c>
      <c r="E2108" s="10" t="s">
        <v>2249</v>
      </c>
      <c r="F2108" s="6" t="s">
        <v>4962</v>
      </c>
      <c r="G2108" s="6" t="s">
        <v>81</v>
      </c>
      <c r="H2108" s="6" t="s">
        <v>7818</v>
      </c>
      <c r="I2108" s="6" t="s">
        <v>9414</v>
      </c>
      <c r="J2108" s="6" t="s">
        <v>10617</v>
      </c>
      <c r="K2108" s="6" t="s">
        <v>10886</v>
      </c>
      <c r="L2108" s="16" t="n">
        <v>39240</v>
      </c>
      <c r="M2108" s="16" t="n">
        <v>45731</v>
      </c>
      <c r="N2108" s="6" t="s">
        <v>10886</v>
      </c>
      <c r="O2108" s="16" t="n">
        <v>39240</v>
      </c>
      <c r="P2108" s="6" t="s">
        <v>11564</v>
      </c>
      <c r="Q2108" s="6" t="s">
        <v>81</v>
      </c>
      <c r="R2108" s="6" t="s">
        <v>81</v>
      </c>
      <c r="S2108" s="6" t="s">
        <v>10886</v>
      </c>
      <c r="T2108" s="16" t="n">
        <v>39240</v>
      </c>
      <c r="U2108" s="6" t="s">
        <v>13182</v>
      </c>
      <c r="V2108" s="6" t="s">
        <v>81</v>
      </c>
      <c r="W2108" s="6" t="s">
        <v>81</v>
      </c>
      <c r="X2108" s="6" t="s">
        <v>81</v>
      </c>
      <c r="Y2108" s="21" t="s">
        <v>81</v>
      </c>
      <c r="Z2108" s="6" t="s">
        <v>81</v>
      </c>
      <c r="AA2108" s="6" t="s">
        <v>81</v>
      </c>
      <c r="AB2108" s="6" t="s">
        <v>81</v>
      </c>
      <c r="AC2108" s="6" t="s">
        <v>10886</v>
      </c>
      <c r="AD2108" s="16" t="n">
        <v>39240</v>
      </c>
      <c r="AE2108" s="6" t="s">
        <v>81</v>
      </c>
      <c r="AF2108" s="6" t="s">
        <v>81</v>
      </c>
      <c r="AG2108" s="6" t="s">
        <v>81</v>
      </c>
      <c r="AH2108" s="6" t="s">
        <v>16657</v>
      </c>
      <c r="AI2108" s="6" t="s">
        <v>81</v>
      </c>
      <c r="AJ2108" s="6" t="s">
        <v>18023</v>
      </c>
      <c r="AK2108" s="6" t="s">
        <v>18383</v>
      </c>
      <c r="AL2108" s="6" t="s">
        <v>18444</v>
      </c>
      <c r="AM2108" s="6" t="s">
        <v>19213</v>
      </c>
      <c r="AN2108" s="6" t="s">
        <v>19655</v>
      </c>
      <c r="AO2108" s="6" t="s">
        <v>19886</v>
      </c>
      <c r="AP2108" s="6" t="s">
        <v>16657</v>
      </c>
      <c r="AQ2108" s="6" t="s">
        <v>81</v>
      </c>
      <c r="AR2108" s="6" t="s">
        <v>8569</v>
      </c>
      <c r="AS2108" s="6" t="s">
        <v>18383</v>
      </c>
      <c r="AT2108" s="6" t="s">
        <v>18444</v>
      </c>
      <c r="AU2108" s="6" t="s">
        <v>19547</v>
      </c>
      <c r="AV2108" s="6" t="s">
        <v>81</v>
      </c>
      <c r="AW2108" s="6" t="s">
        <v>81</v>
      </c>
      <c r="AX2108" s="6" t="s">
        <v>22135</v>
      </c>
      <c r="AY2108" s="6" t="s">
        <v>81</v>
      </c>
      <c r="AZ2108" s="6" t="s">
        <v>81</v>
      </c>
      <c r="BA2108" s="6" t="s">
        <v>81</v>
      </c>
      <c r="BB2108" s="24" t="n">
        <v>140</v>
      </c>
      <c r="BC2108" s="26"/>
      <c r="BD2108" s="26"/>
      <c r="BE2108" s="26"/>
      <c r="BF2108" s="26"/>
      <c r="BG2108" s="26"/>
      <c r="BH2108" s="26"/>
      <c r="BI2108" s="26"/>
      <c r="BJ2108" s="26"/>
      <c r="BK2108" s="26"/>
      <c r="BL2108" s="26"/>
      <c r="BM2108" s="26"/>
      <c r="BN2108" s="26"/>
      <c r="BO2108" s="26"/>
      <c r="BP2108" s="16" t="n">
        <v>45701</v>
      </c>
      <c r="BQ2108" s="28" t="str">
        <f>HYPERLINK("https://organic.ams.usda.gov/Integrity/Certificate.aspx?cid=81&amp;nopid=4210007079")</f>
        <v>https://organic.ams.usda.gov/Integrity/Certificate.aspx?cid=81&amp;nopid=4210007079</v>
      </c>
    </row>
    <row r="2109">
      <c r="A2109" t="s">
        <v>3</v>
      </c>
      <c r="B2109" s="6" t="s">
        <v>16</v>
      </c>
      <c r="C2109" s="6" t="s">
        <v>63</v>
      </c>
      <c r="D2109" s="6" t="s">
        <v>109</v>
      </c>
      <c r="E2109" s="10" t="s">
        <v>2250</v>
      </c>
      <c r="F2109" s="6" t="s">
        <v>4963</v>
      </c>
      <c r="G2109" s="6" t="s">
        <v>81</v>
      </c>
      <c r="H2109" s="6" t="s">
        <v>7819</v>
      </c>
      <c r="I2109" s="6" t="s">
        <v>9415</v>
      </c>
      <c r="J2109" s="6" t="s">
        <v>9949</v>
      </c>
      <c r="K2109" s="6" t="s">
        <v>10886</v>
      </c>
      <c r="L2109" s="16" t="n">
        <v>37544</v>
      </c>
      <c r="M2109" s="16" t="n">
        <v>45731</v>
      </c>
      <c r="N2109" s="6" t="s">
        <v>10886</v>
      </c>
      <c r="O2109" s="16" t="n">
        <v>37544</v>
      </c>
      <c r="P2109" s="6" t="s">
        <v>11085</v>
      </c>
      <c r="Q2109" s="6" t="s">
        <v>81</v>
      </c>
      <c r="R2109" s="6" t="s">
        <v>81</v>
      </c>
      <c r="S2109" s="6" t="s">
        <v>10886</v>
      </c>
      <c r="T2109" s="16" t="n">
        <v>37544</v>
      </c>
      <c r="U2109" s="6" t="s">
        <v>13182</v>
      </c>
      <c r="V2109" s="6" t="s">
        <v>81</v>
      </c>
      <c r="W2109" s="6" t="s">
        <v>81</v>
      </c>
      <c r="X2109" s="6" t="s">
        <v>81</v>
      </c>
      <c r="Y2109" s="21" t="s">
        <v>81</v>
      </c>
      <c r="Z2109" s="6" t="s">
        <v>81</v>
      </c>
      <c r="AA2109" s="6" t="s">
        <v>81</v>
      </c>
      <c r="AB2109" s="6" t="s">
        <v>81</v>
      </c>
      <c r="AC2109" s="6" t="s">
        <v>10886</v>
      </c>
      <c r="AD2109" s="16" t="n">
        <v>37544</v>
      </c>
      <c r="AE2109" s="6" t="s">
        <v>81</v>
      </c>
      <c r="AF2109" s="6" t="s">
        <v>81</v>
      </c>
      <c r="AG2109" s="6" t="s">
        <v>81</v>
      </c>
      <c r="AH2109" s="6" t="s">
        <v>16658</v>
      </c>
      <c r="AI2109" s="6" t="s">
        <v>81</v>
      </c>
      <c r="AJ2109" s="6" t="s">
        <v>18212</v>
      </c>
      <c r="AK2109" s="6" t="s">
        <v>18383</v>
      </c>
      <c r="AL2109" s="6" t="s">
        <v>18444</v>
      </c>
      <c r="AM2109" s="6" t="s">
        <v>19425</v>
      </c>
      <c r="AN2109" s="6" t="s">
        <v>19660</v>
      </c>
      <c r="AO2109" s="6" t="s">
        <v>20039</v>
      </c>
      <c r="AP2109" s="6" t="s">
        <v>81</v>
      </c>
      <c r="AQ2109" s="6" t="s">
        <v>81</v>
      </c>
      <c r="AR2109" s="6" t="s">
        <v>81</v>
      </c>
      <c r="AS2109" s="6" t="s">
        <v>81</v>
      </c>
      <c r="AT2109" s="6" t="s">
        <v>81</v>
      </c>
      <c r="AU2109" s="6" t="s">
        <v>81</v>
      </c>
      <c r="AV2109" s="6" t="s">
        <v>81</v>
      </c>
      <c r="AW2109" s="6" t="s">
        <v>81</v>
      </c>
      <c r="AX2109" s="6" t="s">
        <v>22136</v>
      </c>
      <c r="AY2109" s="6" t="s">
        <v>81</v>
      </c>
      <c r="AZ2109" s="6" t="s">
        <v>81</v>
      </c>
      <c r="BA2109" s="6" t="s">
        <v>81</v>
      </c>
      <c r="BB2109" s="24" t="n">
        <v>278</v>
      </c>
      <c r="BC2109" s="26"/>
      <c r="BD2109" s="26"/>
      <c r="BE2109" s="26"/>
      <c r="BF2109" s="26"/>
      <c r="BG2109" s="26"/>
      <c r="BH2109" s="26"/>
      <c r="BI2109" s="26"/>
      <c r="BJ2109" s="26"/>
      <c r="BK2109" s="26"/>
      <c r="BL2109" s="26"/>
      <c r="BM2109" s="26"/>
      <c r="BN2109" s="26"/>
      <c r="BO2109" s="26"/>
      <c r="BP2109" s="16" t="n">
        <v>45701</v>
      </c>
      <c r="BQ2109" s="28" t="str">
        <f>HYPERLINK("https://organic.ams.usda.gov/Integrity/Certificate.aspx?cid=81&amp;nopid=4210099141")</f>
        <v>https://organic.ams.usda.gov/Integrity/Certificate.aspx?cid=81&amp;nopid=4210099141</v>
      </c>
    </row>
    <row r="2110">
      <c r="A2110" t="s">
        <v>3</v>
      </c>
      <c r="B2110" s="6" t="s">
        <v>16</v>
      </c>
      <c r="C2110" s="6" t="s">
        <v>63</v>
      </c>
      <c r="D2110" s="6" t="s">
        <v>109</v>
      </c>
      <c r="E2110" s="10" t="s">
        <v>2251</v>
      </c>
      <c r="F2110" s="6" t="s">
        <v>4964</v>
      </c>
      <c r="G2110" s="6" t="s">
        <v>81</v>
      </c>
      <c r="H2110" s="6" t="s">
        <v>7820</v>
      </c>
      <c r="I2110" s="6" t="s">
        <v>9416</v>
      </c>
      <c r="J2110" s="6" t="s">
        <v>10618</v>
      </c>
      <c r="K2110" s="6" t="s">
        <v>10886</v>
      </c>
      <c r="L2110" s="16" t="n">
        <v>42473</v>
      </c>
      <c r="M2110" s="16" t="n">
        <v>45731</v>
      </c>
      <c r="N2110" s="6" t="s">
        <v>10886</v>
      </c>
      <c r="O2110" s="16" t="n">
        <v>42473</v>
      </c>
      <c r="P2110" s="6" t="s">
        <v>11130</v>
      </c>
      <c r="Q2110" s="6" t="s">
        <v>81</v>
      </c>
      <c r="R2110" s="6" t="s">
        <v>81</v>
      </c>
      <c r="S2110" s="6" t="s">
        <v>10886</v>
      </c>
      <c r="T2110" s="16" t="n">
        <v>42473</v>
      </c>
      <c r="U2110" s="6" t="s">
        <v>13795</v>
      </c>
      <c r="V2110" s="6" t="s">
        <v>81</v>
      </c>
      <c r="W2110" s="6" t="s">
        <v>81</v>
      </c>
      <c r="X2110" s="6" t="s">
        <v>81</v>
      </c>
      <c r="Y2110" s="21" t="s">
        <v>81</v>
      </c>
      <c r="Z2110" s="6" t="s">
        <v>81</v>
      </c>
      <c r="AA2110" s="6" t="s">
        <v>81</v>
      </c>
      <c r="AB2110" s="6" t="s">
        <v>81</v>
      </c>
      <c r="AC2110" s="6" t="s">
        <v>10886</v>
      </c>
      <c r="AD2110" s="16" t="n">
        <v>42473</v>
      </c>
      <c r="AE2110" s="6" t="s">
        <v>81</v>
      </c>
      <c r="AF2110" s="6" t="s">
        <v>81</v>
      </c>
      <c r="AG2110" s="6" t="s">
        <v>81</v>
      </c>
      <c r="AH2110" s="6" t="s">
        <v>16659</v>
      </c>
      <c r="AI2110" s="6" t="s">
        <v>81</v>
      </c>
      <c r="AJ2110" s="6" t="s">
        <v>17400</v>
      </c>
      <c r="AK2110" s="6" t="s">
        <v>18383</v>
      </c>
      <c r="AL2110" s="6" t="s">
        <v>18444</v>
      </c>
      <c r="AM2110" s="6" t="s">
        <v>18695</v>
      </c>
      <c r="AN2110" s="6" t="s">
        <v>19646</v>
      </c>
      <c r="AO2110" s="6" t="s">
        <v>19841</v>
      </c>
      <c r="AP2110" s="6" t="s">
        <v>20393</v>
      </c>
      <c r="AQ2110" s="6" t="s">
        <v>81</v>
      </c>
      <c r="AR2110" s="6" t="s">
        <v>18180</v>
      </c>
      <c r="AS2110" s="6" t="s">
        <v>18383</v>
      </c>
      <c r="AT2110" s="6" t="s">
        <v>18444</v>
      </c>
      <c r="AU2110" s="6" t="s">
        <v>19389</v>
      </c>
      <c r="AV2110" s="6" t="s">
        <v>81</v>
      </c>
      <c r="AW2110" s="6" t="s">
        <v>81</v>
      </c>
      <c r="AX2110" s="6" t="s">
        <v>22137</v>
      </c>
      <c r="AY2110" s="6" t="s">
        <v>81</v>
      </c>
      <c r="AZ2110" s="6" t="s">
        <v>23755</v>
      </c>
      <c r="BA2110" s="6" t="s">
        <v>81</v>
      </c>
      <c r="BB2110" s="24" t="n">
        <v>434</v>
      </c>
      <c r="BC2110" s="26"/>
      <c r="BD2110" s="26"/>
      <c r="BE2110" s="26"/>
      <c r="BF2110" s="26"/>
      <c r="BG2110" s="26"/>
      <c r="BH2110" s="26"/>
      <c r="BI2110" s="26"/>
      <c r="BJ2110" s="26"/>
      <c r="BK2110" s="26"/>
      <c r="BL2110" s="26"/>
      <c r="BM2110" s="26"/>
      <c r="BN2110" s="26"/>
      <c r="BO2110" s="26"/>
      <c r="BP2110" s="16" t="n">
        <v>45701</v>
      </c>
      <c r="BQ2110" s="28" t="str">
        <f>HYPERLINK("https://organic.ams.usda.gov/Integrity/Certificate.aspx?cid=81&amp;nopid=4210016052")</f>
        <v>https://organic.ams.usda.gov/Integrity/Certificate.aspx?cid=81&amp;nopid=4210016052</v>
      </c>
    </row>
    <row r="2111">
      <c r="A2111" t="s">
        <v>3</v>
      </c>
      <c r="B2111" s="6" t="s">
        <v>16</v>
      </c>
      <c r="C2111" s="6" t="s">
        <v>63</v>
      </c>
      <c r="D2111" s="6" t="s">
        <v>109</v>
      </c>
      <c r="E2111" s="10" t="s">
        <v>2252</v>
      </c>
      <c r="F2111" s="6" t="s">
        <v>4965</v>
      </c>
      <c r="G2111" s="6" t="s">
        <v>5816</v>
      </c>
      <c r="H2111" s="6" t="s">
        <v>7821</v>
      </c>
      <c r="I2111" s="6" t="s">
        <v>8800</v>
      </c>
      <c r="J2111" s="6" t="s">
        <v>10619</v>
      </c>
      <c r="K2111" s="6" t="s">
        <v>10886</v>
      </c>
      <c r="L2111" s="16" t="n">
        <v>45449</v>
      </c>
      <c r="M2111" s="16" t="n">
        <v>45731</v>
      </c>
      <c r="N2111" s="6" t="s">
        <v>10886</v>
      </c>
      <c r="O2111" s="16" t="n">
        <v>45449</v>
      </c>
      <c r="P2111" s="6" t="s">
        <v>12074</v>
      </c>
      <c r="Q2111" s="6" t="s">
        <v>81</v>
      </c>
      <c r="R2111" s="6" t="s">
        <v>81</v>
      </c>
      <c r="S2111" s="6" t="s">
        <v>10886</v>
      </c>
      <c r="T2111" s="16" t="n">
        <v>45449</v>
      </c>
      <c r="U2111" s="6" t="s">
        <v>13796</v>
      </c>
      <c r="V2111" s="6" t="s">
        <v>81</v>
      </c>
      <c r="W2111" s="6" t="s">
        <v>81</v>
      </c>
      <c r="X2111" s="6" t="s">
        <v>81</v>
      </c>
      <c r="Y2111" s="21" t="s">
        <v>81</v>
      </c>
      <c r="Z2111" s="6" t="s">
        <v>81</v>
      </c>
      <c r="AA2111" s="6" t="s">
        <v>81</v>
      </c>
      <c r="AB2111" s="6" t="s">
        <v>81</v>
      </c>
      <c r="AC2111" s="6" t="s">
        <v>10886</v>
      </c>
      <c r="AD2111" s="16" t="n">
        <v>45449</v>
      </c>
      <c r="AE2111" s="6" t="s">
        <v>81</v>
      </c>
      <c r="AF2111" s="6" t="s">
        <v>81</v>
      </c>
      <c r="AG2111" s="6" t="s">
        <v>81</v>
      </c>
      <c r="AH2111" s="6" t="s">
        <v>16660</v>
      </c>
      <c r="AI2111" s="6" t="s">
        <v>81</v>
      </c>
      <c r="AJ2111" s="6" t="s">
        <v>18213</v>
      </c>
      <c r="AK2111" s="6" t="s">
        <v>18383</v>
      </c>
      <c r="AL2111" s="6" t="s">
        <v>18444</v>
      </c>
      <c r="AM2111" s="6" t="s">
        <v>19426</v>
      </c>
      <c r="AN2111" s="6" t="s">
        <v>81</v>
      </c>
      <c r="AO2111" s="6" t="s">
        <v>81</v>
      </c>
      <c r="AP2111" s="6" t="s">
        <v>20394</v>
      </c>
      <c r="AQ2111" s="6" t="s">
        <v>81</v>
      </c>
      <c r="AR2111" s="6" t="s">
        <v>17344</v>
      </c>
      <c r="AS2111" s="6" t="s">
        <v>18383</v>
      </c>
      <c r="AT2111" s="6" t="s">
        <v>18444</v>
      </c>
      <c r="AU2111" s="6" t="s">
        <v>18498</v>
      </c>
      <c r="AV2111" s="6" t="s">
        <v>81</v>
      </c>
      <c r="AW2111" s="6" t="s">
        <v>81</v>
      </c>
      <c r="AX2111" s="6" t="s">
        <v>22138</v>
      </c>
      <c r="AY2111" s="6" t="s">
        <v>81</v>
      </c>
      <c r="AZ2111" s="6" t="s">
        <v>81</v>
      </c>
      <c r="BA2111" s="6" t="s">
        <v>81</v>
      </c>
      <c r="BB2111" s="24" t="n">
        <v>259</v>
      </c>
      <c r="BC2111" s="26"/>
      <c r="BD2111" s="26"/>
      <c r="BE2111" s="26"/>
      <c r="BF2111" s="26"/>
      <c r="BG2111" s="26"/>
      <c r="BH2111" s="26"/>
      <c r="BI2111" s="26"/>
      <c r="BJ2111" s="26"/>
      <c r="BK2111" s="26"/>
      <c r="BL2111" s="26"/>
      <c r="BM2111" s="26"/>
      <c r="BN2111" s="26"/>
      <c r="BO2111" s="26"/>
      <c r="BP2111" s="16" t="n">
        <v>45701</v>
      </c>
      <c r="BQ2111" s="28" t="str">
        <f>HYPERLINK("https://organic.ams.usda.gov/Integrity/Certificate.aspx?cid=81&amp;nopid=4212024032")</f>
        <v>https://organic.ams.usda.gov/Integrity/Certificate.aspx?cid=81&amp;nopid=4212024032</v>
      </c>
    </row>
    <row r="2112">
      <c r="A2112" t="s">
        <v>3</v>
      </c>
      <c r="B2112" s="6" t="s">
        <v>17</v>
      </c>
      <c r="C2112" s="6" t="s">
        <v>64</v>
      </c>
      <c r="D2112" s="6" t="s">
        <v>110</v>
      </c>
      <c r="E2112" s="10" t="s">
        <v>2253</v>
      </c>
      <c r="F2112" s="6" t="s">
        <v>4966</v>
      </c>
      <c r="G2112" s="6" t="s">
        <v>81</v>
      </c>
      <c r="H2112" s="6" t="s">
        <v>7822</v>
      </c>
      <c r="I2112" s="6" t="s">
        <v>9417</v>
      </c>
      <c r="J2112" s="6" t="s">
        <v>10620</v>
      </c>
      <c r="K2112" s="6" t="s">
        <v>10886</v>
      </c>
      <c r="L2112" s="16" t="n">
        <v>37417</v>
      </c>
      <c r="M2112" s="16" t="n">
        <v>45703</v>
      </c>
      <c r="N2112" s="6" t="s">
        <v>81</v>
      </c>
      <c r="O2112" s="21" t="s">
        <v>81</v>
      </c>
      <c r="P2112" s="6" t="s">
        <v>81</v>
      </c>
      <c r="Q2112" s="6" t="s">
        <v>81</v>
      </c>
      <c r="R2112" s="6" t="s">
        <v>81</v>
      </c>
      <c r="S2112" s="6" t="s">
        <v>81</v>
      </c>
      <c r="T2112" s="21" t="s">
        <v>81</v>
      </c>
      <c r="U2112" s="6" t="s">
        <v>81</v>
      </c>
      <c r="V2112" s="6" t="s">
        <v>81</v>
      </c>
      <c r="W2112" s="6" t="s">
        <v>81</v>
      </c>
      <c r="X2112" s="6" t="s">
        <v>81</v>
      </c>
      <c r="Y2112" s="21" t="s">
        <v>81</v>
      </c>
      <c r="Z2112" s="6" t="s">
        <v>81</v>
      </c>
      <c r="AA2112" s="6" t="s">
        <v>81</v>
      </c>
      <c r="AB2112" s="6" t="s">
        <v>81</v>
      </c>
      <c r="AC2112" s="6" t="s">
        <v>10886</v>
      </c>
      <c r="AD2112" s="16" t="n">
        <v>37417</v>
      </c>
      <c r="AE2112" s="6" t="s">
        <v>14368</v>
      </c>
      <c r="AF2112" s="6" t="s">
        <v>81</v>
      </c>
      <c r="AG2112" s="6" t="s">
        <v>7822</v>
      </c>
      <c r="AH2112" s="6" t="s">
        <v>16661</v>
      </c>
      <c r="AI2112" s="6" t="s">
        <v>81</v>
      </c>
      <c r="AJ2112" s="6" t="s">
        <v>18152</v>
      </c>
      <c r="AK2112" s="6" t="s">
        <v>18384</v>
      </c>
      <c r="AL2112" s="6" t="s">
        <v>18444</v>
      </c>
      <c r="AM2112" s="6" t="s">
        <v>19427</v>
      </c>
      <c r="AN2112" s="6" t="s">
        <v>19675</v>
      </c>
      <c r="AO2112" s="6" t="s">
        <v>19721</v>
      </c>
      <c r="AP2112" s="6" t="s">
        <v>16661</v>
      </c>
      <c r="AQ2112" s="6" t="s">
        <v>81</v>
      </c>
      <c r="AR2112" s="6" t="s">
        <v>18152</v>
      </c>
      <c r="AS2112" s="6" t="s">
        <v>18384</v>
      </c>
      <c r="AT2112" s="6" t="s">
        <v>18444</v>
      </c>
      <c r="AU2112" s="6" t="s">
        <v>19427</v>
      </c>
      <c r="AV2112" s="6" t="s">
        <v>81</v>
      </c>
      <c r="AW2112" s="6" t="s">
        <v>81</v>
      </c>
      <c r="AX2112" s="6" t="s">
        <v>22139</v>
      </c>
      <c r="AY2112" s="6" t="s">
        <v>81</v>
      </c>
      <c r="AZ2112" s="6" t="s">
        <v>81</v>
      </c>
      <c r="BA2112" s="6" t="s">
        <v>81</v>
      </c>
      <c r="BB2112" s="6" t="s">
        <v>81</v>
      </c>
      <c r="BC2112" s="26"/>
      <c r="BD2112" s="26"/>
      <c r="BE2112" s="26"/>
      <c r="BF2112" s="26"/>
      <c r="BG2112" s="26"/>
      <c r="BH2112" s="26"/>
      <c r="BI2112" s="26"/>
      <c r="BJ2112" s="26"/>
      <c r="BK2112" s="26"/>
      <c r="BL2112" s="26"/>
      <c r="BM2112" s="26"/>
      <c r="BN2112" s="26"/>
      <c r="BO2112" s="26"/>
      <c r="BP2112" s="16" t="n">
        <v>45707</v>
      </c>
      <c r="BQ2112" s="28" t="str">
        <f>HYPERLINK("https://organic.ams.usda.gov/Integrity/Certificate.aspx?cid=36&amp;nopid=5400000035")</f>
        <v>https://organic.ams.usda.gov/Integrity/Certificate.aspx?cid=36&amp;nopid=5400000035</v>
      </c>
    </row>
    <row r="2113">
      <c r="A2113" t="s">
        <v>3</v>
      </c>
      <c r="B2113" s="6" t="s">
        <v>25</v>
      </c>
      <c r="C2113" s="6" t="s">
        <v>72</v>
      </c>
      <c r="D2113" s="6" t="s">
        <v>118</v>
      </c>
      <c r="E2113" s="10" t="s">
        <v>2254</v>
      </c>
      <c r="F2113" s="6" t="s">
        <v>4967</v>
      </c>
      <c r="G2113" s="6" t="s">
        <v>81</v>
      </c>
      <c r="H2113" s="6" t="s">
        <v>7823</v>
      </c>
      <c r="I2113" s="6" t="s">
        <v>8916</v>
      </c>
      <c r="J2113" s="6" t="s">
        <v>10621</v>
      </c>
      <c r="K2113" s="6" t="s">
        <v>10886</v>
      </c>
      <c r="L2113" s="16" t="n">
        <v>42283</v>
      </c>
      <c r="M2113" s="16" t="n">
        <v>46023</v>
      </c>
      <c r="N2113" s="6" t="s">
        <v>10886</v>
      </c>
      <c r="O2113" s="16" t="n">
        <v>42283</v>
      </c>
      <c r="P2113" s="6" t="s">
        <v>12082</v>
      </c>
      <c r="Q2113" s="6" t="s">
        <v>81</v>
      </c>
      <c r="R2113" s="6" t="s">
        <v>81</v>
      </c>
      <c r="S2113" s="6" t="s">
        <v>10886</v>
      </c>
      <c r="T2113" s="16" t="n">
        <v>42283</v>
      </c>
      <c r="U2113" s="6" t="s">
        <v>13797</v>
      </c>
      <c r="V2113" s="6" t="s">
        <v>81</v>
      </c>
      <c r="W2113" s="6" t="s">
        <v>81</v>
      </c>
      <c r="X2113" s="6" t="s">
        <v>81</v>
      </c>
      <c r="Y2113" s="21" t="s">
        <v>81</v>
      </c>
      <c r="Z2113" s="6" t="s">
        <v>81</v>
      </c>
      <c r="AA2113" s="6" t="s">
        <v>81</v>
      </c>
      <c r="AB2113" s="6" t="s">
        <v>81</v>
      </c>
      <c r="AC2113" s="6" t="s">
        <v>10886</v>
      </c>
      <c r="AD2113" s="16" t="n">
        <v>44735</v>
      </c>
      <c r="AE2113" s="6" t="s">
        <v>14369</v>
      </c>
      <c r="AF2113" s="6" t="s">
        <v>81</v>
      </c>
      <c r="AG2113" s="6" t="s">
        <v>81</v>
      </c>
      <c r="AH2113" s="6" t="s">
        <v>16662</v>
      </c>
      <c r="AI2113" s="6" t="s">
        <v>81</v>
      </c>
      <c r="AJ2113" s="6" t="s">
        <v>17522</v>
      </c>
      <c r="AK2113" s="6" t="s">
        <v>18398</v>
      </c>
      <c r="AL2113" s="6" t="s">
        <v>18444</v>
      </c>
      <c r="AM2113" s="6" t="s">
        <v>19428</v>
      </c>
      <c r="AN2113" s="6" t="s">
        <v>6842</v>
      </c>
      <c r="AO2113" s="6" t="s">
        <v>19721</v>
      </c>
      <c r="AP2113" s="6" t="s">
        <v>20395</v>
      </c>
      <c r="AQ2113" s="6" t="s">
        <v>20486</v>
      </c>
      <c r="AR2113" s="6" t="s">
        <v>20569</v>
      </c>
      <c r="AS2113" s="6" t="s">
        <v>18398</v>
      </c>
      <c r="AT2113" s="6" t="s">
        <v>18444</v>
      </c>
      <c r="AU2113" s="6" t="s">
        <v>20693</v>
      </c>
      <c r="AV2113" s="6" t="s">
        <v>81</v>
      </c>
      <c r="AW2113" s="6" t="s">
        <v>81</v>
      </c>
      <c r="AX2113" s="6" t="s">
        <v>22140</v>
      </c>
      <c r="AY2113" s="6" t="s">
        <v>23296</v>
      </c>
      <c r="AZ2113" s="6" t="s">
        <v>81</v>
      </c>
      <c r="BA2113" s="6" t="s">
        <v>81</v>
      </c>
      <c r="BB2113" s="24" t="n">
        <v>9036</v>
      </c>
      <c r="BC2113" s="26"/>
      <c r="BD2113" s="26"/>
      <c r="BE2113" s="26"/>
      <c r="BF2113" s="26"/>
      <c r="BG2113" s="26"/>
      <c r="BH2113" s="26"/>
      <c r="BI2113" s="26"/>
      <c r="BJ2113" s="26"/>
      <c r="BK2113" s="26"/>
      <c r="BL2113" s="26"/>
      <c r="BM2113" s="26"/>
      <c r="BN2113" s="26"/>
      <c r="BO2113" s="26"/>
      <c r="BP2113" s="16" t="n">
        <v>45667</v>
      </c>
      <c r="BQ2113" s="28" t="str">
        <f>HYPERLINK("https://organic.ams.usda.gov/Integrity/Certificate.aspx?cid=15&amp;nopid=5561000288")</f>
        <v>https://organic.ams.usda.gov/Integrity/Certificate.aspx?cid=15&amp;nopid=5561000288</v>
      </c>
    </row>
    <row r="2114">
      <c r="A2114" t="s">
        <v>3</v>
      </c>
      <c r="B2114" s="6" t="s">
        <v>20</v>
      </c>
      <c r="C2114" s="6" t="s">
        <v>67</v>
      </c>
      <c r="D2114" s="6" t="s">
        <v>113</v>
      </c>
      <c r="E2114" s="10" t="s">
        <v>2255</v>
      </c>
      <c r="F2114" s="6" t="s">
        <v>4968</v>
      </c>
      <c r="G2114" s="6" t="s">
        <v>81</v>
      </c>
      <c r="H2114" s="6" t="s">
        <v>7824</v>
      </c>
      <c r="I2114" s="6" t="s">
        <v>8574</v>
      </c>
      <c r="J2114" s="6" t="s">
        <v>10622</v>
      </c>
      <c r="K2114" s="6" t="s">
        <v>10886</v>
      </c>
      <c r="L2114" s="16" t="n">
        <v>44120</v>
      </c>
      <c r="M2114" s="16" t="n">
        <v>45782</v>
      </c>
      <c r="N2114" s="6" t="s">
        <v>81</v>
      </c>
      <c r="O2114" s="21" t="s">
        <v>81</v>
      </c>
      <c r="P2114" s="6" t="s">
        <v>81</v>
      </c>
      <c r="Q2114" s="6" t="s">
        <v>81</v>
      </c>
      <c r="R2114" s="6" t="s">
        <v>81</v>
      </c>
      <c r="S2114" s="6" t="s">
        <v>81</v>
      </c>
      <c r="T2114" s="21" t="s">
        <v>81</v>
      </c>
      <c r="U2114" s="6" t="s">
        <v>81</v>
      </c>
      <c r="V2114" s="6" t="s">
        <v>81</v>
      </c>
      <c r="W2114" s="6" t="s">
        <v>81</v>
      </c>
      <c r="X2114" s="6" t="s">
        <v>81</v>
      </c>
      <c r="Y2114" s="21" t="s">
        <v>81</v>
      </c>
      <c r="Z2114" s="6" t="s">
        <v>81</v>
      </c>
      <c r="AA2114" s="6" t="s">
        <v>81</v>
      </c>
      <c r="AB2114" s="6" t="s">
        <v>81</v>
      </c>
      <c r="AC2114" s="6" t="s">
        <v>10886</v>
      </c>
      <c r="AD2114" s="16" t="n">
        <v>44120</v>
      </c>
      <c r="AE2114" s="6" t="s">
        <v>14370</v>
      </c>
      <c r="AF2114" s="6" t="s">
        <v>81</v>
      </c>
      <c r="AG2114" s="6" t="s">
        <v>14583</v>
      </c>
      <c r="AH2114" s="6" t="s">
        <v>16663</v>
      </c>
      <c r="AI2114" s="6" t="s">
        <v>81</v>
      </c>
      <c r="AJ2114" s="6" t="s">
        <v>18214</v>
      </c>
      <c r="AK2114" s="6" t="s">
        <v>18412</v>
      </c>
      <c r="AL2114" s="6" t="s">
        <v>18444</v>
      </c>
      <c r="AM2114" s="6" t="s">
        <v>19429</v>
      </c>
      <c r="AN2114" s="6" t="s">
        <v>19655</v>
      </c>
      <c r="AO2114" s="6" t="s">
        <v>20042</v>
      </c>
      <c r="AP2114" s="6" t="s">
        <v>16663</v>
      </c>
      <c r="AQ2114" s="6" t="s">
        <v>81</v>
      </c>
      <c r="AR2114" s="6" t="s">
        <v>18214</v>
      </c>
      <c r="AS2114" s="6" t="s">
        <v>18412</v>
      </c>
      <c r="AT2114" s="6" t="s">
        <v>18444</v>
      </c>
      <c r="AU2114" s="6" t="s">
        <v>19429</v>
      </c>
      <c r="AV2114" s="6" t="s">
        <v>81</v>
      </c>
      <c r="AW2114" s="6" t="s">
        <v>81</v>
      </c>
      <c r="AX2114" s="6" t="s">
        <v>20782</v>
      </c>
      <c r="AY2114" s="6" t="s">
        <v>23297</v>
      </c>
      <c r="AZ2114" s="6" t="s">
        <v>23756</v>
      </c>
      <c r="BA2114" s="6" t="s">
        <v>81</v>
      </c>
      <c r="BB2114" s="6" t="s">
        <v>81</v>
      </c>
      <c r="BC2114" s="26"/>
      <c r="BD2114" s="26"/>
      <c r="BE2114" s="26"/>
      <c r="BF2114" s="26"/>
      <c r="BG2114" s="26"/>
      <c r="BH2114" s="26" t="s">
        <v>23900</v>
      </c>
      <c r="BI2114" s="26"/>
      <c r="BJ2114" s="26"/>
      <c r="BK2114" s="26"/>
      <c r="BL2114" s="26"/>
      <c r="BM2114" s="26"/>
      <c r="BN2114" s="26"/>
      <c r="BO2114" s="26"/>
      <c r="BP2114" s="16" t="n">
        <v>45737</v>
      </c>
      <c r="BQ2114" s="28" t="str">
        <f>HYPERLINK("https://organic.ams.usda.gov/Integrity/Certificate.aspx?cid=71&amp;nopid=5520164708")</f>
        <v>https://organic.ams.usda.gov/Integrity/Certificate.aspx?cid=71&amp;nopid=5520164708</v>
      </c>
    </row>
    <row r="2115">
      <c r="A2115" t="s">
        <v>3</v>
      </c>
      <c r="B2115" s="6" t="s">
        <v>22</v>
      </c>
      <c r="C2115" s="6" t="s">
        <v>69</v>
      </c>
      <c r="D2115" s="6" t="s">
        <v>115</v>
      </c>
      <c r="E2115" s="10" t="s">
        <v>2256</v>
      </c>
      <c r="F2115" s="6" t="s">
        <v>4969</v>
      </c>
      <c r="G2115" s="6" t="s">
        <v>81</v>
      </c>
      <c r="H2115" s="6" t="s">
        <v>7825</v>
      </c>
      <c r="I2115" s="6" t="s">
        <v>9418</v>
      </c>
      <c r="J2115" s="6" t="s">
        <v>10623</v>
      </c>
      <c r="K2115" s="6" t="s">
        <v>10886</v>
      </c>
      <c r="L2115" s="16" t="n">
        <v>43788</v>
      </c>
      <c r="M2115" s="16" t="n">
        <v>45980</v>
      </c>
      <c r="N2115" s="6" t="s">
        <v>10886</v>
      </c>
      <c r="O2115" s="16" t="n">
        <v>43788</v>
      </c>
      <c r="P2115" s="6" t="s">
        <v>12083</v>
      </c>
      <c r="Q2115" s="6" t="s">
        <v>81</v>
      </c>
      <c r="R2115" s="6" t="s">
        <v>81</v>
      </c>
      <c r="S2115" s="6" t="s">
        <v>81</v>
      </c>
      <c r="T2115" s="21" t="s">
        <v>81</v>
      </c>
      <c r="U2115" s="6" t="s">
        <v>81</v>
      </c>
      <c r="V2115" s="6" t="s">
        <v>81</v>
      </c>
      <c r="W2115" s="6" t="s">
        <v>81</v>
      </c>
      <c r="X2115" s="6" t="s">
        <v>81</v>
      </c>
      <c r="Y2115" s="21" t="s">
        <v>81</v>
      </c>
      <c r="Z2115" s="6" t="s">
        <v>81</v>
      </c>
      <c r="AA2115" s="6" t="s">
        <v>81</v>
      </c>
      <c r="AB2115" s="6" t="s">
        <v>81</v>
      </c>
      <c r="AC2115" s="6" t="s">
        <v>10886</v>
      </c>
      <c r="AD2115" s="16" t="n">
        <v>43788</v>
      </c>
      <c r="AE2115" s="6" t="s">
        <v>14371</v>
      </c>
      <c r="AF2115" s="6" t="s">
        <v>81</v>
      </c>
      <c r="AG2115" s="6" t="s">
        <v>81</v>
      </c>
      <c r="AH2115" s="6" t="s">
        <v>16664</v>
      </c>
      <c r="AI2115" s="6" t="s">
        <v>81</v>
      </c>
      <c r="AJ2115" s="6" t="s">
        <v>18215</v>
      </c>
      <c r="AK2115" s="6" t="s">
        <v>18435</v>
      </c>
      <c r="AL2115" s="6" t="s">
        <v>18450</v>
      </c>
      <c r="AM2115" s="6" t="s">
        <v>81</v>
      </c>
      <c r="AN2115" s="6" t="s">
        <v>81</v>
      </c>
      <c r="AO2115" s="6" t="s">
        <v>81</v>
      </c>
      <c r="AP2115" s="6" t="s">
        <v>16664</v>
      </c>
      <c r="AQ2115" s="6" t="s">
        <v>81</v>
      </c>
      <c r="AR2115" s="6" t="s">
        <v>18215</v>
      </c>
      <c r="AS2115" s="6" t="s">
        <v>18435</v>
      </c>
      <c r="AT2115" s="6" t="s">
        <v>18450</v>
      </c>
      <c r="AU2115" s="6" t="s">
        <v>81</v>
      </c>
      <c r="AV2115" s="6" t="s">
        <v>81</v>
      </c>
      <c r="AW2115" s="6" t="s">
        <v>81</v>
      </c>
      <c r="AX2115" s="6" t="s">
        <v>22141</v>
      </c>
      <c r="AY2115" s="6" t="s">
        <v>23298</v>
      </c>
      <c r="AZ2115" s="6" t="s">
        <v>23757</v>
      </c>
      <c r="BA2115" s="6" t="s">
        <v>81</v>
      </c>
      <c r="BB2115" s="24" t="n">
        <v>1468</v>
      </c>
      <c r="BC2115" s="26"/>
      <c r="BD2115" s="26"/>
      <c r="BE2115" s="26"/>
      <c r="BF2115" s="26"/>
      <c r="BG2115" s="26"/>
      <c r="BH2115" s="26"/>
      <c r="BI2115" s="26"/>
      <c r="BJ2115" s="26"/>
      <c r="BK2115" s="26"/>
      <c r="BL2115" s="26"/>
      <c r="BM2115" s="26"/>
      <c r="BN2115" s="26"/>
      <c r="BO2115" s="26" t="s">
        <v>23900</v>
      </c>
      <c r="BP2115" s="16" t="n">
        <v>45680</v>
      </c>
      <c r="BQ2115" s="28" t="str">
        <f>HYPERLINK("https://organic.ams.usda.gov/Integrity/Certificate.aspx?cid=21&amp;nopid=1780867051")</f>
        <v>https://organic.ams.usda.gov/Integrity/Certificate.aspx?cid=21&amp;nopid=1780867051</v>
      </c>
    </row>
    <row r="2116">
      <c r="A2116" t="s">
        <v>3</v>
      </c>
      <c r="B2116" s="6" t="s">
        <v>22</v>
      </c>
      <c r="C2116" s="6" t="s">
        <v>69</v>
      </c>
      <c r="D2116" s="6" t="s">
        <v>115</v>
      </c>
      <c r="E2116" s="10" t="s">
        <v>2257</v>
      </c>
      <c r="F2116" s="6" t="s">
        <v>4970</v>
      </c>
      <c r="G2116" s="6" t="s">
        <v>81</v>
      </c>
      <c r="H2116" s="6" t="s">
        <v>7826</v>
      </c>
      <c r="I2116" s="6" t="s">
        <v>9419</v>
      </c>
      <c r="J2116" s="6" t="s">
        <v>10624</v>
      </c>
      <c r="K2116" s="6" t="s">
        <v>10886</v>
      </c>
      <c r="L2116" s="16" t="n">
        <v>42069</v>
      </c>
      <c r="M2116" s="16" t="n">
        <v>45796</v>
      </c>
      <c r="N2116" s="6" t="s">
        <v>10886</v>
      </c>
      <c r="O2116" s="16" t="n">
        <v>42069</v>
      </c>
      <c r="P2116" s="6" t="s">
        <v>12084</v>
      </c>
      <c r="Q2116" s="6" t="s">
        <v>81</v>
      </c>
      <c r="R2116" s="6" t="s">
        <v>81</v>
      </c>
      <c r="S2116" s="6" t="s">
        <v>81</v>
      </c>
      <c r="T2116" s="21" t="s">
        <v>81</v>
      </c>
      <c r="U2116" s="6" t="s">
        <v>81</v>
      </c>
      <c r="V2116" s="6" t="s">
        <v>81</v>
      </c>
      <c r="W2116" s="6" t="s">
        <v>81</v>
      </c>
      <c r="X2116" s="6" t="s">
        <v>81</v>
      </c>
      <c r="Y2116" s="21" t="s">
        <v>81</v>
      </c>
      <c r="Z2116" s="6" t="s">
        <v>81</v>
      </c>
      <c r="AA2116" s="6" t="s">
        <v>81</v>
      </c>
      <c r="AB2116" s="6" t="s">
        <v>81</v>
      </c>
      <c r="AC2116" s="6" t="s">
        <v>10886</v>
      </c>
      <c r="AD2116" s="16" t="n">
        <v>42069</v>
      </c>
      <c r="AE2116" s="6" t="s">
        <v>14372</v>
      </c>
      <c r="AF2116" s="6" t="s">
        <v>81</v>
      </c>
      <c r="AG2116" s="6" t="s">
        <v>81</v>
      </c>
      <c r="AH2116" s="6" t="s">
        <v>16665</v>
      </c>
      <c r="AI2116" s="6" t="s">
        <v>81</v>
      </c>
      <c r="AJ2116" s="6" t="s">
        <v>18216</v>
      </c>
      <c r="AK2116" s="6" t="s">
        <v>18436</v>
      </c>
      <c r="AL2116" s="6" t="s">
        <v>18450</v>
      </c>
      <c r="AM2116" s="6" t="s">
        <v>19430</v>
      </c>
      <c r="AN2116" s="6" t="s">
        <v>81</v>
      </c>
      <c r="AO2116" s="6" t="s">
        <v>81</v>
      </c>
      <c r="AP2116" s="6" t="s">
        <v>16665</v>
      </c>
      <c r="AQ2116" s="6" t="s">
        <v>81</v>
      </c>
      <c r="AR2116" s="6" t="s">
        <v>18216</v>
      </c>
      <c r="AS2116" s="6" t="s">
        <v>18436</v>
      </c>
      <c r="AT2116" s="6" t="s">
        <v>18450</v>
      </c>
      <c r="AU2116" s="6" t="s">
        <v>19430</v>
      </c>
      <c r="AV2116" s="6" t="s">
        <v>81</v>
      </c>
      <c r="AW2116" s="6" t="s">
        <v>81</v>
      </c>
      <c r="AX2116" s="6" t="s">
        <v>22142</v>
      </c>
      <c r="AY2116" s="6" t="s">
        <v>23299</v>
      </c>
      <c r="AZ2116" s="6" t="s">
        <v>81</v>
      </c>
      <c r="BA2116" s="6" t="s">
        <v>81</v>
      </c>
      <c r="BB2116" s="24" t="n">
        <v>200</v>
      </c>
      <c r="BC2116" s="26"/>
      <c r="BD2116" s="26"/>
      <c r="BE2116" s="26"/>
      <c r="BF2116" s="26"/>
      <c r="BG2116" s="26"/>
      <c r="BH2116" s="26"/>
      <c r="BI2116" s="26"/>
      <c r="BJ2116" s="26"/>
      <c r="BK2116" s="26"/>
      <c r="BL2116" s="26"/>
      <c r="BM2116" s="26"/>
      <c r="BN2116" s="26"/>
      <c r="BO2116" s="26" t="s">
        <v>23900</v>
      </c>
      <c r="BP2116" s="16" t="n">
        <v>45506</v>
      </c>
      <c r="BQ2116" s="28" t="str">
        <f>HYPERLINK("https://organic.ams.usda.gov/Integrity/Certificate.aspx?cid=21&amp;nopid=1780834073")</f>
        <v>https://organic.ams.usda.gov/Integrity/Certificate.aspx?cid=21&amp;nopid=1780834073</v>
      </c>
    </row>
    <row r="2117">
      <c r="A2117" t="s">
        <v>3</v>
      </c>
      <c r="B2117" s="6" t="s">
        <v>22</v>
      </c>
      <c r="C2117" s="6" t="s">
        <v>69</v>
      </c>
      <c r="D2117" s="6" t="s">
        <v>115</v>
      </c>
      <c r="E2117" s="10" t="s">
        <v>2258</v>
      </c>
      <c r="F2117" s="6" t="s">
        <v>4971</v>
      </c>
      <c r="G2117" s="6" t="s">
        <v>81</v>
      </c>
      <c r="H2117" s="6" t="s">
        <v>7827</v>
      </c>
      <c r="I2117" s="6" t="s">
        <v>9420</v>
      </c>
      <c r="J2117" s="6" t="s">
        <v>10625</v>
      </c>
      <c r="K2117" s="6" t="s">
        <v>10886</v>
      </c>
      <c r="L2117" s="16" t="n">
        <v>42941</v>
      </c>
      <c r="M2117" s="16" t="n">
        <v>45707</v>
      </c>
      <c r="N2117" s="6" t="s">
        <v>10886</v>
      </c>
      <c r="O2117" s="16" t="n">
        <v>42941</v>
      </c>
      <c r="P2117" s="6" t="s">
        <v>12085</v>
      </c>
      <c r="Q2117" s="6" t="s">
        <v>81</v>
      </c>
      <c r="R2117" s="6" t="s">
        <v>81</v>
      </c>
      <c r="S2117" s="6" t="s">
        <v>81</v>
      </c>
      <c r="T2117" s="21" t="s">
        <v>81</v>
      </c>
      <c r="U2117" s="6" t="s">
        <v>81</v>
      </c>
      <c r="V2117" s="6" t="s">
        <v>81</v>
      </c>
      <c r="W2117" s="6" t="s">
        <v>81</v>
      </c>
      <c r="X2117" s="6" t="s">
        <v>81</v>
      </c>
      <c r="Y2117" s="21" t="s">
        <v>81</v>
      </c>
      <c r="Z2117" s="6" t="s">
        <v>81</v>
      </c>
      <c r="AA2117" s="6" t="s">
        <v>81</v>
      </c>
      <c r="AB2117" s="6" t="s">
        <v>81</v>
      </c>
      <c r="AC2117" s="6" t="s">
        <v>10886</v>
      </c>
      <c r="AD2117" s="16" t="n">
        <v>42941</v>
      </c>
      <c r="AE2117" s="6" t="s">
        <v>14373</v>
      </c>
      <c r="AF2117" s="6" t="s">
        <v>81</v>
      </c>
      <c r="AG2117" s="6" t="s">
        <v>81</v>
      </c>
      <c r="AH2117" s="6" t="s">
        <v>16666</v>
      </c>
      <c r="AI2117" s="6" t="s">
        <v>81</v>
      </c>
      <c r="AJ2117" s="6" t="s">
        <v>18217</v>
      </c>
      <c r="AK2117" s="6" t="s">
        <v>18437</v>
      </c>
      <c r="AL2117" s="6" t="s">
        <v>18450</v>
      </c>
      <c r="AM2117" s="6" t="s">
        <v>19431</v>
      </c>
      <c r="AN2117" s="6" t="s">
        <v>81</v>
      </c>
      <c r="AO2117" s="6" t="s">
        <v>81</v>
      </c>
      <c r="AP2117" s="6" t="s">
        <v>20396</v>
      </c>
      <c r="AQ2117" s="6" t="s">
        <v>81</v>
      </c>
      <c r="AR2117" s="6" t="s">
        <v>18216</v>
      </c>
      <c r="AS2117" s="6" t="s">
        <v>18436</v>
      </c>
      <c r="AT2117" s="6" t="s">
        <v>18450</v>
      </c>
      <c r="AU2117" s="6" t="s">
        <v>81</v>
      </c>
      <c r="AV2117" s="6" t="s">
        <v>81</v>
      </c>
      <c r="AW2117" s="6" t="s">
        <v>81</v>
      </c>
      <c r="AX2117" s="6" t="s">
        <v>22143</v>
      </c>
      <c r="AY2117" s="6" t="s">
        <v>23300</v>
      </c>
      <c r="AZ2117" s="6" t="s">
        <v>81</v>
      </c>
      <c r="BA2117" s="6" t="s">
        <v>81</v>
      </c>
      <c r="BB2117" s="24" t="n">
        <v>139</v>
      </c>
      <c r="BC2117" s="26"/>
      <c r="BD2117" s="26"/>
      <c r="BE2117" s="26"/>
      <c r="BF2117" s="26"/>
      <c r="BG2117" s="26"/>
      <c r="BH2117" s="26"/>
      <c r="BI2117" s="26"/>
      <c r="BJ2117" s="26"/>
      <c r="BK2117" s="26"/>
      <c r="BL2117" s="26"/>
      <c r="BM2117" s="26"/>
      <c r="BN2117" s="26"/>
      <c r="BO2117" s="26" t="s">
        <v>23900</v>
      </c>
      <c r="BP2117" s="16" t="n">
        <v>45601</v>
      </c>
      <c r="BQ2117" s="28" t="str">
        <f>HYPERLINK("https://organic.ams.usda.gov/Integrity/Certificate.aspx?cid=21&amp;nopid=1780851573")</f>
        <v>https://organic.ams.usda.gov/Integrity/Certificate.aspx?cid=21&amp;nopid=1780851573</v>
      </c>
    </row>
    <row r="2118">
      <c r="A2118" t="s">
        <v>3</v>
      </c>
      <c r="B2118" s="6" t="s">
        <v>22</v>
      </c>
      <c r="C2118" s="6" t="s">
        <v>69</v>
      </c>
      <c r="D2118" s="6" t="s">
        <v>115</v>
      </c>
      <c r="E2118" s="10" t="s">
        <v>2259</v>
      </c>
      <c r="F2118" s="6" t="s">
        <v>4972</v>
      </c>
      <c r="G2118" s="6" t="s">
        <v>81</v>
      </c>
      <c r="H2118" s="6" t="s">
        <v>7828</v>
      </c>
      <c r="I2118" s="6" t="s">
        <v>9420</v>
      </c>
      <c r="J2118" s="6" t="s">
        <v>10625</v>
      </c>
      <c r="K2118" s="6" t="s">
        <v>10886</v>
      </c>
      <c r="L2118" s="16" t="n">
        <v>45492</v>
      </c>
      <c r="M2118" s="16" t="n">
        <v>45715</v>
      </c>
      <c r="N2118" s="6" t="s">
        <v>10886</v>
      </c>
      <c r="O2118" s="16" t="n">
        <v>45492</v>
      </c>
      <c r="P2118" s="6" t="s">
        <v>12085</v>
      </c>
      <c r="Q2118" s="6" t="s">
        <v>81</v>
      </c>
      <c r="R2118" s="6" t="s">
        <v>81</v>
      </c>
      <c r="S2118" s="6" t="s">
        <v>81</v>
      </c>
      <c r="T2118" s="21" t="s">
        <v>81</v>
      </c>
      <c r="U2118" s="6" t="s">
        <v>81</v>
      </c>
      <c r="V2118" s="6" t="s">
        <v>81</v>
      </c>
      <c r="W2118" s="6" t="s">
        <v>81</v>
      </c>
      <c r="X2118" s="6" t="s">
        <v>81</v>
      </c>
      <c r="Y2118" s="21" t="s">
        <v>81</v>
      </c>
      <c r="Z2118" s="6" t="s">
        <v>81</v>
      </c>
      <c r="AA2118" s="6" t="s">
        <v>81</v>
      </c>
      <c r="AB2118" s="6" t="s">
        <v>81</v>
      </c>
      <c r="AC2118" s="6" t="s">
        <v>10886</v>
      </c>
      <c r="AD2118" s="16" t="n">
        <v>45492</v>
      </c>
      <c r="AE2118" s="6" t="s">
        <v>14374</v>
      </c>
      <c r="AF2118" s="6" t="s">
        <v>81</v>
      </c>
      <c r="AG2118" s="6" t="s">
        <v>81</v>
      </c>
      <c r="AH2118" s="6" t="s">
        <v>16667</v>
      </c>
      <c r="AI2118" s="6" t="s">
        <v>81</v>
      </c>
      <c r="AJ2118" s="6" t="s">
        <v>18216</v>
      </c>
      <c r="AK2118" s="6" t="s">
        <v>18436</v>
      </c>
      <c r="AL2118" s="6" t="s">
        <v>18450</v>
      </c>
      <c r="AM2118" s="6" t="s">
        <v>81</v>
      </c>
      <c r="AN2118" s="6" t="s">
        <v>81</v>
      </c>
      <c r="AO2118" s="6" t="s">
        <v>81</v>
      </c>
      <c r="AP2118" s="6" t="s">
        <v>16666</v>
      </c>
      <c r="AQ2118" s="6" t="s">
        <v>81</v>
      </c>
      <c r="AR2118" s="6" t="s">
        <v>18217</v>
      </c>
      <c r="AS2118" s="6" t="s">
        <v>18437</v>
      </c>
      <c r="AT2118" s="6" t="s">
        <v>18450</v>
      </c>
      <c r="AU2118" s="6" t="s">
        <v>19431</v>
      </c>
      <c r="AV2118" s="6" t="s">
        <v>81</v>
      </c>
      <c r="AW2118" s="6" t="s">
        <v>81</v>
      </c>
      <c r="AX2118" s="6" t="s">
        <v>22143</v>
      </c>
      <c r="AY2118" s="6" t="s">
        <v>23300</v>
      </c>
      <c r="AZ2118" s="6" t="s">
        <v>81</v>
      </c>
      <c r="BA2118" s="6" t="s">
        <v>81</v>
      </c>
      <c r="BB2118" s="24" t="n">
        <v>205</v>
      </c>
      <c r="BC2118" s="26"/>
      <c r="BD2118" s="26"/>
      <c r="BE2118" s="26"/>
      <c r="BF2118" s="26"/>
      <c r="BG2118" s="26"/>
      <c r="BH2118" s="26"/>
      <c r="BI2118" s="26"/>
      <c r="BJ2118" s="26"/>
      <c r="BK2118" s="26"/>
      <c r="BL2118" s="26"/>
      <c r="BM2118" s="26"/>
      <c r="BN2118" s="26"/>
      <c r="BO2118" s="26" t="s">
        <v>23900</v>
      </c>
      <c r="BP2118" s="16" t="n">
        <v>45705</v>
      </c>
      <c r="BQ2118" s="28" t="str">
        <f>HYPERLINK("https://organic.ams.usda.gov/Integrity/Certificate.aspx?cid=21&amp;nopid=1780901347")</f>
        <v>https://organic.ams.usda.gov/Integrity/Certificate.aspx?cid=21&amp;nopid=1780901347</v>
      </c>
    </row>
    <row r="2119">
      <c r="A2119" t="s">
        <v>3</v>
      </c>
      <c r="B2119" s="6" t="s">
        <v>22</v>
      </c>
      <c r="C2119" s="6" t="s">
        <v>69</v>
      </c>
      <c r="D2119" s="6" t="s">
        <v>115</v>
      </c>
      <c r="E2119" s="10" t="s">
        <v>2260</v>
      </c>
      <c r="F2119" s="6" t="s">
        <v>4973</v>
      </c>
      <c r="G2119" s="6" t="s">
        <v>81</v>
      </c>
      <c r="H2119" s="6" t="s">
        <v>7829</v>
      </c>
      <c r="I2119" s="6" t="s">
        <v>9421</v>
      </c>
      <c r="J2119" s="6" t="s">
        <v>81</v>
      </c>
      <c r="K2119" s="6" t="s">
        <v>10886</v>
      </c>
      <c r="L2119" s="16" t="n">
        <v>42215</v>
      </c>
      <c r="M2119" s="16" t="n">
        <v>45959</v>
      </c>
      <c r="N2119" s="6" t="s">
        <v>10886</v>
      </c>
      <c r="O2119" s="16" t="n">
        <v>42215</v>
      </c>
      <c r="P2119" s="6" t="s">
        <v>12086</v>
      </c>
      <c r="Q2119" s="6" t="s">
        <v>81</v>
      </c>
      <c r="R2119" s="6" t="s">
        <v>81</v>
      </c>
      <c r="S2119" s="6" t="s">
        <v>81</v>
      </c>
      <c r="T2119" s="21" t="s">
        <v>81</v>
      </c>
      <c r="U2119" s="6" t="s">
        <v>81</v>
      </c>
      <c r="V2119" s="6" t="s">
        <v>81</v>
      </c>
      <c r="W2119" s="6" t="s">
        <v>81</v>
      </c>
      <c r="X2119" s="6" t="s">
        <v>81</v>
      </c>
      <c r="Y2119" s="21" t="s">
        <v>81</v>
      </c>
      <c r="Z2119" s="6" t="s">
        <v>81</v>
      </c>
      <c r="AA2119" s="6" t="s">
        <v>81</v>
      </c>
      <c r="AB2119" s="6" t="s">
        <v>81</v>
      </c>
      <c r="AC2119" s="6" t="s">
        <v>10886</v>
      </c>
      <c r="AD2119" s="16" t="n">
        <v>42215</v>
      </c>
      <c r="AE2119" s="6" t="s">
        <v>14375</v>
      </c>
      <c r="AF2119" s="6" t="s">
        <v>81</v>
      </c>
      <c r="AG2119" s="6" t="s">
        <v>81</v>
      </c>
      <c r="AH2119" s="6" t="s">
        <v>16668</v>
      </c>
      <c r="AI2119" s="6" t="s">
        <v>17298</v>
      </c>
      <c r="AJ2119" s="6" t="s">
        <v>18218</v>
      </c>
      <c r="AK2119" s="6" t="s">
        <v>18436</v>
      </c>
      <c r="AL2119" s="6" t="s">
        <v>18450</v>
      </c>
      <c r="AM2119" s="6" t="s">
        <v>19432</v>
      </c>
      <c r="AN2119" s="6" t="s">
        <v>81</v>
      </c>
      <c r="AO2119" s="6" t="s">
        <v>81</v>
      </c>
      <c r="AP2119" s="6" t="s">
        <v>16668</v>
      </c>
      <c r="AQ2119" s="6" t="s">
        <v>17298</v>
      </c>
      <c r="AR2119" s="6" t="s">
        <v>18218</v>
      </c>
      <c r="AS2119" s="6" t="s">
        <v>18436</v>
      </c>
      <c r="AT2119" s="6" t="s">
        <v>18450</v>
      </c>
      <c r="AU2119" s="6" t="s">
        <v>19432</v>
      </c>
      <c r="AV2119" s="6" t="s">
        <v>81</v>
      </c>
      <c r="AW2119" s="6" t="s">
        <v>81</v>
      </c>
      <c r="AX2119" s="6" t="s">
        <v>22144</v>
      </c>
      <c r="AY2119" s="6" t="s">
        <v>23301</v>
      </c>
      <c r="AZ2119" s="6" t="s">
        <v>81</v>
      </c>
      <c r="BA2119" s="6" t="s">
        <v>81</v>
      </c>
      <c r="BB2119" s="24" t="n">
        <v>362</v>
      </c>
      <c r="BC2119" s="26"/>
      <c r="BD2119" s="26"/>
      <c r="BE2119" s="26"/>
      <c r="BF2119" s="26"/>
      <c r="BG2119" s="26"/>
      <c r="BH2119" s="26"/>
      <c r="BI2119" s="26"/>
      <c r="BJ2119" s="26"/>
      <c r="BK2119" s="26"/>
      <c r="BL2119" s="26"/>
      <c r="BM2119" s="26"/>
      <c r="BN2119" s="26"/>
      <c r="BO2119" s="26" t="s">
        <v>23900</v>
      </c>
      <c r="BP2119" s="16" t="n">
        <v>45658</v>
      </c>
      <c r="BQ2119" s="28" t="str">
        <f>HYPERLINK("https://organic.ams.usda.gov/Integrity/Certificate.aspx?cid=21&amp;nopid=1780834314")</f>
        <v>https://organic.ams.usda.gov/Integrity/Certificate.aspx?cid=21&amp;nopid=1780834314</v>
      </c>
    </row>
    <row r="2120">
      <c r="A2120" t="s">
        <v>3</v>
      </c>
      <c r="B2120" s="6" t="s">
        <v>22</v>
      </c>
      <c r="C2120" s="6" t="s">
        <v>69</v>
      </c>
      <c r="D2120" s="6" t="s">
        <v>115</v>
      </c>
      <c r="E2120" s="10" t="s">
        <v>2261</v>
      </c>
      <c r="F2120" s="6" t="s">
        <v>4974</v>
      </c>
      <c r="G2120" s="6" t="s">
        <v>81</v>
      </c>
      <c r="H2120" s="6" t="s">
        <v>7830</v>
      </c>
      <c r="I2120" s="6" t="s">
        <v>9422</v>
      </c>
      <c r="J2120" s="6" t="s">
        <v>81</v>
      </c>
      <c r="K2120" s="6" t="s">
        <v>10886</v>
      </c>
      <c r="L2120" s="16" t="n">
        <v>42727</v>
      </c>
      <c r="M2120" s="16" t="n">
        <v>45649</v>
      </c>
      <c r="N2120" s="6" t="s">
        <v>10886</v>
      </c>
      <c r="O2120" s="16" t="n">
        <v>42727</v>
      </c>
      <c r="P2120" s="6" t="s">
        <v>11064</v>
      </c>
      <c r="Q2120" s="6" t="s">
        <v>81</v>
      </c>
      <c r="R2120" s="6" t="s">
        <v>81</v>
      </c>
      <c r="S2120" s="6" t="s">
        <v>81</v>
      </c>
      <c r="T2120" s="21" t="s">
        <v>81</v>
      </c>
      <c r="U2120" s="6" t="s">
        <v>81</v>
      </c>
      <c r="V2120" s="6" t="s">
        <v>81</v>
      </c>
      <c r="W2120" s="6" t="s">
        <v>81</v>
      </c>
      <c r="X2120" s="6" t="s">
        <v>81</v>
      </c>
      <c r="Y2120" s="21" t="s">
        <v>81</v>
      </c>
      <c r="Z2120" s="6" t="s">
        <v>81</v>
      </c>
      <c r="AA2120" s="6" t="s">
        <v>81</v>
      </c>
      <c r="AB2120" s="6" t="s">
        <v>81</v>
      </c>
      <c r="AC2120" s="6" t="s">
        <v>10886</v>
      </c>
      <c r="AD2120" s="16" t="n">
        <v>42727</v>
      </c>
      <c r="AE2120" s="6" t="s">
        <v>14376</v>
      </c>
      <c r="AF2120" s="6" t="s">
        <v>81</v>
      </c>
      <c r="AG2120" s="6" t="s">
        <v>81</v>
      </c>
      <c r="AH2120" s="6" t="s">
        <v>16669</v>
      </c>
      <c r="AI2120" s="6" t="s">
        <v>81</v>
      </c>
      <c r="AJ2120" s="6" t="s">
        <v>18219</v>
      </c>
      <c r="AK2120" s="6" t="s">
        <v>18438</v>
      </c>
      <c r="AL2120" s="6" t="s">
        <v>18450</v>
      </c>
      <c r="AM2120" s="6" t="s">
        <v>81</v>
      </c>
      <c r="AN2120" s="6" t="s">
        <v>81</v>
      </c>
      <c r="AO2120" s="6" t="s">
        <v>81</v>
      </c>
      <c r="AP2120" s="6" t="s">
        <v>20397</v>
      </c>
      <c r="AQ2120" s="6" t="s">
        <v>81</v>
      </c>
      <c r="AR2120" s="6" t="s">
        <v>20570</v>
      </c>
      <c r="AS2120" s="6" t="s">
        <v>20591</v>
      </c>
      <c r="AT2120" s="6" t="s">
        <v>18450</v>
      </c>
      <c r="AU2120" s="6" t="s">
        <v>20694</v>
      </c>
      <c r="AV2120" s="6" t="s">
        <v>81</v>
      </c>
      <c r="AW2120" s="6" t="s">
        <v>81</v>
      </c>
      <c r="AX2120" s="6" t="s">
        <v>22145</v>
      </c>
      <c r="AY2120" s="6" t="s">
        <v>23302</v>
      </c>
      <c r="AZ2120" s="6" t="s">
        <v>81</v>
      </c>
      <c r="BA2120" s="6" t="s">
        <v>81</v>
      </c>
      <c r="BB2120" s="24" t="n">
        <v>1979</v>
      </c>
      <c r="BC2120" s="26"/>
      <c r="BD2120" s="26"/>
      <c r="BE2120" s="26"/>
      <c r="BF2120" s="26"/>
      <c r="BG2120" s="26"/>
      <c r="BH2120" s="26"/>
      <c r="BI2120" s="26"/>
      <c r="BJ2120" s="26"/>
      <c r="BK2120" s="26"/>
      <c r="BL2120" s="26"/>
      <c r="BM2120" s="26"/>
      <c r="BN2120" s="26"/>
      <c r="BO2120" s="26" t="s">
        <v>23900</v>
      </c>
      <c r="BP2120" s="16" t="n">
        <v>45700</v>
      </c>
      <c r="BQ2120" s="28" t="str">
        <f>HYPERLINK("https://organic.ams.usda.gov/Integrity/Certificate.aspx?cid=21&amp;nopid=1780845544")</f>
        <v>https://organic.ams.usda.gov/Integrity/Certificate.aspx?cid=21&amp;nopid=1780845544</v>
      </c>
    </row>
    <row r="2121">
      <c r="A2121" t="s">
        <v>3</v>
      </c>
      <c r="B2121" s="6" t="s">
        <v>22</v>
      </c>
      <c r="C2121" s="6" t="s">
        <v>69</v>
      </c>
      <c r="D2121" s="6" t="s">
        <v>115</v>
      </c>
      <c r="E2121" s="10" t="s">
        <v>2262</v>
      </c>
      <c r="F2121" s="6" t="s">
        <v>4975</v>
      </c>
      <c r="G2121" s="6" t="s">
        <v>81</v>
      </c>
      <c r="H2121" s="6" t="s">
        <v>7831</v>
      </c>
      <c r="I2121" s="6" t="s">
        <v>9423</v>
      </c>
      <c r="J2121" s="6" t="s">
        <v>10626</v>
      </c>
      <c r="K2121" s="6" t="s">
        <v>10886</v>
      </c>
      <c r="L2121" s="16" t="n">
        <v>45069</v>
      </c>
      <c r="M2121" s="16" t="n">
        <v>45676</v>
      </c>
      <c r="N2121" s="6" t="s">
        <v>10886</v>
      </c>
      <c r="O2121" s="16" t="n">
        <v>45069</v>
      </c>
      <c r="P2121" s="6" t="s">
        <v>12087</v>
      </c>
      <c r="Q2121" s="6" t="s">
        <v>81</v>
      </c>
      <c r="R2121" s="6" t="s">
        <v>81</v>
      </c>
      <c r="S2121" s="6" t="s">
        <v>81</v>
      </c>
      <c r="T2121" s="21" t="s">
        <v>81</v>
      </c>
      <c r="U2121" s="6" t="s">
        <v>81</v>
      </c>
      <c r="V2121" s="6" t="s">
        <v>81</v>
      </c>
      <c r="W2121" s="6" t="s">
        <v>81</v>
      </c>
      <c r="X2121" s="6" t="s">
        <v>81</v>
      </c>
      <c r="Y2121" s="21" t="s">
        <v>81</v>
      </c>
      <c r="Z2121" s="6" t="s">
        <v>81</v>
      </c>
      <c r="AA2121" s="6" t="s">
        <v>81</v>
      </c>
      <c r="AB2121" s="6" t="s">
        <v>81</v>
      </c>
      <c r="AC2121" s="6" t="s">
        <v>10886</v>
      </c>
      <c r="AD2121" s="16" t="n">
        <v>45069</v>
      </c>
      <c r="AE2121" s="6" t="s">
        <v>14377</v>
      </c>
      <c r="AF2121" s="6" t="s">
        <v>81</v>
      </c>
      <c r="AG2121" s="6" t="s">
        <v>81</v>
      </c>
      <c r="AH2121" s="6" t="s">
        <v>16670</v>
      </c>
      <c r="AI2121" s="6" t="s">
        <v>81</v>
      </c>
      <c r="AJ2121" s="6" t="s">
        <v>18220</v>
      </c>
      <c r="AK2121" s="6" t="s">
        <v>18439</v>
      </c>
      <c r="AL2121" s="6" t="s">
        <v>18450</v>
      </c>
      <c r="AM2121" s="6" t="s">
        <v>19433</v>
      </c>
      <c r="AN2121" s="6" t="s">
        <v>81</v>
      </c>
      <c r="AO2121" s="6" t="s">
        <v>81</v>
      </c>
      <c r="AP2121" s="6" t="s">
        <v>16670</v>
      </c>
      <c r="AQ2121" s="6" t="s">
        <v>81</v>
      </c>
      <c r="AR2121" s="6" t="s">
        <v>18220</v>
      </c>
      <c r="AS2121" s="6" t="s">
        <v>18439</v>
      </c>
      <c r="AT2121" s="6" t="s">
        <v>18450</v>
      </c>
      <c r="AU2121" s="6" t="s">
        <v>19433</v>
      </c>
      <c r="AV2121" s="6" t="s">
        <v>81</v>
      </c>
      <c r="AW2121" s="6" t="s">
        <v>81</v>
      </c>
      <c r="AX2121" s="6" t="s">
        <v>22146</v>
      </c>
      <c r="AY2121" s="6" t="s">
        <v>23303</v>
      </c>
      <c r="AZ2121" s="6" t="s">
        <v>81</v>
      </c>
      <c r="BA2121" s="6" t="s">
        <v>81</v>
      </c>
      <c r="BB2121" s="24" t="n">
        <v>474</v>
      </c>
      <c r="BC2121" s="26"/>
      <c r="BD2121" s="26"/>
      <c r="BE2121" s="26"/>
      <c r="BF2121" s="26"/>
      <c r="BG2121" s="26"/>
      <c r="BH2121" s="26"/>
      <c r="BI2121" s="26"/>
      <c r="BJ2121" s="26"/>
      <c r="BK2121" s="26"/>
      <c r="BL2121" s="26"/>
      <c r="BM2121" s="26"/>
      <c r="BN2121" s="26"/>
      <c r="BO2121" s="26" t="s">
        <v>23900</v>
      </c>
      <c r="BP2121" s="16" t="n">
        <v>45700</v>
      </c>
      <c r="BQ2121" s="28" t="str">
        <f>HYPERLINK("https://organic.ams.usda.gov/Integrity/Certificate.aspx?cid=21&amp;nopid=1780889014")</f>
        <v>https://organic.ams.usda.gov/Integrity/Certificate.aspx?cid=21&amp;nopid=1780889014</v>
      </c>
    </row>
    <row r="2122">
      <c r="A2122" t="s">
        <v>3</v>
      </c>
      <c r="B2122" s="6" t="s">
        <v>13</v>
      </c>
      <c r="C2122" s="6" t="s">
        <v>60</v>
      </c>
      <c r="D2122" s="6" t="s">
        <v>106</v>
      </c>
      <c r="E2122" s="10" t="s">
        <v>2263</v>
      </c>
      <c r="F2122" s="6" t="s">
        <v>4976</v>
      </c>
      <c r="G2122" s="6" t="s">
        <v>81</v>
      </c>
      <c r="H2122" s="6" t="s">
        <v>7832</v>
      </c>
      <c r="I2122" s="6" t="s">
        <v>9424</v>
      </c>
      <c r="J2122" s="6" t="s">
        <v>10627</v>
      </c>
      <c r="K2122" s="6" t="s">
        <v>10886</v>
      </c>
      <c r="L2122" s="16" t="n">
        <v>41997</v>
      </c>
      <c r="M2122" s="16" t="n">
        <v>45992</v>
      </c>
      <c r="N2122" s="6" t="s">
        <v>81</v>
      </c>
      <c r="O2122" s="21" t="s">
        <v>81</v>
      </c>
      <c r="P2122" s="6" t="s">
        <v>81</v>
      </c>
      <c r="Q2122" s="6" t="s">
        <v>81</v>
      </c>
      <c r="R2122" s="6" t="s">
        <v>81</v>
      </c>
      <c r="S2122" s="6" t="s">
        <v>81</v>
      </c>
      <c r="T2122" s="21" t="s">
        <v>81</v>
      </c>
      <c r="U2122" s="6" t="s">
        <v>81</v>
      </c>
      <c r="V2122" s="6" t="s">
        <v>81</v>
      </c>
      <c r="W2122" s="6" t="s">
        <v>81</v>
      </c>
      <c r="X2122" s="6" t="s">
        <v>81</v>
      </c>
      <c r="Y2122" s="21" t="s">
        <v>81</v>
      </c>
      <c r="Z2122" s="6" t="s">
        <v>81</v>
      </c>
      <c r="AA2122" s="6" t="s">
        <v>81</v>
      </c>
      <c r="AB2122" s="6" t="s">
        <v>81</v>
      </c>
      <c r="AC2122" s="6" t="s">
        <v>10886</v>
      </c>
      <c r="AD2122" s="16" t="n">
        <v>41997</v>
      </c>
      <c r="AE2122" s="6" t="s">
        <v>14378</v>
      </c>
      <c r="AF2122" s="6" t="s">
        <v>81</v>
      </c>
      <c r="AG2122" s="6" t="s">
        <v>14584</v>
      </c>
      <c r="AH2122" s="6" t="s">
        <v>16671</v>
      </c>
      <c r="AI2122" s="6" t="s">
        <v>81</v>
      </c>
      <c r="AJ2122" s="6" t="s">
        <v>18221</v>
      </c>
      <c r="AK2122" s="6" t="s">
        <v>18389</v>
      </c>
      <c r="AL2122" s="6" t="s">
        <v>18444</v>
      </c>
      <c r="AM2122" s="6" t="s">
        <v>19434</v>
      </c>
      <c r="AN2122" s="6" t="s">
        <v>7546</v>
      </c>
      <c r="AO2122" s="6" t="s">
        <v>19872</v>
      </c>
      <c r="AP2122" s="6" t="s">
        <v>16671</v>
      </c>
      <c r="AQ2122" s="6" t="s">
        <v>81</v>
      </c>
      <c r="AR2122" s="6" t="s">
        <v>18221</v>
      </c>
      <c r="AS2122" s="6" t="s">
        <v>18389</v>
      </c>
      <c r="AT2122" s="6" t="s">
        <v>18444</v>
      </c>
      <c r="AU2122" s="6" t="s">
        <v>19434</v>
      </c>
      <c r="AV2122" s="6" t="s">
        <v>81</v>
      </c>
      <c r="AW2122" s="6" t="s">
        <v>81</v>
      </c>
      <c r="AX2122" s="6" t="s">
        <v>22147</v>
      </c>
      <c r="AY2122" s="6" t="s">
        <v>23304</v>
      </c>
      <c r="AZ2122" s="6" t="s">
        <v>81</v>
      </c>
      <c r="BA2122" s="6" t="s">
        <v>81</v>
      </c>
      <c r="BB2122" s="6" t="s">
        <v>81</v>
      </c>
      <c r="BC2122" s="26"/>
      <c r="BD2122" s="26"/>
      <c r="BE2122" s="26"/>
      <c r="BF2122" s="26" t="s">
        <v>23900</v>
      </c>
      <c r="BG2122" s="26"/>
      <c r="BH2122" s="26"/>
      <c r="BI2122" s="26"/>
      <c r="BJ2122" s="26"/>
      <c r="BK2122" s="26"/>
      <c r="BL2122" s="26"/>
      <c r="BM2122" s="26"/>
      <c r="BN2122" s="26"/>
      <c r="BO2122" s="26"/>
      <c r="BP2122" s="16" t="n">
        <v>45695</v>
      </c>
      <c r="BQ2122" s="28" t="str">
        <f>HYPERLINK("https://organic.ams.usda.gov/Integrity/Certificate.aspx?cid=72&amp;nopid=5870001905")</f>
        <v>https://organic.ams.usda.gov/Integrity/Certificate.aspx?cid=72&amp;nopid=5870001905</v>
      </c>
    </row>
    <row r="2123">
      <c r="A2123" t="s">
        <v>3</v>
      </c>
      <c r="B2123" s="6" t="s">
        <v>13</v>
      </c>
      <c r="C2123" s="6" t="s">
        <v>60</v>
      </c>
      <c r="D2123" s="6" t="s">
        <v>106</v>
      </c>
      <c r="E2123" s="10" t="s">
        <v>2264</v>
      </c>
      <c r="F2123" s="6" t="s">
        <v>4976</v>
      </c>
      <c r="G2123" s="6" t="s">
        <v>5817</v>
      </c>
      <c r="H2123" s="6" t="s">
        <v>7833</v>
      </c>
      <c r="I2123" s="6" t="s">
        <v>9425</v>
      </c>
      <c r="J2123" s="6" t="s">
        <v>10628</v>
      </c>
      <c r="K2123" s="6" t="s">
        <v>10886</v>
      </c>
      <c r="L2123" s="16" t="n">
        <v>39052</v>
      </c>
      <c r="M2123" s="16" t="n">
        <v>45992</v>
      </c>
      <c r="N2123" s="6" t="s">
        <v>81</v>
      </c>
      <c r="O2123" s="21" t="s">
        <v>81</v>
      </c>
      <c r="P2123" s="6" t="s">
        <v>81</v>
      </c>
      <c r="Q2123" s="6" t="s">
        <v>81</v>
      </c>
      <c r="R2123" s="6" t="s">
        <v>81</v>
      </c>
      <c r="S2123" s="6" t="s">
        <v>81</v>
      </c>
      <c r="T2123" s="21" t="s">
        <v>81</v>
      </c>
      <c r="U2123" s="6" t="s">
        <v>81</v>
      </c>
      <c r="V2123" s="6" t="s">
        <v>81</v>
      </c>
      <c r="W2123" s="6" t="s">
        <v>81</v>
      </c>
      <c r="X2123" s="6" t="s">
        <v>81</v>
      </c>
      <c r="Y2123" s="21" t="s">
        <v>81</v>
      </c>
      <c r="Z2123" s="6" t="s">
        <v>81</v>
      </c>
      <c r="AA2123" s="6" t="s">
        <v>81</v>
      </c>
      <c r="AB2123" s="6" t="s">
        <v>81</v>
      </c>
      <c r="AC2123" s="6" t="s">
        <v>10886</v>
      </c>
      <c r="AD2123" s="16" t="n">
        <v>39052</v>
      </c>
      <c r="AE2123" s="6" t="s">
        <v>14379</v>
      </c>
      <c r="AF2123" s="6" t="s">
        <v>81</v>
      </c>
      <c r="AG2123" s="6" t="s">
        <v>14585</v>
      </c>
      <c r="AH2123" s="6" t="s">
        <v>16672</v>
      </c>
      <c r="AI2123" s="6" t="s">
        <v>17299</v>
      </c>
      <c r="AJ2123" s="6" t="s">
        <v>18222</v>
      </c>
      <c r="AK2123" s="6" t="s">
        <v>17955</v>
      </c>
      <c r="AL2123" s="6" t="s">
        <v>18444</v>
      </c>
      <c r="AM2123" s="6" t="s">
        <v>19435</v>
      </c>
      <c r="AN2123" s="6" t="s">
        <v>19666</v>
      </c>
      <c r="AO2123" s="6" t="s">
        <v>20043</v>
      </c>
      <c r="AP2123" s="6" t="s">
        <v>16672</v>
      </c>
      <c r="AQ2123" s="6" t="s">
        <v>17299</v>
      </c>
      <c r="AR2123" s="6" t="s">
        <v>18222</v>
      </c>
      <c r="AS2123" s="6" t="s">
        <v>17955</v>
      </c>
      <c r="AT2123" s="6" t="s">
        <v>18444</v>
      </c>
      <c r="AU2123" s="6" t="s">
        <v>19435</v>
      </c>
      <c r="AV2123" s="6" t="s">
        <v>81</v>
      </c>
      <c r="AW2123" s="6" t="s">
        <v>81</v>
      </c>
      <c r="AX2123" s="6" t="s">
        <v>22148</v>
      </c>
      <c r="AY2123" s="6" t="s">
        <v>23305</v>
      </c>
      <c r="AZ2123" s="6" t="s">
        <v>81</v>
      </c>
      <c r="BA2123" s="6" t="s">
        <v>81</v>
      </c>
      <c r="BB2123" s="6" t="s">
        <v>81</v>
      </c>
      <c r="BC2123" s="26"/>
      <c r="BD2123" s="26"/>
      <c r="BE2123" s="26"/>
      <c r="BF2123" s="26" t="s">
        <v>23900</v>
      </c>
      <c r="BG2123" s="26" t="s">
        <v>23900</v>
      </c>
      <c r="BH2123" s="26"/>
      <c r="BI2123" s="26"/>
      <c r="BJ2123" s="26"/>
      <c r="BK2123" s="26"/>
      <c r="BL2123" s="26"/>
      <c r="BM2123" s="26"/>
      <c r="BN2123" s="26"/>
      <c r="BO2123" s="26"/>
      <c r="BP2123" s="16" t="n">
        <v>45695</v>
      </c>
      <c r="BQ2123" s="28" t="str">
        <f>HYPERLINK("https://organic.ams.usda.gov/Integrity/Certificate.aspx?cid=72&amp;nopid=5870000763")</f>
        <v>https://organic.ams.usda.gov/Integrity/Certificate.aspx?cid=72&amp;nopid=5870000763</v>
      </c>
    </row>
    <row r="2124">
      <c r="A2124" t="s">
        <v>3</v>
      </c>
      <c r="B2124" s="6" t="s">
        <v>8</v>
      </c>
      <c r="C2124" s="6" t="s">
        <v>55</v>
      </c>
      <c r="D2124" s="6" t="s">
        <v>101</v>
      </c>
      <c r="E2124" s="10" t="s">
        <v>2265</v>
      </c>
      <c r="F2124" s="6" t="s">
        <v>4977</v>
      </c>
      <c r="G2124" s="6" t="s">
        <v>81</v>
      </c>
      <c r="H2124" s="6" t="s">
        <v>7834</v>
      </c>
      <c r="I2124" s="6" t="s">
        <v>8478</v>
      </c>
      <c r="J2124" s="6" t="s">
        <v>10629</v>
      </c>
      <c r="K2124" s="6" t="s">
        <v>10886</v>
      </c>
      <c r="L2124" s="16" t="n">
        <v>39127</v>
      </c>
      <c r="M2124" s="16" t="n">
        <v>45383</v>
      </c>
      <c r="N2124" s="6" t="s">
        <v>10886</v>
      </c>
      <c r="O2124" s="16" t="n">
        <v>39127</v>
      </c>
      <c r="P2124" s="6" t="s">
        <v>12088</v>
      </c>
      <c r="Q2124" s="6" t="s">
        <v>81</v>
      </c>
      <c r="R2124" s="6" t="s">
        <v>7834</v>
      </c>
      <c r="S2124" s="6" t="s">
        <v>10886</v>
      </c>
      <c r="T2124" s="16" t="n">
        <v>39127</v>
      </c>
      <c r="U2124" s="6" t="s">
        <v>13179</v>
      </c>
      <c r="V2124" s="6" t="s">
        <v>81</v>
      </c>
      <c r="W2124" s="6" t="s">
        <v>7834</v>
      </c>
      <c r="X2124" s="6" t="s">
        <v>81</v>
      </c>
      <c r="Y2124" s="21" t="s">
        <v>81</v>
      </c>
      <c r="Z2124" s="6" t="s">
        <v>81</v>
      </c>
      <c r="AA2124" s="6" t="s">
        <v>81</v>
      </c>
      <c r="AB2124" s="6" t="s">
        <v>81</v>
      </c>
      <c r="AC2124" s="6" t="s">
        <v>81</v>
      </c>
      <c r="AD2124" s="21" t="s">
        <v>81</v>
      </c>
      <c r="AE2124" s="6" t="s">
        <v>81</v>
      </c>
      <c r="AF2124" s="6" t="s">
        <v>81</v>
      </c>
      <c r="AG2124" s="6" t="s">
        <v>81</v>
      </c>
      <c r="AH2124" s="6" t="s">
        <v>16673</v>
      </c>
      <c r="AI2124" s="6" t="s">
        <v>81</v>
      </c>
      <c r="AJ2124" s="6" t="s">
        <v>17919</v>
      </c>
      <c r="AK2124" s="6" t="s">
        <v>18377</v>
      </c>
      <c r="AL2124" s="6" t="s">
        <v>18444</v>
      </c>
      <c r="AM2124" s="6" t="s">
        <v>19108</v>
      </c>
      <c r="AN2124" s="6" t="s">
        <v>6842</v>
      </c>
      <c r="AO2124" s="6" t="s">
        <v>19788</v>
      </c>
      <c r="AP2124" s="6" t="s">
        <v>81</v>
      </c>
      <c r="AQ2124" s="6" t="s">
        <v>81</v>
      </c>
      <c r="AR2124" s="6" t="s">
        <v>81</v>
      </c>
      <c r="AS2124" s="6" t="s">
        <v>81</v>
      </c>
      <c r="AT2124" s="6" t="s">
        <v>81</v>
      </c>
      <c r="AU2124" s="6" t="s">
        <v>81</v>
      </c>
      <c r="AV2124" s="6" t="s">
        <v>81</v>
      </c>
      <c r="AW2124" s="6" t="s">
        <v>81</v>
      </c>
      <c r="AX2124" s="6" t="s">
        <v>81</v>
      </c>
      <c r="AY2124" s="6" t="s">
        <v>23306</v>
      </c>
      <c r="AZ2124" s="6" t="s">
        <v>81</v>
      </c>
      <c r="BA2124" s="6" t="s">
        <v>23819</v>
      </c>
      <c r="BB2124" s="24" t="n">
        <v>416</v>
      </c>
      <c r="BC2124" s="26"/>
      <c r="BD2124" s="26"/>
      <c r="BE2124" s="26"/>
      <c r="BF2124" s="26" t="s">
        <v>23900</v>
      </c>
      <c r="BG2124" s="26"/>
      <c r="BH2124" s="26"/>
      <c r="BI2124" s="26"/>
      <c r="BJ2124" s="26"/>
      <c r="BK2124" s="26"/>
      <c r="BL2124" s="26"/>
      <c r="BM2124" s="26"/>
      <c r="BN2124" s="26"/>
      <c r="BO2124" s="26"/>
      <c r="BP2124" s="16" t="n">
        <v>45575</v>
      </c>
      <c r="BQ2124" s="28" t="str">
        <f>HYPERLINK("https://organic.ams.usda.gov/Integrity/Certificate.aspx?cid=45&amp;nopid=9950002540")</f>
        <v>https://organic.ams.usda.gov/Integrity/Certificate.aspx?cid=45&amp;nopid=9950002540</v>
      </c>
    </row>
    <row r="2125">
      <c r="A2125" t="s">
        <v>3</v>
      </c>
      <c r="B2125" s="6" t="s">
        <v>29</v>
      </c>
      <c r="C2125" s="6" t="s">
        <v>76</v>
      </c>
      <c r="D2125" s="6" t="s">
        <v>122</v>
      </c>
      <c r="E2125" s="10" t="s">
        <v>2266</v>
      </c>
      <c r="F2125" s="6" t="s">
        <v>4978</v>
      </c>
      <c r="G2125" s="6" t="s">
        <v>81</v>
      </c>
      <c r="H2125" s="6" t="s">
        <v>7835</v>
      </c>
      <c r="I2125" s="6" t="s">
        <v>8573</v>
      </c>
      <c r="J2125" s="6" t="s">
        <v>9750</v>
      </c>
      <c r="K2125" s="6" t="s">
        <v>10886</v>
      </c>
      <c r="L2125" s="16" t="n">
        <v>40800</v>
      </c>
      <c r="M2125" s="16" t="n">
        <v>45870</v>
      </c>
      <c r="N2125" s="6" t="s">
        <v>10886</v>
      </c>
      <c r="O2125" s="16" t="n">
        <v>40800</v>
      </c>
      <c r="P2125" s="6" t="s">
        <v>10910</v>
      </c>
      <c r="Q2125" s="6" t="s">
        <v>81</v>
      </c>
      <c r="R2125" s="6" t="s">
        <v>12999</v>
      </c>
      <c r="S2125" s="6" t="s">
        <v>10886</v>
      </c>
      <c r="T2125" s="16" t="n">
        <v>40800</v>
      </c>
      <c r="U2125" s="6" t="s">
        <v>13212</v>
      </c>
      <c r="V2125" s="6" t="s">
        <v>81</v>
      </c>
      <c r="W2125" s="6" t="s">
        <v>12999</v>
      </c>
      <c r="X2125" s="6" t="s">
        <v>81</v>
      </c>
      <c r="Y2125" s="21" t="s">
        <v>81</v>
      </c>
      <c r="Z2125" s="6" t="s">
        <v>81</v>
      </c>
      <c r="AA2125" s="6" t="s">
        <v>81</v>
      </c>
      <c r="AB2125" s="6" t="s">
        <v>81</v>
      </c>
      <c r="AC2125" s="6" t="s">
        <v>81</v>
      </c>
      <c r="AD2125" s="21" t="s">
        <v>81</v>
      </c>
      <c r="AE2125" s="6" t="s">
        <v>81</v>
      </c>
      <c r="AF2125" s="6" t="s">
        <v>81</v>
      </c>
      <c r="AG2125" s="6" t="s">
        <v>81</v>
      </c>
      <c r="AH2125" s="6" t="s">
        <v>16674</v>
      </c>
      <c r="AI2125" s="6" t="s">
        <v>81</v>
      </c>
      <c r="AJ2125" s="6" t="s">
        <v>17595</v>
      </c>
      <c r="AK2125" s="6" t="s">
        <v>17712</v>
      </c>
      <c r="AL2125" s="6" t="s">
        <v>18444</v>
      </c>
      <c r="AM2125" s="6" t="s">
        <v>18761</v>
      </c>
      <c r="AN2125" s="6" t="s">
        <v>19634</v>
      </c>
      <c r="AO2125" s="6" t="s">
        <v>19719</v>
      </c>
      <c r="AP2125" s="6" t="s">
        <v>81</v>
      </c>
      <c r="AQ2125" s="6" t="s">
        <v>81</v>
      </c>
      <c r="AR2125" s="6" t="s">
        <v>81</v>
      </c>
      <c r="AS2125" s="6" t="s">
        <v>81</v>
      </c>
      <c r="AT2125" s="6" t="s">
        <v>81</v>
      </c>
      <c r="AU2125" s="6" t="s">
        <v>81</v>
      </c>
      <c r="AV2125" s="6" t="s">
        <v>81</v>
      </c>
      <c r="AW2125" s="6" t="s">
        <v>81</v>
      </c>
      <c r="AX2125" s="6" t="s">
        <v>81</v>
      </c>
      <c r="AY2125" s="6" t="s">
        <v>81</v>
      </c>
      <c r="AZ2125" s="6" t="s">
        <v>81</v>
      </c>
      <c r="BA2125" s="6" t="s">
        <v>81</v>
      </c>
      <c r="BB2125" s="24" t="n">
        <v>132</v>
      </c>
      <c r="BC2125" s="26"/>
      <c r="BD2125" s="26"/>
      <c r="BE2125" s="26"/>
      <c r="BF2125" s="26" t="s">
        <v>23900</v>
      </c>
      <c r="BG2125" s="26"/>
      <c r="BH2125" s="26"/>
      <c r="BI2125" s="26"/>
      <c r="BJ2125" s="26"/>
      <c r="BK2125" s="26"/>
      <c r="BL2125" s="26"/>
      <c r="BM2125" s="26"/>
      <c r="BN2125" s="26"/>
      <c r="BO2125" s="26"/>
      <c r="BP2125" s="16" t="n">
        <v>45737</v>
      </c>
      <c r="BQ2125" s="28" t="str">
        <f>HYPERLINK("https://organic.ams.usda.gov/Integrity/Certificate.aspx?cid=31&amp;nopid=3928971056")</f>
        <v>https://organic.ams.usda.gov/Integrity/Certificate.aspx?cid=31&amp;nopid=3928971056</v>
      </c>
    </row>
    <row r="2126">
      <c r="A2126" t="s">
        <v>3</v>
      </c>
      <c r="B2126" s="6" t="s">
        <v>7</v>
      </c>
      <c r="C2126" s="6" t="s">
        <v>54</v>
      </c>
      <c r="D2126" s="6" t="s">
        <v>100</v>
      </c>
      <c r="E2126" s="10" t="s">
        <v>2267</v>
      </c>
      <c r="F2126" s="6" t="s">
        <v>4979</v>
      </c>
      <c r="G2126" s="6" t="s">
        <v>81</v>
      </c>
      <c r="H2126" s="6" t="s">
        <v>7836</v>
      </c>
      <c r="I2126" s="6" t="s">
        <v>8706</v>
      </c>
      <c r="J2126" s="6" t="s">
        <v>10481</v>
      </c>
      <c r="K2126" s="6" t="s">
        <v>10886</v>
      </c>
      <c r="L2126" s="16" t="n">
        <v>42989</v>
      </c>
      <c r="M2126" s="16" t="n">
        <v>45672</v>
      </c>
      <c r="N2126" s="6" t="s">
        <v>81</v>
      </c>
      <c r="O2126" s="21" t="s">
        <v>81</v>
      </c>
      <c r="P2126" s="6" t="s">
        <v>81</v>
      </c>
      <c r="Q2126" s="6" t="s">
        <v>81</v>
      </c>
      <c r="R2126" s="6" t="s">
        <v>81</v>
      </c>
      <c r="S2126" s="6" t="s">
        <v>81</v>
      </c>
      <c r="T2126" s="21" t="s">
        <v>81</v>
      </c>
      <c r="U2126" s="6" t="s">
        <v>81</v>
      </c>
      <c r="V2126" s="6" t="s">
        <v>81</v>
      </c>
      <c r="W2126" s="6" t="s">
        <v>81</v>
      </c>
      <c r="X2126" s="6" t="s">
        <v>81</v>
      </c>
      <c r="Y2126" s="21" t="s">
        <v>81</v>
      </c>
      <c r="Z2126" s="6" t="s">
        <v>81</v>
      </c>
      <c r="AA2126" s="6" t="s">
        <v>81</v>
      </c>
      <c r="AB2126" s="6" t="s">
        <v>81</v>
      </c>
      <c r="AC2126" s="6" t="s">
        <v>10886</v>
      </c>
      <c r="AD2126" s="16" t="n">
        <v>42989</v>
      </c>
      <c r="AE2126" s="6" t="s">
        <v>14380</v>
      </c>
      <c r="AF2126" s="6" t="s">
        <v>81</v>
      </c>
      <c r="AG2126" s="6" t="s">
        <v>81</v>
      </c>
      <c r="AH2126" s="6" t="s">
        <v>16675</v>
      </c>
      <c r="AI2126" s="6" t="s">
        <v>81</v>
      </c>
      <c r="AJ2126" s="6" t="s">
        <v>18223</v>
      </c>
      <c r="AK2126" s="6" t="s">
        <v>17712</v>
      </c>
      <c r="AL2126" s="6" t="s">
        <v>18444</v>
      </c>
      <c r="AM2126" s="6" t="s">
        <v>19436</v>
      </c>
      <c r="AN2126" s="6" t="s">
        <v>19684</v>
      </c>
      <c r="AO2126" s="6" t="s">
        <v>19784</v>
      </c>
      <c r="AP2126" s="6" t="s">
        <v>16675</v>
      </c>
      <c r="AQ2126" s="6" t="s">
        <v>81</v>
      </c>
      <c r="AR2126" s="6" t="s">
        <v>18223</v>
      </c>
      <c r="AS2126" s="6" t="s">
        <v>17712</v>
      </c>
      <c r="AT2126" s="6" t="s">
        <v>18444</v>
      </c>
      <c r="AU2126" s="6" t="s">
        <v>19436</v>
      </c>
      <c r="AV2126" s="6" t="s">
        <v>81</v>
      </c>
      <c r="AW2126" s="6" t="s">
        <v>81</v>
      </c>
      <c r="AX2126" s="6" t="s">
        <v>22149</v>
      </c>
      <c r="AY2126" s="6" t="s">
        <v>23307</v>
      </c>
      <c r="AZ2126" s="6" t="s">
        <v>23758</v>
      </c>
      <c r="BA2126" s="6" t="s">
        <v>81</v>
      </c>
      <c r="BB2126" s="24" t="n">
        <v>0</v>
      </c>
      <c r="BC2126" s="26"/>
      <c r="BD2126" s="26"/>
      <c r="BE2126" s="26" t="s">
        <v>23900</v>
      </c>
      <c r="BF2126" s="26"/>
      <c r="BG2126" s="26"/>
      <c r="BH2126" s="26"/>
      <c r="BI2126" s="26"/>
      <c r="BJ2126" s="26"/>
      <c r="BK2126" s="26"/>
      <c r="BL2126" s="26"/>
      <c r="BM2126" s="26"/>
      <c r="BN2126" s="26"/>
      <c r="BO2126" s="26"/>
      <c r="BP2126" s="16" t="n">
        <v>45603</v>
      </c>
      <c r="BQ2126" s="28" t="str">
        <f>HYPERLINK("https://organic.ams.usda.gov/Integrity/Certificate.aspx?cid=57&amp;nopid=3252014003")</f>
        <v>https://organic.ams.usda.gov/Integrity/Certificate.aspx?cid=57&amp;nopid=3252014003</v>
      </c>
    </row>
    <row r="2127">
      <c r="A2127" t="s">
        <v>3</v>
      </c>
      <c r="B2127" s="6" t="s">
        <v>29</v>
      </c>
      <c r="C2127" s="6" t="s">
        <v>76</v>
      </c>
      <c r="D2127" s="6" t="s">
        <v>122</v>
      </c>
      <c r="E2127" s="10" t="s">
        <v>2268</v>
      </c>
      <c r="F2127" s="6" t="s">
        <v>4980</v>
      </c>
      <c r="G2127" s="6" t="s">
        <v>81</v>
      </c>
      <c r="H2127" s="6" t="s">
        <v>7837</v>
      </c>
      <c r="I2127" s="6" t="s">
        <v>9426</v>
      </c>
      <c r="J2127" s="6" t="s">
        <v>10630</v>
      </c>
      <c r="K2127" s="6" t="s">
        <v>10886</v>
      </c>
      <c r="L2127" s="16" t="n">
        <v>45586</v>
      </c>
      <c r="M2127" s="16" t="n">
        <v>45870</v>
      </c>
      <c r="N2127" s="6" t="s">
        <v>10886</v>
      </c>
      <c r="O2127" s="16" t="n">
        <v>45586</v>
      </c>
      <c r="P2127" s="6" t="s">
        <v>12089</v>
      </c>
      <c r="Q2127" s="6" t="s">
        <v>81</v>
      </c>
      <c r="R2127" s="6" t="s">
        <v>13000</v>
      </c>
      <c r="S2127" s="6" t="s">
        <v>10886</v>
      </c>
      <c r="T2127" s="16" t="n">
        <v>45618</v>
      </c>
      <c r="U2127" s="6" t="s">
        <v>13798</v>
      </c>
      <c r="V2127" s="6" t="s">
        <v>81</v>
      </c>
      <c r="W2127" s="6" t="s">
        <v>13000</v>
      </c>
      <c r="X2127" s="6" t="s">
        <v>81</v>
      </c>
      <c r="Y2127" s="21" t="s">
        <v>81</v>
      </c>
      <c r="Z2127" s="6" t="s">
        <v>81</v>
      </c>
      <c r="AA2127" s="6" t="s">
        <v>81</v>
      </c>
      <c r="AB2127" s="6" t="s">
        <v>81</v>
      </c>
      <c r="AC2127" s="6" t="s">
        <v>81</v>
      </c>
      <c r="AD2127" s="21" t="s">
        <v>81</v>
      </c>
      <c r="AE2127" s="6" t="s">
        <v>81</v>
      </c>
      <c r="AF2127" s="6" t="s">
        <v>81</v>
      </c>
      <c r="AG2127" s="6" t="s">
        <v>81</v>
      </c>
      <c r="AH2127" s="6" t="s">
        <v>16676</v>
      </c>
      <c r="AI2127" s="6" t="s">
        <v>81</v>
      </c>
      <c r="AJ2127" s="6" t="s">
        <v>18224</v>
      </c>
      <c r="AK2127" s="6" t="s">
        <v>18380</v>
      </c>
      <c r="AL2127" s="6" t="s">
        <v>18444</v>
      </c>
      <c r="AM2127" s="6" t="s">
        <v>19437</v>
      </c>
      <c r="AN2127" s="6" t="s">
        <v>81</v>
      </c>
      <c r="AO2127" s="6" t="s">
        <v>81</v>
      </c>
      <c r="AP2127" s="6" t="s">
        <v>81</v>
      </c>
      <c r="AQ2127" s="6" t="s">
        <v>81</v>
      </c>
      <c r="AR2127" s="6" t="s">
        <v>81</v>
      </c>
      <c r="AS2127" s="6" t="s">
        <v>81</v>
      </c>
      <c r="AT2127" s="6" t="s">
        <v>81</v>
      </c>
      <c r="AU2127" s="6" t="s">
        <v>81</v>
      </c>
      <c r="AV2127" s="6" t="s">
        <v>81</v>
      </c>
      <c r="AW2127" s="6" t="s">
        <v>81</v>
      </c>
      <c r="AX2127" s="6" t="s">
        <v>22150</v>
      </c>
      <c r="AY2127" s="6" t="s">
        <v>81</v>
      </c>
      <c r="AZ2127" s="6" t="s">
        <v>81</v>
      </c>
      <c r="BA2127" s="6" t="s">
        <v>81</v>
      </c>
      <c r="BB2127" s="24" t="n">
        <v>115</v>
      </c>
      <c r="BC2127" s="26"/>
      <c r="BD2127" s="26"/>
      <c r="BE2127" s="26"/>
      <c r="BF2127" s="26" t="s">
        <v>23900</v>
      </c>
      <c r="BG2127" s="26"/>
      <c r="BH2127" s="26"/>
      <c r="BI2127" s="26"/>
      <c r="BJ2127" s="26"/>
      <c r="BK2127" s="26"/>
      <c r="BL2127" s="26"/>
      <c r="BM2127" s="26"/>
      <c r="BN2127" s="26"/>
      <c r="BO2127" s="26"/>
      <c r="BP2127" s="16" t="n">
        <v>45737</v>
      </c>
      <c r="BQ2127" s="28" t="str">
        <f>HYPERLINK("https://organic.ams.usda.gov/Integrity/Certificate.aspx?cid=31&amp;nopid=3928972455")</f>
        <v>https://organic.ams.usda.gov/Integrity/Certificate.aspx?cid=31&amp;nopid=3928972455</v>
      </c>
    </row>
    <row r="2128">
      <c r="A2128" t="s">
        <v>3</v>
      </c>
      <c r="B2128" s="6" t="s">
        <v>46</v>
      </c>
      <c r="C2128" s="6" t="s">
        <v>93</v>
      </c>
      <c r="D2128" s="6" t="s">
        <v>138</v>
      </c>
      <c r="E2128" s="10" t="s">
        <v>2269</v>
      </c>
      <c r="F2128" s="6" t="s">
        <v>4981</v>
      </c>
      <c r="G2128" s="6" t="s">
        <v>81</v>
      </c>
      <c r="H2128" s="6" t="s">
        <v>81</v>
      </c>
      <c r="I2128" s="6" t="s">
        <v>9344</v>
      </c>
      <c r="J2128" s="6" t="s">
        <v>10631</v>
      </c>
      <c r="K2128" s="6" t="s">
        <v>10886</v>
      </c>
      <c r="L2128" s="16" t="n">
        <v>43444</v>
      </c>
      <c r="M2128" s="16" t="n">
        <v>46001</v>
      </c>
      <c r="N2128" s="6" t="s">
        <v>81</v>
      </c>
      <c r="O2128" s="21" t="s">
        <v>81</v>
      </c>
      <c r="P2128" s="6" t="s">
        <v>81</v>
      </c>
      <c r="Q2128" s="6" t="s">
        <v>81</v>
      </c>
      <c r="R2128" s="6" t="s">
        <v>81</v>
      </c>
      <c r="S2128" s="6" t="s">
        <v>81</v>
      </c>
      <c r="T2128" s="21" t="s">
        <v>81</v>
      </c>
      <c r="U2128" s="6" t="s">
        <v>81</v>
      </c>
      <c r="V2128" s="6" t="s">
        <v>81</v>
      </c>
      <c r="W2128" s="6" t="s">
        <v>81</v>
      </c>
      <c r="X2128" s="6" t="s">
        <v>81</v>
      </c>
      <c r="Y2128" s="21" t="s">
        <v>81</v>
      </c>
      <c r="Z2128" s="6" t="s">
        <v>81</v>
      </c>
      <c r="AA2128" s="6" t="s">
        <v>81</v>
      </c>
      <c r="AB2128" s="6" t="s">
        <v>81</v>
      </c>
      <c r="AC2128" s="6" t="s">
        <v>10886</v>
      </c>
      <c r="AD2128" s="16" t="n">
        <v>43444</v>
      </c>
      <c r="AE2128" s="6" t="s">
        <v>14381</v>
      </c>
      <c r="AF2128" s="6" t="s">
        <v>81</v>
      </c>
      <c r="AG2128" s="6" t="s">
        <v>81</v>
      </c>
      <c r="AH2128" s="6" t="s">
        <v>16677</v>
      </c>
      <c r="AI2128" s="6" t="s">
        <v>81</v>
      </c>
      <c r="AJ2128" s="6" t="s">
        <v>18225</v>
      </c>
      <c r="AK2128" s="6" t="s">
        <v>18386</v>
      </c>
      <c r="AL2128" s="6" t="s">
        <v>18444</v>
      </c>
      <c r="AM2128" s="6" t="s">
        <v>19438</v>
      </c>
      <c r="AN2128" s="6" t="s">
        <v>19678</v>
      </c>
      <c r="AO2128" s="6" t="s">
        <v>19939</v>
      </c>
      <c r="AP2128" s="6" t="s">
        <v>81</v>
      </c>
      <c r="AQ2128" s="6" t="s">
        <v>81</v>
      </c>
      <c r="AR2128" s="6" t="s">
        <v>81</v>
      </c>
      <c r="AS2128" s="6" t="s">
        <v>81</v>
      </c>
      <c r="AT2128" s="6" t="s">
        <v>81</v>
      </c>
      <c r="AU2128" s="6" t="s">
        <v>81</v>
      </c>
      <c r="AV2128" s="6" t="s">
        <v>81</v>
      </c>
      <c r="AW2128" s="6" t="s">
        <v>81</v>
      </c>
      <c r="AX2128" s="6" t="s">
        <v>81</v>
      </c>
      <c r="AY2128" s="6" t="s">
        <v>23308</v>
      </c>
      <c r="AZ2128" s="6" t="s">
        <v>23759</v>
      </c>
      <c r="BA2128" s="6" t="s">
        <v>81</v>
      </c>
      <c r="BB2128" s="6" t="s">
        <v>81</v>
      </c>
      <c r="BC2128" s="26"/>
      <c r="BD2128" s="26"/>
      <c r="BE2128" s="26"/>
      <c r="BF2128" s="26"/>
      <c r="BG2128" s="26"/>
      <c r="BH2128" s="26"/>
      <c r="BI2128" s="26"/>
      <c r="BJ2128" s="26"/>
      <c r="BK2128" s="26"/>
      <c r="BL2128" s="26"/>
      <c r="BM2128" s="26"/>
      <c r="BN2128" s="26"/>
      <c r="BO2128" s="26"/>
      <c r="BP2128" s="16" t="n">
        <v>45702</v>
      </c>
      <c r="BQ2128" s="28" t="str">
        <f>HYPERLINK("https://organic.ams.usda.gov/Integrity/Certificate.aspx?cid=74&amp;nopid=5350000128")</f>
        <v>https://organic.ams.usda.gov/Integrity/Certificate.aspx?cid=74&amp;nopid=5350000128</v>
      </c>
    </row>
    <row r="2129">
      <c r="A2129" t="s">
        <v>3</v>
      </c>
      <c r="B2129" s="6" t="s">
        <v>24</v>
      </c>
      <c r="C2129" s="6" t="s">
        <v>71</v>
      </c>
      <c r="D2129" s="6" t="s">
        <v>117</v>
      </c>
      <c r="E2129" s="10" t="s">
        <v>2270</v>
      </c>
      <c r="F2129" s="6" t="s">
        <v>4982</v>
      </c>
      <c r="G2129" s="6" t="s">
        <v>81</v>
      </c>
      <c r="H2129" s="6" t="s">
        <v>81</v>
      </c>
      <c r="I2129" s="6" t="s">
        <v>9427</v>
      </c>
      <c r="J2129" s="6" t="s">
        <v>10632</v>
      </c>
      <c r="K2129" s="6" t="s">
        <v>10886</v>
      </c>
      <c r="L2129" s="16" t="n">
        <v>43042</v>
      </c>
      <c r="M2129" s="16" t="n">
        <v>45964</v>
      </c>
      <c r="N2129" s="6" t="s">
        <v>81</v>
      </c>
      <c r="O2129" s="21" t="s">
        <v>81</v>
      </c>
      <c r="P2129" s="6" t="s">
        <v>81</v>
      </c>
      <c r="Q2129" s="6" t="s">
        <v>81</v>
      </c>
      <c r="R2129" s="6" t="s">
        <v>81</v>
      </c>
      <c r="S2129" s="6" t="s">
        <v>81</v>
      </c>
      <c r="T2129" s="21" t="s">
        <v>81</v>
      </c>
      <c r="U2129" s="6" t="s">
        <v>81</v>
      </c>
      <c r="V2129" s="6" t="s">
        <v>81</v>
      </c>
      <c r="W2129" s="6" t="s">
        <v>81</v>
      </c>
      <c r="X2129" s="6" t="s">
        <v>81</v>
      </c>
      <c r="Y2129" s="21" t="s">
        <v>81</v>
      </c>
      <c r="Z2129" s="6" t="s">
        <v>81</v>
      </c>
      <c r="AA2129" s="6" t="s">
        <v>81</v>
      </c>
      <c r="AB2129" s="6" t="s">
        <v>81</v>
      </c>
      <c r="AC2129" s="6" t="s">
        <v>10886</v>
      </c>
      <c r="AD2129" s="16" t="n">
        <v>43042</v>
      </c>
      <c r="AE2129" s="6" t="s">
        <v>14382</v>
      </c>
      <c r="AF2129" s="6" t="s">
        <v>81</v>
      </c>
      <c r="AG2129" s="6" t="s">
        <v>81</v>
      </c>
      <c r="AH2129" s="6" t="s">
        <v>16678</v>
      </c>
      <c r="AI2129" s="6" t="s">
        <v>81</v>
      </c>
      <c r="AJ2129" s="6" t="s">
        <v>18226</v>
      </c>
      <c r="AK2129" s="6" t="s">
        <v>18386</v>
      </c>
      <c r="AL2129" s="6" t="s">
        <v>18444</v>
      </c>
      <c r="AM2129" s="6" t="s">
        <v>19439</v>
      </c>
      <c r="AN2129" s="6" t="s">
        <v>19704</v>
      </c>
      <c r="AO2129" s="6" t="s">
        <v>19928</v>
      </c>
      <c r="AP2129" s="6" t="s">
        <v>16678</v>
      </c>
      <c r="AQ2129" s="6" t="s">
        <v>81</v>
      </c>
      <c r="AR2129" s="6" t="s">
        <v>18226</v>
      </c>
      <c r="AS2129" s="6" t="s">
        <v>18386</v>
      </c>
      <c r="AT2129" s="6" t="s">
        <v>18444</v>
      </c>
      <c r="AU2129" s="6" t="s">
        <v>19439</v>
      </c>
      <c r="AV2129" s="6" t="s">
        <v>81</v>
      </c>
      <c r="AW2129" s="6" t="s">
        <v>81</v>
      </c>
      <c r="AX2129" s="6" t="s">
        <v>81</v>
      </c>
      <c r="AY2129" s="6" t="s">
        <v>23309</v>
      </c>
      <c r="AZ2129" s="6" t="s">
        <v>81</v>
      </c>
      <c r="BA2129" s="6" t="s">
        <v>81</v>
      </c>
      <c r="BB2129" s="6" t="s">
        <v>81</v>
      </c>
      <c r="BC2129" s="26"/>
      <c r="BD2129" s="26"/>
      <c r="BE2129" s="26"/>
      <c r="BF2129" s="26"/>
      <c r="BG2129" s="26"/>
      <c r="BH2129" s="26"/>
      <c r="BI2129" s="26"/>
      <c r="BJ2129" s="26"/>
      <c r="BK2129" s="26"/>
      <c r="BL2129" s="26"/>
      <c r="BM2129" s="26"/>
      <c r="BN2129" s="26"/>
      <c r="BO2129" s="26"/>
      <c r="BP2129" s="16" t="n">
        <v>45628</v>
      </c>
      <c r="BQ2129" s="28" t="str">
        <f>HYPERLINK("https://organic.ams.usda.gov/Integrity/Certificate.aspx?cid=1&amp;nopid=9091730701")</f>
        <v>https://organic.ams.usda.gov/Integrity/Certificate.aspx?cid=1&amp;nopid=9091730701</v>
      </c>
    </row>
    <row r="2130">
      <c r="A2130" t="s">
        <v>3</v>
      </c>
      <c r="B2130" s="6" t="s">
        <v>29</v>
      </c>
      <c r="C2130" s="6" t="s">
        <v>76</v>
      </c>
      <c r="D2130" s="6" t="s">
        <v>122</v>
      </c>
      <c r="E2130" s="10" t="s">
        <v>2271</v>
      </c>
      <c r="F2130" s="6" t="s">
        <v>4983</v>
      </c>
      <c r="G2130" s="6" t="s">
        <v>81</v>
      </c>
      <c r="H2130" s="6" t="s">
        <v>7838</v>
      </c>
      <c r="I2130" s="6" t="s">
        <v>9428</v>
      </c>
      <c r="J2130" s="6" t="s">
        <v>9742</v>
      </c>
      <c r="K2130" s="6" t="s">
        <v>10886</v>
      </c>
      <c r="L2130" s="16" t="n">
        <v>40833</v>
      </c>
      <c r="M2130" s="16" t="n">
        <v>45505</v>
      </c>
      <c r="N2130" s="6" t="s">
        <v>10886</v>
      </c>
      <c r="O2130" s="16" t="n">
        <v>40833</v>
      </c>
      <c r="P2130" s="6" t="s">
        <v>10910</v>
      </c>
      <c r="Q2130" s="6" t="s">
        <v>81</v>
      </c>
      <c r="R2130" s="6" t="s">
        <v>13001</v>
      </c>
      <c r="S2130" s="6" t="s">
        <v>10886</v>
      </c>
      <c r="T2130" s="16" t="n">
        <v>40833</v>
      </c>
      <c r="U2130" s="6" t="s">
        <v>13384</v>
      </c>
      <c r="V2130" s="6" t="s">
        <v>81</v>
      </c>
      <c r="W2130" s="6" t="s">
        <v>13001</v>
      </c>
      <c r="X2130" s="6" t="s">
        <v>81</v>
      </c>
      <c r="Y2130" s="21" t="s">
        <v>81</v>
      </c>
      <c r="Z2130" s="6" t="s">
        <v>81</v>
      </c>
      <c r="AA2130" s="6" t="s">
        <v>81</v>
      </c>
      <c r="AB2130" s="6" t="s">
        <v>81</v>
      </c>
      <c r="AC2130" s="6" t="s">
        <v>81</v>
      </c>
      <c r="AD2130" s="21" t="s">
        <v>81</v>
      </c>
      <c r="AE2130" s="6" t="s">
        <v>81</v>
      </c>
      <c r="AF2130" s="6" t="s">
        <v>81</v>
      </c>
      <c r="AG2130" s="6" t="s">
        <v>81</v>
      </c>
      <c r="AH2130" s="6" t="s">
        <v>16679</v>
      </c>
      <c r="AI2130" s="6" t="s">
        <v>81</v>
      </c>
      <c r="AJ2130" s="6" t="s">
        <v>17767</v>
      </c>
      <c r="AK2130" s="6" t="s">
        <v>18391</v>
      </c>
      <c r="AL2130" s="6" t="s">
        <v>18444</v>
      </c>
      <c r="AM2130" s="6" t="s">
        <v>18939</v>
      </c>
      <c r="AN2130" s="6" t="s">
        <v>6102</v>
      </c>
      <c r="AO2130" s="6" t="s">
        <v>19924</v>
      </c>
      <c r="AP2130" s="6" t="s">
        <v>81</v>
      </c>
      <c r="AQ2130" s="6" t="s">
        <v>81</v>
      </c>
      <c r="AR2130" s="6" t="s">
        <v>81</v>
      </c>
      <c r="AS2130" s="6" t="s">
        <v>81</v>
      </c>
      <c r="AT2130" s="6" t="s">
        <v>81</v>
      </c>
      <c r="AU2130" s="6" t="s">
        <v>81</v>
      </c>
      <c r="AV2130" s="6" t="s">
        <v>81</v>
      </c>
      <c r="AW2130" s="6" t="s">
        <v>81</v>
      </c>
      <c r="AX2130" s="6" t="s">
        <v>22151</v>
      </c>
      <c r="AY2130" s="6" t="s">
        <v>81</v>
      </c>
      <c r="AZ2130" s="6" t="s">
        <v>81</v>
      </c>
      <c r="BA2130" s="6" t="s">
        <v>81</v>
      </c>
      <c r="BB2130" s="24" t="n">
        <v>159</v>
      </c>
      <c r="BC2130" s="26"/>
      <c r="BD2130" s="26"/>
      <c r="BE2130" s="26"/>
      <c r="BF2130" s="26" t="s">
        <v>23900</v>
      </c>
      <c r="BG2130" s="26"/>
      <c r="BH2130" s="26"/>
      <c r="BI2130" s="26"/>
      <c r="BJ2130" s="26"/>
      <c r="BK2130" s="26"/>
      <c r="BL2130" s="26"/>
      <c r="BM2130" s="26"/>
      <c r="BN2130" s="26"/>
      <c r="BO2130" s="26"/>
      <c r="BP2130" s="16" t="n">
        <v>45737</v>
      </c>
      <c r="BQ2130" s="28" t="str">
        <f>HYPERLINK("https://organic.ams.usda.gov/Integrity/Certificate.aspx?cid=31&amp;nopid=3928971065")</f>
        <v>https://organic.ams.usda.gov/Integrity/Certificate.aspx?cid=31&amp;nopid=3928971065</v>
      </c>
    </row>
    <row r="2131">
      <c r="A2131" t="s">
        <v>3</v>
      </c>
      <c r="B2131" s="6" t="s">
        <v>14</v>
      </c>
      <c r="C2131" s="6" t="s">
        <v>61</v>
      </c>
      <c r="D2131" s="6" t="s">
        <v>107</v>
      </c>
      <c r="E2131" s="10" t="s">
        <v>2272</v>
      </c>
      <c r="F2131" s="6" t="s">
        <v>4984</v>
      </c>
      <c r="G2131" s="6" t="s">
        <v>81</v>
      </c>
      <c r="H2131" s="6" t="s">
        <v>7839</v>
      </c>
      <c r="I2131" s="6" t="s">
        <v>9429</v>
      </c>
      <c r="J2131" s="6" t="s">
        <v>10633</v>
      </c>
      <c r="K2131" s="6" t="s">
        <v>10886</v>
      </c>
      <c r="L2131" s="16" t="n">
        <v>41267</v>
      </c>
      <c r="M2131" s="16" t="n">
        <v>45627</v>
      </c>
      <c r="N2131" s="6" t="s">
        <v>81</v>
      </c>
      <c r="O2131" s="21" t="s">
        <v>81</v>
      </c>
      <c r="P2131" s="6" t="s">
        <v>81</v>
      </c>
      <c r="Q2131" s="6" t="s">
        <v>81</v>
      </c>
      <c r="R2131" s="6" t="s">
        <v>81</v>
      </c>
      <c r="S2131" s="6" t="s">
        <v>81</v>
      </c>
      <c r="T2131" s="21" t="s">
        <v>81</v>
      </c>
      <c r="U2131" s="6" t="s">
        <v>81</v>
      </c>
      <c r="V2131" s="6" t="s">
        <v>81</v>
      </c>
      <c r="W2131" s="6" t="s">
        <v>81</v>
      </c>
      <c r="X2131" s="6" t="s">
        <v>81</v>
      </c>
      <c r="Y2131" s="21" t="s">
        <v>81</v>
      </c>
      <c r="Z2131" s="6" t="s">
        <v>81</v>
      </c>
      <c r="AA2131" s="6" t="s">
        <v>81</v>
      </c>
      <c r="AB2131" s="6" t="s">
        <v>81</v>
      </c>
      <c r="AC2131" s="6" t="s">
        <v>10886</v>
      </c>
      <c r="AD2131" s="16" t="n">
        <v>41267</v>
      </c>
      <c r="AE2131" s="6" t="s">
        <v>14383</v>
      </c>
      <c r="AF2131" s="6" t="s">
        <v>81</v>
      </c>
      <c r="AG2131" s="6" t="s">
        <v>81</v>
      </c>
      <c r="AH2131" s="6" t="s">
        <v>16680</v>
      </c>
      <c r="AI2131" s="6" t="s">
        <v>81</v>
      </c>
      <c r="AJ2131" s="6" t="s">
        <v>18227</v>
      </c>
      <c r="AK2131" s="6" t="s">
        <v>18395</v>
      </c>
      <c r="AL2131" s="6" t="s">
        <v>18444</v>
      </c>
      <c r="AM2131" s="6" t="s">
        <v>19440</v>
      </c>
      <c r="AN2131" s="6" t="s">
        <v>19682</v>
      </c>
      <c r="AO2131" s="6" t="s">
        <v>20044</v>
      </c>
      <c r="AP2131" s="6" t="s">
        <v>16680</v>
      </c>
      <c r="AQ2131" s="6" t="s">
        <v>81</v>
      </c>
      <c r="AR2131" s="6" t="s">
        <v>18227</v>
      </c>
      <c r="AS2131" s="6" t="s">
        <v>18395</v>
      </c>
      <c r="AT2131" s="6" t="s">
        <v>18444</v>
      </c>
      <c r="AU2131" s="6" t="s">
        <v>19440</v>
      </c>
      <c r="AV2131" s="6" t="s">
        <v>81</v>
      </c>
      <c r="AW2131" s="6" t="s">
        <v>81</v>
      </c>
      <c r="AX2131" s="6" t="s">
        <v>22152</v>
      </c>
      <c r="AY2131" s="6" t="s">
        <v>23310</v>
      </c>
      <c r="AZ2131" s="6" t="s">
        <v>81</v>
      </c>
      <c r="BA2131" s="6" t="s">
        <v>81</v>
      </c>
      <c r="BB2131" s="24" t="n">
        <v>0</v>
      </c>
      <c r="BC2131" s="26"/>
      <c r="BD2131" s="26"/>
      <c r="BE2131" s="26"/>
      <c r="BF2131" s="26"/>
      <c r="BG2131" s="26"/>
      <c r="BH2131" s="26"/>
      <c r="BI2131" s="26"/>
      <c r="BJ2131" s="26"/>
      <c r="BK2131" s="26"/>
      <c r="BL2131" s="26"/>
      <c r="BM2131" s="26"/>
      <c r="BN2131" s="26"/>
      <c r="BO2131" s="26"/>
      <c r="BP2131" s="16" t="n">
        <v>45737</v>
      </c>
      <c r="BQ2131" s="28" t="str">
        <f>HYPERLINK("https://organic.ams.usda.gov/Integrity/Certificate.aspx?cid=51&amp;nopid=8240012155")</f>
        <v>https://organic.ams.usda.gov/Integrity/Certificate.aspx?cid=51&amp;nopid=8240012155</v>
      </c>
    </row>
    <row r="2132">
      <c r="A2132" t="s">
        <v>3</v>
      </c>
      <c r="B2132" s="6" t="s">
        <v>16</v>
      </c>
      <c r="C2132" s="6" t="s">
        <v>63</v>
      </c>
      <c r="D2132" s="6" t="s">
        <v>109</v>
      </c>
      <c r="E2132" s="10" t="s">
        <v>2273</v>
      </c>
      <c r="F2132" s="6" t="s">
        <v>4985</v>
      </c>
      <c r="G2132" s="6" t="s">
        <v>81</v>
      </c>
      <c r="H2132" s="6" t="s">
        <v>7840</v>
      </c>
      <c r="I2132" s="6" t="s">
        <v>8432</v>
      </c>
      <c r="J2132" s="6" t="s">
        <v>10634</v>
      </c>
      <c r="K2132" s="6" t="s">
        <v>10886</v>
      </c>
      <c r="L2132" s="16" t="n">
        <v>37817</v>
      </c>
      <c r="M2132" s="16" t="n">
        <v>45731</v>
      </c>
      <c r="N2132" s="6" t="s">
        <v>10886</v>
      </c>
      <c r="O2132" s="16" t="n">
        <v>37817</v>
      </c>
      <c r="P2132" s="6" t="s">
        <v>12090</v>
      </c>
      <c r="Q2132" s="6" t="s">
        <v>81</v>
      </c>
      <c r="R2132" s="6" t="s">
        <v>81</v>
      </c>
      <c r="S2132" s="6" t="s">
        <v>10886</v>
      </c>
      <c r="T2132" s="16" t="n">
        <v>37817</v>
      </c>
      <c r="U2132" s="6" t="s">
        <v>13182</v>
      </c>
      <c r="V2132" s="6" t="s">
        <v>81</v>
      </c>
      <c r="W2132" s="6" t="s">
        <v>81</v>
      </c>
      <c r="X2132" s="6" t="s">
        <v>81</v>
      </c>
      <c r="Y2132" s="21" t="s">
        <v>81</v>
      </c>
      <c r="Z2132" s="6" t="s">
        <v>81</v>
      </c>
      <c r="AA2132" s="6" t="s">
        <v>81</v>
      </c>
      <c r="AB2132" s="6" t="s">
        <v>81</v>
      </c>
      <c r="AC2132" s="6" t="s">
        <v>10886</v>
      </c>
      <c r="AD2132" s="16" t="n">
        <v>37817</v>
      </c>
      <c r="AE2132" s="6" t="s">
        <v>81</v>
      </c>
      <c r="AF2132" s="6" t="s">
        <v>81</v>
      </c>
      <c r="AG2132" s="6" t="s">
        <v>81</v>
      </c>
      <c r="AH2132" s="6" t="s">
        <v>16681</v>
      </c>
      <c r="AI2132" s="6" t="s">
        <v>81</v>
      </c>
      <c r="AJ2132" s="6" t="s">
        <v>17381</v>
      </c>
      <c r="AK2132" s="6" t="s">
        <v>18383</v>
      </c>
      <c r="AL2132" s="6" t="s">
        <v>18444</v>
      </c>
      <c r="AM2132" s="6" t="s">
        <v>19392</v>
      </c>
      <c r="AN2132" s="6" t="s">
        <v>19655</v>
      </c>
      <c r="AO2132" s="6" t="s">
        <v>19886</v>
      </c>
      <c r="AP2132" s="6" t="s">
        <v>81</v>
      </c>
      <c r="AQ2132" s="6" t="s">
        <v>81</v>
      </c>
      <c r="AR2132" s="6" t="s">
        <v>81</v>
      </c>
      <c r="AS2132" s="6" t="s">
        <v>81</v>
      </c>
      <c r="AT2132" s="6" t="s">
        <v>81</v>
      </c>
      <c r="AU2132" s="6" t="s">
        <v>81</v>
      </c>
      <c r="AV2132" s="6" t="s">
        <v>81</v>
      </c>
      <c r="AW2132" s="6" t="s">
        <v>81</v>
      </c>
      <c r="AX2132" s="6" t="s">
        <v>22153</v>
      </c>
      <c r="AY2132" s="6" t="s">
        <v>81</v>
      </c>
      <c r="AZ2132" s="6" t="s">
        <v>81</v>
      </c>
      <c r="BA2132" s="6" t="s">
        <v>81</v>
      </c>
      <c r="BB2132" s="24" t="n">
        <v>775</v>
      </c>
      <c r="BC2132" s="26"/>
      <c r="BD2132" s="26"/>
      <c r="BE2132" s="26"/>
      <c r="BF2132" s="26"/>
      <c r="BG2132" s="26"/>
      <c r="BH2132" s="26"/>
      <c r="BI2132" s="26"/>
      <c r="BJ2132" s="26"/>
      <c r="BK2132" s="26"/>
      <c r="BL2132" s="26"/>
      <c r="BM2132" s="26"/>
      <c r="BN2132" s="26"/>
      <c r="BO2132" s="26"/>
      <c r="BP2132" s="16" t="n">
        <v>45701</v>
      </c>
      <c r="BQ2132" s="28" t="str">
        <f>HYPERLINK("https://organic.ams.usda.gov/Integrity/Certificate.aspx?cid=81&amp;nopid=4210003021")</f>
        <v>https://organic.ams.usda.gov/Integrity/Certificate.aspx?cid=81&amp;nopid=4210003021</v>
      </c>
    </row>
    <row r="2133">
      <c r="A2133" t="s">
        <v>3</v>
      </c>
      <c r="B2133" s="6" t="s">
        <v>14</v>
      </c>
      <c r="C2133" s="6" t="s">
        <v>61</v>
      </c>
      <c r="D2133" s="6" t="s">
        <v>107</v>
      </c>
      <c r="E2133" s="10" t="s">
        <v>2274</v>
      </c>
      <c r="F2133" s="6" t="s">
        <v>4986</v>
      </c>
      <c r="G2133" s="6" t="s">
        <v>81</v>
      </c>
      <c r="H2133" s="6" t="s">
        <v>7841</v>
      </c>
      <c r="I2133" s="6" t="s">
        <v>9430</v>
      </c>
      <c r="J2133" s="6" t="s">
        <v>10635</v>
      </c>
      <c r="K2133" s="6" t="s">
        <v>10886</v>
      </c>
      <c r="L2133" s="16" t="n">
        <v>45383</v>
      </c>
      <c r="M2133" s="16" t="n">
        <v>45748</v>
      </c>
      <c r="N2133" s="6" t="s">
        <v>81</v>
      </c>
      <c r="O2133" s="21" t="s">
        <v>81</v>
      </c>
      <c r="P2133" s="6" t="s">
        <v>81</v>
      </c>
      <c r="Q2133" s="6" t="s">
        <v>81</v>
      </c>
      <c r="R2133" s="6" t="s">
        <v>81</v>
      </c>
      <c r="S2133" s="6" t="s">
        <v>81</v>
      </c>
      <c r="T2133" s="21" t="s">
        <v>81</v>
      </c>
      <c r="U2133" s="6" t="s">
        <v>81</v>
      </c>
      <c r="V2133" s="6" t="s">
        <v>81</v>
      </c>
      <c r="W2133" s="6" t="s">
        <v>81</v>
      </c>
      <c r="X2133" s="6" t="s">
        <v>81</v>
      </c>
      <c r="Y2133" s="21" t="s">
        <v>81</v>
      </c>
      <c r="Z2133" s="6" t="s">
        <v>81</v>
      </c>
      <c r="AA2133" s="6" t="s">
        <v>81</v>
      </c>
      <c r="AB2133" s="6" t="s">
        <v>81</v>
      </c>
      <c r="AC2133" s="6" t="s">
        <v>10886</v>
      </c>
      <c r="AD2133" s="16" t="n">
        <v>45383</v>
      </c>
      <c r="AE2133" s="6" t="s">
        <v>14384</v>
      </c>
      <c r="AF2133" s="6" t="s">
        <v>81</v>
      </c>
      <c r="AG2133" s="6" t="s">
        <v>81</v>
      </c>
      <c r="AH2133" s="6" t="s">
        <v>16682</v>
      </c>
      <c r="AI2133" s="6" t="s">
        <v>17300</v>
      </c>
      <c r="AJ2133" s="6" t="s">
        <v>18228</v>
      </c>
      <c r="AK2133" s="6" t="s">
        <v>18382</v>
      </c>
      <c r="AL2133" s="6" t="s">
        <v>18444</v>
      </c>
      <c r="AM2133" s="6" t="s">
        <v>19441</v>
      </c>
      <c r="AN2133" s="6" t="s">
        <v>81</v>
      </c>
      <c r="AO2133" s="6" t="s">
        <v>81</v>
      </c>
      <c r="AP2133" s="6" t="s">
        <v>16682</v>
      </c>
      <c r="AQ2133" s="6" t="s">
        <v>17300</v>
      </c>
      <c r="AR2133" s="6" t="s">
        <v>18228</v>
      </c>
      <c r="AS2133" s="6" t="s">
        <v>18382</v>
      </c>
      <c r="AT2133" s="6" t="s">
        <v>18444</v>
      </c>
      <c r="AU2133" s="6" t="s">
        <v>19441</v>
      </c>
      <c r="AV2133" s="6" t="s">
        <v>81</v>
      </c>
      <c r="AW2133" s="6" t="s">
        <v>81</v>
      </c>
      <c r="AX2133" s="6" t="s">
        <v>22154</v>
      </c>
      <c r="AY2133" s="6" t="s">
        <v>23311</v>
      </c>
      <c r="AZ2133" s="6" t="s">
        <v>81</v>
      </c>
      <c r="BA2133" s="6" t="s">
        <v>81</v>
      </c>
      <c r="BB2133" s="24" t="n">
        <v>0</v>
      </c>
      <c r="BC2133" s="26"/>
      <c r="BD2133" s="26"/>
      <c r="BE2133" s="26"/>
      <c r="BF2133" s="26"/>
      <c r="BG2133" s="26" t="s">
        <v>23900</v>
      </c>
      <c r="BH2133" s="26" t="s">
        <v>23900</v>
      </c>
      <c r="BI2133" s="26"/>
      <c r="BJ2133" s="26"/>
      <c r="BK2133" s="26"/>
      <c r="BL2133" s="26"/>
      <c r="BM2133" s="26"/>
      <c r="BN2133" s="26"/>
      <c r="BO2133" s="26"/>
      <c r="BP2133" s="16" t="n">
        <v>45664</v>
      </c>
      <c r="BQ2133" s="28" t="str">
        <f>HYPERLINK("https://organic.ams.usda.gov/Integrity/Certificate.aspx?cid=51&amp;nopid=8241000011")</f>
        <v>https://organic.ams.usda.gov/Integrity/Certificate.aspx?cid=51&amp;nopid=8241000011</v>
      </c>
    </row>
    <row r="2134">
      <c r="A2134" t="s">
        <v>3</v>
      </c>
      <c r="B2134" s="6" t="s">
        <v>29</v>
      </c>
      <c r="C2134" s="6" t="s">
        <v>76</v>
      </c>
      <c r="D2134" s="6" t="s">
        <v>122</v>
      </c>
      <c r="E2134" s="10" t="s">
        <v>2275</v>
      </c>
      <c r="F2134" s="6" t="s">
        <v>4987</v>
      </c>
      <c r="G2134" s="6" t="s">
        <v>81</v>
      </c>
      <c r="H2134" s="6" t="s">
        <v>7842</v>
      </c>
      <c r="I2134" s="6" t="s">
        <v>9431</v>
      </c>
      <c r="J2134" s="6" t="s">
        <v>10160</v>
      </c>
      <c r="K2134" s="6" t="s">
        <v>10886</v>
      </c>
      <c r="L2134" s="16" t="n">
        <v>41085</v>
      </c>
      <c r="M2134" s="16" t="n">
        <v>45870</v>
      </c>
      <c r="N2134" s="6" t="s">
        <v>10886</v>
      </c>
      <c r="O2134" s="16" t="n">
        <v>41085</v>
      </c>
      <c r="P2134" s="6" t="s">
        <v>12091</v>
      </c>
      <c r="Q2134" s="6" t="s">
        <v>81</v>
      </c>
      <c r="R2134" s="6" t="s">
        <v>13002</v>
      </c>
      <c r="S2134" s="6" t="s">
        <v>10886</v>
      </c>
      <c r="T2134" s="16" t="n">
        <v>41085</v>
      </c>
      <c r="U2134" s="6" t="s">
        <v>13212</v>
      </c>
      <c r="V2134" s="6" t="s">
        <v>81</v>
      </c>
      <c r="W2134" s="6" t="s">
        <v>13002</v>
      </c>
      <c r="X2134" s="6" t="s">
        <v>81</v>
      </c>
      <c r="Y2134" s="21" t="s">
        <v>81</v>
      </c>
      <c r="Z2134" s="6" t="s">
        <v>81</v>
      </c>
      <c r="AA2134" s="6" t="s">
        <v>81</v>
      </c>
      <c r="AB2134" s="6" t="s">
        <v>81</v>
      </c>
      <c r="AC2134" s="6" t="s">
        <v>81</v>
      </c>
      <c r="AD2134" s="21" t="s">
        <v>81</v>
      </c>
      <c r="AE2134" s="6" t="s">
        <v>81</v>
      </c>
      <c r="AF2134" s="6" t="s">
        <v>81</v>
      </c>
      <c r="AG2134" s="6" t="s">
        <v>81</v>
      </c>
      <c r="AH2134" s="6" t="s">
        <v>16683</v>
      </c>
      <c r="AI2134" s="6" t="s">
        <v>81</v>
      </c>
      <c r="AJ2134" s="6" t="s">
        <v>17424</v>
      </c>
      <c r="AK2134" s="6" t="s">
        <v>17712</v>
      </c>
      <c r="AL2134" s="6" t="s">
        <v>18444</v>
      </c>
      <c r="AM2134" s="6" t="s">
        <v>18581</v>
      </c>
      <c r="AN2134" s="6" t="s">
        <v>19667</v>
      </c>
      <c r="AO2134" s="6" t="s">
        <v>19774</v>
      </c>
      <c r="AP2134" s="6" t="s">
        <v>81</v>
      </c>
      <c r="AQ2134" s="6" t="s">
        <v>81</v>
      </c>
      <c r="AR2134" s="6" t="s">
        <v>81</v>
      </c>
      <c r="AS2134" s="6" t="s">
        <v>81</v>
      </c>
      <c r="AT2134" s="6" t="s">
        <v>81</v>
      </c>
      <c r="AU2134" s="6" t="s">
        <v>81</v>
      </c>
      <c r="AV2134" s="6" t="s">
        <v>81</v>
      </c>
      <c r="AW2134" s="6" t="s">
        <v>81</v>
      </c>
      <c r="AX2134" s="6" t="s">
        <v>22155</v>
      </c>
      <c r="AY2134" s="6" t="s">
        <v>81</v>
      </c>
      <c r="AZ2134" s="6" t="s">
        <v>81</v>
      </c>
      <c r="BA2134" s="6" t="s">
        <v>81</v>
      </c>
      <c r="BB2134" s="24" t="n">
        <v>117</v>
      </c>
      <c r="BC2134" s="26"/>
      <c r="BD2134" s="26"/>
      <c r="BE2134" s="26"/>
      <c r="BF2134" s="26" t="s">
        <v>23900</v>
      </c>
      <c r="BG2134" s="26"/>
      <c r="BH2134" s="26"/>
      <c r="BI2134" s="26"/>
      <c r="BJ2134" s="26"/>
      <c r="BK2134" s="26"/>
      <c r="BL2134" s="26"/>
      <c r="BM2134" s="26"/>
      <c r="BN2134" s="26"/>
      <c r="BO2134" s="26"/>
      <c r="BP2134" s="16" t="n">
        <v>45737</v>
      </c>
      <c r="BQ2134" s="28" t="str">
        <f>HYPERLINK("https://organic.ams.usda.gov/Integrity/Certificate.aspx?cid=31&amp;nopid=3928971126")</f>
        <v>https://organic.ams.usda.gov/Integrity/Certificate.aspx?cid=31&amp;nopid=3928971126</v>
      </c>
    </row>
    <row r="2135">
      <c r="A2135" t="s">
        <v>3</v>
      </c>
      <c r="B2135" s="6" t="s">
        <v>8</v>
      </c>
      <c r="C2135" s="6" t="s">
        <v>55</v>
      </c>
      <c r="D2135" s="6" t="s">
        <v>101</v>
      </c>
      <c r="E2135" s="10" t="s">
        <v>2276</v>
      </c>
      <c r="F2135" s="6" t="s">
        <v>4988</v>
      </c>
      <c r="G2135" s="6" t="s">
        <v>81</v>
      </c>
      <c r="H2135" s="6" t="s">
        <v>7843</v>
      </c>
      <c r="I2135" s="6" t="s">
        <v>8956</v>
      </c>
      <c r="J2135" s="6" t="s">
        <v>9665</v>
      </c>
      <c r="K2135" s="6" t="s">
        <v>10886</v>
      </c>
      <c r="L2135" s="16" t="n">
        <v>36452</v>
      </c>
      <c r="M2135" s="16" t="n">
        <v>45383</v>
      </c>
      <c r="N2135" s="6" t="s">
        <v>10886</v>
      </c>
      <c r="O2135" s="16" t="n">
        <v>36452</v>
      </c>
      <c r="P2135" s="6" t="s">
        <v>12092</v>
      </c>
      <c r="Q2135" s="6" t="s">
        <v>81</v>
      </c>
      <c r="R2135" s="6" t="s">
        <v>7843</v>
      </c>
      <c r="S2135" s="6" t="s">
        <v>10886</v>
      </c>
      <c r="T2135" s="16" t="n">
        <v>36452</v>
      </c>
      <c r="U2135" s="6" t="s">
        <v>13221</v>
      </c>
      <c r="V2135" s="6" t="s">
        <v>81</v>
      </c>
      <c r="W2135" s="6" t="s">
        <v>7843</v>
      </c>
      <c r="X2135" s="6" t="s">
        <v>81</v>
      </c>
      <c r="Y2135" s="21" t="s">
        <v>81</v>
      </c>
      <c r="Z2135" s="6" t="s">
        <v>81</v>
      </c>
      <c r="AA2135" s="6" t="s">
        <v>81</v>
      </c>
      <c r="AB2135" s="6" t="s">
        <v>81</v>
      </c>
      <c r="AC2135" s="6" t="s">
        <v>81</v>
      </c>
      <c r="AD2135" s="21" t="s">
        <v>81</v>
      </c>
      <c r="AE2135" s="6" t="s">
        <v>81</v>
      </c>
      <c r="AF2135" s="6" t="s">
        <v>81</v>
      </c>
      <c r="AG2135" s="6" t="s">
        <v>81</v>
      </c>
      <c r="AH2135" s="6" t="s">
        <v>16684</v>
      </c>
      <c r="AI2135" s="6" t="s">
        <v>81</v>
      </c>
      <c r="AJ2135" s="6" t="s">
        <v>17459</v>
      </c>
      <c r="AK2135" s="6" t="s">
        <v>18377</v>
      </c>
      <c r="AL2135" s="6" t="s">
        <v>18444</v>
      </c>
      <c r="AM2135" s="6" t="s">
        <v>18618</v>
      </c>
      <c r="AN2135" s="6" t="s">
        <v>19696</v>
      </c>
      <c r="AO2135" s="6" t="s">
        <v>19907</v>
      </c>
      <c r="AP2135" s="6" t="s">
        <v>81</v>
      </c>
      <c r="AQ2135" s="6" t="s">
        <v>81</v>
      </c>
      <c r="AR2135" s="6" t="s">
        <v>81</v>
      </c>
      <c r="AS2135" s="6" t="s">
        <v>81</v>
      </c>
      <c r="AT2135" s="6" t="s">
        <v>81</v>
      </c>
      <c r="AU2135" s="6" t="s">
        <v>81</v>
      </c>
      <c r="AV2135" s="6" t="s">
        <v>81</v>
      </c>
      <c r="AW2135" s="6" t="s">
        <v>81</v>
      </c>
      <c r="AX2135" s="6" t="s">
        <v>22156</v>
      </c>
      <c r="AY2135" s="6" t="s">
        <v>23312</v>
      </c>
      <c r="AZ2135" s="6" t="s">
        <v>23760</v>
      </c>
      <c r="BA2135" s="6" t="s">
        <v>23824</v>
      </c>
      <c r="BB2135" s="24" t="n">
        <v>1556</v>
      </c>
      <c r="BC2135" s="26"/>
      <c r="BD2135" s="26"/>
      <c r="BE2135" s="26"/>
      <c r="BF2135" s="26" t="s">
        <v>23900</v>
      </c>
      <c r="BG2135" s="26"/>
      <c r="BH2135" s="26"/>
      <c r="BI2135" s="26"/>
      <c r="BJ2135" s="26"/>
      <c r="BK2135" s="26"/>
      <c r="BL2135" s="26"/>
      <c r="BM2135" s="26"/>
      <c r="BN2135" s="26"/>
      <c r="BO2135" s="26"/>
      <c r="BP2135" s="16" t="n">
        <v>45437</v>
      </c>
      <c r="BQ2135" s="28" t="str">
        <f>HYPERLINK("https://organic.ams.usda.gov/Integrity/Certificate.aspx?cid=45&amp;nopid=9950000207")</f>
        <v>https://organic.ams.usda.gov/Integrity/Certificate.aspx?cid=45&amp;nopid=9950000207</v>
      </c>
    </row>
    <row r="2136">
      <c r="A2136" t="s">
        <v>3</v>
      </c>
      <c r="B2136" s="6" t="s">
        <v>29</v>
      </c>
      <c r="C2136" s="6" t="s">
        <v>76</v>
      </c>
      <c r="D2136" s="6" t="s">
        <v>122</v>
      </c>
      <c r="E2136" s="10" t="s">
        <v>2277</v>
      </c>
      <c r="F2136" s="6" t="s">
        <v>4989</v>
      </c>
      <c r="G2136" s="6" t="s">
        <v>5818</v>
      </c>
      <c r="H2136" s="6" t="s">
        <v>7844</v>
      </c>
      <c r="I2136" s="6" t="s">
        <v>9405</v>
      </c>
      <c r="J2136" s="6" t="s">
        <v>9759</v>
      </c>
      <c r="K2136" s="6" t="s">
        <v>10886</v>
      </c>
      <c r="L2136" s="16" t="n">
        <v>45456</v>
      </c>
      <c r="M2136" s="16" t="n">
        <v>45870</v>
      </c>
      <c r="N2136" s="6" t="s">
        <v>10886</v>
      </c>
      <c r="O2136" s="16" t="n">
        <v>45456</v>
      </c>
      <c r="P2136" s="6" t="s">
        <v>12093</v>
      </c>
      <c r="Q2136" s="6" t="s">
        <v>81</v>
      </c>
      <c r="R2136" s="6" t="s">
        <v>13003</v>
      </c>
      <c r="S2136" s="6" t="s">
        <v>10886</v>
      </c>
      <c r="T2136" s="16" t="n">
        <v>45456</v>
      </c>
      <c r="U2136" s="6" t="s">
        <v>13799</v>
      </c>
      <c r="V2136" s="6" t="s">
        <v>81</v>
      </c>
      <c r="W2136" s="6" t="s">
        <v>13003</v>
      </c>
      <c r="X2136" s="6" t="s">
        <v>81</v>
      </c>
      <c r="Y2136" s="21" t="s">
        <v>81</v>
      </c>
      <c r="Z2136" s="6" t="s">
        <v>81</v>
      </c>
      <c r="AA2136" s="6" t="s">
        <v>81</v>
      </c>
      <c r="AB2136" s="6" t="s">
        <v>81</v>
      </c>
      <c r="AC2136" s="6" t="s">
        <v>81</v>
      </c>
      <c r="AD2136" s="21" t="s">
        <v>81</v>
      </c>
      <c r="AE2136" s="6" t="s">
        <v>81</v>
      </c>
      <c r="AF2136" s="6" t="s">
        <v>81</v>
      </c>
      <c r="AG2136" s="6" t="s">
        <v>81</v>
      </c>
      <c r="AH2136" s="6" t="s">
        <v>16685</v>
      </c>
      <c r="AI2136" s="6" t="s">
        <v>81</v>
      </c>
      <c r="AJ2136" s="6" t="s">
        <v>17424</v>
      </c>
      <c r="AK2136" s="6" t="s">
        <v>17712</v>
      </c>
      <c r="AL2136" s="6" t="s">
        <v>18444</v>
      </c>
      <c r="AM2136" s="6" t="s">
        <v>18581</v>
      </c>
      <c r="AN2136" s="6" t="s">
        <v>81</v>
      </c>
      <c r="AO2136" s="6" t="s">
        <v>81</v>
      </c>
      <c r="AP2136" s="6" t="s">
        <v>81</v>
      </c>
      <c r="AQ2136" s="6" t="s">
        <v>81</v>
      </c>
      <c r="AR2136" s="6" t="s">
        <v>81</v>
      </c>
      <c r="AS2136" s="6" t="s">
        <v>81</v>
      </c>
      <c r="AT2136" s="6" t="s">
        <v>81</v>
      </c>
      <c r="AU2136" s="6" t="s">
        <v>81</v>
      </c>
      <c r="AV2136" s="6" t="s">
        <v>81</v>
      </c>
      <c r="AW2136" s="6" t="s">
        <v>81</v>
      </c>
      <c r="AX2136" s="6" t="s">
        <v>22157</v>
      </c>
      <c r="AY2136" s="6" t="s">
        <v>81</v>
      </c>
      <c r="AZ2136" s="6" t="s">
        <v>81</v>
      </c>
      <c r="BA2136" s="6" t="s">
        <v>81</v>
      </c>
      <c r="BB2136" s="24" t="n">
        <v>122</v>
      </c>
      <c r="BC2136" s="26"/>
      <c r="BD2136" s="26"/>
      <c r="BE2136" s="26"/>
      <c r="BF2136" s="26" t="s">
        <v>23900</v>
      </c>
      <c r="BG2136" s="26"/>
      <c r="BH2136" s="26"/>
      <c r="BI2136" s="26"/>
      <c r="BJ2136" s="26"/>
      <c r="BK2136" s="26"/>
      <c r="BL2136" s="26"/>
      <c r="BM2136" s="26"/>
      <c r="BN2136" s="26"/>
      <c r="BO2136" s="26"/>
      <c r="BP2136" s="16" t="n">
        <v>45737</v>
      </c>
      <c r="BQ2136" s="28" t="str">
        <f>HYPERLINK("https://organic.ams.usda.gov/Integrity/Certificate.aspx?cid=31&amp;nopid=3928972407")</f>
        <v>https://organic.ams.usda.gov/Integrity/Certificate.aspx?cid=31&amp;nopid=3928972407</v>
      </c>
    </row>
    <row r="2137">
      <c r="A2137" t="s">
        <v>3</v>
      </c>
      <c r="B2137" s="6" t="s">
        <v>11</v>
      </c>
      <c r="C2137" s="6" t="s">
        <v>58</v>
      </c>
      <c r="D2137" s="6" t="s">
        <v>104</v>
      </c>
      <c r="E2137" s="10" t="s">
        <v>2278</v>
      </c>
      <c r="F2137" s="6" t="s">
        <v>4990</v>
      </c>
      <c r="G2137" s="6" t="s">
        <v>81</v>
      </c>
      <c r="H2137" s="6" t="s">
        <v>81</v>
      </c>
      <c r="I2137" s="6" t="s">
        <v>9432</v>
      </c>
      <c r="J2137" s="6" t="s">
        <v>9665</v>
      </c>
      <c r="K2137" s="6" t="s">
        <v>10886</v>
      </c>
      <c r="L2137" s="16" t="n">
        <v>45014</v>
      </c>
      <c r="M2137" s="16" t="n">
        <v>45383</v>
      </c>
      <c r="N2137" s="6" t="s">
        <v>10886</v>
      </c>
      <c r="O2137" s="16" t="n">
        <v>45014</v>
      </c>
      <c r="P2137" s="6" t="s">
        <v>12094</v>
      </c>
      <c r="Q2137" s="6" t="s">
        <v>81</v>
      </c>
      <c r="R2137" s="6" t="s">
        <v>81</v>
      </c>
      <c r="S2137" s="6" t="s">
        <v>10886</v>
      </c>
      <c r="T2137" s="16" t="n">
        <v>45014</v>
      </c>
      <c r="U2137" s="6" t="s">
        <v>13327</v>
      </c>
      <c r="V2137" s="6" t="s">
        <v>81</v>
      </c>
      <c r="W2137" s="6" t="s">
        <v>81</v>
      </c>
      <c r="X2137" s="6" t="s">
        <v>81</v>
      </c>
      <c r="Y2137" s="21" t="s">
        <v>81</v>
      </c>
      <c r="Z2137" s="6" t="s">
        <v>81</v>
      </c>
      <c r="AA2137" s="6" t="s">
        <v>81</v>
      </c>
      <c r="AB2137" s="6" t="s">
        <v>81</v>
      </c>
      <c r="AC2137" s="6" t="s">
        <v>81</v>
      </c>
      <c r="AD2137" s="21" t="s">
        <v>81</v>
      </c>
      <c r="AE2137" s="6" t="s">
        <v>81</v>
      </c>
      <c r="AF2137" s="6" t="s">
        <v>81</v>
      </c>
      <c r="AG2137" s="6" t="s">
        <v>81</v>
      </c>
      <c r="AH2137" s="6" t="s">
        <v>16686</v>
      </c>
      <c r="AI2137" s="6" t="s">
        <v>81</v>
      </c>
      <c r="AJ2137" s="6" t="s">
        <v>17377</v>
      </c>
      <c r="AK2137" s="6" t="s">
        <v>18377</v>
      </c>
      <c r="AL2137" s="6" t="s">
        <v>18444</v>
      </c>
      <c r="AM2137" s="6" t="s">
        <v>18530</v>
      </c>
      <c r="AN2137" s="6" t="s">
        <v>19634</v>
      </c>
      <c r="AO2137" s="6" t="s">
        <v>19764</v>
      </c>
      <c r="AP2137" s="6" t="s">
        <v>81</v>
      </c>
      <c r="AQ2137" s="6" t="s">
        <v>81</v>
      </c>
      <c r="AR2137" s="6" t="s">
        <v>81</v>
      </c>
      <c r="AS2137" s="6" t="s">
        <v>81</v>
      </c>
      <c r="AT2137" s="6" t="s">
        <v>81</v>
      </c>
      <c r="AU2137" s="6" t="s">
        <v>81</v>
      </c>
      <c r="AV2137" s="6" t="s">
        <v>81</v>
      </c>
      <c r="AW2137" s="6" t="s">
        <v>81</v>
      </c>
      <c r="AX2137" s="6" t="s">
        <v>81</v>
      </c>
      <c r="AY2137" s="6" t="s">
        <v>81</v>
      </c>
      <c r="AZ2137" s="6" t="s">
        <v>81</v>
      </c>
      <c r="BA2137" s="6" t="s">
        <v>23820</v>
      </c>
      <c r="BB2137" s="24" t="n">
        <v>91</v>
      </c>
      <c r="BC2137" s="26"/>
      <c r="BD2137" s="26"/>
      <c r="BE2137" s="26"/>
      <c r="BF2137" s="26"/>
      <c r="BG2137" s="26"/>
      <c r="BH2137" s="26"/>
      <c r="BI2137" s="26"/>
      <c r="BJ2137" s="26"/>
      <c r="BK2137" s="26"/>
      <c r="BL2137" s="26"/>
      <c r="BM2137" s="26"/>
      <c r="BN2137" s="26"/>
      <c r="BO2137" s="26"/>
      <c r="BP2137" s="16" t="n">
        <v>45443</v>
      </c>
      <c r="BQ2137" s="28" t="str">
        <f>HYPERLINK("https://organic.ams.usda.gov/Integrity/Certificate.aspx?cid=46&amp;nopid=3672300009")</f>
        <v>https://organic.ams.usda.gov/Integrity/Certificate.aspx?cid=46&amp;nopid=3672300009</v>
      </c>
    </row>
    <row r="2138">
      <c r="A2138" t="s">
        <v>3</v>
      </c>
      <c r="B2138" s="6" t="s">
        <v>9</v>
      </c>
      <c r="C2138" s="6" t="s">
        <v>56</v>
      </c>
      <c r="D2138" s="6" t="s">
        <v>102</v>
      </c>
      <c r="E2138" s="10" t="s">
        <v>2279</v>
      </c>
      <c r="F2138" s="6" t="s">
        <v>4991</v>
      </c>
      <c r="G2138" s="6" t="s">
        <v>81</v>
      </c>
      <c r="H2138" s="6" t="s">
        <v>7845</v>
      </c>
      <c r="I2138" s="6" t="s">
        <v>81</v>
      </c>
      <c r="J2138" s="6" t="s">
        <v>81</v>
      </c>
      <c r="K2138" s="6" t="s">
        <v>10886</v>
      </c>
      <c r="L2138" s="16" t="n">
        <v>44705</v>
      </c>
      <c r="M2138" s="16" t="n">
        <v>45748</v>
      </c>
      <c r="N2138" s="6" t="s">
        <v>10886</v>
      </c>
      <c r="O2138" s="16" t="n">
        <v>44705</v>
      </c>
      <c r="P2138" s="6" t="s">
        <v>10922</v>
      </c>
      <c r="Q2138" s="6" t="s">
        <v>81</v>
      </c>
      <c r="R2138" s="6" t="s">
        <v>13004</v>
      </c>
      <c r="S2138" s="6" t="s">
        <v>10886</v>
      </c>
      <c r="T2138" s="16" t="n">
        <v>44705</v>
      </c>
      <c r="U2138" s="6" t="s">
        <v>13640</v>
      </c>
      <c r="V2138" s="6" t="s">
        <v>81</v>
      </c>
      <c r="W2138" s="6" t="s">
        <v>13004</v>
      </c>
      <c r="X2138" s="6" t="s">
        <v>81</v>
      </c>
      <c r="Y2138" s="21" t="s">
        <v>81</v>
      </c>
      <c r="Z2138" s="6" t="s">
        <v>81</v>
      </c>
      <c r="AA2138" s="6" t="s">
        <v>81</v>
      </c>
      <c r="AB2138" s="6" t="s">
        <v>81</v>
      </c>
      <c r="AC2138" s="6" t="s">
        <v>81</v>
      </c>
      <c r="AD2138" s="21" t="s">
        <v>81</v>
      </c>
      <c r="AE2138" s="6" t="s">
        <v>81</v>
      </c>
      <c r="AF2138" s="6" t="s">
        <v>81</v>
      </c>
      <c r="AG2138" s="6" t="s">
        <v>81</v>
      </c>
      <c r="AH2138" s="6" t="s">
        <v>16687</v>
      </c>
      <c r="AI2138" s="6" t="s">
        <v>81</v>
      </c>
      <c r="AJ2138" s="6" t="s">
        <v>17956</v>
      </c>
      <c r="AK2138" s="6" t="s">
        <v>18377</v>
      </c>
      <c r="AL2138" s="6" t="s">
        <v>18444</v>
      </c>
      <c r="AM2138" s="6" t="s">
        <v>19143</v>
      </c>
      <c r="AN2138" s="6" t="s">
        <v>6332</v>
      </c>
      <c r="AO2138" s="6" t="s">
        <v>19885</v>
      </c>
      <c r="AP2138" s="6" t="s">
        <v>15840</v>
      </c>
      <c r="AQ2138" s="6" t="s">
        <v>81</v>
      </c>
      <c r="AR2138" s="6" t="s">
        <v>17956</v>
      </c>
      <c r="AS2138" s="6" t="s">
        <v>18377</v>
      </c>
      <c r="AT2138" s="6" t="s">
        <v>18444</v>
      </c>
      <c r="AU2138" s="6" t="s">
        <v>19143</v>
      </c>
      <c r="AV2138" s="6" t="s">
        <v>81</v>
      </c>
      <c r="AW2138" s="6" t="s">
        <v>81</v>
      </c>
      <c r="AX2138" s="6" t="s">
        <v>21540</v>
      </c>
      <c r="AY2138" s="6" t="s">
        <v>23032</v>
      </c>
      <c r="AZ2138" s="6" t="s">
        <v>81</v>
      </c>
      <c r="BA2138" s="6" t="s">
        <v>81</v>
      </c>
      <c r="BB2138" s="24" t="n">
        <v>268</v>
      </c>
      <c r="BC2138" s="26"/>
      <c r="BD2138" s="26"/>
      <c r="BE2138" s="26"/>
      <c r="BF2138" s="26"/>
      <c r="BG2138" s="26"/>
      <c r="BH2138" s="26"/>
      <c r="BI2138" s="26"/>
      <c r="BJ2138" s="26"/>
      <c r="BK2138" s="26"/>
      <c r="BL2138" s="26"/>
      <c r="BM2138" s="26"/>
      <c r="BN2138" s="26"/>
      <c r="BO2138" s="26"/>
      <c r="BP2138" s="16" t="n">
        <v>45738</v>
      </c>
      <c r="BQ2138" s="28" t="str">
        <f>HYPERLINK("https://organic.ams.usda.gov/Integrity/Certificate.aspx?cid=52&amp;nopid=8432202019")</f>
        <v>https://organic.ams.usda.gov/Integrity/Certificate.aspx?cid=52&amp;nopid=8432202019</v>
      </c>
    </row>
    <row r="2139">
      <c r="A2139" t="s">
        <v>3</v>
      </c>
      <c r="B2139" s="6" t="s">
        <v>25</v>
      </c>
      <c r="C2139" s="6" t="s">
        <v>72</v>
      </c>
      <c r="D2139" s="6" t="s">
        <v>118</v>
      </c>
      <c r="E2139" s="10" t="s">
        <v>2280</v>
      </c>
      <c r="F2139" s="6" t="s">
        <v>4992</v>
      </c>
      <c r="G2139" s="6" t="s">
        <v>81</v>
      </c>
      <c r="H2139" s="6" t="s">
        <v>7846</v>
      </c>
      <c r="I2139" s="6" t="s">
        <v>9433</v>
      </c>
      <c r="J2139" s="6" t="s">
        <v>10636</v>
      </c>
      <c r="K2139" s="6" t="s">
        <v>10886</v>
      </c>
      <c r="L2139" s="16" t="n">
        <v>38778</v>
      </c>
      <c r="M2139" s="16" t="n">
        <v>46023</v>
      </c>
      <c r="N2139" s="6" t="s">
        <v>10886</v>
      </c>
      <c r="O2139" s="16" t="n">
        <v>38778</v>
      </c>
      <c r="P2139" s="6" t="s">
        <v>10910</v>
      </c>
      <c r="Q2139" s="6" t="s">
        <v>81</v>
      </c>
      <c r="R2139" s="6" t="s">
        <v>81</v>
      </c>
      <c r="S2139" s="6" t="s">
        <v>10886</v>
      </c>
      <c r="T2139" s="16" t="n">
        <v>38778</v>
      </c>
      <c r="U2139" s="6" t="s">
        <v>13800</v>
      </c>
      <c r="V2139" s="6" t="s">
        <v>81</v>
      </c>
      <c r="W2139" s="6" t="s">
        <v>81</v>
      </c>
      <c r="X2139" s="6" t="s">
        <v>81</v>
      </c>
      <c r="Y2139" s="21" t="s">
        <v>81</v>
      </c>
      <c r="Z2139" s="6" t="s">
        <v>81</v>
      </c>
      <c r="AA2139" s="6" t="s">
        <v>81</v>
      </c>
      <c r="AB2139" s="6" t="s">
        <v>81</v>
      </c>
      <c r="AC2139" s="6" t="s">
        <v>10886</v>
      </c>
      <c r="AD2139" s="16" t="n">
        <v>44733</v>
      </c>
      <c r="AE2139" s="6" t="s">
        <v>14081</v>
      </c>
      <c r="AF2139" s="6" t="s">
        <v>81</v>
      </c>
      <c r="AG2139" s="6" t="s">
        <v>81</v>
      </c>
      <c r="AH2139" s="6" t="s">
        <v>16688</v>
      </c>
      <c r="AI2139" s="6" t="s">
        <v>81</v>
      </c>
      <c r="AJ2139" s="6" t="s">
        <v>17506</v>
      </c>
      <c r="AK2139" s="6" t="s">
        <v>18386</v>
      </c>
      <c r="AL2139" s="6" t="s">
        <v>18444</v>
      </c>
      <c r="AM2139" s="6" t="s">
        <v>18667</v>
      </c>
      <c r="AN2139" s="6" t="s">
        <v>19651</v>
      </c>
      <c r="AO2139" s="6" t="s">
        <v>19864</v>
      </c>
      <c r="AP2139" s="6" t="s">
        <v>16688</v>
      </c>
      <c r="AQ2139" s="6" t="s">
        <v>81</v>
      </c>
      <c r="AR2139" s="6" t="s">
        <v>17506</v>
      </c>
      <c r="AS2139" s="6" t="s">
        <v>18386</v>
      </c>
      <c r="AT2139" s="6" t="s">
        <v>18444</v>
      </c>
      <c r="AU2139" s="6" t="s">
        <v>18667</v>
      </c>
      <c r="AV2139" s="6" t="s">
        <v>81</v>
      </c>
      <c r="AW2139" s="6" t="s">
        <v>81</v>
      </c>
      <c r="AX2139" s="6" t="s">
        <v>22158</v>
      </c>
      <c r="AY2139" s="6" t="s">
        <v>23313</v>
      </c>
      <c r="AZ2139" s="6" t="s">
        <v>81</v>
      </c>
      <c r="BA2139" s="6" t="s">
        <v>81</v>
      </c>
      <c r="BB2139" s="24" t="n">
        <v>314</v>
      </c>
      <c r="BC2139" s="26"/>
      <c r="BD2139" s="26"/>
      <c r="BE2139" s="26"/>
      <c r="BF2139" s="26"/>
      <c r="BG2139" s="26"/>
      <c r="BH2139" s="26"/>
      <c r="BI2139" s="26"/>
      <c r="BJ2139" s="26"/>
      <c r="BK2139" s="26"/>
      <c r="BL2139" s="26"/>
      <c r="BM2139" s="26"/>
      <c r="BN2139" s="26"/>
      <c r="BO2139" s="26"/>
      <c r="BP2139" s="16" t="n">
        <v>45667</v>
      </c>
      <c r="BQ2139" s="28" t="str">
        <f>HYPERLINK("https://organic.ams.usda.gov/Integrity/Certificate.aspx?cid=15&amp;nopid=5561000984")</f>
        <v>https://organic.ams.usda.gov/Integrity/Certificate.aspx?cid=15&amp;nopid=5561000984</v>
      </c>
    </row>
    <row r="2140">
      <c r="A2140" t="s">
        <v>3</v>
      </c>
      <c r="B2140" s="6" t="s">
        <v>9</v>
      </c>
      <c r="C2140" s="6" t="s">
        <v>56</v>
      </c>
      <c r="D2140" s="6" t="s">
        <v>102</v>
      </c>
      <c r="E2140" s="10" t="s">
        <v>2281</v>
      </c>
      <c r="F2140" s="6" t="s">
        <v>4993</v>
      </c>
      <c r="G2140" s="6" t="s">
        <v>81</v>
      </c>
      <c r="H2140" s="6" t="s">
        <v>7847</v>
      </c>
      <c r="I2140" s="6" t="s">
        <v>81</v>
      </c>
      <c r="J2140" s="6" t="s">
        <v>81</v>
      </c>
      <c r="K2140" s="6" t="s">
        <v>10886</v>
      </c>
      <c r="L2140" s="16" t="n">
        <v>41157</v>
      </c>
      <c r="M2140" s="16" t="n">
        <v>45748</v>
      </c>
      <c r="N2140" s="6" t="s">
        <v>10886</v>
      </c>
      <c r="O2140" s="16" t="n">
        <v>41157</v>
      </c>
      <c r="P2140" s="6" t="s">
        <v>12095</v>
      </c>
      <c r="Q2140" s="6" t="s">
        <v>81</v>
      </c>
      <c r="R2140" s="6" t="s">
        <v>13005</v>
      </c>
      <c r="S2140" s="6" t="s">
        <v>10886</v>
      </c>
      <c r="T2140" s="16" t="n">
        <v>41157</v>
      </c>
      <c r="U2140" s="6" t="s">
        <v>13801</v>
      </c>
      <c r="V2140" s="6" t="s">
        <v>81</v>
      </c>
      <c r="W2140" s="6" t="s">
        <v>13005</v>
      </c>
      <c r="X2140" s="6" t="s">
        <v>81</v>
      </c>
      <c r="Y2140" s="21" t="s">
        <v>81</v>
      </c>
      <c r="Z2140" s="6" t="s">
        <v>81</v>
      </c>
      <c r="AA2140" s="6" t="s">
        <v>81</v>
      </c>
      <c r="AB2140" s="6" t="s">
        <v>81</v>
      </c>
      <c r="AC2140" s="6" t="s">
        <v>10886</v>
      </c>
      <c r="AD2140" s="16" t="n">
        <v>41157</v>
      </c>
      <c r="AE2140" s="6" t="s">
        <v>14385</v>
      </c>
      <c r="AF2140" s="6" t="s">
        <v>81</v>
      </c>
      <c r="AG2140" s="6" t="s">
        <v>13005</v>
      </c>
      <c r="AH2140" s="6" t="s">
        <v>16689</v>
      </c>
      <c r="AI2140" s="6" t="s">
        <v>81</v>
      </c>
      <c r="AJ2140" s="6" t="s">
        <v>17334</v>
      </c>
      <c r="AK2140" s="6" t="s">
        <v>18384</v>
      </c>
      <c r="AL2140" s="6" t="s">
        <v>18444</v>
      </c>
      <c r="AM2140" s="6" t="s">
        <v>19442</v>
      </c>
      <c r="AN2140" s="6" t="s">
        <v>7926</v>
      </c>
      <c r="AO2140" s="6" t="s">
        <v>19790</v>
      </c>
      <c r="AP2140" s="6" t="s">
        <v>81</v>
      </c>
      <c r="AQ2140" s="6" t="s">
        <v>81</v>
      </c>
      <c r="AR2140" s="6" t="s">
        <v>81</v>
      </c>
      <c r="AS2140" s="6" t="s">
        <v>81</v>
      </c>
      <c r="AT2140" s="6" t="s">
        <v>81</v>
      </c>
      <c r="AU2140" s="6" t="s">
        <v>81</v>
      </c>
      <c r="AV2140" s="6" t="s">
        <v>81</v>
      </c>
      <c r="AW2140" s="6" t="s">
        <v>81</v>
      </c>
      <c r="AX2140" s="6" t="s">
        <v>22159</v>
      </c>
      <c r="AY2140" s="6" t="s">
        <v>23314</v>
      </c>
      <c r="AZ2140" s="6" t="s">
        <v>81</v>
      </c>
      <c r="BA2140" s="6" t="s">
        <v>81</v>
      </c>
      <c r="BB2140" s="24" t="n">
        <v>873</v>
      </c>
      <c r="BC2140" s="26"/>
      <c r="BD2140" s="26"/>
      <c r="BE2140" s="26"/>
      <c r="BF2140" s="26"/>
      <c r="BG2140" s="26"/>
      <c r="BH2140" s="26"/>
      <c r="BI2140" s="26"/>
      <c r="BJ2140" s="26"/>
      <c r="BK2140" s="26"/>
      <c r="BL2140" s="26"/>
      <c r="BM2140" s="26"/>
      <c r="BN2140" s="26"/>
      <c r="BO2140" s="26"/>
      <c r="BP2140" s="16" t="n">
        <v>45738</v>
      </c>
      <c r="BQ2140" s="28" t="str">
        <f>HYPERLINK("https://organic.ams.usda.gov/Integrity/Certificate.aspx?cid=52&amp;nopid=8431200350")</f>
        <v>https://organic.ams.usda.gov/Integrity/Certificate.aspx?cid=52&amp;nopid=8431200350</v>
      </c>
    </row>
    <row r="2141">
      <c r="A2141" t="s">
        <v>3</v>
      </c>
      <c r="B2141" s="6" t="s">
        <v>8</v>
      </c>
      <c r="C2141" s="6" t="s">
        <v>55</v>
      </c>
      <c r="D2141" s="6" t="s">
        <v>101</v>
      </c>
      <c r="E2141" s="10" t="s">
        <v>2282</v>
      </c>
      <c r="F2141" s="6" t="s">
        <v>4994</v>
      </c>
      <c r="G2141" s="6" t="s">
        <v>81</v>
      </c>
      <c r="H2141" s="6" t="s">
        <v>7848</v>
      </c>
      <c r="I2141" s="6" t="s">
        <v>8530</v>
      </c>
      <c r="J2141" s="6" t="s">
        <v>9671</v>
      </c>
      <c r="K2141" s="6" t="s">
        <v>10886</v>
      </c>
      <c r="L2141" s="16" t="n">
        <v>41438</v>
      </c>
      <c r="M2141" s="16" t="n">
        <v>45689</v>
      </c>
      <c r="N2141" s="6" t="s">
        <v>10886</v>
      </c>
      <c r="O2141" s="16" t="n">
        <v>41438</v>
      </c>
      <c r="P2141" s="6" t="s">
        <v>12096</v>
      </c>
      <c r="Q2141" s="6" t="s">
        <v>81</v>
      </c>
      <c r="R2141" s="6" t="s">
        <v>7848</v>
      </c>
      <c r="S2141" s="6" t="s">
        <v>10886</v>
      </c>
      <c r="T2141" s="16" t="n">
        <v>41438</v>
      </c>
      <c r="U2141" s="6" t="s">
        <v>13802</v>
      </c>
      <c r="V2141" s="6" t="s">
        <v>81</v>
      </c>
      <c r="W2141" s="6" t="s">
        <v>7848</v>
      </c>
      <c r="X2141" s="6" t="s">
        <v>81</v>
      </c>
      <c r="Y2141" s="21" t="s">
        <v>81</v>
      </c>
      <c r="Z2141" s="6" t="s">
        <v>81</v>
      </c>
      <c r="AA2141" s="6" t="s">
        <v>81</v>
      </c>
      <c r="AB2141" s="6" t="s">
        <v>81</v>
      </c>
      <c r="AC2141" s="6" t="s">
        <v>81</v>
      </c>
      <c r="AD2141" s="21" t="s">
        <v>81</v>
      </c>
      <c r="AE2141" s="6" t="s">
        <v>81</v>
      </c>
      <c r="AF2141" s="6" t="s">
        <v>81</v>
      </c>
      <c r="AG2141" s="6" t="s">
        <v>81</v>
      </c>
      <c r="AH2141" s="6" t="s">
        <v>16690</v>
      </c>
      <c r="AI2141" s="6" t="s">
        <v>81</v>
      </c>
      <c r="AJ2141" s="6" t="s">
        <v>17608</v>
      </c>
      <c r="AK2141" s="6" t="s">
        <v>18380</v>
      </c>
      <c r="AL2141" s="6" t="s">
        <v>18444</v>
      </c>
      <c r="AM2141" s="6" t="s">
        <v>18774</v>
      </c>
      <c r="AN2141" s="6" t="s">
        <v>19639</v>
      </c>
      <c r="AO2141" s="6" t="s">
        <v>19725</v>
      </c>
      <c r="AP2141" s="6" t="s">
        <v>81</v>
      </c>
      <c r="AQ2141" s="6" t="s">
        <v>81</v>
      </c>
      <c r="AR2141" s="6" t="s">
        <v>81</v>
      </c>
      <c r="AS2141" s="6" t="s">
        <v>81</v>
      </c>
      <c r="AT2141" s="6" t="s">
        <v>81</v>
      </c>
      <c r="AU2141" s="6" t="s">
        <v>81</v>
      </c>
      <c r="AV2141" s="6" t="s">
        <v>81</v>
      </c>
      <c r="AW2141" s="6" t="s">
        <v>81</v>
      </c>
      <c r="AX2141" s="6" t="s">
        <v>22160</v>
      </c>
      <c r="AY2141" s="6" t="s">
        <v>81</v>
      </c>
      <c r="AZ2141" s="6" t="s">
        <v>81</v>
      </c>
      <c r="BA2141" s="6" t="s">
        <v>23824</v>
      </c>
      <c r="BB2141" s="24" t="n">
        <v>37</v>
      </c>
      <c r="BC2141" s="26"/>
      <c r="BD2141" s="26"/>
      <c r="BE2141" s="26"/>
      <c r="BF2141" s="26"/>
      <c r="BG2141" s="26"/>
      <c r="BH2141" s="26"/>
      <c r="BI2141" s="26"/>
      <c r="BJ2141" s="26"/>
      <c r="BK2141" s="26"/>
      <c r="BL2141" s="26"/>
      <c r="BM2141" s="26"/>
      <c r="BN2141" s="26"/>
      <c r="BO2141" s="26"/>
      <c r="BP2141" s="16" t="n">
        <v>45709</v>
      </c>
      <c r="BQ2141" s="28" t="str">
        <f>HYPERLINK("https://organic.ams.usda.gov/Integrity/Certificate.aspx?cid=45&amp;nopid=9950005054")</f>
        <v>https://organic.ams.usda.gov/Integrity/Certificate.aspx?cid=45&amp;nopid=9950005054</v>
      </c>
    </row>
    <row r="2142">
      <c r="A2142" t="s">
        <v>3</v>
      </c>
      <c r="B2142" s="6" t="s">
        <v>8</v>
      </c>
      <c r="C2142" s="6" t="s">
        <v>55</v>
      </c>
      <c r="D2142" s="6" t="s">
        <v>101</v>
      </c>
      <c r="E2142" s="10" t="s">
        <v>2283</v>
      </c>
      <c r="F2142" s="6" t="s">
        <v>4995</v>
      </c>
      <c r="G2142" s="6" t="s">
        <v>81</v>
      </c>
      <c r="H2142" s="6" t="s">
        <v>7849</v>
      </c>
      <c r="I2142" s="6" t="s">
        <v>8590</v>
      </c>
      <c r="J2142" s="6" t="s">
        <v>10637</v>
      </c>
      <c r="K2142" s="6" t="s">
        <v>10886</v>
      </c>
      <c r="L2142" s="16" t="n">
        <v>37452</v>
      </c>
      <c r="M2142" s="18" t="s">
        <v>81</v>
      </c>
      <c r="N2142" s="6" t="s">
        <v>10886</v>
      </c>
      <c r="O2142" s="16" t="n">
        <v>37452</v>
      </c>
      <c r="P2142" s="6" t="s">
        <v>12097</v>
      </c>
      <c r="Q2142" s="6" t="s">
        <v>81</v>
      </c>
      <c r="R2142" s="6" t="s">
        <v>81</v>
      </c>
      <c r="S2142" s="6" t="s">
        <v>10886</v>
      </c>
      <c r="T2142" s="16" t="n">
        <v>37452</v>
      </c>
      <c r="U2142" s="6" t="s">
        <v>13803</v>
      </c>
      <c r="V2142" s="6" t="s">
        <v>81</v>
      </c>
      <c r="W2142" s="6" t="s">
        <v>81</v>
      </c>
      <c r="X2142" s="6" t="s">
        <v>81</v>
      </c>
      <c r="Y2142" s="21" t="s">
        <v>81</v>
      </c>
      <c r="Z2142" s="6" t="s">
        <v>81</v>
      </c>
      <c r="AA2142" s="6" t="s">
        <v>81</v>
      </c>
      <c r="AB2142" s="6" t="s">
        <v>81</v>
      </c>
      <c r="AC2142" s="6" t="s">
        <v>81</v>
      </c>
      <c r="AD2142" s="21" t="s">
        <v>81</v>
      </c>
      <c r="AE2142" s="6" t="s">
        <v>81</v>
      </c>
      <c r="AF2142" s="6" t="s">
        <v>81</v>
      </c>
      <c r="AG2142" s="6" t="s">
        <v>81</v>
      </c>
      <c r="AH2142" s="6" t="s">
        <v>16691</v>
      </c>
      <c r="AI2142" s="6" t="s">
        <v>81</v>
      </c>
      <c r="AJ2142" s="6" t="s">
        <v>18229</v>
      </c>
      <c r="AK2142" s="6" t="s">
        <v>18377</v>
      </c>
      <c r="AL2142" s="6" t="s">
        <v>18444</v>
      </c>
      <c r="AM2142" s="6" t="s">
        <v>19443</v>
      </c>
      <c r="AN2142" s="6" t="s">
        <v>19700</v>
      </c>
      <c r="AO2142" s="6" t="s">
        <v>19996</v>
      </c>
      <c r="AP2142" s="6" t="s">
        <v>81</v>
      </c>
      <c r="AQ2142" s="6" t="s">
        <v>81</v>
      </c>
      <c r="AR2142" s="6" t="s">
        <v>81</v>
      </c>
      <c r="AS2142" s="6" t="s">
        <v>81</v>
      </c>
      <c r="AT2142" s="6" t="s">
        <v>81</v>
      </c>
      <c r="AU2142" s="6" t="s">
        <v>81</v>
      </c>
      <c r="AV2142" s="6" t="s">
        <v>81</v>
      </c>
      <c r="AW2142" s="6" t="s">
        <v>81</v>
      </c>
      <c r="AX2142" s="6" t="s">
        <v>81</v>
      </c>
      <c r="AY2142" s="6" t="s">
        <v>81</v>
      </c>
      <c r="AZ2142" s="6" t="s">
        <v>81</v>
      </c>
      <c r="BA2142" s="6" t="s">
        <v>81</v>
      </c>
      <c r="BB2142" s="24" t="n">
        <v>252</v>
      </c>
      <c r="BC2142" s="26"/>
      <c r="BD2142" s="26"/>
      <c r="BE2142" s="26"/>
      <c r="BF2142" s="26"/>
      <c r="BG2142" s="26"/>
      <c r="BH2142" s="26"/>
      <c r="BI2142" s="26"/>
      <c r="BJ2142" s="26"/>
      <c r="BK2142" s="26"/>
      <c r="BL2142" s="26"/>
      <c r="BM2142" s="26"/>
      <c r="BN2142" s="26"/>
      <c r="BO2142" s="26"/>
      <c r="BP2142" s="16" t="n">
        <v>45292</v>
      </c>
      <c r="BQ2142" s="28" t="str">
        <f>HYPERLINK("https://organic.ams.usda.gov/Integrity/Certificate.aspx?cid=45&amp;nopid=9950000787")</f>
        <v>https://organic.ams.usda.gov/Integrity/Certificate.aspx?cid=45&amp;nopid=9950000787</v>
      </c>
    </row>
    <row r="2143">
      <c r="A2143" t="s">
        <v>3</v>
      </c>
      <c r="B2143" s="6" t="s">
        <v>29</v>
      </c>
      <c r="C2143" s="6" t="s">
        <v>76</v>
      </c>
      <c r="D2143" s="6" t="s">
        <v>122</v>
      </c>
      <c r="E2143" s="10" t="s">
        <v>2284</v>
      </c>
      <c r="F2143" s="6" t="s">
        <v>4996</v>
      </c>
      <c r="G2143" s="6" t="s">
        <v>81</v>
      </c>
      <c r="H2143" s="6" t="s">
        <v>7850</v>
      </c>
      <c r="I2143" s="6" t="s">
        <v>8466</v>
      </c>
      <c r="J2143" s="6" t="s">
        <v>9671</v>
      </c>
      <c r="K2143" s="6" t="s">
        <v>10886</v>
      </c>
      <c r="L2143" s="16" t="n">
        <v>44400</v>
      </c>
      <c r="M2143" s="16" t="n">
        <v>45870</v>
      </c>
      <c r="N2143" s="6" t="s">
        <v>10886</v>
      </c>
      <c r="O2143" s="16" t="n">
        <v>44400</v>
      </c>
      <c r="P2143" s="6" t="s">
        <v>11031</v>
      </c>
      <c r="Q2143" s="6" t="s">
        <v>81</v>
      </c>
      <c r="R2143" s="6" t="s">
        <v>13006</v>
      </c>
      <c r="S2143" s="6" t="s">
        <v>10886</v>
      </c>
      <c r="T2143" s="16" t="n">
        <v>44440</v>
      </c>
      <c r="U2143" s="6" t="s">
        <v>13382</v>
      </c>
      <c r="V2143" s="6" t="s">
        <v>81</v>
      </c>
      <c r="W2143" s="6" t="s">
        <v>13006</v>
      </c>
      <c r="X2143" s="6" t="s">
        <v>81</v>
      </c>
      <c r="Y2143" s="21" t="s">
        <v>81</v>
      </c>
      <c r="Z2143" s="6" t="s">
        <v>81</v>
      </c>
      <c r="AA2143" s="6" t="s">
        <v>81</v>
      </c>
      <c r="AB2143" s="6" t="s">
        <v>81</v>
      </c>
      <c r="AC2143" s="6" t="s">
        <v>10886</v>
      </c>
      <c r="AD2143" s="16" t="n">
        <v>45702</v>
      </c>
      <c r="AE2143" s="6" t="s">
        <v>14386</v>
      </c>
      <c r="AF2143" s="6" t="s">
        <v>81</v>
      </c>
      <c r="AG2143" s="6" t="s">
        <v>14586</v>
      </c>
      <c r="AH2143" s="6" t="s">
        <v>16692</v>
      </c>
      <c r="AI2143" s="6" t="s">
        <v>81</v>
      </c>
      <c r="AJ2143" s="6" t="s">
        <v>17734</v>
      </c>
      <c r="AK2143" s="6" t="s">
        <v>18380</v>
      </c>
      <c r="AL2143" s="6" t="s">
        <v>18444</v>
      </c>
      <c r="AM2143" s="6" t="s">
        <v>18903</v>
      </c>
      <c r="AN2143" s="6" t="s">
        <v>19639</v>
      </c>
      <c r="AO2143" s="6" t="s">
        <v>19725</v>
      </c>
      <c r="AP2143" s="6" t="s">
        <v>81</v>
      </c>
      <c r="AQ2143" s="6" t="s">
        <v>81</v>
      </c>
      <c r="AR2143" s="6" t="s">
        <v>81</v>
      </c>
      <c r="AS2143" s="6" t="s">
        <v>81</v>
      </c>
      <c r="AT2143" s="6" t="s">
        <v>81</v>
      </c>
      <c r="AU2143" s="6" t="s">
        <v>81</v>
      </c>
      <c r="AV2143" s="6" t="s">
        <v>81</v>
      </c>
      <c r="AW2143" s="6" t="s">
        <v>81</v>
      </c>
      <c r="AX2143" s="6" t="s">
        <v>22161</v>
      </c>
      <c r="AY2143" s="6" t="s">
        <v>81</v>
      </c>
      <c r="AZ2143" s="6" t="s">
        <v>81</v>
      </c>
      <c r="BA2143" s="6" t="s">
        <v>81</v>
      </c>
      <c r="BB2143" s="24" t="n">
        <v>70</v>
      </c>
      <c r="BC2143" s="26"/>
      <c r="BD2143" s="26"/>
      <c r="BE2143" s="26"/>
      <c r="BF2143" s="26" t="s">
        <v>23900</v>
      </c>
      <c r="BG2143" s="26"/>
      <c r="BH2143" s="26"/>
      <c r="BI2143" s="26"/>
      <c r="BJ2143" s="26"/>
      <c r="BK2143" s="26"/>
      <c r="BL2143" s="26"/>
      <c r="BM2143" s="26"/>
      <c r="BN2143" s="26"/>
      <c r="BO2143" s="26"/>
      <c r="BP2143" s="16" t="n">
        <v>45737</v>
      </c>
      <c r="BQ2143" s="28" t="str">
        <f>HYPERLINK("https://organic.ams.usda.gov/Integrity/Certificate.aspx?cid=31&amp;nopid=3928972206")</f>
        <v>https://organic.ams.usda.gov/Integrity/Certificate.aspx?cid=31&amp;nopid=3928972206</v>
      </c>
    </row>
    <row r="2144">
      <c r="A2144" t="s">
        <v>3</v>
      </c>
      <c r="B2144" s="6" t="s">
        <v>8</v>
      </c>
      <c r="C2144" s="6" t="s">
        <v>55</v>
      </c>
      <c r="D2144" s="6" t="s">
        <v>101</v>
      </c>
      <c r="E2144" s="10" t="s">
        <v>2285</v>
      </c>
      <c r="F2144" s="6" t="s">
        <v>4997</v>
      </c>
      <c r="G2144" s="6" t="s">
        <v>81</v>
      </c>
      <c r="H2144" s="6" t="s">
        <v>7851</v>
      </c>
      <c r="I2144" s="6" t="s">
        <v>8423</v>
      </c>
      <c r="J2144" s="6" t="s">
        <v>10638</v>
      </c>
      <c r="K2144" s="6" t="s">
        <v>10886</v>
      </c>
      <c r="L2144" s="16" t="n">
        <v>36402</v>
      </c>
      <c r="M2144" s="16" t="n">
        <v>45748</v>
      </c>
      <c r="N2144" s="6" t="s">
        <v>10886</v>
      </c>
      <c r="O2144" s="16" t="n">
        <v>36402</v>
      </c>
      <c r="P2144" s="6" t="s">
        <v>12098</v>
      </c>
      <c r="Q2144" s="6" t="s">
        <v>81</v>
      </c>
      <c r="R2144" s="6" t="s">
        <v>7851</v>
      </c>
      <c r="S2144" s="6" t="s">
        <v>10886</v>
      </c>
      <c r="T2144" s="16" t="n">
        <v>36402</v>
      </c>
      <c r="U2144" s="6" t="s">
        <v>13179</v>
      </c>
      <c r="V2144" s="6" t="s">
        <v>81</v>
      </c>
      <c r="W2144" s="6" t="s">
        <v>7851</v>
      </c>
      <c r="X2144" s="6" t="s">
        <v>81</v>
      </c>
      <c r="Y2144" s="21" t="s">
        <v>81</v>
      </c>
      <c r="Z2144" s="6" t="s">
        <v>81</v>
      </c>
      <c r="AA2144" s="6" t="s">
        <v>81</v>
      </c>
      <c r="AB2144" s="6" t="s">
        <v>81</v>
      </c>
      <c r="AC2144" s="6" t="s">
        <v>81</v>
      </c>
      <c r="AD2144" s="21" t="s">
        <v>81</v>
      </c>
      <c r="AE2144" s="6" t="s">
        <v>81</v>
      </c>
      <c r="AF2144" s="6" t="s">
        <v>81</v>
      </c>
      <c r="AG2144" s="6" t="s">
        <v>81</v>
      </c>
      <c r="AH2144" s="6" t="s">
        <v>16693</v>
      </c>
      <c r="AI2144" s="6" t="s">
        <v>81</v>
      </c>
      <c r="AJ2144" s="6" t="s">
        <v>18230</v>
      </c>
      <c r="AK2144" s="6" t="s">
        <v>18384</v>
      </c>
      <c r="AL2144" s="6" t="s">
        <v>18444</v>
      </c>
      <c r="AM2144" s="6" t="s">
        <v>19444</v>
      </c>
      <c r="AN2144" s="6" t="s">
        <v>7195</v>
      </c>
      <c r="AO2144" s="6" t="s">
        <v>19743</v>
      </c>
      <c r="AP2144" s="6" t="s">
        <v>81</v>
      </c>
      <c r="AQ2144" s="6" t="s">
        <v>81</v>
      </c>
      <c r="AR2144" s="6" t="s">
        <v>81</v>
      </c>
      <c r="AS2144" s="6" t="s">
        <v>81</v>
      </c>
      <c r="AT2144" s="6" t="s">
        <v>81</v>
      </c>
      <c r="AU2144" s="6" t="s">
        <v>81</v>
      </c>
      <c r="AV2144" s="6" t="s">
        <v>81</v>
      </c>
      <c r="AW2144" s="6" t="s">
        <v>81</v>
      </c>
      <c r="AX2144" s="6" t="s">
        <v>81</v>
      </c>
      <c r="AY2144" s="6" t="s">
        <v>81</v>
      </c>
      <c r="AZ2144" s="6" t="s">
        <v>81</v>
      </c>
      <c r="BA2144" s="6" t="s">
        <v>23819</v>
      </c>
      <c r="BB2144" s="24" t="n">
        <v>400</v>
      </c>
      <c r="BC2144" s="26"/>
      <c r="BD2144" s="26"/>
      <c r="BE2144" s="26"/>
      <c r="BF2144" s="26" t="s">
        <v>23900</v>
      </c>
      <c r="BG2144" s="26"/>
      <c r="BH2144" s="26"/>
      <c r="BI2144" s="26"/>
      <c r="BJ2144" s="26"/>
      <c r="BK2144" s="26"/>
      <c r="BL2144" s="26"/>
      <c r="BM2144" s="26"/>
      <c r="BN2144" s="26"/>
      <c r="BO2144" s="26"/>
      <c r="BP2144" s="16" t="n">
        <v>45671</v>
      </c>
      <c r="BQ2144" s="28" t="str">
        <f>HYPERLINK("https://organic.ams.usda.gov/Integrity/Certificate.aspx?cid=45&amp;nopid=9950000259")</f>
        <v>https://organic.ams.usda.gov/Integrity/Certificate.aspx?cid=45&amp;nopid=9950000259</v>
      </c>
    </row>
    <row r="2145">
      <c r="A2145" t="s">
        <v>3</v>
      </c>
      <c r="B2145" s="6" t="s">
        <v>35</v>
      </c>
      <c r="C2145" s="6" t="s">
        <v>82</v>
      </c>
      <c r="D2145" s="6" t="s">
        <v>127</v>
      </c>
      <c r="E2145" s="10" t="s">
        <v>2286</v>
      </c>
      <c r="F2145" s="6" t="s">
        <v>4998</v>
      </c>
      <c r="G2145" s="6" t="s">
        <v>81</v>
      </c>
      <c r="H2145" s="6" t="s">
        <v>7254</v>
      </c>
      <c r="I2145" s="6" t="s">
        <v>8626</v>
      </c>
      <c r="J2145" s="6" t="s">
        <v>10639</v>
      </c>
      <c r="K2145" s="6" t="s">
        <v>10886</v>
      </c>
      <c r="L2145" s="16" t="n">
        <v>38274</v>
      </c>
      <c r="M2145" s="16" t="n">
        <v>45762</v>
      </c>
      <c r="N2145" s="6" t="s">
        <v>10886</v>
      </c>
      <c r="O2145" s="16" t="n">
        <v>38274</v>
      </c>
      <c r="P2145" s="6" t="s">
        <v>12099</v>
      </c>
      <c r="Q2145" s="6" t="s">
        <v>81</v>
      </c>
      <c r="R2145" s="6" t="s">
        <v>13007</v>
      </c>
      <c r="S2145" s="6" t="s">
        <v>10886</v>
      </c>
      <c r="T2145" s="16" t="n">
        <v>38274</v>
      </c>
      <c r="U2145" s="6" t="s">
        <v>13282</v>
      </c>
      <c r="V2145" s="6" t="s">
        <v>81</v>
      </c>
      <c r="W2145" s="6" t="s">
        <v>13007</v>
      </c>
      <c r="X2145" s="6" t="s">
        <v>81</v>
      </c>
      <c r="Y2145" s="21" t="s">
        <v>81</v>
      </c>
      <c r="Z2145" s="6" t="s">
        <v>81</v>
      </c>
      <c r="AA2145" s="6" t="s">
        <v>81</v>
      </c>
      <c r="AB2145" s="6" t="s">
        <v>81</v>
      </c>
      <c r="AC2145" s="6" t="s">
        <v>81</v>
      </c>
      <c r="AD2145" s="21" t="s">
        <v>81</v>
      </c>
      <c r="AE2145" s="6" t="s">
        <v>81</v>
      </c>
      <c r="AF2145" s="6" t="s">
        <v>81</v>
      </c>
      <c r="AG2145" s="6" t="s">
        <v>81</v>
      </c>
      <c r="AH2145" s="6" t="s">
        <v>16694</v>
      </c>
      <c r="AI2145" s="6" t="s">
        <v>81</v>
      </c>
      <c r="AJ2145" s="6" t="s">
        <v>9562</v>
      </c>
      <c r="AK2145" s="6" t="s">
        <v>18405</v>
      </c>
      <c r="AL2145" s="6" t="s">
        <v>18444</v>
      </c>
      <c r="AM2145" s="6" t="s">
        <v>19445</v>
      </c>
      <c r="AN2145" s="6" t="s">
        <v>19683</v>
      </c>
      <c r="AO2145" s="6" t="s">
        <v>20017</v>
      </c>
      <c r="AP2145" s="6" t="s">
        <v>16694</v>
      </c>
      <c r="AQ2145" s="6" t="s">
        <v>81</v>
      </c>
      <c r="AR2145" s="6" t="s">
        <v>9562</v>
      </c>
      <c r="AS2145" s="6" t="s">
        <v>18405</v>
      </c>
      <c r="AT2145" s="6" t="s">
        <v>18444</v>
      </c>
      <c r="AU2145" s="6" t="s">
        <v>19445</v>
      </c>
      <c r="AV2145" s="6" t="s">
        <v>81</v>
      </c>
      <c r="AW2145" s="6" t="s">
        <v>81</v>
      </c>
      <c r="AX2145" s="6" t="s">
        <v>22162</v>
      </c>
      <c r="AY2145" s="6" t="s">
        <v>23315</v>
      </c>
      <c r="AZ2145" s="6" t="s">
        <v>81</v>
      </c>
      <c r="BA2145" s="6" t="s">
        <v>81</v>
      </c>
      <c r="BB2145" s="24" t="n">
        <v>1106</v>
      </c>
      <c r="BC2145" s="26"/>
      <c r="BD2145" s="26"/>
      <c r="BE2145" s="26"/>
      <c r="BF2145" s="26"/>
      <c r="BG2145" s="26"/>
      <c r="BH2145" s="26"/>
      <c r="BI2145" s="26"/>
      <c r="BJ2145" s="26"/>
      <c r="BK2145" s="26"/>
      <c r="BL2145" s="26"/>
      <c r="BM2145" s="26"/>
      <c r="BN2145" s="26"/>
      <c r="BO2145" s="26"/>
      <c r="BP2145" s="16" t="n">
        <v>45736</v>
      </c>
      <c r="BQ2145" s="28" t="str">
        <f>HYPERLINK("https://organic.ams.usda.gov/Integrity/Certificate.aspx?cid=47&amp;nopid=7142070178")</f>
        <v>https://organic.ams.usda.gov/Integrity/Certificate.aspx?cid=47&amp;nopid=7142070178</v>
      </c>
    </row>
    <row r="2146">
      <c r="A2146" t="s">
        <v>3</v>
      </c>
      <c r="B2146" s="6" t="s">
        <v>7</v>
      </c>
      <c r="C2146" s="6" t="s">
        <v>54</v>
      </c>
      <c r="D2146" s="6" t="s">
        <v>100</v>
      </c>
      <c r="E2146" s="10" t="s">
        <v>2287</v>
      </c>
      <c r="F2146" s="6" t="s">
        <v>4999</v>
      </c>
      <c r="G2146" s="6" t="s">
        <v>81</v>
      </c>
      <c r="H2146" s="6" t="s">
        <v>7852</v>
      </c>
      <c r="I2146" s="6" t="s">
        <v>9434</v>
      </c>
      <c r="J2146" s="6" t="s">
        <v>9759</v>
      </c>
      <c r="K2146" s="6" t="s">
        <v>10886</v>
      </c>
      <c r="L2146" s="16" t="n">
        <v>45247</v>
      </c>
      <c r="M2146" s="16" t="n">
        <v>45716</v>
      </c>
      <c r="N2146" s="6" t="s">
        <v>10886</v>
      </c>
      <c r="O2146" s="16" t="n">
        <v>45247</v>
      </c>
      <c r="P2146" s="6" t="s">
        <v>12100</v>
      </c>
      <c r="Q2146" s="6" t="s">
        <v>81</v>
      </c>
      <c r="R2146" s="6" t="s">
        <v>81</v>
      </c>
      <c r="S2146" s="6" t="s">
        <v>10886</v>
      </c>
      <c r="T2146" s="16" t="n">
        <v>45597</v>
      </c>
      <c r="U2146" s="6" t="s">
        <v>13804</v>
      </c>
      <c r="V2146" s="6" t="s">
        <v>81</v>
      </c>
      <c r="W2146" s="6" t="s">
        <v>81</v>
      </c>
      <c r="X2146" s="6" t="s">
        <v>81</v>
      </c>
      <c r="Y2146" s="21" t="s">
        <v>81</v>
      </c>
      <c r="Z2146" s="6" t="s">
        <v>81</v>
      </c>
      <c r="AA2146" s="6" t="s">
        <v>81</v>
      </c>
      <c r="AB2146" s="6" t="s">
        <v>81</v>
      </c>
      <c r="AC2146" s="6" t="s">
        <v>81</v>
      </c>
      <c r="AD2146" s="21" t="s">
        <v>81</v>
      </c>
      <c r="AE2146" s="6" t="s">
        <v>81</v>
      </c>
      <c r="AF2146" s="6" t="s">
        <v>81</v>
      </c>
      <c r="AG2146" s="6" t="s">
        <v>81</v>
      </c>
      <c r="AH2146" s="6" t="s">
        <v>16695</v>
      </c>
      <c r="AI2146" s="6" t="s">
        <v>81</v>
      </c>
      <c r="AJ2146" s="6" t="s">
        <v>17311</v>
      </c>
      <c r="AK2146" s="6" t="s">
        <v>17712</v>
      </c>
      <c r="AL2146" s="6" t="s">
        <v>18444</v>
      </c>
      <c r="AM2146" s="6" t="s">
        <v>18463</v>
      </c>
      <c r="AN2146" s="6" t="s">
        <v>81</v>
      </c>
      <c r="AO2146" s="6" t="s">
        <v>81</v>
      </c>
      <c r="AP2146" s="6" t="s">
        <v>16695</v>
      </c>
      <c r="AQ2146" s="6" t="s">
        <v>81</v>
      </c>
      <c r="AR2146" s="6" t="s">
        <v>17311</v>
      </c>
      <c r="AS2146" s="6" t="s">
        <v>17712</v>
      </c>
      <c r="AT2146" s="6" t="s">
        <v>18444</v>
      </c>
      <c r="AU2146" s="6" t="s">
        <v>18463</v>
      </c>
      <c r="AV2146" s="6" t="s">
        <v>81</v>
      </c>
      <c r="AW2146" s="6" t="s">
        <v>81</v>
      </c>
      <c r="AX2146" s="6" t="s">
        <v>22163</v>
      </c>
      <c r="AY2146" s="6" t="s">
        <v>81</v>
      </c>
      <c r="AZ2146" s="6" t="s">
        <v>81</v>
      </c>
      <c r="BA2146" s="6" t="s">
        <v>81</v>
      </c>
      <c r="BB2146" s="24" t="n">
        <v>212</v>
      </c>
      <c r="BC2146" s="26"/>
      <c r="BD2146" s="26"/>
      <c r="BE2146" s="26"/>
      <c r="BF2146" s="26" t="s">
        <v>23900</v>
      </c>
      <c r="BG2146" s="26"/>
      <c r="BH2146" s="26"/>
      <c r="BI2146" s="26"/>
      <c r="BJ2146" s="26"/>
      <c r="BK2146" s="26"/>
      <c r="BL2146" s="26"/>
      <c r="BM2146" s="26"/>
      <c r="BN2146" s="26"/>
      <c r="BO2146" s="26"/>
      <c r="BP2146" s="16" t="n">
        <v>45709</v>
      </c>
      <c r="BQ2146" s="28" t="str">
        <f>HYPERLINK("https://organic.ams.usda.gov/Integrity/Certificate.aspx?cid=57&amp;nopid=3252023063")</f>
        <v>https://organic.ams.usda.gov/Integrity/Certificate.aspx?cid=57&amp;nopid=3252023063</v>
      </c>
    </row>
    <row r="2147">
      <c r="A2147" t="s">
        <v>3</v>
      </c>
      <c r="B2147" s="6" t="s">
        <v>30</v>
      </c>
      <c r="C2147" s="6" t="s">
        <v>77</v>
      </c>
      <c r="D2147" s="6" t="s">
        <v>123</v>
      </c>
      <c r="E2147" s="10" t="s">
        <v>2288</v>
      </c>
      <c r="F2147" s="6" t="s">
        <v>5000</v>
      </c>
      <c r="G2147" s="6" t="s">
        <v>81</v>
      </c>
      <c r="H2147" s="6" t="s">
        <v>7853</v>
      </c>
      <c r="I2147" s="6" t="s">
        <v>9435</v>
      </c>
      <c r="J2147" s="6" t="s">
        <v>9233</v>
      </c>
      <c r="K2147" s="6" t="s">
        <v>10886</v>
      </c>
      <c r="L2147" s="16" t="n">
        <v>42606</v>
      </c>
      <c r="M2147" s="16" t="n">
        <v>45747</v>
      </c>
      <c r="N2147" s="6" t="s">
        <v>10886</v>
      </c>
      <c r="O2147" s="16" t="n">
        <v>42606</v>
      </c>
      <c r="P2147" s="6" t="s">
        <v>12101</v>
      </c>
      <c r="Q2147" s="6" t="s">
        <v>81</v>
      </c>
      <c r="R2147" s="6" t="s">
        <v>81</v>
      </c>
      <c r="S2147" s="6" t="s">
        <v>10886</v>
      </c>
      <c r="T2147" s="16" t="n">
        <v>42606</v>
      </c>
      <c r="U2147" s="6" t="s">
        <v>13255</v>
      </c>
      <c r="V2147" s="6" t="s">
        <v>81</v>
      </c>
      <c r="W2147" s="6" t="s">
        <v>81</v>
      </c>
      <c r="X2147" s="6" t="s">
        <v>81</v>
      </c>
      <c r="Y2147" s="21" t="s">
        <v>81</v>
      </c>
      <c r="Z2147" s="6" t="s">
        <v>81</v>
      </c>
      <c r="AA2147" s="6" t="s">
        <v>81</v>
      </c>
      <c r="AB2147" s="6" t="s">
        <v>81</v>
      </c>
      <c r="AC2147" s="6" t="s">
        <v>81</v>
      </c>
      <c r="AD2147" s="21" t="s">
        <v>81</v>
      </c>
      <c r="AE2147" s="6" t="s">
        <v>81</v>
      </c>
      <c r="AF2147" s="6" t="s">
        <v>81</v>
      </c>
      <c r="AG2147" s="6" t="s">
        <v>81</v>
      </c>
      <c r="AH2147" s="6" t="s">
        <v>16696</v>
      </c>
      <c r="AI2147" s="6" t="s">
        <v>81</v>
      </c>
      <c r="AJ2147" s="6" t="s">
        <v>17311</v>
      </c>
      <c r="AK2147" s="6" t="s">
        <v>17712</v>
      </c>
      <c r="AL2147" s="6" t="s">
        <v>18444</v>
      </c>
      <c r="AM2147" s="6" t="s">
        <v>18463</v>
      </c>
      <c r="AN2147" s="6" t="s">
        <v>19634</v>
      </c>
      <c r="AO2147" s="6" t="s">
        <v>19719</v>
      </c>
      <c r="AP2147" s="6" t="s">
        <v>16696</v>
      </c>
      <c r="AQ2147" s="6" t="s">
        <v>81</v>
      </c>
      <c r="AR2147" s="6" t="s">
        <v>17311</v>
      </c>
      <c r="AS2147" s="6" t="s">
        <v>17712</v>
      </c>
      <c r="AT2147" s="6" t="s">
        <v>18444</v>
      </c>
      <c r="AU2147" s="6" t="s">
        <v>18463</v>
      </c>
      <c r="AV2147" s="6" t="s">
        <v>81</v>
      </c>
      <c r="AW2147" s="6" t="s">
        <v>81</v>
      </c>
      <c r="AX2147" s="6" t="s">
        <v>22164</v>
      </c>
      <c r="AY2147" s="6" t="s">
        <v>81</v>
      </c>
      <c r="AZ2147" s="6" t="s">
        <v>81</v>
      </c>
      <c r="BA2147" s="6" t="s">
        <v>81</v>
      </c>
      <c r="BB2147" s="24" t="n">
        <v>160</v>
      </c>
      <c r="BC2147" s="26"/>
      <c r="BD2147" s="26"/>
      <c r="BE2147" s="26"/>
      <c r="BF2147" s="26"/>
      <c r="BG2147" s="26"/>
      <c r="BH2147" s="26"/>
      <c r="BI2147" s="26"/>
      <c r="BJ2147" s="26"/>
      <c r="BK2147" s="26"/>
      <c r="BL2147" s="26"/>
      <c r="BM2147" s="26"/>
      <c r="BN2147" s="26"/>
      <c r="BO2147" s="26"/>
      <c r="BP2147" s="16" t="n">
        <v>45531</v>
      </c>
      <c r="BQ2147" s="28" t="str">
        <f>HYPERLINK("https://organic.ams.usda.gov/Integrity/Certificate.aspx?cid=70&amp;nopid=6431610410")</f>
        <v>https://organic.ams.usda.gov/Integrity/Certificate.aspx?cid=70&amp;nopid=6431610410</v>
      </c>
    </row>
    <row r="2148">
      <c r="A2148" t="s">
        <v>3</v>
      </c>
      <c r="B2148" s="6" t="s">
        <v>13</v>
      </c>
      <c r="C2148" s="6" t="s">
        <v>60</v>
      </c>
      <c r="D2148" s="6" t="s">
        <v>106</v>
      </c>
      <c r="E2148" s="10" t="s">
        <v>2289</v>
      </c>
      <c r="F2148" s="6" t="s">
        <v>5001</v>
      </c>
      <c r="G2148" s="6" t="s">
        <v>5819</v>
      </c>
      <c r="H2148" s="6" t="s">
        <v>7854</v>
      </c>
      <c r="I2148" s="6" t="s">
        <v>9436</v>
      </c>
      <c r="J2148" s="6" t="s">
        <v>10640</v>
      </c>
      <c r="K2148" s="6" t="s">
        <v>10886</v>
      </c>
      <c r="L2148" s="16" t="n">
        <v>41827</v>
      </c>
      <c r="M2148" s="16" t="n">
        <v>45748</v>
      </c>
      <c r="N2148" s="6" t="s">
        <v>81</v>
      </c>
      <c r="O2148" s="21" t="s">
        <v>81</v>
      </c>
      <c r="P2148" s="6" t="s">
        <v>81</v>
      </c>
      <c r="Q2148" s="6" t="s">
        <v>81</v>
      </c>
      <c r="R2148" s="6" t="s">
        <v>81</v>
      </c>
      <c r="S2148" s="6" t="s">
        <v>81</v>
      </c>
      <c r="T2148" s="21" t="s">
        <v>81</v>
      </c>
      <c r="U2148" s="6" t="s">
        <v>81</v>
      </c>
      <c r="V2148" s="6" t="s">
        <v>81</v>
      </c>
      <c r="W2148" s="6" t="s">
        <v>81</v>
      </c>
      <c r="X2148" s="6" t="s">
        <v>81</v>
      </c>
      <c r="Y2148" s="21" t="s">
        <v>81</v>
      </c>
      <c r="Z2148" s="6" t="s">
        <v>81</v>
      </c>
      <c r="AA2148" s="6" t="s">
        <v>81</v>
      </c>
      <c r="AB2148" s="6" t="s">
        <v>81</v>
      </c>
      <c r="AC2148" s="6" t="s">
        <v>10886</v>
      </c>
      <c r="AD2148" s="16" t="n">
        <v>41827</v>
      </c>
      <c r="AE2148" s="6" t="s">
        <v>14387</v>
      </c>
      <c r="AF2148" s="6" t="s">
        <v>81</v>
      </c>
      <c r="AG2148" s="6" t="s">
        <v>14587</v>
      </c>
      <c r="AH2148" s="6" t="s">
        <v>16697</v>
      </c>
      <c r="AI2148" s="6" t="s">
        <v>81</v>
      </c>
      <c r="AJ2148" s="6" t="s">
        <v>18231</v>
      </c>
      <c r="AK2148" s="6" t="s">
        <v>18386</v>
      </c>
      <c r="AL2148" s="6" t="s">
        <v>18444</v>
      </c>
      <c r="AM2148" s="6" t="s">
        <v>19446</v>
      </c>
      <c r="AN2148" s="6" t="s">
        <v>19693</v>
      </c>
      <c r="AO2148" s="6" t="s">
        <v>20001</v>
      </c>
      <c r="AP2148" s="6" t="s">
        <v>16697</v>
      </c>
      <c r="AQ2148" s="6" t="s">
        <v>81</v>
      </c>
      <c r="AR2148" s="6" t="s">
        <v>18231</v>
      </c>
      <c r="AS2148" s="6" t="s">
        <v>18386</v>
      </c>
      <c r="AT2148" s="6" t="s">
        <v>18444</v>
      </c>
      <c r="AU2148" s="6" t="s">
        <v>19446</v>
      </c>
      <c r="AV2148" s="6" t="s">
        <v>81</v>
      </c>
      <c r="AW2148" s="6" t="s">
        <v>81</v>
      </c>
      <c r="AX2148" s="6" t="s">
        <v>22165</v>
      </c>
      <c r="AY2148" s="6" t="s">
        <v>23316</v>
      </c>
      <c r="AZ2148" s="6" t="s">
        <v>81</v>
      </c>
      <c r="BA2148" s="6" t="s">
        <v>81</v>
      </c>
      <c r="BB2148" s="6" t="s">
        <v>81</v>
      </c>
      <c r="BC2148" s="26"/>
      <c r="BD2148" s="26"/>
      <c r="BE2148" s="26"/>
      <c r="BF2148" s="26"/>
      <c r="BG2148" s="26"/>
      <c r="BH2148" s="26"/>
      <c r="BI2148" s="26"/>
      <c r="BJ2148" s="26"/>
      <c r="BK2148" s="26"/>
      <c r="BL2148" s="26"/>
      <c r="BM2148" s="26"/>
      <c r="BN2148" s="26"/>
      <c r="BO2148" s="26"/>
      <c r="BP2148" s="16" t="n">
        <v>45663</v>
      </c>
      <c r="BQ2148" s="28" t="str">
        <f>HYPERLINK("https://organic.ams.usda.gov/Integrity/Certificate.aspx?cid=72&amp;nopid=5870001823")</f>
        <v>https://organic.ams.usda.gov/Integrity/Certificate.aspx?cid=72&amp;nopid=5870001823</v>
      </c>
    </row>
    <row r="2149">
      <c r="A2149" t="s">
        <v>3</v>
      </c>
      <c r="B2149" s="6" t="s">
        <v>9</v>
      </c>
      <c r="C2149" s="6" t="s">
        <v>56</v>
      </c>
      <c r="D2149" s="6" t="s">
        <v>102</v>
      </c>
      <c r="E2149" s="10" t="s">
        <v>2290</v>
      </c>
      <c r="F2149" s="6" t="s">
        <v>5002</v>
      </c>
      <c r="G2149" s="6" t="s">
        <v>81</v>
      </c>
      <c r="H2149" s="6" t="s">
        <v>7855</v>
      </c>
      <c r="I2149" s="6" t="s">
        <v>9437</v>
      </c>
      <c r="J2149" s="6" t="s">
        <v>9701</v>
      </c>
      <c r="K2149" s="6" t="s">
        <v>10886</v>
      </c>
      <c r="L2149" s="16" t="n">
        <v>39379</v>
      </c>
      <c r="M2149" s="16" t="n">
        <v>45748</v>
      </c>
      <c r="N2149" s="6" t="s">
        <v>10886</v>
      </c>
      <c r="O2149" s="16" t="n">
        <v>39379</v>
      </c>
      <c r="P2149" s="6" t="s">
        <v>12102</v>
      </c>
      <c r="Q2149" s="6" t="s">
        <v>81</v>
      </c>
      <c r="R2149" s="6" t="s">
        <v>13008</v>
      </c>
      <c r="S2149" s="6" t="s">
        <v>10886</v>
      </c>
      <c r="T2149" s="16" t="n">
        <v>39379</v>
      </c>
      <c r="U2149" s="6" t="s">
        <v>13805</v>
      </c>
      <c r="V2149" s="6" t="s">
        <v>81</v>
      </c>
      <c r="W2149" s="6" t="s">
        <v>13008</v>
      </c>
      <c r="X2149" s="6" t="s">
        <v>81</v>
      </c>
      <c r="Y2149" s="21" t="s">
        <v>81</v>
      </c>
      <c r="Z2149" s="6" t="s">
        <v>81</v>
      </c>
      <c r="AA2149" s="6" t="s">
        <v>81</v>
      </c>
      <c r="AB2149" s="6" t="s">
        <v>81</v>
      </c>
      <c r="AC2149" s="6" t="s">
        <v>81</v>
      </c>
      <c r="AD2149" s="21" t="s">
        <v>81</v>
      </c>
      <c r="AE2149" s="6" t="s">
        <v>81</v>
      </c>
      <c r="AF2149" s="6" t="s">
        <v>81</v>
      </c>
      <c r="AG2149" s="6" t="s">
        <v>81</v>
      </c>
      <c r="AH2149" s="6" t="s">
        <v>16698</v>
      </c>
      <c r="AI2149" s="6" t="s">
        <v>81</v>
      </c>
      <c r="AJ2149" s="6" t="s">
        <v>9295</v>
      </c>
      <c r="AK2149" s="6" t="s">
        <v>18377</v>
      </c>
      <c r="AL2149" s="6" t="s">
        <v>18444</v>
      </c>
      <c r="AM2149" s="6" t="s">
        <v>19297</v>
      </c>
      <c r="AN2149" s="6" t="s">
        <v>19669</v>
      </c>
      <c r="AO2149" s="6" t="s">
        <v>19913</v>
      </c>
      <c r="AP2149" s="6" t="s">
        <v>81</v>
      </c>
      <c r="AQ2149" s="6" t="s">
        <v>81</v>
      </c>
      <c r="AR2149" s="6" t="s">
        <v>81</v>
      </c>
      <c r="AS2149" s="6" t="s">
        <v>81</v>
      </c>
      <c r="AT2149" s="6" t="s">
        <v>81</v>
      </c>
      <c r="AU2149" s="6" t="s">
        <v>81</v>
      </c>
      <c r="AV2149" s="6" t="s">
        <v>81</v>
      </c>
      <c r="AW2149" s="6" t="s">
        <v>81</v>
      </c>
      <c r="AX2149" s="6" t="s">
        <v>22166</v>
      </c>
      <c r="AY2149" s="6" t="s">
        <v>81</v>
      </c>
      <c r="AZ2149" s="6" t="s">
        <v>81</v>
      </c>
      <c r="BA2149" s="6" t="s">
        <v>81</v>
      </c>
      <c r="BB2149" s="24" t="n">
        <v>571</v>
      </c>
      <c r="BC2149" s="26"/>
      <c r="BD2149" s="26"/>
      <c r="BE2149" s="26"/>
      <c r="BF2149" s="26"/>
      <c r="BG2149" s="26"/>
      <c r="BH2149" s="26"/>
      <c r="BI2149" s="26"/>
      <c r="BJ2149" s="26"/>
      <c r="BK2149" s="26"/>
      <c r="BL2149" s="26"/>
      <c r="BM2149" s="26"/>
      <c r="BN2149" s="26"/>
      <c r="BO2149" s="26"/>
      <c r="BP2149" s="16" t="n">
        <v>45738</v>
      </c>
      <c r="BQ2149" s="28" t="str">
        <f>HYPERLINK("https://organic.ams.usda.gov/Integrity/Certificate.aspx?cid=52&amp;nopid=8430700031")</f>
        <v>https://organic.ams.usda.gov/Integrity/Certificate.aspx?cid=52&amp;nopid=8430700031</v>
      </c>
    </row>
    <row r="2150">
      <c r="A2150" t="s">
        <v>3</v>
      </c>
      <c r="B2150" s="6" t="s">
        <v>16</v>
      </c>
      <c r="C2150" s="6" t="s">
        <v>63</v>
      </c>
      <c r="D2150" s="6" t="s">
        <v>109</v>
      </c>
      <c r="E2150" s="10" t="s">
        <v>2291</v>
      </c>
      <c r="F2150" s="6" t="s">
        <v>5003</v>
      </c>
      <c r="G2150" s="6" t="s">
        <v>81</v>
      </c>
      <c r="H2150" s="6" t="s">
        <v>7856</v>
      </c>
      <c r="I2150" s="6" t="s">
        <v>9438</v>
      </c>
      <c r="J2150" s="6" t="s">
        <v>9151</v>
      </c>
      <c r="K2150" s="6" t="s">
        <v>10886</v>
      </c>
      <c r="L2150" s="16" t="n">
        <v>38699</v>
      </c>
      <c r="M2150" s="16" t="n">
        <v>45731</v>
      </c>
      <c r="N2150" s="6" t="s">
        <v>10886</v>
      </c>
      <c r="O2150" s="16" t="n">
        <v>38699</v>
      </c>
      <c r="P2150" s="6" t="s">
        <v>11567</v>
      </c>
      <c r="Q2150" s="6" t="s">
        <v>81</v>
      </c>
      <c r="R2150" s="6" t="s">
        <v>81</v>
      </c>
      <c r="S2150" s="6" t="s">
        <v>10886</v>
      </c>
      <c r="T2150" s="16" t="n">
        <v>38699</v>
      </c>
      <c r="U2150" s="6" t="s">
        <v>13281</v>
      </c>
      <c r="V2150" s="6" t="s">
        <v>81</v>
      </c>
      <c r="W2150" s="6" t="s">
        <v>81</v>
      </c>
      <c r="X2150" s="6" t="s">
        <v>81</v>
      </c>
      <c r="Y2150" s="21" t="s">
        <v>81</v>
      </c>
      <c r="Z2150" s="6" t="s">
        <v>81</v>
      </c>
      <c r="AA2150" s="6" t="s">
        <v>81</v>
      </c>
      <c r="AB2150" s="6" t="s">
        <v>81</v>
      </c>
      <c r="AC2150" s="6" t="s">
        <v>10886</v>
      </c>
      <c r="AD2150" s="16" t="n">
        <v>38699</v>
      </c>
      <c r="AE2150" s="6" t="s">
        <v>81</v>
      </c>
      <c r="AF2150" s="6" t="s">
        <v>81</v>
      </c>
      <c r="AG2150" s="6" t="s">
        <v>81</v>
      </c>
      <c r="AH2150" s="6" t="s">
        <v>16699</v>
      </c>
      <c r="AI2150" s="6" t="s">
        <v>81</v>
      </c>
      <c r="AJ2150" s="6" t="s">
        <v>18077</v>
      </c>
      <c r="AK2150" s="6" t="s">
        <v>18383</v>
      </c>
      <c r="AL2150" s="6" t="s">
        <v>18444</v>
      </c>
      <c r="AM2150" s="6" t="s">
        <v>19273</v>
      </c>
      <c r="AN2150" s="6" t="s">
        <v>19646</v>
      </c>
      <c r="AO2150" s="6" t="s">
        <v>19841</v>
      </c>
      <c r="AP2150" s="6" t="s">
        <v>81</v>
      </c>
      <c r="AQ2150" s="6" t="s">
        <v>81</v>
      </c>
      <c r="AR2150" s="6" t="s">
        <v>81</v>
      </c>
      <c r="AS2150" s="6" t="s">
        <v>81</v>
      </c>
      <c r="AT2150" s="6" t="s">
        <v>81</v>
      </c>
      <c r="AU2150" s="6" t="s">
        <v>81</v>
      </c>
      <c r="AV2150" s="6" t="s">
        <v>81</v>
      </c>
      <c r="AW2150" s="6" t="s">
        <v>81</v>
      </c>
      <c r="AX2150" s="6" t="s">
        <v>22167</v>
      </c>
      <c r="AY2150" s="6" t="s">
        <v>81</v>
      </c>
      <c r="AZ2150" s="6" t="s">
        <v>81</v>
      </c>
      <c r="BA2150" s="6" t="s">
        <v>81</v>
      </c>
      <c r="BB2150" s="24" t="n">
        <v>358</v>
      </c>
      <c r="BC2150" s="26"/>
      <c r="BD2150" s="26"/>
      <c r="BE2150" s="26"/>
      <c r="BF2150" s="26"/>
      <c r="BG2150" s="26"/>
      <c r="BH2150" s="26"/>
      <c r="BI2150" s="26"/>
      <c r="BJ2150" s="26"/>
      <c r="BK2150" s="26"/>
      <c r="BL2150" s="26"/>
      <c r="BM2150" s="26"/>
      <c r="BN2150" s="26"/>
      <c r="BO2150" s="26"/>
      <c r="BP2150" s="16" t="n">
        <v>45701</v>
      </c>
      <c r="BQ2150" s="28" t="str">
        <f>HYPERLINK("https://organic.ams.usda.gov/Integrity/Certificate.aspx?cid=81&amp;nopid=4210005057")</f>
        <v>https://organic.ams.usda.gov/Integrity/Certificate.aspx?cid=81&amp;nopid=4210005057</v>
      </c>
    </row>
    <row r="2151">
      <c r="A2151" t="s">
        <v>3</v>
      </c>
      <c r="B2151" s="6" t="s">
        <v>7</v>
      </c>
      <c r="C2151" s="6" t="s">
        <v>54</v>
      </c>
      <c r="D2151" s="6" t="s">
        <v>100</v>
      </c>
      <c r="E2151" s="10" t="s">
        <v>2292</v>
      </c>
      <c r="F2151" s="6" t="s">
        <v>5004</v>
      </c>
      <c r="G2151" s="6" t="s">
        <v>81</v>
      </c>
      <c r="H2151" s="6" t="s">
        <v>7857</v>
      </c>
      <c r="I2151" s="6" t="s">
        <v>8972</v>
      </c>
      <c r="J2151" s="6" t="s">
        <v>10641</v>
      </c>
      <c r="K2151" s="6" t="s">
        <v>10886</v>
      </c>
      <c r="L2151" s="16" t="n">
        <v>40284</v>
      </c>
      <c r="M2151" s="16" t="n">
        <v>45716</v>
      </c>
      <c r="N2151" s="6" t="s">
        <v>10886</v>
      </c>
      <c r="O2151" s="16" t="n">
        <v>40284</v>
      </c>
      <c r="P2151" s="6" t="s">
        <v>10910</v>
      </c>
      <c r="Q2151" s="6" t="s">
        <v>81</v>
      </c>
      <c r="R2151" s="6" t="s">
        <v>81</v>
      </c>
      <c r="S2151" s="6" t="s">
        <v>10886</v>
      </c>
      <c r="T2151" s="16" t="n">
        <v>42769</v>
      </c>
      <c r="U2151" s="6" t="s">
        <v>13169</v>
      </c>
      <c r="V2151" s="6" t="s">
        <v>81</v>
      </c>
      <c r="W2151" s="6" t="s">
        <v>81</v>
      </c>
      <c r="X2151" s="6" t="s">
        <v>81</v>
      </c>
      <c r="Y2151" s="21" t="s">
        <v>81</v>
      </c>
      <c r="Z2151" s="6" t="s">
        <v>81</v>
      </c>
      <c r="AA2151" s="6" t="s">
        <v>81</v>
      </c>
      <c r="AB2151" s="6" t="s">
        <v>81</v>
      </c>
      <c r="AC2151" s="6" t="s">
        <v>81</v>
      </c>
      <c r="AD2151" s="21" t="s">
        <v>81</v>
      </c>
      <c r="AE2151" s="6" t="s">
        <v>81</v>
      </c>
      <c r="AF2151" s="6" t="s">
        <v>81</v>
      </c>
      <c r="AG2151" s="6" t="s">
        <v>81</v>
      </c>
      <c r="AH2151" s="6" t="s">
        <v>16700</v>
      </c>
      <c r="AI2151" s="6" t="s">
        <v>81</v>
      </c>
      <c r="AJ2151" s="6" t="s">
        <v>18232</v>
      </c>
      <c r="AK2151" s="6" t="s">
        <v>17712</v>
      </c>
      <c r="AL2151" s="6" t="s">
        <v>18444</v>
      </c>
      <c r="AM2151" s="6" t="s">
        <v>19447</v>
      </c>
      <c r="AN2151" s="6" t="s">
        <v>19643</v>
      </c>
      <c r="AO2151" s="6" t="s">
        <v>19766</v>
      </c>
      <c r="AP2151" s="6" t="s">
        <v>20398</v>
      </c>
      <c r="AQ2151" s="6" t="s">
        <v>81</v>
      </c>
      <c r="AR2151" s="6" t="s">
        <v>18232</v>
      </c>
      <c r="AS2151" s="6" t="s">
        <v>17712</v>
      </c>
      <c r="AT2151" s="6" t="s">
        <v>18444</v>
      </c>
      <c r="AU2151" s="6" t="s">
        <v>19447</v>
      </c>
      <c r="AV2151" s="6" t="s">
        <v>81</v>
      </c>
      <c r="AW2151" s="6" t="s">
        <v>81</v>
      </c>
      <c r="AX2151" s="6" t="s">
        <v>22168</v>
      </c>
      <c r="AY2151" s="6" t="s">
        <v>81</v>
      </c>
      <c r="AZ2151" s="6" t="s">
        <v>81</v>
      </c>
      <c r="BA2151" s="6" t="s">
        <v>81</v>
      </c>
      <c r="BB2151" s="24" t="n">
        <v>368</v>
      </c>
      <c r="BC2151" s="26"/>
      <c r="BD2151" s="26"/>
      <c r="BE2151" s="26"/>
      <c r="BF2151" s="26" t="s">
        <v>23900</v>
      </c>
      <c r="BG2151" s="26"/>
      <c r="BH2151" s="26"/>
      <c r="BI2151" s="26"/>
      <c r="BJ2151" s="26"/>
      <c r="BK2151" s="26"/>
      <c r="BL2151" s="26"/>
      <c r="BM2151" s="26"/>
      <c r="BN2151" s="26"/>
      <c r="BO2151" s="26"/>
      <c r="BP2151" s="16" t="n">
        <v>45595</v>
      </c>
      <c r="BQ2151" s="28" t="str">
        <f>HYPERLINK("https://organic.ams.usda.gov/Integrity/Certificate.aspx?cid=57&amp;nopid=3252010018")</f>
        <v>https://organic.ams.usda.gov/Integrity/Certificate.aspx?cid=57&amp;nopid=3252010018</v>
      </c>
    </row>
    <row r="2152">
      <c r="A2152" t="s">
        <v>3</v>
      </c>
      <c r="B2152" s="6" t="s">
        <v>11</v>
      </c>
      <c r="C2152" s="6" t="s">
        <v>58</v>
      </c>
      <c r="D2152" s="6" t="s">
        <v>104</v>
      </c>
      <c r="E2152" s="10" t="s">
        <v>2293</v>
      </c>
      <c r="F2152" s="6" t="s">
        <v>5005</v>
      </c>
      <c r="G2152" s="6" t="s">
        <v>81</v>
      </c>
      <c r="H2152" s="6" t="s">
        <v>81</v>
      </c>
      <c r="I2152" s="6" t="s">
        <v>9439</v>
      </c>
      <c r="J2152" s="6" t="s">
        <v>9725</v>
      </c>
      <c r="K2152" s="6" t="s">
        <v>10886</v>
      </c>
      <c r="L2152" s="16" t="n">
        <v>42961</v>
      </c>
      <c r="M2152" s="16" t="n">
        <v>45383</v>
      </c>
      <c r="N2152" s="6" t="s">
        <v>10886</v>
      </c>
      <c r="O2152" s="16" t="n">
        <v>42961</v>
      </c>
      <c r="P2152" s="6" t="s">
        <v>12103</v>
      </c>
      <c r="Q2152" s="6" t="s">
        <v>81</v>
      </c>
      <c r="R2152" s="6" t="s">
        <v>81</v>
      </c>
      <c r="S2152" s="6" t="s">
        <v>10886</v>
      </c>
      <c r="T2152" s="16" t="n">
        <v>43343</v>
      </c>
      <c r="U2152" s="6" t="s">
        <v>13806</v>
      </c>
      <c r="V2152" s="6" t="s">
        <v>81</v>
      </c>
      <c r="W2152" s="6" t="s">
        <v>81</v>
      </c>
      <c r="X2152" s="6" t="s">
        <v>81</v>
      </c>
      <c r="Y2152" s="21" t="s">
        <v>81</v>
      </c>
      <c r="Z2152" s="6" t="s">
        <v>81</v>
      </c>
      <c r="AA2152" s="6" t="s">
        <v>81</v>
      </c>
      <c r="AB2152" s="6" t="s">
        <v>81</v>
      </c>
      <c r="AC2152" s="6" t="s">
        <v>81</v>
      </c>
      <c r="AD2152" s="21" t="s">
        <v>81</v>
      </c>
      <c r="AE2152" s="6" t="s">
        <v>81</v>
      </c>
      <c r="AF2152" s="6" t="s">
        <v>81</v>
      </c>
      <c r="AG2152" s="6" t="s">
        <v>81</v>
      </c>
      <c r="AH2152" s="6" t="s">
        <v>16701</v>
      </c>
      <c r="AI2152" s="6" t="s">
        <v>81</v>
      </c>
      <c r="AJ2152" s="6" t="s">
        <v>18141</v>
      </c>
      <c r="AK2152" s="6" t="s">
        <v>18381</v>
      </c>
      <c r="AL2152" s="6" t="s">
        <v>18444</v>
      </c>
      <c r="AM2152" s="6" t="s">
        <v>19343</v>
      </c>
      <c r="AN2152" s="6" t="s">
        <v>19658</v>
      </c>
      <c r="AO2152" s="6" t="s">
        <v>19752</v>
      </c>
      <c r="AP2152" s="6" t="s">
        <v>16701</v>
      </c>
      <c r="AQ2152" s="6" t="s">
        <v>81</v>
      </c>
      <c r="AR2152" s="6" t="s">
        <v>18141</v>
      </c>
      <c r="AS2152" s="6" t="s">
        <v>18381</v>
      </c>
      <c r="AT2152" s="6" t="s">
        <v>18444</v>
      </c>
      <c r="AU2152" s="6" t="s">
        <v>19343</v>
      </c>
      <c r="AV2152" s="6" t="s">
        <v>81</v>
      </c>
      <c r="AW2152" s="6" t="s">
        <v>81</v>
      </c>
      <c r="AX2152" s="6" t="s">
        <v>81</v>
      </c>
      <c r="AY2152" s="6" t="s">
        <v>81</v>
      </c>
      <c r="AZ2152" s="6" t="s">
        <v>81</v>
      </c>
      <c r="BA2152" s="6" t="s">
        <v>81</v>
      </c>
      <c r="BB2152" s="24" t="n">
        <v>390</v>
      </c>
      <c r="BC2152" s="26"/>
      <c r="BD2152" s="26"/>
      <c r="BE2152" s="26"/>
      <c r="BF2152" s="26"/>
      <c r="BG2152" s="26"/>
      <c r="BH2152" s="26"/>
      <c r="BI2152" s="26"/>
      <c r="BJ2152" s="26"/>
      <c r="BK2152" s="26"/>
      <c r="BL2152" s="26"/>
      <c r="BM2152" s="26"/>
      <c r="BN2152" s="26"/>
      <c r="BO2152" s="26"/>
      <c r="BP2152" s="16" t="n">
        <v>45393</v>
      </c>
      <c r="BQ2152" s="28" t="str">
        <f>HYPERLINK("https://organic.ams.usda.gov/Integrity/Certificate.aspx?cid=46&amp;nopid=3671700043")</f>
        <v>https://organic.ams.usda.gov/Integrity/Certificate.aspx?cid=46&amp;nopid=3671700043</v>
      </c>
    </row>
    <row r="2153">
      <c r="A2153" t="s">
        <v>3</v>
      </c>
      <c r="B2153" s="6" t="s">
        <v>29</v>
      </c>
      <c r="C2153" s="6" t="s">
        <v>76</v>
      </c>
      <c r="D2153" s="6" t="s">
        <v>122</v>
      </c>
      <c r="E2153" s="10" t="s">
        <v>2294</v>
      </c>
      <c r="F2153" s="6" t="s">
        <v>5006</v>
      </c>
      <c r="G2153" s="6" t="s">
        <v>5820</v>
      </c>
      <c r="H2153" s="6" t="s">
        <v>7858</v>
      </c>
      <c r="I2153" s="6" t="s">
        <v>9440</v>
      </c>
      <c r="J2153" s="6" t="s">
        <v>9679</v>
      </c>
      <c r="K2153" s="6" t="s">
        <v>10886</v>
      </c>
      <c r="L2153" s="16" t="n">
        <v>37865</v>
      </c>
      <c r="M2153" s="16" t="n">
        <v>45505</v>
      </c>
      <c r="N2153" s="6" t="s">
        <v>10886</v>
      </c>
      <c r="O2153" s="16" t="n">
        <v>37865</v>
      </c>
      <c r="P2153" s="6" t="s">
        <v>12104</v>
      </c>
      <c r="Q2153" s="6" t="s">
        <v>81</v>
      </c>
      <c r="R2153" s="6" t="s">
        <v>13009</v>
      </c>
      <c r="S2153" s="6" t="s">
        <v>10886</v>
      </c>
      <c r="T2153" s="16" t="n">
        <v>37865</v>
      </c>
      <c r="U2153" s="6" t="s">
        <v>13212</v>
      </c>
      <c r="V2153" s="6" t="s">
        <v>81</v>
      </c>
      <c r="W2153" s="6" t="s">
        <v>13009</v>
      </c>
      <c r="X2153" s="6" t="s">
        <v>81</v>
      </c>
      <c r="Y2153" s="21" t="s">
        <v>81</v>
      </c>
      <c r="Z2153" s="6" t="s">
        <v>81</v>
      </c>
      <c r="AA2153" s="6" t="s">
        <v>81</v>
      </c>
      <c r="AB2153" s="6" t="s">
        <v>81</v>
      </c>
      <c r="AC2153" s="6" t="s">
        <v>81</v>
      </c>
      <c r="AD2153" s="21" t="s">
        <v>81</v>
      </c>
      <c r="AE2153" s="6" t="s">
        <v>81</v>
      </c>
      <c r="AF2153" s="6" t="s">
        <v>81</v>
      </c>
      <c r="AG2153" s="6" t="s">
        <v>81</v>
      </c>
      <c r="AH2153" s="6" t="s">
        <v>16702</v>
      </c>
      <c r="AI2153" s="6" t="s">
        <v>81</v>
      </c>
      <c r="AJ2153" s="6" t="s">
        <v>17913</v>
      </c>
      <c r="AK2153" s="6" t="s">
        <v>18380</v>
      </c>
      <c r="AL2153" s="6" t="s">
        <v>18444</v>
      </c>
      <c r="AM2153" s="6" t="s">
        <v>19102</v>
      </c>
      <c r="AN2153" s="6" t="s">
        <v>19640</v>
      </c>
      <c r="AO2153" s="6" t="s">
        <v>19958</v>
      </c>
      <c r="AP2153" s="6" t="s">
        <v>81</v>
      </c>
      <c r="AQ2153" s="6" t="s">
        <v>81</v>
      </c>
      <c r="AR2153" s="6" t="s">
        <v>81</v>
      </c>
      <c r="AS2153" s="6" t="s">
        <v>81</v>
      </c>
      <c r="AT2153" s="6" t="s">
        <v>81</v>
      </c>
      <c r="AU2153" s="6" t="s">
        <v>81</v>
      </c>
      <c r="AV2153" s="6" t="s">
        <v>81</v>
      </c>
      <c r="AW2153" s="6" t="s">
        <v>81</v>
      </c>
      <c r="AX2153" s="6" t="s">
        <v>81</v>
      </c>
      <c r="AY2153" s="6" t="s">
        <v>81</v>
      </c>
      <c r="AZ2153" s="6" t="s">
        <v>81</v>
      </c>
      <c r="BA2153" s="6" t="s">
        <v>81</v>
      </c>
      <c r="BB2153" s="24" t="n">
        <v>105</v>
      </c>
      <c r="BC2153" s="26"/>
      <c r="BD2153" s="26"/>
      <c r="BE2153" s="26"/>
      <c r="BF2153" s="26" t="s">
        <v>23900</v>
      </c>
      <c r="BG2153" s="26"/>
      <c r="BH2153" s="26"/>
      <c r="BI2153" s="26"/>
      <c r="BJ2153" s="26"/>
      <c r="BK2153" s="26"/>
      <c r="BL2153" s="26"/>
      <c r="BM2153" s="26"/>
      <c r="BN2153" s="26"/>
      <c r="BO2153" s="26"/>
      <c r="BP2153" s="16" t="n">
        <v>45737</v>
      </c>
      <c r="BQ2153" s="28" t="str">
        <f>HYPERLINK("https://organic.ams.usda.gov/Integrity/Certificate.aspx?cid=31&amp;nopid=3920897303")</f>
        <v>https://organic.ams.usda.gov/Integrity/Certificate.aspx?cid=31&amp;nopid=3920897303</v>
      </c>
    </row>
    <row r="2154">
      <c r="A2154" t="s">
        <v>3</v>
      </c>
      <c r="B2154" s="6" t="s">
        <v>9</v>
      </c>
      <c r="C2154" s="6" t="s">
        <v>56</v>
      </c>
      <c r="D2154" s="6" t="s">
        <v>102</v>
      </c>
      <c r="E2154" s="10" t="s">
        <v>2295</v>
      </c>
      <c r="F2154" s="6" t="s">
        <v>5007</v>
      </c>
      <c r="G2154" s="6" t="s">
        <v>81</v>
      </c>
      <c r="H2154" s="6" t="s">
        <v>7859</v>
      </c>
      <c r="I2154" s="6" t="s">
        <v>9441</v>
      </c>
      <c r="J2154" s="6" t="s">
        <v>9755</v>
      </c>
      <c r="K2154" s="6" t="s">
        <v>10886</v>
      </c>
      <c r="L2154" s="16" t="n">
        <v>40876</v>
      </c>
      <c r="M2154" s="16" t="n">
        <v>46113</v>
      </c>
      <c r="N2154" s="6" t="s">
        <v>10886</v>
      </c>
      <c r="O2154" s="16" t="n">
        <v>40876</v>
      </c>
      <c r="P2154" s="6" t="s">
        <v>12105</v>
      </c>
      <c r="Q2154" s="6" t="s">
        <v>81</v>
      </c>
      <c r="R2154" s="6" t="s">
        <v>13010</v>
      </c>
      <c r="S2154" s="6" t="s">
        <v>10886</v>
      </c>
      <c r="T2154" s="16" t="n">
        <v>40876</v>
      </c>
      <c r="U2154" s="6" t="s">
        <v>13613</v>
      </c>
      <c r="V2154" s="6" t="s">
        <v>81</v>
      </c>
      <c r="W2154" s="6" t="s">
        <v>13010</v>
      </c>
      <c r="X2154" s="6" t="s">
        <v>81</v>
      </c>
      <c r="Y2154" s="21" t="s">
        <v>81</v>
      </c>
      <c r="Z2154" s="6" t="s">
        <v>81</v>
      </c>
      <c r="AA2154" s="6" t="s">
        <v>81</v>
      </c>
      <c r="AB2154" s="6" t="s">
        <v>81</v>
      </c>
      <c r="AC2154" s="6" t="s">
        <v>81</v>
      </c>
      <c r="AD2154" s="21" t="s">
        <v>81</v>
      </c>
      <c r="AE2154" s="6" t="s">
        <v>81</v>
      </c>
      <c r="AF2154" s="6" t="s">
        <v>81</v>
      </c>
      <c r="AG2154" s="6" t="s">
        <v>81</v>
      </c>
      <c r="AH2154" s="6" t="s">
        <v>16703</v>
      </c>
      <c r="AI2154" s="6" t="s">
        <v>81</v>
      </c>
      <c r="AJ2154" s="6" t="s">
        <v>17373</v>
      </c>
      <c r="AK2154" s="6" t="s">
        <v>18377</v>
      </c>
      <c r="AL2154" s="6" t="s">
        <v>18444</v>
      </c>
      <c r="AM2154" s="6" t="s">
        <v>18546</v>
      </c>
      <c r="AN2154" s="6" t="s">
        <v>19652</v>
      </c>
      <c r="AO2154" s="6" t="s">
        <v>19772</v>
      </c>
      <c r="AP2154" s="6" t="s">
        <v>81</v>
      </c>
      <c r="AQ2154" s="6" t="s">
        <v>81</v>
      </c>
      <c r="AR2154" s="6" t="s">
        <v>81</v>
      </c>
      <c r="AS2154" s="6" t="s">
        <v>81</v>
      </c>
      <c r="AT2154" s="6" t="s">
        <v>81</v>
      </c>
      <c r="AU2154" s="6" t="s">
        <v>81</v>
      </c>
      <c r="AV2154" s="6" t="s">
        <v>81</v>
      </c>
      <c r="AW2154" s="6" t="s">
        <v>81</v>
      </c>
      <c r="AX2154" s="6" t="s">
        <v>81</v>
      </c>
      <c r="AY2154" s="6" t="s">
        <v>81</v>
      </c>
      <c r="AZ2154" s="6" t="s">
        <v>81</v>
      </c>
      <c r="BA2154" s="6" t="s">
        <v>81</v>
      </c>
      <c r="BB2154" s="24" t="n">
        <v>103</v>
      </c>
      <c r="BC2154" s="26"/>
      <c r="BD2154" s="26"/>
      <c r="BE2154" s="26"/>
      <c r="BF2154" s="26"/>
      <c r="BG2154" s="26"/>
      <c r="BH2154" s="26"/>
      <c r="BI2154" s="26"/>
      <c r="BJ2154" s="26"/>
      <c r="BK2154" s="26"/>
      <c r="BL2154" s="26"/>
      <c r="BM2154" s="26"/>
      <c r="BN2154" s="26"/>
      <c r="BO2154" s="26"/>
      <c r="BP2154" s="16" t="n">
        <v>45738</v>
      </c>
      <c r="BQ2154" s="28" t="str">
        <f>HYPERLINK("https://organic.ams.usda.gov/Integrity/Certificate.aspx?cid=52&amp;nopid=8431100277")</f>
        <v>https://organic.ams.usda.gov/Integrity/Certificate.aspx?cid=52&amp;nopid=8431100277</v>
      </c>
    </row>
    <row r="2155">
      <c r="A2155" t="s">
        <v>3</v>
      </c>
      <c r="B2155" s="6" t="s">
        <v>7</v>
      </c>
      <c r="C2155" s="6" t="s">
        <v>54</v>
      </c>
      <c r="D2155" s="6" t="s">
        <v>100</v>
      </c>
      <c r="E2155" s="10" t="s">
        <v>2296</v>
      </c>
      <c r="F2155" s="6" t="s">
        <v>5008</v>
      </c>
      <c r="G2155" s="6" t="s">
        <v>81</v>
      </c>
      <c r="H2155" s="6" t="s">
        <v>7860</v>
      </c>
      <c r="I2155" s="6" t="s">
        <v>8421</v>
      </c>
      <c r="J2155" s="6" t="s">
        <v>9666</v>
      </c>
      <c r="K2155" s="6" t="s">
        <v>10886</v>
      </c>
      <c r="L2155" s="16" t="n">
        <v>45491</v>
      </c>
      <c r="M2155" s="16" t="n">
        <v>45716</v>
      </c>
      <c r="N2155" s="6" t="s">
        <v>10886</v>
      </c>
      <c r="O2155" s="16" t="n">
        <v>45491</v>
      </c>
      <c r="P2155" s="6" t="s">
        <v>10910</v>
      </c>
      <c r="Q2155" s="6" t="s">
        <v>81</v>
      </c>
      <c r="R2155" s="6" t="s">
        <v>81</v>
      </c>
      <c r="S2155" s="6" t="s">
        <v>10886</v>
      </c>
      <c r="T2155" s="16" t="n">
        <v>45497</v>
      </c>
      <c r="U2155" s="6" t="s">
        <v>13188</v>
      </c>
      <c r="V2155" s="6" t="s">
        <v>81</v>
      </c>
      <c r="W2155" s="6" t="s">
        <v>81</v>
      </c>
      <c r="X2155" s="6" t="s">
        <v>81</v>
      </c>
      <c r="Y2155" s="21" t="s">
        <v>81</v>
      </c>
      <c r="Z2155" s="6" t="s">
        <v>81</v>
      </c>
      <c r="AA2155" s="6" t="s">
        <v>81</v>
      </c>
      <c r="AB2155" s="6" t="s">
        <v>81</v>
      </c>
      <c r="AC2155" s="6" t="s">
        <v>81</v>
      </c>
      <c r="AD2155" s="21" t="s">
        <v>81</v>
      </c>
      <c r="AE2155" s="6" t="s">
        <v>81</v>
      </c>
      <c r="AF2155" s="6" t="s">
        <v>81</v>
      </c>
      <c r="AG2155" s="6" t="s">
        <v>81</v>
      </c>
      <c r="AH2155" s="6" t="s">
        <v>16704</v>
      </c>
      <c r="AI2155" s="6" t="s">
        <v>81</v>
      </c>
      <c r="AJ2155" s="6" t="s">
        <v>17795</v>
      </c>
      <c r="AK2155" s="6" t="s">
        <v>17712</v>
      </c>
      <c r="AL2155" s="6" t="s">
        <v>18444</v>
      </c>
      <c r="AM2155" s="6" t="s">
        <v>19222</v>
      </c>
      <c r="AN2155" s="6" t="s">
        <v>81</v>
      </c>
      <c r="AO2155" s="6" t="s">
        <v>81</v>
      </c>
      <c r="AP2155" s="6" t="s">
        <v>16704</v>
      </c>
      <c r="AQ2155" s="6" t="s">
        <v>81</v>
      </c>
      <c r="AR2155" s="6" t="s">
        <v>17795</v>
      </c>
      <c r="AS2155" s="6" t="s">
        <v>17712</v>
      </c>
      <c r="AT2155" s="6" t="s">
        <v>18444</v>
      </c>
      <c r="AU2155" s="6" t="s">
        <v>19222</v>
      </c>
      <c r="AV2155" s="6" t="s">
        <v>81</v>
      </c>
      <c r="AW2155" s="6" t="s">
        <v>81</v>
      </c>
      <c r="AX2155" s="6" t="s">
        <v>22169</v>
      </c>
      <c r="AY2155" s="6" t="s">
        <v>81</v>
      </c>
      <c r="AZ2155" s="6" t="s">
        <v>81</v>
      </c>
      <c r="BA2155" s="6" t="s">
        <v>81</v>
      </c>
      <c r="BB2155" s="24" t="n">
        <v>95</v>
      </c>
      <c r="BC2155" s="26"/>
      <c r="BD2155" s="26"/>
      <c r="BE2155" s="26"/>
      <c r="BF2155" s="26" t="s">
        <v>23900</v>
      </c>
      <c r="BG2155" s="26"/>
      <c r="BH2155" s="26"/>
      <c r="BI2155" s="26"/>
      <c r="BJ2155" s="26"/>
      <c r="BK2155" s="26"/>
      <c r="BL2155" s="26"/>
      <c r="BM2155" s="26"/>
      <c r="BN2155" s="26"/>
      <c r="BO2155" s="26"/>
      <c r="BP2155" s="16" t="n">
        <v>45595</v>
      </c>
      <c r="BQ2155" s="28" t="str">
        <f>HYPERLINK("https://organic.ams.usda.gov/Integrity/Certificate.aspx?cid=57&amp;nopid=3252024112")</f>
        <v>https://organic.ams.usda.gov/Integrity/Certificate.aspx?cid=57&amp;nopid=3252024112</v>
      </c>
    </row>
    <row r="2156">
      <c r="A2156" t="s">
        <v>3</v>
      </c>
      <c r="B2156" s="6" t="s">
        <v>12</v>
      </c>
      <c r="C2156" s="6" t="s">
        <v>59</v>
      </c>
      <c r="D2156" s="6" t="s">
        <v>105</v>
      </c>
      <c r="E2156" s="10" t="s">
        <v>2297</v>
      </c>
      <c r="F2156" s="6" t="s">
        <v>5009</v>
      </c>
      <c r="G2156" s="6" t="s">
        <v>81</v>
      </c>
      <c r="H2156" s="6" t="s">
        <v>7861</v>
      </c>
      <c r="I2156" s="6" t="s">
        <v>9442</v>
      </c>
      <c r="J2156" s="6" t="s">
        <v>9959</v>
      </c>
      <c r="K2156" s="6" t="s">
        <v>10886</v>
      </c>
      <c r="L2156" s="16" t="n">
        <v>42543</v>
      </c>
      <c r="M2156" s="16" t="n">
        <v>45717</v>
      </c>
      <c r="N2156" s="6" t="s">
        <v>10886</v>
      </c>
      <c r="O2156" s="16" t="n">
        <v>42543</v>
      </c>
      <c r="P2156" s="6" t="s">
        <v>10910</v>
      </c>
      <c r="Q2156" s="6" t="s">
        <v>81</v>
      </c>
      <c r="R2156" s="6" t="s">
        <v>81</v>
      </c>
      <c r="S2156" s="6" t="s">
        <v>10886</v>
      </c>
      <c r="T2156" s="16" t="n">
        <v>42543</v>
      </c>
      <c r="U2156" s="6" t="s">
        <v>13166</v>
      </c>
      <c r="V2156" s="6" t="s">
        <v>81</v>
      </c>
      <c r="W2156" s="6" t="s">
        <v>81</v>
      </c>
      <c r="X2156" s="6" t="s">
        <v>81</v>
      </c>
      <c r="Y2156" s="21" t="s">
        <v>81</v>
      </c>
      <c r="Z2156" s="6" t="s">
        <v>81</v>
      </c>
      <c r="AA2156" s="6" t="s">
        <v>81</v>
      </c>
      <c r="AB2156" s="6" t="s">
        <v>81</v>
      </c>
      <c r="AC2156" s="6" t="s">
        <v>81</v>
      </c>
      <c r="AD2156" s="21" t="s">
        <v>81</v>
      </c>
      <c r="AE2156" s="6" t="s">
        <v>81</v>
      </c>
      <c r="AF2156" s="6" t="s">
        <v>81</v>
      </c>
      <c r="AG2156" s="6" t="s">
        <v>81</v>
      </c>
      <c r="AH2156" s="6" t="s">
        <v>16705</v>
      </c>
      <c r="AI2156" s="6" t="s">
        <v>81</v>
      </c>
      <c r="AJ2156" s="6" t="s">
        <v>17531</v>
      </c>
      <c r="AK2156" s="6" t="s">
        <v>17712</v>
      </c>
      <c r="AL2156" s="6" t="s">
        <v>18444</v>
      </c>
      <c r="AM2156" s="6" t="s">
        <v>18694</v>
      </c>
      <c r="AN2156" s="6" t="s">
        <v>19657</v>
      </c>
      <c r="AO2156" s="6" t="s">
        <v>19751</v>
      </c>
      <c r="AP2156" s="6" t="s">
        <v>16705</v>
      </c>
      <c r="AQ2156" s="6" t="s">
        <v>81</v>
      </c>
      <c r="AR2156" s="6" t="s">
        <v>17531</v>
      </c>
      <c r="AS2156" s="6" t="s">
        <v>17712</v>
      </c>
      <c r="AT2156" s="6" t="s">
        <v>18444</v>
      </c>
      <c r="AU2156" s="6" t="s">
        <v>18694</v>
      </c>
      <c r="AV2156" s="6" t="s">
        <v>81</v>
      </c>
      <c r="AW2156" s="6" t="s">
        <v>81</v>
      </c>
      <c r="AX2156" s="6" t="s">
        <v>22170</v>
      </c>
      <c r="AY2156" s="6" t="s">
        <v>81</v>
      </c>
      <c r="AZ2156" s="6" t="s">
        <v>81</v>
      </c>
      <c r="BA2156" s="6" t="s">
        <v>81</v>
      </c>
      <c r="BB2156" s="24" t="n">
        <v>120</v>
      </c>
      <c r="BC2156" s="26"/>
      <c r="BD2156" s="26"/>
      <c r="BE2156" s="26"/>
      <c r="BF2156" s="26"/>
      <c r="BG2156" s="26"/>
      <c r="BH2156" s="26"/>
      <c r="BI2156" s="26"/>
      <c r="BJ2156" s="26"/>
      <c r="BK2156" s="26"/>
      <c r="BL2156" s="26"/>
      <c r="BM2156" s="26"/>
      <c r="BN2156" s="26"/>
      <c r="BO2156" s="26"/>
      <c r="BP2156" s="16" t="n">
        <v>45684</v>
      </c>
      <c r="BQ2156" s="28" t="str">
        <f>HYPERLINK("https://organic.ams.usda.gov/Integrity/Certificate.aspx?cid=68&amp;nopid=8210004480")</f>
        <v>https://organic.ams.usda.gov/Integrity/Certificate.aspx?cid=68&amp;nopid=8210004480</v>
      </c>
    </row>
    <row r="2157">
      <c r="A2157" t="s">
        <v>3</v>
      </c>
      <c r="B2157" s="6" t="s">
        <v>10</v>
      </c>
      <c r="C2157" s="6" t="s">
        <v>57</v>
      </c>
      <c r="D2157" s="6" t="s">
        <v>103</v>
      </c>
      <c r="E2157" s="10" t="s">
        <v>2298</v>
      </c>
      <c r="F2157" s="6" t="s">
        <v>5010</v>
      </c>
      <c r="G2157" s="6" t="s">
        <v>81</v>
      </c>
      <c r="H2157" s="6" t="s">
        <v>7862</v>
      </c>
      <c r="I2157" s="6" t="s">
        <v>9443</v>
      </c>
      <c r="J2157" s="6" t="s">
        <v>9666</v>
      </c>
      <c r="K2157" s="6" t="s">
        <v>10886</v>
      </c>
      <c r="L2157" s="16" t="n">
        <v>38687</v>
      </c>
      <c r="M2157" s="16" t="n">
        <v>45748</v>
      </c>
      <c r="N2157" s="6" t="s">
        <v>10886</v>
      </c>
      <c r="O2157" s="16" t="n">
        <v>38687</v>
      </c>
      <c r="P2157" s="6" t="s">
        <v>11209</v>
      </c>
      <c r="Q2157" s="6" t="s">
        <v>81</v>
      </c>
      <c r="R2157" s="6" t="s">
        <v>13011</v>
      </c>
      <c r="S2157" s="6" t="s">
        <v>10886</v>
      </c>
      <c r="T2157" s="16" t="n">
        <v>38687</v>
      </c>
      <c r="U2157" s="6" t="s">
        <v>13163</v>
      </c>
      <c r="V2157" s="6" t="s">
        <v>81</v>
      </c>
      <c r="W2157" s="6" t="s">
        <v>81</v>
      </c>
      <c r="X2157" s="6" t="s">
        <v>81</v>
      </c>
      <c r="Y2157" s="21" t="s">
        <v>81</v>
      </c>
      <c r="Z2157" s="6" t="s">
        <v>81</v>
      </c>
      <c r="AA2157" s="6" t="s">
        <v>81</v>
      </c>
      <c r="AB2157" s="6" t="s">
        <v>81</v>
      </c>
      <c r="AC2157" s="6" t="s">
        <v>81</v>
      </c>
      <c r="AD2157" s="21" t="s">
        <v>81</v>
      </c>
      <c r="AE2157" s="6" t="s">
        <v>81</v>
      </c>
      <c r="AF2157" s="6" t="s">
        <v>81</v>
      </c>
      <c r="AG2157" s="6" t="s">
        <v>81</v>
      </c>
      <c r="AH2157" s="6" t="s">
        <v>16706</v>
      </c>
      <c r="AI2157" s="6" t="s">
        <v>81</v>
      </c>
      <c r="AJ2157" s="6" t="s">
        <v>17381</v>
      </c>
      <c r="AK2157" s="6" t="s">
        <v>18379</v>
      </c>
      <c r="AL2157" s="6" t="s">
        <v>18444</v>
      </c>
      <c r="AM2157" s="6" t="s">
        <v>18534</v>
      </c>
      <c r="AN2157" s="6" t="s">
        <v>19637</v>
      </c>
      <c r="AO2157" s="6" t="s">
        <v>19723</v>
      </c>
      <c r="AP2157" s="6" t="s">
        <v>16706</v>
      </c>
      <c r="AQ2157" s="6" t="s">
        <v>81</v>
      </c>
      <c r="AR2157" s="6" t="s">
        <v>17381</v>
      </c>
      <c r="AS2157" s="6" t="s">
        <v>18379</v>
      </c>
      <c r="AT2157" s="6" t="s">
        <v>18444</v>
      </c>
      <c r="AU2157" s="6" t="s">
        <v>18534</v>
      </c>
      <c r="AV2157" s="6" t="s">
        <v>81</v>
      </c>
      <c r="AW2157" s="6" t="s">
        <v>81</v>
      </c>
      <c r="AX2157" s="6" t="s">
        <v>22171</v>
      </c>
      <c r="AY2157" s="6" t="s">
        <v>81</v>
      </c>
      <c r="AZ2157" s="6" t="s">
        <v>81</v>
      </c>
      <c r="BA2157" s="6" t="s">
        <v>81</v>
      </c>
      <c r="BB2157" s="24" t="n">
        <v>109</v>
      </c>
      <c r="BC2157" s="26"/>
      <c r="BD2157" s="26"/>
      <c r="BE2157" s="26"/>
      <c r="BF2157" s="26"/>
      <c r="BG2157" s="26"/>
      <c r="BH2157" s="26"/>
      <c r="BI2157" s="26"/>
      <c r="BJ2157" s="26"/>
      <c r="BK2157" s="26"/>
      <c r="BL2157" s="26"/>
      <c r="BM2157" s="26"/>
      <c r="BN2157" s="26"/>
      <c r="BO2157" s="26"/>
      <c r="BP2157" s="16" t="n">
        <v>45730</v>
      </c>
      <c r="BQ2157" s="28" t="str">
        <f>HYPERLINK("https://organic.ams.usda.gov/Integrity/Certificate.aspx?cid=90&amp;nopid=7170210334")</f>
        <v>https://organic.ams.usda.gov/Integrity/Certificate.aspx?cid=90&amp;nopid=7170210334</v>
      </c>
    </row>
    <row r="2158">
      <c r="A2158" t="s">
        <v>3</v>
      </c>
      <c r="B2158" s="6" t="s">
        <v>30</v>
      </c>
      <c r="C2158" s="6" t="s">
        <v>77</v>
      </c>
      <c r="D2158" s="6" t="s">
        <v>123</v>
      </c>
      <c r="E2158" s="10" t="s">
        <v>2299</v>
      </c>
      <c r="F2158" s="6" t="s">
        <v>5011</v>
      </c>
      <c r="G2158" s="6" t="s">
        <v>81</v>
      </c>
      <c r="H2158" s="6" t="s">
        <v>7863</v>
      </c>
      <c r="I2158" s="6" t="s">
        <v>9444</v>
      </c>
      <c r="J2158" s="6" t="s">
        <v>9669</v>
      </c>
      <c r="K2158" s="6" t="s">
        <v>10886</v>
      </c>
      <c r="L2158" s="16" t="n">
        <v>43542</v>
      </c>
      <c r="M2158" s="16" t="n">
        <v>45747</v>
      </c>
      <c r="N2158" s="6" t="s">
        <v>10886</v>
      </c>
      <c r="O2158" s="16" t="n">
        <v>43542</v>
      </c>
      <c r="P2158" s="6" t="s">
        <v>10922</v>
      </c>
      <c r="Q2158" s="6" t="s">
        <v>81</v>
      </c>
      <c r="R2158" s="6" t="s">
        <v>81</v>
      </c>
      <c r="S2158" s="6" t="s">
        <v>10886</v>
      </c>
      <c r="T2158" s="16" t="n">
        <v>43542</v>
      </c>
      <c r="U2158" s="6" t="s">
        <v>13231</v>
      </c>
      <c r="V2158" s="6" t="s">
        <v>81</v>
      </c>
      <c r="W2158" s="6" t="s">
        <v>81</v>
      </c>
      <c r="X2158" s="6" t="s">
        <v>81</v>
      </c>
      <c r="Y2158" s="21" t="s">
        <v>81</v>
      </c>
      <c r="Z2158" s="6" t="s">
        <v>81</v>
      </c>
      <c r="AA2158" s="6" t="s">
        <v>81</v>
      </c>
      <c r="AB2158" s="6" t="s">
        <v>81</v>
      </c>
      <c r="AC2158" s="6" t="s">
        <v>81</v>
      </c>
      <c r="AD2158" s="21" t="s">
        <v>81</v>
      </c>
      <c r="AE2158" s="6" t="s">
        <v>81</v>
      </c>
      <c r="AF2158" s="6" t="s">
        <v>81</v>
      </c>
      <c r="AG2158" s="6" t="s">
        <v>81</v>
      </c>
      <c r="AH2158" s="6" t="s">
        <v>16707</v>
      </c>
      <c r="AI2158" s="6" t="s">
        <v>81</v>
      </c>
      <c r="AJ2158" s="6" t="s">
        <v>17531</v>
      </c>
      <c r="AK2158" s="6" t="s">
        <v>17712</v>
      </c>
      <c r="AL2158" s="6" t="s">
        <v>18444</v>
      </c>
      <c r="AM2158" s="6" t="s">
        <v>18694</v>
      </c>
      <c r="AN2158" s="6" t="s">
        <v>19657</v>
      </c>
      <c r="AO2158" s="6" t="s">
        <v>19751</v>
      </c>
      <c r="AP2158" s="6" t="s">
        <v>16707</v>
      </c>
      <c r="AQ2158" s="6" t="s">
        <v>81</v>
      </c>
      <c r="AR2158" s="6" t="s">
        <v>17531</v>
      </c>
      <c r="AS2158" s="6" t="s">
        <v>17712</v>
      </c>
      <c r="AT2158" s="6" t="s">
        <v>18444</v>
      </c>
      <c r="AU2158" s="6" t="s">
        <v>18694</v>
      </c>
      <c r="AV2158" s="6" t="s">
        <v>81</v>
      </c>
      <c r="AW2158" s="6" t="s">
        <v>81</v>
      </c>
      <c r="AX2158" s="6" t="s">
        <v>22172</v>
      </c>
      <c r="AY2158" s="6" t="s">
        <v>81</v>
      </c>
      <c r="AZ2158" s="6" t="s">
        <v>81</v>
      </c>
      <c r="BA2158" s="6" t="s">
        <v>81</v>
      </c>
      <c r="BB2158" s="24" t="n">
        <v>157</v>
      </c>
      <c r="BC2158" s="26"/>
      <c r="BD2158" s="26"/>
      <c r="BE2158" s="26"/>
      <c r="BF2158" s="26"/>
      <c r="BG2158" s="26"/>
      <c r="BH2158" s="26"/>
      <c r="BI2158" s="26"/>
      <c r="BJ2158" s="26"/>
      <c r="BK2158" s="26"/>
      <c r="BL2158" s="26"/>
      <c r="BM2158" s="26"/>
      <c r="BN2158" s="26"/>
      <c r="BO2158" s="26"/>
      <c r="BP2158" s="16" t="n">
        <v>45512</v>
      </c>
      <c r="BQ2158" s="28" t="str">
        <f>HYPERLINK("https://organic.ams.usda.gov/Integrity/Certificate.aspx?cid=70&amp;nopid=6431914690")</f>
        <v>https://organic.ams.usda.gov/Integrity/Certificate.aspx?cid=70&amp;nopid=6431914690</v>
      </c>
    </row>
    <row r="2159">
      <c r="A2159" t="s">
        <v>3</v>
      </c>
      <c r="B2159" s="6" t="s">
        <v>8</v>
      </c>
      <c r="C2159" s="6" t="s">
        <v>55</v>
      </c>
      <c r="D2159" s="6" t="s">
        <v>101</v>
      </c>
      <c r="E2159" s="10" t="s">
        <v>2300</v>
      </c>
      <c r="F2159" s="6" t="s">
        <v>5012</v>
      </c>
      <c r="G2159" s="6" t="s">
        <v>81</v>
      </c>
      <c r="H2159" s="6" t="s">
        <v>7864</v>
      </c>
      <c r="I2159" s="6" t="s">
        <v>8421</v>
      </c>
      <c r="J2159" s="6" t="s">
        <v>10642</v>
      </c>
      <c r="K2159" s="6" t="s">
        <v>10886</v>
      </c>
      <c r="L2159" s="16" t="n">
        <v>44420</v>
      </c>
      <c r="M2159" s="16" t="n">
        <v>45748</v>
      </c>
      <c r="N2159" s="6" t="s">
        <v>10886</v>
      </c>
      <c r="O2159" s="16" t="n">
        <v>44420</v>
      </c>
      <c r="P2159" s="6" t="s">
        <v>12106</v>
      </c>
      <c r="Q2159" s="6" t="s">
        <v>81</v>
      </c>
      <c r="R2159" s="6" t="s">
        <v>7864</v>
      </c>
      <c r="S2159" s="6" t="s">
        <v>10886</v>
      </c>
      <c r="T2159" s="16" t="n">
        <v>44939</v>
      </c>
      <c r="U2159" s="6" t="s">
        <v>13807</v>
      </c>
      <c r="V2159" s="6" t="s">
        <v>81</v>
      </c>
      <c r="W2159" s="6" t="s">
        <v>7864</v>
      </c>
      <c r="X2159" s="6" t="s">
        <v>81</v>
      </c>
      <c r="Y2159" s="21" t="s">
        <v>81</v>
      </c>
      <c r="Z2159" s="6" t="s">
        <v>81</v>
      </c>
      <c r="AA2159" s="6" t="s">
        <v>81</v>
      </c>
      <c r="AB2159" s="6" t="s">
        <v>81</v>
      </c>
      <c r="AC2159" s="6" t="s">
        <v>81</v>
      </c>
      <c r="AD2159" s="21" t="s">
        <v>81</v>
      </c>
      <c r="AE2159" s="6" t="s">
        <v>81</v>
      </c>
      <c r="AF2159" s="6" t="s">
        <v>81</v>
      </c>
      <c r="AG2159" s="6" t="s">
        <v>81</v>
      </c>
      <c r="AH2159" s="6" t="s">
        <v>16708</v>
      </c>
      <c r="AI2159" s="6" t="s">
        <v>81</v>
      </c>
      <c r="AJ2159" s="6" t="s">
        <v>17579</v>
      </c>
      <c r="AK2159" s="6" t="s">
        <v>18391</v>
      </c>
      <c r="AL2159" s="6" t="s">
        <v>18444</v>
      </c>
      <c r="AM2159" s="6" t="s">
        <v>18743</v>
      </c>
      <c r="AN2159" s="6" t="s">
        <v>6139</v>
      </c>
      <c r="AO2159" s="6" t="s">
        <v>19970</v>
      </c>
      <c r="AP2159" s="6" t="s">
        <v>81</v>
      </c>
      <c r="AQ2159" s="6" t="s">
        <v>81</v>
      </c>
      <c r="AR2159" s="6" t="s">
        <v>81</v>
      </c>
      <c r="AS2159" s="6" t="s">
        <v>81</v>
      </c>
      <c r="AT2159" s="6" t="s">
        <v>81</v>
      </c>
      <c r="AU2159" s="6" t="s">
        <v>81</v>
      </c>
      <c r="AV2159" s="6" t="s">
        <v>81</v>
      </c>
      <c r="AW2159" s="6" t="s">
        <v>81</v>
      </c>
      <c r="AX2159" s="6" t="s">
        <v>81</v>
      </c>
      <c r="AY2159" s="6" t="s">
        <v>81</v>
      </c>
      <c r="AZ2159" s="6" t="s">
        <v>81</v>
      </c>
      <c r="BA2159" s="6" t="s">
        <v>23824</v>
      </c>
      <c r="BB2159" s="24" t="n">
        <v>86</v>
      </c>
      <c r="BC2159" s="26"/>
      <c r="BD2159" s="26"/>
      <c r="BE2159" s="26"/>
      <c r="BF2159" s="26" t="s">
        <v>23900</v>
      </c>
      <c r="BG2159" s="26"/>
      <c r="BH2159" s="26"/>
      <c r="BI2159" s="26"/>
      <c r="BJ2159" s="26"/>
      <c r="BK2159" s="26"/>
      <c r="BL2159" s="26"/>
      <c r="BM2159" s="26"/>
      <c r="BN2159" s="26"/>
      <c r="BO2159" s="26"/>
      <c r="BP2159" s="16" t="n">
        <v>45548</v>
      </c>
      <c r="BQ2159" s="28" t="str">
        <f>HYPERLINK("https://organic.ams.usda.gov/Integrity/Certificate.aspx?cid=45&amp;nopid=9950012819")</f>
        <v>https://organic.ams.usda.gov/Integrity/Certificate.aspx?cid=45&amp;nopid=9950012819</v>
      </c>
    </row>
    <row r="2160">
      <c r="A2160" t="s">
        <v>3</v>
      </c>
      <c r="B2160" s="6" t="s">
        <v>11</v>
      </c>
      <c r="C2160" s="6" t="s">
        <v>58</v>
      </c>
      <c r="D2160" s="6" t="s">
        <v>104</v>
      </c>
      <c r="E2160" s="10" t="s">
        <v>2301</v>
      </c>
      <c r="F2160" s="6" t="s">
        <v>5013</v>
      </c>
      <c r="G2160" s="6" t="s">
        <v>81</v>
      </c>
      <c r="H2160" s="6" t="s">
        <v>81</v>
      </c>
      <c r="I2160" s="6" t="s">
        <v>9445</v>
      </c>
      <c r="J2160" s="6" t="s">
        <v>9805</v>
      </c>
      <c r="K2160" s="6" t="s">
        <v>10886</v>
      </c>
      <c r="L2160" s="16" t="n">
        <v>43378</v>
      </c>
      <c r="M2160" s="16" t="n">
        <v>45383</v>
      </c>
      <c r="N2160" s="6" t="s">
        <v>10886</v>
      </c>
      <c r="O2160" s="16" t="n">
        <v>43378</v>
      </c>
      <c r="P2160" s="6" t="s">
        <v>12107</v>
      </c>
      <c r="Q2160" s="6" t="s">
        <v>81</v>
      </c>
      <c r="R2160" s="6" t="s">
        <v>81</v>
      </c>
      <c r="S2160" s="6" t="s">
        <v>10886</v>
      </c>
      <c r="T2160" s="16" t="n">
        <v>43378</v>
      </c>
      <c r="U2160" s="6" t="s">
        <v>13711</v>
      </c>
      <c r="V2160" s="6" t="s">
        <v>81</v>
      </c>
      <c r="W2160" s="6" t="s">
        <v>81</v>
      </c>
      <c r="X2160" s="6" t="s">
        <v>81</v>
      </c>
      <c r="Y2160" s="21" t="s">
        <v>81</v>
      </c>
      <c r="Z2160" s="6" t="s">
        <v>81</v>
      </c>
      <c r="AA2160" s="6" t="s">
        <v>81</v>
      </c>
      <c r="AB2160" s="6" t="s">
        <v>81</v>
      </c>
      <c r="AC2160" s="6" t="s">
        <v>81</v>
      </c>
      <c r="AD2160" s="21" t="s">
        <v>81</v>
      </c>
      <c r="AE2160" s="6" t="s">
        <v>81</v>
      </c>
      <c r="AF2160" s="6" t="s">
        <v>81</v>
      </c>
      <c r="AG2160" s="6" t="s">
        <v>81</v>
      </c>
      <c r="AH2160" s="6" t="s">
        <v>16709</v>
      </c>
      <c r="AI2160" s="6" t="s">
        <v>81</v>
      </c>
      <c r="AJ2160" s="6" t="s">
        <v>9032</v>
      </c>
      <c r="AK2160" s="6" t="s">
        <v>18377</v>
      </c>
      <c r="AL2160" s="6" t="s">
        <v>18444</v>
      </c>
      <c r="AM2160" s="6" t="s">
        <v>19448</v>
      </c>
      <c r="AN2160" s="6" t="s">
        <v>19652</v>
      </c>
      <c r="AO2160" s="6" t="s">
        <v>19772</v>
      </c>
      <c r="AP2160" s="6" t="s">
        <v>16709</v>
      </c>
      <c r="AQ2160" s="6" t="s">
        <v>81</v>
      </c>
      <c r="AR2160" s="6" t="s">
        <v>9032</v>
      </c>
      <c r="AS2160" s="6" t="s">
        <v>18377</v>
      </c>
      <c r="AT2160" s="6" t="s">
        <v>18444</v>
      </c>
      <c r="AU2160" s="6" t="s">
        <v>19448</v>
      </c>
      <c r="AV2160" s="6" t="s">
        <v>81</v>
      </c>
      <c r="AW2160" s="6" t="s">
        <v>81</v>
      </c>
      <c r="AX2160" s="6" t="s">
        <v>81</v>
      </c>
      <c r="AY2160" s="6" t="s">
        <v>81</v>
      </c>
      <c r="AZ2160" s="6" t="s">
        <v>81</v>
      </c>
      <c r="BA2160" s="6" t="s">
        <v>81</v>
      </c>
      <c r="BB2160" s="24" t="n">
        <v>76</v>
      </c>
      <c r="BC2160" s="26"/>
      <c r="BD2160" s="26"/>
      <c r="BE2160" s="26"/>
      <c r="BF2160" s="26"/>
      <c r="BG2160" s="26"/>
      <c r="BH2160" s="26"/>
      <c r="BI2160" s="26"/>
      <c r="BJ2160" s="26"/>
      <c r="BK2160" s="26"/>
      <c r="BL2160" s="26"/>
      <c r="BM2160" s="26"/>
      <c r="BN2160" s="26"/>
      <c r="BO2160" s="26"/>
      <c r="BP2160" s="16" t="n">
        <v>45429</v>
      </c>
      <c r="BQ2160" s="28" t="str">
        <f>HYPERLINK("https://organic.ams.usda.gov/Integrity/Certificate.aspx?cid=46&amp;nopid=3671800088")</f>
        <v>https://organic.ams.usda.gov/Integrity/Certificate.aspx?cid=46&amp;nopid=3671800088</v>
      </c>
    </row>
    <row r="2161">
      <c r="A2161" t="s">
        <v>3</v>
      </c>
      <c r="B2161" s="6" t="s">
        <v>9</v>
      </c>
      <c r="C2161" s="6" t="s">
        <v>56</v>
      </c>
      <c r="D2161" s="6" t="s">
        <v>102</v>
      </c>
      <c r="E2161" s="10" t="s">
        <v>2302</v>
      </c>
      <c r="F2161" s="6" t="s">
        <v>5014</v>
      </c>
      <c r="G2161" s="6" t="s">
        <v>81</v>
      </c>
      <c r="H2161" s="6" t="s">
        <v>6835</v>
      </c>
      <c r="I2161" s="6" t="s">
        <v>8421</v>
      </c>
      <c r="J2161" s="6" t="s">
        <v>9665</v>
      </c>
      <c r="K2161" s="6" t="s">
        <v>10886</v>
      </c>
      <c r="L2161" s="16" t="n">
        <v>42906</v>
      </c>
      <c r="M2161" s="16" t="n">
        <v>45748</v>
      </c>
      <c r="N2161" s="6" t="s">
        <v>10886</v>
      </c>
      <c r="O2161" s="16" t="n">
        <v>42906</v>
      </c>
      <c r="P2161" s="6" t="s">
        <v>12108</v>
      </c>
      <c r="Q2161" s="6" t="s">
        <v>81</v>
      </c>
      <c r="R2161" s="6" t="s">
        <v>13012</v>
      </c>
      <c r="S2161" s="6" t="s">
        <v>10886</v>
      </c>
      <c r="T2161" s="16" t="n">
        <v>42906</v>
      </c>
      <c r="U2161" s="6" t="s">
        <v>13168</v>
      </c>
      <c r="V2161" s="6" t="s">
        <v>81</v>
      </c>
      <c r="W2161" s="6" t="s">
        <v>13012</v>
      </c>
      <c r="X2161" s="6" t="s">
        <v>81</v>
      </c>
      <c r="Y2161" s="21" t="s">
        <v>81</v>
      </c>
      <c r="Z2161" s="6" t="s">
        <v>81</v>
      </c>
      <c r="AA2161" s="6" t="s">
        <v>81</v>
      </c>
      <c r="AB2161" s="6" t="s">
        <v>81</v>
      </c>
      <c r="AC2161" s="6" t="s">
        <v>81</v>
      </c>
      <c r="AD2161" s="21" t="s">
        <v>81</v>
      </c>
      <c r="AE2161" s="6" t="s">
        <v>81</v>
      </c>
      <c r="AF2161" s="6" t="s">
        <v>81</v>
      </c>
      <c r="AG2161" s="6" t="s">
        <v>81</v>
      </c>
      <c r="AH2161" s="6" t="s">
        <v>16710</v>
      </c>
      <c r="AI2161" s="6" t="s">
        <v>81</v>
      </c>
      <c r="AJ2161" s="6" t="s">
        <v>17786</v>
      </c>
      <c r="AK2161" s="6" t="s">
        <v>18378</v>
      </c>
      <c r="AL2161" s="6" t="s">
        <v>18444</v>
      </c>
      <c r="AM2161" s="6" t="s">
        <v>18961</v>
      </c>
      <c r="AN2161" s="6" t="s">
        <v>19684</v>
      </c>
      <c r="AO2161" s="6" t="s">
        <v>20007</v>
      </c>
      <c r="AP2161" s="6" t="s">
        <v>81</v>
      </c>
      <c r="AQ2161" s="6" t="s">
        <v>81</v>
      </c>
      <c r="AR2161" s="6" t="s">
        <v>81</v>
      </c>
      <c r="AS2161" s="6" t="s">
        <v>81</v>
      </c>
      <c r="AT2161" s="6" t="s">
        <v>81</v>
      </c>
      <c r="AU2161" s="6" t="s">
        <v>81</v>
      </c>
      <c r="AV2161" s="6" t="s">
        <v>81</v>
      </c>
      <c r="AW2161" s="6" t="s">
        <v>81</v>
      </c>
      <c r="AX2161" s="6" t="s">
        <v>81</v>
      </c>
      <c r="AY2161" s="6" t="s">
        <v>81</v>
      </c>
      <c r="AZ2161" s="6" t="s">
        <v>81</v>
      </c>
      <c r="BA2161" s="6" t="s">
        <v>81</v>
      </c>
      <c r="BB2161" s="24" t="n">
        <v>75</v>
      </c>
      <c r="BC2161" s="26"/>
      <c r="BD2161" s="26"/>
      <c r="BE2161" s="26"/>
      <c r="BF2161" s="26"/>
      <c r="BG2161" s="26"/>
      <c r="BH2161" s="26"/>
      <c r="BI2161" s="26"/>
      <c r="BJ2161" s="26"/>
      <c r="BK2161" s="26"/>
      <c r="BL2161" s="26"/>
      <c r="BM2161" s="26"/>
      <c r="BN2161" s="26"/>
      <c r="BO2161" s="26"/>
      <c r="BP2161" s="16" t="n">
        <v>45738</v>
      </c>
      <c r="BQ2161" s="28" t="str">
        <f>HYPERLINK("https://organic.ams.usda.gov/Integrity/Certificate.aspx?cid=52&amp;nopid=8431701386")</f>
        <v>https://organic.ams.usda.gov/Integrity/Certificate.aspx?cid=52&amp;nopid=8431701386</v>
      </c>
    </row>
    <row r="2162">
      <c r="A2162" t="s">
        <v>3</v>
      </c>
      <c r="B2162" s="6" t="s">
        <v>9</v>
      </c>
      <c r="C2162" s="6" t="s">
        <v>56</v>
      </c>
      <c r="D2162" s="6" t="s">
        <v>102</v>
      </c>
      <c r="E2162" s="10" t="s">
        <v>2303</v>
      </c>
      <c r="F2162" s="6" t="s">
        <v>5014</v>
      </c>
      <c r="G2162" s="6" t="s">
        <v>81</v>
      </c>
      <c r="H2162" s="6" t="s">
        <v>7865</v>
      </c>
      <c r="I2162" s="6" t="s">
        <v>8421</v>
      </c>
      <c r="J2162" s="6" t="s">
        <v>9665</v>
      </c>
      <c r="K2162" s="6" t="s">
        <v>10886</v>
      </c>
      <c r="L2162" s="16" t="n">
        <v>43010</v>
      </c>
      <c r="M2162" s="16" t="n">
        <v>46113</v>
      </c>
      <c r="N2162" s="6" t="s">
        <v>10886</v>
      </c>
      <c r="O2162" s="16" t="n">
        <v>43010</v>
      </c>
      <c r="P2162" s="6" t="s">
        <v>12109</v>
      </c>
      <c r="Q2162" s="6" t="s">
        <v>81</v>
      </c>
      <c r="R2162" s="6" t="s">
        <v>13013</v>
      </c>
      <c r="S2162" s="6" t="s">
        <v>10886</v>
      </c>
      <c r="T2162" s="16" t="n">
        <v>43010</v>
      </c>
      <c r="U2162" s="6" t="s">
        <v>13223</v>
      </c>
      <c r="V2162" s="6" t="s">
        <v>81</v>
      </c>
      <c r="W2162" s="6" t="s">
        <v>13013</v>
      </c>
      <c r="X2162" s="6" t="s">
        <v>81</v>
      </c>
      <c r="Y2162" s="21" t="s">
        <v>81</v>
      </c>
      <c r="Z2162" s="6" t="s">
        <v>81</v>
      </c>
      <c r="AA2162" s="6" t="s">
        <v>81</v>
      </c>
      <c r="AB2162" s="6" t="s">
        <v>81</v>
      </c>
      <c r="AC2162" s="6" t="s">
        <v>81</v>
      </c>
      <c r="AD2162" s="21" t="s">
        <v>81</v>
      </c>
      <c r="AE2162" s="6" t="s">
        <v>81</v>
      </c>
      <c r="AF2162" s="6" t="s">
        <v>81</v>
      </c>
      <c r="AG2162" s="6" t="s">
        <v>81</v>
      </c>
      <c r="AH2162" s="6" t="s">
        <v>16711</v>
      </c>
      <c r="AI2162" s="6" t="s">
        <v>81</v>
      </c>
      <c r="AJ2162" s="6" t="s">
        <v>17392</v>
      </c>
      <c r="AK2162" s="6" t="s">
        <v>18379</v>
      </c>
      <c r="AL2162" s="6" t="s">
        <v>18444</v>
      </c>
      <c r="AM2162" s="6" t="s">
        <v>18548</v>
      </c>
      <c r="AN2162" s="6" t="s">
        <v>19637</v>
      </c>
      <c r="AO2162" s="6" t="s">
        <v>19723</v>
      </c>
      <c r="AP2162" s="6" t="s">
        <v>81</v>
      </c>
      <c r="AQ2162" s="6" t="s">
        <v>81</v>
      </c>
      <c r="AR2162" s="6" t="s">
        <v>81</v>
      </c>
      <c r="AS2162" s="6" t="s">
        <v>81</v>
      </c>
      <c r="AT2162" s="6" t="s">
        <v>81</v>
      </c>
      <c r="AU2162" s="6" t="s">
        <v>81</v>
      </c>
      <c r="AV2162" s="6" t="s">
        <v>81</v>
      </c>
      <c r="AW2162" s="6" t="s">
        <v>81</v>
      </c>
      <c r="AX2162" s="6" t="s">
        <v>81</v>
      </c>
      <c r="AY2162" s="6" t="s">
        <v>81</v>
      </c>
      <c r="AZ2162" s="6" t="s">
        <v>81</v>
      </c>
      <c r="BA2162" s="6" t="s">
        <v>81</v>
      </c>
      <c r="BB2162" s="24" t="n">
        <v>90</v>
      </c>
      <c r="BC2162" s="26"/>
      <c r="BD2162" s="26"/>
      <c r="BE2162" s="26"/>
      <c r="BF2162" s="26"/>
      <c r="BG2162" s="26"/>
      <c r="BH2162" s="26"/>
      <c r="BI2162" s="26"/>
      <c r="BJ2162" s="26"/>
      <c r="BK2162" s="26"/>
      <c r="BL2162" s="26"/>
      <c r="BM2162" s="26"/>
      <c r="BN2162" s="26"/>
      <c r="BO2162" s="26"/>
      <c r="BP2162" s="16" t="n">
        <v>45738</v>
      </c>
      <c r="BQ2162" s="28" t="str">
        <f>HYPERLINK("https://organic.ams.usda.gov/Integrity/Certificate.aspx?cid=52&amp;nopid=8431701329")</f>
        <v>https://organic.ams.usda.gov/Integrity/Certificate.aspx?cid=52&amp;nopid=8431701329</v>
      </c>
    </row>
    <row r="2163">
      <c r="A2163" t="s">
        <v>3</v>
      </c>
      <c r="B2163" s="6" t="s">
        <v>30</v>
      </c>
      <c r="C2163" s="6" t="s">
        <v>77</v>
      </c>
      <c r="D2163" s="6" t="s">
        <v>123</v>
      </c>
      <c r="E2163" s="10" t="s">
        <v>2304</v>
      </c>
      <c r="F2163" s="6" t="s">
        <v>5015</v>
      </c>
      <c r="G2163" s="6" t="s">
        <v>81</v>
      </c>
      <c r="H2163" s="6" t="s">
        <v>7866</v>
      </c>
      <c r="I2163" s="6" t="s">
        <v>9446</v>
      </c>
      <c r="J2163" s="6" t="s">
        <v>9718</v>
      </c>
      <c r="K2163" s="6" t="s">
        <v>10886</v>
      </c>
      <c r="L2163" s="16" t="n">
        <v>41445</v>
      </c>
      <c r="M2163" s="16" t="n">
        <v>45747</v>
      </c>
      <c r="N2163" s="6" t="s">
        <v>10886</v>
      </c>
      <c r="O2163" s="16" t="n">
        <v>41445</v>
      </c>
      <c r="P2163" s="6" t="s">
        <v>12110</v>
      </c>
      <c r="Q2163" s="6" t="s">
        <v>81</v>
      </c>
      <c r="R2163" s="6" t="s">
        <v>13014</v>
      </c>
      <c r="S2163" s="6" t="s">
        <v>10886</v>
      </c>
      <c r="T2163" s="16" t="n">
        <v>41445</v>
      </c>
      <c r="U2163" s="6" t="s">
        <v>13216</v>
      </c>
      <c r="V2163" s="6" t="s">
        <v>81</v>
      </c>
      <c r="W2163" s="6" t="s">
        <v>7866</v>
      </c>
      <c r="X2163" s="6" t="s">
        <v>81</v>
      </c>
      <c r="Y2163" s="21" t="s">
        <v>81</v>
      </c>
      <c r="Z2163" s="6" t="s">
        <v>81</v>
      </c>
      <c r="AA2163" s="6" t="s">
        <v>81</v>
      </c>
      <c r="AB2163" s="6" t="s">
        <v>81</v>
      </c>
      <c r="AC2163" s="6" t="s">
        <v>10893</v>
      </c>
      <c r="AD2163" s="16" t="n">
        <v>45330</v>
      </c>
      <c r="AE2163" s="6" t="s">
        <v>81</v>
      </c>
      <c r="AF2163" s="6" t="s">
        <v>81</v>
      </c>
      <c r="AG2163" s="6" t="s">
        <v>81</v>
      </c>
      <c r="AH2163" s="6" t="s">
        <v>16712</v>
      </c>
      <c r="AI2163" s="6" t="s">
        <v>81</v>
      </c>
      <c r="AJ2163" s="6" t="s">
        <v>17885</v>
      </c>
      <c r="AK2163" s="6" t="s">
        <v>17712</v>
      </c>
      <c r="AL2163" s="6" t="s">
        <v>18444</v>
      </c>
      <c r="AM2163" s="6" t="s">
        <v>19070</v>
      </c>
      <c r="AN2163" s="6" t="s">
        <v>19652</v>
      </c>
      <c r="AO2163" s="6" t="s">
        <v>19742</v>
      </c>
      <c r="AP2163" s="6" t="s">
        <v>16712</v>
      </c>
      <c r="AQ2163" s="6" t="s">
        <v>81</v>
      </c>
      <c r="AR2163" s="6" t="s">
        <v>17885</v>
      </c>
      <c r="AS2163" s="6" t="s">
        <v>17712</v>
      </c>
      <c r="AT2163" s="6" t="s">
        <v>18444</v>
      </c>
      <c r="AU2163" s="6" t="s">
        <v>19070</v>
      </c>
      <c r="AV2163" s="6" t="s">
        <v>81</v>
      </c>
      <c r="AW2163" s="6" t="s">
        <v>81</v>
      </c>
      <c r="AX2163" s="6" t="s">
        <v>81</v>
      </c>
      <c r="AY2163" s="6" t="s">
        <v>81</v>
      </c>
      <c r="AZ2163" s="6" t="s">
        <v>81</v>
      </c>
      <c r="BA2163" s="6" t="s">
        <v>81</v>
      </c>
      <c r="BB2163" s="24" t="n">
        <v>124</v>
      </c>
      <c r="BC2163" s="26"/>
      <c r="BD2163" s="26"/>
      <c r="BE2163" s="26"/>
      <c r="BF2163" s="26"/>
      <c r="BG2163" s="26"/>
      <c r="BH2163" s="26"/>
      <c r="BI2163" s="26"/>
      <c r="BJ2163" s="26"/>
      <c r="BK2163" s="26"/>
      <c r="BL2163" s="26"/>
      <c r="BM2163" s="26"/>
      <c r="BN2163" s="26"/>
      <c r="BO2163" s="26"/>
      <c r="BP2163" s="16" t="n">
        <v>45684</v>
      </c>
      <c r="BQ2163" s="28" t="str">
        <f>HYPERLINK("https://organic.ams.usda.gov/Integrity/Certificate.aspx?cid=70&amp;nopid=6431365000")</f>
        <v>https://organic.ams.usda.gov/Integrity/Certificate.aspx?cid=70&amp;nopid=6431365000</v>
      </c>
    </row>
    <row r="2164">
      <c r="A2164" t="s">
        <v>3</v>
      </c>
      <c r="B2164" s="6" t="s">
        <v>9</v>
      </c>
      <c r="C2164" s="6" t="s">
        <v>56</v>
      </c>
      <c r="D2164" s="6" t="s">
        <v>102</v>
      </c>
      <c r="E2164" s="10" t="s">
        <v>2305</v>
      </c>
      <c r="F2164" s="6" t="s">
        <v>5016</v>
      </c>
      <c r="G2164" s="6" t="s">
        <v>81</v>
      </c>
      <c r="H2164" s="6" t="s">
        <v>7867</v>
      </c>
      <c r="I2164" s="6" t="s">
        <v>8421</v>
      </c>
      <c r="J2164" s="6" t="s">
        <v>10372</v>
      </c>
      <c r="K2164" s="6" t="s">
        <v>10886</v>
      </c>
      <c r="L2164" s="16" t="n">
        <v>43314</v>
      </c>
      <c r="M2164" s="16" t="n">
        <v>45748</v>
      </c>
      <c r="N2164" s="6" t="s">
        <v>10886</v>
      </c>
      <c r="O2164" s="16" t="n">
        <v>43314</v>
      </c>
      <c r="P2164" s="6" t="s">
        <v>11550</v>
      </c>
      <c r="Q2164" s="6" t="s">
        <v>81</v>
      </c>
      <c r="R2164" s="6" t="s">
        <v>13015</v>
      </c>
      <c r="S2164" s="6" t="s">
        <v>10886</v>
      </c>
      <c r="T2164" s="16" t="n">
        <v>43314</v>
      </c>
      <c r="U2164" s="6" t="s">
        <v>13808</v>
      </c>
      <c r="V2164" s="6" t="s">
        <v>81</v>
      </c>
      <c r="W2164" s="6" t="s">
        <v>13015</v>
      </c>
      <c r="X2164" s="6" t="s">
        <v>81</v>
      </c>
      <c r="Y2164" s="21" t="s">
        <v>81</v>
      </c>
      <c r="Z2164" s="6" t="s">
        <v>81</v>
      </c>
      <c r="AA2164" s="6" t="s">
        <v>81</v>
      </c>
      <c r="AB2164" s="6" t="s">
        <v>81</v>
      </c>
      <c r="AC2164" s="6" t="s">
        <v>81</v>
      </c>
      <c r="AD2164" s="21" t="s">
        <v>81</v>
      </c>
      <c r="AE2164" s="6" t="s">
        <v>81</v>
      </c>
      <c r="AF2164" s="6" t="s">
        <v>81</v>
      </c>
      <c r="AG2164" s="6" t="s">
        <v>81</v>
      </c>
      <c r="AH2164" s="6" t="s">
        <v>16713</v>
      </c>
      <c r="AI2164" s="6" t="s">
        <v>81</v>
      </c>
      <c r="AJ2164" s="6" t="s">
        <v>18233</v>
      </c>
      <c r="AK2164" s="6" t="s">
        <v>18378</v>
      </c>
      <c r="AL2164" s="6" t="s">
        <v>18444</v>
      </c>
      <c r="AM2164" s="6" t="s">
        <v>19449</v>
      </c>
      <c r="AN2164" s="6" t="s">
        <v>19639</v>
      </c>
      <c r="AO2164" s="6" t="s">
        <v>19768</v>
      </c>
      <c r="AP2164" s="6" t="s">
        <v>81</v>
      </c>
      <c r="AQ2164" s="6" t="s">
        <v>81</v>
      </c>
      <c r="AR2164" s="6" t="s">
        <v>81</v>
      </c>
      <c r="AS2164" s="6" t="s">
        <v>81</v>
      </c>
      <c r="AT2164" s="6" t="s">
        <v>81</v>
      </c>
      <c r="AU2164" s="6" t="s">
        <v>81</v>
      </c>
      <c r="AV2164" s="6" t="s">
        <v>81</v>
      </c>
      <c r="AW2164" s="6" t="s">
        <v>81</v>
      </c>
      <c r="AX2164" s="6" t="s">
        <v>81</v>
      </c>
      <c r="AY2164" s="6" t="s">
        <v>81</v>
      </c>
      <c r="AZ2164" s="6" t="s">
        <v>81</v>
      </c>
      <c r="BA2164" s="6" t="s">
        <v>81</v>
      </c>
      <c r="BB2164" s="24" t="n">
        <v>76</v>
      </c>
      <c r="BC2164" s="26"/>
      <c r="BD2164" s="26"/>
      <c r="BE2164" s="26"/>
      <c r="BF2164" s="26"/>
      <c r="BG2164" s="26"/>
      <c r="BH2164" s="26"/>
      <c r="BI2164" s="26"/>
      <c r="BJ2164" s="26"/>
      <c r="BK2164" s="26"/>
      <c r="BL2164" s="26"/>
      <c r="BM2164" s="26"/>
      <c r="BN2164" s="26"/>
      <c r="BO2164" s="26"/>
      <c r="BP2164" s="16" t="n">
        <v>45738</v>
      </c>
      <c r="BQ2164" s="28" t="str">
        <f>HYPERLINK("https://organic.ams.usda.gov/Integrity/Certificate.aspx?cid=52&amp;nopid=8431801466")</f>
        <v>https://organic.ams.usda.gov/Integrity/Certificate.aspx?cid=52&amp;nopid=8431801466</v>
      </c>
    </row>
    <row r="2165">
      <c r="A2165" t="s">
        <v>3</v>
      </c>
      <c r="B2165" s="6" t="s">
        <v>8</v>
      </c>
      <c r="C2165" s="6" t="s">
        <v>55</v>
      </c>
      <c r="D2165" s="6" t="s">
        <v>101</v>
      </c>
      <c r="E2165" s="10" t="s">
        <v>2306</v>
      </c>
      <c r="F2165" s="6" t="s">
        <v>5017</v>
      </c>
      <c r="G2165" s="6" t="s">
        <v>81</v>
      </c>
      <c r="H2165" s="6" t="s">
        <v>7868</v>
      </c>
      <c r="I2165" s="6" t="s">
        <v>8421</v>
      </c>
      <c r="J2165" s="6" t="s">
        <v>9665</v>
      </c>
      <c r="K2165" s="6" t="s">
        <v>10886</v>
      </c>
      <c r="L2165" s="16" t="n">
        <v>39990</v>
      </c>
      <c r="M2165" s="16" t="n">
        <v>45748</v>
      </c>
      <c r="N2165" s="6" t="s">
        <v>10886</v>
      </c>
      <c r="O2165" s="16" t="n">
        <v>39990</v>
      </c>
      <c r="P2165" s="6" t="s">
        <v>12111</v>
      </c>
      <c r="Q2165" s="6" t="s">
        <v>81</v>
      </c>
      <c r="R2165" s="6" t="s">
        <v>7868</v>
      </c>
      <c r="S2165" s="6" t="s">
        <v>10886</v>
      </c>
      <c r="T2165" s="16" t="n">
        <v>39990</v>
      </c>
      <c r="U2165" s="6" t="s">
        <v>13179</v>
      </c>
      <c r="V2165" s="6" t="s">
        <v>81</v>
      </c>
      <c r="W2165" s="6" t="s">
        <v>7868</v>
      </c>
      <c r="X2165" s="6" t="s">
        <v>81</v>
      </c>
      <c r="Y2165" s="21" t="s">
        <v>81</v>
      </c>
      <c r="Z2165" s="6" t="s">
        <v>81</v>
      </c>
      <c r="AA2165" s="6" t="s">
        <v>81</v>
      </c>
      <c r="AB2165" s="6" t="s">
        <v>81</v>
      </c>
      <c r="AC2165" s="6" t="s">
        <v>81</v>
      </c>
      <c r="AD2165" s="21" t="s">
        <v>81</v>
      </c>
      <c r="AE2165" s="6" t="s">
        <v>81</v>
      </c>
      <c r="AF2165" s="6" t="s">
        <v>81</v>
      </c>
      <c r="AG2165" s="6" t="s">
        <v>81</v>
      </c>
      <c r="AH2165" s="6" t="s">
        <v>16714</v>
      </c>
      <c r="AI2165" s="6" t="s">
        <v>81</v>
      </c>
      <c r="AJ2165" s="6" t="s">
        <v>17418</v>
      </c>
      <c r="AK2165" s="6" t="s">
        <v>18379</v>
      </c>
      <c r="AL2165" s="6" t="s">
        <v>18444</v>
      </c>
      <c r="AM2165" s="6" t="s">
        <v>18575</v>
      </c>
      <c r="AN2165" s="6" t="s">
        <v>19671</v>
      </c>
      <c r="AO2165" s="6" t="s">
        <v>19784</v>
      </c>
      <c r="AP2165" s="6" t="s">
        <v>81</v>
      </c>
      <c r="AQ2165" s="6" t="s">
        <v>81</v>
      </c>
      <c r="AR2165" s="6" t="s">
        <v>81</v>
      </c>
      <c r="AS2165" s="6" t="s">
        <v>81</v>
      </c>
      <c r="AT2165" s="6" t="s">
        <v>81</v>
      </c>
      <c r="AU2165" s="6" t="s">
        <v>81</v>
      </c>
      <c r="AV2165" s="6" t="s">
        <v>81</v>
      </c>
      <c r="AW2165" s="6" t="s">
        <v>81</v>
      </c>
      <c r="AX2165" s="6" t="s">
        <v>81</v>
      </c>
      <c r="AY2165" s="6" t="s">
        <v>81</v>
      </c>
      <c r="AZ2165" s="6" t="s">
        <v>81</v>
      </c>
      <c r="BA2165" s="6" t="s">
        <v>23819</v>
      </c>
      <c r="BB2165" s="24" t="n">
        <v>99</v>
      </c>
      <c r="BC2165" s="26"/>
      <c r="BD2165" s="26"/>
      <c r="BE2165" s="26"/>
      <c r="BF2165" s="26" t="s">
        <v>23900</v>
      </c>
      <c r="BG2165" s="26"/>
      <c r="BH2165" s="26"/>
      <c r="BI2165" s="26"/>
      <c r="BJ2165" s="26"/>
      <c r="BK2165" s="26"/>
      <c r="BL2165" s="26"/>
      <c r="BM2165" s="26"/>
      <c r="BN2165" s="26"/>
      <c r="BO2165" s="26"/>
      <c r="BP2165" s="16" t="n">
        <v>45643</v>
      </c>
      <c r="BQ2165" s="28" t="str">
        <f>HYPERLINK("https://organic.ams.usda.gov/Integrity/Certificate.aspx?cid=45&amp;nopid=9950003354")</f>
        <v>https://organic.ams.usda.gov/Integrity/Certificate.aspx?cid=45&amp;nopid=9950003354</v>
      </c>
    </row>
    <row r="2166">
      <c r="A2166" t="s">
        <v>3</v>
      </c>
      <c r="B2166" s="6" t="s">
        <v>8</v>
      </c>
      <c r="C2166" s="6" t="s">
        <v>55</v>
      </c>
      <c r="D2166" s="6" t="s">
        <v>101</v>
      </c>
      <c r="E2166" s="10" t="s">
        <v>2307</v>
      </c>
      <c r="F2166" s="6" t="s">
        <v>5018</v>
      </c>
      <c r="G2166" s="6" t="s">
        <v>81</v>
      </c>
      <c r="H2166" s="6" t="s">
        <v>7869</v>
      </c>
      <c r="I2166" s="6" t="s">
        <v>8964</v>
      </c>
      <c r="J2166" s="6" t="s">
        <v>10643</v>
      </c>
      <c r="K2166" s="6" t="s">
        <v>10886</v>
      </c>
      <c r="L2166" s="16" t="n">
        <v>38631</v>
      </c>
      <c r="M2166" s="16" t="n">
        <v>45748</v>
      </c>
      <c r="N2166" s="6" t="s">
        <v>10886</v>
      </c>
      <c r="O2166" s="16" t="n">
        <v>38631</v>
      </c>
      <c r="P2166" s="6" t="s">
        <v>12112</v>
      </c>
      <c r="Q2166" s="6" t="s">
        <v>81</v>
      </c>
      <c r="R2166" s="6" t="s">
        <v>7869</v>
      </c>
      <c r="S2166" s="6" t="s">
        <v>10886</v>
      </c>
      <c r="T2166" s="16" t="n">
        <v>38631</v>
      </c>
      <c r="U2166" s="6" t="s">
        <v>13758</v>
      </c>
      <c r="V2166" s="6" t="s">
        <v>81</v>
      </c>
      <c r="W2166" s="6" t="s">
        <v>7869</v>
      </c>
      <c r="X2166" s="6" t="s">
        <v>81</v>
      </c>
      <c r="Y2166" s="21" t="s">
        <v>81</v>
      </c>
      <c r="Z2166" s="6" t="s">
        <v>81</v>
      </c>
      <c r="AA2166" s="6" t="s">
        <v>81</v>
      </c>
      <c r="AB2166" s="6" t="s">
        <v>81</v>
      </c>
      <c r="AC2166" s="6" t="s">
        <v>81</v>
      </c>
      <c r="AD2166" s="21" t="s">
        <v>81</v>
      </c>
      <c r="AE2166" s="6" t="s">
        <v>81</v>
      </c>
      <c r="AF2166" s="6" t="s">
        <v>81</v>
      </c>
      <c r="AG2166" s="6" t="s">
        <v>81</v>
      </c>
      <c r="AH2166" s="6" t="s">
        <v>16715</v>
      </c>
      <c r="AI2166" s="6" t="s">
        <v>81</v>
      </c>
      <c r="AJ2166" s="6" t="s">
        <v>17516</v>
      </c>
      <c r="AK2166" s="6" t="s">
        <v>18377</v>
      </c>
      <c r="AL2166" s="6" t="s">
        <v>18444</v>
      </c>
      <c r="AM2166" s="6" t="s">
        <v>18681</v>
      </c>
      <c r="AN2166" s="6" t="s">
        <v>19657</v>
      </c>
      <c r="AO2166" s="6" t="s">
        <v>19831</v>
      </c>
      <c r="AP2166" s="6" t="s">
        <v>81</v>
      </c>
      <c r="AQ2166" s="6" t="s">
        <v>81</v>
      </c>
      <c r="AR2166" s="6" t="s">
        <v>81</v>
      </c>
      <c r="AS2166" s="6" t="s">
        <v>81</v>
      </c>
      <c r="AT2166" s="6" t="s">
        <v>81</v>
      </c>
      <c r="AU2166" s="6" t="s">
        <v>81</v>
      </c>
      <c r="AV2166" s="6" t="s">
        <v>81</v>
      </c>
      <c r="AW2166" s="6" t="s">
        <v>81</v>
      </c>
      <c r="AX2166" s="6" t="s">
        <v>81</v>
      </c>
      <c r="AY2166" s="6" t="s">
        <v>81</v>
      </c>
      <c r="AZ2166" s="6" t="s">
        <v>81</v>
      </c>
      <c r="BA2166" s="6" t="s">
        <v>23824</v>
      </c>
      <c r="BB2166" s="24" t="n">
        <v>445</v>
      </c>
      <c r="BC2166" s="26"/>
      <c r="BD2166" s="26"/>
      <c r="BE2166" s="26"/>
      <c r="BF2166" s="26" t="s">
        <v>23900</v>
      </c>
      <c r="BG2166" s="26"/>
      <c r="BH2166" s="26"/>
      <c r="BI2166" s="26"/>
      <c r="BJ2166" s="26"/>
      <c r="BK2166" s="26"/>
      <c r="BL2166" s="26"/>
      <c r="BM2166" s="26"/>
      <c r="BN2166" s="26"/>
      <c r="BO2166" s="26"/>
      <c r="BP2166" s="16" t="n">
        <v>45600</v>
      </c>
      <c r="BQ2166" s="28" t="str">
        <f>HYPERLINK("https://organic.ams.usda.gov/Integrity/Certificate.aspx?cid=45&amp;nopid=9950002052")</f>
        <v>https://organic.ams.usda.gov/Integrity/Certificate.aspx?cid=45&amp;nopid=9950002052</v>
      </c>
    </row>
    <row r="2167">
      <c r="A2167" t="s">
        <v>3</v>
      </c>
      <c r="B2167" s="6" t="s">
        <v>7</v>
      </c>
      <c r="C2167" s="6" t="s">
        <v>54</v>
      </c>
      <c r="D2167" s="6" t="s">
        <v>100</v>
      </c>
      <c r="E2167" s="10" t="s">
        <v>2308</v>
      </c>
      <c r="F2167" s="6" t="s">
        <v>5019</v>
      </c>
      <c r="G2167" s="6" t="s">
        <v>81</v>
      </c>
      <c r="H2167" s="6" t="s">
        <v>7870</v>
      </c>
      <c r="I2167" s="6" t="s">
        <v>8439</v>
      </c>
      <c r="J2167" s="6" t="s">
        <v>10644</v>
      </c>
      <c r="K2167" s="6" t="s">
        <v>10886</v>
      </c>
      <c r="L2167" s="16" t="n">
        <v>39975</v>
      </c>
      <c r="M2167" s="16" t="n">
        <v>45716</v>
      </c>
      <c r="N2167" s="6" t="s">
        <v>10886</v>
      </c>
      <c r="O2167" s="16" t="n">
        <v>39975</v>
      </c>
      <c r="P2167" s="6" t="s">
        <v>10910</v>
      </c>
      <c r="Q2167" s="6" t="s">
        <v>81</v>
      </c>
      <c r="R2167" s="6" t="s">
        <v>81</v>
      </c>
      <c r="S2167" s="6" t="s">
        <v>10886</v>
      </c>
      <c r="T2167" s="16" t="n">
        <v>39975</v>
      </c>
      <c r="U2167" s="6" t="s">
        <v>13809</v>
      </c>
      <c r="V2167" s="6" t="s">
        <v>81</v>
      </c>
      <c r="W2167" s="6" t="s">
        <v>81</v>
      </c>
      <c r="X2167" s="6" t="s">
        <v>81</v>
      </c>
      <c r="Y2167" s="21" t="s">
        <v>81</v>
      </c>
      <c r="Z2167" s="6" t="s">
        <v>81</v>
      </c>
      <c r="AA2167" s="6" t="s">
        <v>81</v>
      </c>
      <c r="AB2167" s="6" t="s">
        <v>81</v>
      </c>
      <c r="AC2167" s="6" t="s">
        <v>81</v>
      </c>
      <c r="AD2167" s="21" t="s">
        <v>81</v>
      </c>
      <c r="AE2167" s="6" t="s">
        <v>81</v>
      </c>
      <c r="AF2167" s="6" t="s">
        <v>81</v>
      </c>
      <c r="AG2167" s="6" t="s">
        <v>81</v>
      </c>
      <c r="AH2167" s="6" t="s">
        <v>16716</v>
      </c>
      <c r="AI2167" s="6" t="s">
        <v>81</v>
      </c>
      <c r="AJ2167" s="6" t="s">
        <v>17383</v>
      </c>
      <c r="AK2167" s="6" t="s">
        <v>17712</v>
      </c>
      <c r="AL2167" s="6" t="s">
        <v>18444</v>
      </c>
      <c r="AM2167" s="6" t="s">
        <v>18537</v>
      </c>
      <c r="AN2167" s="6" t="s">
        <v>19653</v>
      </c>
      <c r="AO2167" s="6" t="s">
        <v>19744</v>
      </c>
      <c r="AP2167" s="6" t="s">
        <v>16716</v>
      </c>
      <c r="AQ2167" s="6" t="s">
        <v>81</v>
      </c>
      <c r="AR2167" s="6" t="s">
        <v>17383</v>
      </c>
      <c r="AS2167" s="6" t="s">
        <v>17712</v>
      </c>
      <c r="AT2167" s="6" t="s">
        <v>18444</v>
      </c>
      <c r="AU2167" s="6" t="s">
        <v>18537</v>
      </c>
      <c r="AV2167" s="6" t="s">
        <v>81</v>
      </c>
      <c r="AW2167" s="6" t="s">
        <v>81</v>
      </c>
      <c r="AX2167" s="6" t="s">
        <v>22173</v>
      </c>
      <c r="AY2167" s="6" t="s">
        <v>81</v>
      </c>
      <c r="AZ2167" s="6" t="s">
        <v>81</v>
      </c>
      <c r="BA2167" s="6" t="s">
        <v>81</v>
      </c>
      <c r="BB2167" s="24" t="n">
        <v>243</v>
      </c>
      <c r="BC2167" s="26"/>
      <c r="BD2167" s="26"/>
      <c r="BE2167" s="26"/>
      <c r="BF2167" s="26" t="s">
        <v>23900</v>
      </c>
      <c r="BG2167" s="26"/>
      <c r="BH2167" s="26"/>
      <c r="BI2167" s="26"/>
      <c r="BJ2167" s="26"/>
      <c r="BK2167" s="26"/>
      <c r="BL2167" s="26"/>
      <c r="BM2167" s="26"/>
      <c r="BN2167" s="26"/>
      <c r="BO2167" s="26"/>
      <c r="BP2167" s="16" t="n">
        <v>45707</v>
      </c>
      <c r="BQ2167" s="28" t="str">
        <f>HYPERLINK("https://organic.ams.usda.gov/Integrity/Certificate.aspx?cid=57&amp;nopid=3252009013")</f>
        <v>https://organic.ams.usda.gov/Integrity/Certificate.aspx?cid=57&amp;nopid=3252009013</v>
      </c>
    </row>
    <row r="2168">
      <c r="A2168" t="s">
        <v>3</v>
      </c>
      <c r="B2168" s="6" t="s">
        <v>24</v>
      </c>
      <c r="C2168" s="6" t="s">
        <v>71</v>
      </c>
      <c r="D2168" s="6" t="s">
        <v>117</v>
      </c>
      <c r="E2168" s="10" t="s">
        <v>2309</v>
      </c>
      <c r="F2168" s="6" t="s">
        <v>5020</v>
      </c>
      <c r="G2168" s="6" t="s">
        <v>81</v>
      </c>
      <c r="H2168" s="6" t="s">
        <v>81</v>
      </c>
      <c r="I2168" s="6" t="s">
        <v>8628</v>
      </c>
      <c r="J2168" s="6" t="s">
        <v>10645</v>
      </c>
      <c r="K2168" s="6" t="s">
        <v>10886</v>
      </c>
      <c r="L2168" s="16" t="n">
        <v>44546</v>
      </c>
      <c r="M2168" s="16" t="n">
        <v>45901</v>
      </c>
      <c r="N2168" s="6" t="s">
        <v>10886</v>
      </c>
      <c r="O2168" s="16" t="n">
        <v>44546</v>
      </c>
      <c r="P2168" s="6" t="s">
        <v>11031</v>
      </c>
      <c r="Q2168" s="6" t="s">
        <v>81</v>
      </c>
      <c r="R2168" s="6" t="s">
        <v>13016</v>
      </c>
      <c r="S2168" s="6" t="s">
        <v>10886</v>
      </c>
      <c r="T2168" s="16" t="n">
        <v>44546</v>
      </c>
      <c r="U2168" s="6" t="s">
        <v>13810</v>
      </c>
      <c r="V2168" s="6" t="s">
        <v>81</v>
      </c>
      <c r="W2168" s="6" t="s">
        <v>81</v>
      </c>
      <c r="X2168" s="6" t="s">
        <v>81</v>
      </c>
      <c r="Y2168" s="21" t="s">
        <v>81</v>
      </c>
      <c r="Z2168" s="6" t="s">
        <v>81</v>
      </c>
      <c r="AA2168" s="6" t="s">
        <v>81</v>
      </c>
      <c r="AB2168" s="6" t="s">
        <v>81</v>
      </c>
      <c r="AC2168" s="6" t="s">
        <v>10886</v>
      </c>
      <c r="AD2168" s="16" t="n">
        <v>44546</v>
      </c>
      <c r="AE2168" s="6" t="s">
        <v>14388</v>
      </c>
      <c r="AF2168" s="6" t="s">
        <v>81</v>
      </c>
      <c r="AG2168" s="6" t="s">
        <v>81</v>
      </c>
      <c r="AH2168" s="6" t="s">
        <v>16717</v>
      </c>
      <c r="AI2168" s="6" t="s">
        <v>81</v>
      </c>
      <c r="AJ2168" s="6" t="s">
        <v>17753</v>
      </c>
      <c r="AK2168" s="6" t="s">
        <v>18406</v>
      </c>
      <c r="AL2168" s="6" t="s">
        <v>18444</v>
      </c>
      <c r="AM2168" s="6" t="s">
        <v>18924</v>
      </c>
      <c r="AN2168" s="6" t="s">
        <v>19674</v>
      </c>
      <c r="AO2168" s="6" t="s">
        <v>19921</v>
      </c>
      <c r="AP2168" s="6" t="s">
        <v>16717</v>
      </c>
      <c r="AQ2168" s="6" t="s">
        <v>81</v>
      </c>
      <c r="AR2168" s="6" t="s">
        <v>17753</v>
      </c>
      <c r="AS2168" s="6" t="s">
        <v>18406</v>
      </c>
      <c r="AT2168" s="6" t="s">
        <v>18444</v>
      </c>
      <c r="AU2168" s="6" t="s">
        <v>18924</v>
      </c>
      <c r="AV2168" s="6" t="s">
        <v>81</v>
      </c>
      <c r="AW2168" s="6" t="s">
        <v>81</v>
      </c>
      <c r="AX2168" s="6" t="s">
        <v>81</v>
      </c>
      <c r="AY2168" s="6" t="s">
        <v>23317</v>
      </c>
      <c r="AZ2168" s="6" t="s">
        <v>81</v>
      </c>
      <c r="BA2168" s="6" t="s">
        <v>81</v>
      </c>
      <c r="BB2168" s="24" t="n">
        <v>565</v>
      </c>
      <c r="BC2168" s="26"/>
      <c r="BD2168" s="26"/>
      <c r="BE2168" s="26"/>
      <c r="BF2168" s="26"/>
      <c r="BG2168" s="26"/>
      <c r="BH2168" s="26"/>
      <c r="BI2168" s="26"/>
      <c r="BJ2168" s="26"/>
      <c r="BK2168" s="26"/>
      <c r="BL2168" s="26"/>
      <c r="BM2168" s="26"/>
      <c r="BN2168" s="26"/>
      <c r="BO2168" s="26"/>
      <c r="BP2168" s="16" t="n">
        <v>45721</v>
      </c>
      <c r="BQ2168" s="28" t="str">
        <f>HYPERLINK("https://organic.ams.usda.gov/Integrity/Certificate.aspx?cid=1&amp;nopid=9092130701")</f>
        <v>https://organic.ams.usda.gov/Integrity/Certificate.aspx?cid=1&amp;nopid=9092130701</v>
      </c>
    </row>
    <row r="2169">
      <c r="A2169" t="s">
        <v>3</v>
      </c>
      <c r="B2169" s="6" t="s">
        <v>13</v>
      </c>
      <c r="C2169" s="6" t="s">
        <v>60</v>
      </c>
      <c r="D2169" s="6" t="s">
        <v>106</v>
      </c>
      <c r="E2169" s="10" t="s">
        <v>2310</v>
      </c>
      <c r="F2169" s="6" t="s">
        <v>5021</v>
      </c>
      <c r="G2169" s="6" t="s">
        <v>81</v>
      </c>
      <c r="H2169" s="6" t="s">
        <v>7871</v>
      </c>
      <c r="I2169" s="6" t="s">
        <v>9447</v>
      </c>
      <c r="J2169" s="6" t="s">
        <v>10646</v>
      </c>
      <c r="K2169" s="6" t="s">
        <v>10886</v>
      </c>
      <c r="L2169" s="16" t="n">
        <v>42706</v>
      </c>
      <c r="M2169" s="16" t="n">
        <v>45748</v>
      </c>
      <c r="N2169" s="6" t="s">
        <v>81</v>
      </c>
      <c r="O2169" s="21" t="s">
        <v>81</v>
      </c>
      <c r="P2169" s="6" t="s">
        <v>81</v>
      </c>
      <c r="Q2169" s="6" t="s">
        <v>81</v>
      </c>
      <c r="R2169" s="6" t="s">
        <v>81</v>
      </c>
      <c r="S2169" s="6" t="s">
        <v>81</v>
      </c>
      <c r="T2169" s="21" t="s">
        <v>81</v>
      </c>
      <c r="U2169" s="6" t="s">
        <v>81</v>
      </c>
      <c r="V2169" s="6" t="s">
        <v>81</v>
      </c>
      <c r="W2169" s="6" t="s">
        <v>81</v>
      </c>
      <c r="X2169" s="6" t="s">
        <v>81</v>
      </c>
      <c r="Y2169" s="21" t="s">
        <v>81</v>
      </c>
      <c r="Z2169" s="6" t="s">
        <v>81</v>
      </c>
      <c r="AA2169" s="6" t="s">
        <v>81</v>
      </c>
      <c r="AB2169" s="6" t="s">
        <v>81</v>
      </c>
      <c r="AC2169" s="6" t="s">
        <v>10886</v>
      </c>
      <c r="AD2169" s="16" t="n">
        <v>42706</v>
      </c>
      <c r="AE2169" s="6" t="s">
        <v>14389</v>
      </c>
      <c r="AF2169" s="6" t="s">
        <v>81</v>
      </c>
      <c r="AG2169" s="6" t="s">
        <v>14588</v>
      </c>
      <c r="AH2169" s="6" t="s">
        <v>16718</v>
      </c>
      <c r="AI2169" s="6" t="s">
        <v>17301</v>
      </c>
      <c r="AJ2169" s="6" t="s">
        <v>17550</v>
      </c>
      <c r="AK2169" s="6" t="s">
        <v>18386</v>
      </c>
      <c r="AL2169" s="6" t="s">
        <v>18444</v>
      </c>
      <c r="AM2169" s="6" t="s">
        <v>18713</v>
      </c>
      <c r="AN2169" s="6" t="s">
        <v>19672</v>
      </c>
      <c r="AO2169" s="6" t="s">
        <v>19787</v>
      </c>
      <c r="AP2169" s="6" t="s">
        <v>16718</v>
      </c>
      <c r="AQ2169" s="6" t="s">
        <v>17301</v>
      </c>
      <c r="AR2169" s="6" t="s">
        <v>17550</v>
      </c>
      <c r="AS2169" s="6" t="s">
        <v>18386</v>
      </c>
      <c r="AT2169" s="6" t="s">
        <v>18444</v>
      </c>
      <c r="AU2169" s="6" t="s">
        <v>18713</v>
      </c>
      <c r="AV2169" s="6" t="s">
        <v>81</v>
      </c>
      <c r="AW2169" s="6" t="s">
        <v>81</v>
      </c>
      <c r="AX2169" s="6" t="s">
        <v>22174</v>
      </c>
      <c r="AY2169" s="6" t="s">
        <v>23318</v>
      </c>
      <c r="AZ2169" s="6" t="s">
        <v>81</v>
      </c>
      <c r="BA2169" s="6" t="s">
        <v>81</v>
      </c>
      <c r="BB2169" s="6" t="s">
        <v>81</v>
      </c>
      <c r="BC2169" s="26"/>
      <c r="BD2169" s="26"/>
      <c r="BE2169" s="26" t="s">
        <v>23900</v>
      </c>
      <c r="BF2169" s="26" t="s">
        <v>23900</v>
      </c>
      <c r="BG2169" s="26" t="s">
        <v>23900</v>
      </c>
      <c r="BH2169" s="26"/>
      <c r="BI2169" s="26"/>
      <c r="BJ2169" s="26"/>
      <c r="BK2169" s="26"/>
      <c r="BL2169" s="26"/>
      <c r="BM2169" s="26"/>
      <c r="BN2169" s="26"/>
      <c r="BO2169" s="26"/>
      <c r="BP2169" s="16" t="n">
        <v>45693</v>
      </c>
      <c r="BQ2169" s="28" t="str">
        <f>HYPERLINK("https://organic.ams.usda.gov/Integrity/Certificate.aspx?cid=72&amp;nopid=5870002572")</f>
        <v>https://organic.ams.usda.gov/Integrity/Certificate.aspx?cid=72&amp;nopid=5870002572</v>
      </c>
    </row>
    <row r="2170">
      <c r="A2170" t="s">
        <v>3</v>
      </c>
      <c r="B2170" s="6" t="s">
        <v>21</v>
      </c>
      <c r="C2170" s="6" t="s">
        <v>68</v>
      </c>
      <c r="D2170" s="6" t="s">
        <v>114</v>
      </c>
      <c r="E2170" s="10" t="s">
        <v>2311</v>
      </c>
      <c r="F2170" s="6" t="s">
        <v>5022</v>
      </c>
      <c r="G2170" s="6" t="s">
        <v>81</v>
      </c>
      <c r="H2170" s="6" t="s">
        <v>7872</v>
      </c>
      <c r="I2170" s="6" t="s">
        <v>9395</v>
      </c>
      <c r="J2170" s="6" t="s">
        <v>10647</v>
      </c>
      <c r="K2170" s="6" t="s">
        <v>10886</v>
      </c>
      <c r="L2170" s="16" t="n">
        <v>38986</v>
      </c>
      <c r="M2170" s="16" t="n">
        <v>46023</v>
      </c>
      <c r="N2170" s="6" t="s">
        <v>10886</v>
      </c>
      <c r="O2170" s="16" t="n">
        <v>38986</v>
      </c>
      <c r="P2170" s="6" t="s">
        <v>12113</v>
      </c>
      <c r="Q2170" s="6" t="s">
        <v>81</v>
      </c>
      <c r="R2170" s="6" t="s">
        <v>81</v>
      </c>
      <c r="S2170" s="6" t="s">
        <v>10886</v>
      </c>
      <c r="T2170" s="16" t="n">
        <v>38986</v>
      </c>
      <c r="U2170" s="6" t="s">
        <v>13811</v>
      </c>
      <c r="V2170" s="6" t="s">
        <v>81</v>
      </c>
      <c r="W2170" s="6" t="s">
        <v>81</v>
      </c>
      <c r="X2170" s="6" t="s">
        <v>81</v>
      </c>
      <c r="Y2170" s="21" t="s">
        <v>81</v>
      </c>
      <c r="Z2170" s="6" t="s">
        <v>81</v>
      </c>
      <c r="AA2170" s="6" t="s">
        <v>81</v>
      </c>
      <c r="AB2170" s="6" t="s">
        <v>81</v>
      </c>
      <c r="AC2170" s="6" t="s">
        <v>10886</v>
      </c>
      <c r="AD2170" s="16" t="n">
        <v>40989</v>
      </c>
      <c r="AE2170" s="6" t="s">
        <v>14390</v>
      </c>
      <c r="AF2170" s="6" t="s">
        <v>81</v>
      </c>
      <c r="AG2170" s="6" t="s">
        <v>81</v>
      </c>
      <c r="AH2170" s="6" t="s">
        <v>81</v>
      </c>
      <c r="AI2170" s="6" t="s">
        <v>81</v>
      </c>
      <c r="AJ2170" s="6" t="s">
        <v>81</v>
      </c>
      <c r="AK2170" s="6" t="s">
        <v>81</v>
      </c>
      <c r="AL2170" s="6" t="s">
        <v>81</v>
      </c>
      <c r="AM2170" s="6" t="s">
        <v>81</v>
      </c>
      <c r="AN2170" s="6" t="s">
        <v>81</v>
      </c>
      <c r="AO2170" s="6" t="s">
        <v>81</v>
      </c>
      <c r="AP2170" s="6" t="s">
        <v>20399</v>
      </c>
      <c r="AQ2170" s="6" t="s">
        <v>81</v>
      </c>
      <c r="AR2170" s="6" t="s">
        <v>20571</v>
      </c>
      <c r="AS2170" s="6" t="s">
        <v>18413</v>
      </c>
      <c r="AT2170" s="6" t="s">
        <v>18444</v>
      </c>
      <c r="AU2170" s="6" t="s">
        <v>20695</v>
      </c>
      <c r="AV2170" s="6" t="s">
        <v>19638</v>
      </c>
      <c r="AW2170" s="6" t="s">
        <v>20738</v>
      </c>
      <c r="AX2170" s="6" t="s">
        <v>22175</v>
      </c>
      <c r="AY2170" s="6" t="s">
        <v>23319</v>
      </c>
      <c r="AZ2170" s="6" t="s">
        <v>23761</v>
      </c>
      <c r="BA2170" s="6" t="s">
        <v>81</v>
      </c>
      <c r="BB2170" s="24" t="n">
        <v>604</v>
      </c>
      <c r="BC2170" s="26"/>
      <c r="BD2170" s="26"/>
      <c r="BE2170" s="26"/>
      <c r="BF2170" s="26" t="s">
        <v>23900</v>
      </c>
      <c r="BG2170" s="26"/>
      <c r="BH2170" s="26"/>
      <c r="BI2170" s="26"/>
      <c r="BJ2170" s="26"/>
      <c r="BK2170" s="26" t="s">
        <v>23900</v>
      </c>
      <c r="BL2170" s="26"/>
      <c r="BM2170" s="26"/>
      <c r="BN2170" s="26"/>
      <c r="BO2170" s="26"/>
      <c r="BP2170" s="16" t="n">
        <v>45679</v>
      </c>
      <c r="BQ2170" s="28" t="str">
        <f>HYPERLINK("https://organic.ams.usda.gov/Integrity/Certificate.aspx?cid=62&amp;nopid=8150001036")</f>
        <v>https://organic.ams.usda.gov/Integrity/Certificate.aspx?cid=62&amp;nopid=8150001036</v>
      </c>
    </row>
    <row r="2171">
      <c r="A2171" t="s">
        <v>3</v>
      </c>
      <c r="B2171" s="6" t="s">
        <v>8</v>
      </c>
      <c r="C2171" s="6" t="s">
        <v>55</v>
      </c>
      <c r="D2171" s="6" t="s">
        <v>101</v>
      </c>
      <c r="E2171" s="10" t="s">
        <v>2312</v>
      </c>
      <c r="F2171" s="6" t="s">
        <v>5023</v>
      </c>
      <c r="G2171" s="6" t="s">
        <v>5821</v>
      </c>
      <c r="H2171" s="6" t="s">
        <v>7873</v>
      </c>
      <c r="I2171" s="6" t="s">
        <v>8713</v>
      </c>
      <c r="J2171" s="6" t="s">
        <v>10648</v>
      </c>
      <c r="K2171" s="6" t="s">
        <v>10886</v>
      </c>
      <c r="L2171" s="16" t="n">
        <v>43031</v>
      </c>
      <c r="M2171" s="16" t="n">
        <v>45383</v>
      </c>
      <c r="N2171" s="6" t="s">
        <v>10886</v>
      </c>
      <c r="O2171" s="16" t="n">
        <v>43031</v>
      </c>
      <c r="P2171" s="6" t="s">
        <v>12114</v>
      </c>
      <c r="Q2171" s="6" t="s">
        <v>81</v>
      </c>
      <c r="R2171" s="6" t="s">
        <v>7873</v>
      </c>
      <c r="S2171" s="6" t="s">
        <v>10886</v>
      </c>
      <c r="T2171" s="16" t="n">
        <v>43031</v>
      </c>
      <c r="U2171" s="6" t="s">
        <v>13242</v>
      </c>
      <c r="V2171" s="6" t="s">
        <v>81</v>
      </c>
      <c r="W2171" s="6" t="s">
        <v>7873</v>
      </c>
      <c r="X2171" s="6" t="s">
        <v>81</v>
      </c>
      <c r="Y2171" s="21" t="s">
        <v>81</v>
      </c>
      <c r="Z2171" s="6" t="s">
        <v>81</v>
      </c>
      <c r="AA2171" s="6" t="s">
        <v>81</v>
      </c>
      <c r="AB2171" s="6" t="s">
        <v>81</v>
      </c>
      <c r="AC2171" s="6" t="s">
        <v>81</v>
      </c>
      <c r="AD2171" s="21" t="s">
        <v>81</v>
      </c>
      <c r="AE2171" s="6" t="s">
        <v>81</v>
      </c>
      <c r="AF2171" s="6" t="s">
        <v>81</v>
      </c>
      <c r="AG2171" s="6" t="s">
        <v>81</v>
      </c>
      <c r="AH2171" s="6" t="s">
        <v>16719</v>
      </c>
      <c r="AI2171" s="6" t="s">
        <v>81</v>
      </c>
      <c r="AJ2171" s="6" t="s">
        <v>17501</v>
      </c>
      <c r="AK2171" s="6" t="s">
        <v>18384</v>
      </c>
      <c r="AL2171" s="6" t="s">
        <v>18444</v>
      </c>
      <c r="AM2171" s="6" t="s">
        <v>18662</v>
      </c>
      <c r="AN2171" s="6" t="s">
        <v>19636</v>
      </c>
      <c r="AO2171" s="6" t="s">
        <v>19745</v>
      </c>
      <c r="AP2171" s="6" t="s">
        <v>20400</v>
      </c>
      <c r="AQ2171" s="6" t="s">
        <v>81</v>
      </c>
      <c r="AR2171" s="6" t="s">
        <v>17501</v>
      </c>
      <c r="AS2171" s="6" t="s">
        <v>18384</v>
      </c>
      <c r="AT2171" s="6" t="s">
        <v>18444</v>
      </c>
      <c r="AU2171" s="6" t="s">
        <v>18662</v>
      </c>
      <c r="AV2171" s="6" t="s">
        <v>81</v>
      </c>
      <c r="AW2171" s="6" t="s">
        <v>81</v>
      </c>
      <c r="AX2171" s="6" t="s">
        <v>81</v>
      </c>
      <c r="AY2171" s="6" t="s">
        <v>23320</v>
      </c>
      <c r="AZ2171" s="6" t="s">
        <v>81</v>
      </c>
      <c r="BA2171" s="6" t="s">
        <v>23819</v>
      </c>
      <c r="BB2171" s="24" t="n">
        <v>1654</v>
      </c>
      <c r="BC2171" s="26"/>
      <c r="BD2171" s="26"/>
      <c r="BE2171" s="26"/>
      <c r="BF2171" s="26" t="s">
        <v>23900</v>
      </c>
      <c r="BG2171" s="26"/>
      <c r="BH2171" s="26"/>
      <c r="BI2171" s="26"/>
      <c r="BJ2171" s="26"/>
      <c r="BK2171" s="26"/>
      <c r="BL2171" s="26"/>
      <c r="BM2171" s="26"/>
      <c r="BN2171" s="26"/>
      <c r="BO2171" s="26"/>
      <c r="BP2171" s="16" t="n">
        <v>45395</v>
      </c>
      <c r="BQ2171" s="28" t="str">
        <f>HYPERLINK("https://organic.ams.usda.gov/Integrity/Certificate.aspx?cid=45&amp;nopid=9950010495")</f>
        <v>https://organic.ams.usda.gov/Integrity/Certificate.aspx?cid=45&amp;nopid=9950010495</v>
      </c>
    </row>
    <row r="2172">
      <c r="A2172" t="s">
        <v>3</v>
      </c>
      <c r="B2172" s="6" t="s">
        <v>25</v>
      </c>
      <c r="C2172" s="6" t="s">
        <v>72</v>
      </c>
      <c r="D2172" s="6" t="s">
        <v>118</v>
      </c>
      <c r="E2172" s="10" t="s">
        <v>2313</v>
      </c>
      <c r="F2172" s="6" t="s">
        <v>5024</v>
      </c>
      <c r="G2172" s="6" t="s">
        <v>81</v>
      </c>
      <c r="H2172" s="6" t="s">
        <v>7874</v>
      </c>
      <c r="I2172" s="6" t="s">
        <v>8391</v>
      </c>
      <c r="J2172" s="6" t="s">
        <v>10234</v>
      </c>
      <c r="K2172" s="6" t="s">
        <v>10886</v>
      </c>
      <c r="L2172" s="16" t="n">
        <v>38000</v>
      </c>
      <c r="M2172" s="16" t="n">
        <v>46023</v>
      </c>
      <c r="N2172" s="6" t="s">
        <v>10886</v>
      </c>
      <c r="O2172" s="16" t="n">
        <v>38000</v>
      </c>
      <c r="P2172" s="6" t="s">
        <v>12115</v>
      </c>
      <c r="Q2172" s="6" t="s">
        <v>81</v>
      </c>
      <c r="R2172" s="6" t="s">
        <v>81</v>
      </c>
      <c r="S2172" s="6" t="s">
        <v>10886</v>
      </c>
      <c r="T2172" s="16" t="n">
        <v>38000</v>
      </c>
      <c r="U2172" s="6" t="s">
        <v>13812</v>
      </c>
      <c r="V2172" s="6" t="s">
        <v>81</v>
      </c>
      <c r="W2172" s="6" t="s">
        <v>81</v>
      </c>
      <c r="X2172" s="6" t="s">
        <v>81</v>
      </c>
      <c r="Y2172" s="21" t="s">
        <v>81</v>
      </c>
      <c r="Z2172" s="6" t="s">
        <v>81</v>
      </c>
      <c r="AA2172" s="6" t="s">
        <v>81</v>
      </c>
      <c r="AB2172" s="6" t="s">
        <v>81</v>
      </c>
      <c r="AC2172" s="6" t="s">
        <v>10886</v>
      </c>
      <c r="AD2172" s="16" t="n">
        <v>44733</v>
      </c>
      <c r="AE2172" s="6" t="s">
        <v>14391</v>
      </c>
      <c r="AF2172" s="6" t="s">
        <v>81</v>
      </c>
      <c r="AG2172" s="6" t="s">
        <v>81</v>
      </c>
      <c r="AH2172" s="6" t="s">
        <v>16720</v>
      </c>
      <c r="AI2172" s="6" t="s">
        <v>81</v>
      </c>
      <c r="AJ2172" s="6" t="s">
        <v>17506</v>
      </c>
      <c r="AK2172" s="6" t="s">
        <v>18386</v>
      </c>
      <c r="AL2172" s="6" t="s">
        <v>18444</v>
      </c>
      <c r="AM2172" s="6" t="s">
        <v>18667</v>
      </c>
      <c r="AN2172" s="6" t="s">
        <v>19651</v>
      </c>
      <c r="AO2172" s="6" t="s">
        <v>19864</v>
      </c>
      <c r="AP2172" s="6" t="s">
        <v>16720</v>
      </c>
      <c r="AQ2172" s="6" t="s">
        <v>81</v>
      </c>
      <c r="AR2172" s="6" t="s">
        <v>17506</v>
      </c>
      <c r="AS2172" s="6" t="s">
        <v>18386</v>
      </c>
      <c r="AT2172" s="6" t="s">
        <v>18444</v>
      </c>
      <c r="AU2172" s="6" t="s">
        <v>18667</v>
      </c>
      <c r="AV2172" s="6" t="s">
        <v>81</v>
      </c>
      <c r="AW2172" s="6" t="s">
        <v>81</v>
      </c>
      <c r="AX2172" s="6" t="s">
        <v>22176</v>
      </c>
      <c r="AY2172" s="6" t="s">
        <v>23321</v>
      </c>
      <c r="AZ2172" s="6" t="s">
        <v>81</v>
      </c>
      <c r="BA2172" s="6" t="s">
        <v>81</v>
      </c>
      <c r="BB2172" s="24" t="n">
        <v>550</v>
      </c>
      <c r="BC2172" s="26"/>
      <c r="BD2172" s="26"/>
      <c r="BE2172" s="26"/>
      <c r="BF2172" s="26"/>
      <c r="BG2172" s="26"/>
      <c r="BH2172" s="26"/>
      <c r="BI2172" s="26"/>
      <c r="BJ2172" s="26"/>
      <c r="BK2172" s="26"/>
      <c r="BL2172" s="26"/>
      <c r="BM2172" s="26"/>
      <c r="BN2172" s="26"/>
      <c r="BO2172" s="26"/>
      <c r="BP2172" s="16" t="n">
        <v>45667</v>
      </c>
      <c r="BQ2172" s="28" t="str">
        <f>HYPERLINK("https://organic.ams.usda.gov/Integrity/Certificate.aspx?cid=15&amp;nopid=5561000981")</f>
        <v>https://organic.ams.usda.gov/Integrity/Certificate.aspx?cid=15&amp;nopid=5561000981</v>
      </c>
    </row>
    <row r="2173">
      <c r="A2173" t="s">
        <v>3</v>
      </c>
      <c r="B2173" s="6" t="s">
        <v>29</v>
      </c>
      <c r="C2173" s="6" t="s">
        <v>76</v>
      </c>
      <c r="D2173" s="6" t="s">
        <v>122</v>
      </c>
      <c r="E2173" s="10" t="s">
        <v>2314</v>
      </c>
      <c r="F2173" s="6" t="s">
        <v>5025</v>
      </c>
      <c r="G2173" s="6" t="s">
        <v>5822</v>
      </c>
      <c r="H2173" s="6" t="s">
        <v>7875</v>
      </c>
      <c r="I2173" s="6" t="s">
        <v>9448</v>
      </c>
      <c r="J2173" s="6" t="s">
        <v>9906</v>
      </c>
      <c r="K2173" s="6" t="s">
        <v>10886</v>
      </c>
      <c r="L2173" s="16" t="n">
        <v>44473</v>
      </c>
      <c r="M2173" s="16" t="n">
        <v>45870</v>
      </c>
      <c r="N2173" s="6" t="s">
        <v>10886</v>
      </c>
      <c r="O2173" s="16" t="n">
        <v>44473</v>
      </c>
      <c r="P2173" s="6" t="s">
        <v>10910</v>
      </c>
      <c r="Q2173" s="6" t="s">
        <v>81</v>
      </c>
      <c r="R2173" s="6" t="s">
        <v>13017</v>
      </c>
      <c r="S2173" s="6" t="s">
        <v>10886</v>
      </c>
      <c r="T2173" s="16" t="n">
        <v>45068</v>
      </c>
      <c r="U2173" s="6" t="s">
        <v>13813</v>
      </c>
      <c r="V2173" s="6" t="s">
        <v>81</v>
      </c>
      <c r="W2173" s="6" t="s">
        <v>13981</v>
      </c>
      <c r="X2173" s="6" t="s">
        <v>81</v>
      </c>
      <c r="Y2173" s="21" t="s">
        <v>81</v>
      </c>
      <c r="Z2173" s="6" t="s">
        <v>81</v>
      </c>
      <c r="AA2173" s="6" t="s">
        <v>81</v>
      </c>
      <c r="AB2173" s="6" t="s">
        <v>81</v>
      </c>
      <c r="AC2173" s="6" t="s">
        <v>81</v>
      </c>
      <c r="AD2173" s="21" t="s">
        <v>81</v>
      </c>
      <c r="AE2173" s="6" t="s">
        <v>81</v>
      </c>
      <c r="AF2173" s="6" t="s">
        <v>81</v>
      </c>
      <c r="AG2173" s="6" t="s">
        <v>81</v>
      </c>
      <c r="AH2173" s="6" t="s">
        <v>16721</v>
      </c>
      <c r="AI2173" s="6" t="s">
        <v>81</v>
      </c>
      <c r="AJ2173" s="6" t="s">
        <v>18135</v>
      </c>
      <c r="AK2173" s="6" t="s">
        <v>18380</v>
      </c>
      <c r="AL2173" s="6" t="s">
        <v>18444</v>
      </c>
      <c r="AM2173" s="6" t="s">
        <v>19450</v>
      </c>
      <c r="AN2173" s="6" t="s">
        <v>6132</v>
      </c>
      <c r="AO2173" s="6" t="s">
        <v>19751</v>
      </c>
      <c r="AP2173" s="6" t="s">
        <v>81</v>
      </c>
      <c r="AQ2173" s="6" t="s">
        <v>81</v>
      </c>
      <c r="AR2173" s="6" t="s">
        <v>81</v>
      </c>
      <c r="AS2173" s="6" t="s">
        <v>81</v>
      </c>
      <c r="AT2173" s="6" t="s">
        <v>81</v>
      </c>
      <c r="AU2173" s="6" t="s">
        <v>81</v>
      </c>
      <c r="AV2173" s="6" t="s">
        <v>81</v>
      </c>
      <c r="AW2173" s="6" t="s">
        <v>81</v>
      </c>
      <c r="AX2173" s="6" t="s">
        <v>22177</v>
      </c>
      <c r="AY2173" s="6" t="s">
        <v>23322</v>
      </c>
      <c r="AZ2173" s="6" t="s">
        <v>81</v>
      </c>
      <c r="BA2173" s="6" t="s">
        <v>81</v>
      </c>
      <c r="BB2173" s="24" t="n">
        <v>146</v>
      </c>
      <c r="BC2173" s="26"/>
      <c r="BD2173" s="26"/>
      <c r="BE2173" s="26"/>
      <c r="BF2173" s="26" t="s">
        <v>23900</v>
      </c>
      <c r="BG2173" s="26"/>
      <c r="BH2173" s="26"/>
      <c r="BI2173" s="26"/>
      <c r="BJ2173" s="26"/>
      <c r="BK2173" s="26"/>
      <c r="BL2173" s="26"/>
      <c r="BM2173" s="26"/>
      <c r="BN2173" s="26"/>
      <c r="BO2173" s="26"/>
      <c r="BP2173" s="16" t="n">
        <v>45737</v>
      </c>
      <c r="BQ2173" s="28" t="str">
        <f>HYPERLINK("https://organic.ams.usda.gov/Integrity/Certificate.aspx?cid=31&amp;nopid=3928972235")</f>
        <v>https://organic.ams.usda.gov/Integrity/Certificate.aspx?cid=31&amp;nopid=3928972235</v>
      </c>
    </row>
    <row r="2174">
      <c r="A2174" t="s">
        <v>3</v>
      </c>
      <c r="B2174" s="6" t="s">
        <v>7</v>
      </c>
      <c r="C2174" s="6" t="s">
        <v>54</v>
      </c>
      <c r="D2174" s="6" t="s">
        <v>100</v>
      </c>
      <c r="E2174" s="10" t="s">
        <v>2315</v>
      </c>
      <c r="F2174" s="6" t="s">
        <v>5026</v>
      </c>
      <c r="G2174" s="6" t="s">
        <v>81</v>
      </c>
      <c r="H2174" s="6" t="s">
        <v>7876</v>
      </c>
      <c r="I2174" s="6" t="s">
        <v>9449</v>
      </c>
      <c r="J2174" s="6" t="s">
        <v>10649</v>
      </c>
      <c r="K2174" s="6" t="s">
        <v>10886</v>
      </c>
      <c r="L2174" s="16" t="n">
        <v>43437</v>
      </c>
      <c r="M2174" s="16" t="n">
        <v>45716</v>
      </c>
      <c r="N2174" s="6" t="s">
        <v>10886</v>
      </c>
      <c r="O2174" s="16" t="n">
        <v>43437</v>
      </c>
      <c r="P2174" s="6" t="s">
        <v>12116</v>
      </c>
      <c r="Q2174" s="6" t="s">
        <v>81</v>
      </c>
      <c r="R2174" s="6" t="s">
        <v>81</v>
      </c>
      <c r="S2174" s="6" t="s">
        <v>10886</v>
      </c>
      <c r="T2174" s="16" t="n">
        <v>43497</v>
      </c>
      <c r="U2174" s="6" t="s">
        <v>13169</v>
      </c>
      <c r="V2174" s="6" t="s">
        <v>81</v>
      </c>
      <c r="W2174" s="6" t="s">
        <v>81</v>
      </c>
      <c r="X2174" s="6" t="s">
        <v>81</v>
      </c>
      <c r="Y2174" s="21" t="s">
        <v>81</v>
      </c>
      <c r="Z2174" s="6" t="s">
        <v>81</v>
      </c>
      <c r="AA2174" s="6" t="s">
        <v>81</v>
      </c>
      <c r="AB2174" s="6" t="s">
        <v>81</v>
      </c>
      <c r="AC2174" s="6" t="s">
        <v>10886</v>
      </c>
      <c r="AD2174" s="16" t="n">
        <v>43791</v>
      </c>
      <c r="AE2174" s="6" t="s">
        <v>14392</v>
      </c>
      <c r="AF2174" s="6" t="s">
        <v>81</v>
      </c>
      <c r="AG2174" s="6" t="s">
        <v>81</v>
      </c>
      <c r="AH2174" s="6" t="s">
        <v>16722</v>
      </c>
      <c r="AI2174" s="6" t="s">
        <v>81</v>
      </c>
      <c r="AJ2174" s="6" t="s">
        <v>18234</v>
      </c>
      <c r="AK2174" s="6" t="s">
        <v>17712</v>
      </c>
      <c r="AL2174" s="6" t="s">
        <v>18444</v>
      </c>
      <c r="AM2174" s="6" t="s">
        <v>19451</v>
      </c>
      <c r="AN2174" s="6" t="s">
        <v>19672</v>
      </c>
      <c r="AO2174" s="6" t="s">
        <v>19977</v>
      </c>
      <c r="AP2174" s="6" t="s">
        <v>20401</v>
      </c>
      <c r="AQ2174" s="6" t="s">
        <v>81</v>
      </c>
      <c r="AR2174" s="6" t="s">
        <v>18234</v>
      </c>
      <c r="AS2174" s="6" t="s">
        <v>17712</v>
      </c>
      <c r="AT2174" s="6" t="s">
        <v>18444</v>
      </c>
      <c r="AU2174" s="6" t="s">
        <v>19451</v>
      </c>
      <c r="AV2174" s="6" t="s">
        <v>81</v>
      </c>
      <c r="AW2174" s="6" t="s">
        <v>81</v>
      </c>
      <c r="AX2174" s="6" t="s">
        <v>22178</v>
      </c>
      <c r="AY2174" s="6" t="s">
        <v>23323</v>
      </c>
      <c r="AZ2174" s="6" t="s">
        <v>23762</v>
      </c>
      <c r="BA2174" s="6" t="s">
        <v>81</v>
      </c>
      <c r="BB2174" s="24" t="n">
        <v>90</v>
      </c>
      <c r="BC2174" s="26"/>
      <c r="BD2174" s="26"/>
      <c r="BE2174" s="26"/>
      <c r="BF2174" s="26"/>
      <c r="BG2174" s="26"/>
      <c r="BH2174" s="26"/>
      <c r="BI2174" s="26"/>
      <c r="BJ2174" s="26"/>
      <c r="BK2174" s="26"/>
      <c r="BL2174" s="26"/>
      <c r="BM2174" s="26"/>
      <c r="BN2174" s="26"/>
      <c r="BO2174" s="26"/>
      <c r="BP2174" s="16" t="n">
        <v>45595</v>
      </c>
      <c r="BQ2174" s="28" t="str">
        <f>HYPERLINK("https://organic.ams.usda.gov/Integrity/Certificate.aspx?cid=57&amp;nopid=3252018072")</f>
        <v>https://organic.ams.usda.gov/Integrity/Certificate.aspx?cid=57&amp;nopid=3252018072</v>
      </c>
    </row>
    <row r="2175">
      <c r="A2175" t="s">
        <v>3</v>
      </c>
      <c r="B2175" s="6" t="s">
        <v>15</v>
      </c>
      <c r="C2175" s="6" t="s">
        <v>62</v>
      </c>
      <c r="D2175" s="6" t="s">
        <v>108</v>
      </c>
      <c r="E2175" s="10" t="s">
        <v>2316</v>
      </c>
      <c r="F2175" s="6" t="s">
        <v>5027</v>
      </c>
      <c r="G2175" s="6" t="s">
        <v>5823</v>
      </c>
      <c r="H2175" s="6" t="s">
        <v>7877</v>
      </c>
      <c r="I2175" s="6" t="s">
        <v>9450</v>
      </c>
      <c r="J2175" s="6" t="s">
        <v>10650</v>
      </c>
      <c r="K2175" s="6" t="s">
        <v>10886</v>
      </c>
      <c r="L2175" s="16" t="n">
        <v>40031</v>
      </c>
      <c r="M2175" s="16" t="n">
        <v>45792</v>
      </c>
      <c r="N2175" s="6" t="s">
        <v>10886</v>
      </c>
      <c r="O2175" s="16" t="n">
        <v>40031</v>
      </c>
      <c r="P2175" s="6" t="s">
        <v>12117</v>
      </c>
      <c r="Q2175" s="6" t="s">
        <v>81</v>
      </c>
      <c r="R2175" s="6" t="s">
        <v>81</v>
      </c>
      <c r="S2175" s="6" t="s">
        <v>10886</v>
      </c>
      <c r="T2175" s="16" t="n">
        <v>40031</v>
      </c>
      <c r="U2175" s="6" t="s">
        <v>13814</v>
      </c>
      <c r="V2175" s="6" t="s">
        <v>81</v>
      </c>
      <c r="W2175" s="6" t="s">
        <v>81</v>
      </c>
      <c r="X2175" s="6" t="s">
        <v>81</v>
      </c>
      <c r="Y2175" s="21" t="s">
        <v>81</v>
      </c>
      <c r="Z2175" s="6" t="s">
        <v>81</v>
      </c>
      <c r="AA2175" s="6" t="s">
        <v>81</v>
      </c>
      <c r="AB2175" s="6" t="s">
        <v>81</v>
      </c>
      <c r="AC2175" s="6" t="s">
        <v>81</v>
      </c>
      <c r="AD2175" s="21" t="s">
        <v>81</v>
      </c>
      <c r="AE2175" s="6" t="s">
        <v>81</v>
      </c>
      <c r="AF2175" s="6" t="s">
        <v>81</v>
      </c>
      <c r="AG2175" s="6" t="s">
        <v>81</v>
      </c>
      <c r="AH2175" s="6" t="s">
        <v>16723</v>
      </c>
      <c r="AI2175" s="6" t="s">
        <v>81</v>
      </c>
      <c r="AJ2175" s="6" t="s">
        <v>18235</v>
      </c>
      <c r="AK2175" s="6" t="s">
        <v>18440</v>
      </c>
      <c r="AL2175" s="6" t="s">
        <v>18444</v>
      </c>
      <c r="AM2175" s="6" t="s">
        <v>19452</v>
      </c>
      <c r="AN2175" s="6" t="s">
        <v>19696</v>
      </c>
      <c r="AO2175" s="6" t="s">
        <v>20045</v>
      </c>
      <c r="AP2175" s="6" t="s">
        <v>16723</v>
      </c>
      <c r="AQ2175" s="6" t="s">
        <v>81</v>
      </c>
      <c r="AR2175" s="6" t="s">
        <v>18235</v>
      </c>
      <c r="AS2175" s="6" t="s">
        <v>18440</v>
      </c>
      <c r="AT2175" s="6" t="s">
        <v>18444</v>
      </c>
      <c r="AU2175" s="6" t="s">
        <v>19452</v>
      </c>
      <c r="AV2175" s="6" t="s">
        <v>81</v>
      </c>
      <c r="AW2175" s="6" t="s">
        <v>81</v>
      </c>
      <c r="AX2175" s="6" t="s">
        <v>22179</v>
      </c>
      <c r="AY2175" s="6" t="s">
        <v>23324</v>
      </c>
      <c r="AZ2175" s="6" t="s">
        <v>81</v>
      </c>
      <c r="BA2175" s="6" t="s">
        <v>81</v>
      </c>
      <c r="BB2175" s="24" t="n">
        <v>1571</v>
      </c>
      <c r="BC2175" s="26"/>
      <c r="BD2175" s="26"/>
      <c r="BE2175" s="26"/>
      <c r="BF2175" s="26" t="s">
        <v>23900</v>
      </c>
      <c r="BG2175" s="26"/>
      <c r="BH2175" s="26"/>
      <c r="BI2175" s="26"/>
      <c r="BJ2175" s="26"/>
      <c r="BK2175" s="26"/>
      <c r="BL2175" s="26"/>
      <c r="BM2175" s="26"/>
      <c r="BN2175" s="26"/>
      <c r="BO2175" s="26"/>
      <c r="BP2175" s="16" t="n">
        <v>45737</v>
      </c>
      <c r="BQ2175" s="28" t="str">
        <f>HYPERLINK("https://organic.ams.usda.gov/Integrity/Certificate.aspx?cid=58&amp;nopid=1600001710")</f>
        <v>https://organic.ams.usda.gov/Integrity/Certificate.aspx?cid=58&amp;nopid=1600001710</v>
      </c>
    </row>
    <row r="2176">
      <c r="A2176" t="s">
        <v>3</v>
      </c>
      <c r="B2176" s="6" t="s">
        <v>23</v>
      </c>
      <c r="C2176" s="6" t="s">
        <v>70</v>
      </c>
      <c r="D2176" s="6" t="s">
        <v>116</v>
      </c>
      <c r="E2176" s="10" t="s">
        <v>2317</v>
      </c>
      <c r="F2176" s="6" t="s">
        <v>5028</v>
      </c>
      <c r="G2176" s="6" t="s">
        <v>81</v>
      </c>
      <c r="H2176" s="6" t="s">
        <v>7878</v>
      </c>
      <c r="I2176" s="6" t="s">
        <v>9451</v>
      </c>
      <c r="J2176" s="6" t="s">
        <v>10651</v>
      </c>
      <c r="K2176" s="6" t="s">
        <v>10886</v>
      </c>
      <c r="L2176" s="16" t="n">
        <v>44056</v>
      </c>
      <c r="M2176" s="16" t="n">
        <v>45882</v>
      </c>
      <c r="N2176" s="6" t="s">
        <v>10886</v>
      </c>
      <c r="O2176" s="16" t="n">
        <v>44056</v>
      </c>
      <c r="P2176" s="6" t="s">
        <v>12118</v>
      </c>
      <c r="Q2176" s="6" t="s">
        <v>81</v>
      </c>
      <c r="R2176" s="6" t="s">
        <v>13018</v>
      </c>
      <c r="S2176" s="6" t="s">
        <v>10886</v>
      </c>
      <c r="T2176" s="16" t="n">
        <v>44056</v>
      </c>
      <c r="U2176" s="6" t="s">
        <v>13815</v>
      </c>
      <c r="V2176" s="6" t="s">
        <v>81</v>
      </c>
      <c r="W2176" s="6" t="s">
        <v>13018</v>
      </c>
      <c r="X2176" s="6" t="s">
        <v>81</v>
      </c>
      <c r="Y2176" s="21" t="s">
        <v>81</v>
      </c>
      <c r="Z2176" s="6" t="s">
        <v>81</v>
      </c>
      <c r="AA2176" s="6" t="s">
        <v>81</v>
      </c>
      <c r="AB2176" s="6" t="s">
        <v>81</v>
      </c>
      <c r="AC2176" s="6" t="s">
        <v>81</v>
      </c>
      <c r="AD2176" s="21" t="s">
        <v>81</v>
      </c>
      <c r="AE2176" s="6" t="s">
        <v>81</v>
      </c>
      <c r="AF2176" s="6" t="s">
        <v>81</v>
      </c>
      <c r="AG2176" s="6" t="s">
        <v>81</v>
      </c>
      <c r="AH2176" s="6" t="s">
        <v>16724</v>
      </c>
      <c r="AI2176" s="6" t="s">
        <v>81</v>
      </c>
      <c r="AJ2176" s="6" t="s">
        <v>17610</v>
      </c>
      <c r="AK2176" s="6" t="s">
        <v>18395</v>
      </c>
      <c r="AL2176" s="6" t="s">
        <v>18444</v>
      </c>
      <c r="AM2176" s="6" t="s">
        <v>18776</v>
      </c>
      <c r="AN2176" s="6" t="s">
        <v>81</v>
      </c>
      <c r="AO2176" s="6" t="s">
        <v>81</v>
      </c>
      <c r="AP2176" s="6" t="s">
        <v>16724</v>
      </c>
      <c r="AQ2176" s="6" t="s">
        <v>81</v>
      </c>
      <c r="AR2176" s="6" t="s">
        <v>17610</v>
      </c>
      <c r="AS2176" s="6" t="s">
        <v>18395</v>
      </c>
      <c r="AT2176" s="6" t="s">
        <v>18444</v>
      </c>
      <c r="AU2176" s="6" t="s">
        <v>18776</v>
      </c>
      <c r="AV2176" s="6" t="s">
        <v>19653</v>
      </c>
      <c r="AW2176" s="6" t="s">
        <v>20064</v>
      </c>
      <c r="AX2176" s="6" t="s">
        <v>22180</v>
      </c>
      <c r="AY2176" s="6" t="s">
        <v>23325</v>
      </c>
      <c r="AZ2176" s="6" t="s">
        <v>81</v>
      </c>
      <c r="BA2176" s="6" t="s">
        <v>81</v>
      </c>
      <c r="BB2176" s="24" t="n">
        <v>1645</v>
      </c>
      <c r="BC2176" s="26"/>
      <c r="BD2176" s="26"/>
      <c r="BE2176" s="26"/>
      <c r="BF2176" s="26"/>
      <c r="BG2176" s="26"/>
      <c r="BH2176" s="26"/>
      <c r="BI2176" s="26"/>
      <c r="BJ2176" s="26"/>
      <c r="BK2176" s="26"/>
      <c r="BL2176" s="26"/>
      <c r="BM2176" s="26"/>
      <c r="BN2176" s="26"/>
      <c r="BO2176" s="26"/>
      <c r="BP2176" s="16" t="n">
        <v>45736</v>
      </c>
      <c r="BQ2176" s="28" t="str">
        <f>HYPERLINK("https://organic.ams.usda.gov/Integrity/Certificate.aspx?cid=63&amp;nopid=6220008366")</f>
        <v>https://organic.ams.usda.gov/Integrity/Certificate.aspx?cid=63&amp;nopid=6220008366</v>
      </c>
    </row>
    <row r="2177">
      <c r="A2177" t="s">
        <v>3</v>
      </c>
      <c r="B2177" s="6" t="s">
        <v>23</v>
      </c>
      <c r="C2177" s="6" t="s">
        <v>70</v>
      </c>
      <c r="D2177" s="6" t="s">
        <v>116</v>
      </c>
      <c r="E2177" s="10" t="s">
        <v>2318</v>
      </c>
      <c r="F2177" s="6" t="s">
        <v>5029</v>
      </c>
      <c r="G2177" s="6" t="s">
        <v>81</v>
      </c>
      <c r="H2177" s="6" t="s">
        <v>7879</v>
      </c>
      <c r="I2177" s="6" t="s">
        <v>8552</v>
      </c>
      <c r="J2177" s="6" t="s">
        <v>10002</v>
      </c>
      <c r="K2177" s="6" t="s">
        <v>10886</v>
      </c>
      <c r="L2177" s="16" t="n">
        <v>43402</v>
      </c>
      <c r="M2177" s="16" t="n">
        <v>45959</v>
      </c>
      <c r="N2177" s="6" t="s">
        <v>10886</v>
      </c>
      <c r="O2177" s="16" t="n">
        <v>43402</v>
      </c>
      <c r="P2177" s="6" t="s">
        <v>12119</v>
      </c>
      <c r="Q2177" s="6" t="s">
        <v>81</v>
      </c>
      <c r="R2177" s="6" t="s">
        <v>13019</v>
      </c>
      <c r="S2177" s="6" t="s">
        <v>10886</v>
      </c>
      <c r="T2177" s="16" t="n">
        <v>43402</v>
      </c>
      <c r="U2177" s="6" t="s">
        <v>13424</v>
      </c>
      <c r="V2177" s="6" t="s">
        <v>81</v>
      </c>
      <c r="W2177" s="6" t="s">
        <v>13019</v>
      </c>
      <c r="X2177" s="6" t="s">
        <v>81</v>
      </c>
      <c r="Y2177" s="21" t="s">
        <v>81</v>
      </c>
      <c r="Z2177" s="6" t="s">
        <v>81</v>
      </c>
      <c r="AA2177" s="6" t="s">
        <v>81</v>
      </c>
      <c r="AB2177" s="6" t="s">
        <v>81</v>
      </c>
      <c r="AC2177" s="6" t="s">
        <v>81</v>
      </c>
      <c r="AD2177" s="21" t="s">
        <v>81</v>
      </c>
      <c r="AE2177" s="6" t="s">
        <v>81</v>
      </c>
      <c r="AF2177" s="6" t="s">
        <v>81</v>
      </c>
      <c r="AG2177" s="6" t="s">
        <v>81</v>
      </c>
      <c r="AH2177" s="6" t="s">
        <v>16725</v>
      </c>
      <c r="AI2177" s="6" t="s">
        <v>81</v>
      </c>
      <c r="AJ2177" s="6" t="s">
        <v>18236</v>
      </c>
      <c r="AK2177" s="6" t="s">
        <v>18386</v>
      </c>
      <c r="AL2177" s="6" t="s">
        <v>18444</v>
      </c>
      <c r="AM2177" s="6" t="s">
        <v>18790</v>
      </c>
      <c r="AN2177" s="6" t="s">
        <v>81</v>
      </c>
      <c r="AO2177" s="6" t="s">
        <v>81</v>
      </c>
      <c r="AP2177" s="6" t="s">
        <v>16725</v>
      </c>
      <c r="AQ2177" s="6" t="s">
        <v>81</v>
      </c>
      <c r="AR2177" s="6" t="s">
        <v>18236</v>
      </c>
      <c r="AS2177" s="6" t="s">
        <v>18386</v>
      </c>
      <c r="AT2177" s="6" t="s">
        <v>18444</v>
      </c>
      <c r="AU2177" s="6" t="s">
        <v>18790</v>
      </c>
      <c r="AV2177" s="6" t="s">
        <v>19651</v>
      </c>
      <c r="AW2177" s="6" t="s">
        <v>19864</v>
      </c>
      <c r="AX2177" s="6" t="s">
        <v>22181</v>
      </c>
      <c r="AY2177" s="6" t="s">
        <v>23326</v>
      </c>
      <c r="AZ2177" s="6" t="s">
        <v>81</v>
      </c>
      <c r="BA2177" s="6" t="s">
        <v>81</v>
      </c>
      <c r="BB2177" s="24" t="n">
        <v>690</v>
      </c>
      <c r="BC2177" s="26"/>
      <c r="BD2177" s="26"/>
      <c r="BE2177" s="26"/>
      <c r="BF2177" s="26"/>
      <c r="BG2177" s="26"/>
      <c r="BH2177" s="26"/>
      <c r="BI2177" s="26"/>
      <c r="BJ2177" s="26"/>
      <c r="BK2177" s="26"/>
      <c r="BL2177" s="26"/>
      <c r="BM2177" s="26"/>
      <c r="BN2177" s="26"/>
      <c r="BO2177" s="26"/>
      <c r="BP2177" s="16" t="n">
        <v>45679</v>
      </c>
      <c r="BQ2177" s="28" t="str">
        <f>HYPERLINK("https://organic.ams.usda.gov/Integrity/Certificate.aspx?cid=63&amp;nopid=6220007866")</f>
        <v>https://organic.ams.usda.gov/Integrity/Certificate.aspx?cid=63&amp;nopid=6220007866</v>
      </c>
    </row>
    <row r="2178">
      <c r="A2178" t="s">
        <v>3</v>
      </c>
      <c r="B2178" s="6" t="s">
        <v>8</v>
      </c>
      <c r="C2178" s="6" t="s">
        <v>55</v>
      </c>
      <c r="D2178" s="6" t="s">
        <v>101</v>
      </c>
      <c r="E2178" s="10" t="s">
        <v>2319</v>
      </c>
      <c r="F2178" s="6" t="s">
        <v>5030</v>
      </c>
      <c r="G2178" s="6" t="s">
        <v>81</v>
      </c>
      <c r="H2178" s="6" t="s">
        <v>7880</v>
      </c>
      <c r="I2178" s="6" t="s">
        <v>8514</v>
      </c>
      <c r="J2178" s="6" t="s">
        <v>10652</v>
      </c>
      <c r="K2178" s="6" t="s">
        <v>10886</v>
      </c>
      <c r="L2178" s="16" t="n">
        <v>37960</v>
      </c>
      <c r="M2178" s="16" t="n">
        <v>45748</v>
      </c>
      <c r="N2178" s="6" t="s">
        <v>10886</v>
      </c>
      <c r="O2178" s="16" t="n">
        <v>37960</v>
      </c>
      <c r="P2178" s="6" t="s">
        <v>12120</v>
      </c>
      <c r="Q2178" s="6" t="s">
        <v>81</v>
      </c>
      <c r="R2178" s="6" t="s">
        <v>7880</v>
      </c>
      <c r="S2178" s="6" t="s">
        <v>10886</v>
      </c>
      <c r="T2178" s="16" t="n">
        <v>37960</v>
      </c>
      <c r="U2178" s="6" t="s">
        <v>13179</v>
      </c>
      <c r="V2178" s="6" t="s">
        <v>81</v>
      </c>
      <c r="W2178" s="6" t="s">
        <v>7880</v>
      </c>
      <c r="X2178" s="6" t="s">
        <v>81</v>
      </c>
      <c r="Y2178" s="21" t="s">
        <v>81</v>
      </c>
      <c r="Z2178" s="6" t="s">
        <v>81</v>
      </c>
      <c r="AA2178" s="6" t="s">
        <v>81</v>
      </c>
      <c r="AB2178" s="6" t="s">
        <v>81</v>
      </c>
      <c r="AC2178" s="6" t="s">
        <v>81</v>
      </c>
      <c r="AD2178" s="21" t="s">
        <v>81</v>
      </c>
      <c r="AE2178" s="6" t="s">
        <v>81</v>
      </c>
      <c r="AF2178" s="6" t="s">
        <v>81</v>
      </c>
      <c r="AG2178" s="6" t="s">
        <v>81</v>
      </c>
      <c r="AH2178" s="6" t="s">
        <v>16726</v>
      </c>
      <c r="AI2178" s="6" t="s">
        <v>81</v>
      </c>
      <c r="AJ2178" s="6" t="s">
        <v>17364</v>
      </c>
      <c r="AK2178" s="6" t="s">
        <v>18381</v>
      </c>
      <c r="AL2178" s="6" t="s">
        <v>18444</v>
      </c>
      <c r="AM2178" s="6" t="s">
        <v>18516</v>
      </c>
      <c r="AN2178" s="6" t="s">
        <v>19658</v>
      </c>
      <c r="AO2178" s="6" t="s">
        <v>19752</v>
      </c>
      <c r="AP2178" s="6" t="s">
        <v>81</v>
      </c>
      <c r="AQ2178" s="6" t="s">
        <v>81</v>
      </c>
      <c r="AR2178" s="6" t="s">
        <v>81</v>
      </c>
      <c r="AS2178" s="6" t="s">
        <v>81</v>
      </c>
      <c r="AT2178" s="6" t="s">
        <v>81</v>
      </c>
      <c r="AU2178" s="6" t="s">
        <v>81</v>
      </c>
      <c r="AV2178" s="6" t="s">
        <v>81</v>
      </c>
      <c r="AW2178" s="6" t="s">
        <v>81</v>
      </c>
      <c r="AX2178" s="6" t="s">
        <v>81</v>
      </c>
      <c r="AY2178" s="6" t="s">
        <v>23327</v>
      </c>
      <c r="AZ2178" s="6" t="s">
        <v>81</v>
      </c>
      <c r="BA2178" s="6" t="s">
        <v>23819</v>
      </c>
      <c r="BB2178" s="24" t="n">
        <v>334</v>
      </c>
      <c r="BC2178" s="26"/>
      <c r="BD2178" s="26"/>
      <c r="BE2178" s="26"/>
      <c r="BF2178" s="26" t="s">
        <v>23900</v>
      </c>
      <c r="BG2178" s="26"/>
      <c r="BH2178" s="26"/>
      <c r="BI2178" s="26"/>
      <c r="BJ2178" s="26"/>
      <c r="BK2178" s="26"/>
      <c r="BL2178" s="26"/>
      <c r="BM2178" s="26"/>
      <c r="BN2178" s="26"/>
      <c r="BO2178" s="26"/>
      <c r="BP2178" s="16" t="n">
        <v>45645</v>
      </c>
      <c r="BQ2178" s="28" t="str">
        <f>HYPERLINK("https://organic.ams.usda.gov/Integrity/Certificate.aspx?cid=45&amp;nopid=9950001452")</f>
        <v>https://organic.ams.usda.gov/Integrity/Certificate.aspx?cid=45&amp;nopid=9950001452</v>
      </c>
    </row>
    <row r="2179">
      <c r="A2179" t="s">
        <v>3</v>
      </c>
      <c r="B2179" s="6" t="s">
        <v>7</v>
      </c>
      <c r="C2179" s="6" t="s">
        <v>54</v>
      </c>
      <c r="D2179" s="6" t="s">
        <v>100</v>
      </c>
      <c r="E2179" s="10" t="s">
        <v>2320</v>
      </c>
      <c r="F2179" s="6" t="s">
        <v>5031</v>
      </c>
      <c r="G2179" s="6" t="s">
        <v>81</v>
      </c>
      <c r="H2179" s="6" t="s">
        <v>7881</v>
      </c>
      <c r="I2179" s="6" t="s">
        <v>9405</v>
      </c>
      <c r="J2179" s="6" t="s">
        <v>9760</v>
      </c>
      <c r="K2179" s="6" t="s">
        <v>10886</v>
      </c>
      <c r="L2179" s="16" t="n">
        <v>40112</v>
      </c>
      <c r="M2179" s="16" t="n">
        <v>45716</v>
      </c>
      <c r="N2179" s="6" t="s">
        <v>10886</v>
      </c>
      <c r="O2179" s="16" t="n">
        <v>40112</v>
      </c>
      <c r="P2179" s="6" t="s">
        <v>11773</v>
      </c>
      <c r="Q2179" s="6" t="s">
        <v>81</v>
      </c>
      <c r="R2179" s="6" t="s">
        <v>81</v>
      </c>
      <c r="S2179" s="6" t="s">
        <v>10886</v>
      </c>
      <c r="T2179" s="16" t="n">
        <v>40112</v>
      </c>
      <c r="U2179" s="6" t="s">
        <v>13284</v>
      </c>
      <c r="V2179" s="6" t="s">
        <v>81</v>
      </c>
      <c r="W2179" s="6" t="s">
        <v>81</v>
      </c>
      <c r="X2179" s="6" t="s">
        <v>81</v>
      </c>
      <c r="Y2179" s="21" t="s">
        <v>81</v>
      </c>
      <c r="Z2179" s="6" t="s">
        <v>81</v>
      </c>
      <c r="AA2179" s="6" t="s">
        <v>81</v>
      </c>
      <c r="AB2179" s="6" t="s">
        <v>81</v>
      </c>
      <c r="AC2179" s="6" t="s">
        <v>81</v>
      </c>
      <c r="AD2179" s="21" t="s">
        <v>81</v>
      </c>
      <c r="AE2179" s="6" t="s">
        <v>81</v>
      </c>
      <c r="AF2179" s="6" t="s">
        <v>81</v>
      </c>
      <c r="AG2179" s="6" t="s">
        <v>81</v>
      </c>
      <c r="AH2179" s="6" t="s">
        <v>16727</v>
      </c>
      <c r="AI2179" s="6" t="s">
        <v>81</v>
      </c>
      <c r="AJ2179" s="6" t="s">
        <v>17619</v>
      </c>
      <c r="AK2179" s="6" t="s">
        <v>17712</v>
      </c>
      <c r="AL2179" s="6" t="s">
        <v>18444</v>
      </c>
      <c r="AM2179" s="6" t="s">
        <v>5908</v>
      </c>
      <c r="AN2179" s="6" t="s">
        <v>19652</v>
      </c>
      <c r="AO2179" s="6" t="s">
        <v>19742</v>
      </c>
      <c r="AP2179" s="6" t="s">
        <v>16727</v>
      </c>
      <c r="AQ2179" s="6" t="s">
        <v>81</v>
      </c>
      <c r="AR2179" s="6" t="s">
        <v>17619</v>
      </c>
      <c r="AS2179" s="6" t="s">
        <v>17712</v>
      </c>
      <c r="AT2179" s="6" t="s">
        <v>18444</v>
      </c>
      <c r="AU2179" s="6" t="s">
        <v>5908</v>
      </c>
      <c r="AV2179" s="6" t="s">
        <v>81</v>
      </c>
      <c r="AW2179" s="6" t="s">
        <v>81</v>
      </c>
      <c r="AX2179" s="6" t="s">
        <v>81</v>
      </c>
      <c r="AY2179" s="6" t="s">
        <v>81</v>
      </c>
      <c r="AZ2179" s="6" t="s">
        <v>81</v>
      </c>
      <c r="BA2179" s="6" t="s">
        <v>81</v>
      </c>
      <c r="BB2179" s="24" t="n">
        <v>89</v>
      </c>
      <c r="BC2179" s="26"/>
      <c r="BD2179" s="26"/>
      <c r="BE2179" s="26"/>
      <c r="BF2179" s="26" t="s">
        <v>23900</v>
      </c>
      <c r="BG2179" s="26"/>
      <c r="BH2179" s="26"/>
      <c r="BI2179" s="26"/>
      <c r="BJ2179" s="26"/>
      <c r="BK2179" s="26"/>
      <c r="BL2179" s="26"/>
      <c r="BM2179" s="26"/>
      <c r="BN2179" s="26"/>
      <c r="BO2179" s="26"/>
      <c r="BP2179" s="16" t="n">
        <v>45674</v>
      </c>
      <c r="BQ2179" s="28" t="str">
        <f>HYPERLINK("https://organic.ams.usda.gov/Integrity/Certificate.aspx?cid=57&amp;nopid=3252009051")</f>
        <v>https://organic.ams.usda.gov/Integrity/Certificate.aspx?cid=57&amp;nopid=3252009051</v>
      </c>
    </row>
    <row r="2180">
      <c r="A2180" t="s">
        <v>3</v>
      </c>
      <c r="B2180" s="6" t="s">
        <v>8</v>
      </c>
      <c r="C2180" s="6" t="s">
        <v>55</v>
      </c>
      <c r="D2180" s="6" t="s">
        <v>101</v>
      </c>
      <c r="E2180" s="10" t="s">
        <v>2321</v>
      </c>
      <c r="F2180" s="6" t="s">
        <v>5032</v>
      </c>
      <c r="G2180" s="6" t="s">
        <v>81</v>
      </c>
      <c r="H2180" s="6" t="s">
        <v>7882</v>
      </c>
      <c r="I2180" s="6" t="s">
        <v>9405</v>
      </c>
      <c r="J2180" s="6" t="s">
        <v>9672</v>
      </c>
      <c r="K2180" s="6" t="s">
        <v>10886</v>
      </c>
      <c r="L2180" s="16" t="n">
        <v>42090</v>
      </c>
      <c r="M2180" s="18" t="s">
        <v>81</v>
      </c>
      <c r="N2180" s="6" t="s">
        <v>10886</v>
      </c>
      <c r="O2180" s="16" t="n">
        <v>42090</v>
      </c>
      <c r="P2180" s="6" t="s">
        <v>12121</v>
      </c>
      <c r="Q2180" s="6" t="s">
        <v>81</v>
      </c>
      <c r="R2180" s="6" t="s">
        <v>81</v>
      </c>
      <c r="S2180" s="6" t="s">
        <v>10886</v>
      </c>
      <c r="T2180" s="16" t="n">
        <v>42090</v>
      </c>
      <c r="U2180" s="6" t="s">
        <v>13229</v>
      </c>
      <c r="V2180" s="6" t="s">
        <v>81</v>
      </c>
      <c r="W2180" s="6" t="s">
        <v>81</v>
      </c>
      <c r="X2180" s="6" t="s">
        <v>81</v>
      </c>
      <c r="Y2180" s="21" t="s">
        <v>81</v>
      </c>
      <c r="Z2180" s="6" t="s">
        <v>81</v>
      </c>
      <c r="AA2180" s="6" t="s">
        <v>81</v>
      </c>
      <c r="AB2180" s="6" t="s">
        <v>81</v>
      </c>
      <c r="AC2180" s="6" t="s">
        <v>81</v>
      </c>
      <c r="AD2180" s="21" t="s">
        <v>81</v>
      </c>
      <c r="AE2180" s="6" t="s">
        <v>81</v>
      </c>
      <c r="AF2180" s="6" t="s">
        <v>81</v>
      </c>
      <c r="AG2180" s="6" t="s">
        <v>81</v>
      </c>
      <c r="AH2180" s="6" t="s">
        <v>16728</v>
      </c>
      <c r="AI2180" s="6" t="s">
        <v>81</v>
      </c>
      <c r="AJ2180" s="6" t="s">
        <v>17525</v>
      </c>
      <c r="AK2180" s="6" t="s">
        <v>18379</v>
      </c>
      <c r="AL2180" s="6" t="s">
        <v>18444</v>
      </c>
      <c r="AM2180" s="6" t="s">
        <v>19221</v>
      </c>
      <c r="AN2180" s="6" t="s">
        <v>19671</v>
      </c>
      <c r="AO2180" s="6" t="s">
        <v>19784</v>
      </c>
      <c r="AP2180" s="6" t="s">
        <v>81</v>
      </c>
      <c r="AQ2180" s="6" t="s">
        <v>81</v>
      </c>
      <c r="AR2180" s="6" t="s">
        <v>81</v>
      </c>
      <c r="AS2180" s="6" t="s">
        <v>81</v>
      </c>
      <c r="AT2180" s="6" t="s">
        <v>81</v>
      </c>
      <c r="AU2180" s="6" t="s">
        <v>81</v>
      </c>
      <c r="AV2180" s="6" t="s">
        <v>81</v>
      </c>
      <c r="AW2180" s="6" t="s">
        <v>81</v>
      </c>
      <c r="AX2180" s="6" t="s">
        <v>81</v>
      </c>
      <c r="AY2180" s="6" t="s">
        <v>81</v>
      </c>
      <c r="AZ2180" s="6" t="s">
        <v>81</v>
      </c>
      <c r="BA2180" s="6" t="s">
        <v>81</v>
      </c>
      <c r="BB2180" s="24" t="n">
        <v>129</v>
      </c>
      <c r="BC2180" s="26"/>
      <c r="BD2180" s="26"/>
      <c r="BE2180" s="26"/>
      <c r="BF2180" s="26"/>
      <c r="BG2180" s="26"/>
      <c r="BH2180" s="26"/>
      <c r="BI2180" s="26"/>
      <c r="BJ2180" s="26"/>
      <c r="BK2180" s="26"/>
      <c r="BL2180" s="26"/>
      <c r="BM2180" s="26"/>
      <c r="BN2180" s="26"/>
      <c r="BO2180" s="26"/>
      <c r="BP2180" s="16" t="n">
        <v>45292</v>
      </c>
      <c r="BQ2180" s="28" t="str">
        <f>HYPERLINK("https://organic.ams.usda.gov/Integrity/Certificate.aspx?cid=45&amp;nopid=9950008189")</f>
        <v>https://organic.ams.usda.gov/Integrity/Certificate.aspx?cid=45&amp;nopid=9950008189</v>
      </c>
    </row>
    <row r="2181">
      <c r="A2181" t="s">
        <v>3</v>
      </c>
      <c r="B2181" s="6" t="s">
        <v>9</v>
      </c>
      <c r="C2181" s="6" t="s">
        <v>56</v>
      </c>
      <c r="D2181" s="6" t="s">
        <v>102</v>
      </c>
      <c r="E2181" s="10" t="s">
        <v>2322</v>
      </c>
      <c r="F2181" s="6" t="s">
        <v>5033</v>
      </c>
      <c r="G2181" s="6" t="s">
        <v>81</v>
      </c>
      <c r="H2181" s="6" t="s">
        <v>7883</v>
      </c>
      <c r="I2181" s="6" t="s">
        <v>9405</v>
      </c>
      <c r="J2181" s="6" t="s">
        <v>9675</v>
      </c>
      <c r="K2181" s="6" t="s">
        <v>10886</v>
      </c>
      <c r="L2181" s="16" t="n">
        <v>41786</v>
      </c>
      <c r="M2181" s="16" t="n">
        <v>46113</v>
      </c>
      <c r="N2181" s="6" t="s">
        <v>10886</v>
      </c>
      <c r="O2181" s="16" t="n">
        <v>41786</v>
      </c>
      <c r="P2181" s="6" t="s">
        <v>10939</v>
      </c>
      <c r="Q2181" s="6" t="s">
        <v>81</v>
      </c>
      <c r="R2181" s="6" t="s">
        <v>13020</v>
      </c>
      <c r="S2181" s="6" t="s">
        <v>10886</v>
      </c>
      <c r="T2181" s="16" t="n">
        <v>41786</v>
      </c>
      <c r="U2181" s="6" t="s">
        <v>13176</v>
      </c>
      <c r="V2181" s="6" t="s">
        <v>81</v>
      </c>
      <c r="W2181" s="6" t="s">
        <v>13020</v>
      </c>
      <c r="X2181" s="6" t="s">
        <v>81</v>
      </c>
      <c r="Y2181" s="21" t="s">
        <v>81</v>
      </c>
      <c r="Z2181" s="6" t="s">
        <v>81</v>
      </c>
      <c r="AA2181" s="6" t="s">
        <v>81</v>
      </c>
      <c r="AB2181" s="6" t="s">
        <v>81</v>
      </c>
      <c r="AC2181" s="6" t="s">
        <v>81</v>
      </c>
      <c r="AD2181" s="21" t="s">
        <v>81</v>
      </c>
      <c r="AE2181" s="6" t="s">
        <v>81</v>
      </c>
      <c r="AF2181" s="6" t="s">
        <v>81</v>
      </c>
      <c r="AG2181" s="6" t="s">
        <v>81</v>
      </c>
      <c r="AH2181" s="6" t="s">
        <v>16729</v>
      </c>
      <c r="AI2181" s="6" t="s">
        <v>81</v>
      </c>
      <c r="AJ2181" s="6" t="s">
        <v>18237</v>
      </c>
      <c r="AK2181" s="6" t="s">
        <v>18377</v>
      </c>
      <c r="AL2181" s="6" t="s">
        <v>18444</v>
      </c>
      <c r="AM2181" s="6" t="s">
        <v>19453</v>
      </c>
      <c r="AN2181" s="6" t="s">
        <v>19653</v>
      </c>
      <c r="AO2181" s="6" t="s">
        <v>19838</v>
      </c>
      <c r="AP2181" s="6" t="s">
        <v>81</v>
      </c>
      <c r="AQ2181" s="6" t="s">
        <v>81</v>
      </c>
      <c r="AR2181" s="6" t="s">
        <v>81</v>
      </c>
      <c r="AS2181" s="6" t="s">
        <v>81</v>
      </c>
      <c r="AT2181" s="6" t="s">
        <v>81</v>
      </c>
      <c r="AU2181" s="6" t="s">
        <v>81</v>
      </c>
      <c r="AV2181" s="6" t="s">
        <v>81</v>
      </c>
      <c r="AW2181" s="6" t="s">
        <v>81</v>
      </c>
      <c r="AX2181" s="6" t="s">
        <v>81</v>
      </c>
      <c r="AY2181" s="6" t="s">
        <v>81</v>
      </c>
      <c r="AZ2181" s="6" t="s">
        <v>81</v>
      </c>
      <c r="BA2181" s="6" t="s">
        <v>23837</v>
      </c>
      <c r="BB2181" s="24" t="n">
        <v>132</v>
      </c>
      <c r="BC2181" s="26"/>
      <c r="BD2181" s="26"/>
      <c r="BE2181" s="26"/>
      <c r="BF2181" s="26"/>
      <c r="BG2181" s="26"/>
      <c r="BH2181" s="26"/>
      <c r="BI2181" s="26"/>
      <c r="BJ2181" s="26"/>
      <c r="BK2181" s="26"/>
      <c r="BL2181" s="26"/>
      <c r="BM2181" s="26"/>
      <c r="BN2181" s="26"/>
      <c r="BO2181" s="26"/>
      <c r="BP2181" s="16" t="n">
        <v>45738</v>
      </c>
      <c r="BQ2181" s="28" t="str">
        <f>HYPERLINK("https://organic.ams.usda.gov/Integrity/Certificate.aspx?cid=52&amp;nopid=8431400685")</f>
        <v>https://organic.ams.usda.gov/Integrity/Certificate.aspx?cid=52&amp;nopid=8431400685</v>
      </c>
    </row>
    <row r="2182">
      <c r="A2182" t="s">
        <v>3</v>
      </c>
      <c r="B2182" s="6" t="s">
        <v>10</v>
      </c>
      <c r="C2182" s="6" t="s">
        <v>57</v>
      </c>
      <c r="D2182" s="6" t="s">
        <v>103</v>
      </c>
      <c r="E2182" s="10" t="s">
        <v>2323</v>
      </c>
      <c r="F2182" s="6" t="s">
        <v>5034</v>
      </c>
      <c r="G2182" s="6" t="s">
        <v>81</v>
      </c>
      <c r="H2182" s="6" t="s">
        <v>7884</v>
      </c>
      <c r="I2182" s="6" t="s">
        <v>9452</v>
      </c>
      <c r="J2182" s="6" t="s">
        <v>9699</v>
      </c>
      <c r="K2182" s="6" t="s">
        <v>10886</v>
      </c>
      <c r="L2182" s="16" t="n">
        <v>45404</v>
      </c>
      <c r="M2182" s="16" t="n">
        <v>45748</v>
      </c>
      <c r="N2182" s="6" t="s">
        <v>10886</v>
      </c>
      <c r="O2182" s="16" t="n">
        <v>45404</v>
      </c>
      <c r="P2182" s="6" t="s">
        <v>12122</v>
      </c>
      <c r="Q2182" s="6" t="s">
        <v>81</v>
      </c>
      <c r="R2182" s="6" t="s">
        <v>13021</v>
      </c>
      <c r="S2182" s="6" t="s">
        <v>10886</v>
      </c>
      <c r="T2182" s="16" t="n">
        <v>45404</v>
      </c>
      <c r="U2182" s="6" t="s">
        <v>13163</v>
      </c>
      <c r="V2182" s="6" t="s">
        <v>81</v>
      </c>
      <c r="W2182" s="6" t="s">
        <v>81</v>
      </c>
      <c r="X2182" s="6" t="s">
        <v>81</v>
      </c>
      <c r="Y2182" s="21" t="s">
        <v>81</v>
      </c>
      <c r="Z2182" s="6" t="s">
        <v>81</v>
      </c>
      <c r="AA2182" s="6" t="s">
        <v>81</v>
      </c>
      <c r="AB2182" s="6" t="s">
        <v>81</v>
      </c>
      <c r="AC2182" s="6" t="s">
        <v>81</v>
      </c>
      <c r="AD2182" s="21" t="s">
        <v>81</v>
      </c>
      <c r="AE2182" s="6" t="s">
        <v>81</v>
      </c>
      <c r="AF2182" s="6" t="s">
        <v>81</v>
      </c>
      <c r="AG2182" s="6" t="s">
        <v>81</v>
      </c>
      <c r="AH2182" s="6" t="s">
        <v>16730</v>
      </c>
      <c r="AI2182" s="6" t="s">
        <v>81</v>
      </c>
      <c r="AJ2182" s="6" t="s">
        <v>17727</v>
      </c>
      <c r="AK2182" s="6" t="s">
        <v>18379</v>
      </c>
      <c r="AL2182" s="6" t="s">
        <v>18444</v>
      </c>
      <c r="AM2182" s="6" t="s">
        <v>18896</v>
      </c>
      <c r="AN2182" s="6" t="s">
        <v>81</v>
      </c>
      <c r="AO2182" s="6" t="s">
        <v>81</v>
      </c>
      <c r="AP2182" s="6" t="s">
        <v>16730</v>
      </c>
      <c r="AQ2182" s="6" t="s">
        <v>81</v>
      </c>
      <c r="AR2182" s="6" t="s">
        <v>17727</v>
      </c>
      <c r="AS2182" s="6" t="s">
        <v>18379</v>
      </c>
      <c r="AT2182" s="6" t="s">
        <v>18444</v>
      </c>
      <c r="AU2182" s="6" t="s">
        <v>18896</v>
      </c>
      <c r="AV2182" s="6" t="s">
        <v>81</v>
      </c>
      <c r="AW2182" s="6" t="s">
        <v>81</v>
      </c>
      <c r="AX2182" s="6" t="s">
        <v>22182</v>
      </c>
      <c r="AY2182" s="6" t="s">
        <v>81</v>
      </c>
      <c r="AZ2182" s="6" t="s">
        <v>81</v>
      </c>
      <c r="BA2182" s="6" t="s">
        <v>81</v>
      </c>
      <c r="BB2182" s="24" t="n">
        <v>92</v>
      </c>
      <c r="BC2182" s="26"/>
      <c r="BD2182" s="26"/>
      <c r="BE2182" s="26"/>
      <c r="BF2182" s="26"/>
      <c r="BG2182" s="26"/>
      <c r="BH2182" s="26"/>
      <c r="BI2182" s="26"/>
      <c r="BJ2182" s="26"/>
      <c r="BK2182" s="26"/>
      <c r="BL2182" s="26"/>
      <c r="BM2182" s="26"/>
      <c r="BN2182" s="26"/>
      <c r="BO2182" s="26"/>
      <c r="BP2182" s="16" t="n">
        <v>45730</v>
      </c>
      <c r="BQ2182" s="28" t="str">
        <f>HYPERLINK("https://organic.ams.usda.gov/Integrity/Certificate.aspx?cid=90&amp;nopid=7170240793")</f>
        <v>https://organic.ams.usda.gov/Integrity/Certificate.aspx?cid=90&amp;nopid=7170240793</v>
      </c>
    </row>
    <row r="2183">
      <c r="A2183" t="s">
        <v>3</v>
      </c>
      <c r="B2183" s="6" t="s">
        <v>12</v>
      </c>
      <c r="C2183" s="6" t="s">
        <v>59</v>
      </c>
      <c r="D2183" s="6" t="s">
        <v>105</v>
      </c>
      <c r="E2183" s="10" t="s">
        <v>2324</v>
      </c>
      <c r="F2183" s="6" t="s">
        <v>5035</v>
      </c>
      <c r="G2183" s="6" t="s">
        <v>81</v>
      </c>
      <c r="H2183" s="6" t="s">
        <v>6843</v>
      </c>
      <c r="I2183" s="6" t="s">
        <v>9453</v>
      </c>
      <c r="J2183" s="6" t="s">
        <v>10053</v>
      </c>
      <c r="K2183" s="6" t="s">
        <v>10886</v>
      </c>
      <c r="L2183" s="16" t="n">
        <v>40966</v>
      </c>
      <c r="M2183" s="16" t="n">
        <v>45717</v>
      </c>
      <c r="N2183" s="6" t="s">
        <v>10886</v>
      </c>
      <c r="O2183" s="16" t="n">
        <v>40966</v>
      </c>
      <c r="P2183" s="6" t="s">
        <v>12123</v>
      </c>
      <c r="Q2183" s="6" t="s">
        <v>81</v>
      </c>
      <c r="R2183" s="6" t="s">
        <v>81</v>
      </c>
      <c r="S2183" s="6" t="s">
        <v>10886</v>
      </c>
      <c r="T2183" s="16" t="n">
        <v>40966</v>
      </c>
      <c r="U2183" s="6" t="s">
        <v>13563</v>
      </c>
      <c r="V2183" s="6" t="s">
        <v>81</v>
      </c>
      <c r="W2183" s="6" t="s">
        <v>81</v>
      </c>
      <c r="X2183" s="6" t="s">
        <v>81</v>
      </c>
      <c r="Y2183" s="21" t="s">
        <v>81</v>
      </c>
      <c r="Z2183" s="6" t="s">
        <v>81</v>
      </c>
      <c r="AA2183" s="6" t="s">
        <v>81</v>
      </c>
      <c r="AB2183" s="6" t="s">
        <v>81</v>
      </c>
      <c r="AC2183" s="6" t="s">
        <v>81</v>
      </c>
      <c r="AD2183" s="21" t="s">
        <v>81</v>
      </c>
      <c r="AE2183" s="6" t="s">
        <v>81</v>
      </c>
      <c r="AF2183" s="6" t="s">
        <v>81</v>
      </c>
      <c r="AG2183" s="6" t="s">
        <v>81</v>
      </c>
      <c r="AH2183" s="6" t="s">
        <v>16731</v>
      </c>
      <c r="AI2183" s="6" t="s">
        <v>81</v>
      </c>
      <c r="AJ2183" s="6" t="s">
        <v>17743</v>
      </c>
      <c r="AK2183" s="6" t="s">
        <v>18380</v>
      </c>
      <c r="AL2183" s="6" t="s">
        <v>18444</v>
      </c>
      <c r="AM2183" s="6" t="s">
        <v>18911</v>
      </c>
      <c r="AN2183" s="6" t="s">
        <v>19637</v>
      </c>
      <c r="AO2183" s="6" t="s">
        <v>19904</v>
      </c>
      <c r="AP2183" s="6" t="s">
        <v>16731</v>
      </c>
      <c r="AQ2183" s="6" t="s">
        <v>81</v>
      </c>
      <c r="AR2183" s="6" t="s">
        <v>17743</v>
      </c>
      <c r="AS2183" s="6" t="s">
        <v>18380</v>
      </c>
      <c r="AT2183" s="6" t="s">
        <v>18444</v>
      </c>
      <c r="AU2183" s="6" t="s">
        <v>18911</v>
      </c>
      <c r="AV2183" s="6" t="s">
        <v>81</v>
      </c>
      <c r="AW2183" s="6" t="s">
        <v>81</v>
      </c>
      <c r="AX2183" s="6" t="s">
        <v>81</v>
      </c>
      <c r="AY2183" s="6" t="s">
        <v>81</v>
      </c>
      <c r="AZ2183" s="6" t="s">
        <v>81</v>
      </c>
      <c r="BA2183" s="6" t="s">
        <v>81</v>
      </c>
      <c r="BB2183" s="24" t="n">
        <v>72</v>
      </c>
      <c r="BC2183" s="26"/>
      <c r="BD2183" s="26"/>
      <c r="BE2183" s="26"/>
      <c r="BF2183" s="26"/>
      <c r="BG2183" s="26"/>
      <c r="BH2183" s="26"/>
      <c r="BI2183" s="26"/>
      <c r="BJ2183" s="26"/>
      <c r="BK2183" s="26"/>
      <c r="BL2183" s="26"/>
      <c r="BM2183" s="26"/>
      <c r="BN2183" s="26"/>
      <c r="BO2183" s="26"/>
      <c r="BP2183" s="16" t="n">
        <v>45684</v>
      </c>
      <c r="BQ2183" s="28" t="str">
        <f>HYPERLINK("https://organic.ams.usda.gov/Integrity/Certificate.aspx?cid=68&amp;nopid=8210003191")</f>
        <v>https://organic.ams.usda.gov/Integrity/Certificate.aspx?cid=68&amp;nopid=8210003191</v>
      </c>
    </row>
    <row r="2184">
      <c r="A2184" t="s">
        <v>3</v>
      </c>
      <c r="B2184" s="6" t="s">
        <v>19</v>
      </c>
      <c r="C2184" s="6" t="s">
        <v>66</v>
      </c>
      <c r="D2184" s="6" t="s">
        <v>112</v>
      </c>
      <c r="E2184" s="10" t="s">
        <v>2325</v>
      </c>
      <c r="F2184" s="6" t="s">
        <v>5036</v>
      </c>
      <c r="G2184" s="6" t="s">
        <v>81</v>
      </c>
      <c r="H2184" s="6" t="s">
        <v>7885</v>
      </c>
      <c r="I2184" s="6" t="s">
        <v>81</v>
      </c>
      <c r="J2184" s="6" t="s">
        <v>10653</v>
      </c>
      <c r="K2184" s="6" t="s">
        <v>10886</v>
      </c>
      <c r="L2184" s="16" t="n">
        <v>44210</v>
      </c>
      <c r="M2184" s="16" t="n">
        <v>46054</v>
      </c>
      <c r="N2184" s="6" t="s">
        <v>10886</v>
      </c>
      <c r="O2184" s="16" t="n">
        <v>44210</v>
      </c>
      <c r="P2184" s="6" t="s">
        <v>12124</v>
      </c>
      <c r="Q2184" s="6" t="s">
        <v>81</v>
      </c>
      <c r="R2184" s="6" t="s">
        <v>81</v>
      </c>
      <c r="S2184" s="6" t="s">
        <v>10886</v>
      </c>
      <c r="T2184" s="16" t="n">
        <v>44210</v>
      </c>
      <c r="U2184" s="6" t="s">
        <v>13816</v>
      </c>
      <c r="V2184" s="6" t="s">
        <v>81</v>
      </c>
      <c r="W2184" s="6" t="s">
        <v>81</v>
      </c>
      <c r="X2184" s="6" t="s">
        <v>81</v>
      </c>
      <c r="Y2184" s="21" t="s">
        <v>81</v>
      </c>
      <c r="Z2184" s="6" t="s">
        <v>81</v>
      </c>
      <c r="AA2184" s="6" t="s">
        <v>81</v>
      </c>
      <c r="AB2184" s="6" t="s">
        <v>81</v>
      </c>
      <c r="AC2184" s="6" t="s">
        <v>81</v>
      </c>
      <c r="AD2184" s="21" t="s">
        <v>81</v>
      </c>
      <c r="AE2184" s="6" t="s">
        <v>81</v>
      </c>
      <c r="AF2184" s="6" t="s">
        <v>81</v>
      </c>
      <c r="AG2184" s="6" t="s">
        <v>81</v>
      </c>
      <c r="AH2184" s="6" t="s">
        <v>16732</v>
      </c>
      <c r="AI2184" s="6" t="s">
        <v>81</v>
      </c>
      <c r="AJ2184" s="6" t="s">
        <v>18238</v>
      </c>
      <c r="AK2184" s="6" t="s">
        <v>17712</v>
      </c>
      <c r="AL2184" s="6" t="s">
        <v>18444</v>
      </c>
      <c r="AM2184" s="6" t="s">
        <v>19454</v>
      </c>
      <c r="AN2184" s="6" t="s">
        <v>19657</v>
      </c>
      <c r="AO2184" s="6" t="s">
        <v>19751</v>
      </c>
      <c r="AP2184" s="6" t="s">
        <v>81</v>
      </c>
      <c r="AQ2184" s="6" t="s">
        <v>81</v>
      </c>
      <c r="AR2184" s="6" t="s">
        <v>81</v>
      </c>
      <c r="AS2184" s="6" t="s">
        <v>81</v>
      </c>
      <c r="AT2184" s="6" t="s">
        <v>81</v>
      </c>
      <c r="AU2184" s="6" t="s">
        <v>81</v>
      </c>
      <c r="AV2184" s="6" t="s">
        <v>81</v>
      </c>
      <c r="AW2184" s="6" t="s">
        <v>81</v>
      </c>
      <c r="AX2184" s="6" t="s">
        <v>22183</v>
      </c>
      <c r="AY2184" s="6" t="s">
        <v>81</v>
      </c>
      <c r="AZ2184" s="6" t="s">
        <v>81</v>
      </c>
      <c r="BA2184" s="6" t="s">
        <v>81</v>
      </c>
      <c r="BB2184" s="24" t="n">
        <v>166</v>
      </c>
      <c r="BC2184" s="26"/>
      <c r="BD2184" s="26"/>
      <c r="BE2184" s="26"/>
      <c r="BF2184" s="26" t="s">
        <v>23900</v>
      </c>
      <c r="BG2184" s="26"/>
      <c r="BH2184" s="26"/>
      <c r="BI2184" s="26"/>
      <c r="BJ2184" s="26"/>
      <c r="BK2184" s="26"/>
      <c r="BL2184" s="26"/>
      <c r="BM2184" s="26"/>
      <c r="BN2184" s="26"/>
      <c r="BO2184" s="26"/>
      <c r="BP2184" s="16" t="n">
        <v>45694</v>
      </c>
      <c r="BQ2184" s="28" t="str">
        <f>HYPERLINK("https://organic.ams.usda.gov/Integrity/Certificate.aspx?cid=24&amp;nopid=7881416320")</f>
        <v>https://organic.ams.usda.gov/Integrity/Certificate.aspx?cid=24&amp;nopid=7881416320</v>
      </c>
    </row>
    <row r="2185">
      <c r="A2185" t="s">
        <v>3</v>
      </c>
      <c r="B2185" s="6" t="s">
        <v>7</v>
      </c>
      <c r="C2185" s="6" t="s">
        <v>54</v>
      </c>
      <c r="D2185" s="6" t="s">
        <v>100</v>
      </c>
      <c r="E2185" s="10" t="s">
        <v>2326</v>
      </c>
      <c r="F2185" s="6" t="s">
        <v>5037</v>
      </c>
      <c r="G2185" s="6" t="s">
        <v>81</v>
      </c>
      <c r="H2185" s="6" t="s">
        <v>7886</v>
      </c>
      <c r="I2185" s="6" t="s">
        <v>9405</v>
      </c>
      <c r="J2185" s="6" t="s">
        <v>9727</v>
      </c>
      <c r="K2185" s="6" t="s">
        <v>10886</v>
      </c>
      <c r="L2185" s="16" t="n">
        <v>41957</v>
      </c>
      <c r="M2185" s="16" t="n">
        <v>45716</v>
      </c>
      <c r="N2185" s="6" t="s">
        <v>10886</v>
      </c>
      <c r="O2185" s="16" t="n">
        <v>41957</v>
      </c>
      <c r="P2185" s="6" t="s">
        <v>10925</v>
      </c>
      <c r="Q2185" s="6" t="s">
        <v>81</v>
      </c>
      <c r="R2185" s="6" t="s">
        <v>81</v>
      </c>
      <c r="S2185" s="6" t="s">
        <v>10886</v>
      </c>
      <c r="T2185" s="16" t="n">
        <v>41957</v>
      </c>
      <c r="U2185" s="6" t="s">
        <v>13169</v>
      </c>
      <c r="V2185" s="6" t="s">
        <v>81</v>
      </c>
      <c r="W2185" s="6" t="s">
        <v>81</v>
      </c>
      <c r="X2185" s="6" t="s">
        <v>81</v>
      </c>
      <c r="Y2185" s="21" t="s">
        <v>81</v>
      </c>
      <c r="Z2185" s="6" t="s">
        <v>81</v>
      </c>
      <c r="AA2185" s="6" t="s">
        <v>81</v>
      </c>
      <c r="AB2185" s="6" t="s">
        <v>81</v>
      </c>
      <c r="AC2185" s="6" t="s">
        <v>81</v>
      </c>
      <c r="AD2185" s="21" t="s">
        <v>81</v>
      </c>
      <c r="AE2185" s="6" t="s">
        <v>81</v>
      </c>
      <c r="AF2185" s="6" t="s">
        <v>81</v>
      </c>
      <c r="AG2185" s="6" t="s">
        <v>81</v>
      </c>
      <c r="AH2185" s="6" t="s">
        <v>16733</v>
      </c>
      <c r="AI2185" s="6" t="s">
        <v>81</v>
      </c>
      <c r="AJ2185" s="6" t="s">
        <v>17346</v>
      </c>
      <c r="AK2185" s="6" t="s">
        <v>17712</v>
      </c>
      <c r="AL2185" s="6" t="s">
        <v>18444</v>
      </c>
      <c r="AM2185" s="6" t="s">
        <v>18500</v>
      </c>
      <c r="AN2185" s="6" t="s">
        <v>19652</v>
      </c>
      <c r="AO2185" s="6" t="s">
        <v>19742</v>
      </c>
      <c r="AP2185" s="6" t="s">
        <v>16733</v>
      </c>
      <c r="AQ2185" s="6" t="s">
        <v>81</v>
      </c>
      <c r="AR2185" s="6" t="s">
        <v>17346</v>
      </c>
      <c r="AS2185" s="6" t="s">
        <v>17712</v>
      </c>
      <c r="AT2185" s="6" t="s">
        <v>18444</v>
      </c>
      <c r="AU2185" s="6" t="s">
        <v>18500</v>
      </c>
      <c r="AV2185" s="6" t="s">
        <v>81</v>
      </c>
      <c r="AW2185" s="6" t="s">
        <v>81</v>
      </c>
      <c r="AX2185" s="6" t="s">
        <v>81</v>
      </c>
      <c r="AY2185" s="6" t="s">
        <v>81</v>
      </c>
      <c r="AZ2185" s="6" t="s">
        <v>81</v>
      </c>
      <c r="BA2185" s="6" t="s">
        <v>81</v>
      </c>
      <c r="BB2185" s="24" t="n">
        <v>48</v>
      </c>
      <c r="BC2185" s="26"/>
      <c r="BD2185" s="26"/>
      <c r="BE2185" s="26"/>
      <c r="BF2185" s="26" t="s">
        <v>23900</v>
      </c>
      <c r="BG2185" s="26"/>
      <c r="BH2185" s="26"/>
      <c r="BI2185" s="26"/>
      <c r="BJ2185" s="26"/>
      <c r="BK2185" s="26"/>
      <c r="BL2185" s="26"/>
      <c r="BM2185" s="26"/>
      <c r="BN2185" s="26"/>
      <c r="BO2185" s="26"/>
      <c r="BP2185" s="16" t="n">
        <v>45623</v>
      </c>
      <c r="BQ2185" s="28" t="str">
        <f>HYPERLINK("https://organic.ams.usda.gov/Integrity/Certificate.aspx?cid=57&amp;nopid=3252007541")</f>
        <v>https://organic.ams.usda.gov/Integrity/Certificate.aspx?cid=57&amp;nopid=3252007541</v>
      </c>
    </row>
    <row r="2186">
      <c r="A2186" t="s">
        <v>3</v>
      </c>
      <c r="B2186" s="6" t="s">
        <v>7</v>
      </c>
      <c r="C2186" s="6" t="s">
        <v>54</v>
      </c>
      <c r="D2186" s="6" t="s">
        <v>100</v>
      </c>
      <c r="E2186" s="10" t="s">
        <v>2327</v>
      </c>
      <c r="F2186" s="6" t="s">
        <v>5038</v>
      </c>
      <c r="G2186" s="6" t="s">
        <v>81</v>
      </c>
      <c r="H2186" s="6" t="s">
        <v>7887</v>
      </c>
      <c r="I2186" s="6" t="s">
        <v>9405</v>
      </c>
      <c r="J2186" s="6" t="s">
        <v>9665</v>
      </c>
      <c r="K2186" s="6" t="s">
        <v>10886</v>
      </c>
      <c r="L2186" s="16" t="n">
        <v>42880</v>
      </c>
      <c r="M2186" s="16" t="n">
        <v>45716</v>
      </c>
      <c r="N2186" s="6" t="s">
        <v>10886</v>
      </c>
      <c r="O2186" s="16" t="n">
        <v>42880</v>
      </c>
      <c r="P2186" s="6" t="s">
        <v>11016</v>
      </c>
      <c r="Q2186" s="6" t="s">
        <v>81</v>
      </c>
      <c r="R2186" s="6" t="s">
        <v>81</v>
      </c>
      <c r="S2186" s="6" t="s">
        <v>10886</v>
      </c>
      <c r="T2186" s="16" t="n">
        <v>42885</v>
      </c>
      <c r="U2186" s="6" t="s">
        <v>13817</v>
      </c>
      <c r="V2186" s="6" t="s">
        <v>81</v>
      </c>
      <c r="W2186" s="6" t="s">
        <v>81</v>
      </c>
      <c r="X2186" s="6" t="s">
        <v>81</v>
      </c>
      <c r="Y2186" s="21" t="s">
        <v>81</v>
      </c>
      <c r="Z2186" s="6" t="s">
        <v>81</v>
      </c>
      <c r="AA2186" s="6" t="s">
        <v>81</v>
      </c>
      <c r="AB2186" s="6" t="s">
        <v>81</v>
      </c>
      <c r="AC2186" s="6" t="s">
        <v>81</v>
      </c>
      <c r="AD2186" s="21" t="s">
        <v>81</v>
      </c>
      <c r="AE2186" s="6" t="s">
        <v>81</v>
      </c>
      <c r="AF2186" s="6" t="s">
        <v>81</v>
      </c>
      <c r="AG2186" s="6" t="s">
        <v>81</v>
      </c>
      <c r="AH2186" s="6" t="s">
        <v>16734</v>
      </c>
      <c r="AI2186" s="6" t="s">
        <v>81</v>
      </c>
      <c r="AJ2186" s="6" t="s">
        <v>17346</v>
      </c>
      <c r="AK2186" s="6" t="s">
        <v>17712</v>
      </c>
      <c r="AL2186" s="6" t="s">
        <v>18444</v>
      </c>
      <c r="AM2186" s="6" t="s">
        <v>18500</v>
      </c>
      <c r="AN2186" s="6" t="s">
        <v>19652</v>
      </c>
      <c r="AO2186" s="6" t="s">
        <v>19742</v>
      </c>
      <c r="AP2186" s="6" t="s">
        <v>16734</v>
      </c>
      <c r="AQ2186" s="6" t="s">
        <v>81</v>
      </c>
      <c r="AR2186" s="6" t="s">
        <v>17346</v>
      </c>
      <c r="AS2186" s="6" t="s">
        <v>17712</v>
      </c>
      <c r="AT2186" s="6" t="s">
        <v>18444</v>
      </c>
      <c r="AU2186" s="6" t="s">
        <v>18500</v>
      </c>
      <c r="AV2186" s="6" t="s">
        <v>81</v>
      </c>
      <c r="AW2186" s="6" t="s">
        <v>81</v>
      </c>
      <c r="AX2186" s="6" t="s">
        <v>81</v>
      </c>
      <c r="AY2186" s="6" t="s">
        <v>81</v>
      </c>
      <c r="AZ2186" s="6" t="s">
        <v>81</v>
      </c>
      <c r="BA2186" s="6" t="s">
        <v>81</v>
      </c>
      <c r="BB2186" s="24" t="n">
        <v>107</v>
      </c>
      <c r="BC2186" s="26"/>
      <c r="BD2186" s="26"/>
      <c r="BE2186" s="26"/>
      <c r="BF2186" s="26"/>
      <c r="BG2186" s="26"/>
      <c r="BH2186" s="26"/>
      <c r="BI2186" s="26"/>
      <c r="BJ2186" s="26"/>
      <c r="BK2186" s="26"/>
      <c r="BL2186" s="26"/>
      <c r="BM2186" s="26"/>
      <c r="BN2186" s="26"/>
      <c r="BO2186" s="26"/>
      <c r="BP2186" s="16" t="n">
        <v>45667</v>
      </c>
      <c r="BQ2186" s="28" t="str">
        <f>HYPERLINK("https://organic.ams.usda.gov/Integrity/Certificate.aspx?cid=57&amp;nopid=3252017081")</f>
        <v>https://organic.ams.usda.gov/Integrity/Certificate.aspx?cid=57&amp;nopid=3252017081</v>
      </c>
    </row>
    <row r="2187">
      <c r="A2187" t="s">
        <v>3</v>
      </c>
      <c r="B2187" s="6" t="s">
        <v>13</v>
      </c>
      <c r="C2187" s="6" t="s">
        <v>60</v>
      </c>
      <c r="D2187" s="6" t="s">
        <v>106</v>
      </c>
      <c r="E2187" s="10" t="s">
        <v>2328</v>
      </c>
      <c r="F2187" s="6" t="s">
        <v>5039</v>
      </c>
      <c r="G2187" s="6" t="s">
        <v>81</v>
      </c>
      <c r="H2187" s="6" t="s">
        <v>7888</v>
      </c>
      <c r="I2187" s="6" t="s">
        <v>9405</v>
      </c>
      <c r="J2187" s="6" t="s">
        <v>9730</v>
      </c>
      <c r="K2187" s="6" t="s">
        <v>10886</v>
      </c>
      <c r="L2187" s="16" t="n">
        <v>41423</v>
      </c>
      <c r="M2187" s="16" t="n">
        <v>45748</v>
      </c>
      <c r="N2187" s="6" t="s">
        <v>10886</v>
      </c>
      <c r="O2187" s="16" t="n">
        <v>41423</v>
      </c>
      <c r="P2187" s="6" t="s">
        <v>12125</v>
      </c>
      <c r="Q2187" s="6" t="s">
        <v>81</v>
      </c>
      <c r="R2187" s="6" t="s">
        <v>13022</v>
      </c>
      <c r="S2187" s="6" t="s">
        <v>10886</v>
      </c>
      <c r="T2187" s="16" t="n">
        <v>41423</v>
      </c>
      <c r="U2187" s="6" t="s">
        <v>13818</v>
      </c>
      <c r="V2187" s="6" t="s">
        <v>81</v>
      </c>
      <c r="W2187" s="6" t="s">
        <v>13022</v>
      </c>
      <c r="X2187" s="6" t="s">
        <v>81</v>
      </c>
      <c r="Y2187" s="21" t="s">
        <v>81</v>
      </c>
      <c r="Z2187" s="6" t="s">
        <v>81</v>
      </c>
      <c r="AA2187" s="6" t="s">
        <v>81</v>
      </c>
      <c r="AB2187" s="6" t="s">
        <v>81</v>
      </c>
      <c r="AC2187" s="6" t="s">
        <v>81</v>
      </c>
      <c r="AD2187" s="21" t="s">
        <v>81</v>
      </c>
      <c r="AE2187" s="6" t="s">
        <v>81</v>
      </c>
      <c r="AF2187" s="6" t="s">
        <v>81</v>
      </c>
      <c r="AG2187" s="6" t="s">
        <v>81</v>
      </c>
      <c r="AH2187" s="6" t="s">
        <v>16735</v>
      </c>
      <c r="AI2187" s="6" t="s">
        <v>81</v>
      </c>
      <c r="AJ2187" s="6" t="s">
        <v>10323</v>
      </c>
      <c r="AK2187" s="6" t="s">
        <v>18379</v>
      </c>
      <c r="AL2187" s="6" t="s">
        <v>18444</v>
      </c>
      <c r="AM2187" s="6" t="s">
        <v>18485</v>
      </c>
      <c r="AN2187" s="6" t="s">
        <v>6842</v>
      </c>
      <c r="AO2187" s="6" t="s">
        <v>19781</v>
      </c>
      <c r="AP2187" s="6" t="s">
        <v>16735</v>
      </c>
      <c r="AQ2187" s="6" t="s">
        <v>81</v>
      </c>
      <c r="AR2187" s="6" t="s">
        <v>10323</v>
      </c>
      <c r="AS2187" s="6" t="s">
        <v>18379</v>
      </c>
      <c r="AT2187" s="6" t="s">
        <v>18444</v>
      </c>
      <c r="AU2187" s="6" t="s">
        <v>18485</v>
      </c>
      <c r="AV2187" s="6" t="s">
        <v>81</v>
      </c>
      <c r="AW2187" s="6" t="s">
        <v>81</v>
      </c>
      <c r="AX2187" s="6" t="s">
        <v>22184</v>
      </c>
      <c r="AY2187" s="6" t="s">
        <v>81</v>
      </c>
      <c r="AZ2187" s="6" t="s">
        <v>81</v>
      </c>
      <c r="BA2187" s="6" t="s">
        <v>81</v>
      </c>
      <c r="BB2187" s="24" t="n">
        <v>96</v>
      </c>
      <c r="BC2187" s="26"/>
      <c r="BD2187" s="26"/>
      <c r="BE2187" s="26"/>
      <c r="BF2187" s="26" t="s">
        <v>23900</v>
      </c>
      <c r="BG2187" s="26"/>
      <c r="BH2187" s="26"/>
      <c r="BI2187" s="26"/>
      <c r="BJ2187" s="26"/>
      <c r="BK2187" s="26" t="s">
        <v>23900</v>
      </c>
      <c r="BL2187" s="26"/>
      <c r="BM2187" s="26"/>
      <c r="BN2187" s="26"/>
      <c r="BO2187" s="26"/>
      <c r="BP2187" s="16" t="n">
        <v>45663</v>
      </c>
      <c r="BQ2187" s="28" t="str">
        <f>HYPERLINK("https://organic.ams.usda.gov/Integrity/Certificate.aspx?cid=72&amp;nopid=5870001624")</f>
        <v>https://organic.ams.usda.gov/Integrity/Certificate.aspx?cid=72&amp;nopid=5870001624</v>
      </c>
    </row>
    <row r="2188">
      <c r="A2188" t="s">
        <v>3</v>
      </c>
      <c r="B2188" s="6" t="s">
        <v>21</v>
      </c>
      <c r="C2188" s="6" t="s">
        <v>68</v>
      </c>
      <c r="D2188" s="6" t="s">
        <v>114</v>
      </c>
      <c r="E2188" s="10" t="s">
        <v>2329</v>
      </c>
      <c r="F2188" s="6" t="s">
        <v>5040</v>
      </c>
      <c r="G2188" s="6" t="s">
        <v>81</v>
      </c>
      <c r="H2188" s="6" t="s">
        <v>7889</v>
      </c>
      <c r="I2188" s="6" t="s">
        <v>9454</v>
      </c>
      <c r="J2188" s="6" t="s">
        <v>10654</v>
      </c>
      <c r="K2188" s="6" t="s">
        <v>10886</v>
      </c>
      <c r="L2188" s="16" t="n">
        <v>40058</v>
      </c>
      <c r="M2188" s="16" t="n">
        <v>46113</v>
      </c>
      <c r="N2188" s="6" t="s">
        <v>81</v>
      </c>
      <c r="O2188" s="21" t="s">
        <v>81</v>
      </c>
      <c r="P2188" s="6" t="s">
        <v>81</v>
      </c>
      <c r="Q2188" s="6" t="s">
        <v>81</v>
      </c>
      <c r="R2188" s="6" t="s">
        <v>81</v>
      </c>
      <c r="S2188" s="6" t="s">
        <v>81</v>
      </c>
      <c r="T2188" s="21" t="s">
        <v>81</v>
      </c>
      <c r="U2188" s="6" t="s">
        <v>81</v>
      </c>
      <c r="V2188" s="6" t="s">
        <v>81</v>
      </c>
      <c r="W2188" s="6" t="s">
        <v>81</v>
      </c>
      <c r="X2188" s="6" t="s">
        <v>81</v>
      </c>
      <c r="Y2188" s="21" t="s">
        <v>81</v>
      </c>
      <c r="Z2188" s="6" t="s">
        <v>81</v>
      </c>
      <c r="AA2188" s="6" t="s">
        <v>81</v>
      </c>
      <c r="AB2188" s="6" t="s">
        <v>81</v>
      </c>
      <c r="AC2188" s="6" t="s">
        <v>10886</v>
      </c>
      <c r="AD2188" s="16" t="n">
        <v>40058</v>
      </c>
      <c r="AE2188" s="6" t="s">
        <v>14393</v>
      </c>
      <c r="AF2188" s="6" t="s">
        <v>81</v>
      </c>
      <c r="AG2188" s="6" t="s">
        <v>81</v>
      </c>
      <c r="AH2188" s="6" t="s">
        <v>81</v>
      </c>
      <c r="AI2188" s="6" t="s">
        <v>81</v>
      </c>
      <c r="AJ2188" s="6" t="s">
        <v>81</v>
      </c>
      <c r="AK2188" s="6" t="s">
        <v>81</v>
      </c>
      <c r="AL2188" s="6" t="s">
        <v>81</v>
      </c>
      <c r="AM2188" s="6" t="s">
        <v>81</v>
      </c>
      <c r="AN2188" s="6" t="s">
        <v>81</v>
      </c>
      <c r="AO2188" s="6" t="s">
        <v>81</v>
      </c>
      <c r="AP2188" s="6" t="s">
        <v>20402</v>
      </c>
      <c r="AQ2188" s="6" t="s">
        <v>81</v>
      </c>
      <c r="AR2188" s="6" t="s">
        <v>17707</v>
      </c>
      <c r="AS2188" s="6" t="s">
        <v>18377</v>
      </c>
      <c r="AT2188" s="6" t="s">
        <v>18444</v>
      </c>
      <c r="AU2188" s="6" t="s">
        <v>18874</v>
      </c>
      <c r="AV2188" s="6" t="s">
        <v>19661</v>
      </c>
      <c r="AW2188" s="6" t="s">
        <v>19761</v>
      </c>
      <c r="AX2188" s="6" t="s">
        <v>22185</v>
      </c>
      <c r="AY2188" s="6" t="s">
        <v>23328</v>
      </c>
      <c r="AZ2188" s="6" t="s">
        <v>81</v>
      </c>
      <c r="BA2188" s="6" t="s">
        <v>81</v>
      </c>
      <c r="BB2188" s="6" t="s">
        <v>81</v>
      </c>
      <c r="BC2188" s="26"/>
      <c r="BD2188" s="26"/>
      <c r="BE2188" s="26"/>
      <c r="BF2188" s="26"/>
      <c r="BG2188" s="26"/>
      <c r="BH2188" s="26"/>
      <c r="BI2188" s="26"/>
      <c r="BJ2188" s="26"/>
      <c r="BK2188" s="26"/>
      <c r="BL2188" s="26"/>
      <c r="BM2188" s="26"/>
      <c r="BN2188" s="26"/>
      <c r="BO2188" s="26"/>
      <c r="BP2188" s="16" t="n">
        <v>45737</v>
      </c>
      <c r="BQ2188" s="28" t="str">
        <f>HYPERLINK("https://organic.ams.usda.gov/Integrity/Certificate.aspx?cid=62&amp;nopid=8150001273")</f>
        <v>https://organic.ams.usda.gov/Integrity/Certificate.aspx?cid=62&amp;nopid=8150001273</v>
      </c>
    </row>
    <row r="2189">
      <c r="A2189" t="s">
        <v>3</v>
      </c>
      <c r="B2189" s="6" t="s">
        <v>21</v>
      </c>
      <c r="C2189" s="6" t="s">
        <v>68</v>
      </c>
      <c r="D2189" s="6" t="s">
        <v>114</v>
      </c>
      <c r="E2189" s="10" t="s">
        <v>2330</v>
      </c>
      <c r="F2189" s="6" t="s">
        <v>5041</v>
      </c>
      <c r="G2189" s="6" t="s">
        <v>81</v>
      </c>
      <c r="H2189" s="6" t="s">
        <v>7890</v>
      </c>
      <c r="I2189" s="6" t="s">
        <v>9059</v>
      </c>
      <c r="J2189" s="6" t="s">
        <v>10655</v>
      </c>
      <c r="K2189" s="6" t="s">
        <v>10886</v>
      </c>
      <c r="L2189" s="16" t="n">
        <v>44959</v>
      </c>
      <c r="M2189" s="16" t="n">
        <v>46023</v>
      </c>
      <c r="N2189" s="6" t="s">
        <v>81</v>
      </c>
      <c r="O2189" s="21" t="s">
        <v>81</v>
      </c>
      <c r="P2189" s="6" t="s">
        <v>81</v>
      </c>
      <c r="Q2189" s="6" t="s">
        <v>81</v>
      </c>
      <c r="R2189" s="6" t="s">
        <v>81</v>
      </c>
      <c r="S2189" s="6" t="s">
        <v>81</v>
      </c>
      <c r="T2189" s="21" t="s">
        <v>81</v>
      </c>
      <c r="U2189" s="6" t="s">
        <v>81</v>
      </c>
      <c r="V2189" s="6" t="s">
        <v>81</v>
      </c>
      <c r="W2189" s="6" t="s">
        <v>81</v>
      </c>
      <c r="X2189" s="6" t="s">
        <v>81</v>
      </c>
      <c r="Y2189" s="21" t="s">
        <v>81</v>
      </c>
      <c r="Z2189" s="6" t="s">
        <v>81</v>
      </c>
      <c r="AA2189" s="6" t="s">
        <v>81</v>
      </c>
      <c r="AB2189" s="6" t="s">
        <v>81</v>
      </c>
      <c r="AC2189" s="6" t="s">
        <v>10886</v>
      </c>
      <c r="AD2189" s="16" t="n">
        <v>44959</v>
      </c>
      <c r="AE2189" s="6" t="s">
        <v>14394</v>
      </c>
      <c r="AF2189" s="6" t="s">
        <v>81</v>
      </c>
      <c r="AG2189" s="6" t="s">
        <v>81</v>
      </c>
      <c r="AH2189" s="6" t="s">
        <v>81</v>
      </c>
      <c r="AI2189" s="6" t="s">
        <v>81</v>
      </c>
      <c r="AJ2189" s="6" t="s">
        <v>81</v>
      </c>
      <c r="AK2189" s="6" t="s">
        <v>81</v>
      </c>
      <c r="AL2189" s="6" t="s">
        <v>81</v>
      </c>
      <c r="AM2189" s="6" t="s">
        <v>81</v>
      </c>
      <c r="AN2189" s="6" t="s">
        <v>81</v>
      </c>
      <c r="AO2189" s="6" t="s">
        <v>81</v>
      </c>
      <c r="AP2189" s="6" t="s">
        <v>20403</v>
      </c>
      <c r="AQ2189" s="6" t="s">
        <v>81</v>
      </c>
      <c r="AR2189" s="6" t="s">
        <v>18251</v>
      </c>
      <c r="AS2189" s="6" t="s">
        <v>18381</v>
      </c>
      <c r="AT2189" s="6" t="s">
        <v>18444</v>
      </c>
      <c r="AU2189" s="6" t="s">
        <v>20696</v>
      </c>
      <c r="AV2189" s="6" t="s">
        <v>19650</v>
      </c>
      <c r="AW2189" s="6" t="s">
        <v>20739</v>
      </c>
      <c r="AX2189" s="6" t="s">
        <v>22186</v>
      </c>
      <c r="AY2189" s="6" t="s">
        <v>23329</v>
      </c>
      <c r="AZ2189" s="6" t="s">
        <v>81</v>
      </c>
      <c r="BA2189" s="6" t="s">
        <v>81</v>
      </c>
      <c r="BB2189" s="6" t="s">
        <v>81</v>
      </c>
      <c r="BC2189" s="26"/>
      <c r="BD2189" s="26"/>
      <c r="BE2189" s="26" t="s">
        <v>23900</v>
      </c>
      <c r="BF2189" s="26"/>
      <c r="BG2189" s="26"/>
      <c r="BH2189" s="26"/>
      <c r="BI2189" s="26"/>
      <c r="BJ2189" s="26"/>
      <c r="BK2189" s="26"/>
      <c r="BL2189" s="26"/>
      <c r="BM2189" s="26"/>
      <c r="BN2189" s="26"/>
      <c r="BO2189" s="26"/>
      <c r="BP2189" s="16" t="n">
        <v>45677</v>
      </c>
      <c r="BQ2189" s="28" t="str">
        <f>HYPERLINK("https://organic.ams.usda.gov/Integrity/Certificate.aspx?cid=62&amp;nopid=8150021251")</f>
        <v>https://organic.ams.usda.gov/Integrity/Certificate.aspx?cid=62&amp;nopid=8150021251</v>
      </c>
    </row>
    <row r="2190">
      <c r="A2190" t="s">
        <v>3</v>
      </c>
      <c r="B2190" s="6" t="s">
        <v>20</v>
      </c>
      <c r="C2190" s="6" t="s">
        <v>67</v>
      </c>
      <c r="D2190" s="6" t="s">
        <v>113</v>
      </c>
      <c r="E2190" s="10" t="s">
        <v>2331</v>
      </c>
      <c r="F2190" s="6" t="s">
        <v>5042</v>
      </c>
      <c r="G2190" s="6" t="s">
        <v>81</v>
      </c>
      <c r="H2190" s="6" t="s">
        <v>7891</v>
      </c>
      <c r="I2190" s="6" t="s">
        <v>8520</v>
      </c>
      <c r="J2190" s="6" t="s">
        <v>9032</v>
      </c>
      <c r="K2190" s="6" t="s">
        <v>10886</v>
      </c>
      <c r="L2190" s="16" t="n">
        <v>40121</v>
      </c>
      <c r="M2190" s="16" t="n">
        <v>45667</v>
      </c>
      <c r="N2190" s="6" t="s">
        <v>81</v>
      </c>
      <c r="O2190" s="21" t="s">
        <v>81</v>
      </c>
      <c r="P2190" s="6" t="s">
        <v>81</v>
      </c>
      <c r="Q2190" s="6" t="s">
        <v>81</v>
      </c>
      <c r="R2190" s="6" t="s">
        <v>81</v>
      </c>
      <c r="S2190" s="6" t="s">
        <v>81</v>
      </c>
      <c r="T2190" s="21" t="s">
        <v>81</v>
      </c>
      <c r="U2190" s="6" t="s">
        <v>81</v>
      </c>
      <c r="V2190" s="6" t="s">
        <v>81</v>
      </c>
      <c r="W2190" s="6" t="s">
        <v>81</v>
      </c>
      <c r="X2190" s="6" t="s">
        <v>81</v>
      </c>
      <c r="Y2190" s="21" t="s">
        <v>81</v>
      </c>
      <c r="Z2190" s="6" t="s">
        <v>81</v>
      </c>
      <c r="AA2190" s="6" t="s">
        <v>81</v>
      </c>
      <c r="AB2190" s="6" t="s">
        <v>81</v>
      </c>
      <c r="AC2190" s="6" t="s">
        <v>10886</v>
      </c>
      <c r="AD2190" s="16" t="n">
        <v>40121</v>
      </c>
      <c r="AE2190" s="6" t="s">
        <v>14395</v>
      </c>
      <c r="AF2190" s="6" t="s">
        <v>81</v>
      </c>
      <c r="AG2190" s="6" t="s">
        <v>14589</v>
      </c>
      <c r="AH2190" s="6" t="s">
        <v>16736</v>
      </c>
      <c r="AI2190" s="6" t="s">
        <v>17302</v>
      </c>
      <c r="AJ2190" s="6" t="s">
        <v>18239</v>
      </c>
      <c r="AK2190" s="6" t="s">
        <v>18386</v>
      </c>
      <c r="AL2190" s="6" t="s">
        <v>18444</v>
      </c>
      <c r="AM2190" s="6" t="s">
        <v>19455</v>
      </c>
      <c r="AN2190" s="6" t="s">
        <v>8233</v>
      </c>
      <c r="AO2190" s="6" t="s">
        <v>19802</v>
      </c>
      <c r="AP2190" s="6" t="s">
        <v>20404</v>
      </c>
      <c r="AQ2190" s="6" t="s">
        <v>81</v>
      </c>
      <c r="AR2190" s="6" t="s">
        <v>20572</v>
      </c>
      <c r="AS2190" s="6" t="s">
        <v>18386</v>
      </c>
      <c r="AT2190" s="6" t="s">
        <v>18444</v>
      </c>
      <c r="AU2190" s="6" t="s">
        <v>8194</v>
      </c>
      <c r="AV2190" s="6" t="s">
        <v>81</v>
      </c>
      <c r="AW2190" s="6" t="s">
        <v>81</v>
      </c>
      <c r="AX2190" s="6" t="s">
        <v>22187</v>
      </c>
      <c r="AY2190" s="6" t="s">
        <v>23330</v>
      </c>
      <c r="AZ2190" s="6" t="s">
        <v>81</v>
      </c>
      <c r="BA2190" s="6" t="s">
        <v>81</v>
      </c>
      <c r="BB2190" s="6" t="s">
        <v>81</v>
      </c>
      <c r="BC2190" s="26"/>
      <c r="BD2190" s="26"/>
      <c r="BE2190" s="26" t="s">
        <v>23900</v>
      </c>
      <c r="BF2190" s="26" t="s">
        <v>23900</v>
      </c>
      <c r="BG2190" s="26"/>
      <c r="BH2190" s="26"/>
      <c r="BI2190" s="26"/>
      <c r="BJ2190" s="26"/>
      <c r="BK2190" s="26"/>
      <c r="BL2190" s="26"/>
      <c r="BM2190" s="26"/>
      <c r="BN2190" s="26"/>
      <c r="BO2190" s="26"/>
      <c r="BP2190" s="16" t="n">
        <v>45737</v>
      </c>
      <c r="BQ2190" s="28" t="str">
        <f>HYPERLINK("https://organic.ams.usda.gov/Integrity/Certificate.aspx?cid=71&amp;nopid=5520048571")</f>
        <v>https://organic.ams.usda.gov/Integrity/Certificate.aspx?cid=71&amp;nopid=5520048571</v>
      </c>
    </row>
    <row r="2191">
      <c r="A2191" t="s">
        <v>3</v>
      </c>
      <c r="B2191" s="6" t="s">
        <v>7</v>
      </c>
      <c r="C2191" s="6" t="s">
        <v>54</v>
      </c>
      <c r="D2191" s="6" t="s">
        <v>100</v>
      </c>
      <c r="E2191" s="10" t="s">
        <v>2332</v>
      </c>
      <c r="F2191" s="6" t="s">
        <v>5043</v>
      </c>
      <c r="G2191" s="6" t="s">
        <v>81</v>
      </c>
      <c r="H2191" s="6" t="s">
        <v>7892</v>
      </c>
      <c r="I2191" s="6" t="s">
        <v>9455</v>
      </c>
      <c r="J2191" s="6" t="s">
        <v>10656</v>
      </c>
      <c r="K2191" s="6" t="s">
        <v>10886</v>
      </c>
      <c r="L2191" s="16" t="n">
        <v>40815</v>
      </c>
      <c r="M2191" s="16" t="n">
        <v>45716</v>
      </c>
      <c r="N2191" s="6" t="s">
        <v>10886</v>
      </c>
      <c r="O2191" s="16" t="n">
        <v>40815</v>
      </c>
      <c r="P2191" s="6" t="s">
        <v>11136</v>
      </c>
      <c r="Q2191" s="6" t="s">
        <v>81</v>
      </c>
      <c r="R2191" s="6" t="s">
        <v>81</v>
      </c>
      <c r="S2191" s="6" t="s">
        <v>10886</v>
      </c>
      <c r="T2191" s="16" t="n">
        <v>41067</v>
      </c>
      <c r="U2191" s="6" t="s">
        <v>13819</v>
      </c>
      <c r="V2191" s="6" t="s">
        <v>81</v>
      </c>
      <c r="W2191" s="6" t="s">
        <v>81</v>
      </c>
      <c r="X2191" s="6" t="s">
        <v>81</v>
      </c>
      <c r="Y2191" s="21" t="s">
        <v>81</v>
      </c>
      <c r="Z2191" s="6" t="s">
        <v>81</v>
      </c>
      <c r="AA2191" s="6" t="s">
        <v>81</v>
      </c>
      <c r="AB2191" s="6" t="s">
        <v>81</v>
      </c>
      <c r="AC2191" s="6" t="s">
        <v>81</v>
      </c>
      <c r="AD2191" s="21" t="s">
        <v>81</v>
      </c>
      <c r="AE2191" s="6" t="s">
        <v>81</v>
      </c>
      <c r="AF2191" s="6" t="s">
        <v>81</v>
      </c>
      <c r="AG2191" s="6" t="s">
        <v>81</v>
      </c>
      <c r="AH2191" s="6" t="s">
        <v>16737</v>
      </c>
      <c r="AI2191" s="6" t="s">
        <v>81</v>
      </c>
      <c r="AJ2191" s="6" t="s">
        <v>17618</v>
      </c>
      <c r="AK2191" s="6" t="s">
        <v>17712</v>
      </c>
      <c r="AL2191" s="6" t="s">
        <v>18444</v>
      </c>
      <c r="AM2191" s="6" t="s">
        <v>18786</v>
      </c>
      <c r="AN2191" s="6" t="s">
        <v>19645</v>
      </c>
      <c r="AO2191" s="6" t="s">
        <v>19770</v>
      </c>
      <c r="AP2191" s="6" t="s">
        <v>16737</v>
      </c>
      <c r="AQ2191" s="6" t="s">
        <v>81</v>
      </c>
      <c r="AR2191" s="6" t="s">
        <v>17618</v>
      </c>
      <c r="AS2191" s="6" t="s">
        <v>17712</v>
      </c>
      <c r="AT2191" s="6" t="s">
        <v>18444</v>
      </c>
      <c r="AU2191" s="6" t="s">
        <v>18786</v>
      </c>
      <c r="AV2191" s="6" t="s">
        <v>81</v>
      </c>
      <c r="AW2191" s="6" t="s">
        <v>81</v>
      </c>
      <c r="AX2191" s="6" t="s">
        <v>22188</v>
      </c>
      <c r="AY2191" s="6" t="s">
        <v>81</v>
      </c>
      <c r="AZ2191" s="6" t="s">
        <v>81</v>
      </c>
      <c r="BA2191" s="6" t="s">
        <v>81</v>
      </c>
      <c r="BB2191" s="24" t="n">
        <v>624</v>
      </c>
      <c r="BC2191" s="26"/>
      <c r="BD2191" s="26"/>
      <c r="BE2191" s="26"/>
      <c r="BF2191" s="26"/>
      <c r="BG2191" s="26"/>
      <c r="BH2191" s="26"/>
      <c r="BI2191" s="26"/>
      <c r="BJ2191" s="26"/>
      <c r="BK2191" s="26"/>
      <c r="BL2191" s="26"/>
      <c r="BM2191" s="26"/>
      <c r="BN2191" s="26"/>
      <c r="BO2191" s="26"/>
      <c r="BP2191" s="16" t="n">
        <v>45679</v>
      </c>
      <c r="BQ2191" s="28" t="str">
        <f>HYPERLINK("https://organic.ams.usda.gov/Integrity/Certificate.aspx?cid=57&amp;nopid=3252011053")</f>
        <v>https://organic.ams.usda.gov/Integrity/Certificate.aspx?cid=57&amp;nopid=3252011053</v>
      </c>
    </row>
    <row r="2192">
      <c r="A2192" t="s">
        <v>3</v>
      </c>
      <c r="B2192" s="6" t="s">
        <v>14</v>
      </c>
      <c r="C2192" s="6" t="s">
        <v>61</v>
      </c>
      <c r="D2192" s="6" t="s">
        <v>107</v>
      </c>
      <c r="E2192" s="10" t="s">
        <v>2333</v>
      </c>
      <c r="F2192" s="6" t="s">
        <v>5044</v>
      </c>
      <c r="G2192" s="6" t="s">
        <v>5824</v>
      </c>
      <c r="H2192" s="6" t="s">
        <v>7893</v>
      </c>
      <c r="I2192" s="6" t="s">
        <v>9337</v>
      </c>
      <c r="J2192" s="6" t="s">
        <v>9320</v>
      </c>
      <c r="K2192" s="6" t="s">
        <v>10886</v>
      </c>
      <c r="L2192" s="16" t="n">
        <v>45447</v>
      </c>
      <c r="M2192" s="16" t="n">
        <v>45717</v>
      </c>
      <c r="N2192" s="6" t="s">
        <v>81</v>
      </c>
      <c r="O2192" s="21" t="s">
        <v>81</v>
      </c>
      <c r="P2192" s="6" t="s">
        <v>81</v>
      </c>
      <c r="Q2192" s="6" t="s">
        <v>81</v>
      </c>
      <c r="R2192" s="6" t="s">
        <v>81</v>
      </c>
      <c r="S2192" s="6" t="s">
        <v>81</v>
      </c>
      <c r="T2192" s="21" t="s">
        <v>81</v>
      </c>
      <c r="U2192" s="6" t="s">
        <v>81</v>
      </c>
      <c r="V2192" s="6" t="s">
        <v>81</v>
      </c>
      <c r="W2192" s="6" t="s">
        <v>81</v>
      </c>
      <c r="X2192" s="6" t="s">
        <v>81</v>
      </c>
      <c r="Y2192" s="21" t="s">
        <v>81</v>
      </c>
      <c r="Z2192" s="6" t="s">
        <v>81</v>
      </c>
      <c r="AA2192" s="6" t="s">
        <v>81</v>
      </c>
      <c r="AB2192" s="6" t="s">
        <v>81</v>
      </c>
      <c r="AC2192" s="6" t="s">
        <v>10886</v>
      </c>
      <c r="AD2192" s="16" t="n">
        <v>45447</v>
      </c>
      <c r="AE2192" s="6" t="s">
        <v>14396</v>
      </c>
      <c r="AF2192" s="6" t="s">
        <v>81</v>
      </c>
      <c r="AG2192" s="6" t="s">
        <v>81</v>
      </c>
      <c r="AH2192" s="6" t="s">
        <v>16738</v>
      </c>
      <c r="AI2192" s="6" t="s">
        <v>81</v>
      </c>
      <c r="AJ2192" s="6" t="s">
        <v>17511</v>
      </c>
      <c r="AK2192" s="6" t="s">
        <v>17759</v>
      </c>
      <c r="AL2192" s="6" t="s">
        <v>18444</v>
      </c>
      <c r="AM2192" s="6" t="s">
        <v>19456</v>
      </c>
      <c r="AN2192" s="6" t="s">
        <v>81</v>
      </c>
      <c r="AO2192" s="6" t="s">
        <v>81</v>
      </c>
      <c r="AP2192" s="6" t="s">
        <v>16738</v>
      </c>
      <c r="AQ2192" s="6" t="s">
        <v>81</v>
      </c>
      <c r="AR2192" s="6" t="s">
        <v>17511</v>
      </c>
      <c r="AS2192" s="6" t="s">
        <v>17759</v>
      </c>
      <c r="AT2192" s="6" t="s">
        <v>18444</v>
      </c>
      <c r="AU2192" s="6" t="s">
        <v>19456</v>
      </c>
      <c r="AV2192" s="6" t="s">
        <v>81</v>
      </c>
      <c r="AW2192" s="6" t="s">
        <v>81</v>
      </c>
      <c r="AX2192" s="6" t="s">
        <v>22189</v>
      </c>
      <c r="AY2192" s="6" t="s">
        <v>23331</v>
      </c>
      <c r="AZ2192" s="6" t="s">
        <v>81</v>
      </c>
      <c r="BA2192" s="6" t="s">
        <v>81</v>
      </c>
      <c r="BB2192" s="24" t="n">
        <v>0</v>
      </c>
      <c r="BC2192" s="26" t="s">
        <v>23900</v>
      </c>
      <c r="BD2192" s="26"/>
      <c r="BE2192" s="26"/>
      <c r="BF2192" s="26"/>
      <c r="BG2192" s="26" t="s">
        <v>23900</v>
      </c>
      <c r="BH2192" s="26" t="s">
        <v>23900</v>
      </c>
      <c r="BI2192" s="26"/>
      <c r="BJ2192" s="26"/>
      <c r="BK2192" s="26"/>
      <c r="BL2192" s="26"/>
      <c r="BM2192" s="26"/>
      <c r="BN2192" s="26"/>
      <c r="BO2192" s="26"/>
      <c r="BP2192" s="16" t="n">
        <v>45726</v>
      </c>
      <c r="BQ2192" s="28" t="str">
        <f>HYPERLINK("https://organic.ams.usda.gov/Integrity/Certificate.aspx?cid=51&amp;nopid=8241000025")</f>
        <v>https://organic.ams.usda.gov/Integrity/Certificate.aspx?cid=51&amp;nopid=8241000025</v>
      </c>
    </row>
    <row r="2193">
      <c r="A2193" t="s">
        <v>3</v>
      </c>
      <c r="B2193" s="6" t="s">
        <v>9</v>
      </c>
      <c r="C2193" s="6" t="s">
        <v>56</v>
      </c>
      <c r="D2193" s="6" t="s">
        <v>102</v>
      </c>
      <c r="E2193" s="10" t="s">
        <v>2334</v>
      </c>
      <c r="F2193" s="6" t="s">
        <v>5045</v>
      </c>
      <c r="G2193" s="6" t="s">
        <v>81</v>
      </c>
      <c r="H2193" s="6" t="s">
        <v>7894</v>
      </c>
      <c r="I2193" s="6" t="s">
        <v>9456</v>
      </c>
      <c r="J2193" s="6" t="s">
        <v>10657</v>
      </c>
      <c r="K2193" s="6" t="s">
        <v>10886</v>
      </c>
      <c r="L2193" s="16" t="n">
        <v>40192</v>
      </c>
      <c r="M2193" s="16" t="n">
        <v>45748</v>
      </c>
      <c r="N2193" s="6" t="s">
        <v>10886</v>
      </c>
      <c r="O2193" s="16" t="n">
        <v>40192</v>
      </c>
      <c r="P2193" s="6" t="s">
        <v>10918</v>
      </c>
      <c r="Q2193" s="6" t="s">
        <v>81</v>
      </c>
      <c r="R2193" s="6" t="s">
        <v>13023</v>
      </c>
      <c r="S2193" s="6" t="s">
        <v>10886</v>
      </c>
      <c r="T2193" s="16" t="n">
        <v>40192</v>
      </c>
      <c r="U2193" s="6" t="s">
        <v>13162</v>
      </c>
      <c r="V2193" s="6" t="s">
        <v>81</v>
      </c>
      <c r="W2193" s="6" t="s">
        <v>13023</v>
      </c>
      <c r="X2193" s="6" t="s">
        <v>81</v>
      </c>
      <c r="Y2193" s="21" t="s">
        <v>81</v>
      </c>
      <c r="Z2193" s="6" t="s">
        <v>81</v>
      </c>
      <c r="AA2193" s="6" t="s">
        <v>81</v>
      </c>
      <c r="AB2193" s="6" t="s">
        <v>81</v>
      </c>
      <c r="AC2193" s="6" t="s">
        <v>81</v>
      </c>
      <c r="AD2193" s="21" t="s">
        <v>81</v>
      </c>
      <c r="AE2193" s="6" t="s">
        <v>81</v>
      </c>
      <c r="AF2193" s="6" t="s">
        <v>81</v>
      </c>
      <c r="AG2193" s="6" t="s">
        <v>81</v>
      </c>
      <c r="AH2193" s="6" t="s">
        <v>16739</v>
      </c>
      <c r="AI2193" s="6" t="s">
        <v>81</v>
      </c>
      <c r="AJ2193" s="6" t="s">
        <v>18099</v>
      </c>
      <c r="AK2193" s="6" t="s">
        <v>18377</v>
      </c>
      <c r="AL2193" s="6" t="s">
        <v>18444</v>
      </c>
      <c r="AM2193" s="6" t="s">
        <v>19296</v>
      </c>
      <c r="AN2193" s="6" t="s">
        <v>19634</v>
      </c>
      <c r="AO2193" s="6" t="s">
        <v>19764</v>
      </c>
      <c r="AP2193" s="6" t="s">
        <v>81</v>
      </c>
      <c r="AQ2193" s="6" t="s">
        <v>81</v>
      </c>
      <c r="AR2193" s="6" t="s">
        <v>81</v>
      </c>
      <c r="AS2193" s="6" t="s">
        <v>81</v>
      </c>
      <c r="AT2193" s="6" t="s">
        <v>81</v>
      </c>
      <c r="AU2193" s="6" t="s">
        <v>81</v>
      </c>
      <c r="AV2193" s="6" t="s">
        <v>81</v>
      </c>
      <c r="AW2193" s="6" t="s">
        <v>81</v>
      </c>
      <c r="AX2193" s="6" t="s">
        <v>22190</v>
      </c>
      <c r="AY2193" s="6" t="s">
        <v>23332</v>
      </c>
      <c r="AZ2193" s="6" t="s">
        <v>81</v>
      </c>
      <c r="BA2193" s="6" t="s">
        <v>81</v>
      </c>
      <c r="BB2193" s="24" t="n">
        <v>298</v>
      </c>
      <c r="BC2193" s="26"/>
      <c r="BD2193" s="26"/>
      <c r="BE2193" s="26"/>
      <c r="BF2193" s="26"/>
      <c r="BG2193" s="26"/>
      <c r="BH2193" s="26"/>
      <c r="BI2193" s="26"/>
      <c r="BJ2193" s="26"/>
      <c r="BK2193" s="26"/>
      <c r="BL2193" s="26"/>
      <c r="BM2193" s="26"/>
      <c r="BN2193" s="26"/>
      <c r="BO2193" s="26"/>
      <c r="BP2193" s="16" t="n">
        <v>45738</v>
      </c>
      <c r="BQ2193" s="28" t="str">
        <f>HYPERLINK("https://organic.ams.usda.gov/Integrity/Certificate.aspx?cid=52&amp;nopid=8430900174")</f>
        <v>https://organic.ams.usda.gov/Integrity/Certificate.aspx?cid=52&amp;nopid=8430900174</v>
      </c>
    </row>
    <row r="2194">
      <c r="A2194" t="s">
        <v>3</v>
      </c>
      <c r="B2194" s="6" t="s">
        <v>24</v>
      </c>
      <c r="C2194" s="6" t="s">
        <v>71</v>
      </c>
      <c r="D2194" s="6" t="s">
        <v>117</v>
      </c>
      <c r="E2194" s="10" t="s">
        <v>2335</v>
      </c>
      <c r="F2194" s="6" t="s">
        <v>5046</v>
      </c>
      <c r="G2194" s="6" t="s">
        <v>81</v>
      </c>
      <c r="H2194" s="6" t="s">
        <v>81</v>
      </c>
      <c r="I2194" s="6" t="s">
        <v>9457</v>
      </c>
      <c r="J2194" s="6" t="s">
        <v>10658</v>
      </c>
      <c r="K2194" s="6" t="s">
        <v>10886</v>
      </c>
      <c r="L2194" s="16" t="n">
        <v>44727</v>
      </c>
      <c r="M2194" s="16" t="n">
        <v>45901</v>
      </c>
      <c r="N2194" s="6" t="s">
        <v>10886</v>
      </c>
      <c r="O2194" s="16" t="n">
        <v>45176</v>
      </c>
      <c r="P2194" s="6" t="s">
        <v>12126</v>
      </c>
      <c r="Q2194" s="6" t="s">
        <v>81</v>
      </c>
      <c r="R2194" s="6" t="s">
        <v>13024</v>
      </c>
      <c r="S2194" s="6" t="s">
        <v>10886</v>
      </c>
      <c r="T2194" s="16" t="n">
        <v>44727</v>
      </c>
      <c r="U2194" s="6" t="s">
        <v>13820</v>
      </c>
      <c r="V2194" s="6" t="s">
        <v>81</v>
      </c>
      <c r="W2194" s="6" t="s">
        <v>81</v>
      </c>
      <c r="X2194" s="6" t="s">
        <v>81</v>
      </c>
      <c r="Y2194" s="21" t="s">
        <v>81</v>
      </c>
      <c r="Z2194" s="6" t="s">
        <v>81</v>
      </c>
      <c r="AA2194" s="6" t="s">
        <v>81</v>
      </c>
      <c r="AB2194" s="6" t="s">
        <v>81</v>
      </c>
      <c r="AC2194" s="6" t="s">
        <v>10886</v>
      </c>
      <c r="AD2194" s="16" t="n">
        <v>44727</v>
      </c>
      <c r="AE2194" s="6" t="s">
        <v>14014</v>
      </c>
      <c r="AF2194" s="6" t="s">
        <v>81</v>
      </c>
      <c r="AG2194" s="6" t="s">
        <v>81</v>
      </c>
      <c r="AH2194" s="6" t="s">
        <v>16740</v>
      </c>
      <c r="AI2194" s="6" t="s">
        <v>81</v>
      </c>
      <c r="AJ2194" s="6" t="s">
        <v>17832</v>
      </c>
      <c r="AK2194" s="6" t="s">
        <v>18400</v>
      </c>
      <c r="AL2194" s="6" t="s">
        <v>18444</v>
      </c>
      <c r="AM2194" s="6" t="s">
        <v>19457</v>
      </c>
      <c r="AN2194" s="6" t="s">
        <v>19664</v>
      </c>
      <c r="AO2194" s="6" t="s">
        <v>20046</v>
      </c>
      <c r="AP2194" s="6" t="s">
        <v>20405</v>
      </c>
      <c r="AQ2194" s="6" t="s">
        <v>81</v>
      </c>
      <c r="AR2194" s="6" t="s">
        <v>17832</v>
      </c>
      <c r="AS2194" s="6" t="s">
        <v>18400</v>
      </c>
      <c r="AT2194" s="6" t="s">
        <v>18444</v>
      </c>
      <c r="AU2194" s="6" t="s">
        <v>19457</v>
      </c>
      <c r="AV2194" s="6" t="s">
        <v>81</v>
      </c>
      <c r="AW2194" s="6" t="s">
        <v>81</v>
      </c>
      <c r="AX2194" s="6" t="s">
        <v>81</v>
      </c>
      <c r="AY2194" s="6" t="s">
        <v>23333</v>
      </c>
      <c r="AZ2194" s="6" t="s">
        <v>81</v>
      </c>
      <c r="BA2194" s="6" t="s">
        <v>81</v>
      </c>
      <c r="BB2194" s="24" t="n">
        <v>554</v>
      </c>
      <c r="BC2194" s="26"/>
      <c r="BD2194" s="26"/>
      <c r="BE2194" s="26"/>
      <c r="BF2194" s="26"/>
      <c r="BG2194" s="26"/>
      <c r="BH2194" s="26"/>
      <c r="BI2194" s="26"/>
      <c r="BJ2194" s="26"/>
      <c r="BK2194" s="26"/>
      <c r="BL2194" s="26"/>
      <c r="BM2194" s="26"/>
      <c r="BN2194" s="26"/>
      <c r="BO2194" s="26"/>
      <c r="BP2194" s="16" t="n">
        <v>45628</v>
      </c>
      <c r="BQ2194" s="28" t="str">
        <f>HYPERLINK("https://organic.ams.usda.gov/Integrity/Certificate.aspx?cid=1&amp;nopid=9092204702")</f>
        <v>https://organic.ams.usda.gov/Integrity/Certificate.aspx?cid=1&amp;nopid=9092204702</v>
      </c>
    </row>
    <row r="2195">
      <c r="A2195" t="s">
        <v>3</v>
      </c>
      <c r="B2195" s="6" t="s">
        <v>9</v>
      </c>
      <c r="C2195" s="6" t="s">
        <v>56</v>
      </c>
      <c r="D2195" s="6" t="s">
        <v>102</v>
      </c>
      <c r="E2195" s="10" t="s">
        <v>2336</v>
      </c>
      <c r="F2195" s="6" t="s">
        <v>5047</v>
      </c>
      <c r="G2195" s="6" t="s">
        <v>81</v>
      </c>
      <c r="H2195" s="6" t="s">
        <v>7895</v>
      </c>
      <c r="I2195" s="6" t="s">
        <v>9458</v>
      </c>
      <c r="J2195" s="6" t="s">
        <v>10100</v>
      </c>
      <c r="K2195" s="6" t="s">
        <v>10886</v>
      </c>
      <c r="L2195" s="16" t="n">
        <v>41242</v>
      </c>
      <c r="M2195" s="16" t="n">
        <v>46113</v>
      </c>
      <c r="N2195" s="6" t="s">
        <v>10886</v>
      </c>
      <c r="O2195" s="16" t="n">
        <v>41242</v>
      </c>
      <c r="P2195" s="6" t="s">
        <v>12127</v>
      </c>
      <c r="Q2195" s="6" t="s">
        <v>81</v>
      </c>
      <c r="R2195" s="6" t="s">
        <v>13025</v>
      </c>
      <c r="S2195" s="6" t="s">
        <v>10886</v>
      </c>
      <c r="T2195" s="16" t="n">
        <v>41242</v>
      </c>
      <c r="U2195" s="6" t="s">
        <v>13609</v>
      </c>
      <c r="V2195" s="6" t="s">
        <v>81</v>
      </c>
      <c r="W2195" s="6" t="s">
        <v>13025</v>
      </c>
      <c r="X2195" s="6" t="s">
        <v>81</v>
      </c>
      <c r="Y2195" s="21" t="s">
        <v>81</v>
      </c>
      <c r="Z2195" s="6" t="s">
        <v>81</v>
      </c>
      <c r="AA2195" s="6" t="s">
        <v>81</v>
      </c>
      <c r="AB2195" s="6" t="s">
        <v>81</v>
      </c>
      <c r="AC2195" s="6" t="s">
        <v>81</v>
      </c>
      <c r="AD2195" s="21" t="s">
        <v>81</v>
      </c>
      <c r="AE2195" s="6" t="s">
        <v>81</v>
      </c>
      <c r="AF2195" s="6" t="s">
        <v>81</v>
      </c>
      <c r="AG2195" s="6" t="s">
        <v>81</v>
      </c>
      <c r="AH2195" s="6" t="s">
        <v>16741</v>
      </c>
      <c r="AI2195" s="6" t="s">
        <v>81</v>
      </c>
      <c r="AJ2195" s="6" t="s">
        <v>18240</v>
      </c>
      <c r="AK2195" s="6" t="s">
        <v>18419</v>
      </c>
      <c r="AL2195" s="6" t="s">
        <v>18444</v>
      </c>
      <c r="AM2195" s="6" t="s">
        <v>19458</v>
      </c>
      <c r="AN2195" s="6" t="s">
        <v>7595</v>
      </c>
      <c r="AO2195" s="6" t="s">
        <v>20047</v>
      </c>
      <c r="AP2195" s="6" t="s">
        <v>81</v>
      </c>
      <c r="AQ2195" s="6" t="s">
        <v>81</v>
      </c>
      <c r="AR2195" s="6" t="s">
        <v>81</v>
      </c>
      <c r="AS2195" s="6" t="s">
        <v>81</v>
      </c>
      <c r="AT2195" s="6" t="s">
        <v>81</v>
      </c>
      <c r="AU2195" s="6" t="s">
        <v>81</v>
      </c>
      <c r="AV2195" s="6" t="s">
        <v>81</v>
      </c>
      <c r="AW2195" s="6" t="s">
        <v>81</v>
      </c>
      <c r="AX2195" s="6" t="s">
        <v>22191</v>
      </c>
      <c r="AY2195" s="6" t="s">
        <v>81</v>
      </c>
      <c r="AZ2195" s="6" t="s">
        <v>81</v>
      </c>
      <c r="BA2195" s="6" t="s">
        <v>81</v>
      </c>
      <c r="BB2195" s="24" t="n">
        <v>275</v>
      </c>
      <c r="BC2195" s="26"/>
      <c r="BD2195" s="26"/>
      <c r="BE2195" s="26"/>
      <c r="BF2195" s="26"/>
      <c r="BG2195" s="26"/>
      <c r="BH2195" s="26"/>
      <c r="BI2195" s="26"/>
      <c r="BJ2195" s="26"/>
      <c r="BK2195" s="26"/>
      <c r="BL2195" s="26"/>
      <c r="BM2195" s="26"/>
      <c r="BN2195" s="26"/>
      <c r="BO2195" s="26"/>
      <c r="BP2195" s="16" t="n">
        <v>45738</v>
      </c>
      <c r="BQ2195" s="28" t="str">
        <f>HYPERLINK("https://organic.ams.usda.gov/Integrity/Certificate.aspx?cid=52&amp;nopid=8431200397")</f>
        <v>https://organic.ams.usda.gov/Integrity/Certificate.aspx?cid=52&amp;nopid=8431200397</v>
      </c>
    </row>
    <row r="2196">
      <c r="A2196" t="s">
        <v>3</v>
      </c>
      <c r="B2196" s="6" t="s">
        <v>8</v>
      </c>
      <c r="C2196" s="6" t="s">
        <v>55</v>
      </c>
      <c r="D2196" s="6" t="s">
        <v>101</v>
      </c>
      <c r="E2196" s="10" t="s">
        <v>2337</v>
      </c>
      <c r="F2196" s="6" t="s">
        <v>5048</v>
      </c>
      <c r="G2196" s="6" t="s">
        <v>81</v>
      </c>
      <c r="H2196" s="6" t="s">
        <v>7896</v>
      </c>
      <c r="I2196" s="6" t="s">
        <v>8574</v>
      </c>
      <c r="J2196" s="6" t="s">
        <v>9839</v>
      </c>
      <c r="K2196" s="6" t="s">
        <v>10886</v>
      </c>
      <c r="L2196" s="16" t="n">
        <v>39190</v>
      </c>
      <c r="M2196" s="16" t="n">
        <v>45383</v>
      </c>
      <c r="N2196" s="6" t="s">
        <v>10886</v>
      </c>
      <c r="O2196" s="16" t="n">
        <v>39190</v>
      </c>
      <c r="P2196" s="6" t="s">
        <v>12128</v>
      </c>
      <c r="Q2196" s="6" t="s">
        <v>81</v>
      </c>
      <c r="R2196" s="6" t="s">
        <v>7896</v>
      </c>
      <c r="S2196" s="6" t="s">
        <v>10886</v>
      </c>
      <c r="T2196" s="16" t="n">
        <v>39190</v>
      </c>
      <c r="U2196" s="6" t="s">
        <v>13179</v>
      </c>
      <c r="V2196" s="6" t="s">
        <v>81</v>
      </c>
      <c r="W2196" s="6" t="s">
        <v>7896</v>
      </c>
      <c r="X2196" s="6" t="s">
        <v>81</v>
      </c>
      <c r="Y2196" s="21" t="s">
        <v>81</v>
      </c>
      <c r="Z2196" s="6" t="s">
        <v>81</v>
      </c>
      <c r="AA2196" s="6" t="s">
        <v>81</v>
      </c>
      <c r="AB2196" s="6" t="s">
        <v>81</v>
      </c>
      <c r="AC2196" s="6" t="s">
        <v>81</v>
      </c>
      <c r="AD2196" s="21" t="s">
        <v>81</v>
      </c>
      <c r="AE2196" s="6" t="s">
        <v>81</v>
      </c>
      <c r="AF2196" s="6" t="s">
        <v>81</v>
      </c>
      <c r="AG2196" s="6" t="s">
        <v>81</v>
      </c>
      <c r="AH2196" s="6" t="s">
        <v>16742</v>
      </c>
      <c r="AI2196" s="6" t="s">
        <v>81</v>
      </c>
      <c r="AJ2196" s="6" t="s">
        <v>17326</v>
      </c>
      <c r="AK2196" s="6" t="s">
        <v>18377</v>
      </c>
      <c r="AL2196" s="6" t="s">
        <v>18444</v>
      </c>
      <c r="AM2196" s="6" t="s">
        <v>18478</v>
      </c>
      <c r="AN2196" s="6" t="s">
        <v>19643</v>
      </c>
      <c r="AO2196" s="6" t="s">
        <v>19730</v>
      </c>
      <c r="AP2196" s="6" t="s">
        <v>81</v>
      </c>
      <c r="AQ2196" s="6" t="s">
        <v>81</v>
      </c>
      <c r="AR2196" s="6" t="s">
        <v>81</v>
      </c>
      <c r="AS2196" s="6" t="s">
        <v>81</v>
      </c>
      <c r="AT2196" s="6" t="s">
        <v>81</v>
      </c>
      <c r="AU2196" s="6" t="s">
        <v>81</v>
      </c>
      <c r="AV2196" s="6" t="s">
        <v>81</v>
      </c>
      <c r="AW2196" s="6" t="s">
        <v>81</v>
      </c>
      <c r="AX2196" s="6" t="s">
        <v>81</v>
      </c>
      <c r="AY2196" s="6" t="s">
        <v>23334</v>
      </c>
      <c r="AZ2196" s="6" t="s">
        <v>81</v>
      </c>
      <c r="BA2196" s="6" t="s">
        <v>23819</v>
      </c>
      <c r="BB2196" s="24" t="n">
        <v>103</v>
      </c>
      <c r="BC2196" s="26"/>
      <c r="BD2196" s="26"/>
      <c r="BE2196" s="26"/>
      <c r="BF2196" s="26" t="s">
        <v>23900</v>
      </c>
      <c r="BG2196" s="26"/>
      <c r="BH2196" s="26"/>
      <c r="BI2196" s="26"/>
      <c r="BJ2196" s="26"/>
      <c r="BK2196" s="26"/>
      <c r="BL2196" s="26"/>
      <c r="BM2196" s="26"/>
      <c r="BN2196" s="26"/>
      <c r="BO2196" s="26"/>
      <c r="BP2196" s="16" t="n">
        <v>45548</v>
      </c>
      <c r="BQ2196" s="28" t="str">
        <f>HYPERLINK("https://organic.ams.usda.gov/Integrity/Certificate.aspx?cid=45&amp;nopid=9950002578")</f>
        <v>https://organic.ams.usda.gov/Integrity/Certificate.aspx?cid=45&amp;nopid=9950002578</v>
      </c>
    </row>
    <row r="2197">
      <c r="A2197" t="s">
        <v>3</v>
      </c>
      <c r="B2197" s="6" t="s">
        <v>12</v>
      </c>
      <c r="C2197" s="6" t="s">
        <v>59</v>
      </c>
      <c r="D2197" s="6" t="s">
        <v>105</v>
      </c>
      <c r="E2197" s="10" t="s">
        <v>2338</v>
      </c>
      <c r="F2197" s="6" t="s">
        <v>5049</v>
      </c>
      <c r="G2197" s="6" t="s">
        <v>81</v>
      </c>
      <c r="H2197" s="6" t="s">
        <v>7897</v>
      </c>
      <c r="I2197" s="6" t="s">
        <v>8574</v>
      </c>
      <c r="J2197" s="6" t="s">
        <v>10659</v>
      </c>
      <c r="K2197" s="6" t="s">
        <v>10886</v>
      </c>
      <c r="L2197" s="16" t="n">
        <v>38947</v>
      </c>
      <c r="M2197" s="16" t="n">
        <v>45717</v>
      </c>
      <c r="N2197" s="6" t="s">
        <v>10886</v>
      </c>
      <c r="O2197" s="16" t="n">
        <v>38947</v>
      </c>
      <c r="P2197" s="6" t="s">
        <v>12129</v>
      </c>
      <c r="Q2197" s="6" t="s">
        <v>81</v>
      </c>
      <c r="R2197" s="6" t="s">
        <v>81</v>
      </c>
      <c r="S2197" s="6" t="s">
        <v>10886</v>
      </c>
      <c r="T2197" s="16" t="n">
        <v>38947</v>
      </c>
      <c r="U2197" s="6" t="s">
        <v>13183</v>
      </c>
      <c r="V2197" s="6" t="s">
        <v>81</v>
      </c>
      <c r="W2197" s="6" t="s">
        <v>81</v>
      </c>
      <c r="X2197" s="6" t="s">
        <v>81</v>
      </c>
      <c r="Y2197" s="21" t="s">
        <v>81</v>
      </c>
      <c r="Z2197" s="6" t="s">
        <v>81</v>
      </c>
      <c r="AA2197" s="6" t="s">
        <v>81</v>
      </c>
      <c r="AB2197" s="6" t="s">
        <v>81</v>
      </c>
      <c r="AC2197" s="6" t="s">
        <v>81</v>
      </c>
      <c r="AD2197" s="21" t="s">
        <v>81</v>
      </c>
      <c r="AE2197" s="6" t="s">
        <v>81</v>
      </c>
      <c r="AF2197" s="6" t="s">
        <v>81</v>
      </c>
      <c r="AG2197" s="6" t="s">
        <v>81</v>
      </c>
      <c r="AH2197" s="6" t="s">
        <v>16743</v>
      </c>
      <c r="AI2197" s="6" t="s">
        <v>81</v>
      </c>
      <c r="AJ2197" s="6" t="s">
        <v>17458</v>
      </c>
      <c r="AK2197" s="6" t="s">
        <v>18380</v>
      </c>
      <c r="AL2197" s="6" t="s">
        <v>18444</v>
      </c>
      <c r="AM2197" s="6" t="s">
        <v>18617</v>
      </c>
      <c r="AN2197" s="6" t="s">
        <v>19681</v>
      </c>
      <c r="AO2197" s="6" t="s">
        <v>19805</v>
      </c>
      <c r="AP2197" s="6" t="s">
        <v>16743</v>
      </c>
      <c r="AQ2197" s="6" t="s">
        <v>81</v>
      </c>
      <c r="AR2197" s="6" t="s">
        <v>17458</v>
      </c>
      <c r="AS2197" s="6" t="s">
        <v>18380</v>
      </c>
      <c r="AT2197" s="6" t="s">
        <v>18444</v>
      </c>
      <c r="AU2197" s="6" t="s">
        <v>18617</v>
      </c>
      <c r="AV2197" s="6" t="s">
        <v>81</v>
      </c>
      <c r="AW2197" s="6" t="s">
        <v>81</v>
      </c>
      <c r="AX2197" s="6" t="s">
        <v>22192</v>
      </c>
      <c r="AY2197" s="6" t="s">
        <v>23335</v>
      </c>
      <c r="AZ2197" s="6" t="s">
        <v>81</v>
      </c>
      <c r="BA2197" s="6" t="s">
        <v>81</v>
      </c>
      <c r="BB2197" s="24" t="n">
        <v>365</v>
      </c>
      <c r="BC2197" s="26"/>
      <c r="BD2197" s="26"/>
      <c r="BE2197" s="26"/>
      <c r="BF2197" s="26"/>
      <c r="BG2197" s="26"/>
      <c r="BH2197" s="26"/>
      <c r="BI2197" s="26"/>
      <c r="BJ2197" s="26"/>
      <c r="BK2197" s="26"/>
      <c r="BL2197" s="26"/>
      <c r="BM2197" s="26"/>
      <c r="BN2197" s="26"/>
      <c r="BO2197" s="26"/>
      <c r="BP2197" s="16" t="n">
        <v>45684</v>
      </c>
      <c r="BQ2197" s="28" t="str">
        <f>HYPERLINK("https://organic.ams.usda.gov/Integrity/Certificate.aspx?cid=68&amp;nopid=8210003998")</f>
        <v>https://organic.ams.usda.gov/Integrity/Certificate.aspx?cid=68&amp;nopid=8210003998</v>
      </c>
    </row>
    <row r="2198">
      <c r="A2198" t="s">
        <v>3</v>
      </c>
      <c r="B2198" s="6" t="s">
        <v>8</v>
      </c>
      <c r="C2198" s="6" t="s">
        <v>55</v>
      </c>
      <c r="D2198" s="6" t="s">
        <v>101</v>
      </c>
      <c r="E2198" s="10" t="s">
        <v>2339</v>
      </c>
      <c r="F2198" s="6" t="s">
        <v>5050</v>
      </c>
      <c r="G2198" s="6" t="s">
        <v>81</v>
      </c>
      <c r="H2198" s="6" t="s">
        <v>7898</v>
      </c>
      <c r="I2198" s="6" t="s">
        <v>8574</v>
      </c>
      <c r="J2198" s="6" t="s">
        <v>9933</v>
      </c>
      <c r="K2198" s="6" t="s">
        <v>10886</v>
      </c>
      <c r="L2198" s="16" t="n">
        <v>42939</v>
      </c>
      <c r="M2198" s="16" t="n">
        <v>45748</v>
      </c>
      <c r="N2198" s="6" t="s">
        <v>10886</v>
      </c>
      <c r="O2198" s="16" t="n">
        <v>42939</v>
      </c>
      <c r="P2198" s="6" t="s">
        <v>11205</v>
      </c>
      <c r="Q2198" s="6" t="s">
        <v>81</v>
      </c>
      <c r="R2198" s="6" t="s">
        <v>7898</v>
      </c>
      <c r="S2198" s="6" t="s">
        <v>10886</v>
      </c>
      <c r="T2198" s="16" t="n">
        <v>42939</v>
      </c>
      <c r="U2198" s="6" t="s">
        <v>13821</v>
      </c>
      <c r="V2198" s="6" t="s">
        <v>81</v>
      </c>
      <c r="W2198" s="6" t="s">
        <v>7898</v>
      </c>
      <c r="X2198" s="6" t="s">
        <v>81</v>
      </c>
      <c r="Y2198" s="21" t="s">
        <v>81</v>
      </c>
      <c r="Z2198" s="6" t="s">
        <v>81</v>
      </c>
      <c r="AA2198" s="6" t="s">
        <v>81</v>
      </c>
      <c r="AB2198" s="6" t="s">
        <v>81</v>
      </c>
      <c r="AC2198" s="6" t="s">
        <v>81</v>
      </c>
      <c r="AD2198" s="21" t="s">
        <v>81</v>
      </c>
      <c r="AE2198" s="6" t="s">
        <v>81</v>
      </c>
      <c r="AF2198" s="6" t="s">
        <v>81</v>
      </c>
      <c r="AG2198" s="6" t="s">
        <v>81</v>
      </c>
      <c r="AH2198" s="6" t="s">
        <v>16744</v>
      </c>
      <c r="AI2198" s="6" t="s">
        <v>81</v>
      </c>
      <c r="AJ2198" s="6" t="s">
        <v>18241</v>
      </c>
      <c r="AK2198" s="6" t="s">
        <v>18377</v>
      </c>
      <c r="AL2198" s="6" t="s">
        <v>18444</v>
      </c>
      <c r="AM2198" s="6" t="s">
        <v>19459</v>
      </c>
      <c r="AN2198" s="6" t="s">
        <v>19684</v>
      </c>
      <c r="AO2198" s="6" t="s">
        <v>19813</v>
      </c>
      <c r="AP2198" s="6" t="s">
        <v>20406</v>
      </c>
      <c r="AQ2198" s="6" t="s">
        <v>81</v>
      </c>
      <c r="AR2198" s="6" t="s">
        <v>18241</v>
      </c>
      <c r="AS2198" s="6" t="s">
        <v>18377</v>
      </c>
      <c r="AT2198" s="6" t="s">
        <v>18444</v>
      </c>
      <c r="AU2198" s="6" t="s">
        <v>19459</v>
      </c>
      <c r="AV2198" s="6" t="s">
        <v>81</v>
      </c>
      <c r="AW2198" s="6" t="s">
        <v>81</v>
      </c>
      <c r="AX2198" s="6" t="s">
        <v>22193</v>
      </c>
      <c r="AY2198" s="6" t="s">
        <v>23336</v>
      </c>
      <c r="AZ2198" s="6" t="s">
        <v>23763</v>
      </c>
      <c r="BA2198" s="6" t="s">
        <v>23819</v>
      </c>
      <c r="BB2198" s="24" t="n">
        <v>249</v>
      </c>
      <c r="BC2198" s="26"/>
      <c r="BD2198" s="26"/>
      <c r="BE2198" s="26"/>
      <c r="BF2198" s="26" t="s">
        <v>23900</v>
      </c>
      <c r="BG2198" s="26"/>
      <c r="BH2198" s="26"/>
      <c r="BI2198" s="26"/>
      <c r="BJ2198" s="26"/>
      <c r="BK2198" s="26" t="s">
        <v>23900</v>
      </c>
      <c r="BL2198" s="26"/>
      <c r="BM2198" s="26"/>
      <c r="BN2198" s="26"/>
      <c r="BO2198" s="26"/>
      <c r="BP2198" s="16" t="n">
        <v>45637</v>
      </c>
      <c r="BQ2198" s="28" t="str">
        <f>HYPERLINK("https://organic.ams.usda.gov/Integrity/Certificate.aspx?cid=45&amp;nopid=9950009800")</f>
        <v>https://organic.ams.usda.gov/Integrity/Certificate.aspx?cid=45&amp;nopid=9950009800</v>
      </c>
    </row>
    <row r="2199">
      <c r="A2199" t="s">
        <v>3</v>
      </c>
      <c r="B2199" s="6" t="s">
        <v>9</v>
      </c>
      <c r="C2199" s="6" t="s">
        <v>56</v>
      </c>
      <c r="D2199" s="6" t="s">
        <v>102</v>
      </c>
      <c r="E2199" s="10" t="s">
        <v>2340</v>
      </c>
      <c r="F2199" s="6" t="s">
        <v>5051</v>
      </c>
      <c r="G2199" s="6" t="s">
        <v>81</v>
      </c>
      <c r="H2199" s="6" t="s">
        <v>7899</v>
      </c>
      <c r="I2199" s="6" t="s">
        <v>8574</v>
      </c>
      <c r="J2199" s="6" t="s">
        <v>9804</v>
      </c>
      <c r="K2199" s="6" t="s">
        <v>10886</v>
      </c>
      <c r="L2199" s="16" t="n">
        <v>43350</v>
      </c>
      <c r="M2199" s="16" t="n">
        <v>46113</v>
      </c>
      <c r="N2199" s="6" t="s">
        <v>10886</v>
      </c>
      <c r="O2199" s="16" t="n">
        <v>43350</v>
      </c>
      <c r="P2199" s="6" t="s">
        <v>12130</v>
      </c>
      <c r="Q2199" s="6" t="s">
        <v>81</v>
      </c>
      <c r="R2199" s="6" t="s">
        <v>13026</v>
      </c>
      <c r="S2199" s="6" t="s">
        <v>10886</v>
      </c>
      <c r="T2199" s="16" t="n">
        <v>43350</v>
      </c>
      <c r="U2199" s="6" t="s">
        <v>13168</v>
      </c>
      <c r="V2199" s="6" t="s">
        <v>81</v>
      </c>
      <c r="W2199" s="6" t="s">
        <v>13026</v>
      </c>
      <c r="X2199" s="6" t="s">
        <v>81</v>
      </c>
      <c r="Y2199" s="21" t="s">
        <v>81</v>
      </c>
      <c r="Z2199" s="6" t="s">
        <v>81</v>
      </c>
      <c r="AA2199" s="6" t="s">
        <v>81</v>
      </c>
      <c r="AB2199" s="6" t="s">
        <v>81</v>
      </c>
      <c r="AC2199" s="6" t="s">
        <v>81</v>
      </c>
      <c r="AD2199" s="21" t="s">
        <v>81</v>
      </c>
      <c r="AE2199" s="6" t="s">
        <v>81</v>
      </c>
      <c r="AF2199" s="6" t="s">
        <v>81</v>
      </c>
      <c r="AG2199" s="6" t="s">
        <v>81</v>
      </c>
      <c r="AH2199" s="6" t="s">
        <v>16745</v>
      </c>
      <c r="AI2199" s="6" t="s">
        <v>81</v>
      </c>
      <c r="AJ2199" s="6" t="s">
        <v>17662</v>
      </c>
      <c r="AK2199" s="6" t="s">
        <v>18377</v>
      </c>
      <c r="AL2199" s="6" t="s">
        <v>18444</v>
      </c>
      <c r="AM2199" s="6" t="s">
        <v>18830</v>
      </c>
      <c r="AN2199" s="6" t="s">
        <v>7546</v>
      </c>
      <c r="AO2199" s="6" t="s">
        <v>19892</v>
      </c>
      <c r="AP2199" s="6" t="s">
        <v>81</v>
      </c>
      <c r="AQ2199" s="6" t="s">
        <v>81</v>
      </c>
      <c r="AR2199" s="6" t="s">
        <v>81</v>
      </c>
      <c r="AS2199" s="6" t="s">
        <v>81</v>
      </c>
      <c r="AT2199" s="6" t="s">
        <v>81</v>
      </c>
      <c r="AU2199" s="6" t="s">
        <v>81</v>
      </c>
      <c r="AV2199" s="6" t="s">
        <v>81</v>
      </c>
      <c r="AW2199" s="6" t="s">
        <v>81</v>
      </c>
      <c r="AX2199" s="6" t="s">
        <v>22194</v>
      </c>
      <c r="AY2199" s="6" t="s">
        <v>81</v>
      </c>
      <c r="AZ2199" s="6" t="s">
        <v>81</v>
      </c>
      <c r="BA2199" s="6" t="s">
        <v>81</v>
      </c>
      <c r="BB2199" s="24" t="n">
        <v>220</v>
      </c>
      <c r="BC2199" s="26"/>
      <c r="BD2199" s="26"/>
      <c r="BE2199" s="26"/>
      <c r="BF2199" s="26"/>
      <c r="BG2199" s="26"/>
      <c r="BH2199" s="26"/>
      <c r="BI2199" s="26"/>
      <c r="BJ2199" s="26"/>
      <c r="BK2199" s="26"/>
      <c r="BL2199" s="26"/>
      <c r="BM2199" s="26"/>
      <c r="BN2199" s="26"/>
      <c r="BO2199" s="26"/>
      <c r="BP2199" s="16" t="n">
        <v>45738</v>
      </c>
      <c r="BQ2199" s="28" t="str">
        <f>HYPERLINK("https://organic.ams.usda.gov/Integrity/Certificate.aspx?cid=52&amp;nopid=8431801487")</f>
        <v>https://organic.ams.usda.gov/Integrity/Certificate.aspx?cid=52&amp;nopid=8431801487</v>
      </c>
    </row>
    <row r="2200">
      <c r="A2200" t="s">
        <v>3</v>
      </c>
      <c r="B2200" s="6" t="s">
        <v>10</v>
      </c>
      <c r="C2200" s="6" t="s">
        <v>57</v>
      </c>
      <c r="D2200" s="6" t="s">
        <v>103</v>
      </c>
      <c r="E2200" s="10" t="s">
        <v>2341</v>
      </c>
      <c r="F2200" s="6" t="s">
        <v>5052</v>
      </c>
      <c r="G2200" s="6" t="s">
        <v>81</v>
      </c>
      <c r="H2200" s="6" t="s">
        <v>7900</v>
      </c>
      <c r="I2200" s="6" t="s">
        <v>8574</v>
      </c>
      <c r="J2200" s="6" t="s">
        <v>9233</v>
      </c>
      <c r="K2200" s="6" t="s">
        <v>10886</v>
      </c>
      <c r="L2200" s="16" t="n">
        <v>43388</v>
      </c>
      <c r="M2200" s="16" t="n">
        <v>45748</v>
      </c>
      <c r="N2200" s="6" t="s">
        <v>10886</v>
      </c>
      <c r="O2200" s="16" t="n">
        <v>44632</v>
      </c>
      <c r="P2200" s="6" t="s">
        <v>11036</v>
      </c>
      <c r="Q2200" s="6" t="s">
        <v>81</v>
      </c>
      <c r="R2200" s="6" t="s">
        <v>13027</v>
      </c>
      <c r="S2200" s="6" t="s">
        <v>10886</v>
      </c>
      <c r="T2200" s="16" t="n">
        <v>44632</v>
      </c>
      <c r="U2200" s="6" t="s">
        <v>13163</v>
      </c>
      <c r="V2200" s="6" t="s">
        <v>81</v>
      </c>
      <c r="W2200" s="6" t="s">
        <v>81</v>
      </c>
      <c r="X2200" s="6" t="s">
        <v>81</v>
      </c>
      <c r="Y2200" s="21" t="s">
        <v>81</v>
      </c>
      <c r="Z2200" s="6" t="s">
        <v>81</v>
      </c>
      <c r="AA2200" s="6" t="s">
        <v>81</v>
      </c>
      <c r="AB2200" s="6" t="s">
        <v>81</v>
      </c>
      <c r="AC2200" s="6" t="s">
        <v>81</v>
      </c>
      <c r="AD2200" s="21" t="s">
        <v>81</v>
      </c>
      <c r="AE2200" s="6" t="s">
        <v>81</v>
      </c>
      <c r="AF2200" s="6" t="s">
        <v>81</v>
      </c>
      <c r="AG2200" s="6" t="s">
        <v>81</v>
      </c>
      <c r="AH2200" s="6" t="s">
        <v>16746</v>
      </c>
      <c r="AI2200" s="6" t="s">
        <v>81</v>
      </c>
      <c r="AJ2200" s="6" t="s">
        <v>17403</v>
      </c>
      <c r="AK2200" s="6" t="s">
        <v>18378</v>
      </c>
      <c r="AL2200" s="6" t="s">
        <v>18444</v>
      </c>
      <c r="AM2200" s="6" t="s">
        <v>18559</v>
      </c>
      <c r="AN2200" s="6" t="s">
        <v>6817</v>
      </c>
      <c r="AO2200" s="6" t="s">
        <v>19849</v>
      </c>
      <c r="AP2200" s="6" t="s">
        <v>81</v>
      </c>
      <c r="AQ2200" s="6" t="s">
        <v>81</v>
      </c>
      <c r="AR2200" s="6" t="s">
        <v>81</v>
      </c>
      <c r="AS2200" s="6" t="s">
        <v>81</v>
      </c>
      <c r="AT2200" s="6" t="s">
        <v>81</v>
      </c>
      <c r="AU2200" s="6" t="s">
        <v>81</v>
      </c>
      <c r="AV2200" s="6" t="s">
        <v>81</v>
      </c>
      <c r="AW2200" s="6" t="s">
        <v>81</v>
      </c>
      <c r="AX2200" s="6" t="s">
        <v>22195</v>
      </c>
      <c r="AY2200" s="6" t="s">
        <v>23337</v>
      </c>
      <c r="AZ2200" s="6" t="s">
        <v>81</v>
      </c>
      <c r="BA2200" s="6" t="s">
        <v>81</v>
      </c>
      <c r="BB2200" s="24" t="n">
        <v>257</v>
      </c>
      <c r="BC2200" s="26"/>
      <c r="BD2200" s="26"/>
      <c r="BE2200" s="26"/>
      <c r="BF2200" s="26"/>
      <c r="BG2200" s="26"/>
      <c r="BH2200" s="26"/>
      <c r="BI2200" s="26"/>
      <c r="BJ2200" s="26"/>
      <c r="BK2200" s="26"/>
      <c r="BL2200" s="26"/>
      <c r="BM2200" s="26"/>
      <c r="BN2200" s="26"/>
      <c r="BO2200" s="26"/>
      <c r="BP2200" s="16" t="n">
        <v>45730</v>
      </c>
      <c r="BQ2200" s="28" t="str">
        <f>HYPERLINK("https://organic.ams.usda.gov/Integrity/Certificate.aspx?cid=90&amp;nopid=7170220460")</f>
        <v>https://organic.ams.usda.gov/Integrity/Certificate.aspx?cid=90&amp;nopid=7170220460</v>
      </c>
    </row>
    <row r="2201">
      <c r="A2201" t="s">
        <v>3</v>
      </c>
      <c r="B2201" s="6" t="s">
        <v>30</v>
      </c>
      <c r="C2201" s="6" t="s">
        <v>77</v>
      </c>
      <c r="D2201" s="6" t="s">
        <v>123</v>
      </c>
      <c r="E2201" s="10" t="s">
        <v>2342</v>
      </c>
      <c r="F2201" s="6" t="s">
        <v>5053</v>
      </c>
      <c r="G2201" s="6" t="s">
        <v>81</v>
      </c>
      <c r="H2201" s="6" t="s">
        <v>7901</v>
      </c>
      <c r="I2201" s="6" t="s">
        <v>8574</v>
      </c>
      <c r="J2201" s="6" t="s">
        <v>9664</v>
      </c>
      <c r="K2201" s="6" t="s">
        <v>10886</v>
      </c>
      <c r="L2201" s="16" t="n">
        <v>42605</v>
      </c>
      <c r="M2201" s="16" t="n">
        <v>45747</v>
      </c>
      <c r="N2201" s="6" t="s">
        <v>10886</v>
      </c>
      <c r="O2201" s="16" t="n">
        <v>42605</v>
      </c>
      <c r="P2201" s="6" t="s">
        <v>12131</v>
      </c>
      <c r="Q2201" s="6" t="s">
        <v>81</v>
      </c>
      <c r="R2201" s="6" t="s">
        <v>81</v>
      </c>
      <c r="S2201" s="6" t="s">
        <v>10886</v>
      </c>
      <c r="T2201" s="16" t="n">
        <v>42605</v>
      </c>
      <c r="U2201" s="6" t="s">
        <v>13822</v>
      </c>
      <c r="V2201" s="6" t="s">
        <v>81</v>
      </c>
      <c r="W2201" s="6" t="s">
        <v>81</v>
      </c>
      <c r="X2201" s="6" t="s">
        <v>81</v>
      </c>
      <c r="Y2201" s="21" t="s">
        <v>81</v>
      </c>
      <c r="Z2201" s="6" t="s">
        <v>81</v>
      </c>
      <c r="AA2201" s="6" t="s">
        <v>81</v>
      </c>
      <c r="AB2201" s="6" t="s">
        <v>81</v>
      </c>
      <c r="AC2201" s="6" t="s">
        <v>81</v>
      </c>
      <c r="AD2201" s="21" t="s">
        <v>81</v>
      </c>
      <c r="AE2201" s="6" t="s">
        <v>81</v>
      </c>
      <c r="AF2201" s="6" t="s">
        <v>81</v>
      </c>
      <c r="AG2201" s="6" t="s">
        <v>81</v>
      </c>
      <c r="AH2201" s="6" t="s">
        <v>16747</v>
      </c>
      <c r="AI2201" s="6" t="s">
        <v>81</v>
      </c>
      <c r="AJ2201" s="6" t="s">
        <v>17746</v>
      </c>
      <c r="AK2201" s="6" t="s">
        <v>17712</v>
      </c>
      <c r="AL2201" s="6" t="s">
        <v>18444</v>
      </c>
      <c r="AM2201" s="6" t="s">
        <v>18914</v>
      </c>
      <c r="AN2201" s="6" t="s">
        <v>19634</v>
      </c>
      <c r="AO2201" s="6" t="s">
        <v>19719</v>
      </c>
      <c r="AP2201" s="6" t="s">
        <v>16747</v>
      </c>
      <c r="AQ2201" s="6" t="s">
        <v>81</v>
      </c>
      <c r="AR2201" s="6" t="s">
        <v>17746</v>
      </c>
      <c r="AS2201" s="6" t="s">
        <v>17712</v>
      </c>
      <c r="AT2201" s="6" t="s">
        <v>18444</v>
      </c>
      <c r="AU2201" s="6" t="s">
        <v>18914</v>
      </c>
      <c r="AV2201" s="6" t="s">
        <v>81</v>
      </c>
      <c r="AW2201" s="6" t="s">
        <v>81</v>
      </c>
      <c r="AX2201" s="6" t="s">
        <v>22196</v>
      </c>
      <c r="AY2201" s="6" t="s">
        <v>81</v>
      </c>
      <c r="AZ2201" s="6" t="s">
        <v>81</v>
      </c>
      <c r="BA2201" s="6" t="s">
        <v>81</v>
      </c>
      <c r="BB2201" s="24" t="n">
        <v>126</v>
      </c>
      <c r="BC2201" s="26"/>
      <c r="BD2201" s="26"/>
      <c r="BE2201" s="26"/>
      <c r="BF2201" s="26"/>
      <c r="BG2201" s="26"/>
      <c r="BH2201" s="26"/>
      <c r="BI2201" s="26"/>
      <c r="BJ2201" s="26"/>
      <c r="BK2201" s="26"/>
      <c r="BL2201" s="26"/>
      <c r="BM2201" s="26"/>
      <c r="BN2201" s="26"/>
      <c r="BO2201" s="26"/>
      <c r="BP2201" s="16" t="n">
        <v>45623</v>
      </c>
      <c r="BQ2201" s="28" t="str">
        <f>HYPERLINK("https://organic.ams.usda.gov/Integrity/Certificate.aspx?cid=70&amp;nopid=6431593300")</f>
        <v>https://organic.ams.usda.gov/Integrity/Certificate.aspx?cid=70&amp;nopid=6431593300</v>
      </c>
    </row>
    <row r="2202">
      <c r="A2202" t="s">
        <v>3</v>
      </c>
      <c r="B2202" s="6" t="s">
        <v>13</v>
      </c>
      <c r="C2202" s="6" t="s">
        <v>60</v>
      </c>
      <c r="D2202" s="6" t="s">
        <v>106</v>
      </c>
      <c r="E2202" s="10" t="s">
        <v>2343</v>
      </c>
      <c r="F2202" s="6" t="s">
        <v>5054</v>
      </c>
      <c r="G2202" s="6" t="s">
        <v>81</v>
      </c>
      <c r="H2202" s="6" t="s">
        <v>7902</v>
      </c>
      <c r="I2202" s="6" t="s">
        <v>8574</v>
      </c>
      <c r="J2202" s="6" t="s">
        <v>9728</v>
      </c>
      <c r="K2202" s="6" t="s">
        <v>10886</v>
      </c>
      <c r="L2202" s="16" t="n">
        <v>41164</v>
      </c>
      <c r="M2202" s="16" t="n">
        <v>45748</v>
      </c>
      <c r="N2202" s="6" t="s">
        <v>10886</v>
      </c>
      <c r="O2202" s="16" t="n">
        <v>41164</v>
      </c>
      <c r="P2202" s="6" t="s">
        <v>12132</v>
      </c>
      <c r="Q2202" s="6" t="s">
        <v>81</v>
      </c>
      <c r="R2202" s="6" t="s">
        <v>13028</v>
      </c>
      <c r="S2202" s="6" t="s">
        <v>10886</v>
      </c>
      <c r="T2202" s="16" t="n">
        <v>41197</v>
      </c>
      <c r="U2202" s="6" t="s">
        <v>13301</v>
      </c>
      <c r="V2202" s="6" t="s">
        <v>81</v>
      </c>
      <c r="W2202" s="6" t="s">
        <v>13028</v>
      </c>
      <c r="X2202" s="6" t="s">
        <v>81</v>
      </c>
      <c r="Y2202" s="21" t="s">
        <v>81</v>
      </c>
      <c r="Z2202" s="6" t="s">
        <v>81</v>
      </c>
      <c r="AA2202" s="6" t="s">
        <v>81</v>
      </c>
      <c r="AB2202" s="6" t="s">
        <v>81</v>
      </c>
      <c r="AC2202" s="6" t="s">
        <v>81</v>
      </c>
      <c r="AD2202" s="21" t="s">
        <v>81</v>
      </c>
      <c r="AE2202" s="6" t="s">
        <v>81</v>
      </c>
      <c r="AF2202" s="6" t="s">
        <v>81</v>
      </c>
      <c r="AG2202" s="6" t="s">
        <v>81</v>
      </c>
      <c r="AH2202" s="6" t="s">
        <v>16748</v>
      </c>
      <c r="AI2202" s="6" t="s">
        <v>81</v>
      </c>
      <c r="AJ2202" s="6" t="s">
        <v>17392</v>
      </c>
      <c r="AK2202" s="6" t="s">
        <v>18379</v>
      </c>
      <c r="AL2202" s="6" t="s">
        <v>18444</v>
      </c>
      <c r="AM2202" s="6" t="s">
        <v>18548</v>
      </c>
      <c r="AN2202" s="6" t="s">
        <v>19637</v>
      </c>
      <c r="AO2202" s="6" t="s">
        <v>19723</v>
      </c>
      <c r="AP2202" s="6" t="s">
        <v>16748</v>
      </c>
      <c r="AQ2202" s="6" t="s">
        <v>81</v>
      </c>
      <c r="AR2202" s="6" t="s">
        <v>17392</v>
      </c>
      <c r="AS2202" s="6" t="s">
        <v>18379</v>
      </c>
      <c r="AT2202" s="6" t="s">
        <v>18444</v>
      </c>
      <c r="AU2202" s="6" t="s">
        <v>18548</v>
      </c>
      <c r="AV2202" s="6" t="s">
        <v>81</v>
      </c>
      <c r="AW2202" s="6" t="s">
        <v>81</v>
      </c>
      <c r="AX2202" s="6" t="s">
        <v>22197</v>
      </c>
      <c r="AY2202" s="6" t="s">
        <v>81</v>
      </c>
      <c r="AZ2202" s="6" t="s">
        <v>81</v>
      </c>
      <c r="BA2202" s="6" t="s">
        <v>81</v>
      </c>
      <c r="BB2202" s="24" t="n">
        <v>61</v>
      </c>
      <c r="BC2202" s="26"/>
      <c r="BD2202" s="26"/>
      <c r="BE2202" s="26"/>
      <c r="BF2202" s="26" t="s">
        <v>23900</v>
      </c>
      <c r="BG2202" s="26"/>
      <c r="BH2202" s="26"/>
      <c r="BI2202" s="26"/>
      <c r="BJ2202" s="26"/>
      <c r="BK2202" s="26"/>
      <c r="BL2202" s="26"/>
      <c r="BM2202" s="26"/>
      <c r="BN2202" s="26"/>
      <c r="BO2202" s="26"/>
      <c r="BP2202" s="16" t="n">
        <v>45663</v>
      </c>
      <c r="BQ2202" s="28" t="str">
        <f>HYPERLINK("https://organic.ams.usda.gov/Integrity/Certificate.aspx?cid=72&amp;nopid=5870001418")</f>
        <v>https://organic.ams.usda.gov/Integrity/Certificate.aspx?cid=72&amp;nopid=5870001418</v>
      </c>
    </row>
    <row r="2203">
      <c r="A2203" t="s">
        <v>3</v>
      </c>
      <c r="B2203" s="6" t="s">
        <v>8</v>
      </c>
      <c r="C2203" s="6" t="s">
        <v>55</v>
      </c>
      <c r="D2203" s="6" t="s">
        <v>101</v>
      </c>
      <c r="E2203" s="10" t="s">
        <v>2344</v>
      </c>
      <c r="F2203" s="6" t="s">
        <v>5055</v>
      </c>
      <c r="G2203" s="6" t="s">
        <v>5825</v>
      </c>
      <c r="H2203" s="6" t="s">
        <v>7903</v>
      </c>
      <c r="I2203" s="6" t="s">
        <v>9459</v>
      </c>
      <c r="J2203" s="6" t="s">
        <v>9968</v>
      </c>
      <c r="K2203" s="6" t="s">
        <v>10886</v>
      </c>
      <c r="L2203" s="16" t="n">
        <v>39115</v>
      </c>
      <c r="M2203" s="16" t="n">
        <v>45748</v>
      </c>
      <c r="N2203" s="6" t="s">
        <v>10886</v>
      </c>
      <c r="O2203" s="16" t="n">
        <v>39115</v>
      </c>
      <c r="P2203" s="6" t="s">
        <v>12133</v>
      </c>
      <c r="Q2203" s="6" t="s">
        <v>81</v>
      </c>
      <c r="R2203" s="6" t="s">
        <v>7903</v>
      </c>
      <c r="S2203" s="6" t="s">
        <v>10886</v>
      </c>
      <c r="T2203" s="16" t="n">
        <v>39115</v>
      </c>
      <c r="U2203" s="6" t="s">
        <v>13823</v>
      </c>
      <c r="V2203" s="6" t="s">
        <v>81</v>
      </c>
      <c r="W2203" s="6" t="s">
        <v>7903</v>
      </c>
      <c r="X2203" s="6" t="s">
        <v>81</v>
      </c>
      <c r="Y2203" s="21" t="s">
        <v>81</v>
      </c>
      <c r="Z2203" s="6" t="s">
        <v>81</v>
      </c>
      <c r="AA2203" s="6" t="s">
        <v>81</v>
      </c>
      <c r="AB2203" s="6" t="s">
        <v>81</v>
      </c>
      <c r="AC2203" s="6" t="s">
        <v>81</v>
      </c>
      <c r="AD2203" s="21" t="s">
        <v>81</v>
      </c>
      <c r="AE2203" s="6" t="s">
        <v>81</v>
      </c>
      <c r="AF2203" s="6" t="s">
        <v>81</v>
      </c>
      <c r="AG2203" s="6" t="s">
        <v>81</v>
      </c>
      <c r="AH2203" s="6" t="s">
        <v>16749</v>
      </c>
      <c r="AI2203" s="6" t="s">
        <v>81</v>
      </c>
      <c r="AJ2203" s="6" t="s">
        <v>17377</v>
      </c>
      <c r="AK2203" s="6" t="s">
        <v>18377</v>
      </c>
      <c r="AL2203" s="6" t="s">
        <v>18444</v>
      </c>
      <c r="AM2203" s="6" t="s">
        <v>18530</v>
      </c>
      <c r="AN2203" s="6" t="s">
        <v>19638</v>
      </c>
      <c r="AO2203" s="6" t="s">
        <v>19724</v>
      </c>
      <c r="AP2203" s="6" t="s">
        <v>81</v>
      </c>
      <c r="AQ2203" s="6" t="s">
        <v>81</v>
      </c>
      <c r="AR2203" s="6" t="s">
        <v>81</v>
      </c>
      <c r="AS2203" s="6" t="s">
        <v>81</v>
      </c>
      <c r="AT2203" s="6" t="s">
        <v>81</v>
      </c>
      <c r="AU2203" s="6" t="s">
        <v>81</v>
      </c>
      <c r="AV2203" s="6" t="s">
        <v>81</v>
      </c>
      <c r="AW2203" s="6" t="s">
        <v>81</v>
      </c>
      <c r="AX2203" s="6" t="s">
        <v>81</v>
      </c>
      <c r="AY2203" s="6" t="s">
        <v>23338</v>
      </c>
      <c r="AZ2203" s="6" t="s">
        <v>81</v>
      </c>
      <c r="BA2203" s="6" t="s">
        <v>23819</v>
      </c>
      <c r="BB2203" s="24" t="n">
        <v>539</v>
      </c>
      <c r="BC2203" s="26"/>
      <c r="BD2203" s="26"/>
      <c r="BE2203" s="26"/>
      <c r="BF2203" s="26" t="s">
        <v>23900</v>
      </c>
      <c r="BG2203" s="26"/>
      <c r="BH2203" s="26"/>
      <c r="BI2203" s="26"/>
      <c r="BJ2203" s="26"/>
      <c r="BK2203" s="26"/>
      <c r="BL2203" s="26"/>
      <c r="BM2203" s="26"/>
      <c r="BN2203" s="26"/>
      <c r="BO2203" s="26"/>
      <c r="BP2203" s="16" t="n">
        <v>45560</v>
      </c>
      <c r="BQ2203" s="28" t="str">
        <f>HYPERLINK("https://organic.ams.usda.gov/Integrity/Certificate.aspx?cid=45&amp;nopid=9950002343")</f>
        <v>https://organic.ams.usda.gov/Integrity/Certificate.aspx?cid=45&amp;nopid=9950002343</v>
      </c>
    </row>
    <row r="2204">
      <c r="A2204" t="s">
        <v>3</v>
      </c>
      <c r="B2204" s="6" t="s">
        <v>8</v>
      </c>
      <c r="C2204" s="6" t="s">
        <v>55</v>
      </c>
      <c r="D2204" s="6" t="s">
        <v>101</v>
      </c>
      <c r="E2204" s="10" t="s">
        <v>2345</v>
      </c>
      <c r="F2204" s="6" t="s">
        <v>5056</v>
      </c>
      <c r="G2204" s="6" t="s">
        <v>5826</v>
      </c>
      <c r="H2204" s="6" t="s">
        <v>7904</v>
      </c>
      <c r="I2204" s="6" t="s">
        <v>9100</v>
      </c>
      <c r="J2204" s="6" t="s">
        <v>10660</v>
      </c>
      <c r="K2204" s="6" t="s">
        <v>10886</v>
      </c>
      <c r="L2204" s="16" t="n">
        <v>37578</v>
      </c>
      <c r="M2204" s="16" t="n">
        <v>45748</v>
      </c>
      <c r="N2204" s="6" t="s">
        <v>10886</v>
      </c>
      <c r="O2204" s="16" t="n">
        <v>37578</v>
      </c>
      <c r="P2204" s="6" t="s">
        <v>12134</v>
      </c>
      <c r="Q2204" s="6" t="s">
        <v>81</v>
      </c>
      <c r="R2204" s="6" t="s">
        <v>7904</v>
      </c>
      <c r="S2204" s="6" t="s">
        <v>10886</v>
      </c>
      <c r="T2204" s="16" t="n">
        <v>37578</v>
      </c>
      <c r="U2204" s="6" t="s">
        <v>13824</v>
      </c>
      <c r="V2204" s="6" t="s">
        <v>81</v>
      </c>
      <c r="W2204" s="6" t="s">
        <v>7904</v>
      </c>
      <c r="X2204" s="6" t="s">
        <v>81</v>
      </c>
      <c r="Y2204" s="21" t="s">
        <v>81</v>
      </c>
      <c r="Z2204" s="6" t="s">
        <v>81</v>
      </c>
      <c r="AA2204" s="6" t="s">
        <v>81</v>
      </c>
      <c r="AB2204" s="6" t="s">
        <v>81</v>
      </c>
      <c r="AC2204" s="6" t="s">
        <v>81</v>
      </c>
      <c r="AD2204" s="21" t="s">
        <v>81</v>
      </c>
      <c r="AE2204" s="6" t="s">
        <v>81</v>
      </c>
      <c r="AF2204" s="6" t="s">
        <v>81</v>
      </c>
      <c r="AG2204" s="6" t="s">
        <v>81</v>
      </c>
      <c r="AH2204" s="6" t="s">
        <v>16750</v>
      </c>
      <c r="AI2204" s="6" t="s">
        <v>81</v>
      </c>
      <c r="AJ2204" s="6" t="s">
        <v>17377</v>
      </c>
      <c r="AK2204" s="6" t="s">
        <v>18377</v>
      </c>
      <c r="AL2204" s="6" t="s">
        <v>18444</v>
      </c>
      <c r="AM2204" s="6" t="s">
        <v>18530</v>
      </c>
      <c r="AN2204" s="6" t="s">
        <v>19638</v>
      </c>
      <c r="AO2204" s="6" t="s">
        <v>19724</v>
      </c>
      <c r="AP2204" s="6" t="s">
        <v>81</v>
      </c>
      <c r="AQ2204" s="6" t="s">
        <v>81</v>
      </c>
      <c r="AR2204" s="6" t="s">
        <v>81</v>
      </c>
      <c r="AS2204" s="6" t="s">
        <v>81</v>
      </c>
      <c r="AT2204" s="6" t="s">
        <v>81</v>
      </c>
      <c r="AU2204" s="6" t="s">
        <v>81</v>
      </c>
      <c r="AV2204" s="6" t="s">
        <v>81</v>
      </c>
      <c r="AW2204" s="6" t="s">
        <v>81</v>
      </c>
      <c r="AX2204" s="6" t="s">
        <v>81</v>
      </c>
      <c r="AY2204" s="6" t="s">
        <v>81</v>
      </c>
      <c r="AZ2204" s="6" t="s">
        <v>81</v>
      </c>
      <c r="BA2204" s="6" t="s">
        <v>23824</v>
      </c>
      <c r="BB2204" s="24" t="n">
        <v>656</v>
      </c>
      <c r="BC2204" s="26"/>
      <c r="BD2204" s="26"/>
      <c r="BE2204" s="26"/>
      <c r="BF2204" s="26"/>
      <c r="BG2204" s="26"/>
      <c r="BH2204" s="26"/>
      <c r="BI2204" s="26"/>
      <c r="BJ2204" s="26"/>
      <c r="BK2204" s="26"/>
      <c r="BL2204" s="26"/>
      <c r="BM2204" s="26"/>
      <c r="BN2204" s="26"/>
      <c r="BO2204" s="26"/>
      <c r="BP2204" s="16" t="n">
        <v>45590</v>
      </c>
      <c r="BQ2204" s="28" t="str">
        <f>HYPERLINK("https://organic.ams.usda.gov/Integrity/Certificate.aspx?cid=45&amp;nopid=9950001107")</f>
        <v>https://organic.ams.usda.gov/Integrity/Certificate.aspx?cid=45&amp;nopid=9950001107</v>
      </c>
    </row>
    <row r="2205">
      <c r="A2205" t="s">
        <v>3</v>
      </c>
      <c r="B2205" s="6" t="s">
        <v>8</v>
      </c>
      <c r="C2205" s="6" t="s">
        <v>55</v>
      </c>
      <c r="D2205" s="6" t="s">
        <v>101</v>
      </c>
      <c r="E2205" s="10" t="s">
        <v>2346</v>
      </c>
      <c r="F2205" s="6" t="s">
        <v>5057</v>
      </c>
      <c r="G2205" s="6" t="s">
        <v>81</v>
      </c>
      <c r="H2205" s="6" t="s">
        <v>7905</v>
      </c>
      <c r="I2205" s="6" t="s">
        <v>8514</v>
      </c>
      <c r="J2205" s="6" t="s">
        <v>10661</v>
      </c>
      <c r="K2205" s="6" t="s">
        <v>10886</v>
      </c>
      <c r="L2205" s="16" t="n">
        <v>40834</v>
      </c>
      <c r="M2205" s="16" t="n">
        <v>45383</v>
      </c>
      <c r="N2205" s="6" t="s">
        <v>10886</v>
      </c>
      <c r="O2205" s="16" t="n">
        <v>40834</v>
      </c>
      <c r="P2205" s="6" t="s">
        <v>12135</v>
      </c>
      <c r="Q2205" s="6" t="s">
        <v>81</v>
      </c>
      <c r="R2205" s="6" t="s">
        <v>7905</v>
      </c>
      <c r="S2205" s="6" t="s">
        <v>10886</v>
      </c>
      <c r="T2205" s="16" t="n">
        <v>40834</v>
      </c>
      <c r="U2205" s="6" t="s">
        <v>13536</v>
      </c>
      <c r="V2205" s="6" t="s">
        <v>81</v>
      </c>
      <c r="W2205" s="6" t="s">
        <v>7905</v>
      </c>
      <c r="X2205" s="6" t="s">
        <v>81</v>
      </c>
      <c r="Y2205" s="21" t="s">
        <v>81</v>
      </c>
      <c r="Z2205" s="6" t="s">
        <v>81</v>
      </c>
      <c r="AA2205" s="6" t="s">
        <v>81</v>
      </c>
      <c r="AB2205" s="6" t="s">
        <v>81</v>
      </c>
      <c r="AC2205" s="6" t="s">
        <v>81</v>
      </c>
      <c r="AD2205" s="21" t="s">
        <v>81</v>
      </c>
      <c r="AE2205" s="6" t="s">
        <v>81</v>
      </c>
      <c r="AF2205" s="6" t="s">
        <v>81</v>
      </c>
      <c r="AG2205" s="6" t="s">
        <v>81</v>
      </c>
      <c r="AH2205" s="6" t="s">
        <v>16751</v>
      </c>
      <c r="AI2205" s="6" t="s">
        <v>81</v>
      </c>
      <c r="AJ2205" s="6" t="s">
        <v>17429</v>
      </c>
      <c r="AK2205" s="6" t="s">
        <v>18377</v>
      </c>
      <c r="AL2205" s="6" t="s">
        <v>18444</v>
      </c>
      <c r="AM2205" s="6" t="s">
        <v>18586</v>
      </c>
      <c r="AN2205" s="6" t="s">
        <v>19649</v>
      </c>
      <c r="AO2205" s="6" t="s">
        <v>20048</v>
      </c>
      <c r="AP2205" s="6" t="s">
        <v>20407</v>
      </c>
      <c r="AQ2205" s="6" t="s">
        <v>81</v>
      </c>
      <c r="AR2205" s="6" t="s">
        <v>17429</v>
      </c>
      <c r="AS2205" s="6" t="s">
        <v>18377</v>
      </c>
      <c r="AT2205" s="6" t="s">
        <v>18444</v>
      </c>
      <c r="AU2205" s="6" t="s">
        <v>18586</v>
      </c>
      <c r="AV2205" s="6" t="s">
        <v>81</v>
      </c>
      <c r="AW2205" s="6" t="s">
        <v>81</v>
      </c>
      <c r="AX2205" s="6" t="s">
        <v>81</v>
      </c>
      <c r="AY2205" s="6" t="s">
        <v>81</v>
      </c>
      <c r="AZ2205" s="6" t="s">
        <v>81</v>
      </c>
      <c r="BA2205" s="6" t="s">
        <v>23819</v>
      </c>
      <c r="BB2205" s="24" t="n">
        <v>392</v>
      </c>
      <c r="BC2205" s="26"/>
      <c r="BD2205" s="26"/>
      <c r="BE2205" s="26"/>
      <c r="BF2205" s="26" t="s">
        <v>23900</v>
      </c>
      <c r="BG2205" s="26"/>
      <c r="BH2205" s="26"/>
      <c r="BI2205" s="26"/>
      <c r="BJ2205" s="26"/>
      <c r="BK2205" s="26"/>
      <c r="BL2205" s="26"/>
      <c r="BM2205" s="26"/>
      <c r="BN2205" s="26"/>
      <c r="BO2205" s="26"/>
      <c r="BP2205" s="16" t="n">
        <v>45517</v>
      </c>
      <c r="BQ2205" s="28" t="str">
        <f>HYPERLINK("https://organic.ams.usda.gov/Integrity/Certificate.aspx?cid=45&amp;nopid=9950004503")</f>
        <v>https://organic.ams.usda.gov/Integrity/Certificate.aspx?cid=45&amp;nopid=9950004503</v>
      </c>
    </row>
    <row r="2206">
      <c r="A2206" t="s">
        <v>3</v>
      </c>
      <c r="B2206" s="6" t="s">
        <v>7</v>
      </c>
      <c r="C2206" s="6" t="s">
        <v>54</v>
      </c>
      <c r="D2206" s="6" t="s">
        <v>100</v>
      </c>
      <c r="E2206" s="10" t="s">
        <v>2347</v>
      </c>
      <c r="F2206" s="6" t="s">
        <v>5058</v>
      </c>
      <c r="G2206" s="6" t="s">
        <v>81</v>
      </c>
      <c r="H2206" s="6" t="s">
        <v>7906</v>
      </c>
      <c r="I2206" s="6" t="s">
        <v>8570</v>
      </c>
      <c r="J2206" s="6" t="s">
        <v>10662</v>
      </c>
      <c r="K2206" s="6" t="s">
        <v>10886</v>
      </c>
      <c r="L2206" s="16" t="n">
        <v>40833</v>
      </c>
      <c r="M2206" s="16" t="n">
        <v>45716</v>
      </c>
      <c r="N2206" s="6" t="s">
        <v>10886</v>
      </c>
      <c r="O2206" s="16" t="n">
        <v>40833</v>
      </c>
      <c r="P2206" s="6" t="s">
        <v>10910</v>
      </c>
      <c r="Q2206" s="6" t="s">
        <v>81</v>
      </c>
      <c r="R2206" s="6" t="s">
        <v>81</v>
      </c>
      <c r="S2206" s="6" t="s">
        <v>10886</v>
      </c>
      <c r="T2206" s="16" t="n">
        <v>41244</v>
      </c>
      <c r="U2206" s="6" t="s">
        <v>13825</v>
      </c>
      <c r="V2206" s="6" t="s">
        <v>81</v>
      </c>
      <c r="W2206" s="6" t="s">
        <v>81</v>
      </c>
      <c r="X2206" s="6" t="s">
        <v>81</v>
      </c>
      <c r="Y2206" s="21" t="s">
        <v>81</v>
      </c>
      <c r="Z2206" s="6" t="s">
        <v>81</v>
      </c>
      <c r="AA2206" s="6" t="s">
        <v>81</v>
      </c>
      <c r="AB2206" s="6" t="s">
        <v>81</v>
      </c>
      <c r="AC2206" s="6" t="s">
        <v>81</v>
      </c>
      <c r="AD2206" s="21" t="s">
        <v>81</v>
      </c>
      <c r="AE2206" s="6" t="s">
        <v>81</v>
      </c>
      <c r="AF2206" s="6" t="s">
        <v>81</v>
      </c>
      <c r="AG2206" s="6" t="s">
        <v>81</v>
      </c>
      <c r="AH2206" s="6" t="s">
        <v>16752</v>
      </c>
      <c r="AI2206" s="6" t="s">
        <v>81</v>
      </c>
      <c r="AJ2206" s="6" t="s">
        <v>9016</v>
      </c>
      <c r="AK2206" s="6" t="s">
        <v>17712</v>
      </c>
      <c r="AL2206" s="6" t="s">
        <v>18444</v>
      </c>
      <c r="AM2206" s="6" t="s">
        <v>19460</v>
      </c>
      <c r="AN2206" s="6" t="s">
        <v>19651</v>
      </c>
      <c r="AO2206" s="6" t="s">
        <v>19741</v>
      </c>
      <c r="AP2206" s="6" t="s">
        <v>16752</v>
      </c>
      <c r="AQ2206" s="6" t="s">
        <v>81</v>
      </c>
      <c r="AR2206" s="6" t="s">
        <v>9016</v>
      </c>
      <c r="AS2206" s="6" t="s">
        <v>17712</v>
      </c>
      <c r="AT2206" s="6" t="s">
        <v>18444</v>
      </c>
      <c r="AU2206" s="6" t="s">
        <v>19460</v>
      </c>
      <c r="AV2206" s="6" t="s">
        <v>81</v>
      </c>
      <c r="AW2206" s="6" t="s">
        <v>81</v>
      </c>
      <c r="AX2206" s="6" t="s">
        <v>22198</v>
      </c>
      <c r="AY2206" s="6" t="s">
        <v>81</v>
      </c>
      <c r="AZ2206" s="6" t="s">
        <v>81</v>
      </c>
      <c r="BA2206" s="6" t="s">
        <v>81</v>
      </c>
      <c r="BB2206" s="24" t="n">
        <v>147</v>
      </c>
      <c r="BC2206" s="26"/>
      <c r="BD2206" s="26"/>
      <c r="BE2206" s="26"/>
      <c r="BF2206" s="26"/>
      <c r="BG2206" s="26"/>
      <c r="BH2206" s="26"/>
      <c r="BI2206" s="26"/>
      <c r="BJ2206" s="26"/>
      <c r="BK2206" s="26"/>
      <c r="BL2206" s="26"/>
      <c r="BM2206" s="26"/>
      <c r="BN2206" s="26"/>
      <c r="BO2206" s="26"/>
      <c r="BP2206" s="16" t="n">
        <v>45595</v>
      </c>
      <c r="BQ2206" s="28" t="str">
        <f>HYPERLINK("https://organic.ams.usda.gov/Integrity/Certificate.aspx?cid=57&amp;nopid=3252011049")</f>
        <v>https://organic.ams.usda.gov/Integrity/Certificate.aspx?cid=57&amp;nopid=3252011049</v>
      </c>
    </row>
    <row r="2207">
      <c r="A2207" t="s">
        <v>3</v>
      </c>
      <c r="B2207" s="6" t="s">
        <v>35</v>
      </c>
      <c r="C2207" s="6" t="s">
        <v>82</v>
      </c>
      <c r="D2207" s="6" t="s">
        <v>127</v>
      </c>
      <c r="E2207" s="10" t="s">
        <v>2348</v>
      </c>
      <c r="F2207" s="6" t="s">
        <v>5059</v>
      </c>
      <c r="G2207" s="6" t="s">
        <v>81</v>
      </c>
      <c r="H2207" s="6" t="s">
        <v>7907</v>
      </c>
      <c r="I2207" s="6" t="s">
        <v>9392</v>
      </c>
      <c r="J2207" s="6" t="s">
        <v>10663</v>
      </c>
      <c r="K2207" s="6" t="s">
        <v>10886</v>
      </c>
      <c r="L2207" s="16" t="n">
        <v>39988</v>
      </c>
      <c r="M2207" s="16" t="n">
        <v>45762</v>
      </c>
      <c r="N2207" s="6" t="s">
        <v>10886</v>
      </c>
      <c r="O2207" s="16" t="n">
        <v>39988</v>
      </c>
      <c r="P2207" s="6" t="s">
        <v>12136</v>
      </c>
      <c r="Q2207" s="6" t="s">
        <v>81</v>
      </c>
      <c r="R2207" s="6" t="s">
        <v>13029</v>
      </c>
      <c r="S2207" s="6" t="s">
        <v>10886</v>
      </c>
      <c r="T2207" s="16" t="n">
        <v>39988</v>
      </c>
      <c r="U2207" s="6" t="s">
        <v>13826</v>
      </c>
      <c r="V2207" s="6" t="s">
        <v>81</v>
      </c>
      <c r="W2207" s="6" t="s">
        <v>13029</v>
      </c>
      <c r="X2207" s="6" t="s">
        <v>81</v>
      </c>
      <c r="Y2207" s="21" t="s">
        <v>81</v>
      </c>
      <c r="Z2207" s="6" t="s">
        <v>81</v>
      </c>
      <c r="AA2207" s="6" t="s">
        <v>81</v>
      </c>
      <c r="AB2207" s="6" t="s">
        <v>81</v>
      </c>
      <c r="AC2207" s="6" t="s">
        <v>10886</v>
      </c>
      <c r="AD2207" s="16" t="n">
        <v>45357</v>
      </c>
      <c r="AE2207" s="6" t="s">
        <v>14397</v>
      </c>
      <c r="AF2207" s="6" t="s">
        <v>81</v>
      </c>
      <c r="AG2207" s="6" t="s">
        <v>13029</v>
      </c>
      <c r="AH2207" s="6" t="s">
        <v>16753</v>
      </c>
      <c r="AI2207" s="6" t="s">
        <v>81</v>
      </c>
      <c r="AJ2207" s="6" t="s">
        <v>18242</v>
      </c>
      <c r="AK2207" s="6" t="s">
        <v>18405</v>
      </c>
      <c r="AL2207" s="6" t="s">
        <v>18444</v>
      </c>
      <c r="AM2207" s="6" t="s">
        <v>18707</v>
      </c>
      <c r="AN2207" s="6" t="s">
        <v>19682</v>
      </c>
      <c r="AO2207" s="6" t="s">
        <v>19845</v>
      </c>
      <c r="AP2207" s="6" t="s">
        <v>16753</v>
      </c>
      <c r="AQ2207" s="6" t="s">
        <v>81</v>
      </c>
      <c r="AR2207" s="6" t="s">
        <v>18242</v>
      </c>
      <c r="AS2207" s="6" t="s">
        <v>18405</v>
      </c>
      <c r="AT2207" s="6" t="s">
        <v>18444</v>
      </c>
      <c r="AU2207" s="6" t="s">
        <v>18707</v>
      </c>
      <c r="AV2207" s="6" t="s">
        <v>81</v>
      </c>
      <c r="AW2207" s="6" t="s">
        <v>81</v>
      </c>
      <c r="AX2207" s="6" t="s">
        <v>22199</v>
      </c>
      <c r="AY2207" s="6" t="s">
        <v>23339</v>
      </c>
      <c r="AZ2207" s="6" t="s">
        <v>23764</v>
      </c>
      <c r="BA2207" s="6" t="s">
        <v>81</v>
      </c>
      <c r="BB2207" s="24" t="n">
        <v>16</v>
      </c>
      <c r="BC2207" s="26"/>
      <c r="BD2207" s="26"/>
      <c r="BE2207" s="26"/>
      <c r="BF2207" s="26"/>
      <c r="BG2207" s="26"/>
      <c r="BH2207" s="26"/>
      <c r="BI2207" s="26"/>
      <c r="BJ2207" s="26"/>
      <c r="BK2207" s="26"/>
      <c r="BL2207" s="26"/>
      <c r="BM2207" s="26"/>
      <c r="BN2207" s="26"/>
      <c r="BO2207" s="26"/>
      <c r="BP2207" s="16" t="n">
        <v>45721</v>
      </c>
      <c r="BQ2207" s="28" t="str">
        <f>HYPERLINK("https://organic.ams.usda.gov/Integrity/Certificate.aspx?cid=47&amp;nopid=7142073972")</f>
        <v>https://organic.ams.usda.gov/Integrity/Certificate.aspx?cid=47&amp;nopid=7142073972</v>
      </c>
    </row>
    <row r="2208">
      <c r="A2208" t="s">
        <v>3</v>
      </c>
      <c r="B2208" s="6" t="s">
        <v>8</v>
      </c>
      <c r="C2208" s="6" t="s">
        <v>55</v>
      </c>
      <c r="D2208" s="6" t="s">
        <v>101</v>
      </c>
      <c r="E2208" s="10" t="s">
        <v>2349</v>
      </c>
      <c r="F2208" s="6" t="s">
        <v>5060</v>
      </c>
      <c r="G2208" s="6" t="s">
        <v>81</v>
      </c>
      <c r="H2208" s="6" t="s">
        <v>7908</v>
      </c>
      <c r="I2208" s="6" t="s">
        <v>9412</v>
      </c>
      <c r="J2208" s="6" t="s">
        <v>9665</v>
      </c>
      <c r="K2208" s="6" t="s">
        <v>10886</v>
      </c>
      <c r="L2208" s="16" t="n">
        <v>39743</v>
      </c>
      <c r="M2208" s="16" t="n">
        <v>45748</v>
      </c>
      <c r="N2208" s="6" t="s">
        <v>10886</v>
      </c>
      <c r="O2208" s="16" t="n">
        <v>39743</v>
      </c>
      <c r="P2208" s="6" t="s">
        <v>12137</v>
      </c>
      <c r="Q2208" s="6" t="s">
        <v>81</v>
      </c>
      <c r="R2208" s="6" t="s">
        <v>7908</v>
      </c>
      <c r="S2208" s="6" t="s">
        <v>10886</v>
      </c>
      <c r="T2208" s="16" t="n">
        <v>39743</v>
      </c>
      <c r="U2208" s="6" t="s">
        <v>13827</v>
      </c>
      <c r="V2208" s="6" t="s">
        <v>81</v>
      </c>
      <c r="W2208" s="6" t="s">
        <v>7908</v>
      </c>
      <c r="X2208" s="6" t="s">
        <v>81</v>
      </c>
      <c r="Y2208" s="21" t="s">
        <v>81</v>
      </c>
      <c r="Z2208" s="6" t="s">
        <v>81</v>
      </c>
      <c r="AA2208" s="6" t="s">
        <v>81</v>
      </c>
      <c r="AB2208" s="6" t="s">
        <v>81</v>
      </c>
      <c r="AC2208" s="6" t="s">
        <v>81</v>
      </c>
      <c r="AD2208" s="21" t="s">
        <v>81</v>
      </c>
      <c r="AE2208" s="6" t="s">
        <v>81</v>
      </c>
      <c r="AF2208" s="6" t="s">
        <v>81</v>
      </c>
      <c r="AG2208" s="6" t="s">
        <v>81</v>
      </c>
      <c r="AH2208" s="6" t="s">
        <v>16754</v>
      </c>
      <c r="AI2208" s="6" t="s">
        <v>81</v>
      </c>
      <c r="AJ2208" s="6" t="s">
        <v>18243</v>
      </c>
      <c r="AK2208" s="6" t="s">
        <v>18384</v>
      </c>
      <c r="AL2208" s="6" t="s">
        <v>18444</v>
      </c>
      <c r="AM2208" s="6" t="s">
        <v>19461</v>
      </c>
      <c r="AN2208" s="6" t="s">
        <v>19670</v>
      </c>
      <c r="AO2208" s="6" t="s">
        <v>19870</v>
      </c>
      <c r="AP2208" s="6" t="s">
        <v>81</v>
      </c>
      <c r="AQ2208" s="6" t="s">
        <v>81</v>
      </c>
      <c r="AR2208" s="6" t="s">
        <v>81</v>
      </c>
      <c r="AS2208" s="6" t="s">
        <v>81</v>
      </c>
      <c r="AT2208" s="6" t="s">
        <v>81</v>
      </c>
      <c r="AU2208" s="6" t="s">
        <v>81</v>
      </c>
      <c r="AV2208" s="6" t="s">
        <v>81</v>
      </c>
      <c r="AW2208" s="6" t="s">
        <v>81</v>
      </c>
      <c r="AX2208" s="6" t="s">
        <v>81</v>
      </c>
      <c r="AY2208" s="6" t="s">
        <v>81</v>
      </c>
      <c r="AZ2208" s="6" t="s">
        <v>81</v>
      </c>
      <c r="BA2208" s="6" t="s">
        <v>23819</v>
      </c>
      <c r="BB2208" s="24" t="n">
        <v>193</v>
      </c>
      <c r="BC2208" s="26"/>
      <c r="BD2208" s="26"/>
      <c r="BE2208" s="26"/>
      <c r="BF2208" s="26" t="s">
        <v>23900</v>
      </c>
      <c r="BG2208" s="26"/>
      <c r="BH2208" s="26"/>
      <c r="BI2208" s="26"/>
      <c r="BJ2208" s="26"/>
      <c r="BK2208" s="26"/>
      <c r="BL2208" s="26"/>
      <c r="BM2208" s="26"/>
      <c r="BN2208" s="26"/>
      <c r="BO2208" s="26"/>
      <c r="BP2208" s="16" t="n">
        <v>45603</v>
      </c>
      <c r="BQ2208" s="28" t="str">
        <f>HYPERLINK("https://organic.ams.usda.gov/Integrity/Certificate.aspx?cid=45&amp;nopid=9950003263")</f>
        <v>https://organic.ams.usda.gov/Integrity/Certificate.aspx?cid=45&amp;nopid=9950003263</v>
      </c>
    </row>
    <row r="2209">
      <c r="A2209" t="s">
        <v>3</v>
      </c>
      <c r="B2209" s="6" t="s">
        <v>12</v>
      </c>
      <c r="C2209" s="6" t="s">
        <v>59</v>
      </c>
      <c r="D2209" s="6" t="s">
        <v>105</v>
      </c>
      <c r="E2209" s="10" t="s">
        <v>2350</v>
      </c>
      <c r="F2209" s="6" t="s">
        <v>5061</v>
      </c>
      <c r="G2209" s="6" t="s">
        <v>81</v>
      </c>
      <c r="H2209" s="6" t="s">
        <v>7909</v>
      </c>
      <c r="I2209" s="6" t="s">
        <v>9460</v>
      </c>
      <c r="J2209" s="6" t="s">
        <v>10664</v>
      </c>
      <c r="K2209" s="6" t="s">
        <v>10886</v>
      </c>
      <c r="L2209" s="16" t="n">
        <v>45239</v>
      </c>
      <c r="M2209" s="16" t="n">
        <v>45717</v>
      </c>
      <c r="N2209" s="6" t="s">
        <v>81</v>
      </c>
      <c r="O2209" s="21" t="s">
        <v>81</v>
      </c>
      <c r="P2209" s="6" t="s">
        <v>81</v>
      </c>
      <c r="Q2209" s="6" t="s">
        <v>81</v>
      </c>
      <c r="R2209" s="6" t="s">
        <v>81</v>
      </c>
      <c r="S2209" s="6" t="s">
        <v>81</v>
      </c>
      <c r="T2209" s="21" t="s">
        <v>81</v>
      </c>
      <c r="U2209" s="6" t="s">
        <v>81</v>
      </c>
      <c r="V2209" s="6" t="s">
        <v>81</v>
      </c>
      <c r="W2209" s="6" t="s">
        <v>81</v>
      </c>
      <c r="X2209" s="6" t="s">
        <v>81</v>
      </c>
      <c r="Y2209" s="21" t="s">
        <v>81</v>
      </c>
      <c r="Z2209" s="6" t="s">
        <v>81</v>
      </c>
      <c r="AA2209" s="6" t="s">
        <v>81</v>
      </c>
      <c r="AB2209" s="6" t="s">
        <v>81</v>
      </c>
      <c r="AC2209" s="6" t="s">
        <v>10886</v>
      </c>
      <c r="AD2209" s="16" t="n">
        <v>45239</v>
      </c>
      <c r="AE2209" s="6" t="s">
        <v>14398</v>
      </c>
      <c r="AF2209" s="6" t="s">
        <v>81</v>
      </c>
      <c r="AG2209" s="6" t="s">
        <v>81</v>
      </c>
      <c r="AH2209" s="6" t="s">
        <v>16755</v>
      </c>
      <c r="AI2209" s="6" t="s">
        <v>81</v>
      </c>
      <c r="AJ2209" s="6" t="s">
        <v>17417</v>
      </c>
      <c r="AK2209" s="6" t="s">
        <v>18380</v>
      </c>
      <c r="AL2209" s="6" t="s">
        <v>18444</v>
      </c>
      <c r="AM2209" s="6" t="s">
        <v>18574</v>
      </c>
      <c r="AN2209" s="6" t="s">
        <v>81</v>
      </c>
      <c r="AO2209" s="6" t="s">
        <v>81</v>
      </c>
      <c r="AP2209" s="6" t="s">
        <v>20408</v>
      </c>
      <c r="AQ2209" s="6" t="s">
        <v>81</v>
      </c>
      <c r="AR2209" s="6" t="s">
        <v>20573</v>
      </c>
      <c r="AS2209" s="6" t="s">
        <v>18380</v>
      </c>
      <c r="AT2209" s="6" t="s">
        <v>18444</v>
      </c>
      <c r="AU2209" s="6" t="s">
        <v>20697</v>
      </c>
      <c r="AV2209" s="6" t="s">
        <v>81</v>
      </c>
      <c r="AW2209" s="6" t="s">
        <v>81</v>
      </c>
      <c r="AX2209" s="6" t="s">
        <v>22200</v>
      </c>
      <c r="AY2209" s="6" t="s">
        <v>23340</v>
      </c>
      <c r="AZ2209" s="6" t="s">
        <v>23765</v>
      </c>
      <c r="BA2209" s="6" t="s">
        <v>81</v>
      </c>
      <c r="BB2209" s="6" t="s">
        <v>81</v>
      </c>
      <c r="BC2209" s="26"/>
      <c r="BD2209" s="26"/>
      <c r="BE2209" s="26"/>
      <c r="BF2209" s="26"/>
      <c r="BG2209" s="26"/>
      <c r="BH2209" s="26"/>
      <c r="BI2209" s="26"/>
      <c r="BJ2209" s="26"/>
      <c r="BK2209" s="26"/>
      <c r="BL2209" s="26"/>
      <c r="BM2209" s="26"/>
      <c r="BN2209" s="26"/>
      <c r="BO2209" s="26"/>
      <c r="BP2209" s="16" t="n">
        <v>45684</v>
      </c>
      <c r="BQ2209" s="28" t="str">
        <f>HYPERLINK("https://organic.ams.usda.gov/Integrity/Certificate.aspx?cid=68&amp;nopid=8210008118")</f>
        <v>https://organic.ams.usda.gov/Integrity/Certificate.aspx?cid=68&amp;nopid=8210008118</v>
      </c>
    </row>
    <row r="2210">
      <c r="A2210" t="s">
        <v>3</v>
      </c>
      <c r="B2210" s="6" t="s">
        <v>7</v>
      </c>
      <c r="C2210" s="6" t="s">
        <v>54</v>
      </c>
      <c r="D2210" s="6" t="s">
        <v>100</v>
      </c>
      <c r="E2210" s="10" t="s">
        <v>2351</v>
      </c>
      <c r="F2210" s="6" t="s">
        <v>5062</v>
      </c>
      <c r="G2210" s="6" t="s">
        <v>81</v>
      </c>
      <c r="H2210" s="6" t="s">
        <v>7910</v>
      </c>
      <c r="I2210" s="6" t="s">
        <v>9461</v>
      </c>
      <c r="J2210" s="6" t="s">
        <v>10665</v>
      </c>
      <c r="K2210" s="6" t="s">
        <v>10886</v>
      </c>
      <c r="L2210" s="16" t="n">
        <v>41911</v>
      </c>
      <c r="M2210" s="16" t="n">
        <v>45716</v>
      </c>
      <c r="N2210" s="6" t="s">
        <v>10886</v>
      </c>
      <c r="O2210" s="16" t="n">
        <v>41911</v>
      </c>
      <c r="P2210" s="6" t="s">
        <v>12138</v>
      </c>
      <c r="Q2210" s="6" t="s">
        <v>81</v>
      </c>
      <c r="R2210" s="6" t="s">
        <v>81</v>
      </c>
      <c r="S2210" s="6" t="s">
        <v>10886</v>
      </c>
      <c r="T2210" s="16" t="n">
        <v>42151</v>
      </c>
      <c r="U2210" s="6" t="s">
        <v>13169</v>
      </c>
      <c r="V2210" s="6" t="s">
        <v>81</v>
      </c>
      <c r="W2210" s="6" t="s">
        <v>81</v>
      </c>
      <c r="X2210" s="6" t="s">
        <v>81</v>
      </c>
      <c r="Y2210" s="21" t="s">
        <v>81</v>
      </c>
      <c r="Z2210" s="6" t="s">
        <v>81</v>
      </c>
      <c r="AA2210" s="6" t="s">
        <v>81</v>
      </c>
      <c r="AB2210" s="6" t="s">
        <v>81</v>
      </c>
      <c r="AC2210" s="6" t="s">
        <v>81</v>
      </c>
      <c r="AD2210" s="21" t="s">
        <v>81</v>
      </c>
      <c r="AE2210" s="6" t="s">
        <v>81</v>
      </c>
      <c r="AF2210" s="6" t="s">
        <v>81</v>
      </c>
      <c r="AG2210" s="6" t="s">
        <v>81</v>
      </c>
      <c r="AH2210" s="6" t="s">
        <v>16756</v>
      </c>
      <c r="AI2210" s="6" t="s">
        <v>81</v>
      </c>
      <c r="AJ2210" s="6" t="s">
        <v>17510</v>
      </c>
      <c r="AK2210" s="6" t="s">
        <v>17712</v>
      </c>
      <c r="AL2210" s="6" t="s">
        <v>18444</v>
      </c>
      <c r="AM2210" s="6" t="s">
        <v>18674</v>
      </c>
      <c r="AN2210" s="6" t="s">
        <v>19686</v>
      </c>
      <c r="AO2210" s="6" t="s">
        <v>19827</v>
      </c>
      <c r="AP2210" s="6" t="s">
        <v>20409</v>
      </c>
      <c r="AQ2210" s="6" t="s">
        <v>81</v>
      </c>
      <c r="AR2210" s="6" t="s">
        <v>20574</v>
      </c>
      <c r="AS2210" s="6" t="s">
        <v>17712</v>
      </c>
      <c r="AT2210" s="6" t="s">
        <v>18444</v>
      </c>
      <c r="AU2210" s="6" t="s">
        <v>20698</v>
      </c>
      <c r="AV2210" s="6" t="s">
        <v>81</v>
      </c>
      <c r="AW2210" s="6" t="s">
        <v>81</v>
      </c>
      <c r="AX2210" s="6" t="s">
        <v>22201</v>
      </c>
      <c r="AY2210" s="6" t="s">
        <v>81</v>
      </c>
      <c r="AZ2210" s="6" t="s">
        <v>81</v>
      </c>
      <c r="BA2210" s="6" t="s">
        <v>81</v>
      </c>
      <c r="BB2210" s="24" t="n">
        <v>984</v>
      </c>
      <c r="BC2210" s="26"/>
      <c r="BD2210" s="26"/>
      <c r="BE2210" s="26"/>
      <c r="BF2210" s="26" t="s">
        <v>23900</v>
      </c>
      <c r="BG2210" s="26"/>
      <c r="BH2210" s="26"/>
      <c r="BI2210" s="26"/>
      <c r="BJ2210" s="26"/>
      <c r="BK2210" s="26"/>
      <c r="BL2210" s="26"/>
      <c r="BM2210" s="26"/>
      <c r="BN2210" s="26"/>
      <c r="BO2210" s="26"/>
      <c r="BP2210" s="16" t="n">
        <v>45646</v>
      </c>
      <c r="BQ2210" s="28" t="str">
        <f>HYPERLINK("https://organic.ams.usda.gov/Integrity/Certificate.aspx?cid=57&amp;nopid=3252014060")</f>
        <v>https://organic.ams.usda.gov/Integrity/Certificate.aspx?cid=57&amp;nopid=3252014060</v>
      </c>
    </row>
    <row r="2211">
      <c r="A2211" t="s">
        <v>3</v>
      </c>
      <c r="B2211" s="6" t="s">
        <v>16</v>
      </c>
      <c r="C2211" s="6" t="s">
        <v>63</v>
      </c>
      <c r="D2211" s="6" t="s">
        <v>109</v>
      </c>
      <c r="E2211" s="10" t="s">
        <v>2352</v>
      </c>
      <c r="F2211" s="6" t="s">
        <v>5063</v>
      </c>
      <c r="G2211" s="6" t="s">
        <v>81</v>
      </c>
      <c r="H2211" s="6" t="s">
        <v>7911</v>
      </c>
      <c r="I2211" s="6" t="s">
        <v>8796</v>
      </c>
      <c r="J2211" s="6" t="s">
        <v>10666</v>
      </c>
      <c r="K2211" s="6" t="s">
        <v>10886</v>
      </c>
      <c r="L2211" s="16" t="n">
        <v>41121</v>
      </c>
      <c r="M2211" s="16" t="n">
        <v>45731</v>
      </c>
      <c r="N2211" s="6" t="s">
        <v>10886</v>
      </c>
      <c r="O2211" s="16" t="n">
        <v>41121</v>
      </c>
      <c r="P2211" s="6" t="s">
        <v>11085</v>
      </c>
      <c r="Q2211" s="6" t="s">
        <v>81</v>
      </c>
      <c r="R2211" s="6" t="s">
        <v>81</v>
      </c>
      <c r="S2211" s="6" t="s">
        <v>10886</v>
      </c>
      <c r="T2211" s="16" t="n">
        <v>41121</v>
      </c>
      <c r="U2211" s="6" t="s">
        <v>13281</v>
      </c>
      <c r="V2211" s="6" t="s">
        <v>81</v>
      </c>
      <c r="W2211" s="6" t="s">
        <v>81</v>
      </c>
      <c r="X2211" s="6" t="s">
        <v>81</v>
      </c>
      <c r="Y2211" s="21" t="s">
        <v>81</v>
      </c>
      <c r="Z2211" s="6" t="s">
        <v>81</v>
      </c>
      <c r="AA2211" s="6" t="s">
        <v>81</v>
      </c>
      <c r="AB2211" s="6" t="s">
        <v>81</v>
      </c>
      <c r="AC2211" s="6" t="s">
        <v>10886</v>
      </c>
      <c r="AD2211" s="16" t="n">
        <v>41121</v>
      </c>
      <c r="AE2211" s="6" t="s">
        <v>14134</v>
      </c>
      <c r="AF2211" s="6" t="s">
        <v>81</v>
      </c>
      <c r="AG2211" s="6" t="s">
        <v>81</v>
      </c>
      <c r="AH2211" s="6" t="s">
        <v>16757</v>
      </c>
      <c r="AI2211" s="6" t="s">
        <v>81</v>
      </c>
      <c r="AJ2211" s="6" t="s">
        <v>18244</v>
      </c>
      <c r="AK2211" s="6" t="s">
        <v>18383</v>
      </c>
      <c r="AL2211" s="6" t="s">
        <v>18444</v>
      </c>
      <c r="AM2211" s="6" t="s">
        <v>19462</v>
      </c>
      <c r="AN2211" s="6" t="s">
        <v>19692</v>
      </c>
      <c r="AO2211" s="6" t="s">
        <v>20019</v>
      </c>
      <c r="AP2211" s="6" t="s">
        <v>81</v>
      </c>
      <c r="AQ2211" s="6" t="s">
        <v>81</v>
      </c>
      <c r="AR2211" s="6" t="s">
        <v>81</v>
      </c>
      <c r="AS2211" s="6" t="s">
        <v>81</v>
      </c>
      <c r="AT2211" s="6" t="s">
        <v>81</v>
      </c>
      <c r="AU2211" s="6" t="s">
        <v>81</v>
      </c>
      <c r="AV2211" s="6" t="s">
        <v>81</v>
      </c>
      <c r="AW2211" s="6" t="s">
        <v>81</v>
      </c>
      <c r="AX2211" s="6" t="s">
        <v>22202</v>
      </c>
      <c r="AY2211" s="6" t="s">
        <v>81</v>
      </c>
      <c r="AZ2211" s="6" t="s">
        <v>81</v>
      </c>
      <c r="BA2211" s="6" t="s">
        <v>81</v>
      </c>
      <c r="BB2211" s="24" t="n">
        <v>449</v>
      </c>
      <c r="BC2211" s="26"/>
      <c r="BD2211" s="26"/>
      <c r="BE2211" s="26"/>
      <c r="BF2211" s="26"/>
      <c r="BG2211" s="26"/>
      <c r="BH2211" s="26"/>
      <c r="BI2211" s="26"/>
      <c r="BJ2211" s="26"/>
      <c r="BK2211" s="26"/>
      <c r="BL2211" s="26"/>
      <c r="BM2211" s="26"/>
      <c r="BN2211" s="26"/>
      <c r="BO2211" s="26"/>
      <c r="BP2211" s="16" t="n">
        <v>45701</v>
      </c>
      <c r="BQ2211" s="28" t="str">
        <f>HYPERLINK("https://organic.ams.usda.gov/Integrity/Certificate.aspx?cid=81&amp;nopid=4210012034")</f>
        <v>https://organic.ams.usda.gov/Integrity/Certificate.aspx?cid=81&amp;nopid=4210012034</v>
      </c>
    </row>
    <row r="2212">
      <c r="A2212" t="s">
        <v>3</v>
      </c>
      <c r="B2212" s="6" t="s">
        <v>8</v>
      </c>
      <c r="C2212" s="6" t="s">
        <v>55</v>
      </c>
      <c r="D2212" s="6" t="s">
        <v>101</v>
      </c>
      <c r="E2212" s="10" t="s">
        <v>2353</v>
      </c>
      <c r="F2212" s="6" t="s">
        <v>5064</v>
      </c>
      <c r="G2212" s="6" t="s">
        <v>81</v>
      </c>
      <c r="H2212" s="6" t="s">
        <v>7912</v>
      </c>
      <c r="I2212" s="6" t="s">
        <v>8511</v>
      </c>
      <c r="J2212" s="6" t="s">
        <v>10667</v>
      </c>
      <c r="K2212" s="6" t="s">
        <v>10886</v>
      </c>
      <c r="L2212" s="16" t="n">
        <v>42823</v>
      </c>
      <c r="M2212" s="16" t="n">
        <v>45689</v>
      </c>
      <c r="N2212" s="6" t="s">
        <v>81</v>
      </c>
      <c r="O2212" s="21" t="s">
        <v>81</v>
      </c>
      <c r="P2212" s="6" t="s">
        <v>81</v>
      </c>
      <c r="Q2212" s="6" t="s">
        <v>81</v>
      </c>
      <c r="R2212" s="6" t="s">
        <v>81</v>
      </c>
      <c r="S2212" s="6" t="s">
        <v>81</v>
      </c>
      <c r="T2212" s="21" t="s">
        <v>81</v>
      </c>
      <c r="U2212" s="6" t="s">
        <v>81</v>
      </c>
      <c r="V2212" s="6" t="s">
        <v>81</v>
      </c>
      <c r="W2212" s="6" t="s">
        <v>81</v>
      </c>
      <c r="X2212" s="6" t="s">
        <v>81</v>
      </c>
      <c r="Y2212" s="21" t="s">
        <v>81</v>
      </c>
      <c r="Z2212" s="6" t="s">
        <v>81</v>
      </c>
      <c r="AA2212" s="6" t="s">
        <v>81</v>
      </c>
      <c r="AB2212" s="6" t="s">
        <v>81</v>
      </c>
      <c r="AC2212" s="6" t="s">
        <v>10886</v>
      </c>
      <c r="AD2212" s="16" t="n">
        <v>42823</v>
      </c>
      <c r="AE2212" s="6" t="s">
        <v>14399</v>
      </c>
      <c r="AF2212" s="6" t="s">
        <v>81</v>
      </c>
      <c r="AG2212" s="6" t="s">
        <v>7912</v>
      </c>
      <c r="AH2212" s="6" t="s">
        <v>16758</v>
      </c>
      <c r="AI2212" s="6" t="s">
        <v>81</v>
      </c>
      <c r="AJ2212" s="6" t="s">
        <v>17878</v>
      </c>
      <c r="AK2212" s="6" t="s">
        <v>18384</v>
      </c>
      <c r="AL2212" s="6" t="s">
        <v>18444</v>
      </c>
      <c r="AM2212" s="6" t="s">
        <v>19061</v>
      </c>
      <c r="AN2212" s="6" t="s">
        <v>6505</v>
      </c>
      <c r="AO2212" s="6" t="s">
        <v>19964</v>
      </c>
      <c r="AP2212" s="6" t="s">
        <v>81</v>
      </c>
      <c r="AQ2212" s="6" t="s">
        <v>81</v>
      </c>
      <c r="AR2212" s="6" t="s">
        <v>81</v>
      </c>
      <c r="AS2212" s="6" t="s">
        <v>81</v>
      </c>
      <c r="AT2212" s="6" t="s">
        <v>81</v>
      </c>
      <c r="AU2212" s="6" t="s">
        <v>81</v>
      </c>
      <c r="AV2212" s="6" t="s">
        <v>81</v>
      </c>
      <c r="AW2212" s="6" t="s">
        <v>81</v>
      </c>
      <c r="AX2212" s="6" t="s">
        <v>22203</v>
      </c>
      <c r="AY2212" s="6" t="s">
        <v>23341</v>
      </c>
      <c r="AZ2212" s="6" t="s">
        <v>23766</v>
      </c>
      <c r="BA2212" s="6" t="s">
        <v>23824</v>
      </c>
      <c r="BB2212" s="24" t="n">
        <v>0</v>
      </c>
      <c r="BC2212" s="26"/>
      <c r="BD2212" s="26"/>
      <c r="BE2212" s="26"/>
      <c r="BF2212" s="26"/>
      <c r="BG2212" s="26" t="s">
        <v>23900</v>
      </c>
      <c r="BH2212" s="26"/>
      <c r="BI2212" s="26"/>
      <c r="BJ2212" s="26"/>
      <c r="BK2212" s="26"/>
      <c r="BL2212" s="26"/>
      <c r="BM2212" s="26"/>
      <c r="BN2212" s="26" t="s">
        <v>23900</v>
      </c>
      <c r="BO2212" s="26"/>
      <c r="BP2212" s="16" t="n">
        <v>45713</v>
      </c>
      <c r="BQ2212" s="28" t="str">
        <f>HYPERLINK("https://organic.ams.usda.gov/Integrity/Certificate.aspx?cid=45&amp;nopid=9950009082")</f>
        <v>https://organic.ams.usda.gov/Integrity/Certificate.aspx?cid=45&amp;nopid=9950009082</v>
      </c>
    </row>
    <row r="2213">
      <c r="A2213" t="s">
        <v>3</v>
      </c>
      <c r="B2213" s="6" t="s">
        <v>29</v>
      </c>
      <c r="C2213" s="6" t="s">
        <v>76</v>
      </c>
      <c r="D2213" s="6" t="s">
        <v>122</v>
      </c>
      <c r="E2213" s="10" t="s">
        <v>2354</v>
      </c>
      <c r="F2213" s="6" t="s">
        <v>5065</v>
      </c>
      <c r="G2213" s="6" t="s">
        <v>81</v>
      </c>
      <c r="H2213" s="6" t="s">
        <v>7913</v>
      </c>
      <c r="I2213" s="6" t="s">
        <v>9462</v>
      </c>
      <c r="J2213" s="6" t="s">
        <v>10668</v>
      </c>
      <c r="K2213" s="6" t="s">
        <v>10886</v>
      </c>
      <c r="L2213" s="16" t="n">
        <v>37547</v>
      </c>
      <c r="M2213" s="16" t="n">
        <v>45505</v>
      </c>
      <c r="N2213" s="6" t="s">
        <v>10886</v>
      </c>
      <c r="O2213" s="16" t="n">
        <v>37547</v>
      </c>
      <c r="P2213" s="6" t="s">
        <v>11224</v>
      </c>
      <c r="Q2213" s="6" t="s">
        <v>81</v>
      </c>
      <c r="R2213" s="6" t="s">
        <v>13030</v>
      </c>
      <c r="S2213" s="6" t="s">
        <v>10886</v>
      </c>
      <c r="T2213" s="16" t="n">
        <v>37547</v>
      </c>
      <c r="U2213" s="6" t="s">
        <v>13828</v>
      </c>
      <c r="V2213" s="6" t="s">
        <v>81</v>
      </c>
      <c r="W2213" s="6" t="s">
        <v>13030</v>
      </c>
      <c r="X2213" s="6" t="s">
        <v>81</v>
      </c>
      <c r="Y2213" s="21" t="s">
        <v>81</v>
      </c>
      <c r="Z2213" s="6" t="s">
        <v>81</v>
      </c>
      <c r="AA2213" s="6" t="s">
        <v>81</v>
      </c>
      <c r="AB2213" s="6" t="s">
        <v>81</v>
      </c>
      <c r="AC2213" s="6" t="s">
        <v>81</v>
      </c>
      <c r="AD2213" s="21" t="s">
        <v>81</v>
      </c>
      <c r="AE2213" s="6" t="s">
        <v>81</v>
      </c>
      <c r="AF2213" s="6" t="s">
        <v>81</v>
      </c>
      <c r="AG2213" s="6" t="s">
        <v>81</v>
      </c>
      <c r="AH2213" s="6" t="s">
        <v>16759</v>
      </c>
      <c r="AI2213" s="6" t="s">
        <v>81</v>
      </c>
      <c r="AJ2213" s="6" t="s">
        <v>18245</v>
      </c>
      <c r="AK2213" s="6" t="s">
        <v>18377</v>
      </c>
      <c r="AL2213" s="6" t="s">
        <v>18444</v>
      </c>
      <c r="AM2213" s="6" t="s">
        <v>19463</v>
      </c>
      <c r="AN2213" s="6" t="s">
        <v>19654</v>
      </c>
      <c r="AO2213" s="6" t="s">
        <v>19824</v>
      </c>
      <c r="AP2213" s="6" t="s">
        <v>81</v>
      </c>
      <c r="AQ2213" s="6" t="s">
        <v>81</v>
      </c>
      <c r="AR2213" s="6" t="s">
        <v>81</v>
      </c>
      <c r="AS2213" s="6" t="s">
        <v>81</v>
      </c>
      <c r="AT2213" s="6" t="s">
        <v>81</v>
      </c>
      <c r="AU2213" s="6" t="s">
        <v>81</v>
      </c>
      <c r="AV2213" s="6" t="s">
        <v>81</v>
      </c>
      <c r="AW2213" s="6" t="s">
        <v>81</v>
      </c>
      <c r="AX2213" s="6" t="s">
        <v>22204</v>
      </c>
      <c r="AY2213" s="6" t="s">
        <v>23342</v>
      </c>
      <c r="AZ2213" s="6" t="s">
        <v>81</v>
      </c>
      <c r="BA2213" s="6" t="s">
        <v>81</v>
      </c>
      <c r="BB2213" s="24" t="n">
        <v>647</v>
      </c>
      <c r="BC2213" s="26"/>
      <c r="BD2213" s="26"/>
      <c r="BE2213" s="26"/>
      <c r="BF2213" s="26" t="s">
        <v>23900</v>
      </c>
      <c r="BG2213" s="26"/>
      <c r="BH2213" s="26"/>
      <c r="BI2213" s="26"/>
      <c r="BJ2213" s="26"/>
      <c r="BK2213" s="26"/>
      <c r="BL2213" s="26"/>
      <c r="BM2213" s="26"/>
      <c r="BN2213" s="26"/>
      <c r="BO2213" s="26"/>
      <c r="BP2213" s="16" t="n">
        <v>45737</v>
      </c>
      <c r="BQ2213" s="28" t="str">
        <f>HYPERLINK("https://organic.ams.usda.gov/Integrity/Certificate.aspx?cid=31&amp;nopid=3920897217")</f>
        <v>https://organic.ams.usda.gov/Integrity/Certificate.aspx?cid=31&amp;nopid=3920897217</v>
      </c>
    </row>
    <row r="2214">
      <c r="A2214" t="s">
        <v>3</v>
      </c>
      <c r="B2214" s="6" t="s">
        <v>9</v>
      </c>
      <c r="C2214" s="6" t="s">
        <v>56</v>
      </c>
      <c r="D2214" s="6" t="s">
        <v>102</v>
      </c>
      <c r="E2214" s="10" t="s">
        <v>2355</v>
      </c>
      <c r="F2214" s="6" t="s">
        <v>5066</v>
      </c>
      <c r="G2214" s="6" t="s">
        <v>81</v>
      </c>
      <c r="H2214" s="6" t="s">
        <v>7914</v>
      </c>
      <c r="I2214" s="6" t="s">
        <v>81</v>
      </c>
      <c r="J2214" s="6" t="s">
        <v>81</v>
      </c>
      <c r="K2214" s="6" t="s">
        <v>10886</v>
      </c>
      <c r="L2214" s="16" t="n">
        <v>41814</v>
      </c>
      <c r="M2214" s="16" t="n">
        <v>45748</v>
      </c>
      <c r="N2214" s="6" t="s">
        <v>10886</v>
      </c>
      <c r="O2214" s="16" t="n">
        <v>41814</v>
      </c>
      <c r="P2214" s="6" t="s">
        <v>10939</v>
      </c>
      <c r="Q2214" s="6" t="s">
        <v>81</v>
      </c>
      <c r="R2214" s="6" t="s">
        <v>13031</v>
      </c>
      <c r="S2214" s="6" t="s">
        <v>10886</v>
      </c>
      <c r="T2214" s="16" t="n">
        <v>41814</v>
      </c>
      <c r="U2214" s="6" t="s">
        <v>13637</v>
      </c>
      <c r="V2214" s="6" t="s">
        <v>81</v>
      </c>
      <c r="W2214" s="6" t="s">
        <v>13031</v>
      </c>
      <c r="X2214" s="6" t="s">
        <v>81</v>
      </c>
      <c r="Y2214" s="21" t="s">
        <v>81</v>
      </c>
      <c r="Z2214" s="6" t="s">
        <v>81</v>
      </c>
      <c r="AA2214" s="6" t="s">
        <v>81</v>
      </c>
      <c r="AB2214" s="6" t="s">
        <v>81</v>
      </c>
      <c r="AC2214" s="6" t="s">
        <v>81</v>
      </c>
      <c r="AD2214" s="21" t="s">
        <v>81</v>
      </c>
      <c r="AE2214" s="6" t="s">
        <v>81</v>
      </c>
      <c r="AF2214" s="6" t="s">
        <v>81</v>
      </c>
      <c r="AG2214" s="6" t="s">
        <v>81</v>
      </c>
      <c r="AH2214" s="6" t="s">
        <v>16760</v>
      </c>
      <c r="AI2214" s="6" t="s">
        <v>81</v>
      </c>
      <c r="AJ2214" s="6" t="s">
        <v>17593</v>
      </c>
      <c r="AK2214" s="6" t="s">
        <v>18385</v>
      </c>
      <c r="AL2214" s="6" t="s">
        <v>18444</v>
      </c>
      <c r="AM2214" s="6" t="s">
        <v>19464</v>
      </c>
      <c r="AN2214" s="6" t="s">
        <v>19668</v>
      </c>
      <c r="AO2214" s="6" t="s">
        <v>20049</v>
      </c>
      <c r="AP2214" s="6" t="s">
        <v>81</v>
      </c>
      <c r="AQ2214" s="6" t="s">
        <v>81</v>
      </c>
      <c r="AR2214" s="6" t="s">
        <v>81</v>
      </c>
      <c r="AS2214" s="6" t="s">
        <v>81</v>
      </c>
      <c r="AT2214" s="6" t="s">
        <v>81</v>
      </c>
      <c r="AU2214" s="6" t="s">
        <v>81</v>
      </c>
      <c r="AV2214" s="6" t="s">
        <v>81</v>
      </c>
      <c r="AW2214" s="6" t="s">
        <v>81</v>
      </c>
      <c r="AX2214" s="6" t="s">
        <v>22205</v>
      </c>
      <c r="AY2214" s="6" t="s">
        <v>23343</v>
      </c>
      <c r="AZ2214" s="6" t="s">
        <v>81</v>
      </c>
      <c r="BA2214" s="6" t="s">
        <v>81</v>
      </c>
      <c r="BB2214" s="24" t="n">
        <v>195</v>
      </c>
      <c r="BC2214" s="26"/>
      <c r="BD2214" s="26"/>
      <c r="BE2214" s="26"/>
      <c r="BF2214" s="26"/>
      <c r="BG2214" s="26"/>
      <c r="BH2214" s="26"/>
      <c r="BI2214" s="26"/>
      <c r="BJ2214" s="26"/>
      <c r="BK2214" s="26"/>
      <c r="BL2214" s="26"/>
      <c r="BM2214" s="26"/>
      <c r="BN2214" s="26"/>
      <c r="BO2214" s="26"/>
      <c r="BP2214" s="16" t="n">
        <v>45738</v>
      </c>
      <c r="BQ2214" s="28" t="str">
        <f>HYPERLINK("https://organic.ams.usda.gov/Integrity/Certificate.aspx?cid=52&amp;nopid=8431400712")</f>
        <v>https://organic.ams.usda.gov/Integrity/Certificate.aspx?cid=52&amp;nopid=8431400712</v>
      </c>
    </row>
    <row r="2215">
      <c r="A2215" t="s">
        <v>3</v>
      </c>
      <c r="B2215" s="6" t="s">
        <v>7</v>
      </c>
      <c r="C2215" s="6" t="s">
        <v>54</v>
      </c>
      <c r="D2215" s="6" t="s">
        <v>100</v>
      </c>
      <c r="E2215" s="10" t="s">
        <v>2356</v>
      </c>
      <c r="F2215" s="6" t="s">
        <v>5067</v>
      </c>
      <c r="G2215" s="6" t="s">
        <v>81</v>
      </c>
      <c r="H2215" s="6" t="s">
        <v>7915</v>
      </c>
      <c r="I2215" s="6" t="s">
        <v>8914</v>
      </c>
      <c r="J2215" s="6" t="s">
        <v>9675</v>
      </c>
      <c r="K2215" s="6" t="s">
        <v>10886</v>
      </c>
      <c r="L2215" s="16" t="n">
        <v>43053</v>
      </c>
      <c r="M2215" s="16" t="n">
        <v>45716</v>
      </c>
      <c r="N2215" s="6" t="s">
        <v>10886</v>
      </c>
      <c r="O2215" s="16" t="n">
        <v>43053</v>
      </c>
      <c r="P2215" s="6" t="s">
        <v>11374</v>
      </c>
      <c r="Q2215" s="6" t="s">
        <v>81</v>
      </c>
      <c r="R2215" s="6" t="s">
        <v>81</v>
      </c>
      <c r="S2215" s="6" t="s">
        <v>10886</v>
      </c>
      <c r="T2215" s="16" t="n">
        <v>44041</v>
      </c>
      <c r="U2215" s="6" t="s">
        <v>13169</v>
      </c>
      <c r="V2215" s="6" t="s">
        <v>81</v>
      </c>
      <c r="W2215" s="6" t="s">
        <v>81</v>
      </c>
      <c r="X2215" s="6" t="s">
        <v>81</v>
      </c>
      <c r="Y2215" s="21" t="s">
        <v>81</v>
      </c>
      <c r="Z2215" s="6" t="s">
        <v>81</v>
      </c>
      <c r="AA2215" s="6" t="s">
        <v>81</v>
      </c>
      <c r="AB2215" s="6" t="s">
        <v>81</v>
      </c>
      <c r="AC2215" s="6" t="s">
        <v>81</v>
      </c>
      <c r="AD2215" s="21" t="s">
        <v>81</v>
      </c>
      <c r="AE2215" s="6" t="s">
        <v>81</v>
      </c>
      <c r="AF2215" s="6" t="s">
        <v>81</v>
      </c>
      <c r="AG2215" s="6" t="s">
        <v>81</v>
      </c>
      <c r="AH2215" s="6" t="s">
        <v>16761</v>
      </c>
      <c r="AI2215" s="6" t="s">
        <v>81</v>
      </c>
      <c r="AJ2215" s="6" t="s">
        <v>17644</v>
      </c>
      <c r="AK2215" s="6" t="s">
        <v>17712</v>
      </c>
      <c r="AL2215" s="6" t="s">
        <v>18444</v>
      </c>
      <c r="AM2215" s="6" t="s">
        <v>18813</v>
      </c>
      <c r="AN2215" s="6" t="s">
        <v>19684</v>
      </c>
      <c r="AO2215" s="6" t="s">
        <v>19784</v>
      </c>
      <c r="AP2215" s="6" t="s">
        <v>16761</v>
      </c>
      <c r="AQ2215" s="6" t="s">
        <v>81</v>
      </c>
      <c r="AR2215" s="6" t="s">
        <v>17644</v>
      </c>
      <c r="AS2215" s="6" t="s">
        <v>17712</v>
      </c>
      <c r="AT2215" s="6" t="s">
        <v>18444</v>
      </c>
      <c r="AU2215" s="6" t="s">
        <v>18813</v>
      </c>
      <c r="AV2215" s="6" t="s">
        <v>81</v>
      </c>
      <c r="AW2215" s="6" t="s">
        <v>81</v>
      </c>
      <c r="AX2215" s="6" t="s">
        <v>81</v>
      </c>
      <c r="AY2215" s="6" t="s">
        <v>81</v>
      </c>
      <c r="AZ2215" s="6" t="s">
        <v>81</v>
      </c>
      <c r="BA2215" s="6" t="s">
        <v>81</v>
      </c>
      <c r="BB2215" s="24" t="n">
        <v>79</v>
      </c>
      <c r="BC2215" s="26"/>
      <c r="BD2215" s="26"/>
      <c r="BE2215" s="26"/>
      <c r="BF2215" s="26" t="s">
        <v>23900</v>
      </c>
      <c r="BG2215" s="26"/>
      <c r="BH2215" s="26"/>
      <c r="BI2215" s="26"/>
      <c r="BJ2215" s="26"/>
      <c r="BK2215" s="26"/>
      <c r="BL2215" s="26"/>
      <c r="BM2215" s="26"/>
      <c r="BN2215" s="26"/>
      <c r="BO2215" s="26"/>
      <c r="BP2215" s="16" t="n">
        <v>45595</v>
      </c>
      <c r="BQ2215" s="28" t="str">
        <f>HYPERLINK("https://organic.ams.usda.gov/Integrity/Certificate.aspx?cid=57&amp;nopid=3252017131")</f>
        <v>https://organic.ams.usda.gov/Integrity/Certificate.aspx?cid=57&amp;nopid=3252017131</v>
      </c>
    </row>
    <row r="2216">
      <c r="A2216" t="s">
        <v>3</v>
      </c>
      <c r="B2216" s="6" t="s">
        <v>8</v>
      </c>
      <c r="C2216" s="6" t="s">
        <v>55</v>
      </c>
      <c r="D2216" s="6" t="s">
        <v>101</v>
      </c>
      <c r="E2216" s="10" t="s">
        <v>2357</v>
      </c>
      <c r="F2216" s="6" t="s">
        <v>5068</v>
      </c>
      <c r="G2216" s="6" t="s">
        <v>81</v>
      </c>
      <c r="H2216" s="6" t="s">
        <v>7916</v>
      </c>
      <c r="I2216" s="6" t="s">
        <v>8914</v>
      </c>
      <c r="J2216" s="6" t="s">
        <v>10669</v>
      </c>
      <c r="K2216" s="6" t="s">
        <v>10886</v>
      </c>
      <c r="L2216" s="16" t="n">
        <v>38211</v>
      </c>
      <c r="M2216" s="16" t="n">
        <v>45383</v>
      </c>
      <c r="N2216" s="6" t="s">
        <v>10886</v>
      </c>
      <c r="O2216" s="16" t="n">
        <v>38211</v>
      </c>
      <c r="P2216" s="6" t="s">
        <v>12139</v>
      </c>
      <c r="Q2216" s="6" t="s">
        <v>81</v>
      </c>
      <c r="R2216" s="6" t="s">
        <v>7916</v>
      </c>
      <c r="S2216" s="6" t="s">
        <v>10886</v>
      </c>
      <c r="T2216" s="16" t="n">
        <v>38211</v>
      </c>
      <c r="U2216" s="6" t="s">
        <v>13221</v>
      </c>
      <c r="V2216" s="6" t="s">
        <v>81</v>
      </c>
      <c r="W2216" s="6" t="s">
        <v>7916</v>
      </c>
      <c r="X2216" s="6" t="s">
        <v>81</v>
      </c>
      <c r="Y2216" s="21" t="s">
        <v>81</v>
      </c>
      <c r="Z2216" s="6" t="s">
        <v>81</v>
      </c>
      <c r="AA2216" s="6" t="s">
        <v>81</v>
      </c>
      <c r="AB2216" s="6" t="s">
        <v>81</v>
      </c>
      <c r="AC2216" s="6" t="s">
        <v>81</v>
      </c>
      <c r="AD2216" s="21" t="s">
        <v>81</v>
      </c>
      <c r="AE2216" s="6" t="s">
        <v>81</v>
      </c>
      <c r="AF2216" s="6" t="s">
        <v>81</v>
      </c>
      <c r="AG2216" s="6" t="s">
        <v>81</v>
      </c>
      <c r="AH2216" s="6" t="s">
        <v>16762</v>
      </c>
      <c r="AI2216" s="6" t="s">
        <v>81</v>
      </c>
      <c r="AJ2216" s="6" t="s">
        <v>18246</v>
      </c>
      <c r="AK2216" s="6" t="s">
        <v>18377</v>
      </c>
      <c r="AL2216" s="6" t="s">
        <v>18444</v>
      </c>
      <c r="AM2216" s="6" t="s">
        <v>19465</v>
      </c>
      <c r="AN2216" s="6" t="s">
        <v>19648</v>
      </c>
      <c r="AO2216" s="6" t="s">
        <v>19889</v>
      </c>
      <c r="AP2216" s="6" t="s">
        <v>81</v>
      </c>
      <c r="AQ2216" s="6" t="s">
        <v>81</v>
      </c>
      <c r="AR2216" s="6" t="s">
        <v>81</v>
      </c>
      <c r="AS2216" s="6" t="s">
        <v>81</v>
      </c>
      <c r="AT2216" s="6" t="s">
        <v>81</v>
      </c>
      <c r="AU2216" s="6" t="s">
        <v>81</v>
      </c>
      <c r="AV2216" s="6" t="s">
        <v>81</v>
      </c>
      <c r="AW2216" s="6" t="s">
        <v>81</v>
      </c>
      <c r="AX2216" s="6" t="s">
        <v>81</v>
      </c>
      <c r="AY2216" s="6" t="s">
        <v>23344</v>
      </c>
      <c r="AZ2216" s="6" t="s">
        <v>81</v>
      </c>
      <c r="BA2216" s="6" t="s">
        <v>23824</v>
      </c>
      <c r="BB2216" s="24" t="n">
        <v>318</v>
      </c>
      <c r="BC2216" s="26"/>
      <c r="BD2216" s="26"/>
      <c r="BE2216" s="26"/>
      <c r="BF2216" s="26" t="s">
        <v>23900</v>
      </c>
      <c r="BG2216" s="26"/>
      <c r="BH2216" s="26"/>
      <c r="BI2216" s="26"/>
      <c r="BJ2216" s="26"/>
      <c r="BK2216" s="26"/>
      <c r="BL2216" s="26"/>
      <c r="BM2216" s="26"/>
      <c r="BN2216" s="26"/>
      <c r="BO2216" s="26"/>
      <c r="BP2216" s="16" t="n">
        <v>45380</v>
      </c>
      <c r="BQ2216" s="28" t="str">
        <f>HYPERLINK("https://organic.ams.usda.gov/Integrity/Certificate.aspx?cid=45&amp;nopid=9950001579")</f>
        <v>https://organic.ams.usda.gov/Integrity/Certificate.aspx?cid=45&amp;nopid=9950001579</v>
      </c>
    </row>
    <row r="2217">
      <c r="A2217" t="s">
        <v>3</v>
      </c>
      <c r="B2217" s="6" t="s">
        <v>8</v>
      </c>
      <c r="C2217" s="6" t="s">
        <v>55</v>
      </c>
      <c r="D2217" s="6" t="s">
        <v>101</v>
      </c>
      <c r="E2217" s="10" t="s">
        <v>2358</v>
      </c>
      <c r="F2217" s="6" t="s">
        <v>5069</v>
      </c>
      <c r="G2217" s="6" t="s">
        <v>81</v>
      </c>
      <c r="H2217" s="6" t="s">
        <v>7917</v>
      </c>
      <c r="I2217" s="6" t="s">
        <v>8914</v>
      </c>
      <c r="J2217" s="6" t="s">
        <v>10670</v>
      </c>
      <c r="K2217" s="6" t="s">
        <v>10886</v>
      </c>
      <c r="L2217" s="16" t="n">
        <v>42597</v>
      </c>
      <c r="M2217" s="16" t="n">
        <v>45689</v>
      </c>
      <c r="N2217" s="6" t="s">
        <v>10886</v>
      </c>
      <c r="O2217" s="16" t="n">
        <v>42597</v>
      </c>
      <c r="P2217" s="6" t="s">
        <v>12140</v>
      </c>
      <c r="Q2217" s="6" t="s">
        <v>81</v>
      </c>
      <c r="R2217" s="6" t="s">
        <v>7917</v>
      </c>
      <c r="S2217" s="6" t="s">
        <v>10886</v>
      </c>
      <c r="T2217" s="16" t="n">
        <v>42597</v>
      </c>
      <c r="U2217" s="6" t="s">
        <v>13357</v>
      </c>
      <c r="V2217" s="6" t="s">
        <v>81</v>
      </c>
      <c r="W2217" s="6" t="s">
        <v>7917</v>
      </c>
      <c r="X2217" s="6" t="s">
        <v>81</v>
      </c>
      <c r="Y2217" s="21" t="s">
        <v>81</v>
      </c>
      <c r="Z2217" s="6" t="s">
        <v>81</v>
      </c>
      <c r="AA2217" s="6" t="s">
        <v>81</v>
      </c>
      <c r="AB2217" s="6" t="s">
        <v>81</v>
      </c>
      <c r="AC2217" s="6" t="s">
        <v>81</v>
      </c>
      <c r="AD2217" s="21" t="s">
        <v>81</v>
      </c>
      <c r="AE2217" s="6" t="s">
        <v>81</v>
      </c>
      <c r="AF2217" s="6" t="s">
        <v>81</v>
      </c>
      <c r="AG2217" s="6" t="s">
        <v>81</v>
      </c>
      <c r="AH2217" s="6" t="s">
        <v>16763</v>
      </c>
      <c r="AI2217" s="6" t="s">
        <v>81</v>
      </c>
      <c r="AJ2217" s="6" t="s">
        <v>18247</v>
      </c>
      <c r="AK2217" s="6" t="s">
        <v>18381</v>
      </c>
      <c r="AL2217" s="6" t="s">
        <v>18444</v>
      </c>
      <c r="AM2217" s="6" t="s">
        <v>19466</v>
      </c>
      <c r="AN2217" s="6" t="s">
        <v>19635</v>
      </c>
      <c r="AO2217" s="6" t="s">
        <v>19976</v>
      </c>
      <c r="AP2217" s="6" t="s">
        <v>81</v>
      </c>
      <c r="AQ2217" s="6" t="s">
        <v>81</v>
      </c>
      <c r="AR2217" s="6" t="s">
        <v>81</v>
      </c>
      <c r="AS2217" s="6" t="s">
        <v>81</v>
      </c>
      <c r="AT2217" s="6" t="s">
        <v>81</v>
      </c>
      <c r="AU2217" s="6" t="s">
        <v>81</v>
      </c>
      <c r="AV2217" s="6" t="s">
        <v>81</v>
      </c>
      <c r="AW2217" s="6" t="s">
        <v>81</v>
      </c>
      <c r="AX2217" s="6" t="s">
        <v>81</v>
      </c>
      <c r="AY2217" s="6" t="s">
        <v>23345</v>
      </c>
      <c r="AZ2217" s="6" t="s">
        <v>81</v>
      </c>
      <c r="BA2217" s="6" t="s">
        <v>23819</v>
      </c>
      <c r="BB2217" s="24" t="n">
        <v>85</v>
      </c>
      <c r="BC2217" s="26"/>
      <c r="BD2217" s="26"/>
      <c r="BE2217" s="26"/>
      <c r="BF2217" s="26" t="s">
        <v>23900</v>
      </c>
      <c r="BG2217" s="26"/>
      <c r="BH2217" s="26"/>
      <c r="BI2217" s="26"/>
      <c r="BJ2217" s="26"/>
      <c r="BK2217" s="26"/>
      <c r="BL2217" s="26"/>
      <c r="BM2217" s="26"/>
      <c r="BN2217" s="26"/>
      <c r="BO2217" s="26"/>
      <c r="BP2217" s="16" t="n">
        <v>45691</v>
      </c>
      <c r="BQ2217" s="28" t="str">
        <f>HYPERLINK("https://organic.ams.usda.gov/Integrity/Certificate.aspx?cid=45&amp;nopid=9950008401")</f>
        <v>https://organic.ams.usda.gov/Integrity/Certificate.aspx?cid=45&amp;nopid=9950008401</v>
      </c>
    </row>
    <row r="2218">
      <c r="A2218" t="s">
        <v>3</v>
      </c>
      <c r="B2218" s="6" t="s">
        <v>7</v>
      </c>
      <c r="C2218" s="6" t="s">
        <v>54</v>
      </c>
      <c r="D2218" s="6" t="s">
        <v>100</v>
      </c>
      <c r="E2218" s="10" t="s">
        <v>2359</v>
      </c>
      <c r="F2218" s="6" t="s">
        <v>5070</v>
      </c>
      <c r="G2218" s="6" t="s">
        <v>5827</v>
      </c>
      <c r="H2218" s="6" t="s">
        <v>7918</v>
      </c>
      <c r="I2218" s="6" t="s">
        <v>8914</v>
      </c>
      <c r="J2218" s="6" t="s">
        <v>10671</v>
      </c>
      <c r="K2218" s="6" t="s">
        <v>10886</v>
      </c>
      <c r="L2218" s="16" t="n">
        <v>43433</v>
      </c>
      <c r="M2218" s="16" t="n">
        <v>45716</v>
      </c>
      <c r="N2218" s="6" t="s">
        <v>10886</v>
      </c>
      <c r="O2218" s="16" t="n">
        <v>43433</v>
      </c>
      <c r="P2218" s="6" t="s">
        <v>10993</v>
      </c>
      <c r="Q2218" s="6" t="s">
        <v>81</v>
      </c>
      <c r="R2218" s="6" t="s">
        <v>81</v>
      </c>
      <c r="S2218" s="6" t="s">
        <v>10886</v>
      </c>
      <c r="T2218" s="16" t="n">
        <v>43447</v>
      </c>
      <c r="U2218" s="6" t="s">
        <v>13160</v>
      </c>
      <c r="V2218" s="6" t="s">
        <v>81</v>
      </c>
      <c r="W2218" s="6" t="s">
        <v>81</v>
      </c>
      <c r="X2218" s="6" t="s">
        <v>81</v>
      </c>
      <c r="Y2218" s="21" t="s">
        <v>81</v>
      </c>
      <c r="Z2218" s="6" t="s">
        <v>81</v>
      </c>
      <c r="AA2218" s="6" t="s">
        <v>81</v>
      </c>
      <c r="AB2218" s="6" t="s">
        <v>81</v>
      </c>
      <c r="AC2218" s="6" t="s">
        <v>81</v>
      </c>
      <c r="AD2218" s="21" t="s">
        <v>81</v>
      </c>
      <c r="AE2218" s="6" t="s">
        <v>81</v>
      </c>
      <c r="AF2218" s="6" t="s">
        <v>81</v>
      </c>
      <c r="AG2218" s="6" t="s">
        <v>81</v>
      </c>
      <c r="AH2218" s="6" t="s">
        <v>16764</v>
      </c>
      <c r="AI2218" s="6" t="s">
        <v>81</v>
      </c>
      <c r="AJ2218" s="6" t="s">
        <v>17752</v>
      </c>
      <c r="AK2218" s="6" t="s">
        <v>17712</v>
      </c>
      <c r="AL2218" s="6" t="s">
        <v>18444</v>
      </c>
      <c r="AM2218" s="6" t="s">
        <v>18921</v>
      </c>
      <c r="AN2218" s="6" t="s">
        <v>7926</v>
      </c>
      <c r="AO2218" s="6" t="s">
        <v>19842</v>
      </c>
      <c r="AP2218" s="6" t="s">
        <v>16764</v>
      </c>
      <c r="AQ2218" s="6" t="s">
        <v>81</v>
      </c>
      <c r="AR2218" s="6" t="s">
        <v>17752</v>
      </c>
      <c r="AS2218" s="6" t="s">
        <v>17712</v>
      </c>
      <c r="AT2218" s="6" t="s">
        <v>18444</v>
      </c>
      <c r="AU2218" s="6" t="s">
        <v>18921</v>
      </c>
      <c r="AV2218" s="6" t="s">
        <v>81</v>
      </c>
      <c r="AW2218" s="6" t="s">
        <v>81</v>
      </c>
      <c r="AX2218" s="6" t="s">
        <v>22206</v>
      </c>
      <c r="AY2218" s="6" t="s">
        <v>23346</v>
      </c>
      <c r="AZ2218" s="6" t="s">
        <v>81</v>
      </c>
      <c r="BA2218" s="6" t="s">
        <v>81</v>
      </c>
      <c r="BB2218" s="24" t="n">
        <v>458</v>
      </c>
      <c r="BC2218" s="26"/>
      <c r="BD2218" s="26"/>
      <c r="BE2218" s="26"/>
      <c r="BF2218" s="26" t="s">
        <v>23900</v>
      </c>
      <c r="BG2218" s="26"/>
      <c r="BH2218" s="26"/>
      <c r="BI2218" s="26"/>
      <c r="BJ2218" s="26"/>
      <c r="BK2218" s="26"/>
      <c r="BL2218" s="26"/>
      <c r="BM2218" s="26"/>
      <c r="BN2218" s="26"/>
      <c r="BO2218" s="26"/>
      <c r="BP2218" s="16" t="n">
        <v>45595</v>
      </c>
      <c r="BQ2218" s="28" t="str">
        <f>HYPERLINK("https://organic.ams.usda.gov/Integrity/Certificate.aspx?cid=57&amp;nopid=3252014020")</f>
        <v>https://organic.ams.usda.gov/Integrity/Certificate.aspx?cid=57&amp;nopid=3252014020</v>
      </c>
    </row>
    <row r="2219">
      <c r="A2219" t="s">
        <v>3</v>
      </c>
      <c r="B2219" s="6" t="s">
        <v>12</v>
      </c>
      <c r="C2219" s="6" t="s">
        <v>59</v>
      </c>
      <c r="D2219" s="6" t="s">
        <v>105</v>
      </c>
      <c r="E2219" s="10" t="s">
        <v>2360</v>
      </c>
      <c r="F2219" s="6" t="s">
        <v>5071</v>
      </c>
      <c r="G2219" s="6" t="s">
        <v>81</v>
      </c>
      <c r="H2219" s="6" t="s">
        <v>7919</v>
      </c>
      <c r="I2219" s="6" t="s">
        <v>8914</v>
      </c>
      <c r="J2219" s="6" t="s">
        <v>10672</v>
      </c>
      <c r="K2219" s="6" t="s">
        <v>10886</v>
      </c>
      <c r="L2219" s="16" t="n">
        <v>42584</v>
      </c>
      <c r="M2219" s="16" t="n">
        <v>45717</v>
      </c>
      <c r="N2219" s="6" t="s">
        <v>10886</v>
      </c>
      <c r="O2219" s="16" t="n">
        <v>42584</v>
      </c>
      <c r="P2219" s="6" t="s">
        <v>12141</v>
      </c>
      <c r="Q2219" s="6" t="s">
        <v>81</v>
      </c>
      <c r="R2219" s="6" t="s">
        <v>81</v>
      </c>
      <c r="S2219" s="6" t="s">
        <v>10886</v>
      </c>
      <c r="T2219" s="16" t="n">
        <v>42584</v>
      </c>
      <c r="U2219" s="6" t="s">
        <v>13829</v>
      </c>
      <c r="V2219" s="6" t="s">
        <v>81</v>
      </c>
      <c r="W2219" s="6" t="s">
        <v>81</v>
      </c>
      <c r="X2219" s="6" t="s">
        <v>81</v>
      </c>
      <c r="Y2219" s="21" t="s">
        <v>81</v>
      </c>
      <c r="Z2219" s="6" t="s">
        <v>81</v>
      </c>
      <c r="AA2219" s="6" t="s">
        <v>81</v>
      </c>
      <c r="AB2219" s="6" t="s">
        <v>81</v>
      </c>
      <c r="AC2219" s="6" t="s">
        <v>81</v>
      </c>
      <c r="AD2219" s="21" t="s">
        <v>81</v>
      </c>
      <c r="AE2219" s="6" t="s">
        <v>81</v>
      </c>
      <c r="AF2219" s="6" t="s">
        <v>81</v>
      </c>
      <c r="AG2219" s="6" t="s">
        <v>81</v>
      </c>
      <c r="AH2219" s="6" t="s">
        <v>16765</v>
      </c>
      <c r="AI2219" s="6" t="s">
        <v>81</v>
      </c>
      <c r="AJ2219" s="6" t="s">
        <v>17648</v>
      </c>
      <c r="AK2219" s="6" t="s">
        <v>18380</v>
      </c>
      <c r="AL2219" s="6" t="s">
        <v>18444</v>
      </c>
      <c r="AM2219" s="6" t="s">
        <v>19467</v>
      </c>
      <c r="AN2219" s="6" t="s">
        <v>19660</v>
      </c>
      <c r="AO2219" s="6" t="s">
        <v>19833</v>
      </c>
      <c r="AP2219" s="6" t="s">
        <v>16765</v>
      </c>
      <c r="AQ2219" s="6" t="s">
        <v>81</v>
      </c>
      <c r="AR2219" s="6" t="s">
        <v>17648</v>
      </c>
      <c r="AS2219" s="6" t="s">
        <v>18380</v>
      </c>
      <c r="AT2219" s="6" t="s">
        <v>18444</v>
      </c>
      <c r="AU2219" s="6" t="s">
        <v>19467</v>
      </c>
      <c r="AV2219" s="6" t="s">
        <v>81</v>
      </c>
      <c r="AW2219" s="6" t="s">
        <v>81</v>
      </c>
      <c r="AX2219" s="6" t="s">
        <v>81</v>
      </c>
      <c r="AY2219" s="6" t="s">
        <v>81</v>
      </c>
      <c r="AZ2219" s="6" t="s">
        <v>81</v>
      </c>
      <c r="BA2219" s="6" t="s">
        <v>81</v>
      </c>
      <c r="BB2219" s="24" t="n">
        <v>472</v>
      </c>
      <c r="BC2219" s="26"/>
      <c r="BD2219" s="26"/>
      <c r="BE2219" s="26"/>
      <c r="BF2219" s="26"/>
      <c r="BG2219" s="26"/>
      <c r="BH2219" s="26"/>
      <c r="BI2219" s="26"/>
      <c r="BJ2219" s="26"/>
      <c r="BK2219" s="26"/>
      <c r="BL2219" s="26"/>
      <c r="BM2219" s="26"/>
      <c r="BN2219" s="26"/>
      <c r="BO2219" s="26"/>
      <c r="BP2219" s="16" t="n">
        <v>45684</v>
      </c>
      <c r="BQ2219" s="28" t="str">
        <f>HYPERLINK("https://organic.ams.usda.gov/Integrity/Certificate.aspx?cid=68&amp;nopid=8210004131")</f>
        <v>https://organic.ams.usda.gov/Integrity/Certificate.aspx?cid=68&amp;nopid=8210004131</v>
      </c>
    </row>
    <row r="2220">
      <c r="A2220" t="s">
        <v>3</v>
      </c>
      <c r="B2220" s="6" t="s">
        <v>8</v>
      </c>
      <c r="C2220" s="6" t="s">
        <v>55</v>
      </c>
      <c r="D2220" s="6" t="s">
        <v>101</v>
      </c>
      <c r="E2220" s="10" t="s">
        <v>2361</v>
      </c>
      <c r="F2220" s="6" t="s">
        <v>5072</v>
      </c>
      <c r="G2220" s="6" t="s">
        <v>81</v>
      </c>
      <c r="H2220" s="6" t="s">
        <v>7920</v>
      </c>
      <c r="I2220" s="6" t="s">
        <v>8914</v>
      </c>
      <c r="J2220" s="6" t="s">
        <v>9726</v>
      </c>
      <c r="K2220" s="6" t="s">
        <v>10886</v>
      </c>
      <c r="L2220" s="16" t="n">
        <v>42678</v>
      </c>
      <c r="M2220" s="16" t="n">
        <v>45383</v>
      </c>
      <c r="N2220" s="6" t="s">
        <v>10886</v>
      </c>
      <c r="O2220" s="16" t="n">
        <v>42678</v>
      </c>
      <c r="P2220" s="6" t="s">
        <v>12142</v>
      </c>
      <c r="Q2220" s="6" t="s">
        <v>81</v>
      </c>
      <c r="R2220" s="6" t="s">
        <v>7920</v>
      </c>
      <c r="S2220" s="6" t="s">
        <v>10886</v>
      </c>
      <c r="T2220" s="16" t="n">
        <v>42678</v>
      </c>
      <c r="U2220" s="6" t="s">
        <v>13173</v>
      </c>
      <c r="V2220" s="6" t="s">
        <v>81</v>
      </c>
      <c r="W2220" s="6" t="s">
        <v>7920</v>
      </c>
      <c r="X2220" s="6" t="s">
        <v>81</v>
      </c>
      <c r="Y2220" s="21" t="s">
        <v>81</v>
      </c>
      <c r="Z2220" s="6" t="s">
        <v>81</v>
      </c>
      <c r="AA2220" s="6" t="s">
        <v>81</v>
      </c>
      <c r="AB2220" s="6" t="s">
        <v>81</v>
      </c>
      <c r="AC2220" s="6" t="s">
        <v>81</v>
      </c>
      <c r="AD2220" s="21" t="s">
        <v>81</v>
      </c>
      <c r="AE2220" s="6" t="s">
        <v>81</v>
      </c>
      <c r="AF2220" s="6" t="s">
        <v>81</v>
      </c>
      <c r="AG2220" s="6" t="s">
        <v>81</v>
      </c>
      <c r="AH2220" s="6" t="s">
        <v>16766</v>
      </c>
      <c r="AI2220" s="6" t="s">
        <v>81</v>
      </c>
      <c r="AJ2220" s="6" t="s">
        <v>18248</v>
      </c>
      <c r="AK2220" s="6" t="s">
        <v>18380</v>
      </c>
      <c r="AL2220" s="6" t="s">
        <v>18444</v>
      </c>
      <c r="AM2220" s="6" t="s">
        <v>19468</v>
      </c>
      <c r="AN2220" s="6" t="s">
        <v>19654</v>
      </c>
      <c r="AO2220" s="6" t="s">
        <v>19747</v>
      </c>
      <c r="AP2220" s="6" t="s">
        <v>81</v>
      </c>
      <c r="AQ2220" s="6" t="s">
        <v>81</v>
      </c>
      <c r="AR2220" s="6" t="s">
        <v>81</v>
      </c>
      <c r="AS2220" s="6" t="s">
        <v>81</v>
      </c>
      <c r="AT2220" s="6" t="s">
        <v>81</v>
      </c>
      <c r="AU2220" s="6" t="s">
        <v>81</v>
      </c>
      <c r="AV2220" s="6" t="s">
        <v>81</v>
      </c>
      <c r="AW2220" s="6" t="s">
        <v>81</v>
      </c>
      <c r="AX2220" s="6" t="s">
        <v>81</v>
      </c>
      <c r="AY2220" s="6" t="s">
        <v>81</v>
      </c>
      <c r="AZ2220" s="6" t="s">
        <v>81</v>
      </c>
      <c r="BA2220" s="6" t="s">
        <v>23819</v>
      </c>
      <c r="BB2220" s="24" t="n">
        <v>95</v>
      </c>
      <c r="BC2220" s="26"/>
      <c r="BD2220" s="26"/>
      <c r="BE2220" s="26"/>
      <c r="BF2220" s="26" t="s">
        <v>23900</v>
      </c>
      <c r="BG2220" s="26"/>
      <c r="BH2220" s="26"/>
      <c r="BI2220" s="26"/>
      <c r="BJ2220" s="26"/>
      <c r="BK2220" s="26"/>
      <c r="BL2220" s="26"/>
      <c r="BM2220" s="26"/>
      <c r="BN2220" s="26"/>
      <c r="BO2220" s="26"/>
      <c r="BP2220" s="16" t="n">
        <v>45418</v>
      </c>
      <c r="BQ2220" s="28" t="str">
        <f>HYPERLINK("https://organic.ams.usda.gov/Integrity/Certificate.aspx?cid=45&amp;nopid=9950009848")</f>
        <v>https://organic.ams.usda.gov/Integrity/Certificate.aspx?cid=45&amp;nopid=9950009848</v>
      </c>
    </row>
    <row r="2221">
      <c r="A2221" t="s">
        <v>3</v>
      </c>
      <c r="B2221" s="6" t="s">
        <v>7</v>
      </c>
      <c r="C2221" s="6" t="s">
        <v>54</v>
      </c>
      <c r="D2221" s="6" t="s">
        <v>100</v>
      </c>
      <c r="E2221" s="10" t="s">
        <v>2362</v>
      </c>
      <c r="F2221" s="6" t="s">
        <v>5073</v>
      </c>
      <c r="G2221" s="6" t="s">
        <v>81</v>
      </c>
      <c r="H2221" s="6" t="s">
        <v>7921</v>
      </c>
      <c r="I2221" s="6" t="s">
        <v>8914</v>
      </c>
      <c r="J2221" s="6" t="s">
        <v>9666</v>
      </c>
      <c r="K2221" s="6" t="s">
        <v>10886</v>
      </c>
      <c r="L2221" s="16" t="n">
        <v>44050</v>
      </c>
      <c r="M2221" s="16" t="n">
        <v>45716</v>
      </c>
      <c r="N2221" s="6" t="s">
        <v>10886</v>
      </c>
      <c r="O2221" s="16" t="n">
        <v>44050</v>
      </c>
      <c r="P2221" s="6" t="s">
        <v>10925</v>
      </c>
      <c r="Q2221" s="6" t="s">
        <v>81</v>
      </c>
      <c r="R2221" s="6" t="s">
        <v>81</v>
      </c>
      <c r="S2221" s="6" t="s">
        <v>10886</v>
      </c>
      <c r="T2221" s="16" t="n">
        <v>44075</v>
      </c>
      <c r="U2221" s="6" t="s">
        <v>13830</v>
      </c>
      <c r="V2221" s="6" t="s">
        <v>81</v>
      </c>
      <c r="W2221" s="6" t="s">
        <v>81</v>
      </c>
      <c r="X2221" s="6" t="s">
        <v>81</v>
      </c>
      <c r="Y2221" s="21" t="s">
        <v>81</v>
      </c>
      <c r="Z2221" s="6" t="s">
        <v>81</v>
      </c>
      <c r="AA2221" s="6" t="s">
        <v>81</v>
      </c>
      <c r="AB2221" s="6" t="s">
        <v>81</v>
      </c>
      <c r="AC2221" s="6" t="s">
        <v>81</v>
      </c>
      <c r="AD2221" s="21" t="s">
        <v>81</v>
      </c>
      <c r="AE2221" s="6" t="s">
        <v>81</v>
      </c>
      <c r="AF2221" s="6" t="s">
        <v>81</v>
      </c>
      <c r="AG2221" s="6" t="s">
        <v>81</v>
      </c>
      <c r="AH2221" s="6" t="s">
        <v>16767</v>
      </c>
      <c r="AI2221" s="6" t="s">
        <v>81</v>
      </c>
      <c r="AJ2221" s="6" t="s">
        <v>17618</v>
      </c>
      <c r="AK2221" s="6" t="s">
        <v>17712</v>
      </c>
      <c r="AL2221" s="6" t="s">
        <v>18444</v>
      </c>
      <c r="AM2221" s="6" t="s">
        <v>18786</v>
      </c>
      <c r="AN2221" s="6" t="s">
        <v>19645</v>
      </c>
      <c r="AO2221" s="6" t="s">
        <v>19770</v>
      </c>
      <c r="AP2221" s="6" t="s">
        <v>16767</v>
      </c>
      <c r="AQ2221" s="6" t="s">
        <v>81</v>
      </c>
      <c r="AR2221" s="6" t="s">
        <v>17618</v>
      </c>
      <c r="AS2221" s="6" t="s">
        <v>17712</v>
      </c>
      <c r="AT2221" s="6" t="s">
        <v>18444</v>
      </c>
      <c r="AU2221" s="6" t="s">
        <v>18786</v>
      </c>
      <c r="AV2221" s="6" t="s">
        <v>81</v>
      </c>
      <c r="AW2221" s="6" t="s">
        <v>81</v>
      </c>
      <c r="AX2221" s="6" t="s">
        <v>22207</v>
      </c>
      <c r="AY2221" s="6" t="s">
        <v>81</v>
      </c>
      <c r="AZ2221" s="6" t="s">
        <v>81</v>
      </c>
      <c r="BA2221" s="6" t="s">
        <v>81</v>
      </c>
      <c r="BB2221" s="24" t="n">
        <v>118</v>
      </c>
      <c r="BC2221" s="26"/>
      <c r="BD2221" s="26"/>
      <c r="BE2221" s="26"/>
      <c r="BF2221" s="26" t="s">
        <v>23900</v>
      </c>
      <c r="BG2221" s="26"/>
      <c r="BH2221" s="26"/>
      <c r="BI2221" s="26"/>
      <c r="BJ2221" s="26"/>
      <c r="BK2221" s="26"/>
      <c r="BL2221" s="26"/>
      <c r="BM2221" s="26"/>
      <c r="BN2221" s="26"/>
      <c r="BO2221" s="26"/>
      <c r="BP2221" s="16" t="n">
        <v>45672</v>
      </c>
      <c r="BQ2221" s="28" t="str">
        <f>HYPERLINK("https://organic.ams.usda.gov/Integrity/Certificate.aspx?cid=57&amp;nopid=3252020056")</f>
        <v>https://organic.ams.usda.gov/Integrity/Certificate.aspx?cid=57&amp;nopid=3252020056</v>
      </c>
    </row>
    <row r="2222">
      <c r="A2222" t="s">
        <v>3</v>
      </c>
      <c r="B2222" s="6" t="s">
        <v>7</v>
      </c>
      <c r="C2222" s="6" t="s">
        <v>54</v>
      </c>
      <c r="D2222" s="6" t="s">
        <v>100</v>
      </c>
      <c r="E2222" s="10" t="s">
        <v>2363</v>
      </c>
      <c r="F2222" s="6" t="s">
        <v>5074</v>
      </c>
      <c r="G2222" s="6" t="s">
        <v>81</v>
      </c>
      <c r="H2222" s="6" t="s">
        <v>7922</v>
      </c>
      <c r="I2222" s="6" t="s">
        <v>8914</v>
      </c>
      <c r="J2222" s="6" t="s">
        <v>10673</v>
      </c>
      <c r="K2222" s="6" t="s">
        <v>10886</v>
      </c>
      <c r="L2222" s="16" t="n">
        <v>38289</v>
      </c>
      <c r="M2222" s="16" t="n">
        <v>45716</v>
      </c>
      <c r="N2222" s="6" t="s">
        <v>10886</v>
      </c>
      <c r="O2222" s="16" t="n">
        <v>38289</v>
      </c>
      <c r="P2222" s="6" t="s">
        <v>10993</v>
      </c>
      <c r="Q2222" s="6" t="s">
        <v>81</v>
      </c>
      <c r="R2222" s="6" t="s">
        <v>81</v>
      </c>
      <c r="S2222" s="6" t="s">
        <v>10886</v>
      </c>
      <c r="T2222" s="16" t="n">
        <v>38289</v>
      </c>
      <c r="U2222" s="6" t="s">
        <v>13284</v>
      </c>
      <c r="V2222" s="6" t="s">
        <v>81</v>
      </c>
      <c r="W2222" s="6" t="s">
        <v>81</v>
      </c>
      <c r="X2222" s="6" t="s">
        <v>81</v>
      </c>
      <c r="Y2222" s="21" t="s">
        <v>81</v>
      </c>
      <c r="Z2222" s="6" t="s">
        <v>81</v>
      </c>
      <c r="AA2222" s="6" t="s">
        <v>81</v>
      </c>
      <c r="AB2222" s="6" t="s">
        <v>81</v>
      </c>
      <c r="AC2222" s="6" t="s">
        <v>81</v>
      </c>
      <c r="AD2222" s="21" t="s">
        <v>81</v>
      </c>
      <c r="AE2222" s="6" t="s">
        <v>81</v>
      </c>
      <c r="AF2222" s="6" t="s">
        <v>81</v>
      </c>
      <c r="AG2222" s="6" t="s">
        <v>81</v>
      </c>
      <c r="AH2222" s="6" t="s">
        <v>16768</v>
      </c>
      <c r="AI2222" s="6" t="s">
        <v>81</v>
      </c>
      <c r="AJ2222" s="6" t="s">
        <v>18084</v>
      </c>
      <c r="AK2222" s="6" t="s">
        <v>17712</v>
      </c>
      <c r="AL2222" s="6" t="s">
        <v>18444</v>
      </c>
      <c r="AM2222" s="6" t="s">
        <v>19280</v>
      </c>
      <c r="AN2222" s="6" t="s">
        <v>19670</v>
      </c>
      <c r="AO2222" s="6" t="s">
        <v>19782</v>
      </c>
      <c r="AP2222" s="6" t="s">
        <v>16768</v>
      </c>
      <c r="AQ2222" s="6" t="s">
        <v>81</v>
      </c>
      <c r="AR2222" s="6" t="s">
        <v>18084</v>
      </c>
      <c r="AS2222" s="6" t="s">
        <v>17712</v>
      </c>
      <c r="AT2222" s="6" t="s">
        <v>18444</v>
      </c>
      <c r="AU2222" s="6" t="s">
        <v>19280</v>
      </c>
      <c r="AV2222" s="6" t="s">
        <v>81</v>
      </c>
      <c r="AW2222" s="6" t="s">
        <v>81</v>
      </c>
      <c r="AX2222" s="6" t="s">
        <v>22208</v>
      </c>
      <c r="AY2222" s="6" t="s">
        <v>23347</v>
      </c>
      <c r="AZ2222" s="6" t="s">
        <v>81</v>
      </c>
      <c r="BA2222" s="6" t="s">
        <v>81</v>
      </c>
      <c r="BB2222" s="24" t="n">
        <v>740</v>
      </c>
      <c r="BC2222" s="26"/>
      <c r="BD2222" s="26"/>
      <c r="BE2222" s="26"/>
      <c r="BF2222" s="26"/>
      <c r="BG2222" s="26"/>
      <c r="BH2222" s="26"/>
      <c r="BI2222" s="26"/>
      <c r="BJ2222" s="26"/>
      <c r="BK2222" s="26"/>
      <c r="BL2222" s="26"/>
      <c r="BM2222" s="26"/>
      <c r="BN2222" s="26"/>
      <c r="BO2222" s="26"/>
      <c r="BP2222" s="16" t="n">
        <v>45595</v>
      </c>
      <c r="BQ2222" s="28" t="str">
        <f>HYPERLINK("https://organic.ams.usda.gov/Integrity/Certificate.aspx?cid=57&amp;nopid=3250200475")</f>
        <v>https://organic.ams.usda.gov/Integrity/Certificate.aspx?cid=57&amp;nopid=3250200475</v>
      </c>
    </row>
    <row r="2223">
      <c r="A2223" t="s">
        <v>3</v>
      </c>
      <c r="B2223" s="6" t="s">
        <v>9</v>
      </c>
      <c r="C2223" s="6" t="s">
        <v>56</v>
      </c>
      <c r="D2223" s="6" t="s">
        <v>102</v>
      </c>
      <c r="E2223" s="10" t="s">
        <v>2364</v>
      </c>
      <c r="F2223" s="6" t="s">
        <v>5075</v>
      </c>
      <c r="G2223" s="6" t="s">
        <v>81</v>
      </c>
      <c r="H2223" s="6" t="s">
        <v>7923</v>
      </c>
      <c r="I2223" s="6" t="s">
        <v>8786</v>
      </c>
      <c r="J2223" s="6" t="s">
        <v>10674</v>
      </c>
      <c r="K2223" s="6" t="s">
        <v>10886</v>
      </c>
      <c r="L2223" s="16" t="n">
        <v>40064</v>
      </c>
      <c r="M2223" s="16" t="n">
        <v>45748</v>
      </c>
      <c r="N2223" s="6" t="s">
        <v>10886</v>
      </c>
      <c r="O2223" s="16" t="n">
        <v>40064</v>
      </c>
      <c r="P2223" s="6" t="s">
        <v>12143</v>
      </c>
      <c r="Q2223" s="6" t="s">
        <v>81</v>
      </c>
      <c r="R2223" s="6" t="s">
        <v>13032</v>
      </c>
      <c r="S2223" s="6" t="s">
        <v>10886</v>
      </c>
      <c r="T2223" s="16" t="n">
        <v>40064</v>
      </c>
      <c r="U2223" s="6" t="s">
        <v>13831</v>
      </c>
      <c r="V2223" s="6" t="s">
        <v>81</v>
      </c>
      <c r="W2223" s="6" t="s">
        <v>13032</v>
      </c>
      <c r="X2223" s="6" t="s">
        <v>81</v>
      </c>
      <c r="Y2223" s="21" t="s">
        <v>81</v>
      </c>
      <c r="Z2223" s="6" t="s">
        <v>81</v>
      </c>
      <c r="AA2223" s="6" t="s">
        <v>81</v>
      </c>
      <c r="AB2223" s="6" t="s">
        <v>81</v>
      </c>
      <c r="AC2223" s="6" t="s">
        <v>81</v>
      </c>
      <c r="AD2223" s="21" t="s">
        <v>81</v>
      </c>
      <c r="AE2223" s="6" t="s">
        <v>81</v>
      </c>
      <c r="AF2223" s="6" t="s">
        <v>81</v>
      </c>
      <c r="AG2223" s="6" t="s">
        <v>81</v>
      </c>
      <c r="AH2223" s="6" t="s">
        <v>16769</v>
      </c>
      <c r="AI2223" s="6" t="s">
        <v>81</v>
      </c>
      <c r="AJ2223" s="6" t="s">
        <v>17527</v>
      </c>
      <c r="AK2223" s="6" t="s">
        <v>18377</v>
      </c>
      <c r="AL2223" s="6" t="s">
        <v>18444</v>
      </c>
      <c r="AM2223" s="6" t="s">
        <v>18691</v>
      </c>
      <c r="AN2223" s="6" t="s">
        <v>19653</v>
      </c>
      <c r="AO2223" s="6" t="s">
        <v>19838</v>
      </c>
      <c r="AP2223" s="6" t="s">
        <v>81</v>
      </c>
      <c r="AQ2223" s="6" t="s">
        <v>81</v>
      </c>
      <c r="AR2223" s="6" t="s">
        <v>81</v>
      </c>
      <c r="AS2223" s="6" t="s">
        <v>81</v>
      </c>
      <c r="AT2223" s="6" t="s">
        <v>81</v>
      </c>
      <c r="AU2223" s="6" t="s">
        <v>81</v>
      </c>
      <c r="AV2223" s="6" t="s">
        <v>81</v>
      </c>
      <c r="AW2223" s="6" t="s">
        <v>81</v>
      </c>
      <c r="AX2223" s="6" t="s">
        <v>22209</v>
      </c>
      <c r="AY2223" s="6" t="s">
        <v>23348</v>
      </c>
      <c r="AZ2223" s="6" t="s">
        <v>81</v>
      </c>
      <c r="BA2223" s="6" t="s">
        <v>81</v>
      </c>
      <c r="BB2223" s="24" t="n">
        <v>216</v>
      </c>
      <c r="BC2223" s="26"/>
      <c r="BD2223" s="26"/>
      <c r="BE2223" s="26"/>
      <c r="BF2223" s="26"/>
      <c r="BG2223" s="26"/>
      <c r="BH2223" s="26"/>
      <c r="BI2223" s="26"/>
      <c r="BJ2223" s="26"/>
      <c r="BK2223" s="26"/>
      <c r="BL2223" s="26"/>
      <c r="BM2223" s="26"/>
      <c r="BN2223" s="26"/>
      <c r="BO2223" s="26"/>
      <c r="BP2223" s="16" t="n">
        <v>45738</v>
      </c>
      <c r="BQ2223" s="28" t="str">
        <f>HYPERLINK("https://organic.ams.usda.gov/Integrity/Certificate.aspx?cid=52&amp;nopid=8430900139")</f>
        <v>https://organic.ams.usda.gov/Integrity/Certificate.aspx?cid=52&amp;nopid=8430900139</v>
      </c>
    </row>
    <row r="2224">
      <c r="A2224" t="s">
        <v>3</v>
      </c>
      <c r="B2224" s="6" t="s">
        <v>16</v>
      </c>
      <c r="C2224" s="6" t="s">
        <v>63</v>
      </c>
      <c r="D2224" s="6" t="s">
        <v>109</v>
      </c>
      <c r="E2224" s="10" t="s">
        <v>2365</v>
      </c>
      <c r="F2224" s="6" t="s">
        <v>5076</v>
      </c>
      <c r="G2224" s="6" t="s">
        <v>81</v>
      </c>
      <c r="H2224" s="6" t="s">
        <v>7924</v>
      </c>
      <c r="I2224" s="6" t="s">
        <v>8811</v>
      </c>
      <c r="J2224" s="6" t="s">
        <v>10675</v>
      </c>
      <c r="K2224" s="6" t="s">
        <v>10886</v>
      </c>
      <c r="L2224" s="16" t="n">
        <v>37575</v>
      </c>
      <c r="M2224" s="16" t="n">
        <v>45731</v>
      </c>
      <c r="N2224" s="6" t="s">
        <v>10886</v>
      </c>
      <c r="O2224" s="16" t="n">
        <v>37575</v>
      </c>
      <c r="P2224" s="6" t="s">
        <v>12144</v>
      </c>
      <c r="Q2224" s="6" t="s">
        <v>81</v>
      </c>
      <c r="R2224" s="6" t="s">
        <v>81</v>
      </c>
      <c r="S2224" s="6" t="s">
        <v>10886</v>
      </c>
      <c r="T2224" s="16" t="n">
        <v>37575</v>
      </c>
      <c r="U2224" s="6" t="s">
        <v>13281</v>
      </c>
      <c r="V2224" s="6" t="s">
        <v>81</v>
      </c>
      <c r="W2224" s="6" t="s">
        <v>81</v>
      </c>
      <c r="X2224" s="6" t="s">
        <v>10886</v>
      </c>
      <c r="Y2224" s="16" t="n">
        <v>37575</v>
      </c>
      <c r="Z2224" s="6" t="s">
        <v>13990</v>
      </c>
      <c r="AA2224" s="6" t="s">
        <v>81</v>
      </c>
      <c r="AB2224" s="6" t="s">
        <v>81</v>
      </c>
      <c r="AC2224" s="6" t="s">
        <v>10886</v>
      </c>
      <c r="AD2224" s="16" t="n">
        <v>37575</v>
      </c>
      <c r="AE2224" s="6" t="s">
        <v>81</v>
      </c>
      <c r="AF2224" s="6" t="s">
        <v>81</v>
      </c>
      <c r="AG2224" s="6" t="s">
        <v>81</v>
      </c>
      <c r="AH2224" s="6" t="s">
        <v>16770</v>
      </c>
      <c r="AI2224" s="6" t="s">
        <v>81</v>
      </c>
      <c r="AJ2224" s="6" t="s">
        <v>18249</v>
      </c>
      <c r="AK2224" s="6" t="s">
        <v>18383</v>
      </c>
      <c r="AL2224" s="6" t="s">
        <v>18444</v>
      </c>
      <c r="AM2224" s="6" t="s">
        <v>19469</v>
      </c>
      <c r="AN2224" s="6" t="s">
        <v>19653</v>
      </c>
      <c r="AO2224" s="6" t="s">
        <v>19928</v>
      </c>
      <c r="AP2224" s="6" t="s">
        <v>81</v>
      </c>
      <c r="AQ2224" s="6" t="s">
        <v>81</v>
      </c>
      <c r="AR2224" s="6" t="s">
        <v>81</v>
      </c>
      <c r="AS2224" s="6" t="s">
        <v>81</v>
      </c>
      <c r="AT2224" s="6" t="s">
        <v>81</v>
      </c>
      <c r="AU2224" s="6" t="s">
        <v>81</v>
      </c>
      <c r="AV2224" s="6" t="s">
        <v>81</v>
      </c>
      <c r="AW2224" s="6" t="s">
        <v>81</v>
      </c>
      <c r="AX2224" s="6" t="s">
        <v>22210</v>
      </c>
      <c r="AY2224" s="6" t="s">
        <v>81</v>
      </c>
      <c r="AZ2224" s="6" t="s">
        <v>81</v>
      </c>
      <c r="BA2224" s="6" t="s">
        <v>81</v>
      </c>
      <c r="BB2224" s="24" t="n">
        <v>620</v>
      </c>
      <c r="BC2224" s="26"/>
      <c r="BD2224" s="26"/>
      <c r="BE2224" s="26"/>
      <c r="BF2224" s="26"/>
      <c r="BG2224" s="26"/>
      <c r="BH2224" s="26"/>
      <c r="BI2224" s="26"/>
      <c r="BJ2224" s="26"/>
      <c r="BK2224" s="26"/>
      <c r="BL2224" s="26"/>
      <c r="BM2224" s="26"/>
      <c r="BN2224" s="26"/>
      <c r="BO2224" s="26"/>
      <c r="BP2224" s="16" t="n">
        <v>45701</v>
      </c>
      <c r="BQ2224" s="28" t="str">
        <f>HYPERLINK("https://organic.ams.usda.gov/Integrity/Certificate.aspx?cid=81&amp;nopid=4210099142")</f>
        <v>https://organic.ams.usda.gov/Integrity/Certificate.aspx?cid=81&amp;nopid=4210099142</v>
      </c>
    </row>
    <row r="2225">
      <c r="A2225" t="s">
        <v>3</v>
      </c>
      <c r="B2225" s="6" t="s">
        <v>24</v>
      </c>
      <c r="C2225" s="6" t="s">
        <v>71</v>
      </c>
      <c r="D2225" s="6" t="s">
        <v>117</v>
      </c>
      <c r="E2225" s="10" t="s">
        <v>2366</v>
      </c>
      <c r="F2225" s="6" t="s">
        <v>5077</v>
      </c>
      <c r="G2225" s="6" t="s">
        <v>81</v>
      </c>
      <c r="H2225" s="6" t="s">
        <v>81</v>
      </c>
      <c r="I2225" s="6" t="s">
        <v>9463</v>
      </c>
      <c r="J2225" s="6" t="s">
        <v>10676</v>
      </c>
      <c r="K2225" s="6" t="s">
        <v>10886</v>
      </c>
      <c r="L2225" s="16" t="n">
        <v>44753</v>
      </c>
      <c r="M2225" s="16" t="n">
        <v>45901</v>
      </c>
      <c r="N2225" s="6" t="s">
        <v>10886</v>
      </c>
      <c r="O2225" s="16" t="n">
        <v>45161</v>
      </c>
      <c r="P2225" s="6" t="s">
        <v>12145</v>
      </c>
      <c r="Q2225" s="6" t="s">
        <v>81</v>
      </c>
      <c r="R2225" s="6" t="s">
        <v>81</v>
      </c>
      <c r="S2225" s="6" t="s">
        <v>10886</v>
      </c>
      <c r="T2225" s="16" t="n">
        <v>44753</v>
      </c>
      <c r="U2225" s="6" t="s">
        <v>13832</v>
      </c>
      <c r="V2225" s="6" t="s">
        <v>81</v>
      </c>
      <c r="W2225" s="6" t="s">
        <v>81</v>
      </c>
      <c r="X2225" s="6" t="s">
        <v>81</v>
      </c>
      <c r="Y2225" s="21" t="s">
        <v>81</v>
      </c>
      <c r="Z2225" s="6" t="s">
        <v>81</v>
      </c>
      <c r="AA2225" s="6" t="s">
        <v>81</v>
      </c>
      <c r="AB2225" s="6" t="s">
        <v>81</v>
      </c>
      <c r="AC2225" s="6" t="s">
        <v>10886</v>
      </c>
      <c r="AD2225" s="16" t="n">
        <v>44753</v>
      </c>
      <c r="AE2225" s="6" t="s">
        <v>14303</v>
      </c>
      <c r="AF2225" s="6" t="s">
        <v>81</v>
      </c>
      <c r="AG2225" s="6" t="s">
        <v>81</v>
      </c>
      <c r="AH2225" s="6" t="s">
        <v>16771</v>
      </c>
      <c r="AI2225" s="6" t="s">
        <v>81</v>
      </c>
      <c r="AJ2225" s="6" t="s">
        <v>18053</v>
      </c>
      <c r="AK2225" s="6" t="s">
        <v>18400</v>
      </c>
      <c r="AL2225" s="6" t="s">
        <v>18444</v>
      </c>
      <c r="AM2225" s="6" t="s">
        <v>19248</v>
      </c>
      <c r="AN2225" s="6" t="s">
        <v>19644</v>
      </c>
      <c r="AO2225" s="6" t="s">
        <v>19992</v>
      </c>
      <c r="AP2225" s="6" t="s">
        <v>20410</v>
      </c>
      <c r="AQ2225" s="6" t="s">
        <v>81</v>
      </c>
      <c r="AR2225" s="6" t="s">
        <v>18053</v>
      </c>
      <c r="AS2225" s="6" t="s">
        <v>18400</v>
      </c>
      <c r="AT2225" s="6" t="s">
        <v>18444</v>
      </c>
      <c r="AU2225" s="6" t="s">
        <v>19248</v>
      </c>
      <c r="AV2225" s="6" t="s">
        <v>81</v>
      </c>
      <c r="AW2225" s="6" t="s">
        <v>81</v>
      </c>
      <c r="AX2225" s="6" t="s">
        <v>81</v>
      </c>
      <c r="AY2225" s="6" t="s">
        <v>23349</v>
      </c>
      <c r="AZ2225" s="6" t="s">
        <v>81</v>
      </c>
      <c r="BA2225" s="6" t="s">
        <v>81</v>
      </c>
      <c r="BB2225" s="24" t="n">
        <v>666</v>
      </c>
      <c r="BC2225" s="26"/>
      <c r="BD2225" s="26"/>
      <c r="BE2225" s="26"/>
      <c r="BF2225" s="26"/>
      <c r="BG2225" s="26"/>
      <c r="BH2225" s="26"/>
      <c r="BI2225" s="26"/>
      <c r="BJ2225" s="26"/>
      <c r="BK2225" s="26"/>
      <c r="BL2225" s="26"/>
      <c r="BM2225" s="26"/>
      <c r="BN2225" s="26"/>
      <c r="BO2225" s="26"/>
      <c r="BP2225" s="16" t="n">
        <v>45628</v>
      </c>
      <c r="BQ2225" s="28" t="str">
        <f>HYPERLINK("https://organic.ams.usda.gov/Integrity/Certificate.aspx?cid=1&amp;nopid=9092204604")</f>
        <v>https://organic.ams.usda.gov/Integrity/Certificate.aspx?cid=1&amp;nopid=9092204604</v>
      </c>
    </row>
    <row r="2226">
      <c r="A2226" t="s">
        <v>3</v>
      </c>
      <c r="B2226" s="6" t="s">
        <v>7</v>
      </c>
      <c r="C2226" s="6" t="s">
        <v>54</v>
      </c>
      <c r="D2226" s="6" t="s">
        <v>100</v>
      </c>
      <c r="E2226" s="10" t="s">
        <v>2367</v>
      </c>
      <c r="F2226" s="6" t="s">
        <v>5078</v>
      </c>
      <c r="G2226" s="6" t="s">
        <v>81</v>
      </c>
      <c r="H2226" s="6" t="s">
        <v>7925</v>
      </c>
      <c r="I2226" s="6" t="s">
        <v>9279</v>
      </c>
      <c r="J2226" s="6" t="s">
        <v>10677</v>
      </c>
      <c r="K2226" s="6" t="s">
        <v>10886</v>
      </c>
      <c r="L2226" s="16" t="n">
        <v>37818</v>
      </c>
      <c r="M2226" s="16" t="n">
        <v>45716</v>
      </c>
      <c r="N2226" s="6" t="s">
        <v>10886</v>
      </c>
      <c r="O2226" s="16" t="n">
        <v>37818</v>
      </c>
      <c r="P2226" s="6" t="s">
        <v>11519</v>
      </c>
      <c r="Q2226" s="6" t="s">
        <v>81</v>
      </c>
      <c r="R2226" s="6" t="s">
        <v>81</v>
      </c>
      <c r="S2226" s="6" t="s">
        <v>10886</v>
      </c>
      <c r="T2226" s="16" t="n">
        <v>37869</v>
      </c>
      <c r="U2226" s="6" t="s">
        <v>13169</v>
      </c>
      <c r="V2226" s="6" t="s">
        <v>81</v>
      </c>
      <c r="W2226" s="6" t="s">
        <v>81</v>
      </c>
      <c r="X2226" s="6" t="s">
        <v>81</v>
      </c>
      <c r="Y2226" s="21" t="s">
        <v>81</v>
      </c>
      <c r="Z2226" s="6" t="s">
        <v>81</v>
      </c>
      <c r="AA2226" s="6" t="s">
        <v>81</v>
      </c>
      <c r="AB2226" s="6" t="s">
        <v>81</v>
      </c>
      <c r="AC2226" s="6" t="s">
        <v>81</v>
      </c>
      <c r="AD2226" s="21" t="s">
        <v>81</v>
      </c>
      <c r="AE2226" s="6" t="s">
        <v>81</v>
      </c>
      <c r="AF2226" s="6" t="s">
        <v>81</v>
      </c>
      <c r="AG2226" s="6" t="s">
        <v>81</v>
      </c>
      <c r="AH2226" s="6" t="s">
        <v>16772</v>
      </c>
      <c r="AI2226" s="6" t="s">
        <v>81</v>
      </c>
      <c r="AJ2226" s="6" t="s">
        <v>17453</v>
      </c>
      <c r="AK2226" s="6" t="s">
        <v>17712</v>
      </c>
      <c r="AL2226" s="6" t="s">
        <v>18444</v>
      </c>
      <c r="AM2226" s="6" t="s">
        <v>18612</v>
      </c>
      <c r="AN2226" s="6" t="s">
        <v>19670</v>
      </c>
      <c r="AO2226" s="6" t="s">
        <v>19782</v>
      </c>
      <c r="AP2226" s="6" t="s">
        <v>16772</v>
      </c>
      <c r="AQ2226" s="6" t="s">
        <v>81</v>
      </c>
      <c r="AR2226" s="6" t="s">
        <v>17453</v>
      </c>
      <c r="AS2226" s="6" t="s">
        <v>17712</v>
      </c>
      <c r="AT2226" s="6" t="s">
        <v>18444</v>
      </c>
      <c r="AU2226" s="6" t="s">
        <v>18612</v>
      </c>
      <c r="AV2226" s="6" t="s">
        <v>81</v>
      </c>
      <c r="AW2226" s="6" t="s">
        <v>81</v>
      </c>
      <c r="AX2226" s="6" t="s">
        <v>22211</v>
      </c>
      <c r="AY2226" s="6" t="s">
        <v>81</v>
      </c>
      <c r="AZ2226" s="6" t="s">
        <v>81</v>
      </c>
      <c r="BA2226" s="6" t="s">
        <v>81</v>
      </c>
      <c r="BB2226" s="24" t="n">
        <v>428</v>
      </c>
      <c r="BC2226" s="26"/>
      <c r="BD2226" s="26"/>
      <c r="BE2226" s="26"/>
      <c r="BF2226" s="26" t="s">
        <v>23900</v>
      </c>
      <c r="BG2226" s="26"/>
      <c r="BH2226" s="26"/>
      <c r="BI2226" s="26"/>
      <c r="BJ2226" s="26"/>
      <c r="BK2226" s="26"/>
      <c r="BL2226" s="26"/>
      <c r="BM2226" s="26"/>
      <c r="BN2226" s="26"/>
      <c r="BO2226" s="26"/>
      <c r="BP2226" s="16" t="n">
        <v>45721</v>
      </c>
      <c r="BQ2226" s="28" t="str">
        <f>HYPERLINK("https://organic.ams.usda.gov/Integrity/Certificate.aspx?cid=57&amp;nopid=3250200304")</f>
        <v>https://organic.ams.usda.gov/Integrity/Certificate.aspx?cid=57&amp;nopid=3250200304</v>
      </c>
    </row>
    <row r="2227">
      <c r="A2227" t="s">
        <v>3</v>
      </c>
      <c r="B2227" s="6" t="s">
        <v>40</v>
      </c>
      <c r="C2227" s="6" t="s">
        <v>87</v>
      </c>
      <c r="D2227" s="6" t="s">
        <v>132</v>
      </c>
      <c r="E2227" s="10" t="s">
        <v>2368</v>
      </c>
      <c r="F2227" s="6" t="s">
        <v>5079</v>
      </c>
      <c r="G2227" s="6" t="s">
        <v>81</v>
      </c>
      <c r="H2227" s="6" t="s">
        <v>7843</v>
      </c>
      <c r="I2227" s="6" t="s">
        <v>9464</v>
      </c>
      <c r="J2227" s="6" t="s">
        <v>10678</v>
      </c>
      <c r="K2227" s="6" t="s">
        <v>10886</v>
      </c>
      <c r="L2227" s="16" t="n">
        <v>37718</v>
      </c>
      <c r="M2227" s="16" t="n">
        <v>45566</v>
      </c>
      <c r="N2227" s="6" t="s">
        <v>81</v>
      </c>
      <c r="O2227" s="21" t="s">
        <v>81</v>
      </c>
      <c r="P2227" s="6" t="s">
        <v>81</v>
      </c>
      <c r="Q2227" s="6" t="s">
        <v>81</v>
      </c>
      <c r="R2227" s="6" t="s">
        <v>81</v>
      </c>
      <c r="S2227" s="6" t="s">
        <v>81</v>
      </c>
      <c r="T2227" s="21" t="s">
        <v>81</v>
      </c>
      <c r="U2227" s="6" t="s">
        <v>81</v>
      </c>
      <c r="V2227" s="6" t="s">
        <v>81</v>
      </c>
      <c r="W2227" s="6" t="s">
        <v>81</v>
      </c>
      <c r="X2227" s="6" t="s">
        <v>81</v>
      </c>
      <c r="Y2227" s="21" t="s">
        <v>81</v>
      </c>
      <c r="Z2227" s="6" t="s">
        <v>81</v>
      </c>
      <c r="AA2227" s="6" t="s">
        <v>81</v>
      </c>
      <c r="AB2227" s="6" t="s">
        <v>81</v>
      </c>
      <c r="AC2227" s="6" t="s">
        <v>10886</v>
      </c>
      <c r="AD2227" s="16" t="n">
        <v>37718</v>
      </c>
      <c r="AE2227" s="6" t="s">
        <v>14400</v>
      </c>
      <c r="AF2227" s="6" t="s">
        <v>81</v>
      </c>
      <c r="AG2227" s="6" t="s">
        <v>81</v>
      </c>
      <c r="AH2227" s="6" t="s">
        <v>16773</v>
      </c>
      <c r="AI2227" s="6" t="s">
        <v>81</v>
      </c>
      <c r="AJ2227" s="6" t="s">
        <v>17614</v>
      </c>
      <c r="AK2227" s="6" t="s">
        <v>18398</v>
      </c>
      <c r="AL2227" s="6" t="s">
        <v>18444</v>
      </c>
      <c r="AM2227" s="6" t="s">
        <v>19470</v>
      </c>
      <c r="AN2227" s="6" t="s">
        <v>19647</v>
      </c>
      <c r="AO2227" s="6" t="s">
        <v>19881</v>
      </c>
      <c r="AP2227" s="6" t="s">
        <v>16773</v>
      </c>
      <c r="AQ2227" s="6" t="s">
        <v>81</v>
      </c>
      <c r="AR2227" s="6" t="s">
        <v>17614</v>
      </c>
      <c r="AS2227" s="6" t="s">
        <v>18398</v>
      </c>
      <c r="AT2227" s="6" t="s">
        <v>18444</v>
      </c>
      <c r="AU2227" s="6" t="s">
        <v>19470</v>
      </c>
      <c r="AV2227" s="6" t="s">
        <v>81</v>
      </c>
      <c r="AW2227" s="6" t="s">
        <v>81</v>
      </c>
      <c r="AX2227" s="6" t="s">
        <v>22212</v>
      </c>
      <c r="AY2227" s="6" t="s">
        <v>23350</v>
      </c>
      <c r="AZ2227" s="6" t="s">
        <v>81</v>
      </c>
      <c r="BA2227" s="6" t="s">
        <v>81</v>
      </c>
      <c r="BB2227" s="6" t="s">
        <v>81</v>
      </c>
      <c r="BC2227" s="26"/>
      <c r="BD2227" s="26"/>
      <c r="BE2227" s="26"/>
      <c r="BF2227" s="26"/>
      <c r="BG2227" s="26"/>
      <c r="BH2227" s="26"/>
      <c r="BI2227" s="26"/>
      <c r="BJ2227" s="26"/>
      <c r="BK2227" s="26"/>
      <c r="BL2227" s="26"/>
      <c r="BM2227" s="26"/>
      <c r="BN2227" s="26"/>
      <c r="BO2227" s="26"/>
      <c r="BP2227" s="16" t="n">
        <v>45735</v>
      </c>
      <c r="BQ2227" s="28" t="str">
        <f>HYPERLINK("https://organic.ams.usda.gov/Integrity/Certificate.aspx?cid=19&amp;nopid=6350000207")</f>
        <v>https://organic.ams.usda.gov/Integrity/Certificate.aspx?cid=19&amp;nopid=6350000207</v>
      </c>
    </row>
    <row r="2228">
      <c r="A2228" t="s">
        <v>3</v>
      </c>
      <c r="B2228" s="6" t="s">
        <v>11</v>
      </c>
      <c r="C2228" s="6" t="s">
        <v>58</v>
      </c>
      <c r="D2228" s="6" t="s">
        <v>104</v>
      </c>
      <c r="E2228" s="10" t="s">
        <v>2369</v>
      </c>
      <c r="F2228" s="6" t="s">
        <v>5080</v>
      </c>
      <c r="G2228" s="6" t="s">
        <v>81</v>
      </c>
      <c r="H2228" s="6" t="s">
        <v>81</v>
      </c>
      <c r="I2228" s="6" t="s">
        <v>9239</v>
      </c>
      <c r="J2228" s="6" t="s">
        <v>9960</v>
      </c>
      <c r="K2228" s="6" t="s">
        <v>10886</v>
      </c>
      <c r="L2228" s="16" t="n">
        <v>44295</v>
      </c>
      <c r="M2228" s="16" t="n">
        <v>45383</v>
      </c>
      <c r="N2228" s="6" t="s">
        <v>10886</v>
      </c>
      <c r="O2228" s="16" t="n">
        <v>44295</v>
      </c>
      <c r="P2228" s="6" t="s">
        <v>12146</v>
      </c>
      <c r="Q2228" s="6" t="s">
        <v>81</v>
      </c>
      <c r="R2228" s="6" t="s">
        <v>81</v>
      </c>
      <c r="S2228" s="6" t="s">
        <v>10886</v>
      </c>
      <c r="T2228" s="16" t="n">
        <v>44543</v>
      </c>
      <c r="U2228" s="6" t="s">
        <v>13833</v>
      </c>
      <c r="V2228" s="6" t="s">
        <v>81</v>
      </c>
      <c r="W2228" s="6" t="s">
        <v>81</v>
      </c>
      <c r="X2228" s="6" t="s">
        <v>81</v>
      </c>
      <c r="Y2228" s="21" t="s">
        <v>81</v>
      </c>
      <c r="Z2228" s="6" t="s">
        <v>81</v>
      </c>
      <c r="AA2228" s="6" t="s">
        <v>81</v>
      </c>
      <c r="AB2228" s="6" t="s">
        <v>81</v>
      </c>
      <c r="AC2228" s="6" t="s">
        <v>81</v>
      </c>
      <c r="AD2228" s="21" t="s">
        <v>81</v>
      </c>
      <c r="AE2228" s="6" t="s">
        <v>81</v>
      </c>
      <c r="AF2228" s="6" t="s">
        <v>81</v>
      </c>
      <c r="AG2228" s="6" t="s">
        <v>81</v>
      </c>
      <c r="AH2228" s="6" t="s">
        <v>16774</v>
      </c>
      <c r="AI2228" s="6" t="s">
        <v>81</v>
      </c>
      <c r="AJ2228" s="6" t="s">
        <v>18250</v>
      </c>
      <c r="AK2228" s="6" t="s">
        <v>18377</v>
      </c>
      <c r="AL2228" s="6" t="s">
        <v>18444</v>
      </c>
      <c r="AM2228" s="6" t="s">
        <v>19471</v>
      </c>
      <c r="AN2228" s="6" t="s">
        <v>19660</v>
      </c>
      <c r="AO2228" s="6" t="s">
        <v>19804</v>
      </c>
      <c r="AP2228" s="6" t="s">
        <v>16774</v>
      </c>
      <c r="AQ2228" s="6" t="s">
        <v>81</v>
      </c>
      <c r="AR2228" s="6" t="s">
        <v>18250</v>
      </c>
      <c r="AS2228" s="6" t="s">
        <v>18377</v>
      </c>
      <c r="AT2228" s="6" t="s">
        <v>18444</v>
      </c>
      <c r="AU2228" s="6" t="s">
        <v>19471</v>
      </c>
      <c r="AV2228" s="6" t="s">
        <v>81</v>
      </c>
      <c r="AW2228" s="6" t="s">
        <v>81</v>
      </c>
      <c r="AX2228" s="6" t="s">
        <v>81</v>
      </c>
      <c r="AY2228" s="6" t="s">
        <v>81</v>
      </c>
      <c r="AZ2228" s="6" t="s">
        <v>81</v>
      </c>
      <c r="BA2228" s="6" t="s">
        <v>81</v>
      </c>
      <c r="BB2228" s="24" t="n">
        <v>148</v>
      </c>
      <c r="BC2228" s="26"/>
      <c r="BD2228" s="26"/>
      <c r="BE2228" s="26"/>
      <c r="BF2228" s="26"/>
      <c r="BG2228" s="26"/>
      <c r="BH2228" s="26"/>
      <c r="BI2228" s="26"/>
      <c r="BJ2228" s="26"/>
      <c r="BK2228" s="26"/>
      <c r="BL2228" s="26"/>
      <c r="BM2228" s="26"/>
      <c r="BN2228" s="26"/>
      <c r="BO2228" s="26"/>
      <c r="BP2228" s="16" t="n">
        <v>45443</v>
      </c>
      <c r="BQ2228" s="28" t="str">
        <f>HYPERLINK("https://organic.ams.usda.gov/Integrity/Certificate.aspx?cid=46&amp;nopid=3672100012")</f>
        <v>https://organic.ams.usda.gov/Integrity/Certificate.aspx?cid=46&amp;nopid=3672100012</v>
      </c>
    </row>
    <row r="2229">
      <c r="A2229" t="s">
        <v>3</v>
      </c>
      <c r="B2229" s="6" t="s">
        <v>35</v>
      </c>
      <c r="C2229" s="6" t="s">
        <v>82</v>
      </c>
      <c r="D2229" s="6" t="s">
        <v>127</v>
      </c>
      <c r="E2229" s="10" t="s">
        <v>2370</v>
      </c>
      <c r="F2229" s="6" t="s">
        <v>5081</v>
      </c>
      <c r="G2229" s="6" t="s">
        <v>81</v>
      </c>
      <c r="H2229" s="6" t="s">
        <v>7926</v>
      </c>
      <c r="I2229" s="6" t="s">
        <v>8401</v>
      </c>
      <c r="J2229" s="6" t="s">
        <v>10679</v>
      </c>
      <c r="K2229" s="6" t="s">
        <v>10886</v>
      </c>
      <c r="L2229" s="16" t="n">
        <v>37512</v>
      </c>
      <c r="M2229" s="16" t="n">
        <v>45762</v>
      </c>
      <c r="N2229" s="6" t="s">
        <v>10886</v>
      </c>
      <c r="O2229" s="16" t="n">
        <v>37512</v>
      </c>
      <c r="P2229" s="6" t="s">
        <v>11973</v>
      </c>
      <c r="Q2229" s="6" t="s">
        <v>81</v>
      </c>
      <c r="R2229" s="6" t="s">
        <v>13033</v>
      </c>
      <c r="S2229" s="6" t="s">
        <v>10886</v>
      </c>
      <c r="T2229" s="16" t="n">
        <v>37512</v>
      </c>
      <c r="U2229" s="6" t="s">
        <v>13834</v>
      </c>
      <c r="V2229" s="6" t="s">
        <v>81</v>
      </c>
      <c r="W2229" s="6" t="s">
        <v>13033</v>
      </c>
      <c r="X2229" s="6" t="s">
        <v>81</v>
      </c>
      <c r="Y2229" s="21" t="s">
        <v>81</v>
      </c>
      <c r="Z2229" s="6" t="s">
        <v>81</v>
      </c>
      <c r="AA2229" s="6" t="s">
        <v>81</v>
      </c>
      <c r="AB2229" s="6" t="s">
        <v>81</v>
      </c>
      <c r="AC2229" s="6" t="s">
        <v>81</v>
      </c>
      <c r="AD2229" s="21" t="s">
        <v>81</v>
      </c>
      <c r="AE2229" s="6" t="s">
        <v>81</v>
      </c>
      <c r="AF2229" s="6" t="s">
        <v>81</v>
      </c>
      <c r="AG2229" s="6" t="s">
        <v>81</v>
      </c>
      <c r="AH2229" s="6" t="s">
        <v>16775</v>
      </c>
      <c r="AI2229" s="6" t="s">
        <v>81</v>
      </c>
      <c r="AJ2229" s="6" t="s">
        <v>18251</v>
      </c>
      <c r="AK2229" s="6" t="s">
        <v>18405</v>
      </c>
      <c r="AL2229" s="6" t="s">
        <v>18444</v>
      </c>
      <c r="AM2229" s="6" t="s">
        <v>19472</v>
      </c>
      <c r="AN2229" s="6" t="s">
        <v>19683</v>
      </c>
      <c r="AO2229" s="6" t="s">
        <v>20017</v>
      </c>
      <c r="AP2229" s="6" t="s">
        <v>16775</v>
      </c>
      <c r="AQ2229" s="6" t="s">
        <v>81</v>
      </c>
      <c r="AR2229" s="6" t="s">
        <v>18251</v>
      </c>
      <c r="AS2229" s="6" t="s">
        <v>18405</v>
      </c>
      <c r="AT2229" s="6" t="s">
        <v>18444</v>
      </c>
      <c r="AU2229" s="6" t="s">
        <v>19472</v>
      </c>
      <c r="AV2229" s="6" t="s">
        <v>81</v>
      </c>
      <c r="AW2229" s="6" t="s">
        <v>81</v>
      </c>
      <c r="AX2229" s="6" t="s">
        <v>22213</v>
      </c>
      <c r="AY2229" s="6" t="s">
        <v>23351</v>
      </c>
      <c r="AZ2229" s="6" t="s">
        <v>81</v>
      </c>
      <c r="BA2229" s="6" t="s">
        <v>81</v>
      </c>
      <c r="BB2229" s="24" t="n">
        <v>420</v>
      </c>
      <c r="BC2229" s="26"/>
      <c r="BD2229" s="26"/>
      <c r="BE2229" s="26"/>
      <c r="BF2229" s="26"/>
      <c r="BG2229" s="26"/>
      <c r="BH2229" s="26"/>
      <c r="BI2229" s="26"/>
      <c r="BJ2229" s="26"/>
      <c r="BK2229" s="26"/>
      <c r="BL2229" s="26"/>
      <c r="BM2229" s="26"/>
      <c r="BN2229" s="26"/>
      <c r="BO2229" s="26"/>
      <c r="BP2229" s="16" t="n">
        <v>45721</v>
      </c>
      <c r="BQ2229" s="28" t="str">
        <f>HYPERLINK("https://organic.ams.usda.gov/Integrity/Certificate.aspx?cid=47&amp;nopid=7142070101")</f>
        <v>https://organic.ams.usda.gov/Integrity/Certificate.aspx?cid=47&amp;nopid=7142070101</v>
      </c>
    </row>
    <row r="2230">
      <c r="A2230" t="s">
        <v>3</v>
      </c>
      <c r="B2230" s="6" t="s">
        <v>7</v>
      </c>
      <c r="C2230" s="6" t="s">
        <v>54</v>
      </c>
      <c r="D2230" s="6" t="s">
        <v>100</v>
      </c>
      <c r="E2230" s="10" t="s">
        <v>2371</v>
      </c>
      <c r="F2230" s="6" t="s">
        <v>5082</v>
      </c>
      <c r="G2230" s="6" t="s">
        <v>81</v>
      </c>
      <c r="H2230" s="6" t="s">
        <v>7927</v>
      </c>
      <c r="I2230" s="6" t="s">
        <v>8517</v>
      </c>
      <c r="J2230" s="6" t="s">
        <v>10680</v>
      </c>
      <c r="K2230" s="6" t="s">
        <v>10886</v>
      </c>
      <c r="L2230" s="16" t="n">
        <v>37427</v>
      </c>
      <c r="M2230" s="16" t="n">
        <v>45716</v>
      </c>
      <c r="N2230" s="6" t="s">
        <v>10886</v>
      </c>
      <c r="O2230" s="16" t="n">
        <v>37427</v>
      </c>
      <c r="P2230" s="6" t="s">
        <v>10910</v>
      </c>
      <c r="Q2230" s="6" t="s">
        <v>81</v>
      </c>
      <c r="R2230" s="6" t="s">
        <v>81</v>
      </c>
      <c r="S2230" s="6" t="s">
        <v>10886</v>
      </c>
      <c r="T2230" s="16" t="n">
        <v>37427</v>
      </c>
      <c r="U2230" s="6" t="s">
        <v>13284</v>
      </c>
      <c r="V2230" s="6" t="s">
        <v>81</v>
      </c>
      <c r="W2230" s="6" t="s">
        <v>81</v>
      </c>
      <c r="X2230" s="6" t="s">
        <v>81</v>
      </c>
      <c r="Y2230" s="21" t="s">
        <v>81</v>
      </c>
      <c r="Z2230" s="6" t="s">
        <v>81</v>
      </c>
      <c r="AA2230" s="6" t="s">
        <v>81</v>
      </c>
      <c r="AB2230" s="6" t="s">
        <v>81</v>
      </c>
      <c r="AC2230" s="6" t="s">
        <v>81</v>
      </c>
      <c r="AD2230" s="21" t="s">
        <v>81</v>
      </c>
      <c r="AE2230" s="6" t="s">
        <v>81</v>
      </c>
      <c r="AF2230" s="6" t="s">
        <v>81</v>
      </c>
      <c r="AG2230" s="6" t="s">
        <v>81</v>
      </c>
      <c r="AH2230" s="6" t="s">
        <v>16776</v>
      </c>
      <c r="AI2230" s="6" t="s">
        <v>81</v>
      </c>
      <c r="AJ2230" s="6" t="s">
        <v>17998</v>
      </c>
      <c r="AK2230" s="6" t="s">
        <v>17712</v>
      </c>
      <c r="AL2230" s="6" t="s">
        <v>18444</v>
      </c>
      <c r="AM2230" s="6" t="s">
        <v>19473</v>
      </c>
      <c r="AN2230" s="6" t="s">
        <v>19652</v>
      </c>
      <c r="AO2230" s="6" t="s">
        <v>19742</v>
      </c>
      <c r="AP2230" s="6" t="s">
        <v>16776</v>
      </c>
      <c r="AQ2230" s="6" t="s">
        <v>81</v>
      </c>
      <c r="AR2230" s="6" t="s">
        <v>17998</v>
      </c>
      <c r="AS2230" s="6" t="s">
        <v>17712</v>
      </c>
      <c r="AT2230" s="6" t="s">
        <v>18444</v>
      </c>
      <c r="AU2230" s="6" t="s">
        <v>19473</v>
      </c>
      <c r="AV2230" s="6" t="s">
        <v>81</v>
      </c>
      <c r="AW2230" s="6" t="s">
        <v>81</v>
      </c>
      <c r="AX2230" s="6" t="s">
        <v>22214</v>
      </c>
      <c r="AY2230" s="6" t="s">
        <v>23352</v>
      </c>
      <c r="AZ2230" s="6" t="s">
        <v>81</v>
      </c>
      <c r="BA2230" s="6" t="s">
        <v>81</v>
      </c>
      <c r="BB2230" s="24" t="n">
        <v>586</v>
      </c>
      <c r="BC2230" s="26"/>
      <c r="BD2230" s="26"/>
      <c r="BE2230" s="26"/>
      <c r="BF2230" s="26" t="s">
        <v>23900</v>
      </c>
      <c r="BG2230" s="26"/>
      <c r="BH2230" s="26"/>
      <c r="BI2230" s="26"/>
      <c r="BJ2230" s="26"/>
      <c r="BK2230" s="26"/>
      <c r="BL2230" s="26"/>
      <c r="BM2230" s="26"/>
      <c r="BN2230" s="26"/>
      <c r="BO2230" s="26"/>
      <c r="BP2230" s="16" t="n">
        <v>45679</v>
      </c>
      <c r="BQ2230" s="28" t="str">
        <f>HYPERLINK("https://organic.ams.usda.gov/Integrity/Certificate.aspx?cid=57&amp;nopid=3250970006")</f>
        <v>https://organic.ams.usda.gov/Integrity/Certificate.aspx?cid=57&amp;nopid=3250970006</v>
      </c>
    </row>
    <row r="2231">
      <c r="A2231" t="s">
        <v>3</v>
      </c>
      <c r="B2231" s="6" t="s">
        <v>13</v>
      </c>
      <c r="C2231" s="6" t="s">
        <v>60</v>
      </c>
      <c r="D2231" s="6" t="s">
        <v>106</v>
      </c>
      <c r="E2231" s="10" t="s">
        <v>2372</v>
      </c>
      <c r="F2231" s="6" t="s">
        <v>5083</v>
      </c>
      <c r="G2231" s="6" t="s">
        <v>81</v>
      </c>
      <c r="H2231" s="6" t="s">
        <v>7928</v>
      </c>
      <c r="I2231" s="6" t="s">
        <v>8961</v>
      </c>
      <c r="J2231" s="6" t="s">
        <v>10681</v>
      </c>
      <c r="K2231" s="6" t="s">
        <v>10886</v>
      </c>
      <c r="L2231" s="16" t="n">
        <v>41619</v>
      </c>
      <c r="M2231" s="16" t="n">
        <v>45748</v>
      </c>
      <c r="N2231" s="6" t="s">
        <v>10886</v>
      </c>
      <c r="O2231" s="16" t="n">
        <v>41619</v>
      </c>
      <c r="P2231" s="6" t="s">
        <v>12147</v>
      </c>
      <c r="Q2231" s="6" t="s">
        <v>81</v>
      </c>
      <c r="R2231" s="6" t="s">
        <v>13034</v>
      </c>
      <c r="S2231" s="6" t="s">
        <v>10886</v>
      </c>
      <c r="T2231" s="16" t="n">
        <v>45098</v>
      </c>
      <c r="U2231" s="6" t="s">
        <v>13402</v>
      </c>
      <c r="V2231" s="6" t="s">
        <v>81</v>
      </c>
      <c r="W2231" s="6" t="s">
        <v>13034</v>
      </c>
      <c r="X2231" s="6" t="s">
        <v>81</v>
      </c>
      <c r="Y2231" s="21" t="s">
        <v>81</v>
      </c>
      <c r="Z2231" s="6" t="s">
        <v>81</v>
      </c>
      <c r="AA2231" s="6" t="s">
        <v>81</v>
      </c>
      <c r="AB2231" s="6" t="s">
        <v>81</v>
      </c>
      <c r="AC2231" s="6" t="s">
        <v>81</v>
      </c>
      <c r="AD2231" s="21" t="s">
        <v>81</v>
      </c>
      <c r="AE2231" s="6" t="s">
        <v>81</v>
      </c>
      <c r="AF2231" s="6" t="s">
        <v>81</v>
      </c>
      <c r="AG2231" s="6" t="s">
        <v>81</v>
      </c>
      <c r="AH2231" s="6" t="s">
        <v>16777</v>
      </c>
      <c r="AI2231" s="6" t="s">
        <v>81</v>
      </c>
      <c r="AJ2231" s="6" t="s">
        <v>18252</v>
      </c>
      <c r="AK2231" s="6" t="s">
        <v>18379</v>
      </c>
      <c r="AL2231" s="6" t="s">
        <v>18444</v>
      </c>
      <c r="AM2231" s="6" t="s">
        <v>19474</v>
      </c>
      <c r="AN2231" s="6" t="s">
        <v>19641</v>
      </c>
      <c r="AO2231" s="6" t="s">
        <v>20031</v>
      </c>
      <c r="AP2231" s="6" t="s">
        <v>16777</v>
      </c>
      <c r="AQ2231" s="6" t="s">
        <v>81</v>
      </c>
      <c r="AR2231" s="6" t="s">
        <v>18252</v>
      </c>
      <c r="AS2231" s="6" t="s">
        <v>18379</v>
      </c>
      <c r="AT2231" s="6" t="s">
        <v>18444</v>
      </c>
      <c r="AU2231" s="6" t="s">
        <v>19474</v>
      </c>
      <c r="AV2231" s="6" t="s">
        <v>81</v>
      </c>
      <c r="AW2231" s="6" t="s">
        <v>81</v>
      </c>
      <c r="AX2231" s="6" t="s">
        <v>22215</v>
      </c>
      <c r="AY2231" s="6" t="s">
        <v>23353</v>
      </c>
      <c r="AZ2231" s="6" t="s">
        <v>81</v>
      </c>
      <c r="BA2231" s="6" t="s">
        <v>81</v>
      </c>
      <c r="BB2231" s="24" t="n">
        <v>456</v>
      </c>
      <c r="BC2231" s="26"/>
      <c r="BD2231" s="26"/>
      <c r="BE2231" s="26"/>
      <c r="BF2231" s="26" t="s">
        <v>23900</v>
      </c>
      <c r="BG2231" s="26"/>
      <c r="BH2231" s="26"/>
      <c r="BI2231" s="26"/>
      <c r="BJ2231" s="26"/>
      <c r="BK2231" s="26"/>
      <c r="BL2231" s="26"/>
      <c r="BM2231" s="26"/>
      <c r="BN2231" s="26"/>
      <c r="BO2231" s="26"/>
      <c r="BP2231" s="16" t="n">
        <v>45735</v>
      </c>
      <c r="BQ2231" s="28" t="str">
        <f>HYPERLINK("https://organic.ams.usda.gov/Integrity/Certificate.aspx?cid=72&amp;nopid=5870001620")</f>
        <v>https://organic.ams.usda.gov/Integrity/Certificate.aspx?cid=72&amp;nopid=5870001620</v>
      </c>
    </row>
    <row r="2232">
      <c r="A2232" t="s">
        <v>3</v>
      </c>
      <c r="B2232" s="6" t="s">
        <v>8</v>
      </c>
      <c r="C2232" s="6" t="s">
        <v>55</v>
      </c>
      <c r="D2232" s="6" t="s">
        <v>101</v>
      </c>
      <c r="E2232" s="10" t="s">
        <v>2373</v>
      </c>
      <c r="F2232" s="6" t="s">
        <v>5084</v>
      </c>
      <c r="G2232" s="6" t="s">
        <v>5828</v>
      </c>
      <c r="H2232" s="6" t="s">
        <v>7929</v>
      </c>
      <c r="I2232" s="6" t="s">
        <v>8912</v>
      </c>
      <c r="J2232" s="6" t="s">
        <v>10682</v>
      </c>
      <c r="K2232" s="6" t="s">
        <v>10886</v>
      </c>
      <c r="L2232" s="16" t="n">
        <v>37798</v>
      </c>
      <c r="M2232" s="16" t="n">
        <v>45748</v>
      </c>
      <c r="N2232" s="6" t="s">
        <v>10886</v>
      </c>
      <c r="O2232" s="16" t="n">
        <v>37798</v>
      </c>
      <c r="P2232" s="6" t="s">
        <v>12148</v>
      </c>
      <c r="Q2232" s="6" t="s">
        <v>81</v>
      </c>
      <c r="R2232" s="6" t="s">
        <v>7929</v>
      </c>
      <c r="S2232" s="6" t="s">
        <v>10886</v>
      </c>
      <c r="T2232" s="16" t="n">
        <v>37798</v>
      </c>
      <c r="U2232" s="6" t="s">
        <v>13179</v>
      </c>
      <c r="V2232" s="6" t="s">
        <v>81</v>
      </c>
      <c r="W2232" s="6" t="s">
        <v>7929</v>
      </c>
      <c r="X2232" s="6" t="s">
        <v>81</v>
      </c>
      <c r="Y2232" s="21" t="s">
        <v>81</v>
      </c>
      <c r="Z2232" s="6" t="s">
        <v>81</v>
      </c>
      <c r="AA2232" s="6" t="s">
        <v>81</v>
      </c>
      <c r="AB2232" s="6" t="s">
        <v>81</v>
      </c>
      <c r="AC2232" s="6" t="s">
        <v>81</v>
      </c>
      <c r="AD2232" s="21" t="s">
        <v>81</v>
      </c>
      <c r="AE2232" s="6" t="s">
        <v>81</v>
      </c>
      <c r="AF2232" s="6" t="s">
        <v>81</v>
      </c>
      <c r="AG2232" s="6" t="s">
        <v>81</v>
      </c>
      <c r="AH2232" s="6" t="s">
        <v>16778</v>
      </c>
      <c r="AI2232" s="6" t="s">
        <v>81</v>
      </c>
      <c r="AJ2232" s="6" t="s">
        <v>18247</v>
      </c>
      <c r="AK2232" s="6" t="s">
        <v>18381</v>
      </c>
      <c r="AL2232" s="6" t="s">
        <v>18444</v>
      </c>
      <c r="AM2232" s="6" t="s">
        <v>19466</v>
      </c>
      <c r="AN2232" s="6" t="s">
        <v>19635</v>
      </c>
      <c r="AO2232" s="6" t="s">
        <v>19976</v>
      </c>
      <c r="AP2232" s="6" t="s">
        <v>81</v>
      </c>
      <c r="AQ2232" s="6" t="s">
        <v>81</v>
      </c>
      <c r="AR2232" s="6" t="s">
        <v>81</v>
      </c>
      <c r="AS2232" s="6" t="s">
        <v>81</v>
      </c>
      <c r="AT2232" s="6" t="s">
        <v>81</v>
      </c>
      <c r="AU2232" s="6" t="s">
        <v>81</v>
      </c>
      <c r="AV2232" s="6" t="s">
        <v>81</v>
      </c>
      <c r="AW2232" s="6" t="s">
        <v>81</v>
      </c>
      <c r="AX2232" s="6" t="s">
        <v>81</v>
      </c>
      <c r="AY2232" s="6" t="s">
        <v>23354</v>
      </c>
      <c r="AZ2232" s="6" t="s">
        <v>81</v>
      </c>
      <c r="BA2232" s="6" t="s">
        <v>23824</v>
      </c>
      <c r="BB2232" s="24" t="n">
        <v>246</v>
      </c>
      <c r="BC2232" s="26"/>
      <c r="BD2232" s="26"/>
      <c r="BE2232" s="26"/>
      <c r="BF2232" s="26" t="s">
        <v>23900</v>
      </c>
      <c r="BG2232" s="26"/>
      <c r="BH2232" s="26"/>
      <c r="BI2232" s="26"/>
      <c r="BJ2232" s="26"/>
      <c r="BK2232" s="26"/>
      <c r="BL2232" s="26"/>
      <c r="BM2232" s="26"/>
      <c r="BN2232" s="26"/>
      <c r="BO2232" s="26"/>
      <c r="BP2232" s="16" t="n">
        <v>45617</v>
      </c>
      <c r="BQ2232" s="28" t="str">
        <f>HYPERLINK("https://organic.ams.usda.gov/Integrity/Certificate.aspx?cid=45&amp;nopid=9950001261")</f>
        <v>https://organic.ams.usda.gov/Integrity/Certificate.aspx?cid=45&amp;nopid=9950001261</v>
      </c>
    </row>
    <row r="2233">
      <c r="A2233" t="s">
        <v>3</v>
      </c>
      <c r="B2233" s="6" t="s">
        <v>16</v>
      </c>
      <c r="C2233" s="6" t="s">
        <v>63</v>
      </c>
      <c r="D2233" s="6" t="s">
        <v>109</v>
      </c>
      <c r="E2233" s="10" t="s">
        <v>2374</v>
      </c>
      <c r="F2233" s="6" t="s">
        <v>5085</v>
      </c>
      <c r="G2233" s="6" t="s">
        <v>81</v>
      </c>
      <c r="H2233" s="6" t="s">
        <v>7930</v>
      </c>
      <c r="I2233" s="6" t="s">
        <v>9315</v>
      </c>
      <c r="J2233" s="6" t="s">
        <v>10683</v>
      </c>
      <c r="K2233" s="6" t="s">
        <v>10886</v>
      </c>
      <c r="L2233" s="16" t="n">
        <v>41472</v>
      </c>
      <c r="M2233" s="16" t="n">
        <v>45731</v>
      </c>
      <c r="N2233" s="6" t="s">
        <v>10886</v>
      </c>
      <c r="O2233" s="16" t="n">
        <v>41472</v>
      </c>
      <c r="P2233" s="6" t="s">
        <v>11130</v>
      </c>
      <c r="Q2233" s="6" t="s">
        <v>81</v>
      </c>
      <c r="R2233" s="6" t="s">
        <v>81</v>
      </c>
      <c r="S2233" s="6" t="s">
        <v>10886</v>
      </c>
      <c r="T2233" s="16" t="n">
        <v>41472</v>
      </c>
      <c r="U2233" s="6" t="s">
        <v>13281</v>
      </c>
      <c r="V2233" s="6" t="s">
        <v>81</v>
      </c>
      <c r="W2233" s="6" t="s">
        <v>81</v>
      </c>
      <c r="X2233" s="6" t="s">
        <v>81</v>
      </c>
      <c r="Y2233" s="21" t="s">
        <v>81</v>
      </c>
      <c r="Z2233" s="6" t="s">
        <v>81</v>
      </c>
      <c r="AA2233" s="6" t="s">
        <v>81</v>
      </c>
      <c r="AB2233" s="6" t="s">
        <v>81</v>
      </c>
      <c r="AC2233" s="6" t="s">
        <v>10886</v>
      </c>
      <c r="AD2233" s="16" t="n">
        <v>41472</v>
      </c>
      <c r="AE2233" s="6" t="s">
        <v>14401</v>
      </c>
      <c r="AF2233" s="6" t="s">
        <v>81</v>
      </c>
      <c r="AG2233" s="6" t="s">
        <v>81</v>
      </c>
      <c r="AH2233" s="6" t="s">
        <v>16779</v>
      </c>
      <c r="AI2233" s="6" t="s">
        <v>81</v>
      </c>
      <c r="AJ2233" s="6" t="s">
        <v>17758</v>
      </c>
      <c r="AK2233" s="6" t="s">
        <v>18383</v>
      </c>
      <c r="AL2233" s="6" t="s">
        <v>18444</v>
      </c>
      <c r="AM2233" s="6" t="s">
        <v>19475</v>
      </c>
      <c r="AN2233" s="6" t="s">
        <v>19651</v>
      </c>
      <c r="AO2233" s="6" t="s">
        <v>19721</v>
      </c>
      <c r="AP2233" s="6" t="s">
        <v>81</v>
      </c>
      <c r="AQ2233" s="6" t="s">
        <v>81</v>
      </c>
      <c r="AR2233" s="6" t="s">
        <v>81</v>
      </c>
      <c r="AS2233" s="6" t="s">
        <v>81</v>
      </c>
      <c r="AT2233" s="6" t="s">
        <v>81</v>
      </c>
      <c r="AU2233" s="6" t="s">
        <v>81</v>
      </c>
      <c r="AV2233" s="6" t="s">
        <v>81</v>
      </c>
      <c r="AW2233" s="6" t="s">
        <v>81</v>
      </c>
      <c r="AX2233" s="6" t="s">
        <v>22216</v>
      </c>
      <c r="AY2233" s="6" t="s">
        <v>81</v>
      </c>
      <c r="AZ2233" s="6" t="s">
        <v>23767</v>
      </c>
      <c r="BA2233" s="6" t="s">
        <v>81</v>
      </c>
      <c r="BB2233" s="24" t="n">
        <v>158</v>
      </c>
      <c r="BC2233" s="26"/>
      <c r="BD2233" s="26"/>
      <c r="BE2233" s="26"/>
      <c r="BF2233" s="26"/>
      <c r="BG2233" s="26"/>
      <c r="BH2233" s="26"/>
      <c r="BI2233" s="26"/>
      <c r="BJ2233" s="26"/>
      <c r="BK2233" s="26"/>
      <c r="BL2233" s="26"/>
      <c r="BM2233" s="26"/>
      <c r="BN2233" s="26"/>
      <c r="BO2233" s="26"/>
      <c r="BP2233" s="16" t="n">
        <v>45701</v>
      </c>
      <c r="BQ2233" s="28" t="str">
        <f>HYPERLINK("https://organic.ams.usda.gov/Integrity/Certificate.aspx?cid=81&amp;nopid=4210013027")</f>
        <v>https://organic.ams.usda.gov/Integrity/Certificate.aspx?cid=81&amp;nopid=4210013027</v>
      </c>
    </row>
    <row r="2234">
      <c r="A2234" t="s">
        <v>3</v>
      </c>
      <c r="B2234" s="6" t="s">
        <v>11</v>
      </c>
      <c r="C2234" s="6" t="s">
        <v>58</v>
      </c>
      <c r="D2234" s="6" t="s">
        <v>104</v>
      </c>
      <c r="E2234" s="10" t="s">
        <v>2375</v>
      </c>
      <c r="F2234" s="6" t="s">
        <v>5086</v>
      </c>
      <c r="G2234" s="6" t="s">
        <v>5829</v>
      </c>
      <c r="H2234" s="6" t="s">
        <v>81</v>
      </c>
      <c r="I2234" s="6" t="s">
        <v>8800</v>
      </c>
      <c r="J2234" s="6" t="s">
        <v>9742</v>
      </c>
      <c r="K2234" s="6" t="s">
        <v>10886</v>
      </c>
      <c r="L2234" s="16" t="n">
        <v>43371</v>
      </c>
      <c r="M2234" s="16" t="n">
        <v>45383</v>
      </c>
      <c r="N2234" s="6" t="s">
        <v>10886</v>
      </c>
      <c r="O2234" s="16" t="n">
        <v>43371</v>
      </c>
      <c r="P2234" s="6" t="s">
        <v>12149</v>
      </c>
      <c r="Q2234" s="6" t="s">
        <v>81</v>
      </c>
      <c r="R2234" s="6" t="s">
        <v>81</v>
      </c>
      <c r="S2234" s="6" t="s">
        <v>10886</v>
      </c>
      <c r="T2234" s="16" t="n">
        <v>43371</v>
      </c>
      <c r="U2234" s="6" t="s">
        <v>13198</v>
      </c>
      <c r="V2234" s="6" t="s">
        <v>81</v>
      </c>
      <c r="W2234" s="6" t="s">
        <v>81</v>
      </c>
      <c r="X2234" s="6" t="s">
        <v>81</v>
      </c>
      <c r="Y2234" s="21" t="s">
        <v>81</v>
      </c>
      <c r="Z2234" s="6" t="s">
        <v>81</v>
      </c>
      <c r="AA2234" s="6" t="s">
        <v>81</v>
      </c>
      <c r="AB2234" s="6" t="s">
        <v>81</v>
      </c>
      <c r="AC2234" s="6" t="s">
        <v>81</v>
      </c>
      <c r="AD2234" s="21" t="s">
        <v>81</v>
      </c>
      <c r="AE2234" s="6" t="s">
        <v>81</v>
      </c>
      <c r="AF2234" s="6" t="s">
        <v>81</v>
      </c>
      <c r="AG2234" s="6" t="s">
        <v>81</v>
      </c>
      <c r="AH2234" s="6" t="s">
        <v>16780</v>
      </c>
      <c r="AI2234" s="6" t="s">
        <v>81</v>
      </c>
      <c r="AJ2234" s="6" t="s">
        <v>18253</v>
      </c>
      <c r="AK2234" s="6" t="s">
        <v>18381</v>
      </c>
      <c r="AL2234" s="6" t="s">
        <v>18444</v>
      </c>
      <c r="AM2234" s="6" t="s">
        <v>19476</v>
      </c>
      <c r="AN2234" s="6" t="s">
        <v>19663</v>
      </c>
      <c r="AO2234" s="6" t="s">
        <v>19763</v>
      </c>
      <c r="AP2234" s="6" t="s">
        <v>16780</v>
      </c>
      <c r="AQ2234" s="6" t="s">
        <v>81</v>
      </c>
      <c r="AR2234" s="6" t="s">
        <v>18253</v>
      </c>
      <c r="AS2234" s="6" t="s">
        <v>18381</v>
      </c>
      <c r="AT2234" s="6" t="s">
        <v>18444</v>
      </c>
      <c r="AU2234" s="6" t="s">
        <v>19476</v>
      </c>
      <c r="AV2234" s="6" t="s">
        <v>81</v>
      </c>
      <c r="AW2234" s="6" t="s">
        <v>81</v>
      </c>
      <c r="AX2234" s="6" t="s">
        <v>81</v>
      </c>
      <c r="AY2234" s="6" t="s">
        <v>81</v>
      </c>
      <c r="AZ2234" s="6" t="s">
        <v>81</v>
      </c>
      <c r="BA2234" s="6" t="s">
        <v>23825</v>
      </c>
      <c r="BB2234" s="24" t="n">
        <v>110</v>
      </c>
      <c r="BC2234" s="26"/>
      <c r="BD2234" s="26"/>
      <c r="BE2234" s="26"/>
      <c r="BF2234" s="26"/>
      <c r="BG2234" s="26"/>
      <c r="BH2234" s="26"/>
      <c r="BI2234" s="26"/>
      <c r="BJ2234" s="26"/>
      <c r="BK2234" s="26"/>
      <c r="BL2234" s="26"/>
      <c r="BM2234" s="26"/>
      <c r="BN2234" s="26"/>
      <c r="BO2234" s="26"/>
      <c r="BP2234" s="16" t="n">
        <v>45708</v>
      </c>
      <c r="BQ2234" s="28" t="str">
        <f>HYPERLINK("https://organic.ams.usda.gov/Integrity/Certificate.aspx?cid=46&amp;nopid=3671800083")</f>
        <v>https://organic.ams.usda.gov/Integrity/Certificate.aspx?cid=46&amp;nopid=3671800083</v>
      </c>
    </row>
    <row r="2235">
      <c r="A2235" t="s">
        <v>3</v>
      </c>
      <c r="B2235" s="6" t="s">
        <v>8</v>
      </c>
      <c r="C2235" s="6" t="s">
        <v>55</v>
      </c>
      <c r="D2235" s="6" t="s">
        <v>101</v>
      </c>
      <c r="E2235" s="10" t="s">
        <v>2376</v>
      </c>
      <c r="F2235" s="6" t="s">
        <v>5087</v>
      </c>
      <c r="G2235" s="6" t="s">
        <v>81</v>
      </c>
      <c r="H2235" s="6" t="s">
        <v>7931</v>
      </c>
      <c r="I2235" s="6" t="s">
        <v>8440</v>
      </c>
      <c r="J2235" s="6" t="s">
        <v>9667</v>
      </c>
      <c r="K2235" s="6" t="s">
        <v>10886</v>
      </c>
      <c r="L2235" s="16" t="n">
        <v>40372</v>
      </c>
      <c r="M2235" s="16" t="n">
        <v>45689</v>
      </c>
      <c r="N2235" s="6" t="s">
        <v>10886</v>
      </c>
      <c r="O2235" s="16" t="n">
        <v>40372</v>
      </c>
      <c r="P2235" s="6" t="s">
        <v>12150</v>
      </c>
      <c r="Q2235" s="6" t="s">
        <v>81</v>
      </c>
      <c r="R2235" s="6" t="s">
        <v>7931</v>
      </c>
      <c r="S2235" s="6" t="s">
        <v>10886</v>
      </c>
      <c r="T2235" s="16" t="n">
        <v>40372</v>
      </c>
      <c r="U2235" s="6" t="s">
        <v>13835</v>
      </c>
      <c r="V2235" s="6" t="s">
        <v>81</v>
      </c>
      <c r="W2235" s="6" t="s">
        <v>7931</v>
      </c>
      <c r="X2235" s="6" t="s">
        <v>81</v>
      </c>
      <c r="Y2235" s="21" t="s">
        <v>81</v>
      </c>
      <c r="Z2235" s="6" t="s">
        <v>81</v>
      </c>
      <c r="AA2235" s="6" t="s">
        <v>81</v>
      </c>
      <c r="AB2235" s="6" t="s">
        <v>81</v>
      </c>
      <c r="AC2235" s="6" t="s">
        <v>81</v>
      </c>
      <c r="AD2235" s="21" t="s">
        <v>81</v>
      </c>
      <c r="AE2235" s="6" t="s">
        <v>81</v>
      </c>
      <c r="AF2235" s="6" t="s">
        <v>81</v>
      </c>
      <c r="AG2235" s="6" t="s">
        <v>81</v>
      </c>
      <c r="AH2235" s="6" t="s">
        <v>16781</v>
      </c>
      <c r="AI2235" s="6" t="s">
        <v>81</v>
      </c>
      <c r="AJ2235" s="6" t="s">
        <v>17328</v>
      </c>
      <c r="AK2235" s="6" t="s">
        <v>18377</v>
      </c>
      <c r="AL2235" s="6" t="s">
        <v>18444</v>
      </c>
      <c r="AM2235" s="6" t="s">
        <v>18480</v>
      </c>
      <c r="AN2235" s="6" t="s">
        <v>19643</v>
      </c>
      <c r="AO2235" s="6" t="s">
        <v>19730</v>
      </c>
      <c r="AP2235" s="6" t="s">
        <v>81</v>
      </c>
      <c r="AQ2235" s="6" t="s">
        <v>81</v>
      </c>
      <c r="AR2235" s="6" t="s">
        <v>81</v>
      </c>
      <c r="AS2235" s="6" t="s">
        <v>81</v>
      </c>
      <c r="AT2235" s="6" t="s">
        <v>81</v>
      </c>
      <c r="AU2235" s="6" t="s">
        <v>81</v>
      </c>
      <c r="AV2235" s="6" t="s">
        <v>81</v>
      </c>
      <c r="AW2235" s="6" t="s">
        <v>81</v>
      </c>
      <c r="AX2235" s="6" t="s">
        <v>81</v>
      </c>
      <c r="AY2235" s="6" t="s">
        <v>81</v>
      </c>
      <c r="AZ2235" s="6" t="s">
        <v>81</v>
      </c>
      <c r="BA2235" s="6" t="s">
        <v>23819</v>
      </c>
      <c r="BB2235" s="24" t="n">
        <v>12</v>
      </c>
      <c r="BC2235" s="26"/>
      <c r="BD2235" s="26"/>
      <c r="BE2235" s="26"/>
      <c r="BF2235" s="26" t="s">
        <v>23900</v>
      </c>
      <c r="BG2235" s="26"/>
      <c r="BH2235" s="26"/>
      <c r="BI2235" s="26"/>
      <c r="BJ2235" s="26"/>
      <c r="BK2235" s="26"/>
      <c r="BL2235" s="26"/>
      <c r="BM2235" s="26"/>
      <c r="BN2235" s="26"/>
      <c r="BO2235" s="26"/>
      <c r="BP2235" s="16" t="n">
        <v>45734</v>
      </c>
      <c r="BQ2235" s="28" t="str">
        <f>HYPERLINK("https://organic.ams.usda.gov/Integrity/Certificate.aspx?cid=45&amp;nopid=9950004135")</f>
        <v>https://organic.ams.usda.gov/Integrity/Certificate.aspx?cid=45&amp;nopid=9950004135</v>
      </c>
    </row>
    <row r="2236">
      <c r="A2236" t="s">
        <v>3</v>
      </c>
      <c r="B2236" s="6" t="s">
        <v>7</v>
      </c>
      <c r="C2236" s="6" t="s">
        <v>54</v>
      </c>
      <c r="D2236" s="6" t="s">
        <v>100</v>
      </c>
      <c r="E2236" s="10" t="s">
        <v>2377</v>
      </c>
      <c r="F2236" s="6" t="s">
        <v>5087</v>
      </c>
      <c r="G2236" s="6" t="s">
        <v>81</v>
      </c>
      <c r="H2236" s="6" t="s">
        <v>7932</v>
      </c>
      <c r="I2236" s="6" t="s">
        <v>9465</v>
      </c>
      <c r="J2236" s="6" t="s">
        <v>9936</v>
      </c>
      <c r="K2236" s="6" t="s">
        <v>10886</v>
      </c>
      <c r="L2236" s="16" t="n">
        <v>44365</v>
      </c>
      <c r="M2236" s="16" t="n">
        <v>45716</v>
      </c>
      <c r="N2236" s="6" t="s">
        <v>10886</v>
      </c>
      <c r="O2236" s="16" t="n">
        <v>44365</v>
      </c>
      <c r="P2236" s="6" t="s">
        <v>12151</v>
      </c>
      <c r="Q2236" s="6" t="s">
        <v>81</v>
      </c>
      <c r="R2236" s="6" t="s">
        <v>81</v>
      </c>
      <c r="S2236" s="6" t="s">
        <v>10886</v>
      </c>
      <c r="T2236" s="16" t="n">
        <v>44531</v>
      </c>
      <c r="U2236" s="6" t="s">
        <v>13169</v>
      </c>
      <c r="V2236" s="6" t="s">
        <v>81</v>
      </c>
      <c r="W2236" s="6" t="s">
        <v>81</v>
      </c>
      <c r="X2236" s="6" t="s">
        <v>81</v>
      </c>
      <c r="Y2236" s="21" t="s">
        <v>81</v>
      </c>
      <c r="Z2236" s="6" t="s">
        <v>81</v>
      </c>
      <c r="AA2236" s="6" t="s">
        <v>81</v>
      </c>
      <c r="AB2236" s="6" t="s">
        <v>81</v>
      </c>
      <c r="AC2236" s="6" t="s">
        <v>81</v>
      </c>
      <c r="AD2236" s="21" t="s">
        <v>81</v>
      </c>
      <c r="AE2236" s="6" t="s">
        <v>81</v>
      </c>
      <c r="AF2236" s="6" t="s">
        <v>81</v>
      </c>
      <c r="AG2236" s="6" t="s">
        <v>81</v>
      </c>
      <c r="AH2236" s="6" t="s">
        <v>16782</v>
      </c>
      <c r="AI2236" s="6" t="s">
        <v>81</v>
      </c>
      <c r="AJ2236" s="6" t="s">
        <v>17874</v>
      </c>
      <c r="AK2236" s="6" t="s">
        <v>17712</v>
      </c>
      <c r="AL2236" s="6" t="s">
        <v>18444</v>
      </c>
      <c r="AM2236" s="6" t="s">
        <v>19057</v>
      </c>
      <c r="AN2236" s="6" t="s">
        <v>19643</v>
      </c>
      <c r="AO2236" s="6" t="s">
        <v>19766</v>
      </c>
      <c r="AP2236" s="6" t="s">
        <v>16782</v>
      </c>
      <c r="AQ2236" s="6" t="s">
        <v>81</v>
      </c>
      <c r="AR2236" s="6" t="s">
        <v>17874</v>
      </c>
      <c r="AS2236" s="6" t="s">
        <v>17712</v>
      </c>
      <c r="AT2236" s="6" t="s">
        <v>18444</v>
      </c>
      <c r="AU2236" s="6" t="s">
        <v>19057</v>
      </c>
      <c r="AV2236" s="6" t="s">
        <v>81</v>
      </c>
      <c r="AW2236" s="6" t="s">
        <v>81</v>
      </c>
      <c r="AX2236" s="6" t="s">
        <v>81</v>
      </c>
      <c r="AY2236" s="6" t="s">
        <v>81</v>
      </c>
      <c r="AZ2236" s="6" t="s">
        <v>81</v>
      </c>
      <c r="BA2236" s="6" t="s">
        <v>81</v>
      </c>
      <c r="BB2236" s="24" t="n">
        <v>66</v>
      </c>
      <c r="BC2236" s="26"/>
      <c r="BD2236" s="26"/>
      <c r="BE2236" s="26"/>
      <c r="BF2236" s="26" t="s">
        <v>23900</v>
      </c>
      <c r="BG2236" s="26"/>
      <c r="BH2236" s="26"/>
      <c r="BI2236" s="26"/>
      <c r="BJ2236" s="26"/>
      <c r="BK2236" s="26"/>
      <c r="BL2236" s="26"/>
      <c r="BM2236" s="26"/>
      <c r="BN2236" s="26"/>
      <c r="BO2236" s="26"/>
      <c r="BP2236" s="16" t="n">
        <v>45672</v>
      </c>
      <c r="BQ2236" s="28" t="str">
        <f>HYPERLINK("https://organic.ams.usda.gov/Integrity/Certificate.aspx?cid=57&amp;nopid=3252021063")</f>
        <v>https://organic.ams.usda.gov/Integrity/Certificate.aspx?cid=57&amp;nopid=3252021063</v>
      </c>
    </row>
    <row r="2237">
      <c r="A2237" t="s">
        <v>3</v>
      </c>
      <c r="B2237" s="6" t="s">
        <v>15</v>
      </c>
      <c r="C2237" s="6" t="s">
        <v>62</v>
      </c>
      <c r="D2237" s="6" t="s">
        <v>108</v>
      </c>
      <c r="E2237" s="10" t="s">
        <v>2378</v>
      </c>
      <c r="F2237" s="6" t="s">
        <v>5088</v>
      </c>
      <c r="G2237" s="6" t="s">
        <v>5830</v>
      </c>
      <c r="H2237" s="6" t="s">
        <v>7933</v>
      </c>
      <c r="I2237" s="6" t="s">
        <v>9466</v>
      </c>
      <c r="J2237" s="6" t="s">
        <v>9665</v>
      </c>
      <c r="K2237" s="6" t="s">
        <v>10886</v>
      </c>
      <c r="L2237" s="16" t="n">
        <v>37550</v>
      </c>
      <c r="M2237" s="16" t="n">
        <v>46157</v>
      </c>
      <c r="N2237" s="6" t="s">
        <v>10886</v>
      </c>
      <c r="O2237" s="16" t="n">
        <v>37550</v>
      </c>
      <c r="P2237" s="6" t="s">
        <v>12152</v>
      </c>
      <c r="Q2237" s="6" t="s">
        <v>81</v>
      </c>
      <c r="R2237" s="6" t="s">
        <v>81</v>
      </c>
      <c r="S2237" s="6" t="s">
        <v>10886</v>
      </c>
      <c r="T2237" s="16" t="n">
        <v>37550</v>
      </c>
      <c r="U2237" s="6" t="s">
        <v>13836</v>
      </c>
      <c r="V2237" s="6" t="s">
        <v>81</v>
      </c>
      <c r="W2237" s="6" t="s">
        <v>81</v>
      </c>
      <c r="X2237" s="6" t="s">
        <v>81</v>
      </c>
      <c r="Y2237" s="21" t="s">
        <v>81</v>
      </c>
      <c r="Z2237" s="6" t="s">
        <v>81</v>
      </c>
      <c r="AA2237" s="6" t="s">
        <v>81</v>
      </c>
      <c r="AB2237" s="6" t="s">
        <v>81</v>
      </c>
      <c r="AC2237" s="6" t="s">
        <v>81</v>
      </c>
      <c r="AD2237" s="21" t="s">
        <v>81</v>
      </c>
      <c r="AE2237" s="6" t="s">
        <v>81</v>
      </c>
      <c r="AF2237" s="6" t="s">
        <v>81</v>
      </c>
      <c r="AG2237" s="6" t="s">
        <v>81</v>
      </c>
      <c r="AH2237" s="6" t="s">
        <v>16783</v>
      </c>
      <c r="AI2237" s="6" t="s">
        <v>81</v>
      </c>
      <c r="AJ2237" s="6" t="s">
        <v>17352</v>
      </c>
      <c r="AK2237" s="6" t="s">
        <v>17712</v>
      </c>
      <c r="AL2237" s="6" t="s">
        <v>18444</v>
      </c>
      <c r="AM2237" s="6" t="s">
        <v>18506</v>
      </c>
      <c r="AN2237" s="6" t="s">
        <v>19652</v>
      </c>
      <c r="AO2237" s="6" t="s">
        <v>19742</v>
      </c>
      <c r="AP2237" s="6" t="s">
        <v>16783</v>
      </c>
      <c r="AQ2237" s="6" t="s">
        <v>81</v>
      </c>
      <c r="AR2237" s="6" t="s">
        <v>17352</v>
      </c>
      <c r="AS2237" s="6" t="s">
        <v>17712</v>
      </c>
      <c r="AT2237" s="6" t="s">
        <v>18444</v>
      </c>
      <c r="AU2237" s="6" t="s">
        <v>18506</v>
      </c>
      <c r="AV2237" s="6" t="s">
        <v>81</v>
      </c>
      <c r="AW2237" s="6" t="s">
        <v>81</v>
      </c>
      <c r="AX2237" s="6" t="s">
        <v>22217</v>
      </c>
      <c r="AY2237" s="6" t="s">
        <v>81</v>
      </c>
      <c r="AZ2237" s="6" t="s">
        <v>81</v>
      </c>
      <c r="BA2237" s="6" t="s">
        <v>81</v>
      </c>
      <c r="BB2237" s="24" t="n">
        <v>199</v>
      </c>
      <c r="BC2237" s="26"/>
      <c r="BD2237" s="26"/>
      <c r="BE2237" s="26"/>
      <c r="BF2237" s="26" t="s">
        <v>23900</v>
      </c>
      <c r="BG2237" s="26"/>
      <c r="BH2237" s="26"/>
      <c r="BI2237" s="26"/>
      <c r="BJ2237" s="26"/>
      <c r="BK2237" s="26"/>
      <c r="BL2237" s="26"/>
      <c r="BM2237" s="26"/>
      <c r="BN2237" s="26"/>
      <c r="BO2237" s="26"/>
      <c r="BP2237" s="16" t="n">
        <v>45737</v>
      </c>
      <c r="BQ2237" s="28" t="str">
        <f>HYPERLINK("https://organic.ams.usda.gov/Integrity/Certificate.aspx?cid=58&amp;nopid=1600000831")</f>
        <v>https://organic.ams.usda.gov/Integrity/Certificate.aspx?cid=58&amp;nopid=1600000831</v>
      </c>
    </row>
    <row r="2238">
      <c r="A2238" t="s">
        <v>3</v>
      </c>
      <c r="B2238" s="6" t="s">
        <v>7</v>
      </c>
      <c r="C2238" s="6" t="s">
        <v>54</v>
      </c>
      <c r="D2238" s="6" t="s">
        <v>100</v>
      </c>
      <c r="E2238" s="10" t="s">
        <v>2379</v>
      </c>
      <c r="F2238" s="6" t="s">
        <v>5089</v>
      </c>
      <c r="G2238" s="6" t="s">
        <v>81</v>
      </c>
      <c r="H2238" s="6" t="s">
        <v>7934</v>
      </c>
      <c r="I2238" s="6" t="s">
        <v>9457</v>
      </c>
      <c r="J2238" s="6" t="s">
        <v>9718</v>
      </c>
      <c r="K2238" s="6" t="s">
        <v>10886</v>
      </c>
      <c r="L2238" s="16" t="n">
        <v>43691</v>
      </c>
      <c r="M2238" s="16" t="n">
        <v>45716</v>
      </c>
      <c r="N2238" s="6" t="s">
        <v>10886</v>
      </c>
      <c r="O2238" s="16" t="n">
        <v>43691</v>
      </c>
      <c r="P2238" s="6" t="s">
        <v>10934</v>
      </c>
      <c r="Q2238" s="6" t="s">
        <v>81</v>
      </c>
      <c r="R2238" s="6" t="s">
        <v>81</v>
      </c>
      <c r="S2238" s="6" t="s">
        <v>10886</v>
      </c>
      <c r="T2238" s="16" t="n">
        <v>43707</v>
      </c>
      <c r="U2238" s="6" t="s">
        <v>13277</v>
      </c>
      <c r="V2238" s="6" t="s">
        <v>81</v>
      </c>
      <c r="W2238" s="6" t="s">
        <v>81</v>
      </c>
      <c r="X2238" s="6" t="s">
        <v>81</v>
      </c>
      <c r="Y2238" s="21" t="s">
        <v>81</v>
      </c>
      <c r="Z2238" s="6" t="s">
        <v>81</v>
      </c>
      <c r="AA2238" s="6" t="s">
        <v>81</v>
      </c>
      <c r="AB2238" s="6" t="s">
        <v>81</v>
      </c>
      <c r="AC2238" s="6" t="s">
        <v>81</v>
      </c>
      <c r="AD2238" s="21" t="s">
        <v>81</v>
      </c>
      <c r="AE2238" s="6" t="s">
        <v>81</v>
      </c>
      <c r="AF2238" s="6" t="s">
        <v>81</v>
      </c>
      <c r="AG2238" s="6" t="s">
        <v>81</v>
      </c>
      <c r="AH2238" s="6" t="s">
        <v>16784</v>
      </c>
      <c r="AI2238" s="6" t="s">
        <v>81</v>
      </c>
      <c r="AJ2238" s="6" t="s">
        <v>18238</v>
      </c>
      <c r="AK2238" s="6" t="s">
        <v>17712</v>
      </c>
      <c r="AL2238" s="6" t="s">
        <v>18444</v>
      </c>
      <c r="AM2238" s="6" t="s">
        <v>19454</v>
      </c>
      <c r="AN2238" s="6" t="s">
        <v>19657</v>
      </c>
      <c r="AO2238" s="6" t="s">
        <v>19751</v>
      </c>
      <c r="AP2238" s="6" t="s">
        <v>16784</v>
      </c>
      <c r="AQ2238" s="6" t="s">
        <v>81</v>
      </c>
      <c r="AR2238" s="6" t="s">
        <v>18238</v>
      </c>
      <c r="AS2238" s="6" t="s">
        <v>17712</v>
      </c>
      <c r="AT2238" s="6" t="s">
        <v>18444</v>
      </c>
      <c r="AU2238" s="6" t="s">
        <v>19454</v>
      </c>
      <c r="AV2238" s="6" t="s">
        <v>81</v>
      </c>
      <c r="AW2238" s="6" t="s">
        <v>81</v>
      </c>
      <c r="AX2238" s="6" t="s">
        <v>81</v>
      </c>
      <c r="AY2238" s="6" t="s">
        <v>81</v>
      </c>
      <c r="AZ2238" s="6" t="s">
        <v>81</v>
      </c>
      <c r="BA2238" s="6" t="s">
        <v>81</v>
      </c>
      <c r="BB2238" s="24" t="n">
        <v>56</v>
      </c>
      <c r="BC2238" s="26"/>
      <c r="BD2238" s="26"/>
      <c r="BE2238" s="26"/>
      <c r="BF2238" s="26"/>
      <c r="BG2238" s="26"/>
      <c r="BH2238" s="26"/>
      <c r="BI2238" s="26"/>
      <c r="BJ2238" s="26"/>
      <c r="BK2238" s="26"/>
      <c r="BL2238" s="26"/>
      <c r="BM2238" s="26"/>
      <c r="BN2238" s="26"/>
      <c r="BO2238" s="26"/>
      <c r="BP2238" s="16" t="n">
        <v>45595</v>
      </c>
      <c r="BQ2238" s="28" t="str">
        <f>HYPERLINK("https://organic.ams.usda.gov/Integrity/Certificate.aspx?cid=57&amp;nopid=3252019054")</f>
        <v>https://organic.ams.usda.gov/Integrity/Certificate.aspx?cid=57&amp;nopid=3252019054</v>
      </c>
    </row>
    <row r="2239">
      <c r="A2239" t="s">
        <v>3</v>
      </c>
      <c r="B2239" s="6" t="s">
        <v>13</v>
      </c>
      <c r="C2239" s="6" t="s">
        <v>60</v>
      </c>
      <c r="D2239" s="6" t="s">
        <v>106</v>
      </c>
      <c r="E2239" s="10" t="s">
        <v>2380</v>
      </c>
      <c r="F2239" s="6" t="s">
        <v>5090</v>
      </c>
      <c r="G2239" s="6" t="s">
        <v>81</v>
      </c>
      <c r="H2239" s="6" t="s">
        <v>6193</v>
      </c>
      <c r="I2239" s="6" t="s">
        <v>9457</v>
      </c>
      <c r="J2239" s="6" t="s">
        <v>9728</v>
      </c>
      <c r="K2239" s="6" t="s">
        <v>10886</v>
      </c>
      <c r="L2239" s="16" t="n">
        <v>41612</v>
      </c>
      <c r="M2239" s="16" t="n">
        <v>45992</v>
      </c>
      <c r="N2239" s="6" t="s">
        <v>10886</v>
      </c>
      <c r="O2239" s="16" t="n">
        <v>41612</v>
      </c>
      <c r="P2239" s="6" t="s">
        <v>11186</v>
      </c>
      <c r="Q2239" s="6" t="s">
        <v>81</v>
      </c>
      <c r="R2239" s="6" t="s">
        <v>13035</v>
      </c>
      <c r="S2239" s="6" t="s">
        <v>10886</v>
      </c>
      <c r="T2239" s="16" t="n">
        <v>41687</v>
      </c>
      <c r="U2239" s="6" t="s">
        <v>13837</v>
      </c>
      <c r="V2239" s="6" t="s">
        <v>81</v>
      </c>
      <c r="W2239" s="6" t="s">
        <v>13035</v>
      </c>
      <c r="X2239" s="6" t="s">
        <v>81</v>
      </c>
      <c r="Y2239" s="21" t="s">
        <v>81</v>
      </c>
      <c r="Z2239" s="6" t="s">
        <v>81</v>
      </c>
      <c r="AA2239" s="6" t="s">
        <v>81</v>
      </c>
      <c r="AB2239" s="6" t="s">
        <v>81</v>
      </c>
      <c r="AC2239" s="6" t="s">
        <v>81</v>
      </c>
      <c r="AD2239" s="21" t="s">
        <v>81</v>
      </c>
      <c r="AE2239" s="6" t="s">
        <v>81</v>
      </c>
      <c r="AF2239" s="6" t="s">
        <v>81</v>
      </c>
      <c r="AG2239" s="6" t="s">
        <v>81</v>
      </c>
      <c r="AH2239" s="6" t="s">
        <v>16785</v>
      </c>
      <c r="AI2239" s="6" t="s">
        <v>81</v>
      </c>
      <c r="AJ2239" s="6" t="s">
        <v>17392</v>
      </c>
      <c r="AK2239" s="6" t="s">
        <v>18379</v>
      </c>
      <c r="AL2239" s="6" t="s">
        <v>18444</v>
      </c>
      <c r="AM2239" s="6" t="s">
        <v>18548</v>
      </c>
      <c r="AN2239" s="6" t="s">
        <v>19637</v>
      </c>
      <c r="AO2239" s="6" t="s">
        <v>19723</v>
      </c>
      <c r="AP2239" s="6" t="s">
        <v>16785</v>
      </c>
      <c r="AQ2239" s="6" t="s">
        <v>81</v>
      </c>
      <c r="AR2239" s="6" t="s">
        <v>17392</v>
      </c>
      <c r="AS2239" s="6" t="s">
        <v>18379</v>
      </c>
      <c r="AT2239" s="6" t="s">
        <v>18444</v>
      </c>
      <c r="AU2239" s="6" t="s">
        <v>18548</v>
      </c>
      <c r="AV2239" s="6" t="s">
        <v>81</v>
      </c>
      <c r="AW2239" s="6" t="s">
        <v>81</v>
      </c>
      <c r="AX2239" s="6" t="s">
        <v>22218</v>
      </c>
      <c r="AY2239" s="6" t="s">
        <v>81</v>
      </c>
      <c r="AZ2239" s="6" t="s">
        <v>81</v>
      </c>
      <c r="BA2239" s="6" t="s">
        <v>81</v>
      </c>
      <c r="BB2239" s="24" t="n">
        <v>126</v>
      </c>
      <c r="BC2239" s="26"/>
      <c r="BD2239" s="26"/>
      <c r="BE2239" s="26"/>
      <c r="BF2239" s="26" t="s">
        <v>23900</v>
      </c>
      <c r="BG2239" s="26"/>
      <c r="BH2239" s="26"/>
      <c r="BI2239" s="26"/>
      <c r="BJ2239" s="26"/>
      <c r="BK2239" s="26"/>
      <c r="BL2239" s="26"/>
      <c r="BM2239" s="26"/>
      <c r="BN2239" s="26"/>
      <c r="BO2239" s="26"/>
      <c r="BP2239" s="16" t="n">
        <v>45663</v>
      </c>
      <c r="BQ2239" s="28" t="str">
        <f>HYPERLINK("https://organic.ams.usda.gov/Integrity/Certificate.aspx?cid=72&amp;nopid=5870001726")</f>
        <v>https://organic.ams.usda.gov/Integrity/Certificate.aspx?cid=72&amp;nopid=5870001726</v>
      </c>
    </row>
    <row r="2240">
      <c r="A2240" t="s">
        <v>3</v>
      </c>
      <c r="B2240" s="6" t="s">
        <v>11</v>
      </c>
      <c r="C2240" s="6" t="s">
        <v>58</v>
      </c>
      <c r="D2240" s="6" t="s">
        <v>104</v>
      </c>
      <c r="E2240" s="10" t="s">
        <v>2381</v>
      </c>
      <c r="F2240" s="6" t="s">
        <v>5091</v>
      </c>
      <c r="G2240" s="6" t="s">
        <v>81</v>
      </c>
      <c r="H2240" s="6" t="s">
        <v>81</v>
      </c>
      <c r="I2240" s="6" t="s">
        <v>9376</v>
      </c>
      <c r="J2240" s="6" t="s">
        <v>10684</v>
      </c>
      <c r="K2240" s="6" t="s">
        <v>10886</v>
      </c>
      <c r="L2240" s="16" t="n">
        <v>43358</v>
      </c>
      <c r="M2240" s="16" t="n">
        <v>45383</v>
      </c>
      <c r="N2240" s="6" t="s">
        <v>10886</v>
      </c>
      <c r="O2240" s="16" t="n">
        <v>43358</v>
      </c>
      <c r="P2240" s="6" t="s">
        <v>12153</v>
      </c>
      <c r="Q2240" s="6" t="s">
        <v>81</v>
      </c>
      <c r="R2240" s="6" t="s">
        <v>81</v>
      </c>
      <c r="S2240" s="6" t="s">
        <v>10886</v>
      </c>
      <c r="T2240" s="16" t="n">
        <v>43830</v>
      </c>
      <c r="U2240" s="6" t="s">
        <v>13165</v>
      </c>
      <c r="V2240" s="6" t="s">
        <v>81</v>
      </c>
      <c r="W2240" s="6" t="s">
        <v>81</v>
      </c>
      <c r="X2240" s="6" t="s">
        <v>81</v>
      </c>
      <c r="Y2240" s="21" t="s">
        <v>81</v>
      </c>
      <c r="Z2240" s="6" t="s">
        <v>81</v>
      </c>
      <c r="AA2240" s="6" t="s">
        <v>81</v>
      </c>
      <c r="AB2240" s="6" t="s">
        <v>81</v>
      </c>
      <c r="AC2240" s="6" t="s">
        <v>81</v>
      </c>
      <c r="AD2240" s="21" t="s">
        <v>81</v>
      </c>
      <c r="AE2240" s="6" t="s">
        <v>81</v>
      </c>
      <c r="AF2240" s="6" t="s">
        <v>81</v>
      </c>
      <c r="AG2240" s="6" t="s">
        <v>81</v>
      </c>
      <c r="AH2240" s="6" t="s">
        <v>16786</v>
      </c>
      <c r="AI2240" s="6" t="s">
        <v>81</v>
      </c>
      <c r="AJ2240" s="6" t="s">
        <v>18141</v>
      </c>
      <c r="AK2240" s="6" t="s">
        <v>18381</v>
      </c>
      <c r="AL2240" s="6" t="s">
        <v>18444</v>
      </c>
      <c r="AM2240" s="6" t="s">
        <v>19343</v>
      </c>
      <c r="AN2240" s="6" t="s">
        <v>19658</v>
      </c>
      <c r="AO2240" s="6" t="s">
        <v>19752</v>
      </c>
      <c r="AP2240" s="6" t="s">
        <v>16786</v>
      </c>
      <c r="AQ2240" s="6" t="s">
        <v>81</v>
      </c>
      <c r="AR2240" s="6" t="s">
        <v>18141</v>
      </c>
      <c r="AS2240" s="6" t="s">
        <v>18381</v>
      </c>
      <c r="AT2240" s="6" t="s">
        <v>18444</v>
      </c>
      <c r="AU2240" s="6" t="s">
        <v>19343</v>
      </c>
      <c r="AV2240" s="6" t="s">
        <v>81</v>
      </c>
      <c r="AW2240" s="6" t="s">
        <v>81</v>
      </c>
      <c r="AX2240" s="6" t="s">
        <v>81</v>
      </c>
      <c r="AY2240" s="6" t="s">
        <v>81</v>
      </c>
      <c r="AZ2240" s="6" t="s">
        <v>81</v>
      </c>
      <c r="BA2240" s="6" t="s">
        <v>23881</v>
      </c>
      <c r="BB2240" s="24" t="n">
        <v>144</v>
      </c>
      <c r="BC2240" s="26"/>
      <c r="BD2240" s="26"/>
      <c r="BE2240" s="26"/>
      <c r="BF2240" s="26"/>
      <c r="BG2240" s="26"/>
      <c r="BH2240" s="26"/>
      <c r="BI2240" s="26"/>
      <c r="BJ2240" s="26"/>
      <c r="BK2240" s="26"/>
      <c r="BL2240" s="26"/>
      <c r="BM2240" s="26"/>
      <c r="BN2240" s="26"/>
      <c r="BO2240" s="26"/>
      <c r="BP2240" s="16" t="n">
        <v>45443</v>
      </c>
      <c r="BQ2240" s="28" t="str">
        <f>HYPERLINK("https://organic.ams.usda.gov/Integrity/Certificate.aspx?cid=46&amp;nopid=3671800062")</f>
        <v>https://organic.ams.usda.gov/Integrity/Certificate.aspx?cid=46&amp;nopid=3671800062</v>
      </c>
    </row>
    <row r="2241">
      <c r="A2241" t="s">
        <v>3</v>
      </c>
      <c r="B2241" s="6" t="s">
        <v>8</v>
      </c>
      <c r="C2241" s="6" t="s">
        <v>55</v>
      </c>
      <c r="D2241" s="6" t="s">
        <v>101</v>
      </c>
      <c r="E2241" s="10" t="s">
        <v>2382</v>
      </c>
      <c r="F2241" s="6" t="s">
        <v>5092</v>
      </c>
      <c r="G2241" s="6" t="s">
        <v>81</v>
      </c>
      <c r="H2241" s="6" t="s">
        <v>7935</v>
      </c>
      <c r="I2241" s="6" t="s">
        <v>9376</v>
      </c>
      <c r="J2241" s="6" t="s">
        <v>10685</v>
      </c>
      <c r="K2241" s="6" t="s">
        <v>10886</v>
      </c>
      <c r="L2241" s="16" t="n">
        <v>42338</v>
      </c>
      <c r="M2241" s="16" t="n">
        <v>45383</v>
      </c>
      <c r="N2241" s="6" t="s">
        <v>10886</v>
      </c>
      <c r="O2241" s="16" t="n">
        <v>42338</v>
      </c>
      <c r="P2241" s="6" t="s">
        <v>12154</v>
      </c>
      <c r="Q2241" s="6" t="s">
        <v>81</v>
      </c>
      <c r="R2241" s="6" t="s">
        <v>7935</v>
      </c>
      <c r="S2241" s="6" t="s">
        <v>10886</v>
      </c>
      <c r="T2241" s="16" t="n">
        <v>42338</v>
      </c>
      <c r="U2241" s="6" t="s">
        <v>13357</v>
      </c>
      <c r="V2241" s="6" t="s">
        <v>81</v>
      </c>
      <c r="W2241" s="6" t="s">
        <v>7935</v>
      </c>
      <c r="X2241" s="6" t="s">
        <v>81</v>
      </c>
      <c r="Y2241" s="21" t="s">
        <v>81</v>
      </c>
      <c r="Z2241" s="6" t="s">
        <v>81</v>
      </c>
      <c r="AA2241" s="6" t="s">
        <v>81</v>
      </c>
      <c r="AB2241" s="6" t="s">
        <v>81</v>
      </c>
      <c r="AC2241" s="6" t="s">
        <v>81</v>
      </c>
      <c r="AD2241" s="21" t="s">
        <v>81</v>
      </c>
      <c r="AE2241" s="6" t="s">
        <v>81</v>
      </c>
      <c r="AF2241" s="6" t="s">
        <v>81</v>
      </c>
      <c r="AG2241" s="6" t="s">
        <v>81</v>
      </c>
      <c r="AH2241" s="6" t="s">
        <v>16787</v>
      </c>
      <c r="AI2241" s="6" t="s">
        <v>81</v>
      </c>
      <c r="AJ2241" s="6" t="s">
        <v>17312</v>
      </c>
      <c r="AK2241" s="6" t="s">
        <v>18377</v>
      </c>
      <c r="AL2241" s="6" t="s">
        <v>18444</v>
      </c>
      <c r="AM2241" s="6" t="s">
        <v>18464</v>
      </c>
      <c r="AN2241" s="6" t="s">
        <v>19635</v>
      </c>
      <c r="AO2241" s="6" t="s">
        <v>19720</v>
      </c>
      <c r="AP2241" s="6" t="s">
        <v>81</v>
      </c>
      <c r="AQ2241" s="6" t="s">
        <v>81</v>
      </c>
      <c r="AR2241" s="6" t="s">
        <v>81</v>
      </c>
      <c r="AS2241" s="6" t="s">
        <v>81</v>
      </c>
      <c r="AT2241" s="6" t="s">
        <v>81</v>
      </c>
      <c r="AU2241" s="6" t="s">
        <v>81</v>
      </c>
      <c r="AV2241" s="6" t="s">
        <v>81</v>
      </c>
      <c r="AW2241" s="6" t="s">
        <v>81</v>
      </c>
      <c r="AX2241" s="6" t="s">
        <v>81</v>
      </c>
      <c r="AY2241" s="6" t="s">
        <v>23355</v>
      </c>
      <c r="AZ2241" s="6" t="s">
        <v>81</v>
      </c>
      <c r="BA2241" s="6" t="s">
        <v>23819</v>
      </c>
      <c r="BB2241" s="24" t="n">
        <v>199</v>
      </c>
      <c r="BC2241" s="26"/>
      <c r="BD2241" s="26"/>
      <c r="BE2241" s="26"/>
      <c r="BF2241" s="26" t="s">
        <v>23900</v>
      </c>
      <c r="BG2241" s="26"/>
      <c r="BH2241" s="26"/>
      <c r="BI2241" s="26"/>
      <c r="BJ2241" s="26"/>
      <c r="BK2241" s="26"/>
      <c r="BL2241" s="26"/>
      <c r="BM2241" s="26"/>
      <c r="BN2241" s="26"/>
      <c r="BO2241" s="26"/>
      <c r="BP2241" s="16" t="n">
        <v>45446</v>
      </c>
      <c r="BQ2241" s="28" t="str">
        <f>HYPERLINK("https://organic.ams.usda.gov/Integrity/Certificate.aspx?cid=45&amp;nopid=9950007894")</f>
        <v>https://organic.ams.usda.gov/Integrity/Certificate.aspx?cid=45&amp;nopid=9950007894</v>
      </c>
    </row>
    <row r="2242">
      <c r="A2242" t="s">
        <v>3</v>
      </c>
      <c r="B2242" s="6" t="s">
        <v>15</v>
      </c>
      <c r="C2242" s="6" t="s">
        <v>62</v>
      </c>
      <c r="D2242" s="6" t="s">
        <v>108</v>
      </c>
      <c r="E2242" s="10" t="s">
        <v>2383</v>
      </c>
      <c r="F2242" s="6" t="s">
        <v>5093</v>
      </c>
      <c r="G2242" s="6" t="s">
        <v>5831</v>
      </c>
      <c r="H2242" s="6" t="s">
        <v>7936</v>
      </c>
      <c r="I2242" s="6" t="s">
        <v>8956</v>
      </c>
      <c r="J2242" s="6" t="s">
        <v>10686</v>
      </c>
      <c r="K2242" s="6" t="s">
        <v>10886</v>
      </c>
      <c r="L2242" s="16" t="n">
        <v>39720</v>
      </c>
      <c r="M2242" s="16" t="n">
        <v>46157</v>
      </c>
      <c r="N2242" s="6" t="s">
        <v>10886</v>
      </c>
      <c r="O2242" s="16" t="n">
        <v>39720</v>
      </c>
      <c r="P2242" s="6" t="s">
        <v>12155</v>
      </c>
      <c r="Q2242" s="6" t="s">
        <v>81</v>
      </c>
      <c r="R2242" s="6" t="s">
        <v>81</v>
      </c>
      <c r="S2242" s="6" t="s">
        <v>10886</v>
      </c>
      <c r="T2242" s="16" t="n">
        <v>39720</v>
      </c>
      <c r="U2242" s="6" t="s">
        <v>13460</v>
      </c>
      <c r="V2242" s="6" t="s">
        <v>81</v>
      </c>
      <c r="W2242" s="6" t="s">
        <v>81</v>
      </c>
      <c r="X2242" s="6" t="s">
        <v>81</v>
      </c>
      <c r="Y2242" s="21" t="s">
        <v>81</v>
      </c>
      <c r="Z2242" s="6" t="s">
        <v>81</v>
      </c>
      <c r="AA2242" s="6" t="s">
        <v>81</v>
      </c>
      <c r="AB2242" s="6" t="s">
        <v>81</v>
      </c>
      <c r="AC2242" s="6" t="s">
        <v>81</v>
      </c>
      <c r="AD2242" s="21" t="s">
        <v>81</v>
      </c>
      <c r="AE2242" s="6" t="s">
        <v>81</v>
      </c>
      <c r="AF2242" s="6" t="s">
        <v>81</v>
      </c>
      <c r="AG2242" s="6" t="s">
        <v>81</v>
      </c>
      <c r="AH2242" s="6" t="s">
        <v>16788</v>
      </c>
      <c r="AI2242" s="6" t="s">
        <v>81</v>
      </c>
      <c r="AJ2242" s="6" t="s">
        <v>18254</v>
      </c>
      <c r="AK2242" s="6" t="s">
        <v>18378</v>
      </c>
      <c r="AL2242" s="6" t="s">
        <v>18444</v>
      </c>
      <c r="AM2242" s="6" t="s">
        <v>19477</v>
      </c>
      <c r="AN2242" s="6" t="s">
        <v>7450</v>
      </c>
      <c r="AO2242" s="6" t="s">
        <v>19920</v>
      </c>
      <c r="AP2242" s="6" t="s">
        <v>16788</v>
      </c>
      <c r="AQ2242" s="6" t="s">
        <v>81</v>
      </c>
      <c r="AR2242" s="6" t="s">
        <v>18254</v>
      </c>
      <c r="AS2242" s="6" t="s">
        <v>18378</v>
      </c>
      <c r="AT2242" s="6" t="s">
        <v>18444</v>
      </c>
      <c r="AU2242" s="6" t="s">
        <v>19477</v>
      </c>
      <c r="AV2242" s="6" t="s">
        <v>81</v>
      </c>
      <c r="AW2242" s="6" t="s">
        <v>81</v>
      </c>
      <c r="AX2242" s="6" t="s">
        <v>22219</v>
      </c>
      <c r="AY2242" s="6" t="s">
        <v>23356</v>
      </c>
      <c r="AZ2242" s="6" t="s">
        <v>81</v>
      </c>
      <c r="BA2242" s="6" t="s">
        <v>81</v>
      </c>
      <c r="BB2242" s="24" t="n">
        <v>290</v>
      </c>
      <c r="BC2242" s="26"/>
      <c r="BD2242" s="26"/>
      <c r="BE2242" s="26"/>
      <c r="BF2242" s="26" t="s">
        <v>23900</v>
      </c>
      <c r="BG2242" s="26"/>
      <c r="BH2242" s="26"/>
      <c r="BI2242" s="26"/>
      <c r="BJ2242" s="26"/>
      <c r="BK2242" s="26"/>
      <c r="BL2242" s="26"/>
      <c r="BM2242" s="26"/>
      <c r="BN2242" s="26"/>
      <c r="BO2242" s="26"/>
      <c r="BP2242" s="16" t="n">
        <v>45737</v>
      </c>
      <c r="BQ2242" s="28" t="str">
        <f>HYPERLINK("https://organic.ams.usda.gov/Integrity/Certificate.aspx?cid=58&amp;nopid=1600001455")</f>
        <v>https://organic.ams.usda.gov/Integrity/Certificate.aspx?cid=58&amp;nopid=1600001455</v>
      </c>
    </row>
    <row r="2243">
      <c r="A2243" t="s">
        <v>3</v>
      </c>
      <c r="B2243" s="6" t="s">
        <v>23</v>
      </c>
      <c r="C2243" s="6" t="s">
        <v>70</v>
      </c>
      <c r="D2243" s="6" t="s">
        <v>116</v>
      </c>
      <c r="E2243" s="10" t="s">
        <v>2384</v>
      </c>
      <c r="F2243" s="6" t="s">
        <v>5094</v>
      </c>
      <c r="G2243" s="6" t="s">
        <v>81</v>
      </c>
      <c r="H2243" s="6" t="s">
        <v>7937</v>
      </c>
      <c r="I2243" s="6" t="s">
        <v>9467</v>
      </c>
      <c r="J2243" s="6" t="s">
        <v>10687</v>
      </c>
      <c r="K2243" s="6" t="s">
        <v>10886</v>
      </c>
      <c r="L2243" s="16" t="n">
        <v>41569</v>
      </c>
      <c r="M2243" s="16" t="n">
        <v>45587</v>
      </c>
      <c r="N2243" s="6" t="s">
        <v>10886</v>
      </c>
      <c r="O2243" s="16" t="n">
        <v>41569</v>
      </c>
      <c r="P2243" s="6" t="s">
        <v>11076</v>
      </c>
      <c r="Q2243" s="6" t="s">
        <v>81</v>
      </c>
      <c r="R2243" s="6" t="s">
        <v>13036</v>
      </c>
      <c r="S2243" s="6" t="s">
        <v>10886</v>
      </c>
      <c r="T2243" s="16" t="n">
        <v>41569</v>
      </c>
      <c r="U2243" s="6" t="s">
        <v>13298</v>
      </c>
      <c r="V2243" s="6" t="s">
        <v>81</v>
      </c>
      <c r="W2243" s="6" t="s">
        <v>13036</v>
      </c>
      <c r="X2243" s="6" t="s">
        <v>81</v>
      </c>
      <c r="Y2243" s="21" t="s">
        <v>81</v>
      </c>
      <c r="Z2243" s="6" t="s">
        <v>81</v>
      </c>
      <c r="AA2243" s="6" t="s">
        <v>81</v>
      </c>
      <c r="AB2243" s="6" t="s">
        <v>81</v>
      </c>
      <c r="AC2243" s="6" t="s">
        <v>81</v>
      </c>
      <c r="AD2243" s="21" t="s">
        <v>81</v>
      </c>
      <c r="AE2243" s="6" t="s">
        <v>81</v>
      </c>
      <c r="AF2243" s="6" t="s">
        <v>81</v>
      </c>
      <c r="AG2243" s="6" t="s">
        <v>81</v>
      </c>
      <c r="AH2243" s="6" t="s">
        <v>81</v>
      </c>
      <c r="AI2243" s="6" t="s">
        <v>81</v>
      </c>
      <c r="AJ2243" s="6" t="s">
        <v>81</v>
      </c>
      <c r="AK2243" s="6" t="s">
        <v>81</v>
      </c>
      <c r="AL2243" s="6" t="s">
        <v>81</v>
      </c>
      <c r="AM2243" s="6" t="s">
        <v>81</v>
      </c>
      <c r="AN2243" s="6" t="s">
        <v>81</v>
      </c>
      <c r="AO2243" s="6" t="s">
        <v>81</v>
      </c>
      <c r="AP2243" s="6" t="s">
        <v>20411</v>
      </c>
      <c r="AQ2243" s="6" t="s">
        <v>81</v>
      </c>
      <c r="AR2243" s="6" t="s">
        <v>17954</v>
      </c>
      <c r="AS2243" s="6" t="s">
        <v>18386</v>
      </c>
      <c r="AT2243" s="6" t="s">
        <v>18444</v>
      </c>
      <c r="AU2243" s="6" t="s">
        <v>18760</v>
      </c>
      <c r="AV2243" s="6" t="s">
        <v>19672</v>
      </c>
      <c r="AW2243" s="6" t="s">
        <v>19787</v>
      </c>
      <c r="AX2243" s="6" t="s">
        <v>22220</v>
      </c>
      <c r="AY2243" s="6" t="s">
        <v>23357</v>
      </c>
      <c r="AZ2243" s="6" t="s">
        <v>81</v>
      </c>
      <c r="BA2243" s="6" t="s">
        <v>81</v>
      </c>
      <c r="BB2243" s="24" t="n">
        <v>1473</v>
      </c>
      <c r="BC2243" s="26"/>
      <c r="BD2243" s="26"/>
      <c r="BE2243" s="26"/>
      <c r="BF2243" s="26"/>
      <c r="BG2243" s="26"/>
      <c r="BH2243" s="26"/>
      <c r="BI2243" s="26"/>
      <c r="BJ2243" s="26"/>
      <c r="BK2243" s="26"/>
      <c r="BL2243" s="26"/>
      <c r="BM2243" s="26"/>
      <c r="BN2243" s="26"/>
      <c r="BO2243" s="26"/>
      <c r="BP2243" s="16" t="n">
        <v>45463</v>
      </c>
      <c r="BQ2243" s="28" t="str">
        <f>HYPERLINK("https://organic.ams.usda.gov/Integrity/Certificate.aspx?cid=63&amp;nopid=6220005884")</f>
        <v>https://organic.ams.usda.gov/Integrity/Certificate.aspx?cid=63&amp;nopid=6220005884</v>
      </c>
    </row>
    <row r="2244">
      <c r="A2244" t="s">
        <v>3</v>
      </c>
      <c r="B2244" s="6" t="s">
        <v>12</v>
      </c>
      <c r="C2244" s="6" t="s">
        <v>59</v>
      </c>
      <c r="D2244" s="6" t="s">
        <v>105</v>
      </c>
      <c r="E2244" s="10" t="s">
        <v>2385</v>
      </c>
      <c r="F2244" s="6" t="s">
        <v>5095</v>
      </c>
      <c r="G2244" s="6" t="s">
        <v>81</v>
      </c>
      <c r="H2244" s="6" t="s">
        <v>7938</v>
      </c>
      <c r="I2244" s="6" t="s">
        <v>9317</v>
      </c>
      <c r="J2244" s="6" t="s">
        <v>10688</v>
      </c>
      <c r="K2244" s="6" t="s">
        <v>10886</v>
      </c>
      <c r="L2244" s="16" t="n">
        <v>42675</v>
      </c>
      <c r="M2244" s="16" t="n">
        <v>45717</v>
      </c>
      <c r="N2244" s="6" t="s">
        <v>10886</v>
      </c>
      <c r="O2244" s="16" t="n">
        <v>42675</v>
      </c>
      <c r="P2244" s="6" t="s">
        <v>12156</v>
      </c>
      <c r="Q2244" s="6" t="s">
        <v>81</v>
      </c>
      <c r="R2244" s="6" t="s">
        <v>81</v>
      </c>
      <c r="S2244" s="6" t="s">
        <v>10886</v>
      </c>
      <c r="T2244" s="16" t="n">
        <v>42675</v>
      </c>
      <c r="U2244" s="6" t="s">
        <v>13838</v>
      </c>
      <c r="V2244" s="6" t="s">
        <v>81</v>
      </c>
      <c r="W2244" s="6" t="s">
        <v>81</v>
      </c>
      <c r="X2244" s="6" t="s">
        <v>81</v>
      </c>
      <c r="Y2244" s="21" t="s">
        <v>81</v>
      </c>
      <c r="Z2244" s="6" t="s">
        <v>81</v>
      </c>
      <c r="AA2244" s="6" t="s">
        <v>81</v>
      </c>
      <c r="AB2244" s="6" t="s">
        <v>81</v>
      </c>
      <c r="AC2244" s="6" t="s">
        <v>81</v>
      </c>
      <c r="AD2244" s="21" t="s">
        <v>81</v>
      </c>
      <c r="AE2244" s="6" t="s">
        <v>81</v>
      </c>
      <c r="AF2244" s="6" t="s">
        <v>81</v>
      </c>
      <c r="AG2244" s="6" t="s">
        <v>81</v>
      </c>
      <c r="AH2244" s="6" t="s">
        <v>16789</v>
      </c>
      <c r="AI2244" s="6" t="s">
        <v>81</v>
      </c>
      <c r="AJ2244" s="6" t="s">
        <v>17458</v>
      </c>
      <c r="AK2244" s="6" t="s">
        <v>18380</v>
      </c>
      <c r="AL2244" s="6" t="s">
        <v>18444</v>
      </c>
      <c r="AM2244" s="6" t="s">
        <v>18617</v>
      </c>
      <c r="AN2244" s="6" t="s">
        <v>19681</v>
      </c>
      <c r="AO2244" s="6" t="s">
        <v>19805</v>
      </c>
      <c r="AP2244" s="6" t="s">
        <v>16789</v>
      </c>
      <c r="AQ2244" s="6" t="s">
        <v>81</v>
      </c>
      <c r="AR2244" s="6" t="s">
        <v>17458</v>
      </c>
      <c r="AS2244" s="6" t="s">
        <v>18380</v>
      </c>
      <c r="AT2244" s="6" t="s">
        <v>18444</v>
      </c>
      <c r="AU2244" s="6" t="s">
        <v>18617</v>
      </c>
      <c r="AV2244" s="6" t="s">
        <v>81</v>
      </c>
      <c r="AW2244" s="6" t="s">
        <v>81</v>
      </c>
      <c r="AX2244" s="6" t="s">
        <v>22221</v>
      </c>
      <c r="AY2244" s="6" t="s">
        <v>81</v>
      </c>
      <c r="AZ2244" s="6" t="s">
        <v>81</v>
      </c>
      <c r="BA2244" s="6" t="s">
        <v>81</v>
      </c>
      <c r="BB2244" s="24" t="n">
        <v>384</v>
      </c>
      <c r="BC2244" s="26"/>
      <c r="BD2244" s="26"/>
      <c r="BE2244" s="26"/>
      <c r="BF2244" s="26"/>
      <c r="BG2244" s="26"/>
      <c r="BH2244" s="26"/>
      <c r="BI2244" s="26"/>
      <c r="BJ2244" s="26"/>
      <c r="BK2244" s="26"/>
      <c r="BL2244" s="26"/>
      <c r="BM2244" s="26"/>
      <c r="BN2244" s="26"/>
      <c r="BO2244" s="26"/>
      <c r="BP2244" s="16" t="n">
        <v>45720</v>
      </c>
      <c r="BQ2244" s="28" t="str">
        <f>HYPERLINK("https://organic.ams.usda.gov/Integrity/Certificate.aspx?cid=68&amp;nopid=8210003349")</f>
        <v>https://organic.ams.usda.gov/Integrity/Certificate.aspx?cid=68&amp;nopid=8210003349</v>
      </c>
    </row>
    <row r="2245">
      <c r="A2245" t="s">
        <v>3</v>
      </c>
      <c r="B2245" s="6" t="s">
        <v>29</v>
      </c>
      <c r="C2245" s="6" t="s">
        <v>76</v>
      </c>
      <c r="D2245" s="6" t="s">
        <v>122</v>
      </c>
      <c r="E2245" s="10" t="s">
        <v>2386</v>
      </c>
      <c r="F2245" s="6" t="s">
        <v>5096</v>
      </c>
      <c r="G2245" s="6" t="s">
        <v>81</v>
      </c>
      <c r="H2245" s="6" t="s">
        <v>7939</v>
      </c>
      <c r="I2245" s="6" t="s">
        <v>9468</v>
      </c>
      <c r="J2245" s="6" t="s">
        <v>10689</v>
      </c>
      <c r="K2245" s="6" t="s">
        <v>10886</v>
      </c>
      <c r="L2245" s="16" t="n">
        <v>42163</v>
      </c>
      <c r="M2245" s="16" t="n">
        <v>45870</v>
      </c>
      <c r="N2245" s="6" t="s">
        <v>10886</v>
      </c>
      <c r="O2245" s="16" t="n">
        <v>42163</v>
      </c>
      <c r="P2245" s="6" t="s">
        <v>12157</v>
      </c>
      <c r="Q2245" s="6" t="s">
        <v>81</v>
      </c>
      <c r="R2245" s="6" t="s">
        <v>13037</v>
      </c>
      <c r="S2245" s="6" t="s">
        <v>10886</v>
      </c>
      <c r="T2245" s="16" t="n">
        <v>42566</v>
      </c>
      <c r="U2245" s="6" t="s">
        <v>13243</v>
      </c>
      <c r="V2245" s="6" t="s">
        <v>81</v>
      </c>
      <c r="W2245" s="6" t="s">
        <v>13037</v>
      </c>
      <c r="X2245" s="6" t="s">
        <v>81</v>
      </c>
      <c r="Y2245" s="21" t="s">
        <v>81</v>
      </c>
      <c r="Z2245" s="6" t="s">
        <v>81</v>
      </c>
      <c r="AA2245" s="6" t="s">
        <v>81</v>
      </c>
      <c r="AB2245" s="6" t="s">
        <v>81</v>
      </c>
      <c r="AC2245" s="6" t="s">
        <v>81</v>
      </c>
      <c r="AD2245" s="21" t="s">
        <v>81</v>
      </c>
      <c r="AE2245" s="6" t="s">
        <v>81</v>
      </c>
      <c r="AF2245" s="6" t="s">
        <v>81</v>
      </c>
      <c r="AG2245" s="6" t="s">
        <v>81</v>
      </c>
      <c r="AH2245" s="6" t="s">
        <v>16790</v>
      </c>
      <c r="AI2245" s="6" t="s">
        <v>81</v>
      </c>
      <c r="AJ2245" s="6" t="s">
        <v>17827</v>
      </c>
      <c r="AK2245" s="6" t="s">
        <v>18391</v>
      </c>
      <c r="AL2245" s="6" t="s">
        <v>18444</v>
      </c>
      <c r="AM2245" s="6" t="s">
        <v>19007</v>
      </c>
      <c r="AN2245" s="6" t="s">
        <v>19661</v>
      </c>
      <c r="AO2245" s="6" t="s">
        <v>19947</v>
      </c>
      <c r="AP2245" s="6" t="s">
        <v>81</v>
      </c>
      <c r="AQ2245" s="6" t="s">
        <v>81</v>
      </c>
      <c r="AR2245" s="6" t="s">
        <v>81</v>
      </c>
      <c r="AS2245" s="6" t="s">
        <v>81</v>
      </c>
      <c r="AT2245" s="6" t="s">
        <v>81</v>
      </c>
      <c r="AU2245" s="6" t="s">
        <v>81</v>
      </c>
      <c r="AV2245" s="6" t="s">
        <v>81</v>
      </c>
      <c r="AW2245" s="6" t="s">
        <v>81</v>
      </c>
      <c r="AX2245" s="6" t="s">
        <v>22222</v>
      </c>
      <c r="AY2245" s="6" t="s">
        <v>23358</v>
      </c>
      <c r="AZ2245" s="6" t="s">
        <v>81</v>
      </c>
      <c r="BA2245" s="6" t="s">
        <v>81</v>
      </c>
      <c r="BB2245" s="24" t="n">
        <v>348</v>
      </c>
      <c r="BC2245" s="26"/>
      <c r="BD2245" s="26"/>
      <c r="BE2245" s="26"/>
      <c r="BF2245" s="26" t="s">
        <v>23900</v>
      </c>
      <c r="BG2245" s="26"/>
      <c r="BH2245" s="26"/>
      <c r="BI2245" s="26"/>
      <c r="BJ2245" s="26"/>
      <c r="BK2245" s="26"/>
      <c r="BL2245" s="26"/>
      <c r="BM2245" s="26"/>
      <c r="BN2245" s="26"/>
      <c r="BO2245" s="26"/>
      <c r="BP2245" s="16" t="n">
        <v>45737</v>
      </c>
      <c r="BQ2245" s="28" t="str">
        <f>HYPERLINK("https://organic.ams.usda.gov/Integrity/Certificate.aspx?cid=31&amp;nopid=3928971475")</f>
        <v>https://organic.ams.usda.gov/Integrity/Certificate.aspx?cid=31&amp;nopid=3928971475</v>
      </c>
    </row>
    <row r="2246">
      <c r="A2246" t="s">
        <v>3</v>
      </c>
      <c r="B2246" s="6" t="s">
        <v>29</v>
      </c>
      <c r="C2246" s="6" t="s">
        <v>76</v>
      </c>
      <c r="D2246" s="6" t="s">
        <v>122</v>
      </c>
      <c r="E2246" s="10" t="s">
        <v>2387</v>
      </c>
      <c r="F2246" s="6" t="s">
        <v>5097</v>
      </c>
      <c r="G2246" s="6" t="s">
        <v>81</v>
      </c>
      <c r="H2246" s="6" t="s">
        <v>7940</v>
      </c>
      <c r="I2246" s="6" t="s">
        <v>9469</v>
      </c>
      <c r="J2246" s="6" t="s">
        <v>9671</v>
      </c>
      <c r="K2246" s="6" t="s">
        <v>10886</v>
      </c>
      <c r="L2246" s="16" t="n">
        <v>41426</v>
      </c>
      <c r="M2246" s="16" t="n">
        <v>45870</v>
      </c>
      <c r="N2246" s="6" t="s">
        <v>10886</v>
      </c>
      <c r="O2246" s="16" t="n">
        <v>41426</v>
      </c>
      <c r="P2246" s="6" t="s">
        <v>12158</v>
      </c>
      <c r="Q2246" s="6" t="s">
        <v>81</v>
      </c>
      <c r="R2246" s="6" t="s">
        <v>13038</v>
      </c>
      <c r="S2246" s="6" t="s">
        <v>10886</v>
      </c>
      <c r="T2246" s="16" t="n">
        <v>41426</v>
      </c>
      <c r="U2246" s="6" t="s">
        <v>13366</v>
      </c>
      <c r="V2246" s="6" t="s">
        <v>81</v>
      </c>
      <c r="W2246" s="6" t="s">
        <v>13038</v>
      </c>
      <c r="X2246" s="6" t="s">
        <v>81</v>
      </c>
      <c r="Y2246" s="21" t="s">
        <v>81</v>
      </c>
      <c r="Z2246" s="6" t="s">
        <v>81</v>
      </c>
      <c r="AA2246" s="6" t="s">
        <v>81</v>
      </c>
      <c r="AB2246" s="6" t="s">
        <v>81</v>
      </c>
      <c r="AC2246" s="6" t="s">
        <v>81</v>
      </c>
      <c r="AD2246" s="21" t="s">
        <v>81</v>
      </c>
      <c r="AE2246" s="6" t="s">
        <v>81</v>
      </c>
      <c r="AF2246" s="6" t="s">
        <v>81</v>
      </c>
      <c r="AG2246" s="6" t="s">
        <v>81</v>
      </c>
      <c r="AH2246" s="6" t="s">
        <v>16791</v>
      </c>
      <c r="AI2246" s="6" t="s">
        <v>81</v>
      </c>
      <c r="AJ2246" s="6" t="s">
        <v>17417</v>
      </c>
      <c r="AK2246" s="6" t="s">
        <v>18380</v>
      </c>
      <c r="AL2246" s="6" t="s">
        <v>18444</v>
      </c>
      <c r="AM2246" s="6" t="s">
        <v>18574</v>
      </c>
      <c r="AN2246" s="6" t="s">
        <v>19639</v>
      </c>
      <c r="AO2246" s="6" t="s">
        <v>19725</v>
      </c>
      <c r="AP2246" s="6" t="s">
        <v>81</v>
      </c>
      <c r="AQ2246" s="6" t="s">
        <v>81</v>
      </c>
      <c r="AR2246" s="6" t="s">
        <v>81</v>
      </c>
      <c r="AS2246" s="6" t="s">
        <v>81</v>
      </c>
      <c r="AT2246" s="6" t="s">
        <v>81</v>
      </c>
      <c r="AU2246" s="6" t="s">
        <v>81</v>
      </c>
      <c r="AV2246" s="6" t="s">
        <v>81</v>
      </c>
      <c r="AW2246" s="6" t="s">
        <v>81</v>
      </c>
      <c r="AX2246" s="6" t="s">
        <v>22223</v>
      </c>
      <c r="AY2246" s="6" t="s">
        <v>23359</v>
      </c>
      <c r="AZ2246" s="6" t="s">
        <v>81</v>
      </c>
      <c r="BA2246" s="6" t="s">
        <v>81</v>
      </c>
      <c r="BB2246" s="24" t="n">
        <v>80</v>
      </c>
      <c r="BC2246" s="26"/>
      <c r="BD2246" s="26"/>
      <c r="BE2246" s="26"/>
      <c r="BF2246" s="26" t="s">
        <v>23900</v>
      </c>
      <c r="BG2246" s="26"/>
      <c r="BH2246" s="26"/>
      <c r="BI2246" s="26"/>
      <c r="BJ2246" s="26"/>
      <c r="BK2246" s="26"/>
      <c r="BL2246" s="26"/>
      <c r="BM2246" s="26"/>
      <c r="BN2246" s="26"/>
      <c r="BO2246" s="26"/>
      <c r="BP2246" s="16" t="n">
        <v>45737</v>
      </c>
      <c r="BQ2246" s="28" t="str">
        <f>HYPERLINK("https://organic.ams.usda.gov/Integrity/Certificate.aspx?cid=31&amp;nopid=3928971264")</f>
        <v>https://organic.ams.usda.gov/Integrity/Certificate.aspx?cid=31&amp;nopid=3928971264</v>
      </c>
    </row>
    <row r="2247">
      <c r="A2247" t="s">
        <v>3</v>
      </c>
      <c r="B2247" s="6" t="s">
        <v>10</v>
      </c>
      <c r="C2247" s="6" t="s">
        <v>57</v>
      </c>
      <c r="D2247" s="6" t="s">
        <v>103</v>
      </c>
      <c r="E2247" s="10" t="s">
        <v>2388</v>
      </c>
      <c r="F2247" s="6" t="s">
        <v>5098</v>
      </c>
      <c r="G2247" s="6" t="s">
        <v>81</v>
      </c>
      <c r="H2247" s="6" t="s">
        <v>7941</v>
      </c>
      <c r="I2247" s="6" t="s">
        <v>8509</v>
      </c>
      <c r="J2247" s="6" t="s">
        <v>9799</v>
      </c>
      <c r="K2247" s="6" t="s">
        <v>10886</v>
      </c>
      <c r="L2247" s="16" t="n">
        <v>44880</v>
      </c>
      <c r="M2247" s="16" t="n">
        <v>45748</v>
      </c>
      <c r="N2247" s="6" t="s">
        <v>10886</v>
      </c>
      <c r="O2247" s="16" t="n">
        <v>44880</v>
      </c>
      <c r="P2247" s="6" t="s">
        <v>12159</v>
      </c>
      <c r="Q2247" s="6" t="s">
        <v>81</v>
      </c>
      <c r="R2247" s="6" t="s">
        <v>13039</v>
      </c>
      <c r="S2247" s="6" t="s">
        <v>10886</v>
      </c>
      <c r="T2247" s="16" t="n">
        <v>45438</v>
      </c>
      <c r="U2247" s="6" t="s">
        <v>13163</v>
      </c>
      <c r="V2247" s="6" t="s">
        <v>81</v>
      </c>
      <c r="W2247" s="6" t="s">
        <v>81</v>
      </c>
      <c r="X2247" s="6" t="s">
        <v>81</v>
      </c>
      <c r="Y2247" s="21" t="s">
        <v>81</v>
      </c>
      <c r="Z2247" s="6" t="s">
        <v>81</v>
      </c>
      <c r="AA2247" s="6" t="s">
        <v>81</v>
      </c>
      <c r="AB2247" s="6" t="s">
        <v>81</v>
      </c>
      <c r="AC2247" s="6" t="s">
        <v>81</v>
      </c>
      <c r="AD2247" s="21" t="s">
        <v>81</v>
      </c>
      <c r="AE2247" s="6" t="s">
        <v>81</v>
      </c>
      <c r="AF2247" s="6" t="s">
        <v>81</v>
      </c>
      <c r="AG2247" s="6" t="s">
        <v>81</v>
      </c>
      <c r="AH2247" s="6" t="s">
        <v>16792</v>
      </c>
      <c r="AI2247" s="6" t="s">
        <v>81</v>
      </c>
      <c r="AJ2247" s="6" t="s">
        <v>9278</v>
      </c>
      <c r="AK2247" s="6" t="s">
        <v>18379</v>
      </c>
      <c r="AL2247" s="6" t="s">
        <v>18444</v>
      </c>
      <c r="AM2247" s="6" t="s">
        <v>19478</v>
      </c>
      <c r="AN2247" s="6" t="s">
        <v>19698</v>
      </c>
      <c r="AO2247" s="6" t="s">
        <v>20050</v>
      </c>
      <c r="AP2247" s="6" t="s">
        <v>16792</v>
      </c>
      <c r="AQ2247" s="6" t="s">
        <v>81</v>
      </c>
      <c r="AR2247" s="6" t="s">
        <v>9278</v>
      </c>
      <c r="AS2247" s="6" t="s">
        <v>18379</v>
      </c>
      <c r="AT2247" s="6" t="s">
        <v>18444</v>
      </c>
      <c r="AU2247" s="6" t="s">
        <v>19478</v>
      </c>
      <c r="AV2247" s="6" t="s">
        <v>81</v>
      </c>
      <c r="AW2247" s="6" t="s">
        <v>81</v>
      </c>
      <c r="AX2247" s="6" t="s">
        <v>22224</v>
      </c>
      <c r="AY2247" s="6" t="s">
        <v>23360</v>
      </c>
      <c r="AZ2247" s="6" t="s">
        <v>81</v>
      </c>
      <c r="BA2247" s="6" t="s">
        <v>81</v>
      </c>
      <c r="BB2247" s="24" t="n">
        <v>100</v>
      </c>
      <c r="BC2247" s="26"/>
      <c r="BD2247" s="26"/>
      <c r="BE2247" s="26"/>
      <c r="BF2247" s="26"/>
      <c r="BG2247" s="26"/>
      <c r="BH2247" s="26"/>
      <c r="BI2247" s="26"/>
      <c r="BJ2247" s="26"/>
      <c r="BK2247" s="26"/>
      <c r="BL2247" s="26"/>
      <c r="BM2247" s="26"/>
      <c r="BN2247" s="26"/>
      <c r="BO2247" s="26"/>
      <c r="BP2247" s="16" t="n">
        <v>45730</v>
      </c>
      <c r="BQ2247" s="28" t="str">
        <f>HYPERLINK("https://organic.ams.usda.gov/Integrity/Certificate.aspx?cid=90&amp;nopid=7170220613")</f>
        <v>https://organic.ams.usda.gov/Integrity/Certificate.aspx?cid=90&amp;nopid=7170220613</v>
      </c>
    </row>
    <row r="2248">
      <c r="A2248" t="s">
        <v>3</v>
      </c>
      <c r="B2248" s="6" t="s">
        <v>19</v>
      </c>
      <c r="C2248" s="6" t="s">
        <v>66</v>
      </c>
      <c r="D2248" s="6" t="s">
        <v>112</v>
      </c>
      <c r="E2248" s="10" t="s">
        <v>2389</v>
      </c>
      <c r="F2248" s="6" t="s">
        <v>5099</v>
      </c>
      <c r="G2248" s="6" t="s">
        <v>81</v>
      </c>
      <c r="H2248" s="6" t="s">
        <v>7942</v>
      </c>
      <c r="I2248" s="6" t="s">
        <v>81</v>
      </c>
      <c r="J2248" s="6" t="s">
        <v>10690</v>
      </c>
      <c r="K2248" s="6" t="s">
        <v>10886</v>
      </c>
      <c r="L2248" s="16" t="n">
        <v>44215</v>
      </c>
      <c r="M2248" s="16" t="n">
        <v>46054</v>
      </c>
      <c r="N2248" s="6" t="s">
        <v>10886</v>
      </c>
      <c r="O2248" s="16" t="n">
        <v>44215</v>
      </c>
      <c r="P2248" s="6" t="s">
        <v>12160</v>
      </c>
      <c r="Q2248" s="6" t="s">
        <v>81</v>
      </c>
      <c r="R2248" s="6" t="s">
        <v>81</v>
      </c>
      <c r="S2248" s="6" t="s">
        <v>10886</v>
      </c>
      <c r="T2248" s="16" t="n">
        <v>44215</v>
      </c>
      <c r="U2248" s="6" t="s">
        <v>13839</v>
      </c>
      <c r="V2248" s="6" t="s">
        <v>81</v>
      </c>
      <c r="W2248" s="6" t="s">
        <v>81</v>
      </c>
      <c r="X2248" s="6" t="s">
        <v>81</v>
      </c>
      <c r="Y2248" s="21" t="s">
        <v>81</v>
      </c>
      <c r="Z2248" s="6" t="s">
        <v>81</v>
      </c>
      <c r="AA2248" s="6" t="s">
        <v>81</v>
      </c>
      <c r="AB2248" s="6" t="s">
        <v>81</v>
      </c>
      <c r="AC2248" s="6" t="s">
        <v>10886</v>
      </c>
      <c r="AD2248" s="16" t="n">
        <v>44215</v>
      </c>
      <c r="AE2248" s="6" t="s">
        <v>14066</v>
      </c>
      <c r="AF2248" s="6" t="s">
        <v>81</v>
      </c>
      <c r="AG2248" s="6" t="s">
        <v>81</v>
      </c>
      <c r="AH2248" s="6" t="s">
        <v>16793</v>
      </c>
      <c r="AI2248" s="6" t="s">
        <v>81</v>
      </c>
      <c r="AJ2248" s="6" t="s">
        <v>18084</v>
      </c>
      <c r="AK2248" s="6" t="s">
        <v>17712</v>
      </c>
      <c r="AL2248" s="6" t="s">
        <v>18444</v>
      </c>
      <c r="AM2248" s="6" t="s">
        <v>19280</v>
      </c>
      <c r="AN2248" s="6" t="s">
        <v>19670</v>
      </c>
      <c r="AO2248" s="6" t="s">
        <v>19782</v>
      </c>
      <c r="AP2248" s="6" t="s">
        <v>81</v>
      </c>
      <c r="AQ2248" s="6" t="s">
        <v>81</v>
      </c>
      <c r="AR2248" s="6" t="s">
        <v>81</v>
      </c>
      <c r="AS2248" s="6" t="s">
        <v>81</v>
      </c>
      <c r="AT2248" s="6" t="s">
        <v>81</v>
      </c>
      <c r="AU2248" s="6" t="s">
        <v>81</v>
      </c>
      <c r="AV2248" s="6" t="s">
        <v>81</v>
      </c>
      <c r="AW2248" s="6" t="s">
        <v>81</v>
      </c>
      <c r="AX2248" s="6" t="s">
        <v>22225</v>
      </c>
      <c r="AY2248" s="6" t="s">
        <v>23361</v>
      </c>
      <c r="AZ2248" s="6" t="s">
        <v>81</v>
      </c>
      <c r="BA2248" s="6" t="s">
        <v>81</v>
      </c>
      <c r="BB2248" s="24" t="n">
        <v>246</v>
      </c>
      <c r="BC2248" s="26"/>
      <c r="BD2248" s="26"/>
      <c r="BE2248" s="26"/>
      <c r="BF2248" s="26" t="s">
        <v>23900</v>
      </c>
      <c r="BG2248" s="26"/>
      <c r="BH2248" s="26"/>
      <c r="BI2248" s="26"/>
      <c r="BJ2248" s="26"/>
      <c r="BK2248" s="26"/>
      <c r="BL2248" s="26"/>
      <c r="BM2248" s="26"/>
      <c r="BN2248" s="26"/>
      <c r="BO2248" s="26"/>
      <c r="BP2248" s="16" t="n">
        <v>45712</v>
      </c>
      <c r="BQ2248" s="28" t="str">
        <f>HYPERLINK("https://organic.ams.usda.gov/Integrity/Certificate.aspx?cid=24&amp;nopid=7889024200")</f>
        <v>https://organic.ams.usda.gov/Integrity/Certificate.aspx?cid=24&amp;nopid=7889024200</v>
      </c>
    </row>
    <row r="2249">
      <c r="A2249" t="s">
        <v>3</v>
      </c>
      <c r="B2249" s="6" t="s">
        <v>24</v>
      </c>
      <c r="C2249" s="6" t="s">
        <v>71</v>
      </c>
      <c r="D2249" s="6" t="s">
        <v>117</v>
      </c>
      <c r="E2249" s="10" t="s">
        <v>2390</v>
      </c>
      <c r="F2249" s="6" t="s">
        <v>5100</v>
      </c>
      <c r="G2249" s="6" t="s">
        <v>81</v>
      </c>
      <c r="H2249" s="6" t="s">
        <v>81</v>
      </c>
      <c r="I2249" s="6" t="s">
        <v>8928</v>
      </c>
      <c r="J2249" s="6" t="s">
        <v>10691</v>
      </c>
      <c r="K2249" s="6" t="s">
        <v>10886</v>
      </c>
      <c r="L2249" s="16" t="n">
        <v>44747</v>
      </c>
      <c r="M2249" s="16" t="n">
        <v>45901</v>
      </c>
      <c r="N2249" s="6" t="s">
        <v>10886</v>
      </c>
      <c r="O2249" s="16" t="n">
        <v>45167</v>
      </c>
      <c r="P2249" s="6" t="s">
        <v>12161</v>
      </c>
      <c r="Q2249" s="6" t="s">
        <v>81</v>
      </c>
      <c r="R2249" s="6" t="s">
        <v>81</v>
      </c>
      <c r="S2249" s="6" t="s">
        <v>10886</v>
      </c>
      <c r="T2249" s="16" t="n">
        <v>44747</v>
      </c>
      <c r="U2249" s="6" t="s">
        <v>13278</v>
      </c>
      <c r="V2249" s="6" t="s">
        <v>81</v>
      </c>
      <c r="W2249" s="6" t="s">
        <v>81</v>
      </c>
      <c r="X2249" s="6" t="s">
        <v>81</v>
      </c>
      <c r="Y2249" s="21" t="s">
        <v>81</v>
      </c>
      <c r="Z2249" s="6" t="s">
        <v>81</v>
      </c>
      <c r="AA2249" s="6" t="s">
        <v>81</v>
      </c>
      <c r="AB2249" s="6" t="s">
        <v>81</v>
      </c>
      <c r="AC2249" s="6" t="s">
        <v>10886</v>
      </c>
      <c r="AD2249" s="16" t="n">
        <v>44747</v>
      </c>
      <c r="AE2249" s="6" t="s">
        <v>14014</v>
      </c>
      <c r="AF2249" s="6" t="s">
        <v>81</v>
      </c>
      <c r="AG2249" s="6" t="s">
        <v>81</v>
      </c>
      <c r="AH2249" s="6" t="s">
        <v>16794</v>
      </c>
      <c r="AI2249" s="6" t="s">
        <v>81</v>
      </c>
      <c r="AJ2249" s="6" t="s">
        <v>17995</v>
      </c>
      <c r="AK2249" s="6" t="s">
        <v>18400</v>
      </c>
      <c r="AL2249" s="6" t="s">
        <v>18444</v>
      </c>
      <c r="AM2249" s="6" t="s">
        <v>19186</v>
      </c>
      <c r="AN2249" s="6" t="s">
        <v>19664</v>
      </c>
      <c r="AO2249" s="6" t="s">
        <v>20046</v>
      </c>
      <c r="AP2249" s="6" t="s">
        <v>16794</v>
      </c>
      <c r="AQ2249" s="6" t="s">
        <v>81</v>
      </c>
      <c r="AR2249" s="6" t="s">
        <v>17995</v>
      </c>
      <c r="AS2249" s="6" t="s">
        <v>18400</v>
      </c>
      <c r="AT2249" s="6" t="s">
        <v>18444</v>
      </c>
      <c r="AU2249" s="6" t="s">
        <v>19186</v>
      </c>
      <c r="AV2249" s="6" t="s">
        <v>81</v>
      </c>
      <c r="AW2249" s="6" t="s">
        <v>81</v>
      </c>
      <c r="AX2249" s="6" t="s">
        <v>81</v>
      </c>
      <c r="AY2249" s="6" t="s">
        <v>23362</v>
      </c>
      <c r="AZ2249" s="6" t="s">
        <v>81</v>
      </c>
      <c r="BA2249" s="6" t="s">
        <v>81</v>
      </c>
      <c r="BB2249" s="24" t="n">
        <v>434</v>
      </c>
      <c r="BC2249" s="26"/>
      <c r="BD2249" s="26"/>
      <c r="BE2249" s="26"/>
      <c r="BF2249" s="26"/>
      <c r="BG2249" s="26"/>
      <c r="BH2249" s="26"/>
      <c r="BI2249" s="26"/>
      <c r="BJ2249" s="26"/>
      <c r="BK2249" s="26"/>
      <c r="BL2249" s="26"/>
      <c r="BM2249" s="26"/>
      <c r="BN2249" s="26"/>
      <c r="BO2249" s="26"/>
      <c r="BP2249" s="16" t="n">
        <v>45628</v>
      </c>
      <c r="BQ2249" s="28" t="str">
        <f>HYPERLINK("https://organic.ams.usda.gov/Integrity/Certificate.aspx?cid=1&amp;nopid=9092206101")</f>
        <v>https://organic.ams.usda.gov/Integrity/Certificate.aspx?cid=1&amp;nopid=9092206101</v>
      </c>
    </row>
    <row r="2250">
      <c r="A2250" t="s">
        <v>3</v>
      </c>
      <c r="B2250" s="6" t="s">
        <v>22</v>
      </c>
      <c r="C2250" s="6" t="s">
        <v>69</v>
      </c>
      <c r="D2250" s="6" t="s">
        <v>115</v>
      </c>
      <c r="E2250" s="10" t="s">
        <v>2391</v>
      </c>
      <c r="F2250" s="6" t="s">
        <v>5101</v>
      </c>
      <c r="G2250" s="6" t="s">
        <v>5832</v>
      </c>
      <c r="H2250" s="6" t="s">
        <v>5832</v>
      </c>
      <c r="I2250" s="6" t="s">
        <v>9470</v>
      </c>
      <c r="J2250" s="6" t="s">
        <v>10692</v>
      </c>
      <c r="K2250" s="6" t="s">
        <v>10886</v>
      </c>
      <c r="L2250" s="16" t="n">
        <v>42825</v>
      </c>
      <c r="M2250" s="16" t="n">
        <v>45778</v>
      </c>
      <c r="N2250" s="6" t="s">
        <v>10886</v>
      </c>
      <c r="O2250" s="16" t="n">
        <v>42825</v>
      </c>
      <c r="P2250" s="6" t="s">
        <v>11428</v>
      </c>
      <c r="Q2250" s="6" t="s">
        <v>81</v>
      </c>
      <c r="R2250" s="6" t="s">
        <v>5832</v>
      </c>
      <c r="S2250" s="6" t="s">
        <v>81</v>
      </c>
      <c r="T2250" s="21" t="s">
        <v>81</v>
      </c>
      <c r="U2250" s="6" t="s">
        <v>81</v>
      </c>
      <c r="V2250" s="6" t="s">
        <v>81</v>
      </c>
      <c r="W2250" s="6" t="s">
        <v>81</v>
      </c>
      <c r="X2250" s="6" t="s">
        <v>81</v>
      </c>
      <c r="Y2250" s="21" t="s">
        <v>81</v>
      </c>
      <c r="Z2250" s="6" t="s">
        <v>81</v>
      </c>
      <c r="AA2250" s="6" t="s">
        <v>81</v>
      </c>
      <c r="AB2250" s="6" t="s">
        <v>81</v>
      </c>
      <c r="AC2250" s="6" t="s">
        <v>10886</v>
      </c>
      <c r="AD2250" s="16" t="n">
        <v>42825</v>
      </c>
      <c r="AE2250" s="6" t="s">
        <v>14402</v>
      </c>
      <c r="AF2250" s="6" t="s">
        <v>81</v>
      </c>
      <c r="AG2250" s="6" t="s">
        <v>5832</v>
      </c>
      <c r="AH2250" s="6" t="s">
        <v>16795</v>
      </c>
      <c r="AI2250" s="6" t="s">
        <v>81</v>
      </c>
      <c r="AJ2250" s="6" t="s">
        <v>18255</v>
      </c>
      <c r="AK2250" s="6" t="s">
        <v>81</v>
      </c>
      <c r="AL2250" s="6" t="s">
        <v>18445</v>
      </c>
      <c r="AM2250" s="6" t="s">
        <v>81</v>
      </c>
      <c r="AN2250" s="6" t="s">
        <v>81</v>
      </c>
      <c r="AO2250" s="6" t="s">
        <v>81</v>
      </c>
      <c r="AP2250" s="6" t="s">
        <v>16795</v>
      </c>
      <c r="AQ2250" s="6" t="s">
        <v>81</v>
      </c>
      <c r="AR2250" s="6" t="s">
        <v>18255</v>
      </c>
      <c r="AS2250" s="6" t="s">
        <v>81</v>
      </c>
      <c r="AT2250" s="6" t="s">
        <v>18445</v>
      </c>
      <c r="AU2250" s="6" t="s">
        <v>81</v>
      </c>
      <c r="AV2250" s="6" t="s">
        <v>81</v>
      </c>
      <c r="AW2250" s="6" t="s">
        <v>81</v>
      </c>
      <c r="AX2250" s="6" t="s">
        <v>81</v>
      </c>
      <c r="AY2250" s="6" t="s">
        <v>23363</v>
      </c>
      <c r="AZ2250" s="6" t="s">
        <v>81</v>
      </c>
      <c r="BA2250" s="6" t="s">
        <v>23821</v>
      </c>
      <c r="BB2250" s="24" t="n">
        <v>1800</v>
      </c>
      <c r="BC2250" s="26"/>
      <c r="BD2250" s="26"/>
      <c r="BE2250" s="26"/>
      <c r="BF2250" s="26"/>
      <c r="BG2250" s="26"/>
      <c r="BH2250" s="26"/>
      <c r="BI2250" s="26"/>
      <c r="BJ2250" s="26"/>
      <c r="BK2250" s="26"/>
      <c r="BL2250" s="26"/>
      <c r="BM2250" s="26"/>
      <c r="BN2250" s="26"/>
      <c r="BO2250" s="26" t="s">
        <v>23900</v>
      </c>
      <c r="BP2250" s="16" t="n">
        <v>45548</v>
      </c>
      <c r="BQ2250" s="28" t="str">
        <f>HYPERLINK("https://organic.ams.usda.gov/Integrity/Certificate.aspx?cid=21&amp;nopid=1780851404")</f>
        <v>https://organic.ams.usda.gov/Integrity/Certificate.aspx?cid=21&amp;nopid=1780851404</v>
      </c>
    </row>
    <row r="2251">
      <c r="A2251" t="s">
        <v>3</v>
      </c>
      <c r="B2251" s="6" t="s">
        <v>7</v>
      </c>
      <c r="C2251" s="6" t="s">
        <v>54</v>
      </c>
      <c r="D2251" s="6" t="s">
        <v>100</v>
      </c>
      <c r="E2251" s="10" t="s">
        <v>2392</v>
      </c>
      <c r="F2251" s="6" t="s">
        <v>5102</v>
      </c>
      <c r="G2251" s="6" t="s">
        <v>81</v>
      </c>
      <c r="H2251" s="6" t="s">
        <v>7943</v>
      </c>
      <c r="I2251" s="6" t="s">
        <v>9242</v>
      </c>
      <c r="J2251" s="6" t="s">
        <v>9665</v>
      </c>
      <c r="K2251" s="6" t="s">
        <v>10886</v>
      </c>
      <c r="L2251" s="16" t="n">
        <v>42664</v>
      </c>
      <c r="M2251" s="16" t="n">
        <v>45716</v>
      </c>
      <c r="N2251" s="6" t="s">
        <v>10886</v>
      </c>
      <c r="O2251" s="16" t="n">
        <v>42664</v>
      </c>
      <c r="P2251" s="6" t="s">
        <v>10944</v>
      </c>
      <c r="Q2251" s="6" t="s">
        <v>81</v>
      </c>
      <c r="R2251" s="6" t="s">
        <v>81</v>
      </c>
      <c r="S2251" s="6" t="s">
        <v>10886</v>
      </c>
      <c r="T2251" s="16" t="n">
        <v>42979</v>
      </c>
      <c r="U2251" s="6" t="s">
        <v>13169</v>
      </c>
      <c r="V2251" s="6" t="s">
        <v>81</v>
      </c>
      <c r="W2251" s="6" t="s">
        <v>81</v>
      </c>
      <c r="X2251" s="6" t="s">
        <v>81</v>
      </c>
      <c r="Y2251" s="21" t="s">
        <v>81</v>
      </c>
      <c r="Z2251" s="6" t="s">
        <v>81</v>
      </c>
      <c r="AA2251" s="6" t="s">
        <v>81</v>
      </c>
      <c r="AB2251" s="6" t="s">
        <v>81</v>
      </c>
      <c r="AC2251" s="6" t="s">
        <v>81</v>
      </c>
      <c r="AD2251" s="21" t="s">
        <v>81</v>
      </c>
      <c r="AE2251" s="6" t="s">
        <v>81</v>
      </c>
      <c r="AF2251" s="6" t="s">
        <v>81</v>
      </c>
      <c r="AG2251" s="6" t="s">
        <v>81</v>
      </c>
      <c r="AH2251" s="6" t="s">
        <v>16796</v>
      </c>
      <c r="AI2251" s="6" t="s">
        <v>81</v>
      </c>
      <c r="AJ2251" s="6" t="s">
        <v>17388</v>
      </c>
      <c r="AK2251" s="6" t="s">
        <v>17712</v>
      </c>
      <c r="AL2251" s="6" t="s">
        <v>18444</v>
      </c>
      <c r="AM2251" s="6" t="s">
        <v>19479</v>
      </c>
      <c r="AN2251" s="6" t="s">
        <v>19662</v>
      </c>
      <c r="AO2251" s="6" t="s">
        <v>19762</v>
      </c>
      <c r="AP2251" s="6" t="s">
        <v>20412</v>
      </c>
      <c r="AQ2251" s="6" t="s">
        <v>81</v>
      </c>
      <c r="AR2251" s="6" t="s">
        <v>17388</v>
      </c>
      <c r="AS2251" s="6" t="s">
        <v>17712</v>
      </c>
      <c r="AT2251" s="6" t="s">
        <v>18444</v>
      </c>
      <c r="AU2251" s="6" t="s">
        <v>19479</v>
      </c>
      <c r="AV2251" s="6" t="s">
        <v>81</v>
      </c>
      <c r="AW2251" s="6" t="s">
        <v>81</v>
      </c>
      <c r="AX2251" s="6" t="s">
        <v>81</v>
      </c>
      <c r="AY2251" s="6" t="s">
        <v>81</v>
      </c>
      <c r="AZ2251" s="6" t="s">
        <v>81</v>
      </c>
      <c r="BA2251" s="6" t="s">
        <v>81</v>
      </c>
      <c r="BB2251" s="24" t="n">
        <v>91</v>
      </c>
      <c r="BC2251" s="26"/>
      <c r="BD2251" s="26"/>
      <c r="BE2251" s="26"/>
      <c r="BF2251" s="26"/>
      <c r="BG2251" s="26"/>
      <c r="BH2251" s="26"/>
      <c r="BI2251" s="26"/>
      <c r="BJ2251" s="26"/>
      <c r="BK2251" s="26"/>
      <c r="BL2251" s="26"/>
      <c r="BM2251" s="26"/>
      <c r="BN2251" s="26"/>
      <c r="BO2251" s="26"/>
      <c r="BP2251" s="16" t="n">
        <v>45595</v>
      </c>
      <c r="BQ2251" s="28" t="str">
        <f>HYPERLINK("https://organic.ams.usda.gov/Integrity/Certificate.aspx?cid=57&amp;nopid=3252016130")</f>
        <v>https://organic.ams.usda.gov/Integrity/Certificate.aspx?cid=57&amp;nopid=3252016130</v>
      </c>
    </row>
    <row r="2252">
      <c r="A2252" t="s">
        <v>3</v>
      </c>
      <c r="B2252" s="6" t="s">
        <v>10</v>
      </c>
      <c r="C2252" s="6" t="s">
        <v>57</v>
      </c>
      <c r="D2252" s="6" t="s">
        <v>103</v>
      </c>
      <c r="E2252" s="10" t="s">
        <v>2393</v>
      </c>
      <c r="F2252" s="6" t="s">
        <v>5103</v>
      </c>
      <c r="G2252" s="6" t="s">
        <v>81</v>
      </c>
      <c r="H2252" s="6" t="s">
        <v>7944</v>
      </c>
      <c r="I2252" s="6" t="s">
        <v>9242</v>
      </c>
      <c r="J2252" s="6" t="s">
        <v>9665</v>
      </c>
      <c r="K2252" s="6" t="s">
        <v>10886</v>
      </c>
      <c r="L2252" s="16" t="n">
        <v>45047</v>
      </c>
      <c r="M2252" s="16" t="n">
        <v>45748</v>
      </c>
      <c r="N2252" s="6" t="s">
        <v>10886</v>
      </c>
      <c r="O2252" s="16" t="n">
        <v>45047</v>
      </c>
      <c r="P2252" s="6" t="s">
        <v>12162</v>
      </c>
      <c r="Q2252" s="6" t="s">
        <v>81</v>
      </c>
      <c r="R2252" s="6" t="s">
        <v>13040</v>
      </c>
      <c r="S2252" s="6" t="s">
        <v>10886</v>
      </c>
      <c r="T2252" s="16" t="n">
        <v>45200</v>
      </c>
      <c r="U2252" s="6" t="s">
        <v>13163</v>
      </c>
      <c r="V2252" s="6" t="s">
        <v>81</v>
      </c>
      <c r="W2252" s="6" t="s">
        <v>81</v>
      </c>
      <c r="X2252" s="6" t="s">
        <v>81</v>
      </c>
      <c r="Y2252" s="21" t="s">
        <v>81</v>
      </c>
      <c r="Z2252" s="6" t="s">
        <v>81</v>
      </c>
      <c r="AA2252" s="6" t="s">
        <v>81</v>
      </c>
      <c r="AB2252" s="6" t="s">
        <v>81</v>
      </c>
      <c r="AC2252" s="6" t="s">
        <v>81</v>
      </c>
      <c r="AD2252" s="21" t="s">
        <v>81</v>
      </c>
      <c r="AE2252" s="6" t="s">
        <v>81</v>
      </c>
      <c r="AF2252" s="6" t="s">
        <v>81</v>
      </c>
      <c r="AG2252" s="6" t="s">
        <v>81</v>
      </c>
      <c r="AH2252" s="6" t="s">
        <v>16797</v>
      </c>
      <c r="AI2252" s="6" t="s">
        <v>81</v>
      </c>
      <c r="AJ2252" s="6" t="s">
        <v>17319</v>
      </c>
      <c r="AK2252" s="6" t="s">
        <v>18378</v>
      </c>
      <c r="AL2252" s="6" t="s">
        <v>18444</v>
      </c>
      <c r="AM2252" s="6" t="s">
        <v>18471</v>
      </c>
      <c r="AN2252" s="6" t="s">
        <v>19640</v>
      </c>
      <c r="AO2252" s="6" t="s">
        <v>19726</v>
      </c>
      <c r="AP2252" s="6" t="s">
        <v>16797</v>
      </c>
      <c r="AQ2252" s="6" t="s">
        <v>81</v>
      </c>
      <c r="AR2252" s="6" t="s">
        <v>17319</v>
      </c>
      <c r="AS2252" s="6" t="s">
        <v>18378</v>
      </c>
      <c r="AT2252" s="6" t="s">
        <v>18444</v>
      </c>
      <c r="AU2252" s="6" t="s">
        <v>18471</v>
      </c>
      <c r="AV2252" s="6" t="s">
        <v>81</v>
      </c>
      <c r="AW2252" s="6" t="s">
        <v>81</v>
      </c>
      <c r="AX2252" s="6" t="s">
        <v>22226</v>
      </c>
      <c r="AY2252" s="6" t="s">
        <v>81</v>
      </c>
      <c r="AZ2252" s="6" t="s">
        <v>81</v>
      </c>
      <c r="BA2252" s="6" t="s">
        <v>81</v>
      </c>
      <c r="BB2252" s="24" t="n">
        <v>139</v>
      </c>
      <c r="BC2252" s="26"/>
      <c r="BD2252" s="26"/>
      <c r="BE2252" s="26"/>
      <c r="BF2252" s="26"/>
      <c r="BG2252" s="26"/>
      <c r="BH2252" s="26"/>
      <c r="BI2252" s="26"/>
      <c r="BJ2252" s="26"/>
      <c r="BK2252" s="26"/>
      <c r="BL2252" s="26"/>
      <c r="BM2252" s="26"/>
      <c r="BN2252" s="26"/>
      <c r="BO2252" s="26"/>
      <c r="BP2252" s="16" t="n">
        <v>45730</v>
      </c>
      <c r="BQ2252" s="28" t="str">
        <f>HYPERLINK("https://organic.ams.usda.gov/Integrity/Certificate.aspx?cid=90&amp;nopid=7170230664")</f>
        <v>https://organic.ams.usda.gov/Integrity/Certificate.aspx?cid=90&amp;nopid=7170230664</v>
      </c>
    </row>
    <row r="2253">
      <c r="A2253" t="s">
        <v>3</v>
      </c>
      <c r="B2253" s="6" t="s">
        <v>8</v>
      </c>
      <c r="C2253" s="6" t="s">
        <v>55</v>
      </c>
      <c r="D2253" s="6" t="s">
        <v>101</v>
      </c>
      <c r="E2253" s="10" t="s">
        <v>2394</v>
      </c>
      <c r="F2253" s="6" t="s">
        <v>5104</v>
      </c>
      <c r="G2253" s="6" t="s">
        <v>81</v>
      </c>
      <c r="H2253" s="6" t="s">
        <v>7945</v>
      </c>
      <c r="I2253" s="6" t="s">
        <v>9136</v>
      </c>
      <c r="J2253" s="6" t="s">
        <v>9666</v>
      </c>
      <c r="K2253" s="6" t="s">
        <v>10886</v>
      </c>
      <c r="L2253" s="16" t="n">
        <v>38629</v>
      </c>
      <c r="M2253" s="16" t="n">
        <v>45748</v>
      </c>
      <c r="N2253" s="6" t="s">
        <v>10886</v>
      </c>
      <c r="O2253" s="16" t="n">
        <v>38629</v>
      </c>
      <c r="P2253" s="6" t="s">
        <v>12163</v>
      </c>
      <c r="Q2253" s="6" t="s">
        <v>81</v>
      </c>
      <c r="R2253" s="6" t="s">
        <v>7945</v>
      </c>
      <c r="S2253" s="6" t="s">
        <v>10886</v>
      </c>
      <c r="T2253" s="16" t="n">
        <v>38629</v>
      </c>
      <c r="U2253" s="6" t="s">
        <v>13840</v>
      </c>
      <c r="V2253" s="6" t="s">
        <v>81</v>
      </c>
      <c r="W2253" s="6" t="s">
        <v>7945</v>
      </c>
      <c r="X2253" s="6" t="s">
        <v>81</v>
      </c>
      <c r="Y2253" s="21" t="s">
        <v>81</v>
      </c>
      <c r="Z2253" s="6" t="s">
        <v>81</v>
      </c>
      <c r="AA2253" s="6" t="s">
        <v>81</v>
      </c>
      <c r="AB2253" s="6" t="s">
        <v>81</v>
      </c>
      <c r="AC2253" s="6" t="s">
        <v>81</v>
      </c>
      <c r="AD2253" s="21" t="s">
        <v>81</v>
      </c>
      <c r="AE2253" s="6" t="s">
        <v>81</v>
      </c>
      <c r="AF2253" s="6" t="s">
        <v>81</v>
      </c>
      <c r="AG2253" s="6" t="s">
        <v>81</v>
      </c>
      <c r="AH2253" s="6" t="s">
        <v>16798</v>
      </c>
      <c r="AI2253" s="6" t="s">
        <v>81</v>
      </c>
      <c r="AJ2253" s="6" t="s">
        <v>8987</v>
      </c>
      <c r="AK2253" s="6" t="s">
        <v>18377</v>
      </c>
      <c r="AL2253" s="6" t="s">
        <v>18444</v>
      </c>
      <c r="AM2253" s="6" t="s">
        <v>18487</v>
      </c>
      <c r="AN2253" s="6" t="s">
        <v>19646</v>
      </c>
      <c r="AO2253" s="6" t="s">
        <v>19733</v>
      </c>
      <c r="AP2253" s="6" t="s">
        <v>81</v>
      </c>
      <c r="AQ2253" s="6" t="s">
        <v>81</v>
      </c>
      <c r="AR2253" s="6" t="s">
        <v>81</v>
      </c>
      <c r="AS2253" s="6" t="s">
        <v>81</v>
      </c>
      <c r="AT2253" s="6" t="s">
        <v>81</v>
      </c>
      <c r="AU2253" s="6" t="s">
        <v>81</v>
      </c>
      <c r="AV2253" s="6" t="s">
        <v>81</v>
      </c>
      <c r="AW2253" s="6" t="s">
        <v>81</v>
      </c>
      <c r="AX2253" s="6" t="s">
        <v>81</v>
      </c>
      <c r="AY2253" s="6" t="s">
        <v>81</v>
      </c>
      <c r="AZ2253" s="6" t="s">
        <v>81</v>
      </c>
      <c r="BA2253" s="6" t="s">
        <v>23819</v>
      </c>
      <c r="BB2253" s="24" t="n">
        <v>506</v>
      </c>
      <c r="BC2253" s="26"/>
      <c r="BD2253" s="26"/>
      <c r="BE2253" s="26"/>
      <c r="BF2253" s="26" t="s">
        <v>23900</v>
      </c>
      <c r="BG2253" s="26"/>
      <c r="BH2253" s="26"/>
      <c r="BI2253" s="26"/>
      <c r="BJ2253" s="26"/>
      <c r="BK2253" s="26"/>
      <c r="BL2253" s="26"/>
      <c r="BM2253" s="26"/>
      <c r="BN2253" s="26"/>
      <c r="BO2253" s="26"/>
      <c r="BP2253" s="16" t="n">
        <v>45541</v>
      </c>
      <c r="BQ2253" s="28" t="str">
        <f>HYPERLINK("https://organic.ams.usda.gov/Integrity/Certificate.aspx?cid=45&amp;nopid=9950002008")</f>
        <v>https://organic.ams.usda.gov/Integrity/Certificate.aspx?cid=45&amp;nopid=9950002008</v>
      </c>
    </row>
    <row r="2254">
      <c r="A2254" t="s">
        <v>3</v>
      </c>
      <c r="B2254" s="6" t="s">
        <v>7</v>
      </c>
      <c r="C2254" s="6" t="s">
        <v>54</v>
      </c>
      <c r="D2254" s="6" t="s">
        <v>100</v>
      </c>
      <c r="E2254" s="10" t="s">
        <v>2395</v>
      </c>
      <c r="F2254" s="6" t="s">
        <v>5105</v>
      </c>
      <c r="G2254" s="6" t="s">
        <v>81</v>
      </c>
      <c r="H2254" s="6" t="s">
        <v>7946</v>
      </c>
      <c r="I2254" s="6" t="s">
        <v>9284</v>
      </c>
      <c r="J2254" s="6" t="s">
        <v>9960</v>
      </c>
      <c r="K2254" s="6" t="s">
        <v>10886</v>
      </c>
      <c r="L2254" s="16" t="n">
        <v>42532</v>
      </c>
      <c r="M2254" s="16" t="n">
        <v>45716</v>
      </c>
      <c r="N2254" s="6" t="s">
        <v>10886</v>
      </c>
      <c r="O2254" s="16" t="n">
        <v>42532</v>
      </c>
      <c r="P2254" s="6" t="s">
        <v>10977</v>
      </c>
      <c r="Q2254" s="6" t="s">
        <v>81</v>
      </c>
      <c r="R2254" s="6" t="s">
        <v>81</v>
      </c>
      <c r="S2254" s="6" t="s">
        <v>10886</v>
      </c>
      <c r="T2254" s="16" t="n">
        <v>42544</v>
      </c>
      <c r="U2254" s="6" t="s">
        <v>13169</v>
      </c>
      <c r="V2254" s="6" t="s">
        <v>81</v>
      </c>
      <c r="W2254" s="6" t="s">
        <v>81</v>
      </c>
      <c r="X2254" s="6" t="s">
        <v>81</v>
      </c>
      <c r="Y2254" s="21" t="s">
        <v>81</v>
      </c>
      <c r="Z2254" s="6" t="s">
        <v>81</v>
      </c>
      <c r="AA2254" s="6" t="s">
        <v>81</v>
      </c>
      <c r="AB2254" s="6" t="s">
        <v>81</v>
      </c>
      <c r="AC2254" s="6" t="s">
        <v>81</v>
      </c>
      <c r="AD2254" s="21" t="s">
        <v>81</v>
      </c>
      <c r="AE2254" s="6" t="s">
        <v>81</v>
      </c>
      <c r="AF2254" s="6" t="s">
        <v>81</v>
      </c>
      <c r="AG2254" s="6" t="s">
        <v>81</v>
      </c>
      <c r="AH2254" s="6" t="s">
        <v>16799</v>
      </c>
      <c r="AI2254" s="6" t="s">
        <v>81</v>
      </c>
      <c r="AJ2254" s="6" t="s">
        <v>17406</v>
      </c>
      <c r="AK2254" s="6" t="s">
        <v>17712</v>
      </c>
      <c r="AL2254" s="6" t="s">
        <v>18444</v>
      </c>
      <c r="AM2254" s="6" t="s">
        <v>18562</v>
      </c>
      <c r="AN2254" s="6" t="s">
        <v>19657</v>
      </c>
      <c r="AO2254" s="6" t="s">
        <v>19751</v>
      </c>
      <c r="AP2254" s="6" t="s">
        <v>16799</v>
      </c>
      <c r="AQ2254" s="6" t="s">
        <v>81</v>
      </c>
      <c r="AR2254" s="6" t="s">
        <v>17406</v>
      </c>
      <c r="AS2254" s="6" t="s">
        <v>17712</v>
      </c>
      <c r="AT2254" s="6" t="s">
        <v>18444</v>
      </c>
      <c r="AU2254" s="6" t="s">
        <v>18562</v>
      </c>
      <c r="AV2254" s="6" t="s">
        <v>81</v>
      </c>
      <c r="AW2254" s="6" t="s">
        <v>81</v>
      </c>
      <c r="AX2254" s="6" t="s">
        <v>81</v>
      </c>
      <c r="AY2254" s="6" t="s">
        <v>81</v>
      </c>
      <c r="AZ2254" s="6" t="s">
        <v>81</v>
      </c>
      <c r="BA2254" s="6" t="s">
        <v>81</v>
      </c>
      <c r="BB2254" s="24" t="n">
        <v>66</v>
      </c>
      <c r="BC2254" s="26"/>
      <c r="BD2254" s="26"/>
      <c r="BE2254" s="26"/>
      <c r="BF2254" s="26" t="s">
        <v>23900</v>
      </c>
      <c r="BG2254" s="26"/>
      <c r="BH2254" s="26"/>
      <c r="BI2254" s="26"/>
      <c r="BJ2254" s="26"/>
      <c r="BK2254" s="26"/>
      <c r="BL2254" s="26"/>
      <c r="BM2254" s="26"/>
      <c r="BN2254" s="26"/>
      <c r="BO2254" s="26"/>
      <c r="BP2254" s="16" t="n">
        <v>45595</v>
      </c>
      <c r="BQ2254" s="28" t="str">
        <f>HYPERLINK("https://organic.ams.usda.gov/Integrity/Certificate.aspx?cid=57&amp;nopid=3252016090")</f>
        <v>https://organic.ams.usda.gov/Integrity/Certificate.aspx?cid=57&amp;nopid=3252016090</v>
      </c>
    </row>
    <row r="2255">
      <c r="A2255" t="s">
        <v>3</v>
      </c>
      <c r="B2255" s="6" t="s">
        <v>9</v>
      </c>
      <c r="C2255" s="6" t="s">
        <v>56</v>
      </c>
      <c r="D2255" s="6" t="s">
        <v>102</v>
      </c>
      <c r="E2255" s="10" t="s">
        <v>2396</v>
      </c>
      <c r="F2255" s="6" t="s">
        <v>5106</v>
      </c>
      <c r="G2255" s="6" t="s">
        <v>81</v>
      </c>
      <c r="H2255" s="6" t="s">
        <v>7947</v>
      </c>
      <c r="I2255" s="6" t="s">
        <v>9284</v>
      </c>
      <c r="J2255" s="6" t="s">
        <v>9718</v>
      </c>
      <c r="K2255" s="6" t="s">
        <v>10886</v>
      </c>
      <c r="L2255" s="16" t="n">
        <v>45355</v>
      </c>
      <c r="M2255" s="16" t="n">
        <v>46113</v>
      </c>
      <c r="N2255" s="6" t="s">
        <v>10886</v>
      </c>
      <c r="O2255" s="16" t="n">
        <v>45355</v>
      </c>
      <c r="P2255" s="6" t="s">
        <v>10939</v>
      </c>
      <c r="Q2255" s="6" t="s">
        <v>81</v>
      </c>
      <c r="R2255" s="6" t="s">
        <v>13041</v>
      </c>
      <c r="S2255" s="6" t="s">
        <v>10886</v>
      </c>
      <c r="T2255" s="16" t="n">
        <v>45355</v>
      </c>
      <c r="U2255" s="6" t="s">
        <v>13451</v>
      </c>
      <c r="V2255" s="6" t="s">
        <v>81</v>
      </c>
      <c r="W2255" s="6" t="s">
        <v>13041</v>
      </c>
      <c r="X2255" s="6" t="s">
        <v>81</v>
      </c>
      <c r="Y2255" s="21" t="s">
        <v>81</v>
      </c>
      <c r="Z2255" s="6" t="s">
        <v>81</v>
      </c>
      <c r="AA2255" s="6" t="s">
        <v>81</v>
      </c>
      <c r="AB2255" s="6" t="s">
        <v>81</v>
      </c>
      <c r="AC2255" s="6" t="s">
        <v>81</v>
      </c>
      <c r="AD2255" s="21" t="s">
        <v>81</v>
      </c>
      <c r="AE2255" s="6" t="s">
        <v>81</v>
      </c>
      <c r="AF2255" s="6" t="s">
        <v>81</v>
      </c>
      <c r="AG2255" s="6" t="s">
        <v>81</v>
      </c>
      <c r="AH2255" s="6" t="s">
        <v>16800</v>
      </c>
      <c r="AI2255" s="6" t="s">
        <v>81</v>
      </c>
      <c r="AJ2255" s="6" t="s">
        <v>18256</v>
      </c>
      <c r="AK2255" s="6" t="s">
        <v>18381</v>
      </c>
      <c r="AL2255" s="6" t="s">
        <v>18444</v>
      </c>
      <c r="AM2255" s="6" t="s">
        <v>19299</v>
      </c>
      <c r="AN2255" s="6" t="s">
        <v>81</v>
      </c>
      <c r="AO2255" s="6" t="s">
        <v>81</v>
      </c>
      <c r="AP2255" s="6" t="s">
        <v>81</v>
      </c>
      <c r="AQ2255" s="6" t="s">
        <v>81</v>
      </c>
      <c r="AR2255" s="6" t="s">
        <v>81</v>
      </c>
      <c r="AS2255" s="6" t="s">
        <v>81</v>
      </c>
      <c r="AT2255" s="6" t="s">
        <v>81</v>
      </c>
      <c r="AU2255" s="6" t="s">
        <v>81</v>
      </c>
      <c r="AV2255" s="6" t="s">
        <v>81</v>
      </c>
      <c r="AW2255" s="6" t="s">
        <v>81</v>
      </c>
      <c r="AX2255" s="6" t="s">
        <v>81</v>
      </c>
      <c r="AY2255" s="6" t="s">
        <v>81</v>
      </c>
      <c r="AZ2255" s="6" t="s">
        <v>81</v>
      </c>
      <c r="BA2255" s="6" t="s">
        <v>81</v>
      </c>
      <c r="BB2255" s="24" t="n">
        <v>124</v>
      </c>
      <c r="BC2255" s="26"/>
      <c r="BD2255" s="26"/>
      <c r="BE2255" s="26"/>
      <c r="BF2255" s="26"/>
      <c r="BG2255" s="26"/>
      <c r="BH2255" s="26"/>
      <c r="BI2255" s="26"/>
      <c r="BJ2255" s="26"/>
      <c r="BK2255" s="26"/>
      <c r="BL2255" s="26"/>
      <c r="BM2255" s="26"/>
      <c r="BN2255" s="26"/>
      <c r="BO2255" s="26"/>
      <c r="BP2255" s="16" t="n">
        <v>45738</v>
      </c>
      <c r="BQ2255" s="28" t="str">
        <f>HYPERLINK("https://organic.ams.usda.gov/Integrity/Certificate.aspx?cid=52&amp;nopid=8432302180")</f>
        <v>https://organic.ams.usda.gov/Integrity/Certificate.aspx?cid=52&amp;nopid=8432302180</v>
      </c>
    </row>
    <row r="2256">
      <c r="A2256" t="s">
        <v>3</v>
      </c>
      <c r="B2256" s="6" t="s">
        <v>13</v>
      </c>
      <c r="C2256" s="6" t="s">
        <v>60</v>
      </c>
      <c r="D2256" s="6" t="s">
        <v>106</v>
      </c>
      <c r="E2256" s="10" t="s">
        <v>2397</v>
      </c>
      <c r="F2256" s="6" t="s">
        <v>5107</v>
      </c>
      <c r="G2256" s="6" t="s">
        <v>5833</v>
      </c>
      <c r="H2256" s="6" t="s">
        <v>7948</v>
      </c>
      <c r="I2256" s="6" t="s">
        <v>9471</v>
      </c>
      <c r="J2256" s="6" t="s">
        <v>9752</v>
      </c>
      <c r="K2256" s="6" t="s">
        <v>10886</v>
      </c>
      <c r="L2256" s="16" t="n">
        <v>45443</v>
      </c>
      <c r="M2256" s="16" t="n">
        <v>45992</v>
      </c>
      <c r="N2256" s="6" t="s">
        <v>10886</v>
      </c>
      <c r="O2256" s="16" t="n">
        <v>45443</v>
      </c>
      <c r="P2256" s="6" t="s">
        <v>10910</v>
      </c>
      <c r="Q2256" s="6" t="s">
        <v>81</v>
      </c>
      <c r="R2256" s="6" t="s">
        <v>13042</v>
      </c>
      <c r="S2256" s="6" t="s">
        <v>10886</v>
      </c>
      <c r="T2256" s="16" t="n">
        <v>45443</v>
      </c>
      <c r="U2256" s="6" t="s">
        <v>13381</v>
      </c>
      <c r="V2256" s="6" t="s">
        <v>81</v>
      </c>
      <c r="W2256" s="6" t="s">
        <v>13042</v>
      </c>
      <c r="X2256" s="6" t="s">
        <v>81</v>
      </c>
      <c r="Y2256" s="21" t="s">
        <v>81</v>
      </c>
      <c r="Z2256" s="6" t="s">
        <v>81</v>
      </c>
      <c r="AA2256" s="6" t="s">
        <v>81</v>
      </c>
      <c r="AB2256" s="6" t="s">
        <v>81</v>
      </c>
      <c r="AC2256" s="6" t="s">
        <v>81</v>
      </c>
      <c r="AD2256" s="21" t="s">
        <v>81</v>
      </c>
      <c r="AE2256" s="6" t="s">
        <v>81</v>
      </c>
      <c r="AF2256" s="6" t="s">
        <v>81</v>
      </c>
      <c r="AG2256" s="6" t="s">
        <v>81</v>
      </c>
      <c r="AH2256" s="6" t="s">
        <v>16801</v>
      </c>
      <c r="AI2256" s="6" t="s">
        <v>81</v>
      </c>
      <c r="AJ2256" s="6" t="s">
        <v>17650</v>
      </c>
      <c r="AK2256" s="6" t="s">
        <v>18380</v>
      </c>
      <c r="AL2256" s="6" t="s">
        <v>18444</v>
      </c>
      <c r="AM2256" s="6" t="s">
        <v>18820</v>
      </c>
      <c r="AN2256" s="6" t="s">
        <v>81</v>
      </c>
      <c r="AO2256" s="6" t="s">
        <v>81</v>
      </c>
      <c r="AP2256" s="6" t="s">
        <v>16801</v>
      </c>
      <c r="AQ2256" s="6" t="s">
        <v>81</v>
      </c>
      <c r="AR2256" s="6" t="s">
        <v>17650</v>
      </c>
      <c r="AS2256" s="6" t="s">
        <v>18380</v>
      </c>
      <c r="AT2256" s="6" t="s">
        <v>18444</v>
      </c>
      <c r="AU2256" s="6" t="s">
        <v>18820</v>
      </c>
      <c r="AV2256" s="6" t="s">
        <v>81</v>
      </c>
      <c r="AW2256" s="6" t="s">
        <v>81</v>
      </c>
      <c r="AX2256" s="6" t="s">
        <v>21093</v>
      </c>
      <c r="AY2256" s="6" t="s">
        <v>81</v>
      </c>
      <c r="AZ2256" s="6" t="s">
        <v>81</v>
      </c>
      <c r="BA2256" s="6" t="s">
        <v>81</v>
      </c>
      <c r="BB2256" s="24" t="n">
        <v>33</v>
      </c>
      <c r="BC2256" s="26"/>
      <c r="BD2256" s="26"/>
      <c r="BE2256" s="26"/>
      <c r="BF2256" s="26" t="s">
        <v>23900</v>
      </c>
      <c r="BG2256" s="26"/>
      <c r="BH2256" s="26"/>
      <c r="BI2256" s="26"/>
      <c r="BJ2256" s="26"/>
      <c r="BK2256" s="26"/>
      <c r="BL2256" s="26"/>
      <c r="BM2256" s="26"/>
      <c r="BN2256" s="26"/>
      <c r="BO2256" s="26"/>
      <c r="BP2256" s="16" t="n">
        <v>45663</v>
      </c>
      <c r="BQ2256" s="28" t="str">
        <f>HYPERLINK("https://organic.ams.usda.gov/Integrity/Certificate.aspx?cid=72&amp;nopid=5870107036")</f>
        <v>https://organic.ams.usda.gov/Integrity/Certificate.aspx?cid=72&amp;nopid=5870107036</v>
      </c>
    </row>
    <row r="2257">
      <c r="A2257" t="s">
        <v>3</v>
      </c>
      <c r="B2257" s="6" t="s">
        <v>30</v>
      </c>
      <c r="C2257" s="6" t="s">
        <v>77</v>
      </c>
      <c r="D2257" s="6" t="s">
        <v>123</v>
      </c>
      <c r="E2257" s="10" t="s">
        <v>2398</v>
      </c>
      <c r="F2257" s="6" t="s">
        <v>5108</v>
      </c>
      <c r="G2257" s="6" t="s">
        <v>81</v>
      </c>
      <c r="H2257" s="6" t="s">
        <v>7949</v>
      </c>
      <c r="I2257" s="6" t="s">
        <v>9472</v>
      </c>
      <c r="J2257" s="6" t="s">
        <v>9666</v>
      </c>
      <c r="K2257" s="6" t="s">
        <v>10886</v>
      </c>
      <c r="L2257" s="16" t="n">
        <v>40088</v>
      </c>
      <c r="M2257" s="16" t="n">
        <v>45747</v>
      </c>
      <c r="N2257" s="6" t="s">
        <v>10886</v>
      </c>
      <c r="O2257" s="16" t="n">
        <v>40088</v>
      </c>
      <c r="P2257" s="6" t="s">
        <v>12164</v>
      </c>
      <c r="Q2257" s="6" t="s">
        <v>81</v>
      </c>
      <c r="R2257" s="6" t="s">
        <v>13043</v>
      </c>
      <c r="S2257" s="6" t="s">
        <v>10886</v>
      </c>
      <c r="T2257" s="16" t="n">
        <v>40088</v>
      </c>
      <c r="U2257" s="6" t="s">
        <v>13216</v>
      </c>
      <c r="V2257" s="6" t="s">
        <v>81</v>
      </c>
      <c r="W2257" s="6" t="s">
        <v>7949</v>
      </c>
      <c r="X2257" s="6" t="s">
        <v>81</v>
      </c>
      <c r="Y2257" s="21" t="s">
        <v>81</v>
      </c>
      <c r="Z2257" s="6" t="s">
        <v>81</v>
      </c>
      <c r="AA2257" s="6" t="s">
        <v>81</v>
      </c>
      <c r="AB2257" s="6" t="s">
        <v>81</v>
      </c>
      <c r="AC2257" s="6" t="s">
        <v>81</v>
      </c>
      <c r="AD2257" s="21" t="s">
        <v>81</v>
      </c>
      <c r="AE2257" s="6" t="s">
        <v>81</v>
      </c>
      <c r="AF2257" s="6" t="s">
        <v>81</v>
      </c>
      <c r="AG2257" s="6" t="s">
        <v>81</v>
      </c>
      <c r="AH2257" s="6" t="s">
        <v>16802</v>
      </c>
      <c r="AI2257" s="6" t="s">
        <v>81</v>
      </c>
      <c r="AJ2257" s="6" t="s">
        <v>17410</v>
      </c>
      <c r="AK2257" s="6" t="s">
        <v>17712</v>
      </c>
      <c r="AL2257" s="6" t="s">
        <v>18444</v>
      </c>
      <c r="AM2257" s="6" t="s">
        <v>18566</v>
      </c>
      <c r="AN2257" s="6" t="s">
        <v>19670</v>
      </c>
      <c r="AO2257" s="6" t="s">
        <v>19782</v>
      </c>
      <c r="AP2257" s="6" t="s">
        <v>16802</v>
      </c>
      <c r="AQ2257" s="6" t="s">
        <v>81</v>
      </c>
      <c r="AR2257" s="6" t="s">
        <v>17410</v>
      </c>
      <c r="AS2257" s="6" t="s">
        <v>17712</v>
      </c>
      <c r="AT2257" s="6" t="s">
        <v>18444</v>
      </c>
      <c r="AU2257" s="6" t="s">
        <v>18566</v>
      </c>
      <c r="AV2257" s="6" t="s">
        <v>81</v>
      </c>
      <c r="AW2257" s="6" t="s">
        <v>81</v>
      </c>
      <c r="AX2257" s="6" t="s">
        <v>81</v>
      </c>
      <c r="AY2257" s="6" t="s">
        <v>81</v>
      </c>
      <c r="AZ2257" s="6" t="s">
        <v>81</v>
      </c>
      <c r="BA2257" s="6" t="s">
        <v>81</v>
      </c>
      <c r="BB2257" s="24" t="n">
        <v>99</v>
      </c>
      <c r="BC2257" s="26"/>
      <c r="BD2257" s="26"/>
      <c r="BE2257" s="26"/>
      <c r="BF2257" s="26"/>
      <c r="BG2257" s="26"/>
      <c r="BH2257" s="26"/>
      <c r="BI2257" s="26"/>
      <c r="BJ2257" s="26"/>
      <c r="BK2257" s="26"/>
      <c r="BL2257" s="26"/>
      <c r="BM2257" s="26"/>
      <c r="BN2257" s="26"/>
      <c r="BO2257" s="26"/>
      <c r="BP2257" s="16" t="n">
        <v>45588</v>
      </c>
      <c r="BQ2257" s="28" t="str">
        <f>HYPERLINK("https://organic.ams.usda.gov/Integrity/Certificate.aspx?cid=70&amp;nopid=6430930200")</f>
        <v>https://organic.ams.usda.gov/Integrity/Certificate.aspx?cid=70&amp;nopid=6430930200</v>
      </c>
    </row>
    <row r="2258">
      <c r="A2258" t="s">
        <v>3</v>
      </c>
      <c r="B2258" s="6" t="s">
        <v>7</v>
      </c>
      <c r="C2258" s="6" t="s">
        <v>54</v>
      </c>
      <c r="D2258" s="6" t="s">
        <v>100</v>
      </c>
      <c r="E2258" s="10" t="s">
        <v>2399</v>
      </c>
      <c r="F2258" s="6" t="s">
        <v>5109</v>
      </c>
      <c r="G2258" s="6" t="s">
        <v>81</v>
      </c>
      <c r="H2258" s="6" t="s">
        <v>7950</v>
      </c>
      <c r="I2258" s="6" t="s">
        <v>9473</v>
      </c>
      <c r="J2258" s="6" t="s">
        <v>9960</v>
      </c>
      <c r="K2258" s="6" t="s">
        <v>10886</v>
      </c>
      <c r="L2258" s="16" t="n">
        <v>42482</v>
      </c>
      <c r="M2258" s="16" t="n">
        <v>45716</v>
      </c>
      <c r="N2258" s="6" t="s">
        <v>10886</v>
      </c>
      <c r="O2258" s="16" t="n">
        <v>42482</v>
      </c>
      <c r="P2258" s="6" t="s">
        <v>12165</v>
      </c>
      <c r="Q2258" s="6" t="s">
        <v>81</v>
      </c>
      <c r="R2258" s="6" t="s">
        <v>81</v>
      </c>
      <c r="S2258" s="6" t="s">
        <v>10886</v>
      </c>
      <c r="T2258" s="16" t="n">
        <v>42489</v>
      </c>
      <c r="U2258" s="6" t="s">
        <v>13169</v>
      </c>
      <c r="V2258" s="6" t="s">
        <v>81</v>
      </c>
      <c r="W2258" s="6" t="s">
        <v>81</v>
      </c>
      <c r="X2258" s="6" t="s">
        <v>81</v>
      </c>
      <c r="Y2258" s="21" t="s">
        <v>81</v>
      </c>
      <c r="Z2258" s="6" t="s">
        <v>81</v>
      </c>
      <c r="AA2258" s="6" t="s">
        <v>81</v>
      </c>
      <c r="AB2258" s="6" t="s">
        <v>81</v>
      </c>
      <c r="AC2258" s="6" t="s">
        <v>81</v>
      </c>
      <c r="AD2258" s="21" t="s">
        <v>81</v>
      </c>
      <c r="AE2258" s="6" t="s">
        <v>81</v>
      </c>
      <c r="AF2258" s="6" t="s">
        <v>81</v>
      </c>
      <c r="AG2258" s="6" t="s">
        <v>81</v>
      </c>
      <c r="AH2258" s="6" t="s">
        <v>16803</v>
      </c>
      <c r="AI2258" s="6" t="s">
        <v>81</v>
      </c>
      <c r="AJ2258" s="6" t="s">
        <v>17657</v>
      </c>
      <c r="AK2258" s="6" t="s">
        <v>17712</v>
      </c>
      <c r="AL2258" s="6" t="s">
        <v>18444</v>
      </c>
      <c r="AM2258" s="6" t="s">
        <v>18825</v>
      </c>
      <c r="AN2258" s="6" t="s">
        <v>19649</v>
      </c>
      <c r="AO2258" s="6" t="s">
        <v>19738</v>
      </c>
      <c r="AP2258" s="6" t="s">
        <v>16803</v>
      </c>
      <c r="AQ2258" s="6" t="s">
        <v>81</v>
      </c>
      <c r="AR2258" s="6" t="s">
        <v>17657</v>
      </c>
      <c r="AS2258" s="6" t="s">
        <v>17712</v>
      </c>
      <c r="AT2258" s="6" t="s">
        <v>18444</v>
      </c>
      <c r="AU2258" s="6" t="s">
        <v>18825</v>
      </c>
      <c r="AV2258" s="6" t="s">
        <v>81</v>
      </c>
      <c r="AW2258" s="6" t="s">
        <v>81</v>
      </c>
      <c r="AX2258" s="6" t="s">
        <v>81</v>
      </c>
      <c r="AY2258" s="6" t="s">
        <v>81</v>
      </c>
      <c r="AZ2258" s="6" t="s">
        <v>81</v>
      </c>
      <c r="BA2258" s="6" t="s">
        <v>81</v>
      </c>
      <c r="BB2258" s="24" t="n">
        <v>88</v>
      </c>
      <c r="BC2258" s="26"/>
      <c r="BD2258" s="26"/>
      <c r="BE2258" s="26"/>
      <c r="BF2258" s="26" t="s">
        <v>23900</v>
      </c>
      <c r="BG2258" s="26"/>
      <c r="BH2258" s="26"/>
      <c r="BI2258" s="26"/>
      <c r="BJ2258" s="26"/>
      <c r="BK2258" s="26"/>
      <c r="BL2258" s="26"/>
      <c r="BM2258" s="26"/>
      <c r="BN2258" s="26"/>
      <c r="BO2258" s="26"/>
      <c r="BP2258" s="16" t="n">
        <v>45595</v>
      </c>
      <c r="BQ2258" s="28" t="str">
        <f>HYPERLINK("https://organic.ams.usda.gov/Integrity/Certificate.aspx?cid=57&amp;nopid=3252016028")</f>
        <v>https://organic.ams.usda.gov/Integrity/Certificate.aspx?cid=57&amp;nopid=3252016028</v>
      </c>
    </row>
    <row r="2259">
      <c r="A2259" t="s">
        <v>3</v>
      </c>
      <c r="B2259" s="6" t="s">
        <v>7</v>
      </c>
      <c r="C2259" s="6" t="s">
        <v>54</v>
      </c>
      <c r="D2259" s="6" t="s">
        <v>100</v>
      </c>
      <c r="E2259" s="10" t="s">
        <v>2400</v>
      </c>
      <c r="F2259" s="6" t="s">
        <v>5110</v>
      </c>
      <c r="G2259" s="6" t="s">
        <v>81</v>
      </c>
      <c r="H2259" s="6" t="s">
        <v>7951</v>
      </c>
      <c r="I2259" s="6" t="s">
        <v>9284</v>
      </c>
      <c r="J2259" s="6" t="s">
        <v>9936</v>
      </c>
      <c r="K2259" s="6" t="s">
        <v>10886</v>
      </c>
      <c r="L2259" s="16" t="n">
        <v>44160</v>
      </c>
      <c r="M2259" s="16" t="n">
        <v>45716</v>
      </c>
      <c r="N2259" s="6" t="s">
        <v>10886</v>
      </c>
      <c r="O2259" s="16" t="n">
        <v>44160</v>
      </c>
      <c r="P2259" s="6" t="s">
        <v>12166</v>
      </c>
      <c r="Q2259" s="6" t="s">
        <v>81</v>
      </c>
      <c r="R2259" s="6" t="s">
        <v>81</v>
      </c>
      <c r="S2259" s="6" t="s">
        <v>10886</v>
      </c>
      <c r="T2259" s="16" t="n">
        <v>44160</v>
      </c>
      <c r="U2259" s="6" t="s">
        <v>13169</v>
      </c>
      <c r="V2259" s="6" t="s">
        <v>81</v>
      </c>
      <c r="W2259" s="6" t="s">
        <v>81</v>
      </c>
      <c r="X2259" s="6" t="s">
        <v>81</v>
      </c>
      <c r="Y2259" s="21" t="s">
        <v>81</v>
      </c>
      <c r="Z2259" s="6" t="s">
        <v>81</v>
      </c>
      <c r="AA2259" s="6" t="s">
        <v>81</v>
      </c>
      <c r="AB2259" s="6" t="s">
        <v>81</v>
      </c>
      <c r="AC2259" s="6" t="s">
        <v>81</v>
      </c>
      <c r="AD2259" s="21" t="s">
        <v>81</v>
      </c>
      <c r="AE2259" s="6" t="s">
        <v>81</v>
      </c>
      <c r="AF2259" s="6" t="s">
        <v>81</v>
      </c>
      <c r="AG2259" s="6" t="s">
        <v>81</v>
      </c>
      <c r="AH2259" s="6" t="s">
        <v>16804</v>
      </c>
      <c r="AI2259" s="6" t="s">
        <v>81</v>
      </c>
      <c r="AJ2259" s="6" t="s">
        <v>17482</v>
      </c>
      <c r="AK2259" s="6" t="s">
        <v>17712</v>
      </c>
      <c r="AL2259" s="6" t="s">
        <v>18444</v>
      </c>
      <c r="AM2259" s="6" t="s">
        <v>18590</v>
      </c>
      <c r="AN2259" s="6" t="s">
        <v>19670</v>
      </c>
      <c r="AO2259" s="6" t="s">
        <v>19782</v>
      </c>
      <c r="AP2259" s="6" t="s">
        <v>16804</v>
      </c>
      <c r="AQ2259" s="6" t="s">
        <v>81</v>
      </c>
      <c r="AR2259" s="6" t="s">
        <v>17482</v>
      </c>
      <c r="AS2259" s="6" t="s">
        <v>17712</v>
      </c>
      <c r="AT2259" s="6" t="s">
        <v>18444</v>
      </c>
      <c r="AU2259" s="6" t="s">
        <v>18590</v>
      </c>
      <c r="AV2259" s="6" t="s">
        <v>81</v>
      </c>
      <c r="AW2259" s="6" t="s">
        <v>81</v>
      </c>
      <c r="AX2259" s="6" t="s">
        <v>81</v>
      </c>
      <c r="AY2259" s="6" t="s">
        <v>81</v>
      </c>
      <c r="AZ2259" s="6" t="s">
        <v>81</v>
      </c>
      <c r="BA2259" s="6" t="s">
        <v>81</v>
      </c>
      <c r="BB2259" s="24" t="n">
        <v>140</v>
      </c>
      <c r="BC2259" s="26"/>
      <c r="BD2259" s="26"/>
      <c r="BE2259" s="26"/>
      <c r="BF2259" s="26" t="s">
        <v>23900</v>
      </c>
      <c r="BG2259" s="26"/>
      <c r="BH2259" s="26"/>
      <c r="BI2259" s="26"/>
      <c r="BJ2259" s="26"/>
      <c r="BK2259" s="26"/>
      <c r="BL2259" s="26"/>
      <c r="BM2259" s="26"/>
      <c r="BN2259" s="26"/>
      <c r="BO2259" s="26"/>
      <c r="BP2259" s="16" t="n">
        <v>45681</v>
      </c>
      <c r="BQ2259" s="28" t="str">
        <f>HYPERLINK("https://organic.ams.usda.gov/Integrity/Certificate.aspx?cid=57&amp;nopid=3252020101")</f>
        <v>https://organic.ams.usda.gov/Integrity/Certificate.aspx?cid=57&amp;nopid=3252020101</v>
      </c>
    </row>
    <row r="2260">
      <c r="A2260" t="s">
        <v>3</v>
      </c>
      <c r="B2260" s="6" t="s">
        <v>15</v>
      </c>
      <c r="C2260" s="6" t="s">
        <v>62</v>
      </c>
      <c r="D2260" s="6" t="s">
        <v>108</v>
      </c>
      <c r="E2260" s="10" t="s">
        <v>2401</v>
      </c>
      <c r="F2260" s="6" t="s">
        <v>5111</v>
      </c>
      <c r="G2260" s="6" t="s">
        <v>5834</v>
      </c>
      <c r="H2260" s="6" t="s">
        <v>7952</v>
      </c>
      <c r="I2260" s="6" t="s">
        <v>9474</v>
      </c>
      <c r="J2260" s="6" t="s">
        <v>9666</v>
      </c>
      <c r="K2260" s="6" t="s">
        <v>10886</v>
      </c>
      <c r="L2260" s="16" t="n">
        <v>42621</v>
      </c>
      <c r="M2260" s="16" t="n">
        <v>45792</v>
      </c>
      <c r="N2260" s="6" t="s">
        <v>10886</v>
      </c>
      <c r="O2260" s="16" t="n">
        <v>42621</v>
      </c>
      <c r="P2260" s="6" t="s">
        <v>12167</v>
      </c>
      <c r="Q2260" s="6" t="s">
        <v>81</v>
      </c>
      <c r="R2260" s="6" t="s">
        <v>81</v>
      </c>
      <c r="S2260" s="6" t="s">
        <v>10886</v>
      </c>
      <c r="T2260" s="16" t="n">
        <v>42621</v>
      </c>
      <c r="U2260" s="6" t="s">
        <v>13196</v>
      </c>
      <c r="V2260" s="6" t="s">
        <v>81</v>
      </c>
      <c r="W2260" s="6" t="s">
        <v>81</v>
      </c>
      <c r="X2260" s="6" t="s">
        <v>81</v>
      </c>
      <c r="Y2260" s="21" t="s">
        <v>81</v>
      </c>
      <c r="Z2260" s="6" t="s">
        <v>81</v>
      </c>
      <c r="AA2260" s="6" t="s">
        <v>81</v>
      </c>
      <c r="AB2260" s="6" t="s">
        <v>81</v>
      </c>
      <c r="AC2260" s="6" t="s">
        <v>81</v>
      </c>
      <c r="AD2260" s="21" t="s">
        <v>81</v>
      </c>
      <c r="AE2260" s="6" t="s">
        <v>81</v>
      </c>
      <c r="AF2260" s="6" t="s">
        <v>81</v>
      </c>
      <c r="AG2260" s="6" t="s">
        <v>81</v>
      </c>
      <c r="AH2260" s="6" t="s">
        <v>16805</v>
      </c>
      <c r="AI2260" s="6" t="s">
        <v>81</v>
      </c>
      <c r="AJ2260" s="6" t="s">
        <v>17786</v>
      </c>
      <c r="AK2260" s="6" t="s">
        <v>18378</v>
      </c>
      <c r="AL2260" s="6" t="s">
        <v>18444</v>
      </c>
      <c r="AM2260" s="6" t="s">
        <v>18961</v>
      </c>
      <c r="AN2260" s="6" t="s">
        <v>19684</v>
      </c>
      <c r="AO2260" s="6" t="s">
        <v>20007</v>
      </c>
      <c r="AP2260" s="6" t="s">
        <v>16805</v>
      </c>
      <c r="AQ2260" s="6" t="s">
        <v>81</v>
      </c>
      <c r="AR2260" s="6" t="s">
        <v>17786</v>
      </c>
      <c r="AS2260" s="6" t="s">
        <v>18378</v>
      </c>
      <c r="AT2260" s="6" t="s">
        <v>18444</v>
      </c>
      <c r="AU2260" s="6" t="s">
        <v>18961</v>
      </c>
      <c r="AV2260" s="6" t="s">
        <v>81</v>
      </c>
      <c r="AW2260" s="6" t="s">
        <v>81</v>
      </c>
      <c r="AX2260" s="6" t="s">
        <v>5755</v>
      </c>
      <c r="AY2260" s="6" t="s">
        <v>81</v>
      </c>
      <c r="AZ2260" s="6" t="s">
        <v>81</v>
      </c>
      <c r="BA2260" s="6" t="s">
        <v>81</v>
      </c>
      <c r="BB2260" s="24" t="n">
        <v>90</v>
      </c>
      <c r="BC2260" s="26"/>
      <c r="BD2260" s="26"/>
      <c r="BE2260" s="26"/>
      <c r="BF2260" s="26" t="s">
        <v>23900</v>
      </c>
      <c r="BG2260" s="26"/>
      <c r="BH2260" s="26"/>
      <c r="BI2260" s="26"/>
      <c r="BJ2260" s="26"/>
      <c r="BK2260" s="26"/>
      <c r="BL2260" s="26"/>
      <c r="BM2260" s="26"/>
      <c r="BN2260" s="26"/>
      <c r="BO2260" s="26"/>
      <c r="BP2260" s="16" t="n">
        <v>45737</v>
      </c>
      <c r="BQ2260" s="28" t="str">
        <f>HYPERLINK("https://organic.ams.usda.gov/Integrity/Certificate.aspx?cid=58&amp;nopid=1600002689")</f>
        <v>https://organic.ams.usda.gov/Integrity/Certificate.aspx?cid=58&amp;nopid=1600002689</v>
      </c>
    </row>
    <row r="2261">
      <c r="A2261" t="s">
        <v>3</v>
      </c>
      <c r="B2261" s="6" t="s">
        <v>7</v>
      </c>
      <c r="C2261" s="6" t="s">
        <v>54</v>
      </c>
      <c r="D2261" s="6" t="s">
        <v>100</v>
      </c>
      <c r="E2261" s="10" t="s">
        <v>2402</v>
      </c>
      <c r="F2261" s="6" t="s">
        <v>5112</v>
      </c>
      <c r="G2261" s="6" t="s">
        <v>81</v>
      </c>
      <c r="H2261" s="6" t="s">
        <v>7953</v>
      </c>
      <c r="I2261" s="6" t="s">
        <v>9284</v>
      </c>
      <c r="J2261" s="6" t="s">
        <v>9727</v>
      </c>
      <c r="K2261" s="6" t="s">
        <v>10886</v>
      </c>
      <c r="L2261" s="16" t="n">
        <v>43560</v>
      </c>
      <c r="M2261" s="16" t="n">
        <v>45716</v>
      </c>
      <c r="N2261" s="6" t="s">
        <v>10886</v>
      </c>
      <c r="O2261" s="16" t="n">
        <v>43560</v>
      </c>
      <c r="P2261" s="6" t="s">
        <v>10944</v>
      </c>
      <c r="Q2261" s="6" t="s">
        <v>81</v>
      </c>
      <c r="R2261" s="6" t="s">
        <v>81</v>
      </c>
      <c r="S2261" s="6" t="s">
        <v>10886</v>
      </c>
      <c r="T2261" s="16" t="n">
        <v>43560</v>
      </c>
      <c r="U2261" s="6" t="s">
        <v>13169</v>
      </c>
      <c r="V2261" s="6" t="s">
        <v>81</v>
      </c>
      <c r="W2261" s="6" t="s">
        <v>81</v>
      </c>
      <c r="X2261" s="6" t="s">
        <v>81</v>
      </c>
      <c r="Y2261" s="21" t="s">
        <v>81</v>
      </c>
      <c r="Z2261" s="6" t="s">
        <v>81</v>
      </c>
      <c r="AA2261" s="6" t="s">
        <v>81</v>
      </c>
      <c r="AB2261" s="6" t="s">
        <v>81</v>
      </c>
      <c r="AC2261" s="6" t="s">
        <v>81</v>
      </c>
      <c r="AD2261" s="21" t="s">
        <v>81</v>
      </c>
      <c r="AE2261" s="6" t="s">
        <v>81</v>
      </c>
      <c r="AF2261" s="6" t="s">
        <v>81</v>
      </c>
      <c r="AG2261" s="6" t="s">
        <v>81</v>
      </c>
      <c r="AH2261" s="6" t="s">
        <v>16806</v>
      </c>
      <c r="AI2261" s="6" t="s">
        <v>81</v>
      </c>
      <c r="AJ2261" s="6" t="s">
        <v>17431</v>
      </c>
      <c r="AK2261" s="6" t="s">
        <v>17712</v>
      </c>
      <c r="AL2261" s="6" t="s">
        <v>18444</v>
      </c>
      <c r="AM2261" s="6" t="s">
        <v>18588</v>
      </c>
      <c r="AN2261" s="6" t="s">
        <v>19646</v>
      </c>
      <c r="AO2261" s="6" t="s">
        <v>19729</v>
      </c>
      <c r="AP2261" s="6" t="s">
        <v>16806</v>
      </c>
      <c r="AQ2261" s="6" t="s">
        <v>81</v>
      </c>
      <c r="AR2261" s="6" t="s">
        <v>17431</v>
      </c>
      <c r="AS2261" s="6" t="s">
        <v>17712</v>
      </c>
      <c r="AT2261" s="6" t="s">
        <v>18444</v>
      </c>
      <c r="AU2261" s="6" t="s">
        <v>18588</v>
      </c>
      <c r="AV2261" s="6" t="s">
        <v>81</v>
      </c>
      <c r="AW2261" s="6" t="s">
        <v>81</v>
      </c>
      <c r="AX2261" s="6" t="s">
        <v>81</v>
      </c>
      <c r="AY2261" s="6" t="s">
        <v>81</v>
      </c>
      <c r="AZ2261" s="6" t="s">
        <v>81</v>
      </c>
      <c r="BA2261" s="6" t="s">
        <v>81</v>
      </c>
      <c r="BB2261" s="24" t="n">
        <v>115</v>
      </c>
      <c r="BC2261" s="26"/>
      <c r="BD2261" s="26"/>
      <c r="BE2261" s="26"/>
      <c r="BF2261" s="26"/>
      <c r="BG2261" s="26"/>
      <c r="BH2261" s="26"/>
      <c r="BI2261" s="26"/>
      <c r="BJ2261" s="26"/>
      <c r="BK2261" s="26"/>
      <c r="BL2261" s="26"/>
      <c r="BM2261" s="26"/>
      <c r="BN2261" s="26"/>
      <c r="BO2261" s="26"/>
      <c r="BP2261" s="16" t="n">
        <v>45595</v>
      </c>
      <c r="BQ2261" s="28" t="str">
        <f>HYPERLINK("https://organic.ams.usda.gov/Integrity/Certificate.aspx?cid=57&amp;nopid=3252019014")</f>
        <v>https://organic.ams.usda.gov/Integrity/Certificate.aspx?cid=57&amp;nopid=3252019014</v>
      </c>
    </row>
    <row r="2262">
      <c r="A2262" t="s">
        <v>3</v>
      </c>
      <c r="B2262" s="6" t="s">
        <v>13</v>
      </c>
      <c r="C2262" s="6" t="s">
        <v>60</v>
      </c>
      <c r="D2262" s="6" t="s">
        <v>106</v>
      </c>
      <c r="E2262" s="10" t="s">
        <v>2403</v>
      </c>
      <c r="F2262" s="6" t="s">
        <v>5113</v>
      </c>
      <c r="G2262" s="6" t="s">
        <v>81</v>
      </c>
      <c r="H2262" s="6" t="s">
        <v>7954</v>
      </c>
      <c r="I2262" s="6" t="s">
        <v>9475</v>
      </c>
      <c r="J2262" s="6" t="s">
        <v>9726</v>
      </c>
      <c r="K2262" s="6" t="s">
        <v>10886</v>
      </c>
      <c r="L2262" s="16" t="n">
        <v>40462</v>
      </c>
      <c r="M2262" s="16" t="n">
        <v>45748</v>
      </c>
      <c r="N2262" s="6" t="s">
        <v>10886</v>
      </c>
      <c r="O2262" s="16" t="n">
        <v>40462</v>
      </c>
      <c r="P2262" s="6" t="s">
        <v>10906</v>
      </c>
      <c r="Q2262" s="6" t="s">
        <v>81</v>
      </c>
      <c r="R2262" s="6" t="s">
        <v>13044</v>
      </c>
      <c r="S2262" s="6" t="s">
        <v>10886</v>
      </c>
      <c r="T2262" s="16" t="n">
        <v>40462</v>
      </c>
      <c r="U2262" s="6" t="s">
        <v>13220</v>
      </c>
      <c r="V2262" s="6" t="s">
        <v>81</v>
      </c>
      <c r="W2262" s="6" t="s">
        <v>13044</v>
      </c>
      <c r="X2262" s="6" t="s">
        <v>81</v>
      </c>
      <c r="Y2262" s="21" t="s">
        <v>81</v>
      </c>
      <c r="Z2262" s="6" t="s">
        <v>81</v>
      </c>
      <c r="AA2262" s="6" t="s">
        <v>81</v>
      </c>
      <c r="AB2262" s="6" t="s">
        <v>81</v>
      </c>
      <c r="AC2262" s="6" t="s">
        <v>81</v>
      </c>
      <c r="AD2262" s="21" t="s">
        <v>81</v>
      </c>
      <c r="AE2262" s="6" t="s">
        <v>81</v>
      </c>
      <c r="AF2262" s="6" t="s">
        <v>81</v>
      </c>
      <c r="AG2262" s="6" t="s">
        <v>81</v>
      </c>
      <c r="AH2262" s="6" t="s">
        <v>16807</v>
      </c>
      <c r="AI2262" s="6" t="s">
        <v>81</v>
      </c>
      <c r="AJ2262" s="6" t="s">
        <v>17679</v>
      </c>
      <c r="AK2262" s="6" t="s">
        <v>17712</v>
      </c>
      <c r="AL2262" s="6" t="s">
        <v>18444</v>
      </c>
      <c r="AM2262" s="6" t="s">
        <v>18845</v>
      </c>
      <c r="AN2262" s="6" t="s">
        <v>7450</v>
      </c>
      <c r="AO2262" s="6" t="s">
        <v>19897</v>
      </c>
      <c r="AP2262" s="6" t="s">
        <v>16807</v>
      </c>
      <c r="AQ2262" s="6" t="s">
        <v>81</v>
      </c>
      <c r="AR2262" s="6" t="s">
        <v>17679</v>
      </c>
      <c r="AS2262" s="6" t="s">
        <v>17712</v>
      </c>
      <c r="AT2262" s="6" t="s">
        <v>18444</v>
      </c>
      <c r="AU2262" s="6" t="s">
        <v>18845</v>
      </c>
      <c r="AV2262" s="6" t="s">
        <v>81</v>
      </c>
      <c r="AW2262" s="6" t="s">
        <v>81</v>
      </c>
      <c r="AX2262" s="6" t="s">
        <v>22227</v>
      </c>
      <c r="AY2262" s="6" t="s">
        <v>81</v>
      </c>
      <c r="AZ2262" s="6" t="s">
        <v>81</v>
      </c>
      <c r="BA2262" s="6" t="s">
        <v>81</v>
      </c>
      <c r="BB2262" s="24" t="n">
        <v>347</v>
      </c>
      <c r="BC2262" s="26"/>
      <c r="BD2262" s="26"/>
      <c r="BE2262" s="26"/>
      <c r="BF2262" s="26" t="s">
        <v>23900</v>
      </c>
      <c r="BG2262" s="26"/>
      <c r="BH2262" s="26"/>
      <c r="BI2262" s="26"/>
      <c r="BJ2262" s="26"/>
      <c r="BK2262" s="26"/>
      <c r="BL2262" s="26"/>
      <c r="BM2262" s="26"/>
      <c r="BN2262" s="26"/>
      <c r="BO2262" s="26"/>
      <c r="BP2262" s="16" t="n">
        <v>45663</v>
      </c>
      <c r="BQ2262" s="28" t="str">
        <f>HYPERLINK("https://organic.ams.usda.gov/Integrity/Certificate.aspx?cid=72&amp;nopid=5870001598")</f>
        <v>https://organic.ams.usda.gov/Integrity/Certificate.aspx?cid=72&amp;nopid=5870001598</v>
      </c>
    </row>
    <row r="2263">
      <c r="A2263" t="s">
        <v>3</v>
      </c>
      <c r="B2263" s="6" t="s">
        <v>12</v>
      </c>
      <c r="C2263" s="6" t="s">
        <v>59</v>
      </c>
      <c r="D2263" s="6" t="s">
        <v>105</v>
      </c>
      <c r="E2263" s="10" t="s">
        <v>2404</v>
      </c>
      <c r="F2263" s="6" t="s">
        <v>5114</v>
      </c>
      <c r="G2263" s="6" t="s">
        <v>81</v>
      </c>
      <c r="H2263" s="6" t="s">
        <v>7955</v>
      </c>
      <c r="I2263" s="6" t="s">
        <v>9475</v>
      </c>
      <c r="J2263" s="6" t="s">
        <v>10032</v>
      </c>
      <c r="K2263" s="6" t="s">
        <v>10886</v>
      </c>
      <c r="L2263" s="16" t="n">
        <v>42515</v>
      </c>
      <c r="M2263" s="16" t="n">
        <v>45717</v>
      </c>
      <c r="N2263" s="6" t="s">
        <v>10886</v>
      </c>
      <c r="O2263" s="16" t="n">
        <v>42515</v>
      </c>
      <c r="P2263" s="6" t="s">
        <v>12168</v>
      </c>
      <c r="Q2263" s="6" t="s">
        <v>81</v>
      </c>
      <c r="R2263" s="6" t="s">
        <v>81</v>
      </c>
      <c r="S2263" s="6" t="s">
        <v>10886</v>
      </c>
      <c r="T2263" s="16" t="n">
        <v>42515</v>
      </c>
      <c r="U2263" s="6" t="s">
        <v>13166</v>
      </c>
      <c r="V2263" s="6" t="s">
        <v>81</v>
      </c>
      <c r="W2263" s="6" t="s">
        <v>81</v>
      </c>
      <c r="X2263" s="6" t="s">
        <v>81</v>
      </c>
      <c r="Y2263" s="21" t="s">
        <v>81</v>
      </c>
      <c r="Z2263" s="6" t="s">
        <v>81</v>
      </c>
      <c r="AA2263" s="6" t="s">
        <v>81</v>
      </c>
      <c r="AB2263" s="6" t="s">
        <v>81</v>
      </c>
      <c r="AC2263" s="6" t="s">
        <v>81</v>
      </c>
      <c r="AD2263" s="21" t="s">
        <v>81</v>
      </c>
      <c r="AE2263" s="6" t="s">
        <v>81</v>
      </c>
      <c r="AF2263" s="6" t="s">
        <v>81</v>
      </c>
      <c r="AG2263" s="6" t="s">
        <v>81</v>
      </c>
      <c r="AH2263" s="6" t="s">
        <v>16808</v>
      </c>
      <c r="AI2263" s="6" t="s">
        <v>81</v>
      </c>
      <c r="AJ2263" s="6" t="s">
        <v>18257</v>
      </c>
      <c r="AK2263" s="6" t="s">
        <v>18380</v>
      </c>
      <c r="AL2263" s="6" t="s">
        <v>18444</v>
      </c>
      <c r="AM2263" s="6" t="s">
        <v>19480</v>
      </c>
      <c r="AN2263" s="6" t="s">
        <v>7595</v>
      </c>
      <c r="AO2263" s="6" t="s">
        <v>19978</v>
      </c>
      <c r="AP2263" s="6" t="s">
        <v>16808</v>
      </c>
      <c r="AQ2263" s="6" t="s">
        <v>81</v>
      </c>
      <c r="AR2263" s="6" t="s">
        <v>18257</v>
      </c>
      <c r="AS2263" s="6" t="s">
        <v>18380</v>
      </c>
      <c r="AT2263" s="6" t="s">
        <v>18444</v>
      </c>
      <c r="AU2263" s="6" t="s">
        <v>19480</v>
      </c>
      <c r="AV2263" s="6" t="s">
        <v>81</v>
      </c>
      <c r="AW2263" s="6" t="s">
        <v>81</v>
      </c>
      <c r="AX2263" s="6" t="s">
        <v>22228</v>
      </c>
      <c r="AY2263" s="6" t="s">
        <v>81</v>
      </c>
      <c r="AZ2263" s="6" t="s">
        <v>81</v>
      </c>
      <c r="BA2263" s="6" t="s">
        <v>81</v>
      </c>
      <c r="BB2263" s="24" t="n">
        <v>133</v>
      </c>
      <c r="BC2263" s="26"/>
      <c r="BD2263" s="26"/>
      <c r="BE2263" s="26"/>
      <c r="BF2263" s="26"/>
      <c r="BG2263" s="26"/>
      <c r="BH2263" s="26"/>
      <c r="BI2263" s="26"/>
      <c r="BJ2263" s="26"/>
      <c r="BK2263" s="26"/>
      <c r="BL2263" s="26"/>
      <c r="BM2263" s="26"/>
      <c r="BN2263" s="26"/>
      <c r="BO2263" s="26"/>
      <c r="BP2263" s="16" t="n">
        <v>45684</v>
      </c>
      <c r="BQ2263" s="28" t="str">
        <f>HYPERLINK("https://organic.ams.usda.gov/Integrity/Certificate.aspx?cid=68&amp;nopid=8210004453")</f>
        <v>https://organic.ams.usda.gov/Integrity/Certificate.aspx?cid=68&amp;nopid=8210004453</v>
      </c>
    </row>
    <row r="2264">
      <c r="A2264" t="s">
        <v>3</v>
      </c>
      <c r="B2264" s="6" t="s">
        <v>30</v>
      </c>
      <c r="C2264" s="6" t="s">
        <v>77</v>
      </c>
      <c r="D2264" s="6" t="s">
        <v>123</v>
      </c>
      <c r="E2264" s="10" t="s">
        <v>2405</v>
      </c>
      <c r="F2264" s="6" t="s">
        <v>5115</v>
      </c>
      <c r="G2264" s="6" t="s">
        <v>81</v>
      </c>
      <c r="H2264" s="6" t="s">
        <v>7956</v>
      </c>
      <c r="I2264" s="6" t="s">
        <v>9475</v>
      </c>
      <c r="J2264" s="6" t="s">
        <v>9763</v>
      </c>
      <c r="K2264" s="6" t="s">
        <v>10886</v>
      </c>
      <c r="L2264" s="16" t="n">
        <v>45608</v>
      </c>
      <c r="M2264" s="16" t="n">
        <v>45747</v>
      </c>
      <c r="N2264" s="6" t="s">
        <v>10886</v>
      </c>
      <c r="O2264" s="16" t="n">
        <v>45608</v>
      </c>
      <c r="P2264" s="6" t="s">
        <v>12169</v>
      </c>
      <c r="Q2264" s="6" t="s">
        <v>81</v>
      </c>
      <c r="R2264" s="6" t="s">
        <v>81</v>
      </c>
      <c r="S2264" s="6" t="s">
        <v>10886</v>
      </c>
      <c r="T2264" s="16" t="n">
        <v>45608</v>
      </c>
      <c r="U2264" s="6" t="s">
        <v>13216</v>
      </c>
      <c r="V2264" s="6" t="s">
        <v>81</v>
      </c>
      <c r="W2264" s="6" t="s">
        <v>81</v>
      </c>
      <c r="X2264" s="6" t="s">
        <v>81</v>
      </c>
      <c r="Y2264" s="21" t="s">
        <v>81</v>
      </c>
      <c r="Z2264" s="6" t="s">
        <v>81</v>
      </c>
      <c r="AA2264" s="6" t="s">
        <v>81</v>
      </c>
      <c r="AB2264" s="6" t="s">
        <v>81</v>
      </c>
      <c r="AC2264" s="6" t="s">
        <v>81</v>
      </c>
      <c r="AD2264" s="21" t="s">
        <v>81</v>
      </c>
      <c r="AE2264" s="6" t="s">
        <v>81</v>
      </c>
      <c r="AF2264" s="6" t="s">
        <v>81</v>
      </c>
      <c r="AG2264" s="6" t="s">
        <v>81</v>
      </c>
      <c r="AH2264" s="6" t="s">
        <v>16809</v>
      </c>
      <c r="AI2264" s="6" t="s">
        <v>81</v>
      </c>
      <c r="AJ2264" s="6" t="s">
        <v>17973</v>
      </c>
      <c r="AK2264" s="6" t="s">
        <v>17712</v>
      </c>
      <c r="AL2264" s="6" t="s">
        <v>18444</v>
      </c>
      <c r="AM2264" s="6" t="s">
        <v>19160</v>
      </c>
      <c r="AN2264" s="6" t="s">
        <v>81</v>
      </c>
      <c r="AO2264" s="6" t="s">
        <v>81</v>
      </c>
      <c r="AP2264" s="6" t="s">
        <v>16809</v>
      </c>
      <c r="AQ2264" s="6" t="s">
        <v>81</v>
      </c>
      <c r="AR2264" s="6" t="s">
        <v>17973</v>
      </c>
      <c r="AS2264" s="6" t="s">
        <v>17712</v>
      </c>
      <c r="AT2264" s="6" t="s">
        <v>18444</v>
      </c>
      <c r="AU2264" s="6" t="s">
        <v>19160</v>
      </c>
      <c r="AV2264" s="6" t="s">
        <v>81</v>
      </c>
      <c r="AW2264" s="6" t="s">
        <v>81</v>
      </c>
      <c r="AX2264" s="6" t="s">
        <v>22229</v>
      </c>
      <c r="AY2264" s="6" t="s">
        <v>81</v>
      </c>
      <c r="AZ2264" s="6" t="s">
        <v>81</v>
      </c>
      <c r="BA2264" s="6" t="s">
        <v>81</v>
      </c>
      <c r="BB2264" s="24" t="n">
        <v>113</v>
      </c>
      <c r="BC2264" s="26"/>
      <c r="BD2264" s="26"/>
      <c r="BE2264" s="26"/>
      <c r="BF2264" s="26"/>
      <c r="BG2264" s="26"/>
      <c r="BH2264" s="26"/>
      <c r="BI2264" s="26"/>
      <c r="BJ2264" s="26"/>
      <c r="BK2264" s="26"/>
      <c r="BL2264" s="26"/>
      <c r="BM2264" s="26"/>
      <c r="BN2264" s="26"/>
      <c r="BO2264" s="26"/>
      <c r="BP2264" s="16" t="n">
        <v>45608</v>
      </c>
      <c r="BQ2264" s="28" t="str">
        <f>HYPERLINK("https://organic.ams.usda.gov/Integrity/Certificate.aspx?cid=70&amp;nopid=6431242179")</f>
        <v>https://organic.ams.usda.gov/Integrity/Certificate.aspx?cid=70&amp;nopid=6431242179</v>
      </c>
    </row>
    <row r="2265">
      <c r="A2265" t="s">
        <v>3</v>
      </c>
      <c r="B2265" s="6" t="s">
        <v>23</v>
      </c>
      <c r="C2265" s="6" t="s">
        <v>70</v>
      </c>
      <c r="D2265" s="6" t="s">
        <v>116</v>
      </c>
      <c r="E2265" s="10" t="s">
        <v>2406</v>
      </c>
      <c r="F2265" s="6" t="s">
        <v>5116</v>
      </c>
      <c r="G2265" s="6" t="s">
        <v>5835</v>
      </c>
      <c r="H2265" s="6" t="s">
        <v>7957</v>
      </c>
      <c r="I2265" s="6" t="s">
        <v>9476</v>
      </c>
      <c r="J2265" s="6" t="s">
        <v>10693</v>
      </c>
      <c r="K2265" s="6" t="s">
        <v>10886</v>
      </c>
      <c r="L2265" s="16" t="n">
        <v>43264</v>
      </c>
      <c r="M2265" s="16" t="n">
        <v>45851</v>
      </c>
      <c r="N2265" s="6" t="s">
        <v>81</v>
      </c>
      <c r="O2265" s="21" t="s">
        <v>81</v>
      </c>
      <c r="P2265" s="6" t="s">
        <v>81</v>
      </c>
      <c r="Q2265" s="6" t="s">
        <v>81</v>
      </c>
      <c r="R2265" s="6" t="s">
        <v>81</v>
      </c>
      <c r="S2265" s="6" t="s">
        <v>81</v>
      </c>
      <c r="T2265" s="21" t="s">
        <v>81</v>
      </c>
      <c r="U2265" s="6" t="s">
        <v>81</v>
      </c>
      <c r="V2265" s="6" t="s">
        <v>81</v>
      </c>
      <c r="W2265" s="6" t="s">
        <v>81</v>
      </c>
      <c r="X2265" s="6" t="s">
        <v>81</v>
      </c>
      <c r="Y2265" s="21" t="s">
        <v>81</v>
      </c>
      <c r="Z2265" s="6" t="s">
        <v>81</v>
      </c>
      <c r="AA2265" s="6" t="s">
        <v>81</v>
      </c>
      <c r="AB2265" s="6" t="s">
        <v>81</v>
      </c>
      <c r="AC2265" s="6" t="s">
        <v>10886</v>
      </c>
      <c r="AD2265" s="16" t="n">
        <v>43264</v>
      </c>
      <c r="AE2265" s="6" t="s">
        <v>14403</v>
      </c>
      <c r="AF2265" s="6" t="s">
        <v>81</v>
      </c>
      <c r="AG2265" s="6" t="s">
        <v>14590</v>
      </c>
      <c r="AH2265" s="6" t="s">
        <v>81</v>
      </c>
      <c r="AI2265" s="6" t="s">
        <v>81</v>
      </c>
      <c r="AJ2265" s="6" t="s">
        <v>81</v>
      </c>
      <c r="AK2265" s="6" t="s">
        <v>81</v>
      </c>
      <c r="AL2265" s="6" t="s">
        <v>81</v>
      </c>
      <c r="AM2265" s="6" t="s">
        <v>81</v>
      </c>
      <c r="AN2265" s="6" t="s">
        <v>81</v>
      </c>
      <c r="AO2265" s="6" t="s">
        <v>81</v>
      </c>
      <c r="AP2265" s="6" t="s">
        <v>20413</v>
      </c>
      <c r="AQ2265" s="6" t="s">
        <v>81</v>
      </c>
      <c r="AR2265" s="6" t="s">
        <v>20575</v>
      </c>
      <c r="AS2265" s="6" t="s">
        <v>18386</v>
      </c>
      <c r="AT2265" s="6" t="s">
        <v>18444</v>
      </c>
      <c r="AU2265" s="6" t="s">
        <v>18526</v>
      </c>
      <c r="AV2265" s="6" t="s">
        <v>19660</v>
      </c>
      <c r="AW2265" s="6" t="s">
        <v>19760</v>
      </c>
      <c r="AX2265" s="6" t="s">
        <v>22230</v>
      </c>
      <c r="AY2265" s="6" t="s">
        <v>23364</v>
      </c>
      <c r="AZ2265" s="6" t="s">
        <v>81</v>
      </c>
      <c r="BA2265" s="6" t="s">
        <v>81</v>
      </c>
      <c r="BB2265" s="6" t="s">
        <v>81</v>
      </c>
      <c r="BC2265" s="26"/>
      <c r="BD2265" s="26"/>
      <c r="BE2265" s="26"/>
      <c r="BF2265" s="26"/>
      <c r="BG2265" s="26"/>
      <c r="BH2265" s="26"/>
      <c r="BI2265" s="26"/>
      <c r="BJ2265" s="26"/>
      <c r="BK2265" s="26"/>
      <c r="BL2265" s="26"/>
      <c r="BM2265" s="26"/>
      <c r="BN2265" s="26"/>
      <c r="BO2265" s="26"/>
      <c r="BP2265" s="16" t="n">
        <v>45657</v>
      </c>
      <c r="BQ2265" s="28" t="str">
        <f>HYPERLINK("https://organic.ams.usda.gov/Integrity/Certificate.aspx?cid=63&amp;nopid=6220007851")</f>
        <v>https://organic.ams.usda.gov/Integrity/Certificate.aspx?cid=63&amp;nopid=6220007851</v>
      </c>
    </row>
    <row r="2266">
      <c r="A2266" t="s">
        <v>3</v>
      </c>
      <c r="B2266" s="6" t="s">
        <v>13</v>
      </c>
      <c r="C2266" s="6" t="s">
        <v>60</v>
      </c>
      <c r="D2266" s="6" t="s">
        <v>106</v>
      </c>
      <c r="E2266" s="10" t="s">
        <v>2407</v>
      </c>
      <c r="F2266" s="6" t="s">
        <v>5117</v>
      </c>
      <c r="G2266" s="6" t="s">
        <v>81</v>
      </c>
      <c r="H2266" s="6" t="s">
        <v>7958</v>
      </c>
      <c r="I2266" s="6" t="s">
        <v>8873</v>
      </c>
      <c r="J2266" s="6" t="s">
        <v>10694</v>
      </c>
      <c r="K2266" s="6" t="s">
        <v>10886</v>
      </c>
      <c r="L2266" s="16" t="n">
        <v>44412</v>
      </c>
      <c r="M2266" s="16" t="n">
        <v>45992</v>
      </c>
      <c r="N2266" s="6" t="s">
        <v>81</v>
      </c>
      <c r="O2266" s="21" t="s">
        <v>81</v>
      </c>
      <c r="P2266" s="6" t="s">
        <v>81</v>
      </c>
      <c r="Q2266" s="6" t="s">
        <v>81</v>
      </c>
      <c r="R2266" s="6" t="s">
        <v>81</v>
      </c>
      <c r="S2266" s="6" t="s">
        <v>81</v>
      </c>
      <c r="T2266" s="21" t="s">
        <v>81</v>
      </c>
      <c r="U2266" s="6" t="s">
        <v>81</v>
      </c>
      <c r="V2266" s="6" t="s">
        <v>81</v>
      </c>
      <c r="W2266" s="6" t="s">
        <v>81</v>
      </c>
      <c r="X2266" s="6" t="s">
        <v>81</v>
      </c>
      <c r="Y2266" s="21" t="s">
        <v>81</v>
      </c>
      <c r="Z2266" s="6" t="s">
        <v>81</v>
      </c>
      <c r="AA2266" s="6" t="s">
        <v>81</v>
      </c>
      <c r="AB2266" s="6" t="s">
        <v>81</v>
      </c>
      <c r="AC2266" s="6" t="s">
        <v>10886</v>
      </c>
      <c r="AD2266" s="16" t="n">
        <v>44412</v>
      </c>
      <c r="AE2266" s="6" t="s">
        <v>14404</v>
      </c>
      <c r="AF2266" s="6" t="s">
        <v>81</v>
      </c>
      <c r="AG2266" s="6" t="s">
        <v>14591</v>
      </c>
      <c r="AH2266" s="6" t="s">
        <v>16810</v>
      </c>
      <c r="AI2266" s="6" t="s">
        <v>81</v>
      </c>
      <c r="AJ2266" s="6" t="s">
        <v>18258</v>
      </c>
      <c r="AK2266" s="6" t="s">
        <v>17955</v>
      </c>
      <c r="AL2266" s="6" t="s">
        <v>18444</v>
      </c>
      <c r="AM2266" s="6" t="s">
        <v>19481</v>
      </c>
      <c r="AN2266" s="6" t="s">
        <v>19670</v>
      </c>
      <c r="AO2266" s="6" t="s">
        <v>20051</v>
      </c>
      <c r="AP2266" s="6" t="s">
        <v>16810</v>
      </c>
      <c r="AQ2266" s="6" t="s">
        <v>81</v>
      </c>
      <c r="AR2266" s="6" t="s">
        <v>18258</v>
      </c>
      <c r="AS2266" s="6" t="s">
        <v>17955</v>
      </c>
      <c r="AT2266" s="6" t="s">
        <v>18444</v>
      </c>
      <c r="AU2266" s="6" t="s">
        <v>19481</v>
      </c>
      <c r="AV2266" s="6" t="s">
        <v>81</v>
      </c>
      <c r="AW2266" s="6" t="s">
        <v>81</v>
      </c>
      <c r="AX2266" s="6" t="s">
        <v>22231</v>
      </c>
      <c r="AY2266" s="6" t="s">
        <v>23365</v>
      </c>
      <c r="AZ2266" s="6" t="s">
        <v>81</v>
      </c>
      <c r="BA2266" s="6" t="s">
        <v>81</v>
      </c>
      <c r="BB2266" s="6" t="s">
        <v>81</v>
      </c>
      <c r="BC2266" s="26"/>
      <c r="BD2266" s="26"/>
      <c r="BE2266" s="26"/>
      <c r="BF2266" s="26"/>
      <c r="BG2266" s="26" t="s">
        <v>23900</v>
      </c>
      <c r="BH2266" s="26"/>
      <c r="BI2266" s="26"/>
      <c r="BJ2266" s="26"/>
      <c r="BK2266" s="26"/>
      <c r="BL2266" s="26"/>
      <c r="BM2266" s="26"/>
      <c r="BN2266" s="26"/>
      <c r="BO2266" s="26"/>
      <c r="BP2266" s="16" t="n">
        <v>45663</v>
      </c>
      <c r="BQ2266" s="28" t="str">
        <f>HYPERLINK("https://organic.ams.usda.gov/Integrity/Certificate.aspx?cid=72&amp;nopid=5874078865")</f>
        <v>https://organic.ams.usda.gov/Integrity/Certificate.aspx?cid=72&amp;nopid=5874078865</v>
      </c>
    </row>
    <row r="2267">
      <c r="A2267" t="s">
        <v>3</v>
      </c>
      <c r="B2267" s="6" t="s">
        <v>29</v>
      </c>
      <c r="C2267" s="6" t="s">
        <v>76</v>
      </c>
      <c r="D2267" s="6" t="s">
        <v>122</v>
      </c>
      <c r="E2267" s="10" t="s">
        <v>2408</v>
      </c>
      <c r="F2267" s="6" t="s">
        <v>5118</v>
      </c>
      <c r="G2267" s="6" t="s">
        <v>5836</v>
      </c>
      <c r="H2267" s="6" t="s">
        <v>7959</v>
      </c>
      <c r="I2267" s="6" t="s">
        <v>8590</v>
      </c>
      <c r="J2267" s="6" t="s">
        <v>10695</v>
      </c>
      <c r="K2267" s="6" t="s">
        <v>10886</v>
      </c>
      <c r="L2267" s="16" t="n">
        <v>45607</v>
      </c>
      <c r="M2267" s="16" t="n">
        <v>45870</v>
      </c>
      <c r="N2267" s="6" t="s">
        <v>10886</v>
      </c>
      <c r="O2267" s="16" t="n">
        <v>45607</v>
      </c>
      <c r="P2267" s="6" t="s">
        <v>11031</v>
      </c>
      <c r="Q2267" s="6" t="s">
        <v>81</v>
      </c>
      <c r="R2267" s="6" t="s">
        <v>13045</v>
      </c>
      <c r="S2267" s="6" t="s">
        <v>10886</v>
      </c>
      <c r="T2267" s="16" t="n">
        <v>45607</v>
      </c>
      <c r="U2267" s="6" t="s">
        <v>13841</v>
      </c>
      <c r="V2267" s="6" t="s">
        <v>81</v>
      </c>
      <c r="W2267" s="6" t="s">
        <v>13045</v>
      </c>
      <c r="X2267" s="6" t="s">
        <v>81</v>
      </c>
      <c r="Y2267" s="21" t="s">
        <v>81</v>
      </c>
      <c r="Z2267" s="6" t="s">
        <v>81</v>
      </c>
      <c r="AA2267" s="6" t="s">
        <v>81</v>
      </c>
      <c r="AB2267" s="6" t="s">
        <v>81</v>
      </c>
      <c r="AC2267" s="6" t="s">
        <v>81</v>
      </c>
      <c r="AD2267" s="21" t="s">
        <v>81</v>
      </c>
      <c r="AE2267" s="6" t="s">
        <v>81</v>
      </c>
      <c r="AF2267" s="6" t="s">
        <v>81</v>
      </c>
      <c r="AG2267" s="6" t="s">
        <v>81</v>
      </c>
      <c r="AH2267" s="6" t="s">
        <v>16811</v>
      </c>
      <c r="AI2267" s="6" t="s">
        <v>81</v>
      </c>
      <c r="AJ2267" s="6" t="s">
        <v>17754</v>
      </c>
      <c r="AK2267" s="6" t="s">
        <v>18391</v>
      </c>
      <c r="AL2267" s="6" t="s">
        <v>18444</v>
      </c>
      <c r="AM2267" s="6" t="s">
        <v>18926</v>
      </c>
      <c r="AN2267" s="6" t="s">
        <v>81</v>
      </c>
      <c r="AO2267" s="6" t="s">
        <v>81</v>
      </c>
      <c r="AP2267" s="6" t="s">
        <v>81</v>
      </c>
      <c r="AQ2267" s="6" t="s">
        <v>81</v>
      </c>
      <c r="AR2267" s="6" t="s">
        <v>81</v>
      </c>
      <c r="AS2267" s="6" t="s">
        <v>81</v>
      </c>
      <c r="AT2267" s="6" t="s">
        <v>81</v>
      </c>
      <c r="AU2267" s="6" t="s">
        <v>81</v>
      </c>
      <c r="AV2267" s="6" t="s">
        <v>81</v>
      </c>
      <c r="AW2267" s="6" t="s">
        <v>81</v>
      </c>
      <c r="AX2267" s="6" t="s">
        <v>22232</v>
      </c>
      <c r="AY2267" s="6" t="s">
        <v>23366</v>
      </c>
      <c r="AZ2267" s="6" t="s">
        <v>81</v>
      </c>
      <c r="BA2267" s="6" t="s">
        <v>81</v>
      </c>
      <c r="BB2267" s="24" t="n">
        <v>185</v>
      </c>
      <c r="BC2267" s="26"/>
      <c r="BD2267" s="26"/>
      <c r="BE2267" s="26"/>
      <c r="BF2267" s="26" t="s">
        <v>23900</v>
      </c>
      <c r="BG2267" s="26"/>
      <c r="BH2267" s="26"/>
      <c r="BI2267" s="26"/>
      <c r="BJ2267" s="26"/>
      <c r="BK2267" s="26"/>
      <c r="BL2267" s="26"/>
      <c r="BM2267" s="26"/>
      <c r="BN2267" s="26"/>
      <c r="BO2267" s="26"/>
      <c r="BP2267" s="16" t="n">
        <v>45737</v>
      </c>
      <c r="BQ2267" s="28" t="str">
        <f>HYPERLINK("https://organic.ams.usda.gov/Integrity/Certificate.aspx?cid=31&amp;nopid=3928972469")</f>
        <v>https://organic.ams.usda.gov/Integrity/Certificate.aspx?cid=31&amp;nopid=3928972469</v>
      </c>
    </row>
    <row r="2268">
      <c r="A2268" t="s">
        <v>3</v>
      </c>
      <c r="B2268" s="6" t="s">
        <v>15</v>
      </c>
      <c r="C2268" s="6" t="s">
        <v>62</v>
      </c>
      <c r="D2268" s="6" t="s">
        <v>108</v>
      </c>
      <c r="E2268" s="10" t="s">
        <v>2409</v>
      </c>
      <c r="F2268" s="6" t="s">
        <v>5119</v>
      </c>
      <c r="G2268" s="6" t="s">
        <v>5837</v>
      </c>
      <c r="H2268" s="6" t="s">
        <v>7960</v>
      </c>
      <c r="I2268" s="6" t="s">
        <v>9033</v>
      </c>
      <c r="J2268" s="6" t="s">
        <v>9699</v>
      </c>
      <c r="K2268" s="6" t="s">
        <v>10886</v>
      </c>
      <c r="L2268" s="16" t="n">
        <v>40812</v>
      </c>
      <c r="M2268" s="16" t="n">
        <v>46157</v>
      </c>
      <c r="N2268" s="6" t="s">
        <v>10886</v>
      </c>
      <c r="O2268" s="16" t="n">
        <v>40812</v>
      </c>
      <c r="P2268" s="6" t="s">
        <v>12170</v>
      </c>
      <c r="Q2268" s="6" t="s">
        <v>81</v>
      </c>
      <c r="R2268" s="6" t="s">
        <v>81</v>
      </c>
      <c r="S2268" s="6" t="s">
        <v>10886</v>
      </c>
      <c r="T2268" s="16" t="n">
        <v>40812</v>
      </c>
      <c r="U2268" s="6" t="s">
        <v>13460</v>
      </c>
      <c r="V2268" s="6" t="s">
        <v>81</v>
      </c>
      <c r="W2268" s="6" t="s">
        <v>81</v>
      </c>
      <c r="X2268" s="6" t="s">
        <v>81</v>
      </c>
      <c r="Y2268" s="21" t="s">
        <v>81</v>
      </c>
      <c r="Z2268" s="6" t="s">
        <v>81</v>
      </c>
      <c r="AA2268" s="6" t="s">
        <v>81</v>
      </c>
      <c r="AB2268" s="6" t="s">
        <v>81</v>
      </c>
      <c r="AC2268" s="6" t="s">
        <v>81</v>
      </c>
      <c r="AD2268" s="21" t="s">
        <v>81</v>
      </c>
      <c r="AE2268" s="6" t="s">
        <v>81</v>
      </c>
      <c r="AF2268" s="6" t="s">
        <v>81</v>
      </c>
      <c r="AG2268" s="6" t="s">
        <v>81</v>
      </c>
      <c r="AH2268" s="6" t="s">
        <v>16812</v>
      </c>
      <c r="AI2268" s="6" t="s">
        <v>81</v>
      </c>
      <c r="AJ2268" s="6" t="s">
        <v>17319</v>
      </c>
      <c r="AK2268" s="6" t="s">
        <v>18378</v>
      </c>
      <c r="AL2268" s="6" t="s">
        <v>18444</v>
      </c>
      <c r="AM2268" s="6" t="s">
        <v>18471</v>
      </c>
      <c r="AN2268" s="6" t="s">
        <v>19640</v>
      </c>
      <c r="AO2268" s="6" t="s">
        <v>19726</v>
      </c>
      <c r="AP2268" s="6" t="s">
        <v>16812</v>
      </c>
      <c r="AQ2268" s="6" t="s">
        <v>81</v>
      </c>
      <c r="AR2268" s="6" t="s">
        <v>17319</v>
      </c>
      <c r="AS2268" s="6" t="s">
        <v>18378</v>
      </c>
      <c r="AT2268" s="6" t="s">
        <v>18444</v>
      </c>
      <c r="AU2268" s="6" t="s">
        <v>18471</v>
      </c>
      <c r="AV2268" s="6" t="s">
        <v>81</v>
      </c>
      <c r="AW2268" s="6" t="s">
        <v>81</v>
      </c>
      <c r="AX2268" s="6" t="s">
        <v>22233</v>
      </c>
      <c r="AY2268" s="6" t="s">
        <v>23367</v>
      </c>
      <c r="AZ2268" s="6" t="s">
        <v>81</v>
      </c>
      <c r="BA2268" s="6" t="s">
        <v>81</v>
      </c>
      <c r="BB2268" s="24" t="n">
        <v>168</v>
      </c>
      <c r="BC2268" s="26"/>
      <c r="BD2268" s="26"/>
      <c r="BE2268" s="26"/>
      <c r="BF2268" s="26" t="s">
        <v>23900</v>
      </c>
      <c r="BG2268" s="26"/>
      <c r="BH2268" s="26"/>
      <c r="BI2268" s="26"/>
      <c r="BJ2268" s="26"/>
      <c r="BK2268" s="26"/>
      <c r="BL2268" s="26"/>
      <c r="BM2268" s="26"/>
      <c r="BN2268" s="26"/>
      <c r="BO2268" s="26"/>
      <c r="BP2268" s="16" t="n">
        <v>45737</v>
      </c>
      <c r="BQ2268" s="28" t="str">
        <f>HYPERLINK("https://organic.ams.usda.gov/Integrity/Certificate.aspx?cid=58&amp;nopid=1600001934")</f>
        <v>https://organic.ams.usda.gov/Integrity/Certificate.aspx?cid=58&amp;nopid=1600001934</v>
      </c>
    </row>
    <row r="2269">
      <c r="A2269" t="s">
        <v>3</v>
      </c>
      <c r="B2269" s="6" t="s">
        <v>15</v>
      </c>
      <c r="C2269" s="6" t="s">
        <v>62</v>
      </c>
      <c r="D2269" s="6" t="s">
        <v>108</v>
      </c>
      <c r="E2269" s="10" t="s">
        <v>2410</v>
      </c>
      <c r="F2269" s="6" t="s">
        <v>5120</v>
      </c>
      <c r="G2269" s="6" t="s">
        <v>5838</v>
      </c>
      <c r="H2269" s="6" t="s">
        <v>7961</v>
      </c>
      <c r="I2269" s="6" t="s">
        <v>8693</v>
      </c>
      <c r="J2269" s="6" t="s">
        <v>9949</v>
      </c>
      <c r="K2269" s="6" t="s">
        <v>10886</v>
      </c>
      <c r="L2269" s="16" t="n">
        <v>43050</v>
      </c>
      <c r="M2269" s="16" t="n">
        <v>46157</v>
      </c>
      <c r="N2269" s="6" t="s">
        <v>10886</v>
      </c>
      <c r="O2269" s="16" t="n">
        <v>43050</v>
      </c>
      <c r="P2269" s="6" t="s">
        <v>12171</v>
      </c>
      <c r="Q2269" s="6" t="s">
        <v>81</v>
      </c>
      <c r="R2269" s="6" t="s">
        <v>81</v>
      </c>
      <c r="S2269" s="6" t="s">
        <v>10886</v>
      </c>
      <c r="T2269" s="16" t="n">
        <v>43050</v>
      </c>
      <c r="U2269" s="6" t="s">
        <v>13180</v>
      </c>
      <c r="V2269" s="6" t="s">
        <v>81</v>
      </c>
      <c r="W2269" s="6" t="s">
        <v>81</v>
      </c>
      <c r="X2269" s="6" t="s">
        <v>81</v>
      </c>
      <c r="Y2269" s="21" t="s">
        <v>81</v>
      </c>
      <c r="Z2269" s="6" t="s">
        <v>81</v>
      </c>
      <c r="AA2269" s="6" t="s">
        <v>81</v>
      </c>
      <c r="AB2269" s="6" t="s">
        <v>81</v>
      </c>
      <c r="AC2269" s="6" t="s">
        <v>10886</v>
      </c>
      <c r="AD2269" s="16" t="n">
        <v>43050</v>
      </c>
      <c r="AE2269" s="6" t="s">
        <v>14405</v>
      </c>
      <c r="AF2269" s="6" t="s">
        <v>81</v>
      </c>
      <c r="AG2269" s="6" t="s">
        <v>81</v>
      </c>
      <c r="AH2269" s="6" t="s">
        <v>16813</v>
      </c>
      <c r="AI2269" s="6" t="s">
        <v>81</v>
      </c>
      <c r="AJ2269" s="6" t="s">
        <v>18259</v>
      </c>
      <c r="AK2269" s="6" t="s">
        <v>18378</v>
      </c>
      <c r="AL2269" s="6" t="s">
        <v>18444</v>
      </c>
      <c r="AM2269" s="6" t="s">
        <v>19482</v>
      </c>
      <c r="AN2269" s="6" t="s">
        <v>8233</v>
      </c>
      <c r="AO2269" s="6" t="s">
        <v>20052</v>
      </c>
      <c r="AP2269" s="6" t="s">
        <v>16813</v>
      </c>
      <c r="AQ2269" s="6" t="s">
        <v>81</v>
      </c>
      <c r="AR2269" s="6" t="s">
        <v>18259</v>
      </c>
      <c r="AS2269" s="6" t="s">
        <v>18378</v>
      </c>
      <c r="AT2269" s="6" t="s">
        <v>18444</v>
      </c>
      <c r="AU2269" s="6" t="s">
        <v>19482</v>
      </c>
      <c r="AV2269" s="6" t="s">
        <v>81</v>
      </c>
      <c r="AW2269" s="6" t="s">
        <v>81</v>
      </c>
      <c r="AX2269" s="6" t="s">
        <v>22234</v>
      </c>
      <c r="AY2269" s="6" t="s">
        <v>23368</v>
      </c>
      <c r="AZ2269" s="6" t="s">
        <v>81</v>
      </c>
      <c r="BA2269" s="6" t="s">
        <v>81</v>
      </c>
      <c r="BB2269" s="24" t="n">
        <v>20</v>
      </c>
      <c r="BC2269" s="26"/>
      <c r="BD2269" s="26"/>
      <c r="BE2269" s="26"/>
      <c r="BF2269" s="26" t="s">
        <v>23900</v>
      </c>
      <c r="BG2269" s="26"/>
      <c r="BH2269" s="26"/>
      <c r="BI2269" s="26"/>
      <c r="BJ2269" s="26"/>
      <c r="BK2269" s="26"/>
      <c r="BL2269" s="26"/>
      <c r="BM2269" s="26"/>
      <c r="BN2269" s="26"/>
      <c r="BO2269" s="26"/>
      <c r="BP2269" s="16" t="n">
        <v>45737</v>
      </c>
      <c r="BQ2269" s="28" t="str">
        <f>HYPERLINK("https://organic.ams.usda.gov/Integrity/Certificate.aspx?cid=58&amp;nopid=1600003011")</f>
        <v>https://organic.ams.usda.gov/Integrity/Certificate.aspx?cid=58&amp;nopid=1600003011</v>
      </c>
    </row>
    <row r="2270">
      <c r="A2270" t="s">
        <v>3</v>
      </c>
      <c r="B2270" s="6" t="s">
        <v>24</v>
      </c>
      <c r="C2270" s="6" t="s">
        <v>71</v>
      </c>
      <c r="D2270" s="6" t="s">
        <v>117</v>
      </c>
      <c r="E2270" s="10" t="s">
        <v>2411</v>
      </c>
      <c r="F2270" s="6" t="s">
        <v>5121</v>
      </c>
      <c r="G2270" s="6" t="s">
        <v>81</v>
      </c>
      <c r="H2270" s="6" t="s">
        <v>81</v>
      </c>
      <c r="I2270" s="6" t="s">
        <v>8602</v>
      </c>
      <c r="J2270" s="6" t="s">
        <v>10696</v>
      </c>
      <c r="K2270" s="6" t="s">
        <v>10886</v>
      </c>
      <c r="L2270" s="16" t="n">
        <v>43818</v>
      </c>
      <c r="M2270" s="16" t="n">
        <v>45261</v>
      </c>
      <c r="N2270" s="6" t="s">
        <v>81</v>
      </c>
      <c r="O2270" s="21" t="s">
        <v>81</v>
      </c>
      <c r="P2270" s="6" t="s">
        <v>81</v>
      </c>
      <c r="Q2270" s="6" t="s">
        <v>81</v>
      </c>
      <c r="R2270" s="6" t="s">
        <v>81</v>
      </c>
      <c r="S2270" s="6" t="s">
        <v>81</v>
      </c>
      <c r="T2270" s="21" t="s">
        <v>81</v>
      </c>
      <c r="U2270" s="6" t="s">
        <v>81</v>
      </c>
      <c r="V2270" s="6" t="s">
        <v>81</v>
      </c>
      <c r="W2270" s="6" t="s">
        <v>81</v>
      </c>
      <c r="X2270" s="6" t="s">
        <v>81</v>
      </c>
      <c r="Y2270" s="21" t="s">
        <v>81</v>
      </c>
      <c r="Z2270" s="6" t="s">
        <v>81</v>
      </c>
      <c r="AA2270" s="6" t="s">
        <v>81</v>
      </c>
      <c r="AB2270" s="6" t="s">
        <v>81</v>
      </c>
      <c r="AC2270" s="6" t="s">
        <v>10886</v>
      </c>
      <c r="AD2270" s="16" t="n">
        <v>44671</v>
      </c>
      <c r="AE2270" s="6" t="s">
        <v>14406</v>
      </c>
      <c r="AF2270" s="6" t="s">
        <v>81</v>
      </c>
      <c r="AG2270" s="6" t="s">
        <v>81</v>
      </c>
      <c r="AH2270" s="6" t="s">
        <v>16814</v>
      </c>
      <c r="AI2270" s="6" t="s">
        <v>81</v>
      </c>
      <c r="AJ2270" s="6" t="s">
        <v>18221</v>
      </c>
      <c r="AK2270" s="6" t="s">
        <v>18389</v>
      </c>
      <c r="AL2270" s="6" t="s">
        <v>18444</v>
      </c>
      <c r="AM2270" s="6" t="s">
        <v>19483</v>
      </c>
      <c r="AN2270" s="6" t="s">
        <v>7546</v>
      </c>
      <c r="AO2270" s="6" t="s">
        <v>19872</v>
      </c>
      <c r="AP2270" s="6" t="s">
        <v>16814</v>
      </c>
      <c r="AQ2270" s="6" t="s">
        <v>81</v>
      </c>
      <c r="AR2270" s="6" t="s">
        <v>18221</v>
      </c>
      <c r="AS2270" s="6" t="s">
        <v>18389</v>
      </c>
      <c r="AT2270" s="6" t="s">
        <v>18444</v>
      </c>
      <c r="AU2270" s="6" t="s">
        <v>19483</v>
      </c>
      <c r="AV2270" s="6" t="s">
        <v>81</v>
      </c>
      <c r="AW2270" s="6" t="s">
        <v>81</v>
      </c>
      <c r="AX2270" s="6" t="s">
        <v>81</v>
      </c>
      <c r="AY2270" s="6" t="s">
        <v>23369</v>
      </c>
      <c r="AZ2270" s="6" t="s">
        <v>81</v>
      </c>
      <c r="BA2270" s="6" t="s">
        <v>81</v>
      </c>
      <c r="BB2270" s="6" t="s">
        <v>81</v>
      </c>
      <c r="BC2270" s="26"/>
      <c r="BD2270" s="26"/>
      <c r="BE2270" s="26"/>
      <c r="BF2270" s="26"/>
      <c r="BG2270" s="26"/>
      <c r="BH2270" s="26"/>
      <c r="BI2270" s="26"/>
      <c r="BJ2270" s="26"/>
      <c r="BK2270" s="26"/>
      <c r="BL2270" s="26"/>
      <c r="BM2270" s="26"/>
      <c r="BN2270" s="26"/>
      <c r="BO2270" s="26"/>
      <c r="BP2270" s="16" t="n">
        <v>45628</v>
      </c>
      <c r="BQ2270" s="28" t="str">
        <f>HYPERLINK("https://organic.ams.usda.gov/Integrity/Certificate.aspx?cid=1&amp;nopid=9092208301")</f>
        <v>https://organic.ams.usda.gov/Integrity/Certificate.aspx?cid=1&amp;nopid=9092208301</v>
      </c>
    </row>
    <row r="2271">
      <c r="A2271" t="s">
        <v>3</v>
      </c>
      <c r="B2271" s="6" t="s">
        <v>7</v>
      </c>
      <c r="C2271" s="6" t="s">
        <v>54</v>
      </c>
      <c r="D2271" s="6" t="s">
        <v>100</v>
      </c>
      <c r="E2271" s="10" t="s">
        <v>2412</v>
      </c>
      <c r="F2271" s="6" t="s">
        <v>5122</v>
      </c>
      <c r="G2271" s="6" t="s">
        <v>81</v>
      </c>
      <c r="H2271" s="6" t="s">
        <v>7962</v>
      </c>
      <c r="I2271" s="6" t="s">
        <v>8615</v>
      </c>
      <c r="J2271" s="6" t="s">
        <v>10697</v>
      </c>
      <c r="K2271" s="6" t="s">
        <v>10886</v>
      </c>
      <c r="L2271" s="16" t="n">
        <v>45316</v>
      </c>
      <c r="M2271" s="16" t="n">
        <v>45716</v>
      </c>
      <c r="N2271" s="6" t="s">
        <v>10886</v>
      </c>
      <c r="O2271" s="16" t="n">
        <v>45316</v>
      </c>
      <c r="P2271" s="6" t="s">
        <v>10925</v>
      </c>
      <c r="Q2271" s="6" t="s">
        <v>81</v>
      </c>
      <c r="R2271" s="6" t="s">
        <v>81</v>
      </c>
      <c r="S2271" s="6" t="s">
        <v>10886</v>
      </c>
      <c r="T2271" s="16" t="n">
        <v>45541</v>
      </c>
      <c r="U2271" s="6" t="s">
        <v>13804</v>
      </c>
      <c r="V2271" s="6" t="s">
        <v>81</v>
      </c>
      <c r="W2271" s="6" t="s">
        <v>81</v>
      </c>
      <c r="X2271" s="6" t="s">
        <v>81</v>
      </c>
      <c r="Y2271" s="21" t="s">
        <v>81</v>
      </c>
      <c r="Z2271" s="6" t="s">
        <v>81</v>
      </c>
      <c r="AA2271" s="6" t="s">
        <v>81</v>
      </c>
      <c r="AB2271" s="6" t="s">
        <v>81</v>
      </c>
      <c r="AC2271" s="6" t="s">
        <v>81</v>
      </c>
      <c r="AD2271" s="21" t="s">
        <v>81</v>
      </c>
      <c r="AE2271" s="6" t="s">
        <v>81</v>
      </c>
      <c r="AF2271" s="6" t="s">
        <v>81</v>
      </c>
      <c r="AG2271" s="6" t="s">
        <v>81</v>
      </c>
      <c r="AH2271" s="6" t="s">
        <v>16815</v>
      </c>
      <c r="AI2271" s="6" t="s">
        <v>81</v>
      </c>
      <c r="AJ2271" s="6" t="s">
        <v>17363</v>
      </c>
      <c r="AK2271" s="6" t="s">
        <v>17712</v>
      </c>
      <c r="AL2271" s="6" t="s">
        <v>18444</v>
      </c>
      <c r="AM2271" s="6" t="s">
        <v>18515</v>
      </c>
      <c r="AN2271" s="6" t="s">
        <v>81</v>
      </c>
      <c r="AO2271" s="6" t="s">
        <v>81</v>
      </c>
      <c r="AP2271" s="6" t="s">
        <v>16815</v>
      </c>
      <c r="AQ2271" s="6" t="s">
        <v>81</v>
      </c>
      <c r="AR2271" s="6" t="s">
        <v>17363</v>
      </c>
      <c r="AS2271" s="6" t="s">
        <v>17712</v>
      </c>
      <c r="AT2271" s="6" t="s">
        <v>18444</v>
      </c>
      <c r="AU2271" s="6" t="s">
        <v>18515</v>
      </c>
      <c r="AV2271" s="6" t="s">
        <v>81</v>
      </c>
      <c r="AW2271" s="6" t="s">
        <v>81</v>
      </c>
      <c r="AX2271" s="6" t="s">
        <v>22235</v>
      </c>
      <c r="AY2271" s="6" t="s">
        <v>81</v>
      </c>
      <c r="AZ2271" s="6" t="s">
        <v>81</v>
      </c>
      <c r="BA2271" s="6" t="s">
        <v>81</v>
      </c>
      <c r="BB2271" s="24" t="n">
        <v>244</v>
      </c>
      <c r="BC2271" s="26"/>
      <c r="BD2271" s="26"/>
      <c r="BE2271" s="26"/>
      <c r="BF2271" s="26" t="s">
        <v>23900</v>
      </c>
      <c r="BG2271" s="26"/>
      <c r="BH2271" s="26"/>
      <c r="BI2271" s="26"/>
      <c r="BJ2271" s="26"/>
      <c r="BK2271" s="26"/>
      <c r="BL2271" s="26"/>
      <c r="BM2271" s="26"/>
      <c r="BN2271" s="26"/>
      <c r="BO2271" s="26"/>
      <c r="BP2271" s="16" t="n">
        <v>45595</v>
      </c>
      <c r="BQ2271" s="28" t="str">
        <f>HYPERLINK("https://organic.ams.usda.gov/Integrity/Certificate.aspx?cid=57&amp;nopid=3252023087")</f>
        <v>https://organic.ams.usda.gov/Integrity/Certificate.aspx?cid=57&amp;nopid=3252023087</v>
      </c>
    </row>
    <row r="2272">
      <c r="A2272" t="s">
        <v>3</v>
      </c>
      <c r="B2272" s="6" t="s">
        <v>38</v>
      </c>
      <c r="C2272" s="6" t="s">
        <v>85</v>
      </c>
      <c r="D2272" s="6" t="s">
        <v>130</v>
      </c>
      <c r="E2272" s="10" t="s">
        <v>2413</v>
      </c>
      <c r="F2272" s="6" t="s">
        <v>5123</v>
      </c>
      <c r="G2272" s="6" t="s">
        <v>5839</v>
      </c>
      <c r="H2272" s="6" t="s">
        <v>7963</v>
      </c>
      <c r="I2272" s="6" t="s">
        <v>8621</v>
      </c>
      <c r="J2272" s="6" t="s">
        <v>10698</v>
      </c>
      <c r="K2272" s="6" t="s">
        <v>10886</v>
      </c>
      <c r="L2272" s="16" t="n">
        <v>37673</v>
      </c>
      <c r="M2272" s="16" t="n">
        <v>45870</v>
      </c>
      <c r="N2272" s="6" t="s">
        <v>10886</v>
      </c>
      <c r="O2272" s="16" t="n">
        <v>37673</v>
      </c>
      <c r="P2272" s="6" t="s">
        <v>10938</v>
      </c>
      <c r="Q2272" s="6" t="s">
        <v>81</v>
      </c>
      <c r="R2272" s="6" t="s">
        <v>81</v>
      </c>
      <c r="S2272" s="6" t="s">
        <v>10886</v>
      </c>
      <c r="T2272" s="16" t="n">
        <v>37673</v>
      </c>
      <c r="U2272" s="6" t="s">
        <v>13842</v>
      </c>
      <c r="V2272" s="6" t="s">
        <v>81</v>
      </c>
      <c r="W2272" s="6" t="s">
        <v>81</v>
      </c>
      <c r="X2272" s="6" t="s">
        <v>81</v>
      </c>
      <c r="Y2272" s="21" t="s">
        <v>81</v>
      </c>
      <c r="Z2272" s="6" t="s">
        <v>81</v>
      </c>
      <c r="AA2272" s="6" t="s">
        <v>81</v>
      </c>
      <c r="AB2272" s="6" t="s">
        <v>81</v>
      </c>
      <c r="AC2272" s="6" t="s">
        <v>81</v>
      </c>
      <c r="AD2272" s="21" t="s">
        <v>81</v>
      </c>
      <c r="AE2272" s="6" t="s">
        <v>81</v>
      </c>
      <c r="AF2272" s="6" t="s">
        <v>81</v>
      </c>
      <c r="AG2272" s="6" t="s">
        <v>81</v>
      </c>
      <c r="AH2272" s="6" t="s">
        <v>16816</v>
      </c>
      <c r="AI2272" s="6" t="s">
        <v>81</v>
      </c>
      <c r="AJ2272" s="6" t="s">
        <v>18260</v>
      </c>
      <c r="AK2272" s="6" t="s">
        <v>18412</v>
      </c>
      <c r="AL2272" s="6" t="s">
        <v>18444</v>
      </c>
      <c r="AM2272" s="6" t="s">
        <v>19484</v>
      </c>
      <c r="AN2272" s="6" t="s">
        <v>19669</v>
      </c>
      <c r="AO2272" s="6" t="s">
        <v>20053</v>
      </c>
      <c r="AP2272" s="6" t="s">
        <v>16816</v>
      </c>
      <c r="AQ2272" s="6" t="s">
        <v>81</v>
      </c>
      <c r="AR2272" s="6" t="s">
        <v>18260</v>
      </c>
      <c r="AS2272" s="6" t="s">
        <v>18412</v>
      </c>
      <c r="AT2272" s="6" t="s">
        <v>18444</v>
      </c>
      <c r="AU2272" s="6" t="s">
        <v>19484</v>
      </c>
      <c r="AV2272" s="6" t="s">
        <v>19669</v>
      </c>
      <c r="AW2272" s="6" t="s">
        <v>20053</v>
      </c>
      <c r="AX2272" s="6" t="s">
        <v>81</v>
      </c>
      <c r="AY2272" s="6" t="s">
        <v>23370</v>
      </c>
      <c r="AZ2272" s="6" t="s">
        <v>23768</v>
      </c>
      <c r="BA2272" s="6" t="s">
        <v>81</v>
      </c>
      <c r="BB2272" s="24" t="n">
        <v>153</v>
      </c>
      <c r="BC2272" s="26"/>
      <c r="BD2272" s="26"/>
      <c r="BE2272" s="26"/>
      <c r="BF2272" s="26"/>
      <c r="BG2272" s="26"/>
      <c r="BH2272" s="26"/>
      <c r="BI2272" s="26"/>
      <c r="BJ2272" s="26"/>
      <c r="BK2272" s="26"/>
      <c r="BL2272" s="26"/>
      <c r="BM2272" s="26"/>
      <c r="BN2272" s="26"/>
      <c r="BO2272" s="26"/>
      <c r="BP2272" s="16" t="n">
        <v>45723</v>
      </c>
      <c r="BQ2272" s="28" t="str">
        <f>HYPERLINK("https://organic.ams.usda.gov/Integrity/Certificate.aspx?cid=33&amp;nopid=2170023282")</f>
        <v>https://organic.ams.usda.gov/Integrity/Certificate.aspx?cid=33&amp;nopid=2170023282</v>
      </c>
    </row>
    <row r="2273">
      <c r="A2273" t="s">
        <v>3</v>
      </c>
      <c r="B2273" s="6" t="s">
        <v>8</v>
      </c>
      <c r="C2273" s="6" t="s">
        <v>55</v>
      </c>
      <c r="D2273" s="6" t="s">
        <v>101</v>
      </c>
      <c r="E2273" s="10" t="s">
        <v>2414</v>
      </c>
      <c r="F2273" s="6" t="s">
        <v>5124</v>
      </c>
      <c r="G2273" s="6" t="s">
        <v>81</v>
      </c>
      <c r="H2273" s="6" t="s">
        <v>7964</v>
      </c>
      <c r="I2273" s="6" t="s">
        <v>8514</v>
      </c>
      <c r="J2273" s="6" t="s">
        <v>10699</v>
      </c>
      <c r="K2273" s="6" t="s">
        <v>10886</v>
      </c>
      <c r="L2273" s="16" t="n">
        <v>37634</v>
      </c>
      <c r="M2273" s="16" t="n">
        <v>45748</v>
      </c>
      <c r="N2273" s="6" t="s">
        <v>10886</v>
      </c>
      <c r="O2273" s="16" t="n">
        <v>37634</v>
      </c>
      <c r="P2273" s="6" t="s">
        <v>12172</v>
      </c>
      <c r="Q2273" s="6" t="s">
        <v>81</v>
      </c>
      <c r="R2273" s="6" t="s">
        <v>7964</v>
      </c>
      <c r="S2273" s="6" t="s">
        <v>10886</v>
      </c>
      <c r="T2273" s="16" t="n">
        <v>37634</v>
      </c>
      <c r="U2273" s="6" t="s">
        <v>13671</v>
      </c>
      <c r="V2273" s="6" t="s">
        <v>81</v>
      </c>
      <c r="W2273" s="6" t="s">
        <v>7964</v>
      </c>
      <c r="X2273" s="6" t="s">
        <v>81</v>
      </c>
      <c r="Y2273" s="21" t="s">
        <v>81</v>
      </c>
      <c r="Z2273" s="6" t="s">
        <v>81</v>
      </c>
      <c r="AA2273" s="6" t="s">
        <v>81</v>
      </c>
      <c r="AB2273" s="6" t="s">
        <v>81</v>
      </c>
      <c r="AC2273" s="6" t="s">
        <v>81</v>
      </c>
      <c r="AD2273" s="21" t="s">
        <v>81</v>
      </c>
      <c r="AE2273" s="6" t="s">
        <v>81</v>
      </c>
      <c r="AF2273" s="6" t="s">
        <v>81</v>
      </c>
      <c r="AG2273" s="6" t="s">
        <v>81</v>
      </c>
      <c r="AH2273" s="6" t="s">
        <v>16817</v>
      </c>
      <c r="AI2273" s="6" t="s">
        <v>81</v>
      </c>
      <c r="AJ2273" s="6" t="s">
        <v>17737</v>
      </c>
      <c r="AK2273" s="6" t="s">
        <v>18381</v>
      </c>
      <c r="AL2273" s="6" t="s">
        <v>18444</v>
      </c>
      <c r="AM2273" s="6" t="s">
        <v>18905</v>
      </c>
      <c r="AN2273" s="6" t="s">
        <v>19663</v>
      </c>
      <c r="AO2273" s="6" t="s">
        <v>19763</v>
      </c>
      <c r="AP2273" s="6" t="s">
        <v>81</v>
      </c>
      <c r="AQ2273" s="6" t="s">
        <v>81</v>
      </c>
      <c r="AR2273" s="6" t="s">
        <v>81</v>
      </c>
      <c r="AS2273" s="6" t="s">
        <v>81</v>
      </c>
      <c r="AT2273" s="6" t="s">
        <v>81</v>
      </c>
      <c r="AU2273" s="6" t="s">
        <v>81</v>
      </c>
      <c r="AV2273" s="6" t="s">
        <v>81</v>
      </c>
      <c r="AW2273" s="6" t="s">
        <v>81</v>
      </c>
      <c r="AX2273" s="6" t="s">
        <v>81</v>
      </c>
      <c r="AY2273" s="6" t="s">
        <v>23371</v>
      </c>
      <c r="AZ2273" s="6" t="s">
        <v>81</v>
      </c>
      <c r="BA2273" s="6" t="s">
        <v>23819</v>
      </c>
      <c r="BB2273" s="24" t="n">
        <v>608</v>
      </c>
      <c r="BC2273" s="26"/>
      <c r="BD2273" s="26"/>
      <c r="BE2273" s="26"/>
      <c r="BF2273" s="26" t="s">
        <v>23900</v>
      </c>
      <c r="BG2273" s="26"/>
      <c r="BH2273" s="26"/>
      <c r="BI2273" s="26"/>
      <c r="BJ2273" s="26"/>
      <c r="BK2273" s="26"/>
      <c r="BL2273" s="26"/>
      <c r="BM2273" s="26"/>
      <c r="BN2273" s="26"/>
      <c r="BO2273" s="26"/>
      <c r="BP2273" s="16" t="n">
        <v>45574</v>
      </c>
      <c r="BQ2273" s="28" t="str">
        <f>HYPERLINK("https://organic.ams.usda.gov/Integrity/Certificate.aspx?cid=45&amp;nopid=9950001105")</f>
        <v>https://organic.ams.usda.gov/Integrity/Certificate.aspx?cid=45&amp;nopid=9950001105</v>
      </c>
    </row>
    <row r="2274">
      <c r="A2274" t="s">
        <v>3</v>
      </c>
      <c r="B2274" s="6" t="s">
        <v>37</v>
      </c>
      <c r="C2274" s="6" t="s">
        <v>84</v>
      </c>
      <c r="D2274" s="6" t="s">
        <v>129</v>
      </c>
      <c r="E2274" s="10" t="s">
        <v>2415</v>
      </c>
      <c r="F2274" s="6" t="s">
        <v>5125</v>
      </c>
      <c r="G2274" s="6" t="s">
        <v>81</v>
      </c>
      <c r="H2274" s="6" t="s">
        <v>7965</v>
      </c>
      <c r="I2274" s="6" t="s">
        <v>9477</v>
      </c>
      <c r="J2274" s="6" t="s">
        <v>9969</v>
      </c>
      <c r="K2274" s="6" t="s">
        <v>10886</v>
      </c>
      <c r="L2274" s="16" t="n">
        <v>41703</v>
      </c>
      <c r="M2274" s="16" t="n">
        <v>45748</v>
      </c>
      <c r="N2274" s="6" t="s">
        <v>10886</v>
      </c>
      <c r="O2274" s="16" t="n">
        <v>41703</v>
      </c>
      <c r="P2274" s="6" t="s">
        <v>12173</v>
      </c>
      <c r="Q2274" s="6" t="s">
        <v>81</v>
      </c>
      <c r="R2274" s="6" t="s">
        <v>13046</v>
      </c>
      <c r="S2274" s="6" t="s">
        <v>10886</v>
      </c>
      <c r="T2274" s="16" t="n">
        <v>41703</v>
      </c>
      <c r="U2274" s="6" t="s">
        <v>13843</v>
      </c>
      <c r="V2274" s="6" t="s">
        <v>81</v>
      </c>
      <c r="W2274" s="6" t="s">
        <v>13046</v>
      </c>
      <c r="X2274" s="6" t="s">
        <v>81</v>
      </c>
      <c r="Y2274" s="21" t="s">
        <v>81</v>
      </c>
      <c r="Z2274" s="6" t="s">
        <v>81</v>
      </c>
      <c r="AA2274" s="6" t="s">
        <v>81</v>
      </c>
      <c r="AB2274" s="6" t="s">
        <v>81</v>
      </c>
      <c r="AC2274" s="6" t="s">
        <v>10886</v>
      </c>
      <c r="AD2274" s="16" t="n">
        <v>41703</v>
      </c>
      <c r="AE2274" s="6" t="s">
        <v>14041</v>
      </c>
      <c r="AF2274" s="6" t="s">
        <v>81</v>
      </c>
      <c r="AG2274" s="6" t="s">
        <v>13046</v>
      </c>
      <c r="AH2274" s="6" t="s">
        <v>16818</v>
      </c>
      <c r="AI2274" s="6" t="s">
        <v>81</v>
      </c>
      <c r="AJ2274" s="6" t="s">
        <v>18044</v>
      </c>
      <c r="AK2274" s="6" t="s">
        <v>17759</v>
      </c>
      <c r="AL2274" s="6" t="s">
        <v>18444</v>
      </c>
      <c r="AM2274" s="6" t="s">
        <v>19238</v>
      </c>
      <c r="AN2274" s="6" t="s">
        <v>7195</v>
      </c>
      <c r="AO2274" s="6" t="s">
        <v>19721</v>
      </c>
      <c r="AP2274" s="6" t="s">
        <v>16818</v>
      </c>
      <c r="AQ2274" s="6" t="s">
        <v>81</v>
      </c>
      <c r="AR2274" s="6" t="s">
        <v>18044</v>
      </c>
      <c r="AS2274" s="6" t="s">
        <v>17759</v>
      </c>
      <c r="AT2274" s="6" t="s">
        <v>18444</v>
      </c>
      <c r="AU2274" s="6" t="s">
        <v>19238</v>
      </c>
      <c r="AV2274" s="6" t="s">
        <v>81</v>
      </c>
      <c r="AW2274" s="6" t="s">
        <v>81</v>
      </c>
      <c r="AX2274" s="6" t="s">
        <v>22236</v>
      </c>
      <c r="AY2274" s="6" t="s">
        <v>81</v>
      </c>
      <c r="AZ2274" s="6" t="s">
        <v>81</v>
      </c>
      <c r="BA2274" s="6" t="s">
        <v>81</v>
      </c>
      <c r="BB2274" s="24" t="n">
        <v>171</v>
      </c>
      <c r="BC2274" s="26"/>
      <c r="BD2274" s="26"/>
      <c r="BE2274" s="26"/>
      <c r="BF2274" s="26" t="s">
        <v>23900</v>
      </c>
      <c r="BG2274" s="26"/>
      <c r="BH2274" s="26"/>
      <c r="BI2274" s="26"/>
      <c r="BJ2274" s="26"/>
      <c r="BK2274" s="26"/>
      <c r="BL2274" s="26"/>
      <c r="BM2274" s="26"/>
      <c r="BN2274" s="26"/>
      <c r="BO2274" s="26"/>
      <c r="BP2274" s="16" t="n">
        <v>45391</v>
      </c>
      <c r="BQ2274" s="28" t="str">
        <f>HYPERLINK("https://organic.ams.usda.gov/Integrity/Certificate.aspx?cid=42&amp;nopid=6780000230")</f>
        <v>https://organic.ams.usda.gov/Integrity/Certificate.aspx?cid=42&amp;nopid=6780000230</v>
      </c>
    </row>
    <row r="2275">
      <c r="A2275" t="s">
        <v>3</v>
      </c>
      <c r="B2275" s="6" t="s">
        <v>15</v>
      </c>
      <c r="C2275" s="6" t="s">
        <v>62</v>
      </c>
      <c r="D2275" s="6" t="s">
        <v>108</v>
      </c>
      <c r="E2275" s="10" t="s">
        <v>2416</v>
      </c>
      <c r="F2275" s="6" t="s">
        <v>5126</v>
      </c>
      <c r="G2275" s="6" t="s">
        <v>5840</v>
      </c>
      <c r="H2275" s="6" t="s">
        <v>7966</v>
      </c>
      <c r="I2275" s="6" t="s">
        <v>9478</v>
      </c>
      <c r="J2275" s="6" t="s">
        <v>10700</v>
      </c>
      <c r="K2275" s="6" t="s">
        <v>10886</v>
      </c>
      <c r="L2275" s="16" t="n">
        <v>45504</v>
      </c>
      <c r="M2275" s="16" t="n">
        <v>45747</v>
      </c>
      <c r="N2275" s="6" t="s">
        <v>81</v>
      </c>
      <c r="O2275" s="21" t="s">
        <v>81</v>
      </c>
      <c r="P2275" s="6" t="s">
        <v>81</v>
      </c>
      <c r="Q2275" s="6" t="s">
        <v>81</v>
      </c>
      <c r="R2275" s="6" t="s">
        <v>81</v>
      </c>
      <c r="S2275" s="6" t="s">
        <v>81</v>
      </c>
      <c r="T2275" s="21" t="s">
        <v>81</v>
      </c>
      <c r="U2275" s="6" t="s">
        <v>81</v>
      </c>
      <c r="V2275" s="6" t="s">
        <v>81</v>
      </c>
      <c r="W2275" s="6" t="s">
        <v>81</v>
      </c>
      <c r="X2275" s="6" t="s">
        <v>81</v>
      </c>
      <c r="Y2275" s="21" t="s">
        <v>81</v>
      </c>
      <c r="Z2275" s="6" t="s">
        <v>81</v>
      </c>
      <c r="AA2275" s="6" t="s">
        <v>81</v>
      </c>
      <c r="AB2275" s="6" t="s">
        <v>81</v>
      </c>
      <c r="AC2275" s="6" t="s">
        <v>10886</v>
      </c>
      <c r="AD2275" s="16" t="n">
        <v>45504</v>
      </c>
      <c r="AE2275" s="6" t="s">
        <v>14407</v>
      </c>
      <c r="AF2275" s="6" t="s">
        <v>81</v>
      </c>
      <c r="AG2275" s="6" t="s">
        <v>81</v>
      </c>
      <c r="AH2275" s="6" t="s">
        <v>16819</v>
      </c>
      <c r="AI2275" s="6" t="s">
        <v>81</v>
      </c>
      <c r="AJ2275" s="6" t="s">
        <v>17464</v>
      </c>
      <c r="AK2275" s="6" t="s">
        <v>18385</v>
      </c>
      <c r="AL2275" s="6" t="s">
        <v>18444</v>
      </c>
      <c r="AM2275" s="6" t="s">
        <v>19485</v>
      </c>
      <c r="AN2275" s="6" t="s">
        <v>81</v>
      </c>
      <c r="AO2275" s="6" t="s">
        <v>81</v>
      </c>
      <c r="AP2275" s="6" t="s">
        <v>16819</v>
      </c>
      <c r="AQ2275" s="6" t="s">
        <v>81</v>
      </c>
      <c r="AR2275" s="6" t="s">
        <v>17464</v>
      </c>
      <c r="AS2275" s="6" t="s">
        <v>18385</v>
      </c>
      <c r="AT2275" s="6" t="s">
        <v>18444</v>
      </c>
      <c r="AU2275" s="6" t="s">
        <v>19485</v>
      </c>
      <c r="AV2275" s="6" t="s">
        <v>81</v>
      </c>
      <c r="AW2275" s="6" t="s">
        <v>81</v>
      </c>
      <c r="AX2275" s="6" t="s">
        <v>22237</v>
      </c>
      <c r="AY2275" s="6" t="s">
        <v>23372</v>
      </c>
      <c r="AZ2275" s="6" t="s">
        <v>81</v>
      </c>
      <c r="BA2275" s="6" t="s">
        <v>81</v>
      </c>
      <c r="BB2275" s="6" t="s">
        <v>81</v>
      </c>
      <c r="BC2275" s="26" t="s">
        <v>23900</v>
      </c>
      <c r="BD2275" s="26"/>
      <c r="BE2275" s="26"/>
      <c r="BF2275" s="26"/>
      <c r="BG2275" s="26"/>
      <c r="BH2275" s="26"/>
      <c r="BI2275" s="26"/>
      <c r="BJ2275" s="26"/>
      <c r="BK2275" s="26"/>
      <c r="BL2275" s="26"/>
      <c r="BM2275" s="26"/>
      <c r="BN2275" s="26"/>
      <c r="BO2275" s="26"/>
      <c r="BP2275" s="16" t="n">
        <v>45737</v>
      </c>
      <c r="BQ2275" s="28" t="str">
        <f>HYPERLINK("https://organic.ams.usda.gov/Integrity/Certificate.aspx?cid=58&amp;nopid=1600003798")</f>
        <v>https://organic.ams.usda.gov/Integrity/Certificate.aspx?cid=58&amp;nopid=1600003798</v>
      </c>
    </row>
    <row r="2276">
      <c r="A2276" t="s">
        <v>3</v>
      </c>
      <c r="B2276" s="6" t="s">
        <v>11</v>
      </c>
      <c r="C2276" s="6" t="s">
        <v>58</v>
      </c>
      <c r="D2276" s="6" t="s">
        <v>104</v>
      </c>
      <c r="E2276" s="10" t="s">
        <v>2417</v>
      </c>
      <c r="F2276" s="6" t="s">
        <v>5127</v>
      </c>
      <c r="G2276" s="6" t="s">
        <v>81</v>
      </c>
      <c r="H2276" s="6" t="s">
        <v>81</v>
      </c>
      <c r="I2276" s="6" t="s">
        <v>9479</v>
      </c>
      <c r="J2276" s="6" t="s">
        <v>10701</v>
      </c>
      <c r="K2276" s="6" t="s">
        <v>10886</v>
      </c>
      <c r="L2276" s="16" t="n">
        <v>45195</v>
      </c>
      <c r="M2276" s="16" t="n">
        <v>45383</v>
      </c>
      <c r="N2276" s="6" t="s">
        <v>10886</v>
      </c>
      <c r="O2276" s="16" t="n">
        <v>45195</v>
      </c>
      <c r="P2276" s="6" t="s">
        <v>12174</v>
      </c>
      <c r="Q2276" s="6" t="s">
        <v>81</v>
      </c>
      <c r="R2276" s="6" t="s">
        <v>81</v>
      </c>
      <c r="S2276" s="6" t="s">
        <v>10886</v>
      </c>
      <c r="T2276" s="16" t="n">
        <v>45195</v>
      </c>
      <c r="U2276" s="6" t="s">
        <v>13567</v>
      </c>
      <c r="V2276" s="6" t="s">
        <v>81</v>
      </c>
      <c r="W2276" s="6" t="s">
        <v>81</v>
      </c>
      <c r="X2276" s="6" t="s">
        <v>81</v>
      </c>
      <c r="Y2276" s="21" t="s">
        <v>81</v>
      </c>
      <c r="Z2276" s="6" t="s">
        <v>81</v>
      </c>
      <c r="AA2276" s="6" t="s">
        <v>81</v>
      </c>
      <c r="AB2276" s="6" t="s">
        <v>81</v>
      </c>
      <c r="AC2276" s="6" t="s">
        <v>81</v>
      </c>
      <c r="AD2276" s="21" t="s">
        <v>81</v>
      </c>
      <c r="AE2276" s="6" t="s">
        <v>81</v>
      </c>
      <c r="AF2276" s="6" t="s">
        <v>81</v>
      </c>
      <c r="AG2276" s="6" t="s">
        <v>81</v>
      </c>
      <c r="AH2276" s="6" t="s">
        <v>16820</v>
      </c>
      <c r="AI2276" s="6" t="s">
        <v>81</v>
      </c>
      <c r="AJ2276" s="6" t="s">
        <v>18261</v>
      </c>
      <c r="AK2276" s="6" t="s">
        <v>18381</v>
      </c>
      <c r="AL2276" s="6" t="s">
        <v>18444</v>
      </c>
      <c r="AM2276" s="6" t="s">
        <v>19486</v>
      </c>
      <c r="AN2276" s="6" t="s">
        <v>81</v>
      </c>
      <c r="AO2276" s="6" t="s">
        <v>81</v>
      </c>
      <c r="AP2276" s="6" t="s">
        <v>16820</v>
      </c>
      <c r="AQ2276" s="6" t="s">
        <v>81</v>
      </c>
      <c r="AR2276" s="6" t="s">
        <v>18261</v>
      </c>
      <c r="AS2276" s="6" t="s">
        <v>18381</v>
      </c>
      <c r="AT2276" s="6" t="s">
        <v>18444</v>
      </c>
      <c r="AU2276" s="6" t="s">
        <v>19486</v>
      </c>
      <c r="AV2276" s="6" t="s">
        <v>19636</v>
      </c>
      <c r="AW2276" s="6" t="s">
        <v>19949</v>
      </c>
      <c r="AX2276" s="6" t="s">
        <v>81</v>
      </c>
      <c r="AY2276" s="6" t="s">
        <v>81</v>
      </c>
      <c r="AZ2276" s="6" t="s">
        <v>81</v>
      </c>
      <c r="BA2276" s="6" t="s">
        <v>23825</v>
      </c>
      <c r="BB2276" s="24" t="n">
        <v>1010</v>
      </c>
      <c r="BC2276" s="26"/>
      <c r="BD2276" s="26"/>
      <c r="BE2276" s="26"/>
      <c r="BF2276" s="26"/>
      <c r="BG2276" s="26"/>
      <c r="BH2276" s="26"/>
      <c r="BI2276" s="26"/>
      <c r="BJ2276" s="26"/>
      <c r="BK2276" s="26"/>
      <c r="BL2276" s="26"/>
      <c r="BM2276" s="26"/>
      <c r="BN2276" s="26"/>
      <c r="BO2276" s="26"/>
      <c r="BP2276" s="16" t="n">
        <v>45443</v>
      </c>
      <c r="BQ2276" s="28" t="str">
        <f>HYPERLINK("https://organic.ams.usda.gov/Integrity/Certificate.aspx?cid=46&amp;nopid=3672300065")</f>
        <v>https://organic.ams.usda.gov/Integrity/Certificate.aspx?cid=46&amp;nopid=3672300065</v>
      </c>
    </row>
    <row r="2277">
      <c r="A2277" t="s">
        <v>3</v>
      </c>
      <c r="B2277" s="6" t="s">
        <v>7</v>
      </c>
      <c r="C2277" s="6" t="s">
        <v>54</v>
      </c>
      <c r="D2277" s="6" t="s">
        <v>100</v>
      </c>
      <c r="E2277" s="10" t="s">
        <v>2418</v>
      </c>
      <c r="F2277" s="6" t="s">
        <v>5128</v>
      </c>
      <c r="G2277" s="6" t="s">
        <v>81</v>
      </c>
      <c r="H2277" s="6" t="s">
        <v>7967</v>
      </c>
      <c r="I2277" s="6" t="s">
        <v>8687</v>
      </c>
      <c r="J2277" s="6" t="s">
        <v>10702</v>
      </c>
      <c r="K2277" s="6" t="s">
        <v>10886</v>
      </c>
      <c r="L2277" s="16" t="n">
        <v>42024</v>
      </c>
      <c r="M2277" s="16" t="n">
        <v>45716</v>
      </c>
      <c r="N2277" s="6" t="s">
        <v>10886</v>
      </c>
      <c r="O2277" s="16" t="n">
        <v>42024</v>
      </c>
      <c r="P2277" s="6" t="s">
        <v>11102</v>
      </c>
      <c r="Q2277" s="6" t="s">
        <v>81</v>
      </c>
      <c r="R2277" s="6" t="s">
        <v>81</v>
      </c>
      <c r="S2277" s="6" t="s">
        <v>10886</v>
      </c>
      <c r="T2277" s="16" t="n">
        <v>42024</v>
      </c>
      <c r="U2277" s="6" t="s">
        <v>13169</v>
      </c>
      <c r="V2277" s="6" t="s">
        <v>81</v>
      </c>
      <c r="W2277" s="6" t="s">
        <v>81</v>
      </c>
      <c r="X2277" s="6" t="s">
        <v>81</v>
      </c>
      <c r="Y2277" s="21" t="s">
        <v>81</v>
      </c>
      <c r="Z2277" s="6" t="s">
        <v>81</v>
      </c>
      <c r="AA2277" s="6" t="s">
        <v>81</v>
      </c>
      <c r="AB2277" s="6" t="s">
        <v>81</v>
      </c>
      <c r="AC2277" s="6" t="s">
        <v>81</v>
      </c>
      <c r="AD2277" s="21" t="s">
        <v>81</v>
      </c>
      <c r="AE2277" s="6" t="s">
        <v>81</v>
      </c>
      <c r="AF2277" s="6" t="s">
        <v>81</v>
      </c>
      <c r="AG2277" s="6" t="s">
        <v>81</v>
      </c>
      <c r="AH2277" s="6" t="s">
        <v>16821</v>
      </c>
      <c r="AI2277" s="6" t="s">
        <v>81</v>
      </c>
      <c r="AJ2277" s="6" t="s">
        <v>18262</v>
      </c>
      <c r="AK2277" s="6" t="s">
        <v>17712</v>
      </c>
      <c r="AL2277" s="6" t="s">
        <v>18444</v>
      </c>
      <c r="AM2277" s="6" t="s">
        <v>19487</v>
      </c>
      <c r="AN2277" s="6" t="s">
        <v>19696</v>
      </c>
      <c r="AO2277" s="6" t="s">
        <v>19791</v>
      </c>
      <c r="AP2277" s="6" t="s">
        <v>16821</v>
      </c>
      <c r="AQ2277" s="6" t="s">
        <v>81</v>
      </c>
      <c r="AR2277" s="6" t="s">
        <v>18262</v>
      </c>
      <c r="AS2277" s="6" t="s">
        <v>17712</v>
      </c>
      <c r="AT2277" s="6" t="s">
        <v>18444</v>
      </c>
      <c r="AU2277" s="6" t="s">
        <v>19487</v>
      </c>
      <c r="AV2277" s="6" t="s">
        <v>81</v>
      </c>
      <c r="AW2277" s="6" t="s">
        <v>81</v>
      </c>
      <c r="AX2277" s="6" t="s">
        <v>22238</v>
      </c>
      <c r="AY2277" s="6" t="s">
        <v>81</v>
      </c>
      <c r="AZ2277" s="6" t="s">
        <v>81</v>
      </c>
      <c r="BA2277" s="6" t="s">
        <v>81</v>
      </c>
      <c r="BB2277" s="24" t="n">
        <v>548</v>
      </c>
      <c r="BC2277" s="26"/>
      <c r="BD2277" s="26"/>
      <c r="BE2277" s="26"/>
      <c r="BF2277" s="26" t="s">
        <v>23900</v>
      </c>
      <c r="BG2277" s="26"/>
      <c r="BH2277" s="26"/>
      <c r="BI2277" s="26"/>
      <c r="BJ2277" s="26"/>
      <c r="BK2277" s="26"/>
      <c r="BL2277" s="26"/>
      <c r="BM2277" s="26"/>
      <c r="BN2277" s="26"/>
      <c r="BO2277" s="26"/>
      <c r="BP2277" s="16" t="n">
        <v>45721</v>
      </c>
      <c r="BQ2277" s="28" t="str">
        <f>HYPERLINK("https://organic.ams.usda.gov/Integrity/Certificate.aspx?cid=57&amp;nopid=3252013051")</f>
        <v>https://organic.ams.usda.gov/Integrity/Certificate.aspx?cid=57&amp;nopid=3252013051</v>
      </c>
    </row>
    <row r="2278">
      <c r="A2278" t="s">
        <v>3</v>
      </c>
      <c r="B2278" s="6" t="s">
        <v>10</v>
      </c>
      <c r="C2278" s="6" t="s">
        <v>57</v>
      </c>
      <c r="D2278" s="6" t="s">
        <v>103</v>
      </c>
      <c r="E2278" s="10" t="s">
        <v>2419</v>
      </c>
      <c r="F2278" s="6" t="s">
        <v>5129</v>
      </c>
      <c r="G2278" s="6" t="s">
        <v>81</v>
      </c>
      <c r="H2278" s="6" t="s">
        <v>7968</v>
      </c>
      <c r="I2278" s="6" t="s">
        <v>9480</v>
      </c>
      <c r="J2278" s="6" t="s">
        <v>9669</v>
      </c>
      <c r="K2278" s="6" t="s">
        <v>10886</v>
      </c>
      <c r="L2278" s="16" t="n">
        <v>43399</v>
      </c>
      <c r="M2278" s="16" t="n">
        <v>45748</v>
      </c>
      <c r="N2278" s="6" t="s">
        <v>10886</v>
      </c>
      <c r="O2278" s="16" t="n">
        <v>43399</v>
      </c>
      <c r="P2278" s="6" t="s">
        <v>11330</v>
      </c>
      <c r="Q2278" s="6" t="s">
        <v>81</v>
      </c>
      <c r="R2278" s="6" t="s">
        <v>13047</v>
      </c>
      <c r="S2278" s="6" t="s">
        <v>10886</v>
      </c>
      <c r="T2278" s="16" t="n">
        <v>43399</v>
      </c>
      <c r="U2278" s="6" t="s">
        <v>13163</v>
      </c>
      <c r="V2278" s="6" t="s">
        <v>81</v>
      </c>
      <c r="W2278" s="6" t="s">
        <v>81</v>
      </c>
      <c r="X2278" s="6" t="s">
        <v>81</v>
      </c>
      <c r="Y2278" s="21" t="s">
        <v>81</v>
      </c>
      <c r="Z2278" s="6" t="s">
        <v>81</v>
      </c>
      <c r="AA2278" s="6" t="s">
        <v>81</v>
      </c>
      <c r="AB2278" s="6" t="s">
        <v>81</v>
      </c>
      <c r="AC2278" s="6" t="s">
        <v>81</v>
      </c>
      <c r="AD2278" s="21" t="s">
        <v>81</v>
      </c>
      <c r="AE2278" s="6" t="s">
        <v>81</v>
      </c>
      <c r="AF2278" s="6" t="s">
        <v>81</v>
      </c>
      <c r="AG2278" s="6" t="s">
        <v>81</v>
      </c>
      <c r="AH2278" s="6" t="s">
        <v>16822</v>
      </c>
      <c r="AI2278" s="6" t="s">
        <v>81</v>
      </c>
      <c r="AJ2278" s="6" t="s">
        <v>17392</v>
      </c>
      <c r="AK2278" s="6" t="s">
        <v>18379</v>
      </c>
      <c r="AL2278" s="6" t="s">
        <v>18444</v>
      </c>
      <c r="AM2278" s="6" t="s">
        <v>18548</v>
      </c>
      <c r="AN2278" s="6" t="s">
        <v>19637</v>
      </c>
      <c r="AO2278" s="6" t="s">
        <v>19723</v>
      </c>
      <c r="AP2278" s="6" t="s">
        <v>16822</v>
      </c>
      <c r="AQ2278" s="6" t="s">
        <v>81</v>
      </c>
      <c r="AR2278" s="6" t="s">
        <v>17392</v>
      </c>
      <c r="AS2278" s="6" t="s">
        <v>18379</v>
      </c>
      <c r="AT2278" s="6" t="s">
        <v>18444</v>
      </c>
      <c r="AU2278" s="6" t="s">
        <v>18548</v>
      </c>
      <c r="AV2278" s="6" t="s">
        <v>81</v>
      </c>
      <c r="AW2278" s="6" t="s">
        <v>81</v>
      </c>
      <c r="AX2278" s="6" t="s">
        <v>22239</v>
      </c>
      <c r="AY2278" s="6" t="s">
        <v>81</v>
      </c>
      <c r="AZ2278" s="6" t="s">
        <v>81</v>
      </c>
      <c r="BA2278" s="6" t="s">
        <v>81</v>
      </c>
      <c r="BB2278" s="24" t="n">
        <v>112</v>
      </c>
      <c r="BC2278" s="26"/>
      <c r="BD2278" s="26"/>
      <c r="BE2278" s="26"/>
      <c r="BF2278" s="26"/>
      <c r="BG2278" s="26"/>
      <c r="BH2278" s="26"/>
      <c r="BI2278" s="26"/>
      <c r="BJ2278" s="26"/>
      <c r="BK2278" s="26"/>
      <c r="BL2278" s="26"/>
      <c r="BM2278" s="26"/>
      <c r="BN2278" s="26"/>
      <c r="BO2278" s="26"/>
      <c r="BP2278" s="16" t="n">
        <v>45730</v>
      </c>
      <c r="BQ2278" s="28" t="str">
        <f>HYPERLINK("https://organic.ams.usda.gov/Integrity/Certificate.aspx?cid=90&amp;nopid=7170210336")</f>
        <v>https://organic.ams.usda.gov/Integrity/Certificate.aspx?cid=90&amp;nopid=7170210336</v>
      </c>
    </row>
    <row r="2279">
      <c r="A2279" t="s">
        <v>3</v>
      </c>
      <c r="B2279" s="6" t="s">
        <v>9</v>
      </c>
      <c r="C2279" s="6" t="s">
        <v>56</v>
      </c>
      <c r="D2279" s="6" t="s">
        <v>102</v>
      </c>
      <c r="E2279" s="10" t="s">
        <v>2420</v>
      </c>
      <c r="F2279" s="6" t="s">
        <v>5130</v>
      </c>
      <c r="G2279" s="6" t="s">
        <v>81</v>
      </c>
      <c r="H2279" s="6" t="s">
        <v>7969</v>
      </c>
      <c r="I2279" s="6" t="s">
        <v>9481</v>
      </c>
      <c r="J2279" s="6" t="s">
        <v>10197</v>
      </c>
      <c r="K2279" s="6" t="s">
        <v>10886</v>
      </c>
      <c r="L2279" s="16" t="n">
        <v>43306</v>
      </c>
      <c r="M2279" s="16" t="n">
        <v>45748</v>
      </c>
      <c r="N2279" s="6" t="s">
        <v>10886</v>
      </c>
      <c r="O2279" s="16" t="n">
        <v>43306</v>
      </c>
      <c r="P2279" s="6" t="s">
        <v>12175</v>
      </c>
      <c r="Q2279" s="6" t="s">
        <v>81</v>
      </c>
      <c r="R2279" s="6" t="s">
        <v>13048</v>
      </c>
      <c r="S2279" s="6" t="s">
        <v>10886</v>
      </c>
      <c r="T2279" s="16" t="n">
        <v>43306</v>
      </c>
      <c r="U2279" s="6" t="s">
        <v>13172</v>
      </c>
      <c r="V2279" s="6" t="s">
        <v>81</v>
      </c>
      <c r="W2279" s="6" t="s">
        <v>13048</v>
      </c>
      <c r="X2279" s="6" t="s">
        <v>81</v>
      </c>
      <c r="Y2279" s="21" t="s">
        <v>81</v>
      </c>
      <c r="Z2279" s="6" t="s">
        <v>81</v>
      </c>
      <c r="AA2279" s="6" t="s">
        <v>81</v>
      </c>
      <c r="AB2279" s="6" t="s">
        <v>81</v>
      </c>
      <c r="AC2279" s="6" t="s">
        <v>81</v>
      </c>
      <c r="AD2279" s="21" t="s">
        <v>81</v>
      </c>
      <c r="AE2279" s="6" t="s">
        <v>81</v>
      </c>
      <c r="AF2279" s="6" t="s">
        <v>81</v>
      </c>
      <c r="AG2279" s="6" t="s">
        <v>81</v>
      </c>
      <c r="AH2279" s="6" t="s">
        <v>16823</v>
      </c>
      <c r="AI2279" s="6" t="s">
        <v>81</v>
      </c>
      <c r="AJ2279" s="6" t="s">
        <v>17376</v>
      </c>
      <c r="AK2279" s="6" t="s">
        <v>18377</v>
      </c>
      <c r="AL2279" s="6" t="s">
        <v>18444</v>
      </c>
      <c r="AM2279" s="6" t="s">
        <v>18528</v>
      </c>
      <c r="AN2279" s="6" t="s">
        <v>19661</v>
      </c>
      <c r="AO2279" s="6" t="s">
        <v>19761</v>
      </c>
      <c r="AP2279" s="6" t="s">
        <v>81</v>
      </c>
      <c r="AQ2279" s="6" t="s">
        <v>81</v>
      </c>
      <c r="AR2279" s="6" t="s">
        <v>81</v>
      </c>
      <c r="AS2279" s="6" t="s">
        <v>81</v>
      </c>
      <c r="AT2279" s="6" t="s">
        <v>81</v>
      </c>
      <c r="AU2279" s="6" t="s">
        <v>81</v>
      </c>
      <c r="AV2279" s="6" t="s">
        <v>81</v>
      </c>
      <c r="AW2279" s="6" t="s">
        <v>81</v>
      </c>
      <c r="AX2279" s="6" t="s">
        <v>22240</v>
      </c>
      <c r="AY2279" s="6" t="s">
        <v>81</v>
      </c>
      <c r="AZ2279" s="6" t="s">
        <v>81</v>
      </c>
      <c r="BA2279" s="6" t="s">
        <v>81</v>
      </c>
      <c r="BB2279" s="24" t="n">
        <v>166</v>
      </c>
      <c r="BC2279" s="26"/>
      <c r="BD2279" s="26"/>
      <c r="BE2279" s="26"/>
      <c r="BF2279" s="26"/>
      <c r="BG2279" s="26"/>
      <c r="BH2279" s="26"/>
      <c r="BI2279" s="26"/>
      <c r="BJ2279" s="26"/>
      <c r="BK2279" s="26"/>
      <c r="BL2279" s="26"/>
      <c r="BM2279" s="26"/>
      <c r="BN2279" s="26"/>
      <c r="BO2279" s="26"/>
      <c r="BP2279" s="16" t="n">
        <v>45738</v>
      </c>
      <c r="BQ2279" s="28" t="str">
        <f>HYPERLINK("https://organic.ams.usda.gov/Integrity/Certificate.aspx?cid=52&amp;nopid=8431801462")</f>
        <v>https://organic.ams.usda.gov/Integrity/Certificate.aspx?cid=52&amp;nopid=8431801462</v>
      </c>
    </row>
    <row r="2280">
      <c r="A2280" t="s">
        <v>3</v>
      </c>
      <c r="B2280" s="6" t="s">
        <v>12</v>
      </c>
      <c r="C2280" s="6" t="s">
        <v>59</v>
      </c>
      <c r="D2280" s="6" t="s">
        <v>105</v>
      </c>
      <c r="E2280" s="10" t="s">
        <v>2421</v>
      </c>
      <c r="F2280" s="6" t="s">
        <v>5131</v>
      </c>
      <c r="G2280" s="6" t="s">
        <v>81</v>
      </c>
      <c r="H2280" s="6" t="s">
        <v>7970</v>
      </c>
      <c r="I2280" s="6" t="s">
        <v>9482</v>
      </c>
      <c r="J2280" s="6" t="s">
        <v>9665</v>
      </c>
      <c r="K2280" s="6" t="s">
        <v>10886</v>
      </c>
      <c r="L2280" s="16" t="n">
        <v>45051</v>
      </c>
      <c r="M2280" s="16" t="n">
        <v>45717</v>
      </c>
      <c r="N2280" s="6" t="s">
        <v>10886</v>
      </c>
      <c r="O2280" s="16" t="n">
        <v>45170</v>
      </c>
      <c r="P2280" s="6" t="s">
        <v>10910</v>
      </c>
      <c r="Q2280" s="6" t="s">
        <v>81</v>
      </c>
      <c r="R2280" s="6" t="s">
        <v>81</v>
      </c>
      <c r="S2280" s="6" t="s">
        <v>10886</v>
      </c>
      <c r="T2280" s="16" t="n">
        <v>45051</v>
      </c>
      <c r="U2280" s="6" t="s">
        <v>13209</v>
      </c>
      <c r="V2280" s="6" t="s">
        <v>81</v>
      </c>
      <c r="W2280" s="6" t="s">
        <v>81</v>
      </c>
      <c r="X2280" s="6" t="s">
        <v>81</v>
      </c>
      <c r="Y2280" s="21" t="s">
        <v>81</v>
      </c>
      <c r="Z2280" s="6" t="s">
        <v>81</v>
      </c>
      <c r="AA2280" s="6" t="s">
        <v>81</v>
      </c>
      <c r="AB2280" s="6" t="s">
        <v>81</v>
      </c>
      <c r="AC2280" s="6" t="s">
        <v>81</v>
      </c>
      <c r="AD2280" s="21" t="s">
        <v>81</v>
      </c>
      <c r="AE2280" s="6" t="s">
        <v>81</v>
      </c>
      <c r="AF2280" s="6" t="s">
        <v>81</v>
      </c>
      <c r="AG2280" s="6" t="s">
        <v>81</v>
      </c>
      <c r="AH2280" s="6" t="s">
        <v>16824</v>
      </c>
      <c r="AI2280" s="6" t="s">
        <v>81</v>
      </c>
      <c r="AJ2280" s="6" t="s">
        <v>17971</v>
      </c>
      <c r="AK2280" s="6" t="s">
        <v>17712</v>
      </c>
      <c r="AL2280" s="6" t="s">
        <v>18444</v>
      </c>
      <c r="AM2280" s="6" t="s">
        <v>19158</v>
      </c>
      <c r="AN2280" s="6" t="s">
        <v>81</v>
      </c>
      <c r="AO2280" s="6" t="s">
        <v>81</v>
      </c>
      <c r="AP2280" s="6" t="s">
        <v>16824</v>
      </c>
      <c r="AQ2280" s="6" t="s">
        <v>81</v>
      </c>
      <c r="AR2280" s="6" t="s">
        <v>17971</v>
      </c>
      <c r="AS2280" s="6" t="s">
        <v>17712</v>
      </c>
      <c r="AT2280" s="6" t="s">
        <v>18444</v>
      </c>
      <c r="AU2280" s="6" t="s">
        <v>19158</v>
      </c>
      <c r="AV2280" s="6" t="s">
        <v>19670</v>
      </c>
      <c r="AW2280" s="6" t="s">
        <v>19782</v>
      </c>
      <c r="AX2280" s="6" t="s">
        <v>81</v>
      </c>
      <c r="AY2280" s="6" t="s">
        <v>81</v>
      </c>
      <c r="AZ2280" s="6" t="s">
        <v>81</v>
      </c>
      <c r="BA2280" s="6" t="s">
        <v>81</v>
      </c>
      <c r="BB2280" s="24" t="n">
        <v>70</v>
      </c>
      <c r="BC2280" s="26"/>
      <c r="BD2280" s="26"/>
      <c r="BE2280" s="26"/>
      <c r="BF2280" s="26"/>
      <c r="BG2280" s="26"/>
      <c r="BH2280" s="26"/>
      <c r="BI2280" s="26"/>
      <c r="BJ2280" s="26"/>
      <c r="BK2280" s="26"/>
      <c r="BL2280" s="26"/>
      <c r="BM2280" s="26"/>
      <c r="BN2280" s="26"/>
      <c r="BO2280" s="26"/>
      <c r="BP2280" s="16" t="n">
        <v>45684</v>
      </c>
      <c r="BQ2280" s="28" t="str">
        <f>HYPERLINK("https://organic.ams.usda.gov/Integrity/Certificate.aspx?cid=68&amp;nopid=8210008663")</f>
        <v>https://organic.ams.usda.gov/Integrity/Certificate.aspx?cid=68&amp;nopid=8210008663</v>
      </c>
    </row>
    <row r="2281">
      <c r="A2281" t="s">
        <v>3</v>
      </c>
      <c r="B2281" s="6" t="s">
        <v>7</v>
      </c>
      <c r="C2281" s="6" t="s">
        <v>54</v>
      </c>
      <c r="D2281" s="6" t="s">
        <v>100</v>
      </c>
      <c r="E2281" s="10" t="s">
        <v>2422</v>
      </c>
      <c r="F2281" s="6" t="s">
        <v>5132</v>
      </c>
      <c r="G2281" s="6" t="s">
        <v>81</v>
      </c>
      <c r="H2281" s="6" t="s">
        <v>7971</v>
      </c>
      <c r="I2281" s="6" t="s">
        <v>9483</v>
      </c>
      <c r="J2281" s="6" t="s">
        <v>9730</v>
      </c>
      <c r="K2281" s="6" t="s">
        <v>10886</v>
      </c>
      <c r="L2281" s="16" t="n">
        <v>45516</v>
      </c>
      <c r="M2281" s="16" t="n">
        <v>45716</v>
      </c>
      <c r="N2281" s="6" t="s">
        <v>10886</v>
      </c>
      <c r="O2281" s="16" t="n">
        <v>45516</v>
      </c>
      <c r="P2281" s="6" t="s">
        <v>10925</v>
      </c>
      <c r="Q2281" s="6" t="s">
        <v>81</v>
      </c>
      <c r="R2281" s="6" t="s">
        <v>81</v>
      </c>
      <c r="S2281" s="6" t="s">
        <v>10886</v>
      </c>
      <c r="T2281" s="16" t="n">
        <v>45576</v>
      </c>
      <c r="U2281" s="6" t="s">
        <v>13385</v>
      </c>
      <c r="V2281" s="6" t="s">
        <v>81</v>
      </c>
      <c r="W2281" s="6" t="s">
        <v>81</v>
      </c>
      <c r="X2281" s="6" t="s">
        <v>81</v>
      </c>
      <c r="Y2281" s="21" t="s">
        <v>81</v>
      </c>
      <c r="Z2281" s="6" t="s">
        <v>81</v>
      </c>
      <c r="AA2281" s="6" t="s">
        <v>81</v>
      </c>
      <c r="AB2281" s="6" t="s">
        <v>81</v>
      </c>
      <c r="AC2281" s="6" t="s">
        <v>81</v>
      </c>
      <c r="AD2281" s="21" t="s">
        <v>81</v>
      </c>
      <c r="AE2281" s="6" t="s">
        <v>81</v>
      </c>
      <c r="AF2281" s="6" t="s">
        <v>81</v>
      </c>
      <c r="AG2281" s="6" t="s">
        <v>81</v>
      </c>
      <c r="AH2281" s="6" t="s">
        <v>16825</v>
      </c>
      <c r="AI2281" s="6" t="s">
        <v>81</v>
      </c>
      <c r="AJ2281" s="6" t="s">
        <v>17476</v>
      </c>
      <c r="AK2281" s="6" t="s">
        <v>17712</v>
      </c>
      <c r="AL2281" s="6" t="s">
        <v>18444</v>
      </c>
      <c r="AM2281" s="6" t="s">
        <v>18638</v>
      </c>
      <c r="AN2281" s="6" t="s">
        <v>81</v>
      </c>
      <c r="AO2281" s="6" t="s">
        <v>81</v>
      </c>
      <c r="AP2281" s="6" t="s">
        <v>16825</v>
      </c>
      <c r="AQ2281" s="6" t="s">
        <v>81</v>
      </c>
      <c r="AR2281" s="6" t="s">
        <v>17476</v>
      </c>
      <c r="AS2281" s="6" t="s">
        <v>17712</v>
      </c>
      <c r="AT2281" s="6" t="s">
        <v>18444</v>
      </c>
      <c r="AU2281" s="6" t="s">
        <v>18638</v>
      </c>
      <c r="AV2281" s="6" t="s">
        <v>81</v>
      </c>
      <c r="AW2281" s="6" t="s">
        <v>81</v>
      </c>
      <c r="AX2281" s="6" t="s">
        <v>22241</v>
      </c>
      <c r="AY2281" s="6" t="s">
        <v>81</v>
      </c>
      <c r="AZ2281" s="6" t="s">
        <v>81</v>
      </c>
      <c r="BA2281" s="6" t="s">
        <v>81</v>
      </c>
      <c r="BB2281" s="24" t="n">
        <v>76</v>
      </c>
      <c r="BC2281" s="26"/>
      <c r="BD2281" s="26"/>
      <c r="BE2281" s="26"/>
      <c r="BF2281" s="26" t="s">
        <v>23900</v>
      </c>
      <c r="BG2281" s="26"/>
      <c r="BH2281" s="26"/>
      <c r="BI2281" s="26"/>
      <c r="BJ2281" s="26"/>
      <c r="BK2281" s="26"/>
      <c r="BL2281" s="26"/>
      <c r="BM2281" s="26"/>
      <c r="BN2281" s="26"/>
      <c r="BO2281" s="26"/>
      <c r="BP2281" s="16" t="n">
        <v>45595</v>
      </c>
      <c r="BQ2281" s="28" t="str">
        <f>HYPERLINK("https://organic.ams.usda.gov/Integrity/Certificate.aspx?cid=57&amp;nopid=3252024036")</f>
        <v>https://organic.ams.usda.gov/Integrity/Certificate.aspx?cid=57&amp;nopid=3252024036</v>
      </c>
    </row>
    <row r="2282">
      <c r="A2282" t="s">
        <v>3</v>
      </c>
      <c r="B2282" s="6" t="s">
        <v>15</v>
      </c>
      <c r="C2282" s="6" t="s">
        <v>62</v>
      </c>
      <c r="D2282" s="6" t="s">
        <v>108</v>
      </c>
      <c r="E2282" s="10" t="s">
        <v>2423</v>
      </c>
      <c r="F2282" s="6" t="s">
        <v>5133</v>
      </c>
      <c r="G2282" s="6" t="s">
        <v>5841</v>
      </c>
      <c r="H2282" s="6" t="s">
        <v>7972</v>
      </c>
      <c r="I2282" s="6" t="s">
        <v>9484</v>
      </c>
      <c r="J2282" s="6" t="s">
        <v>9671</v>
      </c>
      <c r="K2282" s="6" t="s">
        <v>10886</v>
      </c>
      <c r="L2282" s="16" t="n">
        <v>43045</v>
      </c>
      <c r="M2282" s="16" t="n">
        <v>45901</v>
      </c>
      <c r="N2282" s="6" t="s">
        <v>81</v>
      </c>
      <c r="O2282" s="21" t="s">
        <v>81</v>
      </c>
      <c r="P2282" s="6" t="s">
        <v>81</v>
      </c>
      <c r="Q2282" s="6" t="s">
        <v>81</v>
      </c>
      <c r="R2282" s="6" t="s">
        <v>81</v>
      </c>
      <c r="S2282" s="6" t="s">
        <v>81</v>
      </c>
      <c r="T2282" s="21" t="s">
        <v>81</v>
      </c>
      <c r="U2282" s="6" t="s">
        <v>81</v>
      </c>
      <c r="V2282" s="6" t="s">
        <v>81</v>
      </c>
      <c r="W2282" s="6" t="s">
        <v>81</v>
      </c>
      <c r="X2282" s="6" t="s">
        <v>81</v>
      </c>
      <c r="Y2282" s="21" t="s">
        <v>81</v>
      </c>
      <c r="Z2282" s="6" t="s">
        <v>81</v>
      </c>
      <c r="AA2282" s="6" t="s">
        <v>81</v>
      </c>
      <c r="AB2282" s="6" t="s">
        <v>81</v>
      </c>
      <c r="AC2282" s="6" t="s">
        <v>10886</v>
      </c>
      <c r="AD2282" s="16" t="n">
        <v>43045</v>
      </c>
      <c r="AE2282" s="6" t="s">
        <v>14408</v>
      </c>
      <c r="AF2282" s="6" t="s">
        <v>81</v>
      </c>
      <c r="AG2282" s="6" t="s">
        <v>81</v>
      </c>
      <c r="AH2282" s="6" t="s">
        <v>16826</v>
      </c>
      <c r="AI2282" s="6" t="s">
        <v>81</v>
      </c>
      <c r="AJ2282" s="6" t="s">
        <v>17408</v>
      </c>
      <c r="AK2282" s="6" t="s">
        <v>18380</v>
      </c>
      <c r="AL2282" s="6" t="s">
        <v>18444</v>
      </c>
      <c r="AM2282" s="6" t="s">
        <v>18564</v>
      </c>
      <c r="AN2282" s="6" t="s">
        <v>19639</v>
      </c>
      <c r="AO2282" s="6" t="s">
        <v>19725</v>
      </c>
      <c r="AP2282" s="6" t="s">
        <v>16826</v>
      </c>
      <c r="AQ2282" s="6" t="s">
        <v>81</v>
      </c>
      <c r="AR2282" s="6" t="s">
        <v>17408</v>
      </c>
      <c r="AS2282" s="6" t="s">
        <v>18380</v>
      </c>
      <c r="AT2282" s="6" t="s">
        <v>18444</v>
      </c>
      <c r="AU2282" s="6" t="s">
        <v>18564</v>
      </c>
      <c r="AV2282" s="6" t="s">
        <v>81</v>
      </c>
      <c r="AW2282" s="6" t="s">
        <v>81</v>
      </c>
      <c r="AX2282" s="6" t="s">
        <v>22242</v>
      </c>
      <c r="AY2282" s="6" t="s">
        <v>81</v>
      </c>
      <c r="AZ2282" s="6" t="s">
        <v>81</v>
      </c>
      <c r="BA2282" s="6" t="s">
        <v>81</v>
      </c>
      <c r="BB2282" s="6" t="s">
        <v>81</v>
      </c>
      <c r="BC2282" s="26" t="s">
        <v>23900</v>
      </c>
      <c r="BD2282" s="26"/>
      <c r="BE2282" s="26"/>
      <c r="BF2282" s="26"/>
      <c r="BG2282" s="26" t="s">
        <v>23900</v>
      </c>
      <c r="BH2282" s="26"/>
      <c r="BI2282" s="26"/>
      <c r="BJ2282" s="26"/>
      <c r="BK2282" s="26"/>
      <c r="BL2282" s="26" t="s">
        <v>23900</v>
      </c>
      <c r="BM2282" s="26"/>
      <c r="BN2282" s="26" t="s">
        <v>23900</v>
      </c>
      <c r="BO2282" s="26"/>
      <c r="BP2282" s="16" t="n">
        <v>45737</v>
      </c>
      <c r="BQ2282" s="28" t="str">
        <f>HYPERLINK("https://organic.ams.usda.gov/Integrity/Certificate.aspx?cid=58&amp;nopid=1600002958")</f>
        <v>https://organic.ams.usda.gov/Integrity/Certificate.aspx?cid=58&amp;nopid=1600002958</v>
      </c>
    </row>
    <row r="2283">
      <c r="A2283" t="s">
        <v>3</v>
      </c>
      <c r="B2283" s="6" t="s">
        <v>7</v>
      </c>
      <c r="C2283" s="6" t="s">
        <v>54</v>
      </c>
      <c r="D2283" s="6" t="s">
        <v>100</v>
      </c>
      <c r="E2283" s="10" t="s">
        <v>2424</v>
      </c>
      <c r="F2283" s="6" t="s">
        <v>5134</v>
      </c>
      <c r="G2283" s="6" t="s">
        <v>81</v>
      </c>
      <c r="H2283" s="6" t="s">
        <v>7973</v>
      </c>
      <c r="I2283" s="6" t="s">
        <v>9485</v>
      </c>
      <c r="J2283" s="6" t="s">
        <v>9665</v>
      </c>
      <c r="K2283" s="6" t="s">
        <v>10886</v>
      </c>
      <c r="L2283" s="16" t="n">
        <v>39727</v>
      </c>
      <c r="M2283" s="16" t="n">
        <v>45716</v>
      </c>
      <c r="N2283" s="6" t="s">
        <v>10886</v>
      </c>
      <c r="O2283" s="16" t="n">
        <v>39727</v>
      </c>
      <c r="P2283" s="6" t="s">
        <v>11046</v>
      </c>
      <c r="Q2283" s="6" t="s">
        <v>81</v>
      </c>
      <c r="R2283" s="6" t="s">
        <v>81</v>
      </c>
      <c r="S2283" s="6" t="s">
        <v>10886</v>
      </c>
      <c r="T2283" s="16" t="n">
        <v>40115</v>
      </c>
      <c r="U2283" s="6" t="s">
        <v>13169</v>
      </c>
      <c r="V2283" s="6" t="s">
        <v>81</v>
      </c>
      <c r="W2283" s="6" t="s">
        <v>81</v>
      </c>
      <c r="X2283" s="6" t="s">
        <v>81</v>
      </c>
      <c r="Y2283" s="21" t="s">
        <v>81</v>
      </c>
      <c r="Z2283" s="6" t="s">
        <v>81</v>
      </c>
      <c r="AA2283" s="6" t="s">
        <v>81</v>
      </c>
      <c r="AB2283" s="6" t="s">
        <v>81</v>
      </c>
      <c r="AC2283" s="6" t="s">
        <v>81</v>
      </c>
      <c r="AD2283" s="21" t="s">
        <v>81</v>
      </c>
      <c r="AE2283" s="6" t="s">
        <v>81</v>
      </c>
      <c r="AF2283" s="6" t="s">
        <v>81</v>
      </c>
      <c r="AG2283" s="6" t="s">
        <v>81</v>
      </c>
      <c r="AH2283" s="6" t="s">
        <v>16827</v>
      </c>
      <c r="AI2283" s="6" t="s">
        <v>81</v>
      </c>
      <c r="AJ2283" s="6" t="s">
        <v>17346</v>
      </c>
      <c r="AK2283" s="6" t="s">
        <v>17712</v>
      </c>
      <c r="AL2283" s="6" t="s">
        <v>18444</v>
      </c>
      <c r="AM2283" s="6" t="s">
        <v>18500</v>
      </c>
      <c r="AN2283" s="6" t="s">
        <v>19652</v>
      </c>
      <c r="AO2283" s="6" t="s">
        <v>19742</v>
      </c>
      <c r="AP2283" s="6" t="s">
        <v>16827</v>
      </c>
      <c r="AQ2283" s="6" t="s">
        <v>81</v>
      </c>
      <c r="AR2283" s="6" t="s">
        <v>17346</v>
      </c>
      <c r="AS2283" s="6" t="s">
        <v>17712</v>
      </c>
      <c r="AT2283" s="6" t="s">
        <v>18444</v>
      </c>
      <c r="AU2283" s="6" t="s">
        <v>18500</v>
      </c>
      <c r="AV2283" s="6" t="s">
        <v>81</v>
      </c>
      <c r="AW2283" s="6" t="s">
        <v>81</v>
      </c>
      <c r="AX2283" s="6" t="s">
        <v>81</v>
      </c>
      <c r="AY2283" s="6" t="s">
        <v>81</v>
      </c>
      <c r="AZ2283" s="6" t="s">
        <v>81</v>
      </c>
      <c r="BA2283" s="6" t="s">
        <v>81</v>
      </c>
      <c r="BB2283" s="24" t="n">
        <v>173</v>
      </c>
      <c r="BC2283" s="26"/>
      <c r="BD2283" s="26"/>
      <c r="BE2283" s="26"/>
      <c r="BF2283" s="26" t="s">
        <v>23900</v>
      </c>
      <c r="BG2283" s="26"/>
      <c r="BH2283" s="26"/>
      <c r="BI2283" s="26"/>
      <c r="BJ2283" s="26"/>
      <c r="BK2283" s="26"/>
      <c r="BL2283" s="26"/>
      <c r="BM2283" s="26"/>
      <c r="BN2283" s="26"/>
      <c r="BO2283" s="26"/>
      <c r="BP2283" s="16" t="n">
        <v>45681</v>
      </c>
      <c r="BQ2283" s="28" t="str">
        <f>HYPERLINK("https://organic.ams.usda.gov/Integrity/Certificate.aspx?cid=57&amp;nopid=3252008071")</f>
        <v>https://organic.ams.usda.gov/Integrity/Certificate.aspx?cid=57&amp;nopid=3252008071</v>
      </c>
    </row>
    <row r="2284">
      <c r="A2284" t="s">
        <v>3</v>
      </c>
      <c r="B2284" s="6" t="s">
        <v>7</v>
      </c>
      <c r="C2284" s="6" t="s">
        <v>54</v>
      </c>
      <c r="D2284" s="6" t="s">
        <v>100</v>
      </c>
      <c r="E2284" s="10" t="s">
        <v>2425</v>
      </c>
      <c r="F2284" s="6" t="s">
        <v>5135</v>
      </c>
      <c r="G2284" s="6" t="s">
        <v>81</v>
      </c>
      <c r="H2284" s="6" t="s">
        <v>7974</v>
      </c>
      <c r="I2284" s="6" t="s">
        <v>9485</v>
      </c>
      <c r="J2284" s="6" t="s">
        <v>9733</v>
      </c>
      <c r="K2284" s="6" t="s">
        <v>10886</v>
      </c>
      <c r="L2284" s="16" t="n">
        <v>44056</v>
      </c>
      <c r="M2284" s="16" t="n">
        <v>45716</v>
      </c>
      <c r="N2284" s="6" t="s">
        <v>10886</v>
      </c>
      <c r="O2284" s="16" t="n">
        <v>44056</v>
      </c>
      <c r="P2284" s="6" t="s">
        <v>12176</v>
      </c>
      <c r="Q2284" s="6" t="s">
        <v>81</v>
      </c>
      <c r="R2284" s="6" t="s">
        <v>81</v>
      </c>
      <c r="S2284" s="6" t="s">
        <v>10886</v>
      </c>
      <c r="T2284" s="16" t="n">
        <v>44056</v>
      </c>
      <c r="U2284" s="6" t="s">
        <v>13169</v>
      </c>
      <c r="V2284" s="6" t="s">
        <v>81</v>
      </c>
      <c r="W2284" s="6" t="s">
        <v>81</v>
      </c>
      <c r="X2284" s="6" t="s">
        <v>81</v>
      </c>
      <c r="Y2284" s="21" t="s">
        <v>81</v>
      </c>
      <c r="Z2284" s="6" t="s">
        <v>81</v>
      </c>
      <c r="AA2284" s="6" t="s">
        <v>81</v>
      </c>
      <c r="AB2284" s="6" t="s">
        <v>81</v>
      </c>
      <c r="AC2284" s="6" t="s">
        <v>81</v>
      </c>
      <c r="AD2284" s="21" t="s">
        <v>81</v>
      </c>
      <c r="AE2284" s="6" t="s">
        <v>81</v>
      </c>
      <c r="AF2284" s="6" t="s">
        <v>81</v>
      </c>
      <c r="AG2284" s="6" t="s">
        <v>81</v>
      </c>
      <c r="AH2284" s="6" t="s">
        <v>16828</v>
      </c>
      <c r="AI2284" s="6" t="s">
        <v>81</v>
      </c>
      <c r="AJ2284" s="6" t="s">
        <v>8814</v>
      </c>
      <c r="AK2284" s="6" t="s">
        <v>17712</v>
      </c>
      <c r="AL2284" s="6" t="s">
        <v>18444</v>
      </c>
      <c r="AM2284" s="6" t="s">
        <v>19488</v>
      </c>
      <c r="AN2284" s="6" t="s">
        <v>19643</v>
      </c>
      <c r="AO2284" s="6" t="s">
        <v>19766</v>
      </c>
      <c r="AP2284" s="6" t="s">
        <v>16828</v>
      </c>
      <c r="AQ2284" s="6" t="s">
        <v>81</v>
      </c>
      <c r="AR2284" s="6" t="s">
        <v>8814</v>
      </c>
      <c r="AS2284" s="6" t="s">
        <v>17712</v>
      </c>
      <c r="AT2284" s="6" t="s">
        <v>18444</v>
      </c>
      <c r="AU2284" s="6" t="s">
        <v>19488</v>
      </c>
      <c r="AV2284" s="6" t="s">
        <v>81</v>
      </c>
      <c r="AW2284" s="6" t="s">
        <v>81</v>
      </c>
      <c r="AX2284" s="6" t="s">
        <v>81</v>
      </c>
      <c r="AY2284" s="6" t="s">
        <v>81</v>
      </c>
      <c r="AZ2284" s="6" t="s">
        <v>81</v>
      </c>
      <c r="BA2284" s="6" t="s">
        <v>81</v>
      </c>
      <c r="BB2284" s="24" t="n">
        <v>132</v>
      </c>
      <c r="BC2284" s="26"/>
      <c r="BD2284" s="26"/>
      <c r="BE2284" s="26"/>
      <c r="BF2284" s="26" t="s">
        <v>23900</v>
      </c>
      <c r="BG2284" s="26"/>
      <c r="BH2284" s="26"/>
      <c r="BI2284" s="26"/>
      <c r="BJ2284" s="26"/>
      <c r="BK2284" s="26"/>
      <c r="BL2284" s="26"/>
      <c r="BM2284" s="26"/>
      <c r="BN2284" s="26"/>
      <c r="BO2284" s="26"/>
      <c r="BP2284" s="16" t="n">
        <v>45700</v>
      </c>
      <c r="BQ2284" s="28" t="str">
        <f>HYPERLINK("https://organic.ams.usda.gov/Integrity/Certificate.aspx?cid=57&amp;nopid=3252020076")</f>
        <v>https://organic.ams.usda.gov/Integrity/Certificate.aspx?cid=57&amp;nopid=3252020076</v>
      </c>
    </row>
    <row r="2285">
      <c r="A2285" t="s">
        <v>3</v>
      </c>
      <c r="B2285" s="6" t="s">
        <v>7</v>
      </c>
      <c r="C2285" s="6" t="s">
        <v>54</v>
      </c>
      <c r="D2285" s="6" t="s">
        <v>100</v>
      </c>
      <c r="E2285" s="10" t="s">
        <v>2426</v>
      </c>
      <c r="F2285" s="6" t="s">
        <v>5136</v>
      </c>
      <c r="G2285" s="6" t="s">
        <v>81</v>
      </c>
      <c r="H2285" s="6" t="s">
        <v>7975</v>
      </c>
      <c r="I2285" s="6" t="s">
        <v>9241</v>
      </c>
      <c r="J2285" s="6" t="s">
        <v>9665</v>
      </c>
      <c r="K2285" s="6" t="s">
        <v>10886</v>
      </c>
      <c r="L2285" s="16" t="n">
        <v>45463</v>
      </c>
      <c r="M2285" s="16" t="n">
        <v>45716</v>
      </c>
      <c r="N2285" s="6" t="s">
        <v>10886</v>
      </c>
      <c r="O2285" s="16" t="n">
        <v>45463</v>
      </c>
      <c r="P2285" s="6" t="s">
        <v>10925</v>
      </c>
      <c r="Q2285" s="6" t="s">
        <v>81</v>
      </c>
      <c r="R2285" s="6" t="s">
        <v>81</v>
      </c>
      <c r="S2285" s="6" t="s">
        <v>10886</v>
      </c>
      <c r="T2285" s="16" t="n">
        <v>45468</v>
      </c>
      <c r="U2285" s="6" t="s">
        <v>13169</v>
      </c>
      <c r="V2285" s="6" t="s">
        <v>81</v>
      </c>
      <c r="W2285" s="6" t="s">
        <v>81</v>
      </c>
      <c r="X2285" s="6" t="s">
        <v>81</v>
      </c>
      <c r="Y2285" s="21" t="s">
        <v>81</v>
      </c>
      <c r="Z2285" s="6" t="s">
        <v>81</v>
      </c>
      <c r="AA2285" s="6" t="s">
        <v>81</v>
      </c>
      <c r="AB2285" s="6" t="s">
        <v>81</v>
      </c>
      <c r="AC2285" s="6" t="s">
        <v>81</v>
      </c>
      <c r="AD2285" s="21" t="s">
        <v>81</v>
      </c>
      <c r="AE2285" s="6" t="s">
        <v>81</v>
      </c>
      <c r="AF2285" s="6" t="s">
        <v>81</v>
      </c>
      <c r="AG2285" s="6" t="s">
        <v>81</v>
      </c>
      <c r="AH2285" s="6" t="s">
        <v>16829</v>
      </c>
      <c r="AI2285" s="6" t="s">
        <v>81</v>
      </c>
      <c r="AJ2285" s="6" t="s">
        <v>17657</v>
      </c>
      <c r="AK2285" s="6" t="s">
        <v>17712</v>
      </c>
      <c r="AL2285" s="6" t="s">
        <v>18444</v>
      </c>
      <c r="AM2285" s="6" t="s">
        <v>18825</v>
      </c>
      <c r="AN2285" s="6" t="s">
        <v>81</v>
      </c>
      <c r="AO2285" s="6" t="s">
        <v>81</v>
      </c>
      <c r="AP2285" s="6" t="s">
        <v>16829</v>
      </c>
      <c r="AQ2285" s="6" t="s">
        <v>81</v>
      </c>
      <c r="AR2285" s="6" t="s">
        <v>17657</v>
      </c>
      <c r="AS2285" s="6" t="s">
        <v>17712</v>
      </c>
      <c r="AT2285" s="6" t="s">
        <v>18444</v>
      </c>
      <c r="AU2285" s="6" t="s">
        <v>18825</v>
      </c>
      <c r="AV2285" s="6" t="s">
        <v>81</v>
      </c>
      <c r="AW2285" s="6" t="s">
        <v>81</v>
      </c>
      <c r="AX2285" s="6" t="s">
        <v>81</v>
      </c>
      <c r="AY2285" s="6" t="s">
        <v>81</v>
      </c>
      <c r="AZ2285" s="6" t="s">
        <v>81</v>
      </c>
      <c r="BA2285" s="6" t="s">
        <v>81</v>
      </c>
      <c r="BB2285" s="24" t="n">
        <v>56</v>
      </c>
      <c r="BC2285" s="26"/>
      <c r="BD2285" s="26"/>
      <c r="BE2285" s="26"/>
      <c r="BF2285" s="26" t="s">
        <v>23900</v>
      </c>
      <c r="BG2285" s="26"/>
      <c r="BH2285" s="26"/>
      <c r="BI2285" s="26"/>
      <c r="BJ2285" s="26"/>
      <c r="BK2285" s="26"/>
      <c r="BL2285" s="26"/>
      <c r="BM2285" s="26"/>
      <c r="BN2285" s="26"/>
      <c r="BO2285" s="26"/>
      <c r="BP2285" s="16" t="n">
        <v>45644</v>
      </c>
      <c r="BQ2285" s="28" t="str">
        <f>HYPERLINK("https://organic.ams.usda.gov/Integrity/Certificate.aspx?cid=57&amp;nopid=3252024054")</f>
        <v>https://organic.ams.usda.gov/Integrity/Certificate.aspx?cid=57&amp;nopid=3252024054</v>
      </c>
    </row>
    <row r="2286">
      <c r="A2286" t="s">
        <v>3</v>
      </c>
      <c r="B2286" s="6" t="s">
        <v>10</v>
      </c>
      <c r="C2286" s="6" t="s">
        <v>57</v>
      </c>
      <c r="D2286" s="6" t="s">
        <v>103</v>
      </c>
      <c r="E2286" s="10" t="s">
        <v>2427</v>
      </c>
      <c r="F2286" s="6" t="s">
        <v>5137</v>
      </c>
      <c r="G2286" s="6" t="s">
        <v>81</v>
      </c>
      <c r="H2286" s="6" t="s">
        <v>7976</v>
      </c>
      <c r="I2286" s="6" t="s">
        <v>9486</v>
      </c>
      <c r="J2286" s="6" t="s">
        <v>9800</v>
      </c>
      <c r="K2286" s="6" t="s">
        <v>10886</v>
      </c>
      <c r="L2286" s="16" t="n">
        <v>41260</v>
      </c>
      <c r="M2286" s="16" t="n">
        <v>45748</v>
      </c>
      <c r="N2286" s="6" t="s">
        <v>10886</v>
      </c>
      <c r="O2286" s="16" t="n">
        <v>41260</v>
      </c>
      <c r="P2286" s="6" t="s">
        <v>12177</v>
      </c>
      <c r="Q2286" s="6" t="s">
        <v>81</v>
      </c>
      <c r="R2286" s="6" t="s">
        <v>13049</v>
      </c>
      <c r="S2286" s="6" t="s">
        <v>10886</v>
      </c>
      <c r="T2286" s="16" t="n">
        <v>41260</v>
      </c>
      <c r="U2286" s="6" t="s">
        <v>13163</v>
      </c>
      <c r="V2286" s="6" t="s">
        <v>81</v>
      </c>
      <c r="W2286" s="6" t="s">
        <v>81</v>
      </c>
      <c r="X2286" s="6" t="s">
        <v>81</v>
      </c>
      <c r="Y2286" s="21" t="s">
        <v>81</v>
      </c>
      <c r="Z2286" s="6" t="s">
        <v>81</v>
      </c>
      <c r="AA2286" s="6" t="s">
        <v>81</v>
      </c>
      <c r="AB2286" s="6" t="s">
        <v>81</v>
      </c>
      <c r="AC2286" s="6" t="s">
        <v>81</v>
      </c>
      <c r="AD2286" s="21" t="s">
        <v>81</v>
      </c>
      <c r="AE2286" s="6" t="s">
        <v>81</v>
      </c>
      <c r="AF2286" s="6" t="s">
        <v>81</v>
      </c>
      <c r="AG2286" s="6" t="s">
        <v>81</v>
      </c>
      <c r="AH2286" s="6" t="s">
        <v>16830</v>
      </c>
      <c r="AI2286" s="6" t="s">
        <v>81</v>
      </c>
      <c r="AJ2286" s="6" t="s">
        <v>17315</v>
      </c>
      <c r="AK2286" s="6" t="s">
        <v>18379</v>
      </c>
      <c r="AL2286" s="6" t="s">
        <v>18444</v>
      </c>
      <c r="AM2286" s="6" t="s">
        <v>18467</v>
      </c>
      <c r="AN2286" s="6" t="s">
        <v>19637</v>
      </c>
      <c r="AO2286" s="6" t="s">
        <v>19723</v>
      </c>
      <c r="AP2286" s="6" t="s">
        <v>16830</v>
      </c>
      <c r="AQ2286" s="6" t="s">
        <v>81</v>
      </c>
      <c r="AR2286" s="6" t="s">
        <v>17315</v>
      </c>
      <c r="AS2286" s="6" t="s">
        <v>18379</v>
      </c>
      <c r="AT2286" s="6" t="s">
        <v>18444</v>
      </c>
      <c r="AU2286" s="6" t="s">
        <v>18467</v>
      </c>
      <c r="AV2286" s="6" t="s">
        <v>81</v>
      </c>
      <c r="AW2286" s="6" t="s">
        <v>81</v>
      </c>
      <c r="AX2286" s="6" t="s">
        <v>21350</v>
      </c>
      <c r="AY2286" s="6" t="s">
        <v>81</v>
      </c>
      <c r="AZ2286" s="6" t="s">
        <v>81</v>
      </c>
      <c r="BA2286" s="6" t="s">
        <v>81</v>
      </c>
      <c r="BB2286" s="24" t="n">
        <v>108</v>
      </c>
      <c r="BC2286" s="26"/>
      <c r="BD2286" s="26"/>
      <c r="BE2286" s="26"/>
      <c r="BF2286" s="26"/>
      <c r="BG2286" s="26"/>
      <c r="BH2286" s="26"/>
      <c r="BI2286" s="26"/>
      <c r="BJ2286" s="26"/>
      <c r="BK2286" s="26"/>
      <c r="BL2286" s="26"/>
      <c r="BM2286" s="26"/>
      <c r="BN2286" s="26"/>
      <c r="BO2286" s="26"/>
      <c r="BP2286" s="16" t="n">
        <v>45730</v>
      </c>
      <c r="BQ2286" s="28" t="str">
        <f>HYPERLINK("https://organic.ams.usda.gov/Integrity/Certificate.aspx?cid=90&amp;nopid=7170020078")</f>
        <v>https://organic.ams.usda.gov/Integrity/Certificate.aspx?cid=90&amp;nopid=7170020078</v>
      </c>
    </row>
    <row r="2287">
      <c r="A2287" t="s">
        <v>3</v>
      </c>
      <c r="B2287" s="6" t="s">
        <v>30</v>
      </c>
      <c r="C2287" s="6" t="s">
        <v>77</v>
      </c>
      <c r="D2287" s="6" t="s">
        <v>123</v>
      </c>
      <c r="E2287" s="10" t="s">
        <v>2428</v>
      </c>
      <c r="F2287" s="6" t="s">
        <v>5138</v>
      </c>
      <c r="G2287" s="6" t="s">
        <v>81</v>
      </c>
      <c r="H2287" s="6" t="s">
        <v>7977</v>
      </c>
      <c r="I2287" s="6" t="s">
        <v>9487</v>
      </c>
      <c r="J2287" s="6" t="s">
        <v>9671</v>
      </c>
      <c r="K2287" s="6" t="s">
        <v>10886</v>
      </c>
      <c r="L2287" s="16" t="n">
        <v>40966</v>
      </c>
      <c r="M2287" s="16" t="n">
        <v>45747</v>
      </c>
      <c r="N2287" s="6" t="s">
        <v>10886</v>
      </c>
      <c r="O2287" s="16" t="n">
        <v>40966</v>
      </c>
      <c r="P2287" s="6" t="s">
        <v>10907</v>
      </c>
      <c r="Q2287" s="6" t="s">
        <v>81</v>
      </c>
      <c r="R2287" s="6" t="s">
        <v>7977</v>
      </c>
      <c r="S2287" s="6" t="s">
        <v>10886</v>
      </c>
      <c r="T2287" s="16" t="n">
        <v>40966</v>
      </c>
      <c r="U2287" s="6" t="s">
        <v>13216</v>
      </c>
      <c r="V2287" s="6" t="s">
        <v>81</v>
      </c>
      <c r="W2287" s="6" t="s">
        <v>7977</v>
      </c>
      <c r="X2287" s="6" t="s">
        <v>81</v>
      </c>
      <c r="Y2287" s="21" t="s">
        <v>81</v>
      </c>
      <c r="Z2287" s="6" t="s">
        <v>81</v>
      </c>
      <c r="AA2287" s="6" t="s">
        <v>81</v>
      </c>
      <c r="AB2287" s="6" t="s">
        <v>81</v>
      </c>
      <c r="AC2287" s="6" t="s">
        <v>81</v>
      </c>
      <c r="AD2287" s="21" t="s">
        <v>81</v>
      </c>
      <c r="AE2287" s="6" t="s">
        <v>81</v>
      </c>
      <c r="AF2287" s="6" t="s">
        <v>81</v>
      </c>
      <c r="AG2287" s="6" t="s">
        <v>81</v>
      </c>
      <c r="AH2287" s="6" t="s">
        <v>16831</v>
      </c>
      <c r="AI2287" s="6" t="s">
        <v>81</v>
      </c>
      <c r="AJ2287" s="6" t="s">
        <v>17321</v>
      </c>
      <c r="AK2287" s="6" t="s">
        <v>17712</v>
      </c>
      <c r="AL2287" s="6" t="s">
        <v>18444</v>
      </c>
      <c r="AM2287" s="6" t="s">
        <v>18473</v>
      </c>
      <c r="AN2287" s="6" t="s">
        <v>19642</v>
      </c>
      <c r="AO2287" s="6" t="s">
        <v>19728</v>
      </c>
      <c r="AP2287" s="6" t="s">
        <v>16831</v>
      </c>
      <c r="AQ2287" s="6" t="s">
        <v>81</v>
      </c>
      <c r="AR2287" s="6" t="s">
        <v>17321</v>
      </c>
      <c r="AS2287" s="6" t="s">
        <v>17712</v>
      </c>
      <c r="AT2287" s="6" t="s">
        <v>18444</v>
      </c>
      <c r="AU2287" s="6" t="s">
        <v>18473</v>
      </c>
      <c r="AV2287" s="6" t="s">
        <v>81</v>
      </c>
      <c r="AW2287" s="6" t="s">
        <v>81</v>
      </c>
      <c r="AX2287" s="6" t="s">
        <v>22243</v>
      </c>
      <c r="AY2287" s="6" t="s">
        <v>81</v>
      </c>
      <c r="AZ2287" s="6" t="s">
        <v>81</v>
      </c>
      <c r="BA2287" s="6" t="s">
        <v>81</v>
      </c>
      <c r="BB2287" s="24" t="n">
        <v>69</v>
      </c>
      <c r="BC2287" s="26"/>
      <c r="BD2287" s="26"/>
      <c r="BE2287" s="26"/>
      <c r="BF2287" s="26"/>
      <c r="BG2287" s="26"/>
      <c r="BH2287" s="26"/>
      <c r="BI2287" s="26"/>
      <c r="BJ2287" s="26"/>
      <c r="BK2287" s="26"/>
      <c r="BL2287" s="26"/>
      <c r="BM2287" s="26"/>
      <c r="BN2287" s="26"/>
      <c r="BO2287" s="26"/>
      <c r="BP2287" s="16" t="n">
        <v>45702</v>
      </c>
      <c r="BQ2287" s="28" t="str">
        <f>HYPERLINK("https://organic.ams.usda.gov/Integrity/Certificate.aspx?cid=70&amp;nopid=6431249500")</f>
        <v>https://organic.ams.usda.gov/Integrity/Certificate.aspx?cid=70&amp;nopid=6431249500</v>
      </c>
    </row>
    <row r="2288">
      <c r="A2288" t="s">
        <v>3</v>
      </c>
      <c r="B2288" s="6" t="s">
        <v>7</v>
      </c>
      <c r="C2288" s="6" t="s">
        <v>54</v>
      </c>
      <c r="D2288" s="6" t="s">
        <v>100</v>
      </c>
      <c r="E2288" s="10" t="s">
        <v>2429</v>
      </c>
      <c r="F2288" s="6" t="s">
        <v>5139</v>
      </c>
      <c r="G2288" s="6" t="s">
        <v>81</v>
      </c>
      <c r="H2288" s="6" t="s">
        <v>7821</v>
      </c>
      <c r="I2288" s="6" t="s">
        <v>8440</v>
      </c>
      <c r="J2288" s="6" t="s">
        <v>9669</v>
      </c>
      <c r="K2288" s="6" t="s">
        <v>10886</v>
      </c>
      <c r="L2288" s="16" t="n">
        <v>45432</v>
      </c>
      <c r="M2288" s="16" t="n">
        <v>45716</v>
      </c>
      <c r="N2288" s="6" t="s">
        <v>10886</v>
      </c>
      <c r="O2288" s="16" t="n">
        <v>45432</v>
      </c>
      <c r="P2288" s="6" t="s">
        <v>10944</v>
      </c>
      <c r="Q2288" s="6" t="s">
        <v>81</v>
      </c>
      <c r="R2288" s="6" t="s">
        <v>81</v>
      </c>
      <c r="S2288" s="6" t="s">
        <v>10886</v>
      </c>
      <c r="T2288" s="16" t="n">
        <v>45432</v>
      </c>
      <c r="U2288" s="6" t="s">
        <v>13169</v>
      </c>
      <c r="V2288" s="6" t="s">
        <v>81</v>
      </c>
      <c r="W2288" s="6" t="s">
        <v>81</v>
      </c>
      <c r="X2288" s="6" t="s">
        <v>81</v>
      </c>
      <c r="Y2288" s="21" t="s">
        <v>81</v>
      </c>
      <c r="Z2288" s="6" t="s">
        <v>81</v>
      </c>
      <c r="AA2288" s="6" t="s">
        <v>81</v>
      </c>
      <c r="AB2288" s="6" t="s">
        <v>81</v>
      </c>
      <c r="AC2288" s="6" t="s">
        <v>81</v>
      </c>
      <c r="AD2288" s="21" t="s">
        <v>81</v>
      </c>
      <c r="AE2288" s="6" t="s">
        <v>81</v>
      </c>
      <c r="AF2288" s="6" t="s">
        <v>81</v>
      </c>
      <c r="AG2288" s="6" t="s">
        <v>81</v>
      </c>
      <c r="AH2288" s="6" t="s">
        <v>16832</v>
      </c>
      <c r="AI2288" s="6" t="s">
        <v>81</v>
      </c>
      <c r="AJ2288" s="6" t="s">
        <v>17406</v>
      </c>
      <c r="AK2288" s="6" t="s">
        <v>17712</v>
      </c>
      <c r="AL2288" s="6" t="s">
        <v>18444</v>
      </c>
      <c r="AM2288" s="6" t="s">
        <v>18562</v>
      </c>
      <c r="AN2288" s="6" t="s">
        <v>81</v>
      </c>
      <c r="AO2288" s="6" t="s">
        <v>81</v>
      </c>
      <c r="AP2288" s="6" t="s">
        <v>16832</v>
      </c>
      <c r="AQ2288" s="6" t="s">
        <v>81</v>
      </c>
      <c r="AR2288" s="6" t="s">
        <v>17406</v>
      </c>
      <c r="AS2288" s="6" t="s">
        <v>17712</v>
      </c>
      <c r="AT2288" s="6" t="s">
        <v>18444</v>
      </c>
      <c r="AU2288" s="6" t="s">
        <v>18562</v>
      </c>
      <c r="AV2288" s="6" t="s">
        <v>81</v>
      </c>
      <c r="AW2288" s="6" t="s">
        <v>81</v>
      </c>
      <c r="AX2288" s="6" t="s">
        <v>81</v>
      </c>
      <c r="AY2288" s="6" t="s">
        <v>81</v>
      </c>
      <c r="AZ2288" s="6" t="s">
        <v>81</v>
      </c>
      <c r="BA2288" s="6" t="s">
        <v>81</v>
      </c>
      <c r="BB2288" s="24" t="n">
        <v>320</v>
      </c>
      <c r="BC2288" s="26"/>
      <c r="BD2288" s="26"/>
      <c r="BE2288" s="26"/>
      <c r="BF2288" s="26"/>
      <c r="BG2288" s="26"/>
      <c r="BH2288" s="26"/>
      <c r="BI2288" s="26"/>
      <c r="BJ2288" s="26"/>
      <c r="BK2288" s="26"/>
      <c r="BL2288" s="26"/>
      <c r="BM2288" s="26"/>
      <c r="BN2288" s="26"/>
      <c r="BO2288" s="26"/>
      <c r="BP2288" s="16" t="n">
        <v>45595</v>
      </c>
      <c r="BQ2288" s="28" t="str">
        <f>HYPERLINK("https://organic.ams.usda.gov/Integrity/Certificate.aspx?cid=57&amp;nopid=3252024032")</f>
        <v>https://organic.ams.usda.gov/Integrity/Certificate.aspx?cid=57&amp;nopid=3252024032</v>
      </c>
    </row>
    <row r="2289">
      <c r="A2289" t="s">
        <v>3</v>
      </c>
      <c r="B2289" s="6" t="s">
        <v>8</v>
      </c>
      <c r="C2289" s="6" t="s">
        <v>55</v>
      </c>
      <c r="D2289" s="6" t="s">
        <v>101</v>
      </c>
      <c r="E2289" s="10" t="s">
        <v>2430</v>
      </c>
      <c r="F2289" s="6" t="s">
        <v>5140</v>
      </c>
      <c r="G2289" s="6" t="s">
        <v>81</v>
      </c>
      <c r="H2289" s="6" t="s">
        <v>7978</v>
      </c>
      <c r="I2289" s="6" t="s">
        <v>8440</v>
      </c>
      <c r="J2289" s="6" t="s">
        <v>9665</v>
      </c>
      <c r="K2289" s="6" t="s">
        <v>10886</v>
      </c>
      <c r="L2289" s="16" t="n">
        <v>38750</v>
      </c>
      <c r="M2289" s="16" t="n">
        <v>45383</v>
      </c>
      <c r="N2289" s="6" t="s">
        <v>10886</v>
      </c>
      <c r="O2289" s="16" t="n">
        <v>38750</v>
      </c>
      <c r="P2289" s="6" t="s">
        <v>12178</v>
      </c>
      <c r="Q2289" s="6" t="s">
        <v>81</v>
      </c>
      <c r="R2289" s="6" t="s">
        <v>7978</v>
      </c>
      <c r="S2289" s="6" t="s">
        <v>10886</v>
      </c>
      <c r="T2289" s="16" t="n">
        <v>38750</v>
      </c>
      <c r="U2289" s="6" t="s">
        <v>13179</v>
      </c>
      <c r="V2289" s="6" t="s">
        <v>81</v>
      </c>
      <c r="W2289" s="6" t="s">
        <v>7978</v>
      </c>
      <c r="X2289" s="6" t="s">
        <v>81</v>
      </c>
      <c r="Y2289" s="21" t="s">
        <v>81</v>
      </c>
      <c r="Z2289" s="6" t="s">
        <v>81</v>
      </c>
      <c r="AA2289" s="6" t="s">
        <v>81</v>
      </c>
      <c r="AB2289" s="6" t="s">
        <v>81</v>
      </c>
      <c r="AC2289" s="6" t="s">
        <v>81</v>
      </c>
      <c r="AD2289" s="21" t="s">
        <v>81</v>
      </c>
      <c r="AE2289" s="6" t="s">
        <v>81</v>
      </c>
      <c r="AF2289" s="6" t="s">
        <v>81</v>
      </c>
      <c r="AG2289" s="6" t="s">
        <v>81</v>
      </c>
      <c r="AH2289" s="6" t="s">
        <v>16833</v>
      </c>
      <c r="AI2289" s="6" t="s">
        <v>81</v>
      </c>
      <c r="AJ2289" s="6" t="s">
        <v>17418</v>
      </c>
      <c r="AK2289" s="6" t="s">
        <v>18379</v>
      </c>
      <c r="AL2289" s="6" t="s">
        <v>18444</v>
      </c>
      <c r="AM2289" s="6" t="s">
        <v>18575</v>
      </c>
      <c r="AN2289" s="6" t="s">
        <v>19671</v>
      </c>
      <c r="AO2289" s="6" t="s">
        <v>19784</v>
      </c>
      <c r="AP2289" s="6" t="s">
        <v>81</v>
      </c>
      <c r="AQ2289" s="6" t="s">
        <v>81</v>
      </c>
      <c r="AR2289" s="6" t="s">
        <v>81</v>
      </c>
      <c r="AS2289" s="6" t="s">
        <v>81</v>
      </c>
      <c r="AT2289" s="6" t="s">
        <v>81</v>
      </c>
      <c r="AU2289" s="6" t="s">
        <v>81</v>
      </c>
      <c r="AV2289" s="6" t="s">
        <v>81</v>
      </c>
      <c r="AW2289" s="6" t="s">
        <v>81</v>
      </c>
      <c r="AX2289" s="6" t="s">
        <v>81</v>
      </c>
      <c r="AY2289" s="6" t="s">
        <v>81</v>
      </c>
      <c r="AZ2289" s="6" t="s">
        <v>81</v>
      </c>
      <c r="BA2289" s="6" t="s">
        <v>23819</v>
      </c>
      <c r="BB2289" s="24" t="n">
        <v>122</v>
      </c>
      <c r="BC2289" s="26"/>
      <c r="BD2289" s="26"/>
      <c r="BE2289" s="26"/>
      <c r="BF2289" s="26" t="s">
        <v>23900</v>
      </c>
      <c r="BG2289" s="26"/>
      <c r="BH2289" s="26"/>
      <c r="BI2289" s="26"/>
      <c r="BJ2289" s="26"/>
      <c r="BK2289" s="26"/>
      <c r="BL2289" s="26"/>
      <c r="BM2289" s="26"/>
      <c r="BN2289" s="26"/>
      <c r="BO2289" s="26"/>
      <c r="BP2289" s="16" t="n">
        <v>45441</v>
      </c>
      <c r="BQ2289" s="28" t="str">
        <f>HYPERLINK("https://organic.ams.usda.gov/Integrity/Certificate.aspx?cid=45&amp;nopid=9950002155")</f>
        <v>https://organic.ams.usda.gov/Integrity/Certificate.aspx?cid=45&amp;nopid=9950002155</v>
      </c>
    </row>
    <row r="2290">
      <c r="A2290" t="s">
        <v>3</v>
      </c>
      <c r="B2290" s="6" t="s">
        <v>12</v>
      </c>
      <c r="C2290" s="6" t="s">
        <v>59</v>
      </c>
      <c r="D2290" s="6" t="s">
        <v>105</v>
      </c>
      <c r="E2290" s="10" t="s">
        <v>2431</v>
      </c>
      <c r="F2290" s="6" t="s">
        <v>5141</v>
      </c>
      <c r="G2290" s="6" t="s">
        <v>81</v>
      </c>
      <c r="H2290" s="6" t="s">
        <v>7979</v>
      </c>
      <c r="I2290" s="6" t="s">
        <v>9488</v>
      </c>
      <c r="J2290" s="6" t="s">
        <v>9677</v>
      </c>
      <c r="K2290" s="6" t="s">
        <v>10886</v>
      </c>
      <c r="L2290" s="16" t="n">
        <v>43861</v>
      </c>
      <c r="M2290" s="16" t="n">
        <v>45717</v>
      </c>
      <c r="N2290" s="6" t="s">
        <v>10886</v>
      </c>
      <c r="O2290" s="16" t="n">
        <v>43861</v>
      </c>
      <c r="P2290" s="6" t="s">
        <v>12179</v>
      </c>
      <c r="Q2290" s="6" t="s">
        <v>81</v>
      </c>
      <c r="R2290" s="6" t="s">
        <v>81</v>
      </c>
      <c r="S2290" s="6" t="s">
        <v>10886</v>
      </c>
      <c r="T2290" s="16" t="n">
        <v>43861</v>
      </c>
      <c r="U2290" s="6" t="s">
        <v>13171</v>
      </c>
      <c r="V2290" s="6" t="s">
        <v>81</v>
      </c>
      <c r="W2290" s="6" t="s">
        <v>81</v>
      </c>
      <c r="X2290" s="6" t="s">
        <v>81</v>
      </c>
      <c r="Y2290" s="21" t="s">
        <v>81</v>
      </c>
      <c r="Z2290" s="6" t="s">
        <v>81</v>
      </c>
      <c r="AA2290" s="6" t="s">
        <v>81</v>
      </c>
      <c r="AB2290" s="6" t="s">
        <v>81</v>
      </c>
      <c r="AC2290" s="6" t="s">
        <v>81</v>
      </c>
      <c r="AD2290" s="21" t="s">
        <v>81</v>
      </c>
      <c r="AE2290" s="6" t="s">
        <v>81</v>
      </c>
      <c r="AF2290" s="6" t="s">
        <v>81</v>
      </c>
      <c r="AG2290" s="6" t="s">
        <v>81</v>
      </c>
      <c r="AH2290" s="6" t="s">
        <v>16834</v>
      </c>
      <c r="AI2290" s="6" t="s">
        <v>81</v>
      </c>
      <c r="AJ2290" s="6" t="s">
        <v>17926</v>
      </c>
      <c r="AK2290" s="6" t="s">
        <v>18380</v>
      </c>
      <c r="AL2290" s="6" t="s">
        <v>18444</v>
      </c>
      <c r="AM2290" s="6" t="s">
        <v>19170</v>
      </c>
      <c r="AN2290" s="6" t="s">
        <v>19639</v>
      </c>
      <c r="AO2290" s="6" t="s">
        <v>19725</v>
      </c>
      <c r="AP2290" s="6" t="s">
        <v>16834</v>
      </c>
      <c r="AQ2290" s="6" t="s">
        <v>81</v>
      </c>
      <c r="AR2290" s="6" t="s">
        <v>17926</v>
      </c>
      <c r="AS2290" s="6" t="s">
        <v>18380</v>
      </c>
      <c r="AT2290" s="6" t="s">
        <v>18444</v>
      </c>
      <c r="AU2290" s="6" t="s">
        <v>19170</v>
      </c>
      <c r="AV2290" s="6" t="s">
        <v>81</v>
      </c>
      <c r="AW2290" s="6" t="s">
        <v>81</v>
      </c>
      <c r="AX2290" s="6" t="s">
        <v>22244</v>
      </c>
      <c r="AY2290" s="6" t="s">
        <v>81</v>
      </c>
      <c r="AZ2290" s="6" t="s">
        <v>81</v>
      </c>
      <c r="BA2290" s="6" t="s">
        <v>81</v>
      </c>
      <c r="BB2290" s="24" t="n">
        <v>75</v>
      </c>
      <c r="BC2290" s="26"/>
      <c r="BD2290" s="26"/>
      <c r="BE2290" s="26"/>
      <c r="BF2290" s="26"/>
      <c r="BG2290" s="26"/>
      <c r="BH2290" s="26"/>
      <c r="BI2290" s="26"/>
      <c r="BJ2290" s="26"/>
      <c r="BK2290" s="26"/>
      <c r="BL2290" s="26"/>
      <c r="BM2290" s="26"/>
      <c r="BN2290" s="26"/>
      <c r="BO2290" s="26"/>
      <c r="BP2290" s="16" t="n">
        <v>45684</v>
      </c>
      <c r="BQ2290" s="28" t="str">
        <f>HYPERLINK("https://organic.ams.usda.gov/Integrity/Certificate.aspx?cid=68&amp;nopid=8210005269")</f>
        <v>https://organic.ams.usda.gov/Integrity/Certificate.aspx?cid=68&amp;nopid=8210005269</v>
      </c>
    </row>
    <row r="2291">
      <c r="A2291" t="s">
        <v>3</v>
      </c>
      <c r="B2291" s="6" t="s">
        <v>10</v>
      </c>
      <c r="C2291" s="6" t="s">
        <v>57</v>
      </c>
      <c r="D2291" s="6" t="s">
        <v>103</v>
      </c>
      <c r="E2291" s="10" t="s">
        <v>2432</v>
      </c>
      <c r="F2291" s="6" t="s">
        <v>5142</v>
      </c>
      <c r="G2291" s="6" t="s">
        <v>5842</v>
      </c>
      <c r="H2291" s="6" t="s">
        <v>7980</v>
      </c>
      <c r="I2291" s="6" t="s">
        <v>9488</v>
      </c>
      <c r="J2291" s="6" t="s">
        <v>10092</v>
      </c>
      <c r="K2291" s="6" t="s">
        <v>10886</v>
      </c>
      <c r="L2291" s="16" t="n">
        <v>42241</v>
      </c>
      <c r="M2291" s="16" t="n">
        <v>45748</v>
      </c>
      <c r="N2291" s="6" t="s">
        <v>10886</v>
      </c>
      <c r="O2291" s="16" t="n">
        <v>42241</v>
      </c>
      <c r="P2291" s="6" t="s">
        <v>12180</v>
      </c>
      <c r="Q2291" s="6" t="s">
        <v>81</v>
      </c>
      <c r="R2291" s="6" t="s">
        <v>13050</v>
      </c>
      <c r="S2291" s="6" t="s">
        <v>10886</v>
      </c>
      <c r="T2291" s="16" t="n">
        <v>42241</v>
      </c>
      <c r="U2291" s="6" t="s">
        <v>13164</v>
      </c>
      <c r="V2291" s="6" t="s">
        <v>81</v>
      </c>
      <c r="W2291" s="6" t="s">
        <v>81</v>
      </c>
      <c r="X2291" s="6" t="s">
        <v>81</v>
      </c>
      <c r="Y2291" s="21" t="s">
        <v>81</v>
      </c>
      <c r="Z2291" s="6" t="s">
        <v>81</v>
      </c>
      <c r="AA2291" s="6" t="s">
        <v>81</v>
      </c>
      <c r="AB2291" s="6" t="s">
        <v>81</v>
      </c>
      <c r="AC2291" s="6" t="s">
        <v>81</v>
      </c>
      <c r="AD2291" s="21" t="s">
        <v>81</v>
      </c>
      <c r="AE2291" s="6" t="s">
        <v>81</v>
      </c>
      <c r="AF2291" s="6" t="s">
        <v>81</v>
      </c>
      <c r="AG2291" s="6" t="s">
        <v>81</v>
      </c>
      <c r="AH2291" s="6" t="s">
        <v>16835</v>
      </c>
      <c r="AI2291" s="6" t="s">
        <v>81</v>
      </c>
      <c r="AJ2291" s="6" t="s">
        <v>17392</v>
      </c>
      <c r="AK2291" s="6" t="s">
        <v>18379</v>
      </c>
      <c r="AL2291" s="6" t="s">
        <v>18444</v>
      </c>
      <c r="AM2291" s="6" t="s">
        <v>18548</v>
      </c>
      <c r="AN2291" s="6" t="s">
        <v>19678</v>
      </c>
      <c r="AO2291" s="6" t="s">
        <v>19994</v>
      </c>
      <c r="AP2291" s="6" t="s">
        <v>16835</v>
      </c>
      <c r="AQ2291" s="6" t="s">
        <v>81</v>
      </c>
      <c r="AR2291" s="6" t="s">
        <v>17392</v>
      </c>
      <c r="AS2291" s="6" t="s">
        <v>18379</v>
      </c>
      <c r="AT2291" s="6" t="s">
        <v>18444</v>
      </c>
      <c r="AU2291" s="6" t="s">
        <v>18548</v>
      </c>
      <c r="AV2291" s="6" t="s">
        <v>81</v>
      </c>
      <c r="AW2291" s="6" t="s">
        <v>81</v>
      </c>
      <c r="AX2291" s="6" t="s">
        <v>22245</v>
      </c>
      <c r="AY2291" s="6" t="s">
        <v>81</v>
      </c>
      <c r="AZ2291" s="6" t="s">
        <v>81</v>
      </c>
      <c r="BA2291" s="6" t="s">
        <v>81</v>
      </c>
      <c r="BB2291" s="24" t="n">
        <v>192</v>
      </c>
      <c r="BC2291" s="26"/>
      <c r="BD2291" s="26"/>
      <c r="BE2291" s="26"/>
      <c r="BF2291" s="26"/>
      <c r="BG2291" s="26"/>
      <c r="BH2291" s="26"/>
      <c r="BI2291" s="26"/>
      <c r="BJ2291" s="26"/>
      <c r="BK2291" s="26"/>
      <c r="BL2291" s="26"/>
      <c r="BM2291" s="26"/>
      <c r="BN2291" s="26"/>
      <c r="BO2291" s="26"/>
      <c r="BP2291" s="16" t="n">
        <v>45730</v>
      </c>
      <c r="BQ2291" s="28" t="str">
        <f>HYPERLINK("https://organic.ams.usda.gov/Integrity/Certificate.aspx?cid=90&amp;nopid=7170210353")</f>
        <v>https://organic.ams.usda.gov/Integrity/Certificate.aspx?cid=90&amp;nopid=7170210353</v>
      </c>
    </row>
    <row r="2292">
      <c r="A2292" t="s">
        <v>3</v>
      </c>
      <c r="B2292" s="6" t="s">
        <v>7</v>
      </c>
      <c r="C2292" s="6" t="s">
        <v>54</v>
      </c>
      <c r="D2292" s="6" t="s">
        <v>100</v>
      </c>
      <c r="E2292" s="10" t="s">
        <v>2433</v>
      </c>
      <c r="F2292" s="6" t="s">
        <v>5143</v>
      </c>
      <c r="G2292" s="6" t="s">
        <v>81</v>
      </c>
      <c r="H2292" s="6" t="s">
        <v>7981</v>
      </c>
      <c r="I2292" s="6" t="s">
        <v>8440</v>
      </c>
      <c r="J2292" s="6" t="s">
        <v>9669</v>
      </c>
      <c r="K2292" s="6" t="s">
        <v>10886</v>
      </c>
      <c r="L2292" s="16" t="n">
        <v>44029</v>
      </c>
      <c r="M2292" s="16" t="n">
        <v>45716</v>
      </c>
      <c r="N2292" s="6" t="s">
        <v>10886</v>
      </c>
      <c r="O2292" s="16" t="n">
        <v>44029</v>
      </c>
      <c r="P2292" s="6" t="s">
        <v>11353</v>
      </c>
      <c r="Q2292" s="6" t="s">
        <v>81</v>
      </c>
      <c r="R2292" s="6" t="s">
        <v>81</v>
      </c>
      <c r="S2292" s="6" t="s">
        <v>10886</v>
      </c>
      <c r="T2292" s="16" t="n">
        <v>44043</v>
      </c>
      <c r="U2292" s="6" t="s">
        <v>13169</v>
      </c>
      <c r="V2292" s="6" t="s">
        <v>81</v>
      </c>
      <c r="W2292" s="6" t="s">
        <v>81</v>
      </c>
      <c r="X2292" s="6" t="s">
        <v>81</v>
      </c>
      <c r="Y2292" s="21" t="s">
        <v>81</v>
      </c>
      <c r="Z2292" s="6" t="s">
        <v>81</v>
      </c>
      <c r="AA2292" s="6" t="s">
        <v>81</v>
      </c>
      <c r="AB2292" s="6" t="s">
        <v>81</v>
      </c>
      <c r="AC2292" s="6" t="s">
        <v>81</v>
      </c>
      <c r="AD2292" s="21" t="s">
        <v>81</v>
      </c>
      <c r="AE2292" s="6" t="s">
        <v>81</v>
      </c>
      <c r="AF2292" s="6" t="s">
        <v>81</v>
      </c>
      <c r="AG2292" s="6" t="s">
        <v>81</v>
      </c>
      <c r="AH2292" s="6" t="s">
        <v>16836</v>
      </c>
      <c r="AI2292" s="6" t="s">
        <v>81</v>
      </c>
      <c r="AJ2292" s="6" t="s">
        <v>8814</v>
      </c>
      <c r="AK2292" s="6" t="s">
        <v>17712</v>
      </c>
      <c r="AL2292" s="6" t="s">
        <v>18444</v>
      </c>
      <c r="AM2292" s="6" t="s">
        <v>19488</v>
      </c>
      <c r="AN2292" s="6" t="s">
        <v>19643</v>
      </c>
      <c r="AO2292" s="6" t="s">
        <v>19766</v>
      </c>
      <c r="AP2292" s="6" t="s">
        <v>16836</v>
      </c>
      <c r="AQ2292" s="6" t="s">
        <v>81</v>
      </c>
      <c r="AR2292" s="6" t="s">
        <v>8814</v>
      </c>
      <c r="AS2292" s="6" t="s">
        <v>17712</v>
      </c>
      <c r="AT2292" s="6" t="s">
        <v>18444</v>
      </c>
      <c r="AU2292" s="6" t="s">
        <v>19488</v>
      </c>
      <c r="AV2292" s="6" t="s">
        <v>81</v>
      </c>
      <c r="AW2292" s="6" t="s">
        <v>81</v>
      </c>
      <c r="AX2292" s="6" t="s">
        <v>81</v>
      </c>
      <c r="AY2292" s="6" t="s">
        <v>81</v>
      </c>
      <c r="AZ2292" s="6" t="s">
        <v>81</v>
      </c>
      <c r="BA2292" s="6" t="s">
        <v>81</v>
      </c>
      <c r="BB2292" s="24" t="n">
        <v>62</v>
      </c>
      <c r="BC2292" s="26"/>
      <c r="BD2292" s="26"/>
      <c r="BE2292" s="26"/>
      <c r="BF2292" s="26" t="s">
        <v>23900</v>
      </c>
      <c r="BG2292" s="26"/>
      <c r="BH2292" s="26"/>
      <c r="BI2292" s="26"/>
      <c r="BJ2292" s="26"/>
      <c r="BK2292" s="26"/>
      <c r="BL2292" s="26"/>
      <c r="BM2292" s="26"/>
      <c r="BN2292" s="26"/>
      <c r="BO2292" s="26"/>
      <c r="BP2292" s="16" t="n">
        <v>45721</v>
      </c>
      <c r="BQ2292" s="28" t="str">
        <f>HYPERLINK("https://organic.ams.usda.gov/Integrity/Certificate.aspx?cid=57&amp;nopid=3252020067")</f>
        <v>https://organic.ams.usda.gov/Integrity/Certificate.aspx?cid=57&amp;nopid=3252020067</v>
      </c>
    </row>
    <row r="2293">
      <c r="A2293" t="s">
        <v>3</v>
      </c>
      <c r="B2293" s="6" t="s">
        <v>7</v>
      </c>
      <c r="C2293" s="6" t="s">
        <v>54</v>
      </c>
      <c r="D2293" s="6" t="s">
        <v>100</v>
      </c>
      <c r="E2293" s="10" t="s">
        <v>2434</v>
      </c>
      <c r="F2293" s="6" t="s">
        <v>5144</v>
      </c>
      <c r="G2293" s="6" t="s">
        <v>81</v>
      </c>
      <c r="H2293" s="6" t="s">
        <v>7982</v>
      </c>
      <c r="I2293" s="6" t="s">
        <v>8440</v>
      </c>
      <c r="J2293" s="6" t="s">
        <v>9665</v>
      </c>
      <c r="K2293" s="6" t="s">
        <v>10886</v>
      </c>
      <c r="L2293" s="16" t="n">
        <v>42549</v>
      </c>
      <c r="M2293" s="16" t="n">
        <v>45716</v>
      </c>
      <c r="N2293" s="6" t="s">
        <v>10886</v>
      </c>
      <c r="O2293" s="16" t="n">
        <v>42549</v>
      </c>
      <c r="P2293" s="6" t="s">
        <v>11374</v>
      </c>
      <c r="Q2293" s="6" t="s">
        <v>81</v>
      </c>
      <c r="R2293" s="6" t="s">
        <v>81</v>
      </c>
      <c r="S2293" s="6" t="s">
        <v>10886</v>
      </c>
      <c r="T2293" s="16" t="n">
        <v>42549</v>
      </c>
      <c r="U2293" s="6" t="s">
        <v>13169</v>
      </c>
      <c r="V2293" s="6" t="s">
        <v>81</v>
      </c>
      <c r="W2293" s="6" t="s">
        <v>81</v>
      </c>
      <c r="X2293" s="6" t="s">
        <v>81</v>
      </c>
      <c r="Y2293" s="21" t="s">
        <v>81</v>
      </c>
      <c r="Z2293" s="6" t="s">
        <v>81</v>
      </c>
      <c r="AA2293" s="6" t="s">
        <v>81</v>
      </c>
      <c r="AB2293" s="6" t="s">
        <v>81</v>
      </c>
      <c r="AC2293" s="6" t="s">
        <v>81</v>
      </c>
      <c r="AD2293" s="21" t="s">
        <v>81</v>
      </c>
      <c r="AE2293" s="6" t="s">
        <v>81</v>
      </c>
      <c r="AF2293" s="6" t="s">
        <v>81</v>
      </c>
      <c r="AG2293" s="6" t="s">
        <v>81</v>
      </c>
      <c r="AH2293" s="6" t="s">
        <v>16837</v>
      </c>
      <c r="AI2293" s="6" t="s">
        <v>81</v>
      </c>
      <c r="AJ2293" s="6" t="s">
        <v>18263</v>
      </c>
      <c r="AK2293" s="6" t="s">
        <v>17712</v>
      </c>
      <c r="AL2293" s="6" t="s">
        <v>18444</v>
      </c>
      <c r="AM2293" s="6" t="s">
        <v>7222</v>
      </c>
      <c r="AN2293" s="6" t="s">
        <v>19670</v>
      </c>
      <c r="AO2293" s="6" t="s">
        <v>19782</v>
      </c>
      <c r="AP2293" s="6" t="s">
        <v>16837</v>
      </c>
      <c r="AQ2293" s="6" t="s">
        <v>81</v>
      </c>
      <c r="AR2293" s="6" t="s">
        <v>18263</v>
      </c>
      <c r="AS2293" s="6" t="s">
        <v>17712</v>
      </c>
      <c r="AT2293" s="6" t="s">
        <v>18444</v>
      </c>
      <c r="AU2293" s="6" t="s">
        <v>7222</v>
      </c>
      <c r="AV2293" s="6" t="s">
        <v>81</v>
      </c>
      <c r="AW2293" s="6" t="s">
        <v>81</v>
      </c>
      <c r="AX2293" s="6" t="s">
        <v>81</v>
      </c>
      <c r="AY2293" s="6" t="s">
        <v>81</v>
      </c>
      <c r="AZ2293" s="6" t="s">
        <v>81</v>
      </c>
      <c r="BA2293" s="6" t="s">
        <v>81</v>
      </c>
      <c r="BB2293" s="24" t="n">
        <v>28</v>
      </c>
      <c r="BC2293" s="26"/>
      <c r="BD2293" s="26"/>
      <c r="BE2293" s="26"/>
      <c r="BF2293" s="26"/>
      <c r="BG2293" s="26"/>
      <c r="BH2293" s="26"/>
      <c r="BI2293" s="26"/>
      <c r="BJ2293" s="26"/>
      <c r="BK2293" s="26"/>
      <c r="BL2293" s="26"/>
      <c r="BM2293" s="26"/>
      <c r="BN2293" s="26"/>
      <c r="BO2293" s="26"/>
      <c r="BP2293" s="16" t="n">
        <v>45595</v>
      </c>
      <c r="BQ2293" s="28" t="str">
        <f>HYPERLINK("https://organic.ams.usda.gov/Integrity/Certificate.aspx?cid=57&amp;nopid=3252016059")</f>
        <v>https://organic.ams.usda.gov/Integrity/Certificate.aspx?cid=57&amp;nopid=3252016059</v>
      </c>
    </row>
    <row r="2294">
      <c r="A2294" t="s">
        <v>3</v>
      </c>
      <c r="B2294" s="6" t="s">
        <v>13</v>
      </c>
      <c r="C2294" s="6" t="s">
        <v>60</v>
      </c>
      <c r="D2294" s="6" t="s">
        <v>106</v>
      </c>
      <c r="E2294" s="10" t="s">
        <v>2435</v>
      </c>
      <c r="F2294" s="6" t="s">
        <v>5145</v>
      </c>
      <c r="G2294" s="6" t="s">
        <v>81</v>
      </c>
      <c r="H2294" s="6" t="s">
        <v>7983</v>
      </c>
      <c r="I2294" s="6" t="s">
        <v>9489</v>
      </c>
      <c r="J2294" s="6" t="s">
        <v>9679</v>
      </c>
      <c r="K2294" s="6" t="s">
        <v>10886</v>
      </c>
      <c r="L2294" s="16" t="n">
        <v>45448</v>
      </c>
      <c r="M2294" s="16" t="n">
        <v>45748</v>
      </c>
      <c r="N2294" s="6" t="s">
        <v>10886</v>
      </c>
      <c r="O2294" s="16" t="n">
        <v>45448</v>
      </c>
      <c r="P2294" s="6" t="s">
        <v>10910</v>
      </c>
      <c r="Q2294" s="6" t="s">
        <v>81</v>
      </c>
      <c r="R2294" s="6" t="s">
        <v>13051</v>
      </c>
      <c r="S2294" s="6" t="s">
        <v>10886</v>
      </c>
      <c r="T2294" s="16" t="n">
        <v>45448</v>
      </c>
      <c r="U2294" s="6" t="s">
        <v>13844</v>
      </c>
      <c r="V2294" s="6" t="s">
        <v>81</v>
      </c>
      <c r="W2294" s="6" t="s">
        <v>13051</v>
      </c>
      <c r="X2294" s="6" t="s">
        <v>81</v>
      </c>
      <c r="Y2294" s="21" t="s">
        <v>81</v>
      </c>
      <c r="Z2294" s="6" t="s">
        <v>81</v>
      </c>
      <c r="AA2294" s="6" t="s">
        <v>81</v>
      </c>
      <c r="AB2294" s="6" t="s">
        <v>81</v>
      </c>
      <c r="AC2294" s="6" t="s">
        <v>81</v>
      </c>
      <c r="AD2294" s="21" t="s">
        <v>81</v>
      </c>
      <c r="AE2294" s="6" t="s">
        <v>81</v>
      </c>
      <c r="AF2294" s="6" t="s">
        <v>81</v>
      </c>
      <c r="AG2294" s="6" t="s">
        <v>81</v>
      </c>
      <c r="AH2294" s="6" t="s">
        <v>16838</v>
      </c>
      <c r="AI2294" s="6" t="s">
        <v>81</v>
      </c>
      <c r="AJ2294" s="6" t="s">
        <v>18264</v>
      </c>
      <c r="AK2294" s="6" t="s">
        <v>18380</v>
      </c>
      <c r="AL2294" s="6" t="s">
        <v>18444</v>
      </c>
      <c r="AM2294" s="6" t="s">
        <v>19489</v>
      </c>
      <c r="AN2294" s="6" t="s">
        <v>81</v>
      </c>
      <c r="AO2294" s="6" t="s">
        <v>81</v>
      </c>
      <c r="AP2294" s="6" t="s">
        <v>16838</v>
      </c>
      <c r="AQ2294" s="6" t="s">
        <v>81</v>
      </c>
      <c r="AR2294" s="6" t="s">
        <v>18264</v>
      </c>
      <c r="AS2294" s="6" t="s">
        <v>18380</v>
      </c>
      <c r="AT2294" s="6" t="s">
        <v>18444</v>
      </c>
      <c r="AU2294" s="6" t="s">
        <v>19489</v>
      </c>
      <c r="AV2294" s="6" t="s">
        <v>81</v>
      </c>
      <c r="AW2294" s="6" t="s">
        <v>81</v>
      </c>
      <c r="AX2294" s="6" t="s">
        <v>22246</v>
      </c>
      <c r="AY2294" s="6" t="s">
        <v>81</v>
      </c>
      <c r="AZ2294" s="6" t="s">
        <v>81</v>
      </c>
      <c r="BA2294" s="6" t="s">
        <v>81</v>
      </c>
      <c r="BB2294" s="24" t="n">
        <v>78</v>
      </c>
      <c r="BC2294" s="26"/>
      <c r="BD2294" s="26"/>
      <c r="BE2294" s="26"/>
      <c r="BF2294" s="26" t="s">
        <v>23900</v>
      </c>
      <c r="BG2294" s="26"/>
      <c r="BH2294" s="26"/>
      <c r="BI2294" s="26"/>
      <c r="BJ2294" s="26"/>
      <c r="BK2294" s="26"/>
      <c r="BL2294" s="26"/>
      <c r="BM2294" s="26"/>
      <c r="BN2294" s="26"/>
      <c r="BO2294" s="26"/>
      <c r="BP2294" s="16" t="n">
        <v>45663</v>
      </c>
      <c r="BQ2294" s="28" t="str">
        <f>HYPERLINK("https://organic.ams.usda.gov/Integrity/Certificate.aspx?cid=72&amp;nopid=5870107231")</f>
        <v>https://organic.ams.usda.gov/Integrity/Certificate.aspx?cid=72&amp;nopid=5870107231</v>
      </c>
    </row>
    <row r="2295">
      <c r="A2295" t="s">
        <v>3</v>
      </c>
      <c r="B2295" s="6" t="s">
        <v>12</v>
      </c>
      <c r="C2295" s="6" t="s">
        <v>59</v>
      </c>
      <c r="D2295" s="6" t="s">
        <v>105</v>
      </c>
      <c r="E2295" s="10" t="s">
        <v>2436</v>
      </c>
      <c r="F2295" s="6" t="s">
        <v>5146</v>
      </c>
      <c r="G2295" s="6" t="s">
        <v>81</v>
      </c>
      <c r="H2295" s="6" t="s">
        <v>7984</v>
      </c>
      <c r="I2295" s="6" t="s">
        <v>9490</v>
      </c>
      <c r="J2295" s="6" t="s">
        <v>9677</v>
      </c>
      <c r="K2295" s="6" t="s">
        <v>10886</v>
      </c>
      <c r="L2295" s="16" t="n">
        <v>45351</v>
      </c>
      <c r="M2295" s="16" t="n">
        <v>46082</v>
      </c>
      <c r="N2295" s="6" t="s">
        <v>10886</v>
      </c>
      <c r="O2295" s="16" t="n">
        <v>45351</v>
      </c>
      <c r="P2295" s="6" t="s">
        <v>12181</v>
      </c>
      <c r="Q2295" s="6" t="s">
        <v>81</v>
      </c>
      <c r="R2295" s="6" t="s">
        <v>81</v>
      </c>
      <c r="S2295" s="6" t="s">
        <v>10886</v>
      </c>
      <c r="T2295" s="16" t="n">
        <v>45351</v>
      </c>
      <c r="U2295" s="6" t="s">
        <v>13845</v>
      </c>
      <c r="V2295" s="6" t="s">
        <v>81</v>
      </c>
      <c r="W2295" s="6" t="s">
        <v>81</v>
      </c>
      <c r="X2295" s="6" t="s">
        <v>81</v>
      </c>
      <c r="Y2295" s="21" t="s">
        <v>81</v>
      </c>
      <c r="Z2295" s="6" t="s">
        <v>81</v>
      </c>
      <c r="AA2295" s="6" t="s">
        <v>81</v>
      </c>
      <c r="AB2295" s="6" t="s">
        <v>81</v>
      </c>
      <c r="AC2295" s="6" t="s">
        <v>81</v>
      </c>
      <c r="AD2295" s="21" t="s">
        <v>81</v>
      </c>
      <c r="AE2295" s="6" t="s">
        <v>81</v>
      </c>
      <c r="AF2295" s="6" t="s">
        <v>81</v>
      </c>
      <c r="AG2295" s="6" t="s">
        <v>81</v>
      </c>
      <c r="AH2295" s="6" t="s">
        <v>16839</v>
      </c>
      <c r="AI2295" s="6" t="s">
        <v>81</v>
      </c>
      <c r="AJ2295" s="6" t="s">
        <v>17926</v>
      </c>
      <c r="AK2295" s="6" t="s">
        <v>18380</v>
      </c>
      <c r="AL2295" s="6" t="s">
        <v>18444</v>
      </c>
      <c r="AM2295" s="6" t="s">
        <v>19169</v>
      </c>
      <c r="AN2295" s="6" t="s">
        <v>81</v>
      </c>
      <c r="AO2295" s="6" t="s">
        <v>81</v>
      </c>
      <c r="AP2295" s="6" t="s">
        <v>16839</v>
      </c>
      <c r="AQ2295" s="6" t="s">
        <v>81</v>
      </c>
      <c r="AR2295" s="6" t="s">
        <v>17926</v>
      </c>
      <c r="AS2295" s="6" t="s">
        <v>18380</v>
      </c>
      <c r="AT2295" s="6" t="s">
        <v>18444</v>
      </c>
      <c r="AU2295" s="6" t="s">
        <v>19169</v>
      </c>
      <c r="AV2295" s="6" t="s">
        <v>81</v>
      </c>
      <c r="AW2295" s="6" t="s">
        <v>81</v>
      </c>
      <c r="AX2295" s="6" t="s">
        <v>22247</v>
      </c>
      <c r="AY2295" s="6" t="s">
        <v>81</v>
      </c>
      <c r="AZ2295" s="6" t="s">
        <v>81</v>
      </c>
      <c r="BA2295" s="6" t="s">
        <v>81</v>
      </c>
      <c r="BB2295" s="24" t="n">
        <v>68</v>
      </c>
      <c r="BC2295" s="26"/>
      <c r="BD2295" s="26"/>
      <c r="BE2295" s="26"/>
      <c r="BF2295" s="26" t="s">
        <v>23900</v>
      </c>
      <c r="BG2295" s="26"/>
      <c r="BH2295" s="26"/>
      <c r="BI2295" s="26"/>
      <c r="BJ2295" s="26"/>
      <c r="BK2295" s="26"/>
      <c r="BL2295" s="26"/>
      <c r="BM2295" s="26"/>
      <c r="BN2295" s="26"/>
      <c r="BO2295" s="26"/>
      <c r="BP2295" s="16" t="n">
        <v>45737</v>
      </c>
      <c r="BQ2295" s="28" t="str">
        <f>HYPERLINK("https://organic.ams.usda.gov/Integrity/Certificate.aspx?cid=68&amp;nopid=8210008974")</f>
        <v>https://organic.ams.usda.gov/Integrity/Certificate.aspx?cid=68&amp;nopid=8210008974</v>
      </c>
    </row>
    <row r="2296">
      <c r="A2296" t="s">
        <v>3</v>
      </c>
      <c r="B2296" s="6" t="s">
        <v>30</v>
      </c>
      <c r="C2296" s="6" t="s">
        <v>77</v>
      </c>
      <c r="D2296" s="6" t="s">
        <v>123</v>
      </c>
      <c r="E2296" s="10" t="s">
        <v>2437</v>
      </c>
      <c r="F2296" s="6" t="s">
        <v>5147</v>
      </c>
      <c r="G2296" s="6" t="s">
        <v>81</v>
      </c>
      <c r="H2296" s="6" t="s">
        <v>7985</v>
      </c>
      <c r="I2296" s="6" t="s">
        <v>9491</v>
      </c>
      <c r="J2296" s="6" t="s">
        <v>9677</v>
      </c>
      <c r="K2296" s="6" t="s">
        <v>10886</v>
      </c>
      <c r="L2296" s="16" t="n">
        <v>42242</v>
      </c>
      <c r="M2296" s="16" t="n">
        <v>45747</v>
      </c>
      <c r="N2296" s="6" t="s">
        <v>10886</v>
      </c>
      <c r="O2296" s="16" t="n">
        <v>42242</v>
      </c>
      <c r="P2296" s="6" t="s">
        <v>10922</v>
      </c>
      <c r="Q2296" s="6" t="s">
        <v>81</v>
      </c>
      <c r="R2296" s="6" t="s">
        <v>13052</v>
      </c>
      <c r="S2296" s="6" t="s">
        <v>10886</v>
      </c>
      <c r="T2296" s="16" t="n">
        <v>42471</v>
      </c>
      <c r="U2296" s="6" t="s">
        <v>13216</v>
      </c>
      <c r="V2296" s="6" t="s">
        <v>81</v>
      </c>
      <c r="W2296" s="6" t="s">
        <v>81</v>
      </c>
      <c r="X2296" s="6" t="s">
        <v>81</v>
      </c>
      <c r="Y2296" s="21" t="s">
        <v>81</v>
      </c>
      <c r="Z2296" s="6" t="s">
        <v>81</v>
      </c>
      <c r="AA2296" s="6" t="s">
        <v>81</v>
      </c>
      <c r="AB2296" s="6" t="s">
        <v>81</v>
      </c>
      <c r="AC2296" s="6" t="s">
        <v>81</v>
      </c>
      <c r="AD2296" s="21" t="s">
        <v>81</v>
      </c>
      <c r="AE2296" s="6" t="s">
        <v>81</v>
      </c>
      <c r="AF2296" s="6" t="s">
        <v>81</v>
      </c>
      <c r="AG2296" s="6" t="s">
        <v>81</v>
      </c>
      <c r="AH2296" s="6" t="s">
        <v>16840</v>
      </c>
      <c r="AI2296" s="6" t="s">
        <v>81</v>
      </c>
      <c r="AJ2296" s="6" t="s">
        <v>17341</v>
      </c>
      <c r="AK2296" s="6" t="s">
        <v>17712</v>
      </c>
      <c r="AL2296" s="6" t="s">
        <v>18444</v>
      </c>
      <c r="AM2296" s="6" t="s">
        <v>18495</v>
      </c>
      <c r="AN2296" s="6" t="s">
        <v>19639</v>
      </c>
      <c r="AO2296" s="6" t="s">
        <v>19928</v>
      </c>
      <c r="AP2296" s="6" t="s">
        <v>16840</v>
      </c>
      <c r="AQ2296" s="6" t="s">
        <v>81</v>
      </c>
      <c r="AR2296" s="6" t="s">
        <v>17341</v>
      </c>
      <c r="AS2296" s="6" t="s">
        <v>17712</v>
      </c>
      <c r="AT2296" s="6" t="s">
        <v>18444</v>
      </c>
      <c r="AU2296" s="6" t="s">
        <v>18495</v>
      </c>
      <c r="AV2296" s="6" t="s">
        <v>81</v>
      </c>
      <c r="AW2296" s="6" t="s">
        <v>81</v>
      </c>
      <c r="AX2296" s="6" t="s">
        <v>81</v>
      </c>
      <c r="AY2296" s="6" t="s">
        <v>81</v>
      </c>
      <c r="AZ2296" s="6" t="s">
        <v>81</v>
      </c>
      <c r="BA2296" s="6" t="s">
        <v>81</v>
      </c>
      <c r="BB2296" s="24" t="n">
        <v>264</v>
      </c>
      <c r="BC2296" s="26"/>
      <c r="BD2296" s="26"/>
      <c r="BE2296" s="26"/>
      <c r="BF2296" s="26"/>
      <c r="BG2296" s="26"/>
      <c r="BH2296" s="26"/>
      <c r="BI2296" s="26"/>
      <c r="BJ2296" s="26"/>
      <c r="BK2296" s="26"/>
      <c r="BL2296" s="26"/>
      <c r="BM2296" s="26"/>
      <c r="BN2296" s="26"/>
      <c r="BO2296" s="26"/>
      <c r="BP2296" s="16" t="n">
        <v>45519</v>
      </c>
      <c r="BQ2296" s="28" t="str">
        <f>HYPERLINK("https://organic.ams.usda.gov/Integrity/Certificate.aspx?cid=70&amp;nopid=6431584500")</f>
        <v>https://organic.ams.usda.gov/Integrity/Certificate.aspx?cid=70&amp;nopid=6431584500</v>
      </c>
    </row>
    <row r="2297">
      <c r="A2297" t="s">
        <v>3</v>
      </c>
      <c r="B2297" s="6" t="s">
        <v>9</v>
      </c>
      <c r="C2297" s="6" t="s">
        <v>56</v>
      </c>
      <c r="D2297" s="6" t="s">
        <v>102</v>
      </c>
      <c r="E2297" s="10" t="s">
        <v>2438</v>
      </c>
      <c r="F2297" s="6" t="s">
        <v>5148</v>
      </c>
      <c r="G2297" s="6" t="s">
        <v>81</v>
      </c>
      <c r="H2297" s="6" t="s">
        <v>7986</v>
      </c>
      <c r="I2297" s="6" t="s">
        <v>8440</v>
      </c>
      <c r="J2297" s="6" t="s">
        <v>10100</v>
      </c>
      <c r="K2297" s="6" t="s">
        <v>10886</v>
      </c>
      <c r="L2297" s="16" t="n">
        <v>42395</v>
      </c>
      <c r="M2297" s="16" t="n">
        <v>46113</v>
      </c>
      <c r="N2297" s="6" t="s">
        <v>10886</v>
      </c>
      <c r="O2297" s="16" t="n">
        <v>42395</v>
      </c>
      <c r="P2297" s="6" t="s">
        <v>12182</v>
      </c>
      <c r="Q2297" s="6" t="s">
        <v>81</v>
      </c>
      <c r="R2297" s="6" t="s">
        <v>13053</v>
      </c>
      <c r="S2297" s="6" t="s">
        <v>10886</v>
      </c>
      <c r="T2297" s="16" t="n">
        <v>42395</v>
      </c>
      <c r="U2297" s="6" t="s">
        <v>13609</v>
      </c>
      <c r="V2297" s="6" t="s">
        <v>81</v>
      </c>
      <c r="W2297" s="6" t="s">
        <v>13053</v>
      </c>
      <c r="X2297" s="6" t="s">
        <v>81</v>
      </c>
      <c r="Y2297" s="21" t="s">
        <v>81</v>
      </c>
      <c r="Z2297" s="6" t="s">
        <v>81</v>
      </c>
      <c r="AA2297" s="6" t="s">
        <v>81</v>
      </c>
      <c r="AB2297" s="6" t="s">
        <v>81</v>
      </c>
      <c r="AC2297" s="6" t="s">
        <v>81</v>
      </c>
      <c r="AD2297" s="21" t="s">
        <v>81</v>
      </c>
      <c r="AE2297" s="6" t="s">
        <v>81</v>
      </c>
      <c r="AF2297" s="6" t="s">
        <v>81</v>
      </c>
      <c r="AG2297" s="6" t="s">
        <v>81</v>
      </c>
      <c r="AH2297" s="6" t="s">
        <v>16841</v>
      </c>
      <c r="AI2297" s="6" t="s">
        <v>81</v>
      </c>
      <c r="AJ2297" s="6" t="s">
        <v>18240</v>
      </c>
      <c r="AK2297" s="6" t="s">
        <v>18419</v>
      </c>
      <c r="AL2297" s="6" t="s">
        <v>18444</v>
      </c>
      <c r="AM2297" s="6" t="s">
        <v>19458</v>
      </c>
      <c r="AN2297" s="6" t="s">
        <v>7595</v>
      </c>
      <c r="AO2297" s="6" t="s">
        <v>20047</v>
      </c>
      <c r="AP2297" s="6" t="s">
        <v>81</v>
      </c>
      <c r="AQ2297" s="6" t="s">
        <v>81</v>
      </c>
      <c r="AR2297" s="6" t="s">
        <v>81</v>
      </c>
      <c r="AS2297" s="6" t="s">
        <v>81</v>
      </c>
      <c r="AT2297" s="6" t="s">
        <v>81</v>
      </c>
      <c r="AU2297" s="6" t="s">
        <v>81</v>
      </c>
      <c r="AV2297" s="6" t="s">
        <v>81</v>
      </c>
      <c r="AW2297" s="6" t="s">
        <v>81</v>
      </c>
      <c r="AX2297" s="6" t="s">
        <v>22248</v>
      </c>
      <c r="AY2297" s="6" t="s">
        <v>23373</v>
      </c>
      <c r="AZ2297" s="6" t="s">
        <v>81</v>
      </c>
      <c r="BA2297" s="6" t="s">
        <v>81</v>
      </c>
      <c r="BB2297" s="24" t="n">
        <v>478</v>
      </c>
      <c r="BC2297" s="26"/>
      <c r="BD2297" s="26"/>
      <c r="BE2297" s="26"/>
      <c r="BF2297" s="26"/>
      <c r="BG2297" s="26"/>
      <c r="BH2297" s="26"/>
      <c r="BI2297" s="26"/>
      <c r="BJ2297" s="26"/>
      <c r="BK2297" s="26"/>
      <c r="BL2297" s="26"/>
      <c r="BM2297" s="26"/>
      <c r="BN2297" s="26"/>
      <c r="BO2297" s="26"/>
      <c r="BP2297" s="16" t="n">
        <v>45738</v>
      </c>
      <c r="BQ2297" s="28" t="str">
        <f>HYPERLINK("https://organic.ams.usda.gov/Integrity/Certificate.aspx?cid=52&amp;nopid=8431501143")</f>
        <v>https://organic.ams.usda.gov/Integrity/Certificate.aspx?cid=52&amp;nopid=8431501143</v>
      </c>
    </row>
    <row r="2298">
      <c r="A2298" t="s">
        <v>3</v>
      </c>
      <c r="B2298" s="6" t="s">
        <v>12</v>
      </c>
      <c r="C2298" s="6" t="s">
        <v>59</v>
      </c>
      <c r="D2298" s="6" t="s">
        <v>105</v>
      </c>
      <c r="E2298" s="10" t="s">
        <v>2439</v>
      </c>
      <c r="F2298" s="6" t="s">
        <v>5149</v>
      </c>
      <c r="G2298" s="6" t="s">
        <v>81</v>
      </c>
      <c r="H2298" s="6" t="s">
        <v>7987</v>
      </c>
      <c r="I2298" s="6" t="s">
        <v>9492</v>
      </c>
      <c r="J2298" s="6" t="s">
        <v>9671</v>
      </c>
      <c r="K2298" s="6" t="s">
        <v>10886</v>
      </c>
      <c r="L2298" s="16" t="n">
        <v>41214</v>
      </c>
      <c r="M2298" s="16" t="n">
        <v>45717</v>
      </c>
      <c r="N2298" s="6" t="s">
        <v>10886</v>
      </c>
      <c r="O2298" s="16" t="n">
        <v>41214</v>
      </c>
      <c r="P2298" s="6" t="s">
        <v>11380</v>
      </c>
      <c r="Q2298" s="6" t="s">
        <v>81</v>
      </c>
      <c r="R2298" s="6" t="s">
        <v>81</v>
      </c>
      <c r="S2298" s="6" t="s">
        <v>10886</v>
      </c>
      <c r="T2298" s="16" t="n">
        <v>41214</v>
      </c>
      <c r="U2298" s="6" t="s">
        <v>13171</v>
      </c>
      <c r="V2298" s="6" t="s">
        <v>81</v>
      </c>
      <c r="W2298" s="6" t="s">
        <v>81</v>
      </c>
      <c r="X2298" s="6" t="s">
        <v>81</v>
      </c>
      <c r="Y2298" s="21" t="s">
        <v>81</v>
      </c>
      <c r="Z2298" s="6" t="s">
        <v>81</v>
      </c>
      <c r="AA2298" s="6" t="s">
        <v>81</v>
      </c>
      <c r="AB2298" s="6" t="s">
        <v>81</v>
      </c>
      <c r="AC2298" s="6" t="s">
        <v>81</v>
      </c>
      <c r="AD2298" s="21" t="s">
        <v>81</v>
      </c>
      <c r="AE2298" s="6" t="s">
        <v>81</v>
      </c>
      <c r="AF2298" s="6" t="s">
        <v>81</v>
      </c>
      <c r="AG2298" s="6" t="s">
        <v>81</v>
      </c>
      <c r="AH2298" s="6" t="s">
        <v>16842</v>
      </c>
      <c r="AI2298" s="6" t="s">
        <v>81</v>
      </c>
      <c r="AJ2298" s="6" t="s">
        <v>17668</v>
      </c>
      <c r="AK2298" s="6" t="s">
        <v>18380</v>
      </c>
      <c r="AL2298" s="6" t="s">
        <v>18444</v>
      </c>
      <c r="AM2298" s="6" t="s">
        <v>18835</v>
      </c>
      <c r="AN2298" s="6" t="s">
        <v>19648</v>
      </c>
      <c r="AO2298" s="6" t="s">
        <v>19736</v>
      </c>
      <c r="AP2298" s="6" t="s">
        <v>16842</v>
      </c>
      <c r="AQ2298" s="6" t="s">
        <v>81</v>
      </c>
      <c r="AR2298" s="6" t="s">
        <v>17668</v>
      </c>
      <c r="AS2298" s="6" t="s">
        <v>18380</v>
      </c>
      <c r="AT2298" s="6" t="s">
        <v>18444</v>
      </c>
      <c r="AU2298" s="6" t="s">
        <v>18835</v>
      </c>
      <c r="AV2298" s="6" t="s">
        <v>81</v>
      </c>
      <c r="AW2298" s="6" t="s">
        <v>81</v>
      </c>
      <c r="AX2298" s="6" t="s">
        <v>22249</v>
      </c>
      <c r="AY2298" s="6" t="s">
        <v>81</v>
      </c>
      <c r="AZ2298" s="6" t="s">
        <v>81</v>
      </c>
      <c r="BA2298" s="6" t="s">
        <v>81</v>
      </c>
      <c r="BB2298" s="24" t="n">
        <v>123</v>
      </c>
      <c r="BC2298" s="26"/>
      <c r="BD2298" s="26"/>
      <c r="BE2298" s="26"/>
      <c r="BF2298" s="26"/>
      <c r="BG2298" s="26"/>
      <c r="BH2298" s="26"/>
      <c r="BI2298" s="26"/>
      <c r="BJ2298" s="26"/>
      <c r="BK2298" s="26"/>
      <c r="BL2298" s="26"/>
      <c r="BM2298" s="26"/>
      <c r="BN2298" s="26"/>
      <c r="BO2298" s="26"/>
      <c r="BP2298" s="16" t="n">
        <v>45684</v>
      </c>
      <c r="BQ2298" s="28" t="str">
        <f>HYPERLINK("https://organic.ams.usda.gov/Integrity/Certificate.aspx?cid=68&amp;nopid=8210003792")</f>
        <v>https://organic.ams.usda.gov/Integrity/Certificate.aspx?cid=68&amp;nopid=8210003792</v>
      </c>
    </row>
    <row r="2299">
      <c r="A2299" t="s">
        <v>3</v>
      </c>
      <c r="B2299" s="6" t="s">
        <v>30</v>
      </c>
      <c r="C2299" s="6" t="s">
        <v>77</v>
      </c>
      <c r="D2299" s="6" t="s">
        <v>123</v>
      </c>
      <c r="E2299" s="10" t="s">
        <v>2440</v>
      </c>
      <c r="F2299" s="6" t="s">
        <v>5150</v>
      </c>
      <c r="G2299" s="6" t="s">
        <v>81</v>
      </c>
      <c r="H2299" s="6" t="s">
        <v>7988</v>
      </c>
      <c r="I2299" s="6" t="s">
        <v>9493</v>
      </c>
      <c r="J2299" s="6" t="s">
        <v>9727</v>
      </c>
      <c r="K2299" s="6" t="s">
        <v>10886</v>
      </c>
      <c r="L2299" s="16" t="n">
        <v>41289</v>
      </c>
      <c r="M2299" s="16" t="n">
        <v>45747</v>
      </c>
      <c r="N2299" s="6" t="s">
        <v>10886</v>
      </c>
      <c r="O2299" s="16" t="n">
        <v>41289</v>
      </c>
      <c r="P2299" s="6" t="s">
        <v>11154</v>
      </c>
      <c r="Q2299" s="6" t="s">
        <v>81</v>
      </c>
      <c r="R2299" s="6" t="s">
        <v>7988</v>
      </c>
      <c r="S2299" s="6" t="s">
        <v>10886</v>
      </c>
      <c r="T2299" s="16" t="n">
        <v>41289</v>
      </c>
      <c r="U2299" s="6" t="s">
        <v>13846</v>
      </c>
      <c r="V2299" s="6" t="s">
        <v>81</v>
      </c>
      <c r="W2299" s="6" t="s">
        <v>13982</v>
      </c>
      <c r="X2299" s="6" t="s">
        <v>81</v>
      </c>
      <c r="Y2299" s="21" t="s">
        <v>81</v>
      </c>
      <c r="Z2299" s="6" t="s">
        <v>81</v>
      </c>
      <c r="AA2299" s="6" t="s">
        <v>81</v>
      </c>
      <c r="AB2299" s="6" t="s">
        <v>81</v>
      </c>
      <c r="AC2299" s="6" t="s">
        <v>81</v>
      </c>
      <c r="AD2299" s="21" t="s">
        <v>81</v>
      </c>
      <c r="AE2299" s="6" t="s">
        <v>81</v>
      </c>
      <c r="AF2299" s="6" t="s">
        <v>81</v>
      </c>
      <c r="AG2299" s="6" t="s">
        <v>81</v>
      </c>
      <c r="AH2299" s="6" t="s">
        <v>16843</v>
      </c>
      <c r="AI2299" s="6" t="s">
        <v>81</v>
      </c>
      <c r="AJ2299" s="6" t="s">
        <v>17968</v>
      </c>
      <c r="AK2299" s="6" t="s">
        <v>17712</v>
      </c>
      <c r="AL2299" s="6" t="s">
        <v>18444</v>
      </c>
      <c r="AM2299" s="6" t="s">
        <v>19155</v>
      </c>
      <c r="AN2299" s="6" t="s">
        <v>19649</v>
      </c>
      <c r="AO2299" s="6" t="s">
        <v>19738</v>
      </c>
      <c r="AP2299" s="6" t="s">
        <v>16843</v>
      </c>
      <c r="AQ2299" s="6" t="s">
        <v>81</v>
      </c>
      <c r="AR2299" s="6" t="s">
        <v>17968</v>
      </c>
      <c r="AS2299" s="6" t="s">
        <v>17712</v>
      </c>
      <c r="AT2299" s="6" t="s">
        <v>18444</v>
      </c>
      <c r="AU2299" s="6" t="s">
        <v>19155</v>
      </c>
      <c r="AV2299" s="6" t="s">
        <v>81</v>
      </c>
      <c r="AW2299" s="6" t="s">
        <v>81</v>
      </c>
      <c r="AX2299" s="6" t="s">
        <v>81</v>
      </c>
      <c r="AY2299" s="6" t="s">
        <v>81</v>
      </c>
      <c r="AZ2299" s="6" t="s">
        <v>81</v>
      </c>
      <c r="BA2299" s="6" t="s">
        <v>81</v>
      </c>
      <c r="BB2299" s="24" t="n">
        <v>177</v>
      </c>
      <c r="BC2299" s="26"/>
      <c r="BD2299" s="26"/>
      <c r="BE2299" s="26"/>
      <c r="BF2299" s="26"/>
      <c r="BG2299" s="26"/>
      <c r="BH2299" s="26"/>
      <c r="BI2299" s="26"/>
      <c r="BJ2299" s="26"/>
      <c r="BK2299" s="26"/>
      <c r="BL2299" s="26"/>
      <c r="BM2299" s="26"/>
      <c r="BN2299" s="26"/>
      <c r="BO2299" s="26"/>
      <c r="BP2299" s="16" t="n">
        <v>45569</v>
      </c>
      <c r="BQ2299" s="28" t="str">
        <f>HYPERLINK("https://organic.ams.usda.gov/Integrity/Certificate.aspx?cid=70&amp;nopid=6431253900")</f>
        <v>https://organic.ams.usda.gov/Integrity/Certificate.aspx?cid=70&amp;nopid=6431253900</v>
      </c>
    </row>
    <row r="2300">
      <c r="A2300" t="s">
        <v>3</v>
      </c>
      <c r="B2300" s="6" t="s">
        <v>12</v>
      </c>
      <c r="C2300" s="6" t="s">
        <v>59</v>
      </c>
      <c r="D2300" s="6" t="s">
        <v>105</v>
      </c>
      <c r="E2300" s="10" t="s">
        <v>2441</v>
      </c>
      <c r="F2300" s="6" t="s">
        <v>5151</v>
      </c>
      <c r="G2300" s="6" t="s">
        <v>81</v>
      </c>
      <c r="H2300" s="6" t="s">
        <v>7989</v>
      </c>
      <c r="I2300" s="6" t="s">
        <v>9494</v>
      </c>
      <c r="J2300" s="6" t="s">
        <v>9671</v>
      </c>
      <c r="K2300" s="6" t="s">
        <v>10886</v>
      </c>
      <c r="L2300" s="16" t="n">
        <v>37938</v>
      </c>
      <c r="M2300" s="16" t="n">
        <v>45717</v>
      </c>
      <c r="N2300" s="6" t="s">
        <v>10886</v>
      </c>
      <c r="O2300" s="16" t="n">
        <v>37938</v>
      </c>
      <c r="P2300" s="6" t="s">
        <v>12183</v>
      </c>
      <c r="Q2300" s="6" t="s">
        <v>81</v>
      </c>
      <c r="R2300" s="6" t="s">
        <v>81</v>
      </c>
      <c r="S2300" s="6" t="s">
        <v>10886</v>
      </c>
      <c r="T2300" s="16" t="n">
        <v>37938</v>
      </c>
      <c r="U2300" s="6" t="s">
        <v>13166</v>
      </c>
      <c r="V2300" s="6" t="s">
        <v>81</v>
      </c>
      <c r="W2300" s="6" t="s">
        <v>81</v>
      </c>
      <c r="X2300" s="6" t="s">
        <v>81</v>
      </c>
      <c r="Y2300" s="21" t="s">
        <v>81</v>
      </c>
      <c r="Z2300" s="6" t="s">
        <v>81</v>
      </c>
      <c r="AA2300" s="6" t="s">
        <v>81</v>
      </c>
      <c r="AB2300" s="6" t="s">
        <v>81</v>
      </c>
      <c r="AC2300" s="6" t="s">
        <v>81</v>
      </c>
      <c r="AD2300" s="21" t="s">
        <v>81</v>
      </c>
      <c r="AE2300" s="6" t="s">
        <v>81</v>
      </c>
      <c r="AF2300" s="6" t="s">
        <v>81</v>
      </c>
      <c r="AG2300" s="6" t="s">
        <v>81</v>
      </c>
      <c r="AH2300" s="6" t="s">
        <v>16844</v>
      </c>
      <c r="AI2300" s="6" t="s">
        <v>81</v>
      </c>
      <c r="AJ2300" s="6" t="s">
        <v>17491</v>
      </c>
      <c r="AK2300" s="6" t="s">
        <v>18380</v>
      </c>
      <c r="AL2300" s="6" t="s">
        <v>18444</v>
      </c>
      <c r="AM2300" s="6" t="s">
        <v>18651</v>
      </c>
      <c r="AN2300" s="6" t="s">
        <v>19665</v>
      </c>
      <c r="AO2300" s="6" t="s">
        <v>19755</v>
      </c>
      <c r="AP2300" s="6" t="s">
        <v>16844</v>
      </c>
      <c r="AQ2300" s="6" t="s">
        <v>81</v>
      </c>
      <c r="AR2300" s="6" t="s">
        <v>17491</v>
      </c>
      <c r="AS2300" s="6" t="s">
        <v>18380</v>
      </c>
      <c r="AT2300" s="6" t="s">
        <v>18444</v>
      </c>
      <c r="AU2300" s="6" t="s">
        <v>18651</v>
      </c>
      <c r="AV2300" s="6" t="s">
        <v>81</v>
      </c>
      <c r="AW2300" s="6" t="s">
        <v>81</v>
      </c>
      <c r="AX2300" s="6" t="s">
        <v>22250</v>
      </c>
      <c r="AY2300" s="6" t="s">
        <v>81</v>
      </c>
      <c r="AZ2300" s="6" t="s">
        <v>81</v>
      </c>
      <c r="BA2300" s="6" t="s">
        <v>81</v>
      </c>
      <c r="BB2300" s="24" t="n">
        <v>69</v>
      </c>
      <c r="BC2300" s="26"/>
      <c r="BD2300" s="26"/>
      <c r="BE2300" s="26"/>
      <c r="BF2300" s="26"/>
      <c r="BG2300" s="26"/>
      <c r="BH2300" s="26"/>
      <c r="BI2300" s="26"/>
      <c r="BJ2300" s="26"/>
      <c r="BK2300" s="26"/>
      <c r="BL2300" s="26"/>
      <c r="BM2300" s="26"/>
      <c r="BN2300" s="26"/>
      <c r="BO2300" s="26"/>
      <c r="BP2300" s="16" t="n">
        <v>45684</v>
      </c>
      <c r="BQ2300" s="28" t="str">
        <f>HYPERLINK("https://organic.ams.usda.gov/Integrity/Certificate.aspx?cid=68&amp;nopid=8210001667")</f>
        <v>https://organic.ams.usda.gov/Integrity/Certificate.aspx?cid=68&amp;nopid=8210001667</v>
      </c>
    </row>
    <row r="2301">
      <c r="A2301" t="s">
        <v>3</v>
      </c>
      <c r="B2301" s="6" t="s">
        <v>15</v>
      </c>
      <c r="C2301" s="6" t="s">
        <v>62</v>
      </c>
      <c r="D2301" s="6" t="s">
        <v>108</v>
      </c>
      <c r="E2301" s="10" t="s">
        <v>2442</v>
      </c>
      <c r="F2301" s="6" t="s">
        <v>5152</v>
      </c>
      <c r="G2301" s="6" t="s">
        <v>5843</v>
      </c>
      <c r="H2301" s="6" t="s">
        <v>7547</v>
      </c>
      <c r="I2301" s="6" t="s">
        <v>9494</v>
      </c>
      <c r="J2301" s="6" t="s">
        <v>9668</v>
      </c>
      <c r="K2301" s="6" t="s">
        <v>10886</v>
      </c>
      <c r="L2301" s="16" t="n">
        <v>42275</v>
      </c>
      <c r="M2301" s="16" t="n">
        <v>45792</v>
      </c>
      <c r="N2301" s="6" t="s">
        <v>10886</v>
      </c>
      <c r="O2301" s="16" t="n">
        <v>42275</v>
      </c>
      <c r="P2301" s="6" t="s">
        <v>12184</v>
      </c>
      <c r="Q2301" s="6" t="s">
        <v>81</v>
      </c>
      <c r="R2301" s="6" t="s">
        <v>81</v>
      </c>
      <c r="S2301" s="6" t="s">
        <v>10886</v>
      </c>
      <c r="T2301" s="16" t="n">
        <v>42275</v>
      </c>
      <c r="U2301" s="6" t="s">
        <v>13215</v>
      </c>
      <c r="V2301" s="6" t="s">
        <v>81</v>
      </c>
      <c r="W2301" s="6" t="s">
        <v>81</v>
      </c>
      <c r="X2301" s="6" t="s">
        <v>81</v>
      </c>
      <c r="Y2301" s="21" t="s">
        <v>81</v>
      </c>
      <c r="Z2301" s="6" t="s">
        <v>81</v>
      </c>
      <c r="AA2301" s="6" t="s">
        <v>81</v>
      </c>
      <c r="AB2301" s="6" t="s">
        <v>81</v>
      </c>
      <c r="AC2301" s="6" t="s">
        <v>81</v>
      </c>
      <c r="AD2301" s="21" t="s">
        <v>81</v>
      </c>
      <c r="AE2301" s="6" t="s">
        <v>81</v>
      </c>
      <c r="AF2301" s="6" t="s">
        <v>81</v>
      </c>
      <c r="AG2301" s="6" t="s">
        <v>81</v>
      </c>
      <c r="AH2301" s="6" t="s">
        <v>16845</v>
      </c>
      <c r="AI2301" s="6" t="s">
        <v>81</v>
      </c>
      <c r="AJ2301" s="6" t="s">
        <v>18265</v>
      </c>
      <c r="AK2301" s="6" t="s">
        <v>18380</v>
      </c>
      <c r="AL2301" s="6" t="s">
        <v>18444</v>
      </c>
      <c r="AM2301" s="6" t="s">
        <v>18479</v>
      </c>
      <c r="AN2301" s="6" t="s">
        <v>19639</v>
      </c>
      <c r="AO2301" s="6" t="s">
        <v>19725</v>
      </c>
      <c r="AP2301" s="6" t="s">
        <v>16845</v>
      </c>
      <c r="AQ2301" s="6" t="s">
        <v>81</v>
      </c>
      <c r="AR2301" s="6" t="s">
        <v>18265</v>
      </c>
      <c r="AS2301" s="6" t="s">
        <v>18380</v>
      </c>
      <c r="AT2301" s="6" t="s">
        <v>18444</v>
      </c>
      <c r="AU2301" s="6" t="s">
        <v>18479</v>
      </c>
      <c r="AV2301" s="6" t="s">
        <v>81</v>
      </c>
      <c r="AW2301" s="6" t="s">
        <v>81</v>
      </c>
      <c r="AX2301" s="6" t="s">
        <v>22251</v>
      </c>
      <c r="AY2301" s="6" t="s">
        <v>81</v>
      </c>
      <c r="AZ2301" s="6" t="s">
        <v>81</v>
      </c>
      <c r="BA2301" s="6" t="s">
        <v>81</v>
      </c>
      <c r="BB2301" s="24" t="n">
        <v>101</v>
      </c>
      <c r="BC2301" s="26"/>
      <c r="BD2301" s="26"/>
      <c r="BE2301" s="26"/>
      <c r="BF2301" s="26" t="s">
        <v>23900</v>
      </c>
      <c r="BG2301" s="26"/>
      <c r="BH2301" s="26"/>
      <c r="BI2301" s="26"/>
      <c r="BJ2301" s="26"/>
      <c r="BK2301" s="26"/>
      <c r="BL2301" s="26"/>
      <c r="BM2301" s="26"/>
      <c r="BN2301" s="26"/>
      <c r="BO2301" s="26"/>
      <c r="BP2301" s="16" t="n">
        <v>45737</v>
      </c>
      <c r="BQ2301" s="28" t="str">
        <f>HYPERLINK("https://organic.ams.usda.gov/Integrity/Certificate.aspx?cid=58&amp;nopid=1600002502")</f>
        <v>https://organic.ams.usda.gov/Integrity/Certificate.aspx?cid=58&amp;nopid=1600002502</v>
      </c>
    </row>
    <row r="2302">
      <c r="A2302" t="s">
        <v>3</v>
      </c>
      <c r="B2302" s="6" t="s">
        <v>7</v>
      </c>
      <c r="C2302" s="6" t="s">
        <v>54</v>
      </c>
      <c r="D2302" s="6" t="s">
        <v>100</v>
      </c>
      <c r="E2302" s="10" t="s">
        <v>2443</v>
      </c>
      <c r="F2302" s="6" t="s">
        <v>5153</v>
      </c>
      <c r="G2302" s="6" t="s">
        <v>81</v>
      </c>
      <c r="H2302" s="6" t="s">
        <v>7990</v>
      </c>
      <c r="I2302" s="6" t="s">
        <v>8440</v>
      </c>
      <c r="J2302" s="6" t="s">
        <v>9671</v>
      </c>
      <c r="K2302" s="6" t="s">
        <v>10886</v>
      </c>
      <c r="L2302" s="16" t="n">
        <v>44712</v>
      </c>
      <c r="M2302" s="16" t="n">
        <v>45716</v>
      </c>
      <c r="N2302" s="6" t="s">
        <v>10886</v>
      </c>
      <c r="O2302" s="16" t="n">
        <v>44712</v>
      </c>
      <c r="P2302" s="6" t="s">
        <v>12185</v>
      </c>
      <c r="Q2302" s="6" t="s">
        <v>81</v>
      </c>
      <c r="R2302" s="6" t="s">
        <v>81</v>
      </c>
      <c r="S2302" s="6" t="s">
        <v>10886</v>
      </c>
      <c r="T2302" s="16" t="n">
        <v>44712</v>
      </c>
      <c r="U2302" s="6" t="s">
        <v>13169</v>
      </c>
      <c r="V2302" s="6" t="s">
        <v>81</v>
      </c>
      <c r="W2302" s="6" t="s">
        <v>81</v>
      </c>
      <c r="X2302" s="6" t="s">
        <v>81</v>
      </c>
      <c r="Y2302" s="21" t="s">
        <v>81</v>
      </c>
      <c r="Z2302" s="6" t="s">
        <v>81</v>
      </c>
      <c r="AA2302" s="6" t="s">
        <v>81</v>
      </c>
      <c r="AB2302" s="6" t="s">
        <v>81</v>
      </c>
      <c r="AC2302" s="6" t="s">
        <v>81</v>
      </c>
      <c r="AD2302" s="21" t="s">
        <v>81</v>
      </c>
      <c r="AE2302" s="6" t="s">
        <v>81</v>
      </c>
      <c r="AF2302" s="6" t="s">
        <v>81</v>
      </c>
      <c r="AG2302" s="6" t="s">
        <v>81</v>
      </c>
      <c r="AH2302" s="6" t="s">
        <v>14888</v>
      </c>
      <c r="AI2302" s="6" t="s">
        <v>81</v>
      </c>
      <c r="AJ2302" s="6" t="s">
        <v>17485</v>
      </c>
      <c r="AK2302" s="6" t="s">
        <v>17712</v>
      </c>
      <c r="AL2302" s="6" t="s">
        <v>18444</v>
      </c>
      <c r="AM2302" s="6" t="s">
        <v>18645</v>
      </c>
      <c r="AN2302" s="6" t="s">
        <v>19642</v>
      </c>
      <c r="AO2302" s="6" t="s">
        <v>19728</v>
      </c>
      <c r="AP2302" s="6" t="s">
        <v>14888</v>
      </c>
      <c r="AQ2302" s="6" t="s">
        <v>81</v>
      </c>
      <c r="AR2302" s="6" t="s">
        <v>17485</v>
      </c>
      <c r="AS2302" s="6" t="s">
        <v>17712</v>
      </c>
      <c r="AT2302" s="6" t="s">
        <v>18444</v>
      </c>
      <c r="AU2302" s="6" t="s">
        <v>18645</v>
      </c>
      <c r="AV2302" s="6" t="s">
        <v>81</v>
      </c>
      <c r="AW2302" s="6" t="s">
        <v>81</v>
      </c>
      <c r="AX2302" s="6" t="s">
        <v>20917</v>
      </c>
      <c r="AY2302" s="6" t="s">
        <v>81</v>
      </c>
      <c r="AZ2302" s="6" t="s">
        <v>81</v>
      </c>
      <c r="BA2302" s="6" t="s">
        <v>81</v>
      </c>
      <c r="BB2302" s="24" t="n">
        <v>138</v>
      </c>
      <c r="BC2302" s="26"/>
      <c r="BD2302" s="26"/>
      <c r="BE2302" s="26"/>
      <c r="BF2302" s="26" t="s">
        <v>23900</v>
      </c>
      <c r="BG2302" s="26"/>
      <c r="BH2302" s="26"/>
      <c r="BI2302" s="26"/>
      <c r="BJ2302" s="26"/>
      <c r="BK2302" s="26"/>
      <c r="BL2302" s="26"/>
      <c r="BM2302" s="26"/>
      <c r="BN2302" s="26"/>
      <c r="BO2302" s="26"/>
      <c r="BP2302" s="16" t="n">
        <v>45638</v>
      </c>
      <c r="BQ2302" s="28" t="str">
        <f>HYPERLINK("https://organic.ams.usda.gov/Integrity/Certificate.aspx?cid=57&amp;nopid=3252022042")</f>
        <v>https://organic.ams.usda.gov/Integrity/Certificate.aspx?cid=57&amp;nopid=3252022042</v>
      </c>
    </row>
    <row r="2303">
      <c r="A2303" t="s">
        <v>3</v>
      </c>
      <c r="B2303" s="6" t="s">
        <v>12</v>
      </c>
      <c r="C2303" s="6" t="s">
        <v>59</v>
      </c>
      <c r="D2303" s="6" t="s">
        <v>105</v>
      </c>
      <c r="E2303" s="10" t="s">
        <v>2444</v>
      </c>
      <c r="F2303" s="6" t="s">
        <v>5154</v>
      </c>
      <c r="G2303" s="6" t="s">
        <v>81</v>
      </c>
      <c r="H2303" s="6" t="s">
        <v>7991</v>
      </c>
      <c r="I2303" s="6" t="s">
        <v>9495</v>
      </c>
      <c r="J2303" s="6" t="s">
        <v>9671</v>
      </c>
      <c r="K2303" s="6" t="s">
        <v>10886</v>
      </c>
      <c r="L2303" s="16" t="n">
        <v>37550</v>
      </c>
      <c r="M2303" s="16" t="n">
        <v>45717</v>
      </c>
      <c r="N2303" s="6" t="s">
        <v>10886</v>
      </c>
      <c r="O2303" s="16" t="n">
        <v>37550</v>
      </c>
      <c r="P2303" s="6" t="s">
        <v>12186</v>
      </c>
      <c r="Q2303" s="6" t="s">
        <v>81</v>
      </c>
      <c r="R2303" s="6" t="s">
        <v>81</v>
      </c>
      <c r="S2303" s="6" t="s">
        <v>10886</v>
      </c>
      <c r="T2303" s="16" t="n">
        <v>37550</v>
      </c>
      <c r="U2303" s="6" t="s">
        <v>13183</v>
      </c>
      <c r="V2303" s="6" t="s">
        <v>81</v>
      </c>
      <c r="W2303" s="6" t="s">
        <v>81</v>
      </c>
      <c r="X2303" s="6" t="s">
        <v>81</v>
      </c>
      <c r="Y2303" s="21" t="s">
        <v>81</v>
      </c>
      <c r="Z2303" s="6" t="s">
        <v>81</v>
      </c>
      <c r="AA2303" s="6" t="s">
        <v>81</v>
      </c>
      <c r="AB2303" s="6" t="s">
        <v>81</v>
      </c>
      <c r="AC2303" s="6" t="s">
        <v>81</v>
      </c>
      <c r="AD2303" s="21" t="s">
        <v>81</v>
      </c>
      <c r="AE2303" s="6" t="s">
        <v>81</v>
      </c>
      <c r="AF2303" s="6" t="s">
        <v>81</v>
      </c>
      <c r="AG2303" s="6" t="s">
        <v>81</v>
      </c>
      <c r="AH2303" s="6" t="s">
        <v>16846</v>
      </c>
      <c r="AI2303" s="6" t="s">
        <v>81</v>
      </c>
      <c r="AJ2303" s="6" t="s">
        <v>17415</v>
      </c>
      <c r="AK2303" s="6" t="s">
        <v>18380</v>
      </c>
      <c r="AL2303" s="6" t="s">
        <v>18444</v>
      </c>
      <c r="AM2303" s="6" t="s">
        <v>18571</v>
      </c>
      <c r="AN2303" s="6" t="s">
        <v>19639</v>
      </c>
      <c r="AO2303" s="6" t="s">
        <v>19725</v>
      </c>
      <c r="AP2303" s="6" t="s">
        <v>16846</v>
      </c>
      <c r="AQ2303" s="6" t="s">
        <v>81</v>
      </c>
      <c r="AR2303" s="6" t="s">
        <v>17415</v>
      </c>
      <c r="AS2303" s="6" t="s">
        <v>18380</v>
      </c>
      <c r="AT2303" s="6" t="s">
        <v>18444</v>
      </c>
      <c r="AU2303" s="6" t="s">
        <v>18571</v>
      </c>
      <c r="AV2303" s="6" t="s">
        <v>81</v>
      </c>
      <c r="AW2303" s="6" t="s">
        <v>81</v>
      </c>
      <c r="AX2303" s="6" t="s">
        <v>81</v>
      </c>
      <c r="AY2303" s="6" t="s">
        <v>81</v>
      </c>
      <c r="AZ2303" s="6" t="s">
        <v>81</v>
      </c>
      <c r="BA2303" s="6" t="s">
        <v>81</v>
      </c>
      <c r="BB2303" s="24" t="n">
        <v>58</v>
      </c>
      <c r="BC2303" s="26"/>
      <c r="BD2303" s="26"/>
      <c r="BE2303" s="26"/>
      <c r="BF2303" s="26"/>
      <c r="BG2303" s="26"/>
      <c r="BH2303" s="26"/>
      <c r="BI2303" s="26"/>
      <c r="BJ2303" s="26"/>
      <c r="BK2303" s="26"/>
      <c r="BL2303" s="26"/>
      <c r="BM2303" s="26"/>
      <c r="BN2303" s="26"/>
      <c r="BO2303" s="26"/>
      <c r="BP2303" s="16" t="n">
        <v>45684</v>
      </c>
      <c r="BQ2303" s="28" t="str">
        <f>HYPERLINK("https://organic.ams.usda.gov/Integrity/Certificate.aspx?cid=68&amp;nopid=8210002163")</f>
        <v>https://organic.ams.usda.gov/Integrity/Certificate.aspx?cid=68&amp;nopid=8210002163</v>
      </c>
    </row>
    <row r="2304">
      <c r="A2304" t="s">
        <v>3</v>
      </c>
      <c r="B2304" s="6" t="s">
        <v>9</v>
      </c>
      <c r="C2304" s="6" t="s">
        <v>56</v>
      </c>
      <c r="D2304" s="6" t="s">
        <v>102</v>
      </c>
      <c r="E2304" s="10" t="s">
        <v>2445</v>
      </c>
      <c r="F2304" s="6" t="s">
        <v>5155</v>
      </c>
      <c r="G2304" s="6" t="s">
        <v>81</v>
      </c>
      <c r="H2304" s="6" t="s">
        <v>7992</v>
      </c>
      <c r="I2304" s="6" t="s">
        <v>8440</v>
      </c>
      <c r="J2304" s="6" t="s">
        <v>9677</v>
      </c>
      <c r="K2304" s="6" t="s">
        <v>10886</v>
      </c>
      <c r="L2304" s="16" t="n">
        <v>42278</v>
      </c>
      <c r="M2304" s="16" t="n">
        <v>45748</v>
      </c>
      <c r="N2304" s="6" t="s">
        <v>10886</v>
      </c>
      <c r="O2304" s="16" t="n">
        <v>42278</v>
      </c>
      <c r="P2304" s="6" t="s">
        <v>10922</v>
      </c>
      <c r="Q2304" s="6" t="s">
        <v>81</v>
      </c>
      <c r="R2304" s="6" t="s">
        <v>13054</v>
      </c>
      <c r="S2304" s="6" t="s">
        <v>10886</v>
      </c>
      <c r="T2304" s="16" t="n">
        <v>42278</v>
      </c>
      <c r="U2304" s="6" t="s">
        <v>13176</v>
      </c>
      <c r="V2304" s="6" t="s">
        <v>81</v>
      </c>
      <c r="W2304" s="6" t="s">
        <v>13054</v>
      </c>
      <c r="X2304" s="6" t="s">
        <v>81</v>
      </c>
      <c r="Y2304" s="21" t="s">
        <v>81</v>
      </c>
      <c r="Z2304" s="6" t="s">
        <v>81</v>
      </c>
      <c r="AA2304" s="6" t="s">
        <v>81</v>
      </c>
      <c r="AB2304" s="6" t="s">
        <v>81</v>
      </c>
      <c r="AC2304" s="6" t="s">
        <v>81</v>
      </c>
      <c r="AD2304" s="21" t="s">
        <v>81</v>
      </c>
      <c r="AE2304" s="6" t="s">
        <v>81</v>
      </c>
      <c r="AF2304" s="6" t="s">
        <v>81</v>
      </c>
      <c r="AG2304" s="6" t="s">
        <v>81</v>
      </c>
      <c r="AH2304" s="6" t="s">
        <v>16847</v>
      </c>
      <c r="AI2304" s="6" t="s">
        <v>81</v>
      </c>
      <c r="AJ2304" s="6" t="s">
        <v>18265</v>
      </c>
      <c r="AK2304" s="6" t="s">
        <v>18380</v>
      </c>
      <c r="AL2304" s="6" t="s">
        <v>18444</v>
      </c>
      <c r="AM2304" s="6" t="s">
        <v>18479</v>
      </c>
      <c r="AN2304" s="6" t="s">
        <v>19639</v>
      </c>
      <c r="AO2304" s="6" t="s">
        <v>19725</v>
      </c>
      <c r="AP2304" s="6" t="s">
        <v>81</v>
      </c>
      <c r="AQ2304" s="6" t="s">
        <v>81</v>
      </c>
      <c r="AR2304" s="6" t="s">
        <v>81</v>
      </c>
      <c r="AS2304" s="6" t="s">
        <v>81</v>
      </c>
      <c r="AT2304" s="6" t="s">
        <v>81</v>
      </c>
      <c r="AU2304" s="6" t="s">
        <v>81</v>
      </c>
      <c r="AV2304" s="6" t="s">
        <v>81</v>
      </c>
      <c r="AW2304" s="6" t="s">
        <v>81</v>
      </c>
      <c r="AX2304" s="6" t="s">
        <v>22252</v>
      </c>
      <c r="AY2304" s="6" t="s">
        <v>81</v>
      </c>
      <c r="AZ2304" s="6" t="s">
        <v>81</v>
      </c>
      <c r="BA2304" s="6" t="s">
        <v>81</v>
      </c>
      <c r="BB2304" s="24" t="n">
        <v>80</v>
      </c>
      <c r="BC2304" s="26"/>
      <c r="BD2304" s="26"/>
      <c r="BE2304" s="26"/>
      <c r="BF2304" s="26"/>
      <c r="BG2304" s="26"/>
      <c r="BH2304" s="26"/>
      <c r="BI2304" s="26"/>
      <c r="BJ2304" s="26"/>
      <c r="BK2304" s="26"/>
      <c r="BL2304" s="26"/>
      <c r="BM2304" s="26"/>
      <c r="BN2304" s="26"/>
      <c r="BO2304" s="26"/>
      <c r="BP2304" s="16" t="n">
        <v>45738</v>
      </c>
      <c r="BQ2304" s="28" t="str">
        <f>HYPERLINK("https://organic.ams.usda.gov/Integrity/Certificate.aspx?cid=52&amp;nopid=8431501083")</f>
        <v>https://organic.ams.usda.gov/Integrity/Certificate.aspx?cid=52&amp;nopid=8431501083</v>
      </c>
    </row>
    <row r="2305">
      <c r="A2305" t="s">
        <v>3</v>
      </c>
      <c r="B2305" s="6" t="s">
        <v>29</v>
      </c>
      <c r="C2305" s="6" t="s">
        <v>76</v>
      </c>
      <c r="D2305" s="6" t="s">
        <v>122</v>
      </c>
      <c r="E2305" s="10" t="s">
        <v>2446</v>
      </c>
      <c r="F2305" s="6" t="s">
        <v>5156</v>
      </c>
      <c r="G2305" s="6" t="s">
        <v>81</v>
      </c>
      <c r="H2305" s="6" t="s">
        <v>7993</v>
      </c>
      <c r="I2305" s="6" t="s">
        <v>9496</v>
      </c>
      <c r="J2305" s="6" t="s">
        <v>9671</v>
      </c>
      <c r="K2305" s="6" t="s">
        <v>10886</v>
      </c>
      <c r="L2305" s="16" t="n">
        <v>43698</v>
      </c>
      <c r="M2305" s="16" t="n">
        <v>45505</v>
      </c>
      <c r="N2305" s="6" t="s">
        <v>10886</v>
      </c>
      <c r="O2305" s="16" t="n">
        <v>43698</v>
      </c>
      <c r="P2305" s="6" t="s">
        <v>12187</v>
      </c>
      <c r="Q2305" s="6" t="s">
        <v>81</v>
      </c>
      <c r="R2305" s="6" t="s">
        <v>13055</v>
      </c>
      <c r="S2305" s="6" t="s">
        <v>10886</v>
      </c>
      <c r="T2305" s="16" t="n">
        <v>44496</v>
      </c>
      <c r="U2305" s="6" t="s">
        <v>13847</v>
      </c>
      <c r="V2305" s="6" t="s">
        <v>81</v>
      </c>
      <c r="W2305" s="6" t="s">
        <v>13055</v>
      </c>
      <c r="X2305" s="6" t="s">
        <v>81</v>
      </c>
      <c r="Y2305" s="21" t="s">
        <v>81</v>
      </c>
      <c r="Z2305" s="6" t="s">
        <v>81</v>
      </c>
      <c r="AA2305" s="6" t="s">
        <v>81</v>
      </c>
      <c r="AB2305" s="6" t="s">
        <v>81</v>
      </c>
      <c r="AC2305" s="6" t="s">
        <v>81</v>
      </c>
      <c r="AD2305" s="21" t="s">
        <v>81</v>
      </c>
      <c r="AE2305" s="6" t="s">
        <v>81</v>
      </c>
      <c r="AF2305" s="6" t="s">
        <v>81</v>
      </c>
      <c r="AG2305" s="6" t="s">
        <v>81</v>
      </c>
      <c r="AH2305" s="6" t="s">
        <v>16848</v>
      </c>
      <c r="AI2305" s="6" t="s">
        <v>81</v>
      </c>
      <c r="AJ2305" s="6" t="s">
        <v>17734</v>
      </c>
      <c r="AK2305" s="6" t="s">
        <v>18380</v>
      </c>
      <c r="AL2305" s="6" t="s">
        <v>18444</v>
      </c>
      <c r="AM2305" s="6" t="s">
        <v>18903</v>
      </c>
      <c r="AN2305" s="6" t="s">
        <v>19639</v>
      </c>
      <c r="AO2305" s="6" t="s">
        <v>19725</v>
      </c>
      <c r="AP2305" s="6" t="s">
        <v>81</v>
      </c>
      <c r="AQ2305" s="6" t="s">
        <v>81</v>
      </c>
      <c r="AR2305" s="6" t="s">
        <v>81</v>
      </c>
      <c r="AS2305" s="6" t="s">
        <v>81</v>
      </c>
      <c r="AT2305" s="6" t="s">
        <v>81</v>
      </c>
      <c r="AU2305" s="6" t="s">
        <v>81</v>
      </c>
      <c r="AV2305" s="6" t="s">
        <v>81</v>
      </c>
      <c r="AW2305" s="6" t="s">
        <v>81</v>
      </c>
      <c r="AX2305" s="6" t="s">
        <v>22253</v>
      </c>
      <c r="AY2305" s="6" t="s">
        <v>81</v>
      </c>
      <c r="AZ2305" s="6" t="s">
        <v>81</v>
      </c>
      <c r="BA2305" s="6" t="s">
        <v>81</v>
      </c>
      <c r="BB2305" s="24" t="n">
        <v>72</v>
      </c>
      <c r="BC2305" s="26"/>
      <c r="BD2305" s="26"/>
      <c r="BE2305" s="26"/>
      <c r="BF2305" s="26" t="s">
        <v>23900</v>
      </c>
      <c r="BG2305" s="26"/>
      <c r="BH2305" s="26"/>
      <c r="BI2305" s="26"/>
      <c r="BJ2305" s="26"/>
      <c r="BK2305" s="26"/>
      <c r="BL2305" s="26"/>
      <c r="BM2305" s="26"/>
      <c r="BN2305" s="26"/>
      <c r="BO2305" s="26"/>
      <c r="BP2305" s="16" t="n">
        <v>45737</v>
      </c>
      <c r="BQ2305" s="28" t="str">
        <f>HYPERLINK("https://organic.ams.usda.gov/Integrity/Certificate.aspx?cid=31&amp;nopid=3928972048")</f>
        <v>https://organic.ams.usda.gov/Integrity/Certificate.aspx?cid=31&amp;nopid=3928972048</v>
      </c>
    </row>
    <row r="2306">
      <c r="A2306" t="s">
        <v>3</v>
      </c>
      <c r="B2306" s="6" t="s">
        <v>30</v>
      </c>
      <c r="C2306" s="6" t="s">
        <v>77</v>
      </c>
      <c r="D2306" s="6" t="s">
        <v>123</v>
      </c>
      <c r="E2306" s="10" t="s">
        <v>2447</v>
      </c>
      <c r="F2306" s="6" t="s">
        <v>5157</v>
      </c>
      <c r="G2306" s="6" t="s">
        <v>81</v>
      </c>
      <c r="H2306" s="6" t="s">
        <v>7994</v>
      </c>
      <c r="I2306" s="6" t="s">
        <v>81</v>
      </c>
      <c r="J2306" s="6" t="s">
        <v>81</v>
      </c>
      <c r="K2306" s="6" t="s">
        <v>10886</v>
      </c>
      <c r="L2306" s="16" t="n">
        <v>44917</v>
      </c>
      <c r="M2306" s="16" t="n">
        <v>45747</v>
      </c>
      <c r="N2306" s="6" t="s">
        <v>10886</v>
      </c>
      <c r="O2306" s="16" t="n">
        <v>44917</v>
      </c>
      <c r="P2306" s="6" t="s">
        <v>10907</v>
      </c>
      <c r="Q2306" s="6" t="s">
        <v>81</v>
      </c>
      <c r="R2306" s="6" t="s">
        <v>81</v>
      </c>
      <c r="S2306" s="6" t="s">
        <v>10886</v>
      </c>
      <c r="T2306" s="16" t="n">
        <v>44917</v>
      </c>
      <c r="U2306" s="6" t="s">
        <v>13400</v>
      </c>
      <c r="V2306" s="6" t="s">
        <v>81</v>
      </c>
      <c r="W2306" s="6" t="s">
        <v>81</v>
      </c>
      <c r="X2306" s="6" t="s">
        <v>81</v>
      </c>
      <c r="Y2306" s="21" t="s">
        <v>81</v>
      </c>
      <c r="Z2306" s="6" t="s">
        <v>81</v>
      </c>
      <c r="AA2306" s="6" t="s">
        <v>81</v>
      </c>
      <c r="AB2306" s="6" t="s">
        <v>81</v>
      </c>
      <c r="AC2306" s="6" t="s">
        <v>81</v>
      </c>
      <c r="AD2306" s="21" t="s">
        <v>81</v>
      </c>
      <c r="AE2306" s="6" t="s">
        <v>81</v>
      </c>
      <c r="AF2306" s="6" t="s">
        <v>81</v>
      </c>
      <c r="AG2306" s="6" t="s">
        <v>81</v>
      </c>
      <c r="AH2306" s="6" t="s">
        <v>16849</v>
      </c>
      <c r="AI2306" s="6" t="s">
        <v>81</v>
      </c>
      <c r="AJ2306" s="6" t="s">
        <v>17411</v>
      </c>
      <c r="AK2306" s="6" t="s">
        <v>18380</v>
      </c>
      <c r="AL2306" s="6" t="s">
        <v>18444</v>
      </c>
      <c r="AM2306" s="6" t="s">
        <v>18567</v>
      </c>
      <c r="AN2306" s="6" t="s">
        <v>19639</v>
      </c>
      <c r="AO2306" s="6" t="s">
        <v>19725</v>
      </c>
      <c r="AP2306" s="6" t="s">
        <v>81</v>
      </c>
      <c r="AQ2306" s="6" t="s">
        <v>81</v>
      </c>
      <c r="AR2306" s="6" t="s">
        <v>81</v>
      </c>
      <c r="AS2306" s="6" t="s">
        <v>81</v>
      </c>
      <c r="AT2306" s="6" t="s">
        <v>81</v>
      </c>
      <c r="AU2306" s="6" t="s">
        <v>81</v>
      </c>
      <c r="AV2306" s="6" t="s">
        <v>81</v>
      </c>
      <c r="AW2306" s="6" t="s">
        <v>81</v>
      </c>
      <c r="AX2306" s="6" t="s">
        <v>81</v>
      </c>
      <c r="AY2306" s="6" t="s">
        <v>81</v>
      </c>
      <c r="AZ2306" s="6" t="s">
        <v>81</v>
      </c>
      <c r="BA2306" s="6" t="s">
        <v>81</v>
      </c>
      <c r="BB2306" s="24" t="n">
        <v>89</v>
      </c>
      <c r="BC2306" s="26"/>
      <c r="BD2306" s="26"/>
      <c r="BE2306" s="26"/>
      <c r="BF2306" s="26"/>
      <c r="BG2306" s="26"/>
      <c r="BH2306" s="26"/>
      <c r="BI2306" s="26"/>
      <c r="BJ2306" s="26"/>
      <c r="BK2306" s="26"/>
      <c r="BL2306" s="26"/>
      <c r="BM2306" s="26"/>
      <c r="BN2306" s="26"/>
      <c r="BO2306" s="26"/>
      <c r="BP2306" s="16" t="n">
        <v>45666</v>
      </c>
      <c r="BQ2306" s="28" t="str">
        <f>HYPERLINK("https://organic.ams.usda.gov/Integrity/Certificate.aspx?cid=70&amp;nopid=6432218890")</f>
        <v>https://organic.ams.usda.gov/Integrity/Certificate.aspx?cid=70&amp;nopid=6432218890</v>
      </c>
    </row>
    <row r="2307">
      <c r="A2307" t="s">
        <v>3</v>
      </c>
      <c r="B2307" s="6" t="s">
        <v>7</v>
      </c>
      <c r="C2307" s="6" t="s">
        <v>54</v>
      </c>
      <c r="D2307" s="6" t="s">
        <v>100</v>
      </c>
      <c r="E2307" s="10" t="s">
        <v>2448</v>
      </c>
      <c r="F2307" s="6" t="s">
        <v>5158</v>
      </c>
      <c r="G2307" s="6" t="s">
        <v>81</v>
      </c>
      <c r="H2307" s="6" t="s">
        <v>7995</v>
      </c>
      <c r="I2307" s="6" t="s">
        <v>8440</v>
      </c>
      <c r="J2307" s="6" t="s">
        <v>9671</v>
      </c>
      <c r="K2307" s="6" t="s">
        <v>10886</v>
      </c>
      <c r="L2307" s="16" t="n">
        <v>43621</v>
      </c>
      <c r="M2307" s="16" t="n">
        <v>45716</v>
      </c>
      <c r="N2307" s="6" t="s">
        <v>10886</v>
      </c>
      <c r="O2307" s="16" t="n">
        <v>43621</v>
      </c>
      <c r="P2307" s="6" t="s">
        <v>11380</v>
      </c>
      <c r="Q2307" s="6" t="s">
        <v>81</v>
      </c>
      <c r="R2307" s="6" t="s">
        <v>81</v>
      </c>
      <c r="S2307" s="6" t="s">
        <v>10886</v>
      </c>
      <c r="T2307" s="16" t="n">
        <v>43676</v>
      </c>
      <c r="U2307" s="6" t="s">
        <v>13169</v>
      </c>
      <c r="V2307" s="6" t="s">
        <v>81</v>
      </c>
      <c r="W2307" s="6" t="s">
        <v>81</v>
      </c>
      <c r="X2307" s="6" t="s">
        <v>81</v>
      </c>
      <c r="Y2307" s="21" t="s">
        <v>81</v>
      </c>
      <c r="Z2307" s="6" t="s">
        <v>81</v>
      </c>
      <c r="AA2307" s="6" t="s">
        <v>81</v>
      </c>
      <c r="AB2307" s="6" t="s">
        <v>81</v>
      </c>
      <c r="AC2307" s="6" t="s">
        <v>81</v>
      </c>
      <c r="AD2307" s="21" t="s">
        <v>81</v>
      </c>
      <c r="AE2307" s="6" t="s">
        <v>81</v>
      </c>
      <c r="AF2307" s="6" t="s">
        <v>81</v>
      </c>
      <c r="AG2307" s="6" t="s">
        <v>81</v>
      </c>
      <c r="AH2307" s="6" t="s">
        <v>16850</v>
      </c>
      <c r="AI2307" s="6" t="s">
        <v>81</v>
      </c>
      <c r="AJ2307" s="6" t="s">
        <v>17341</v>
      </c>
      <c r="AK2307" s="6" t="s">
        <v>17712</v>
      </c>
      <c r="AL2307" s="6" t="s">
        <v>18444</v>
      </c>
      <c r="AM2307" s="6" t="s">
        <v>18495</v>
      </c>
      <c r="AN2307" s="6" t="s">
        <v>19649</v>
      </c>
      <c r="AO2307" s="6" t="s">
        <v>19738</v>
      </c>
      <c r="AP2307" s="6" t="s">
        <v>16850</v>
      </c>
      <c r="AQ2307" s="6" t="s">
        <v>81</v>
      </c>
      <c r="AR2307" s="6" t="s">
        <v>17341</v>
      </c>
      <c r="AS2307" s="6" t="s">
        <v>17712</v>
      </c>
      <c r="AT2307" s="6" t="s">
        <v>18444</v>
      </c>
      <c r="AU2307" s="6" t="s">
        <v>18495</v>
      </c>
      <c r="AV2307" s="6" t="s">
        <v>81</v>
      </c>
      <c r="AW2307" s="6" t="s">
        <v>81</v>
      </c>
      <c r="AX2307" s="6" t="s">
        <v>22254</v>
      </c>
      <c r="AY2307" s="6" t="s">
        <v>81</v>
      </c>
      <c r="AZ2307" s="6" t="s">
        <v>81</v>
      </c>
      <c r="BA2307" s="6" t="s">
        <v>81</v>
      </c>
      <c r="BB2307" s="24" t="n">
        <v>139</v>
      </c>
      <c r="BC2307" s="26"/>
      <c r="BD2307" s="26"/>
      <c r="BE2307" s="26"/>
      <c r="BF2307" s="26" t="s">
        <v>23900</v>
      </c>
      <c r="BG2307" s="26"/>
      <c r="BH2307" s="26"/>
      <c r="BI2307" s="26"/>
      <c r="BJ2307" s="26"/>
      <c r="BK2307" s="26"/>
      <c r="BL2307" s="26"/>
      <c r="BM2307" s="26"/>
      <c r="BN2307" s="26"/>
      <c r="BO2307" s="26"/>
      <c r="BP2307" s="16" t="n">
        <v>45595</v>
      </c>
      <c r="BQ2307" s="28" t="str">
        <f>HYPERLINK("https://organic.ams.usda.gov/Integrity/Certificate.aspx?cid=57&amp;nopid=3252019045")</f>
        <v>https://organic.ams.usda.gov/Integrity/Certificate.aspx?cid=57&amp;nopid=3252019045</v>
      </c>
    </row>
    <row r="2308">
      <c r="A2308" t="s">
        <v>3</v>
      </c>
      <c r="B2308" s="6" t="s">
        <v>8</v>
      </c>
      <c r="C2308" s="6" t="s">
        <v>55</v>
      </c>
      <c r="D2308" s="6" t="s">
        <v>101</v>
      </c>
      <c r="E2308" s="10" t="s">
        <v>2449</v>
      </c>
      <c r="F2308" s="6" t="s">
        <v>5159</v>
      </c>
      <c r="G2308" s="6" t="s">
        <v>81</v>
      </c>
      <c r="H2308" s="6" t="s">
        <v>7996</v>
      </c>
      <c r="I2308" s="6" t="s">
        <v>8440</v>
      </c>
      <c r="J2308" s="6" t="s">
        <v>9665</v>
      </c>
      <c r="K2308" s="6" t="s">
        <v>10886</v>
      </c>
      <c r="L2308" s="16" t="n">
        <v>42338</v>
      </c>
      <c r="M2308" s="16" t="n">
        <v>45383</v>
      </c>
      <c r="N2308" s="6" t="s">
        <v>10886</v>
      </c>
      <c r="O2308" s="16" t="n">
        <v>42338</v>
      </c>
      <c r="P2308" s="6" t="s">
        <v>12188</v>
      </c>
      <c r="Q2308" s="6" t="s">
        <v>81</v>
      </c>
      <c r="R2308" s="6" t="s">
        <v>7996</v>
      </c>
      <c r="S2308" s="6" t="s">
        <v>10886</v>
      </c>
      <c r="T2308" s="16" t="n">
        <v>42338</v>
      </c>
      <c r="U2308" s="6" t="s">
        <v>13848</v>
      </c>
      <c r="V2308" s="6" t="s">
        <v>81</v>
      </c>
      <c r="W2308" s="6" t="s">
        <v>7996</v>
      </c>
      <c r="X2308" s="6" t="s">
        <v>81</v>
      </c>
      <c r="Y2308" s="21" t="s">
        <v>81</v>
      </c>
      <c r="Z2308" s="6" t="s">
        <v>81</v>
      </c>
      <c r="AA2308" s="6" t="s">
        <v>81</v>
      </c>
      <c r="AB2308" s="6" t="s">
        <v>81</v>
      </c>
      <c r="AC2308" s="6" t="s">
        <v>81</v>
      </c>
      <c r="AD2308" s="21" t="s">
        <v>81</v>
      </c>
      <c r="AE2308" s="6" t="s">
        <v>81</v>
      </c>
      <c r="AF2308" s="6" t="s">
        <v>81</v>
      </c>
      <c r="AG2308" s="6" t="s">
        <v>81</v>
      </c>
      <c r="AH2308" s="6" t="s">
        <v>16851</v>
      </c>
      <c r="AI2308" s="6" t="s">
        <v>81</v>
      </c>
      <c r="AJ2308" s="6" t="s">
        <v>17643</v>
      </c>
      <c r="AK2308" s="6" t="s">
        <v>18377</v>
      </c>
      <c r="AL2308" s="6" t="s">
        <v>18444</v>
      </c>
      <c r="AM2308" s="6" t="s">
        <v>18812</v>
      </c>
      <c r="AN2308" s="6" t="s">
        <v>19646</v>
      </c>
      <c r="AO2308" s="6" t="s">
        <v>19733</v>
      </c>
      <c r="AP2308" s="6" t="s">
        <v>81</v>
      </c>
      <c r="AQ2308" s="6" t="s">
        <v>81</v>
      </c>
      <c r="AR2308" s="6" t="s">
        <v>81</v>
      </c>
      <c r="AS2308" s="6" t="s">
        <v>81</v>
      </c>
      <c r="AT2308" s="6" t="s">
        <v>81</v>
      </c>
      <c r="AU2308" s="6" t="s">
        <v>81</v>
      </c>
      <c r="AV2308" s="6" t="s">
        <v>81</v>
      </c>
      <c r="AW2308" s="6" t="s">
        <v>81</v>
      </c>
      <c r="AX2308" s="6" t="s">
        <v>81</v>
      </c>
      <c r="AY2308" s="6" t="s">
        <v>81</v>
      </c>
      <c r="AZ2308" s="6" t="s">
        <v>81</v>
      </c>
      <c r="BA2308" s="6" t="s">
        <v>7996</v>
      </c>
      <c r="BB2308" s="24" t="n">
        <v>52</v>
      </c>
      <c r="BC2308" s="26"/>
      <c r="BD2308" s="26"/>
      <c r="BE2308" s="26"/>
      <c r="BF2308" s="26"/>
      <c r="BG2308" s="26"/>
      <c r="BH2308" s="26"/>
      <c r="BI2308" s="26"/>
      <c r="BJ2308" s="26"/>
      <c r="BK2308" s="26"/>
      <c r="BL2308" s="26"/>
      <c r="BM2308" s="26"/>
      <c r="BN2308" s="26"/>
      <c r="BO2308" s="26"/>
      <c r="BP2308" s="16" t="n">
        <v>45425</v>
      </c>
      <c r="BQ2308" s="28" t="str">
        <f>HYPERLINK("https://organic.ams.usda.gov/Integrity/Certificate.aspx?cid=45&amp;nopid=9950008717")</f>
        <v>https://organic.ams.usda.gov/Integrity/Certificate.aspx?cid=45&amp;nopid=9950008717</v>
      </c>
    </row>
    <row r="2309">
      <c r="A2309" t="s">
        <v>3</v>
      </c>
      <c r="B2309" s="6" t="s">
        <v>8</v>
      </c>
      <c r="C2309" s="6" t="s">
        <v>55</v>
      </c>
      <c r="D2309" s="6" t="s">
        <v>101</v>
      </c>
      <c r="E2309" s="10" t="s">
        <v>2450</v>
      </c>
      <c r="F2309" s="6" t="s">
        <v>5159</v>
      </c>
      <c r="G2309" s="6" t="s">
        <v>5844</v>
      </c>
      <c r="H2309" s="6" t="s">
        <v>7997</v>
      </c>
      <c r="I2309" s="6" t="s">
        <v>8440</v>
      </c>
      <c r="J2309" s="6" t="s">
        <v>9665</v>
      </c>
      <c r="K2309" s="6" t="s">
        <v>10886</v>
      </c>
      <c r="L2309" s="16" t="n">
        <v>43090</v>
      </c>
      <c r="M2309" s="16" t="n">
        <v>45383</v>
      </c>
      <c r="N2309" s="6" t="s">
        <v>10886</v>
      </c>
      <c r="O2309" s="16" t="n">
        <v>43090</v>
      </c>
      <c r="P2309" s="6" t="s">
        <v>12189</v>
      </c>
      <c r="Q2309" s="6" t="s">
        <v>81</v>
      </c>
      <c r="R2309" s="6" t="s">
        <v>7997</v>
      </c>
      <c r="S2309" s="6" t="s">
        <v>10886</v>
      </c>
      <c r="T2309" s="16" t="n">
        <v>43090</v>
      </c>
      <c r="U2309" s="6" t="s">
        <v>13849</v>
      </c>
      <c r="V2309" s="6" t="s">
        <v>81</v>
      </c>
      <c r="W2309" s="6" t="s">
        <v>7997</v>
      </c>
      <c r="X2309" s="6" t="s">
        <v>81</v>
      </c>
      <c r="Y2309" s="21" t="s">
        <v>81</v>
      </c>
      <c r="Z2309" s="6" t="s">
        <v>81</v>
      </c>
      <c r="AA2309" s="6" t="s">
        <v>81</v>
      </c>
      <c r="AB2309" s="6" t="s">
        <v>81</v>
      </c>
      <c r="AC2309" s="6" t="s">
        <v>81</v>
      </c>
      <c r="AD2309" s="21" t="s">
        <v>81</v>
      </c>
      <c r="AE2309" s="6" t="s">
        <v>81</v>
      </c>
      <c r="AF2309" s="6" t="s">
        <v>81</v>
      </c>
      <c r="AG2309" s="6" t="s">
        <v>81</v>
      </c>
      <c r="AH2309" s="6" t="s">
        <v>16852</v>
      </c>
      <c r="AI2309" s="6" t="s">
        <v>81</v>
      </c>
      <c r="AJ2309" s="6" t="s">
        <v>17404</v>
      </c>
      <c r="AK2309" s="6" t="s">
        <v>18380</v>
      </c>
      <c r="AL2309" s="6" t="s">
        <v>18444</v>
      </c>
      <c r="AM2309" s="6" t="s">
        <v>18560</v>
      </c>
      <c r="AN2309" s="6" t="s">
        <v>19639</v>
      </c>
      <c r="AO2309" s="6" t="s">
        <v>19725</v>
      </c>
      <c r="AP2309" s="6" t="s">
        <v>81</v>
      </c>
      <c r="AQ2309" s="6" t="s">
        <v>81</v>
      </c>
      <c r="AR2309" s="6" t="s">
        <v>81</v>
      </c>
      <c r="AS2309" s="6" t="s">
        <v>81</v>
      </c>
      <c r="AT2309" s="6" t="s">
        <v>81</v>
      </c>
      <c r="AU2309" s="6" t="s">
        <v>81</v>
      </c>
      <c r="AV2309" s="6" t="s">
        <v>81</v>
      </c>
      <c r="AW2309" s="6" t="s">
        <v>81</v>
      </c>
      <c r="AX2309" s="6" t="s">
        <v>81</v>
      </c>
      <c r="AY2309" s="6" t="s">
        <v>81</v>
      </c>
      <c r="AZ2309" s="6" t="s">
        <v>81</v>
      </c>
      <c r="BA2309" s="6" t="s">
        <v>23824</v>
      </c>
      <c r="BB2309" s="24" t="n">
        <v>153</v>
      </c>
      <c r="BC2309" s="26"/>
      <c r="BD2309" s="26"/>
      <c r="BE2309" s="26"/>
      <c r="BF2309" s="26" t="s">
        <v>23900</v>
      </c>
      <c r="BG2309" s="26"/>
      <c r="BH2309" s="26"/>
      <c r="BI2309" s="26"/>
      <c r="BJ2309" s="26"/>
      <c r="BK2309" s="26"/>
      <c r="BL2309" s="26"/>
      <c r="BM2309" s="26"/>
      <c r="BN2309" s="26"/>
      <c r="BO2309" s="26"/>
      <c r="BP2309" s="16" t="n">
        <v>45443</v>
      </c>
      <c r="BQ2309" s="28" t="str">
        <f>HYPERLINK("https://organic.ams.usda.gov/Integrity/Certificate.aspx?cid=45&amp;nopid=9950009296")</f>
        <v>https://organic.ams.usda.gov/Integrity/Certificate.aspx?cid=45&amp;nopid=9950009296</v>
      </c>
    </row>
    <row r="2310">
      <c r="A2310" t="s">
        <v>3</v>
      </c>
      <c r="B2310" s="6" t="s">
        <v>9</v>
      </c>
      <c r="C2310" s="6" t="s">
        <v>56</v>
      </c>
      <c r="D2310" s="6" t="s">
        <v>102</v>
      </c>
      <c r="E2310" s="10" t="s">
        <v>2451</v>
      </c>
      <c r="F2310" s="6" t="s">
        <v>5159</v>
      </c>
      <c r="G2310" s="6" t="s">
        <v>81</v>
      </c>
      <c r="H2310" s="6" t="s">
        <v>7998</v>
      </c>
      <c r="I2310" s="6" t="s">
        <v>8440</v>
      </c>
      <c r="J2310" s="6" t="s">
        <v>9665</v>
      </c>
      <c r="K2310" s="6" t="s">
        <v>10886</v>
      </c>
      <c r="L2310" s="16" t="n">
        <v>43265</v>
      </c>
      <c r="M2310" s="16" t="n">
        <v>46113</v>
      </c>
      <c r="N2310" s="6" t="s">
        <v>10886</v>
      </c>
      <c r="O2310" s="16" t="n">
        <v>43265</v>
      </c>
      <c r="P2310" s="6" t="s">
        <v>11253</v>
      </c>
      <c r="Q2310" s="6" t="s">
        <v>81</v>
      </c>
      <c r="R2310" s="6" t="s">
        <v>13056</v>
      </c>
      <c r="S2310" s="6" t="s">
        <v>10886</v>
      </c>
      <c r="T2310" s="16" t="n">
        <v>43265</v>
      </c>
      <c r="U2310" s="6" t="s">
        <v>13168</v>
      </c>
      <c r="V2310" s="6" t="s">
        <v>81</v>
      </c>
      <c r="W2310" s="6" t="s">
        <v>13056</v>
      </c>
      <c r="X2310" s="6" t="s">
        <v>81</v>
      </c>
      <c r="Y2310" s="21" t="s">
        <v>81</v>
      </c>
      <c r="Z2310" s="6" t="s">
        <v>81</v>
      </c>
      <c r="AA2310" s="6" t="s">
        <v>81</v>
      </c>
      <c r="AB2310" s="6" t="s">
        <v>81</v>
      </c>
      <c r="AC2310" s="6" t="s">
        <v>81</v>
      </c>
      <c r="AD2310" s="21" t="s">
        <v>81</v>
      </c>
      <c r="AE2310" s="6" t="s">
        <v>81</v>
      </c>
      <c r="AF2310" s="6" t="s">
        <v>81</v>
      </c>
      <c r="AG2310" s="6" t="s">
        <v>81</v>
      </c>
      <c r="AH2310" s="6" t="s">
        <v>16853</v>
      </c>
      <c r="AI2310" s="6" t="s">
        <v>81</v>
      </c>
      <c r="AJ2310" s="6" t="s">
        <v>17643</v>
      </c>
      <c r="AK2310" s="6" t="s">
        <v>18377</v>
      </c>
      <c r="AL2310" s="6" t="s">
        <v>18444</v>
      </c>
      <c r="AM2310" s="6" t="s">
        <v>18812</v>
      </c>
      <c r="AN2310" s="6" t="s">
        <v>19646</v>
      </c>
      <c r="AO2310" s="6" t="s">
        <v>19733</v>
      </c>
      <c r="AP2310" s="6" t="s">
        <v>81</v>
      </c>
      <c r="AQ2310" s="6" t="s">
        <v>81</v>
      </c>
      <c r="AR2310" s="6" t="s">
        <v>81</v>
      </c>
      <c r="AS2310" s="6" t="s">
        <v>81</v>
      </c>
      <c r="AT2310" s="6" t="s">
        <v>81</v>
      </c>
      <c r="AU2310" s="6" t="s">
        <v>81</v>
      </c>
      <c r="AV2310" s="6" t="s">
        <v>81</v>
      </c>
      <c r="AW2310" s="6" t="s">
        <v>81</v>
      </c>
      <c r="AX2310" s="6" t="s">
        <v>81</v>
      </c>
      <c r="AY2310" s="6" t="s">
        <v>81</v>
      </c>
      <c r="AZ2310" s="6" t="s">
        <v>81</v>
      </c>
      <c r="BA2310" s="6" t="s">
        <v>81</v>
      </c>
      <c r="BB2310" s="24" t="n">
        <v>64</v>
      </c>
      <c r="BC2310" s="26"/>
      <c r="BD2310" s="26"/>
      <c r="BE2310" s="26"/>
      <c r="BF2310" s="26"/>
      <c r="BG2310" s="26"/>
      <c r="BH2310" s="26"/>
      <c r="BI2310" s="26"/>
      <c r="BJ2310" s="26"/>
      <c r="BK2310" s="26"/>
      <c r="BL2310" s="26"/>
      <c r="BM2310" s="26"/>
      <c r="BN2310" s="26"/>
      <c r="BO2310" s="26"/>
      <c r="BP2310" s="16" t="n">
        <v>45738</v>
      </c>
      <c r="BQ2310" s="28" t="str">
        <f>HYPERLINK("https://organic.ams.usda.gov/Integrity/Certificate.aspx?cid=52&amp;nopid=8431801425")</f>
        <v>https://organic.ams.usda.gov/Integrity/Certificate.aspx?cid=52&amp;nopid=8431801425</v>
      </c>
    </row>
    <row r="2311">
      <c r="A2311" t="s">
        <v>3</v>
      </c>
      <c r="B2311" s="6" t="s">
        <v>7</v>
      </c>
      <c r="C2311" s="6" t="s">
        <v>54</v>
      </c>
      <c r="D2311" s="6" t="s">
        <v>100</v>
      </c>
      <c r="E2311" s="10" t="s">
        <v>2452</v>
      </c>
      <c r="F2311" s="6" t="s">
        <v>5160</v>
      </c>
      <c r="G2311" s="6" t="s">
        <v>81</v>
      </c>
      <c r="H2311" s="6" t="s">
        <v>7999</v>
      </c>
      <c r="I2311" s="6" t="s">
        <v>8440</v>
      </c>
      <c r="J2311" s="6" t="s">
        <v>10703</v>
      </c>
      <c r="K2311" s="6" t="s">
        <v>10886</v>
      </c>
      <c r="L2311" s="16" t="n">
        <v>42515</v>
      </c>
      <c r="M2311" s="16" t="n">
        <v>45716</v>
      </c>
      <c r="N2311" s="6" t="s">
        <v>10886</v>
      </c>
      <c r="O2311" s="16" t="n">
        <v>42515</v>
      </c>
      <c r="P2311" s="6" t="s">
        <v>10910</v>
      </c>
      <c r="Q2311" s="6" t="s">
        <v>81</v>
      </c>
      <c r="R2311" s="6" t="s">
        <v>81</v>
      </c>
      <c r="S2311" s="6" t="s">
        <v>10886</v>
      </c>
      <c r="T2311" s="16" t="n">
        <v>42523</v>
      </c>
      <c r="U2311" s="6" t="s">
        <v>13160</v>
      </c>
      <c r="V2311" s="6" t="s">
        <v>81</v>
      </c>
      <c r="W2311" s="6" t="s">
        <v>81</v>
      </c>
      <c r="X2311" s="6" t="s">
        <v>81</v>
      </c>
      <c r="Y2311" s="21" t="s">
        <v>81</v>
      </c>
      <c r="Z2311" s="6" t="s">
        <v>81</v>
      </c>
      <c r="AA2311" s="6" t="s">
        <v>81</v>
      </c>
      <c r="AB2311" s="6" t="s">
        <v>81</v>
      </c>
      <c r="AC2311" s="6" t="s">
        <v>81</v>
      </c>
      <c r="AD2311" s="21" t="s">
        <v>81</v>
      </c>
      <c r="AE2311" s="6" t="s">
        <v>81</v>
      </c>
      <c r="AF2311" s="6" t="s">
        <v>81</v>
      </c>
      <c r="AG2311" s="6" t="s">
        <v>81</v>
      </c>
      <c r="AH2311" s="6" t="s">
        <v>16854</v>
      </c>
      <c r="AI2311" s="6" t="s">
        <v>81</v>
      </c>
      <c r="AJ2311" s="6" t="s">
        <v>18088</v>
      </c>
      <c r="AK2311" s="6" t="s">
        <v>17712</v>
      </c>
      <c r="AL2311" s="6" t="s">
        <v>18444</v>
      </c>
      <c r="AM2311" s="6" t="s">
        <v>19286</v>
      </c>
      <c r="AN2311" s="6" t="s">
        <v>19657</v>
      </c>
      <c r="AO2311" s="6" t="s">
        <v>19751</v>
      </c>
      <c r="AP2311" s="6" t="s">
        <v>16854</v>
      </c>
      <c r="AQ2311" s="6" t="s">
        <v>81</v>
      </c>
      <c r="AR2311" s="6" t="s">
        <v>18088</v>
      </c>
      <c r="AS2311" s="6" t="s">
        <v>17712</v>
      </c>
      <c r="AT2311" s="6" t="s">
        <v>18444</v>
      </c>
      <c r="AU2311" s="6" t="s">
        <v>19286</v>
      </c>
      <c r="AV2311" s="6" t="s">
        <v>81</v>
      </c>
      <c r="AW2311" s="6" t="s">
        <v>81</v>
      </c>
      <c r="AX2311" s="6" t="s">
        <v>22255</v>
      </c>
      <c r="AY2311" s="6" t="s">
        <v>81</v>
      </c>
      <c r="AZ2311" s="6" t="s">
        <v>81</v>
      </c>
      <c r="BA2311" s="6" t="s">
        <v>81</v>
      </c>
      <c r="BB2311" s="24" t="n">
        <v>228</v>
      </c>
      <c r="BC2311" s="26"/>
      <c r="BD2311" s="26"/>
      <c r="BE2311" s="26"/>
      <c r="BF2311" s="26" t="s">
        <v>23900</v>
      </c>
      <c r="BG2311" s="26"/>
      <c r="BH2311" s="26"/>
      <c r="BI2311" s="26"/>
      <c r="BJ2311" s="26"/>
      <c r="BK2311" s="26"/>
      <c r="BL2311" s="26"/>
      <c r="BM2311" s="26"/>
      <c r="BN2311" s="26"/>
      <c r="BO2311" s="26"/>
      <c r="BP2311" s="16" t="n">
        <v>45721</v>
      </c>
      <c r="BQ2311" s="28" t="str">
        <f>HYPERLINK("https://organic.ams.usda.gov/Integrity/Certificate.aspx?cid=57&amp;nopid=3252016108")</f>
        <v>https://organic.ams.usda.gov/Integrity/Certificate.aspx?cid=57&amp;nopid=3252016108</v>
      </c>
    </row>
    <row r="2312">
      <c r="A2312" t="s">
        <v>3</v>
      </c>
      <c r="B2312" s="6" t="s">
        <v>29</v>
      </c>
      <c r="C2312" s="6" t="s">
        <v>76</v>
      </c>
      <c r="D2312" s="6" t="s">
        <v>122</v>
      </c>
      <c r="E2312" s="10" t="s">
        <v>2453</v>
      </c>
      <c r="F2312" s="6" t="s">
        <v>5161</v>
      </c>
      <c r="G2312" s="6" t="s">
        <v>81</v>
      </c>
      <c r="H2312" s="6" t="s">
        <v>8000</v>
      </c>
      <c r="I2312" s="6" t="s">
        <v>9497</v>
      </c>
      <c r="J2312" s="6" t="s">
        <v>9677</v>
      </c>
      <c r="K2312" s="6" t="s">
        <v>10886</v>
      </c>
      <c r="L2312" s="16" t="n">
        <v>38963</v>
      </c>
      <c r="M2312" s="16" t="n">
        <v>45505</v>
      </c>
      <c r="N2312" s="6" t="s">
        <v>10886</v>
      </c>
      <c r="O2312" s="16" t="n">
        <v>38963</v>
      </c>
      <c r="P2312" s="6" t="s">
        <v>12190</v>
      </c>
      <c r="Q2312" s="6" t="s">
        <v>81</v>
      </c>
      <c r="R2312" s="6" t="s">
        <v>13057</v>
      </c>
      <c r="S2312" s="6" t="s">
        <v>10886</v>
      </c>
      <c r="T2312" s="16" t="n">
        <v>38963</v>
      </c>
      <c r="U2312" s="6" t="s">
        <v>13850</v>
      </c>
      <c r="V2312" s="6" t="s">
        <v>81</v>
      </c>
      <c r="W2312" s="6" t="s">
        <v>13057</v>
      </c>
      <c r="X2312" s="6" t="s">
        <v>81</v>
      </c>
      <c r="Y2312" s="21" t="s">
        <v>81</v>
      </c>
      <c r="Z2312" s="6" t="s">
        <v>81</v>
      </c>
      <c r="AA2312" s="6" t="s">
        <v>81</v>
      </c>
      <c r="AB2312" s="6" t="s">
        <v>81</v>
      </c>
      <c r="AC2312" s="6" t="s">
        <v>81</v>
      </c>
      <c r="AD2312" s="21" t="s">
        <v>81</v>
      </c>
      <c r="AE2312" s="6" t="s">
        <v>81</v>
      </c>
      <c r="AF2312" s="6" t="s">
        <v>81</v>
      </c>
      <c r="AG2312" s="6" t="s">
        <v>81</v>
      </c>
      <c r="AH2312" s="6" t="s">
        <v>16855</v>
      </c>
      <c r="AI2312" s="6" t="s">
        <v>81</v>
      </c>
      <c r="AJ2312" s="6" t="s">
        <v>17734</v>
      </c>
      <c r="AK2312" s="6" t="s">
        <v>18380</v>
      </c>
      <c r="AL2312" s="6" t="s">
        <v>18444</v>
      </c>
      <c r="AM2312" s="6" t="s">
        <v>18903</v>
      </c>
      <c r="AN2312" s="6" t="s">
        <v>19639</v>
      </c>
      <c r="AO2312" s="6" t="s">
        <v>19725</v>
      </c>
      <c r="AP2312" s="6" t="s">
        <v>81</v>
      </c>
      <c r="AQ2312" s="6" t="s">
        <v>81</v>
      </c>
      <c r="AR2312" s="6" t="s">
        <v>81</v>
      </c>
      <c r="AS2312" s="6" t="s">
        <v>81</v>
      </c>
      <c r="AT2312" s="6" t="s">
        <v>81</v>
      </c>
      <c r="AU2312" s="6" t="s">
        <v>81</v>
      </c>
      <c r="AV2312" s="6" t="s">
        <v>81</v>
      </c>
      <c r="AW2312" s="6" t="s">
        <v>81</v>
      </c>
      <c r="AX2312" s="6" t="s">
        <v>22256</v>
      </c>
      <c r="AY2312" s="6" t="s">
        <v>81</v>
      </c>
      <c r="AZ2312" s="6" t="s">
        <v>81</v>
      </c>
      <c r="BA2312" s="6" t="s">
        <v>81</v>
      </c>
      <c r="BB2312" s="24" t="n">
        <v>120</v>
      </c>
      <c r="BC2312" s="26"/>
      <c r="BD2312" s="26"/>
      <c r="BE2312" s="26"/>
      <c r="BF2312" s="26" t="s">
        <v>23900</v>
      </c>
      <c r="BG2312" s="26"/>
      <c r="BH2312" s="26"/>
      <c r="BI2312" s="26"/>
      <c r="BJ2312" s="26"/>
      <c r="BK2312" s="26"/>
      <c r="BL2312" s="26"/>
      <c r="BM2312" s="26"/>
      <c r="BN2312" s="26"/>
      <c r="BO2312" s="26"/>
      <c r="BP2312" s="16" t="n">
        <v>45737</v>
      </c>
      <c r="BQ2312" s="28" t="str">
        <f>HYPERLINK("https://organic.ams.usda.gov/Integrity/Certificate.aspx?cid=31&amp;nopid=3920897582")</f>
        <v>https://organic.ams.usda.gov/Integrity/Certificate.aspx?cid=31&amp;nopid=3920897582</v>
      </c>
    </row>
    <row r="2313">
      <c r="A2313" t="s">
        <v>3</v>
      </c>
      <c r="B2313" s="6" t="s">
        <v>29</v>
      </c>
      <c r="C2313" s="6" t="s">
        <v>76</v>
      </c>
      <c r="D2313" s="6" t="s">
        <v>122</v>
      </c>
      <c r="E2313" s="10" t="s">
        <v>2454</v>
      </c>
      <c r="F2313" s="6" t="s">
        <v>5162</v>
      </c>
      <c r="G2313" s="6" t="s">
        <v>81</v>
      </c>
      <c r="H2313" s="6" t="s">
        <v>8001</v>
      </c>
      <c r="I2313" s="6" t="s">
        <v>9497</v>
      </c>
      <c r="J2313" s="6" t="s">
        <v>9699</v>
      </c>
      <c r="K2313" s="6" t="s">
        <v>10886</v>
      </c>
      <c r="L2313" s="16" t="n">
        <v>41198</v>
      </c>
      <c r="M2313" s="16" t="n">
        <v>45870</v>
      </c>
      <c r="N2313" s="6" t="s">
        <v>10886</v>
      </c>
      <c r="O2313" s="16" t="n">
        <v>41198</v>
      </c>
      <c r="P2313" s="6" t="s">
        <v>10910</v>
      </c>
      <c r="Q2313" s="6" t="s">
        <v>81</v>
      </c>
      <c r="R2313" s="6" t="s">
        <v>13058</v>
      </c>
      <c r="S2313" s="6" t="s">
        <v>10886</v>
      </c>
      <c r="T2313" s="16" t="n">
        <v>41198</v>
      </c>
      <c r="U2313" s="6" t="s">
        <v>13851</v>
      </c>
      <c r="V2313" s="6" t="s">
        <v>81</v>
      </c>
      <c r="W2313" s="6" t="s">
        <v>13058</v>
      </c>
      <c r="X2313" s="6" t="s">
        <v>81</v>
      </c>
      <c r="Y2313" s="21" t="s">
        <v>81</v>
      </c>
      <c r="Z2313" s="6" t="s">
        <v>81</v>
      </c>
      <c r="AA2313" s="6" t="s">
        <v>81</v>
      </c>
      <c r="AB2313" s="6" t="s">
        <v>81</v>
      </c>
      <c r="AC2313" s="6" t="s">
        <v>81</v>
      </c>
      <c r="AD2313" s="21" t="s">
        <v>81</v>
      </c>
      <c r="AE2313" s="6" t="s">
        <v>81</v>
      </c>
      <c r="AF2313" s="6" t="s">
        <v>81</v>
      </c>
      <c r="AG2313" s="6" t="s">
        <v>81</v>
      </c>
      <c r="AH2313" s="6" t="s">
        <v>16856</v>
      </c>
      <c r="AI2313" s="6" t="s">
        <v>81</v>
      </c>
      <c r="AJ2313" s="6" t="s">
        <v>17683</v>
      </c>
      <c r="AK2313" s="6" t="s">
        <v>18380</v>
      </c>
      <c r="AL2313" s="6" t="s">
        <v>18444</v>
      </c>
      <c r="AM2313" s="6" t="s">
        <v>18923</v>
      </c>
      <c r="AN2313" s="6" t="s">
        <v>19698</v>
      </c>
      <c r="AO2313" s="6" t="s">
        <v>19920</v>
      </c>
      <c r="AP2313" s="6" t="s">
        <v>81</v>
      </c>
      <c r="AQ2313" s="6" t="s">
        <v>81</v>
      </c>
      <c r="AR2313" s="6" t="s">
        <v>81</v>
      </c>
      <c r="AS2313" s="6" t="s">
        <v>81</v>
      </c>
      <c r="AT2313" s="6" t="s">
        <v>81</v>
      </c>
      <c r="AU2313" s="6" t="s">
        <v>81</v>
      </c>
      <c r="AV2313" s="6" t="s">
        <v>81</v>
      </c>
      <c r="AW2313" s="6" t="s">
        <v>81</v>
      </c>
      <c r="AX2313" s="6" t="s">
        <v>22257</v>
      </c>
      <c r="AY2313" s="6" t="s">
        <v>81</v>
      </c>
      <c r="AZ2313" s="6" t="s">
        <v>81</v>
      </c>
      <c r="BA2313" s="6" t="s">
        <v>81</v>
      </c>
      <c r="BB2313" s="24" t="n">
        <v>227</v>
      </c>
      <c r="BC2313" s="26"/>
      <c r="BD2313" s="26"/>
      <c r="BE2313" s="26"/>
      <c r="BF2313" s="26" t="s">
        <v>23900</v>
      </c>
      <c r="BG2313" s="26"/>
      <c r="BH2313" s="26"/>
      <c r="BI2313" s="26"/>
      <c r="BJ2313" s="26"/>
      <c r="BK2313" s="26"/>
      <c r="BL2313" s="26"/>
      <c r="BM2313" s="26"/>
      <c r="BN2313" s="26"/>
      <c r="BO2313" s="26"/>
      <c r="BP2313" s="16" t="n">
        <v>45737</v>
      </c>
      <c r="BQ2313" s="28" t="str">
        <f>HYPERLINK("https://organic.ams.usda.gov/Integrity/Certificate.aspx?cid=31&amp;nopid=3928971234")</f>
        <v>https://organic.ams.usda.gov/Integrity/Certificate.aspx?cid=31&amp;nopid=3928971234</v>
      </c>
    </row>
    <row r="2314">
      <c r="A2314" t="s">
        <v>3</v>
      </c>
      <c r="B2314" s="6" t="s">
        <v>29</v>
      </c>
      <c r="C2314" s="6" t="s">
        <v>76</v>
      </c>
      <c r="D2314" s="6" t="s">
        <v>122</v>
      </c>
      <c r="E2314" s="10" t="s">
        <v>2455</v>
      </c>
      <c r="F2314" s="6" t="s">
        <v>5163</v>
      </c>
      <c r="G2314" s="6" t="s">
        <v>81</v>
      </c>
      <c r="H2314" s="6" t="s">
        <v>8002</v>
      </c>
      <c r="I2314" s="6" t="s">
        <v>9498</v>
      </c>
      <c r="J2314" s="6" t="s">
        <v>9683</v>
      </c>
      <c r="K2314" s="6" t="s">
        <v>10886</v>
      </c>
      <c r="L2314" s="16" t="n">
        <v>45704</v>
      </c>
      <c r="M2314" s="16" t="n">
        <v>45870</v>
      </c>
      <c r="N2314" s="6" t="s">
        <v>10886</v>
      </c>
      <c r="O2314" s="16" t="n">
        <v>45704</v>
      </c>
      <c r="P2314" s="6" t="s">
        <v>11969</v>
      </c>
      <c r="Q2314" s="6" t="s">
        <v>81</v>
      </c>
      <c r="R2314" s="6" t="s">
        <v>13059</v>
      </c>
      <c r="S2314" s="6" t="s">
        <v>10886</v>
      </c>
      <c r="T2314" s="16" t="n">
        <v>45704</v>
      </c>
      <c r="U2314" s="6" t="s">
        <v>13852</v>
      </c>
      <c r="V2314" s="6" t="s">
        <v>81</v>
      </c>
      <c r="W2314" s="6" t="s">
        <v>13059</v>
      </c>
      <c r="X2314" s="6" t="s">
        <v>81</v>
      </c>
      <c r="Y2314" s="21" t="s">
        <v>81</v>
      </c>
      <c r="Z2314" s="6" t="s">
        <v>81</v>
      </c>
      <c r="AA2314" s="6" t="s">
        <v>81</v>
      </c>
      <c r="AB2314" s="6" t="s">
        <v>81</v>
      </c>
      <c r="AC2314" s="6" t="s">
        <v>81</v>
      </c>
      <c r="AD2314" s="21" t="s">
        <v>81</v>
      </c>
      <c r="AE2314" s="6" t="s">
        <v>81</v>
      </c>
      <c r="AF2314" s="6" t="s">
        <v>81</v>
      </c>
      <c r="AG2314" s="6" t="s">
        <v>81</v>
      </c>
      <c r="AH2314" s="6" t="s">
        <v>16857</v>
      </c>
      <c r="AI2314" s="6" t="s">
        <v>81</v>
      </c>
      <c r="AJ2314" s="6" t="s">
        <v>18266</v>
      </c>
      <c r="AK2314" s="6" t="s">
        <v>8428</v>
      </c>
      <c r="AL2314" s="6" t="s">
        <v>18444</v>
      </c>
      <c r="AM2314" s="6" t="s">
        <v>19490</v>
      </c>
      <c r="AN2314" s="6" t="s">
        <v>81</v>
      </c>
      <c r="AO2314" s="6" t="s">
        <v>81</v>
      </c>
      <c r="AP2314" s="6" t="s">
        <v>81</v>
      </c>
      <c r="AQ2314" s="6" t="s">
        <v>81</v>
      </c>
      <c r="AR2314" s="6" t="s">
        <v>81</v>
      </c>
      <c r="AS2314" s="6" t="s">
        <v>81</v>
      </c>
      <c r="AT2314" s="6" t="s">
        <v>81</v>
      </c>
      <c r="AU2314" s="6" t="s">
        <v>81</v>
      </c>
      <c r="AV2314" s="6" t="s">
        <v>81</v>
      </c>
      <c r="AW2314" s="6" t="s">
        <v>81</v>
      </c>
      <c r="AX2314" s="6" t="s">
        <v>81</v>
      </c>
      <c r="AY2314" s="6" t="s">
        <v>81</v>
      </c>
      <c r="AZ2314" s="6" t="s">
        <v>81</v>
      </c>
      <c r="BA2314" s="6" t="s">
        <v>81</v>
      </c>
      <c r="BB2314" s="24" t="n">
        <v>63</v>
      </c>
      <c r="BC2314" s="26"/>
      <c r="BD2314" s="26"/>
      <c r="BE2314" s="26"/>
      <c r="BF2314" s="26" t="s">
        <v>23900</v>
      </c>
      <c r="BG2314" s="26"/>
      <c r="BH2314" s="26"/>
      <c r="BI2314" s="26"/>
      <c r="BJ2314" s="26"/>
      <c r="BK2314" s="26"/>
      <c r="BL2314" s="26"/>
      <c r="BM2314" s="26"/>
      <c r="BN2314" s="26"/>
      <c r="BO2314" s="26"/>
      <c r="BP2314" s="16" t="n">
        <v>45737</v>
      </c>
      <c r="BQ2314" s="28" t="str">
        <f>HYPERLINK("https://organic.ams.usda.gov/Integrity/Certificate.aspx?cid=31&amp;nopid=3928972498")</f>
        <v>https://organic.ams.usda.gov/Integrity/Certificate.aspx?cid=31&amp;nopid=3928972498</v>
      </c>
    </row>
    <row r="2315">
      <c r="A2315" t="s">
        <v>3</v>
      </c>
      <c r="B2315" s="6" t="s">
        <v>12</v>
      </c>
      <c r="C2315" s="6" t="s">
        <v>59</v>
      </c>
      <c r="D2315" s="6" t="s">
        <v>105</v>
      </c>
      <c r="E2315" s="10" t="s">
        <v>2456</v>
      </c>
      <c r="F2315" s="6" t="s">
        <v>5164</v>
      </c>
      <c r="G2315" s="6" t="s">
        <v>81</v>
      </c>
      <c r="H2315" s="6" t="s">
        <v>8003</v>
      </c>
      <c r="I2315" s="6" t="s">
        <v>9498</v>
      </c>
      <c r="J2315" s="6" t="s">
        <v>9668</v>
      </c>
      <c r="K2315" s="6" t="s">
        <v>10886</v>
      </c>
      <c r="L2315" s="16" t="n">
        <v>44180</v>
      </c>
      <c r="M2315" s="16" t="n">
        <v>45717</v>
      </c>
      <c r="N2315" s="6" t="s">
        <v>10886</v>
      </c>
      <c r="O2315" s="16" t="n">
        <v>44180</v>
      </c>
      <c r="P2315" s="6" t="s">
        <v>12191</v>
      </c>
      <c r="Q2315" s="6" t="s">
        <v>81</v>
      </c>
      <c r="R2315" s="6" t="s">
        <v>81</v>
      </c>
      <c r="S2315" s="6" t="s">
        <v>10886</v>
      </c>
      <c r="T2315" s="16" t="n">
        <v>44180</v>
      </c>
      <c r="U2315" s="6" t="s">
        <v>13183</v>
      </c>
      <c r="V2315" s="6" t="s">
        <v>81</v>
      </c>
      <c r="W2315" s="6" t="s">
        <v>81</v>
      </c>
      <c r="X2315" s="6" t="s">
        <v>81</v>
      </c>
      <c r="Y2315" s="21" t="s">
        <v>81</v>
      </c>
      <c r="Z2315" s="6" t="s">
        <v>81</v>
      </c>
      <c r="AA2315" s="6" t="s">
        <v>81</v>
      </c>
      <c r="AB2315" s="6" t="s">
        <v>81</v>
      </c>
      <c r="AC2315" s="6" t="s">
        <v>81</v>
      </c>
      <c r="AD2315" s="21" t="s">
        <v>81</v>
      </c>
      <c r="AE2315" s="6" t="s">
        <v>81</v>
      </c>
      <c r="AF2315" s="6" t="s">
        <v>81</v>
      </c>
      <c r="AG2315" s="6" t="s">
        <v>81</v>
      </c>
      <c r="AH2315" s="6" t="s">
        <v>16858</v>
      </c>
      <c r="AI2315" s="6" t="s">
        <v>81</v>
      </c>
      <c r="AJ2315" s="6" t="s">
        <v>18267</v>
      </c>
      <c r="AK2315" s="6" t="s">
        <v>18380</v>
      </c>
      <c r="AL2315" s="6" t="s">
        <v>18444</v>
      </c>
      <c r="AM2315" s="6" t="s">
        <v>19491</v>
      </c>
      <c r="AN2315" s="6" t="s">
        <v>8233</v>
      </c>
      <c r="AO2315" s="6" t="s">
        <v>19806</v>
      </c>
      <c r="AP2315" s="6" t="s">
        <v>16858</v>
      </c>
      <c r="AQ2315" s="6" t="s">
        <v>81</v>
      </c>
      <c r="AR2315" s="6" t="s">
        <v>18267</v>
      </c>
      <c r="AS2315" s="6" t="s">
        <v>18380</v>
      </c>
      <c r="AT2315" s="6" t="s">
        <v>18444</v>
      </c>
      <c r="AU2315" s="6" t="s">
        <v>19491</v>
      </c>
      <c r="AV2315" s="6" t="s">
        <v>81</v>
      </c>
      <c r="AW2315" s="6" t="s">
        <v>81</v>
      </c>
      <c r="AX2315" s="6" t="s">
        <v>81</v>
      </c>
      <c r="AY2315" s="6" t="s">
        <v>81</v>
      </c>
      <c r="AZ2315" s="6" t="s">
        <v>81</v>
      </c>
      <c r="BA2315" s="6" t="s">
        <v>81</v>
      </c>
      <c r="BB2315" s="24" t="n">
        <v>90</v>
      </c>
      <c r="BC2315" s="26"/>
      <c r="BD2315" s="26"/>
      <c r="BE2315" s="26"/>
      <c r="BF2315" s="26"/>
      <c r="BG2315" s="26"/>
      <c r="BH2315" s="26"/>
      <c r="BI2315" s="26"/>
      <c r="BJ2315" s="26"/>
      <c r="BK2315" s="26"/>
      <c r="BL2315" s="26"/>
      <c r="BM2315" s="26"/>
      <c r="BN2315" s="26"/>
      <c r="BO2315" s="26"/>
      <c r="BP2315" s="16" t="n">
        <v>45684</v>
      </c>
      <c r="BQ2315" s="28" t="str">
        <f>HYPERLINK("https://organic.ams.usda.gov/Integrity/Certificate.aspx?cid=68&amp;nopid=8210007267")</f>
        <v>https://organic.ams.usda.gov/Integrity/Certificate.aspx?cid=68&amp;nopid=8210007267</v>
      </c>
    </row>
    <row r="2316">
      <c r="A2316" t="s">
        <v>3</v>
      </c>
      <c r="B2316" s="6" t="s">
        <v>7</v>
      </c>
      <c r="C2316" s="6" t="s">
        <v>54</v>
      </c>
      <c r="D2316" s="6" t="s">
        <v>100</v>
      </c>
      <c r="E2316" s="10" t="s">
        <v>2457</v>
      </c>
      <c r="F2316" s="6" t="s">
        <v>5165</v>
      </c>
      <c r="G2316" s="6" t="s">
        <v>81</v>
      </c>
      <c r="H2316" s="6" t="s">
        <v>8004</v>
      </c>
      <c r="I2316" s="6" t="s">
        <v>8440</v>
      </c>
      <c r="J2316" s="6" t="s">
        <v>9679</v>
      </c>
      <c r="K2316" s="6" t="s">
        <v>10886</v>
      </c>
      <c r="L2316" s="16" t="n">
        <v>44715</v>
      </c>
      <c r="M2316" s="16" t="n">
        <v>45716</v>
      </c>
      <c r="N2316" s="6" t="s">
        <v>10886</v>
      </c>
      <c r="O2316" s="16" t="n">
        <v>44715</v>
      </c>
      <c r="P2316" s="6" t="s">
        <v>10910</v>
      </c>
      <c r="Q2316" s="6" t="s">
        <v>81</v>
      </c>
      <c r="R2316" s="6" t="s">
        <v>81</v>
      </c>
      <c r="S2316" s="6" t="s">
        <v>10886</v>
      </c>
      <c r="T2316" s="16" t="n">
        <v>44715</v>
      </c>
      <c r="U2316" s="6" t="s">
        <v>13169</v>
      </c>
      <c r="V2316" s="6" t="s">
        <v>81</v>
      </c>
      <c r="W2316" s="6" t="s">
        <v>81</v>
      </c>
      <c r="X2316" s="6" t="s">
        <v>81</v>
      </c>
      <c r="Y2316" s="21" t="s">
        <v>81</v>
      </c>
      <c r="Z2316" s="6" t="s">
        <v>81</v>
      </c>
      <c r="AA2316" s="6" t="s">
        <v>81</v>
      </c>
      <c r="AB2316" s="6" t="s">
        <v>81</v>
      </c>
      <c r="AC2316" s="6" t="s">
        <v>81</v>
      </c>
      <c r="AD2316" s="21" t="s">
        <v>81</v>
      </c>
      <c r="AE2316" s="6" t="s">
        <v>81</v>
      </c>
      <c r="AF2316" s="6" t="s">
        <v>81</v>
      </c>
      <c r="AG2316" s="6" t="s">
        <v>81</v>
      </c>
      <c r="AH2316" s="6" t="s">
        <v>16859</v>
      </c>
      <c r="AI2316" s="6" t="s">
        <v>81</v>
      </c>
      <c r="AJ2316" s="6" t="s">
        <v>18113</v>
      </c>
      <c r="AK2316" s="6" t="s">
        <v>18380</v>
      </c>
      <c r="AL2316" s="6" t="s">
        <v>18444</v>
      </c>
      <c r="AM2316" s="6" t="s">
        <v>19312</v>
      </c>
      <c r="AN2316" s="6" t="s">
        <v>7195</v>
      </c>
      <c r="AO2316" s="6" t="s">
        <v>19863</v>
      </c>
      <c r="AP2316" s="6" t="s">
        <v>16859</v>
      </c>
      <c r="AQ2316" s="6" t="s">
        <v>81</v>
      </c>
      <c r="AR2316" s="6" t="s">
        <v>18113</v>
      </c>
      <c r="AS2316" s="6" t="s">
        <v>18380</v>
      </c>
      <c r="AT2316" s="6" t="s">
        <v>18444</v>
      </c>
      <c r="AU2316" s="6" t="s">
        <v>19312</v>
      </c>
      <c r="AV2316" s="6" t="s">
        <v>81</v>
      </c>
      <c r="AW2316" s="6" t="s">
        <v>81</v>
      </c>
      <c r="AX2316" s="6" t="s">
        <v>22258</v>
      </c>
      <c r="AY2316" s="6" t="s">
        <v>23374</v>
      </c>
      <c r="AZ2316" s="6" t="s">
        <v>81</v>
      </c>
      <c r="BA2316" s="6" t="s">
        <v>81</v>
      </c>
      <c r="BB2316" s="24" t="n">
        <v>70</v>
      </c>
      <c r="BC2316" s="26"/>
      <c r="BD2316" s="26"/>
      <c r="BE2316" s="26"/>
      <c r="BF2316" s="26" t="s">
        <v>23900</v>
      </c>
      <c r="BG2316" s="26"/>
      <c r="BH2316" s="26"/>
      <c r="BI2316" s="26"/>
      <c r="BJ2316" s="26"/>
      <c r="BK2316" s="26"/>
      <c r="BL2316" s="26"/>
      <c r="BM2316" s="26"/>
      <c r="BN2316" s="26"/>
      <c r="BO2316" s="26"/>
      <c r="BP2316" s="16" t="n">
        <v>45595</v>
      </c>
      <c r="BQ2316" s="28" t="str">
        <f>HYPERLINK("https://organic.ams.usda.gov/Integrity/Certificate.aspx?cid=57&amp;nopid=3252022048")</f>
        <v>https://organic.ams.usda.gov/Integrity/Certificate.aspx?cid=57&amp;nopid=3252022048</v>
      </c>
    </row>
    <row r="2317">
      <c r="A2317" t="s">
        <v>3</v>
      </c>
      <c r="B2317" s="6" t="s">
        <v>30</v>
      </c>
      <c r="C2317" s="6" t="s">
        <v>77</v>
      </c>
      <c r="D2317" s="6" t="s">
        <v>123</v>
      </c>
      <c r="E2317" s="10" t="s">
        <v>2458</v>
      </c>
      <c r="F2317" s="6" t="s">
        <v>5165</v>
      </c>
      <c r="G2317" s="6" t="s">
        <v>81</v>
      </c>
      <c r="H2317" s="6" t="s">
        <v>8005</v>
      </c>
      <c r="I2317" s="6" t="s">
        <v>8440</v>
      </c>
      <c r="J2317" s="6" t="s">
        <v>9679</v>
      </c>
      <c r="K2317" s="6" t="s">
        <v>10886</v>
      </c>
      <c r="L2317" s="16" t="n">
        <v>44719</v>
      </c>
      <c r="M2317" s="16" t="n">
        <v>45747</v>
      </c>
      <c r="N2317" s="6" t="s">
        <v>10886</v>
      </c>
      <c r="O2317" s="16" t="n">
        <v>44719</v>
      </c>
      <c r="P2317" s="6" t="s">
        <v>12192</v>
      </c>
      <c r="Q2317" s="6" t="s">
        <v>81</v>
      </c>
      <c r="R2317" s="6" t="s">
        <v>81</v>
      </c>
      <c r="S2317" s="6" t="s">
        <v>10886</v>
      </c>
      <c r="T2317" s="16" t="n">
        <v>44719</v>
      </c>
      <c r="U2317" s="6" t="s">
        <v>13216</v>
      </c>
      <c r="V2317" s="6" t="s">
        <v>81</v>
      </c>
      <c r="W2317" s="6" t="s">
        <v>81</v>
      </c>
      <c r="X2317" s="6" t="s">
        <v>81</v>
      </c>
      <c r="Y2317" s="21" t="s">
        <v>81</v>
      </c>
      <c r="Z2317" s="6" t="s">
        <v>81</v>
      </c>
      <c r="AA2317" s="6" t="s">
        <v>81</v>
      </c>
      <c r="AB2317" s="6" t="s">
        <v>81</v>
      </c>
      <c r="AC2317" s="6" t="s">
        <v>81</v>
      </c>
      <c r="AD2317" s="21" t="s">
        <v>81</v>
      </c>
      <c r="AE2317" s="6" t="s">
        <v>81</v>
      </c>
      <c r="AF2317" s="6" t="s">
        <v>81</v>
      </c>
      <c r="AG2317" s="6" t="s">
        <v>81</v>
      </c>
      <c r="AH2317" s="6" t="s">
        <v>16860</v>
      </c>
      <c r="AI2317" s="6" t="s">
        <v>81</v>
      </c>
      <c r="AJ2317" s="6" t="s">
        <v>17317</v>
      </c>
      <c r="AK2317" s="6" t="s">
        <v>18380</v>
      </c>
      <c r="AL2317" s="6" t="s">
        <v>18444</v>
      </c>
      <c r="AM2317" s="6" t="s">
        <v>18469</v>
      </c>
      <c r="AN2317" s="6" t="s">
        <v>19639</v>
      </c>
      <c r="AO2317" s="6" t="s">
        <v>19725</v>
      </c>
      <c r="AP2317" s="6" t="s">
        <v>16860</v>
      </c>
      <c r="AQ2317" s="6" t="s">
        <v>81</v>
      </c>
      <c r="AR2317" s="6" t="s">
        <v>17317</v>
      </c>
      <c r="AS2317" s="6" t="s">
        <v>18380</v>
      </c>
      <c r="AT2317" s="6" t="s">
        <v>18444</v>
      </c>
      <c r="AU2317" s="6" t="s">
        <v>18469</v>
      </c>
      <c r="AV2317" s="6" t="s">
        <v>81</v>
      </c>
      <c r="AW2317" s="6" t="s">
        <v>81</v>
      </c>
      <c r="AX2317" s="6" t="s">
        <v>22259</v>
      </c>
      <c r="AY2317" s="6" t="s">
        <v>81</v>
      </c>
      <c r="AZ2317" s="6" t="s">
        <v>81</v>
      </c>
      <c r="BA2317" s="6" t="s">
        <v>81</v>
      </c>
      <c r="BB2317" s="24" t="n">
        <v>60</v>
      </c>
      <c r="BC2317" s="26"/>
      <c r="BD2317" s="26"/>
      <c r="BE2317" s="26"/>
      <c r="BF2317" s="26"/>
      <c r="BG2317" s="26"/>
      <c r="BH2317" s="26"/>
      <c r="BI2317" s="26"/>
      <c r="BJ2317" s="26"/>
      <c r="BK2317" s="26"/>
      <c r="BL2317" s="26"/>
      <c r="BM2317" s="26"/>
      <c r="BN2317" s="26"/>
      <c r="BO2317" s="26"/>
      <c r="BP2317" s="16" t="n">
        <v>45691</v>
      </c>
      <c r="BQ2317" s="28" t="str">
        <f>HYPERLINK("https://organic.ams.usda.gov/Integrity/Certificate.aspx?cid=70&amp;nopid=6432218370")</f>
        <v>https://organic.ams.usda.gov/Integrity/Certificate.aspx?cid=70&amp;nopid=6432218370</v>
      </c>
    </row>
    <row r="2318">
      <c r="A2318" t="s">
        <v>3</v>
      </c>
      <c r="B2318" s="6" t="s">
        <v>12</v>
      </c>
      <c r="C2318" s="6" t="s">
        <v>59</v>
      </c>
      <c r="D2318" s="6" t="s">
        <v>105</v>
      </c>
      <c r="E2318" s="10" t="s">
        <v>2459</v>
      </c>
      <c r="F2318" s="6" t="s">
        <v>5166</v>
      </c>
      <c r="G2318" s="6" t="s">
        <v>81</v>
      </c>
      <c r="H2318" s="6" t="s">
        <v>8006</v>
      </c>
      <c r="I2318" s="6" t="s">
        <v>9498</v>
      </c>
      <c r="J2318" s="6" t="s">
        <v>9672</v>
      </c>
      <c r="K2318" s="6" t="s">
        <v>10886</v>
      </c>
      <c r="L2318" s="16" t="n">
        <v>43774</v>
      </c>
      <c r="M2318" s="16" t="n">
        <v>45717</v>
      </c>
      <c r="N2318" s="6" t="s">
        <v>10886</v>
      </c>
      <c r="O2318" s="16" t="n">
        <v>43774</v>
      </c>
      <c r="P2318" s="6" t="s">
        <v>12193</v>
      </c>
      <c r="Q2318" s="6" t="s">
        <v>81</v>
      </c>
      <c r="R2318" s="6" t="s">
        <v>81</v>
      </c>
      <c r="S2318" s="6" t="s">
        <v>10886</v>
      </c>
      <c r="T2318" s="16" t="n">
        <v>43774</v>
      </c>
      <c r="U2318" s="6" t="s">
        <v>13183</v>
      </c>
      <c r="V2318" s="6" t="s">
        <v>81</v>
      </c>
      <c r="W2318" s="6" t="s">
        <v>81</v>
      </c>
      <c r="X2318" s="6" t="s">
        <v>81</v>
      </c>
      <c r="Y2318" s="21" t="s">
        <v>81</v>
      </c>
      <c r="Z2318" s="6" t="s">
        <v>81</v>
      </c>
      <c r="AA2318" s="6" t="s">
        <v>81</v>
      </c>
      <c r="AB2318" s="6" t="s">
        <v>81</v>
      </c>
      <c r="AC2318" s="6" t="s">
        <v>81</v>
      </c>
      <c r="AD2318" s="21" t="s">
        <v>81</v>
      </c>
      <c r="AE2318" s="6" t="s">
        <v>81</v>
      </c>
      <c r="AF2318" s="6" t="s">
        <v>81</v>
      </c>
      <c r="AG2318" s="6" t="s">
        <v>81</v>
      </c>
      <c r="AH2318" s="6" t="s">
        <v>16861</v>
      </c>
      <c r="AI2318" s="6" t="s">
        <v>81</v>
      </c>
      <c r="AJ2318" s="6" t="s">
        <v>17356</v>
      </c>
      <c r="AK2318" s="6" t="s">
        <v>17712</v>
      </c>
      <c r="AL2318" s="6" t="s">
        <v>18444</v>
      </c>
      <c r="AM2318" s="6" t="s">
        <v>18510</v>
      </c>
      <c r="AN2318" s="6" t="s">
        <v>19649</v>
      </c>
      <c r="AO2318" s="6" t="s">
        <v>19738</v>
      </c>
      <c r="AP2318" s="6" t="s">
        <v>16861</v>
      </c>
      <c r="AQ2318" s="6" t="s">
        <v>81</v>
      </c>
      <c r="AR2318" s="6" t="s">
        <v>17356</v>
      </c>
      <c r="AS2318" s="6" t="s">
        <v>17712</v>
      </c>
      <c r="AT2318" s="6" t="s">
        <v>18444</v>
      </c>
      <c r="AU2318" s="6" t="s">
        <v>18510</v>
      </c>
      <c r="AV2318" s="6" t="s">
        <v>81</v>
      </c>
      <c r="AW2318" s="6" t="s">
        <v>81</v>
      </c>
      <c r="AX2318" s="6" t="s">
        <v>22260</v>
      </c>
      <c r="AY2318" s="6" t="s">
        <v>81</v>
      </c>
      <c r="AZ2318" s="6" t="s">
        <v>81</v>
      </c>
      <c r="BA2318" s="6" t="s">
        <v>81</v>
      </c>
      <c r="BB2318" s="24" t="n">
        <v>431</v>
      </c>
      <c r="BC2318" s="26"/>
      <c r="BD2318" s="26"/>
      <c r="BE2318" s="26"/>
      <c r="BF2318" s="26"/>
      <c r="BG2318" s="26"/>
      <c r="BH2318" s="26"/>
      <c r="BI2318" s="26"/>
      <c r="BJ2318" s="26"/>
      <c r="BK2318" s="26"/>
      <c r="BL2318" s="26"/>
      <c r="BM2318" s="26"/>
      <c r="BN2318" s="26"/>
      <c r="BO2318" s="26"/>
      <c r="BP2318" s="16" t="n">
        <v>45684</v>
      </c>
      <c r="BQ2318" s="28" t="str">
        <f>HYPERLINK("https://organic.ams.usda.gov/Integrity/Certificate.aspx?cid=68&amp;nopid=8210006756")</f>
        <v>https://organic.ams.usda.gov/Integrity/Certificate.aspx?cid=68&amp;nopid=8210006756</v>
      </c>
    </row>
    <row r="2319">
      <c r="A2319" t="s">
        <v>3</v>
      </c>
      <c r="B2319" s="6" t="s">
        <v>8</v>
      </c>
      <c r="C2319" s="6" t="s">
        <v>55</v>
      </c>
      <c r="D2319" s="6" t="s">
        <v>101</v>
      </c>
      <c r="E2319" s="10" t="s">
        <v>2460</v>
      </c>
      <c r="F2319" s="6" t="s">
        <v>5167</v>
      </c>
      <c r="G2319" s="6" t="s">
        <v>81</v>
      </c>
      <c r="H2319" s="6" t="s">
        <v>8007</v>
      </c>
      <c r="I2319" s="6" t="s">
        <v>8440</v>
      </c>
      <c r="J2319" s="6" t="s">
        <v>9672</v>
      </c>
      <c r="K2319" s="6" t="s">
        <v>10886</v>
      </c>
      <c r="L2319" s="16" t="n">
        <v>41515</v>
      </c>
      <c r="M2319" s="16" t="n">
        <v>45689</v>
      </c>
      <c r="N2319" s="6" t="s">
        <v>10886</v>
      </c>
      <c r="O2319" s="16" t="n">
        <v>41515</v>
      </c>
      <c r="P2319" s="6" t="s">
        <v>12194</v>
      </c>
      <c r="Q2319" s="6" t="s">
        <v>81</v>
      </c>
      <c r="R2319" s="6" t="s">
        <v>8007</v>
      </c>
      <c r="S2319" s="6" t="s">
        <v>10886</v>
      </c>
      <c r="T2319" s="16" t="n">
        <v>41515</v>
      </c>
      <c r="U2319" s="6" t="s">
        <v>13173</v>
      </c>
      <c r="V2319" s="6" t="s">
        <v>81</v>
      </c>
      <c r="W2319" s="6" t="s">
        <v>8007</v>
      </c>
      <c r="X2319" s="6" t="s">
        <v>81</v>
      </c>
      <c r="Y2319" s="21" t="s">
        <v>81</v>
      </c>
      <c r="Z2319" s="6" t="s">
        <v>81</v>
      </c>
      <c r="AA2319" s="6" t="s">
        <v>81</v>
      </c>
      <c r="AB2319" s="6" t="s">
        <v>81</v>
      </c>
      <c r="AC2319" s="6" t="s">
        <v>81</v>
      </c>
      <c r="AD2319" s="21" t="s">
        <v>81</v>
      </c>
      <c r="AE2319" s="6" t="s">
        <v>81</v>
      </c>
      <c r="AF2319" s="6" t="s">
        <v>81</v>
      </c>
      <c r="AG2319" s="6" t="s">
        <v>81</v>
      </c>
      <c r="AH2319" s="6" t="s">
        <v>16862</v>
      </c>
      <c r="AI2319" s="6" t="s">
        <v>81</v>
      </c>
      <c r="AJ2319" s="6" t="s">
        <v>17525</v>
      </c>
      <c r="AK2319" s="6" t="s">
        <v>18379</v>
      </c>
      <c r="AL2319" s="6" t="s">
        <v>18444</v>
      </c>
      <c r="AM2319" s="6" t="s">
        <v>19221</v>
      </c>
      <c r="AN2319" s="6" t="s">
        <v>19671</v>
      </c>
      <c r="AO2319" s="6" t="s">
        <v>19784</v>
      </c>
      <c r="AP2319" s="6" t="s">
        <v>81</v>
      </c>
      <c r="AQ2319" s="6" t="s">
        <v>81</v>
      </c>
      <c r="AR2319" s="6" t="s">
        <v>81</v>
      </c>
      <c r="AS2319" s="6" t="s">
        <v>81</v>
      </c>
      <c r="AT2319" s="6" t="s">
        <v>81</v>
      </c>
      <c r="AU2319" s="6" t="s">
        <v>81</v>
      </c>
      <c r="AV2319" s="6" t="s">
        <v>81</v>
      </c>
      <c r="AW2319" s="6" t="s">
        <v>81</v>
      </c>
      <c r="AX2319" s="6" t="s">
        <v>81</v>
      </c>
      <c r="AY2319" s="6" t="s">
        <v>81</v>
      </c>
      <c r="AZ2319" s="6" t="s">
        <v>81</v>
      </c>
      <c r="BA2319" s="6" t="s">
        <v>23819</v>
      </c>
      <c r="BB2319" s="24" t="n">
        <v>170</v>
      </c>
      <c r="BC2319" s="26"/>
      <c r="BD2319" s="26"/>
      <c r="BE2319" s="26"/>
      <c r="BF2319" s="26" t="s">
        <v>23900</v>
      </c>
      <c r="BG2319" s="26"/>
      <c r="BH2319" s="26"/>
      <c r="BI2319" s="26"/>
      <c r="BJ2319" s="26"/>
      <c r="BK2319" s="26"/>
      <c r="BL2319" s="26"/>
      <c r="BM2319" s="26"/>
      <c r="BN2319" s="26"/>
      <c r="BO2319" s="26"/>
      <c r="BP2319" s="16" t="n">
        <v>45681</v>
      </c>
      <c r="BQ2319" s="28" t="str">
        <f>HYPERLINK("https://organic.ams.usda.gov/Integrity/Certificate.aspx?cid=45&amp;nopid=9950005032")</f>
        <v>https://organic.ams.usda.gov/Integrity/Certificate.aspx?cid=45&amp;nopid=9950005032</v>
      </c>
    </row>
    <row r="2320">
      <c r="A2320" t="s">
        <v>3</v>
      </c>
      <c r="B2320" s="6" t="s">
        <v>13</v>
      </c>
      <c r="C2320" s="6" t="s">
        <v>60</v>
      </c>
      <c r="D2320" s="6" t="s">
        <v>106</v>
      </c>
      <c r="E2320" s="10" t="s">
        <v>2461</v>
      </c>
      <c r="F2320" s="6" t="s">
        <v>5168</v>
      </c>
      <c r="G2320" s="6" t="s">
        <v>81</v>
      </c>
      <c r="H2320" s="6" t="s">
        <v>8008</v>
      </c>
      <c r="I2320" s="6" t="s">
        <v>8440</v>
      </c>
      <c r="J2320" s="6" t="s">
        <v>9667</v>
      </c>
      <c r="K2320" s="6" t="s">
        <v>10886</v>
      </c>
      <c r="L2320" s="16" t="n">
        <v>40029</v>
      </c>
      <c r="M2320" s="16" t="n">
        <v>45748</v>
      </c>
      <c r="N2320" s="6" t="s">
        <v>10886</v>
      </c>
      <c r="O2320" s="16" t="n">
        <v>40029</v>
      </c>
      <c r="P2320" s="6" t="s">
        <v>12195</v>
      </c>
      <c r="Q2320" s="6" t="s">
        <v>81</v>
      </c>
      <c r="R2320" s="6" t="s">
        <v>13060</v>
      </c>
      <c r="S2320" s="6" t="s">
        <v>10886</v>
      </c>
      <c r="T2320" s="16" t="n">
        <v>40029</v>
      </c>
      <c r="U2320" s="6" t="s">
        <v>13518</v>
      </c>
      <c r="V2320" s="6" t="s">
        <v>81</v>
      </c>
      <c r="W2320" s="6" t="s">
        <v>13060</v>
      </c>
      <c r="X2320" s="6" t="s">
        <v>81</v>
      </c>
      <c r="Y2320" s="21" t="s">
        <v>81</v>
      </c>
      <c r="Z2320" s="6" t="s">
        <v>81</v>
      </c>
      <c r="AA2320" s="6" t="s">
        <v>81</v>
      </c>
      <c r="AB2320" s="6" t="s">
        <v>81</v>
      </c>
      <c r="AC2320" s="6" t="s">
        <v>81</v>
      </c>
      <c r="AD2320" s="21" t="s">
        <v>81</v>
      </c>
      <c r="AE2320" s="6" t="s">
        <v>81</v>
      </c>
      <c r="AF2320" s="6" t="s">
        <v>81</v>
      </c>
      <c r="AG2320" s="6" t="s">
        <v>81</v>
      </c>
      <c r="AH2320" s="6" t="s">
        <v>16863</v>
      </c>
      <c r="AI2320" s="6" t="s">
        <v>81</v>
      </c>
      <c r="AJ2320" s="6" t="s">
        <v>10323</v>
      </c>
      <c r="AK2320" s="6" t="s">
        <v>18379</v>
      </c>
      <c r="AL2320" s="6" t="s">
        <v>18444</v>
      </c>
      <c r="AM2320" s="6" t="s">
        <v>18485</v>
      </c>
      <c r="AN2320" s="6" t="s">
        <v>6842</v>
      </c>
      <c r="AO2320" s="6" t="s">
        <v>19781</v>
      </c>
      <c r="AP2320" s="6" t="s">
        <v>16863</v>
      </c>
      <c r="AQ2320" s="6" t="s">
        <v>81</v>
      </c>
      <c r="AR2320" s="6" t="s">
        <v>10323</v>
      </c>
      <c r="AS2320" s="6" t="s">
        <v>18379</v>
      </c>
      <c r="AT2320" s="6" t="s">
        <v>18444</v>
      </c>
      <c r="AU2320" s="6" t="s">
        <v>18485</v>
      </c>
      <c r="AV2320" s="6" t="s">
        <v>81</v>
      </c>
      <c r="AW2320" s="6" t="s">
        <v>81</v>
      </c>
      <c r="AX2320" s="6" t="s">
        <v>22261</v>
      </c>
      <c r="AY2320" s="6" t="s">
        <v>81</v>
      </c>
      <c r="AZ2320" s="6" t="s">
        <v>81</v>
      </c>
      <c r="BA2320" s="6" t="s">
        <v>81</v>
      </c>
      <c r="BB2320" s="24" t="n">
        <v>81</v>
      </c>
      <c r="BC2320" s="26"/>
      <c r="BD2320" s="26"/>
      <c r="BE2320" s="26"/>
      <c r="BF2320" s="26" t="s">
        <v>23900</v>
      </c>
      <c r="BG2320" s="26"/>
      <c r="BH2320" s="26"/>
      <c r="BI2320" s="26"/>
      <c r="BJ2320" s="26"/>
      <c r="BK2320" s="26"/>
      <c r="BL2320" s="26"/>
      <c r="BM2320" s="26"/>
      <c r="BN2320" s="26"/>
      <c r="BO2320" s="26"/>
      <c r="BP2320" s="16" t="n">
        <v>45663</v>
      </c>
      <c r="BQ2320" s="28" t="str">
        <f>HYPERLINK("https://organic.ams.usda.gov/Integrity/Certificate.aspx?cid=72&amp;nopid=5870001628")</f>
        <v>https://organic.ams.usda.gov/Integrity/Certificate.aspx?cid=72&amp;nopid=5870001628</v>
      </c>
    </row>
    <row r="2321">
      <c r="A2321" t="s">
        <v>3</v>
      </c>
      <c r="B2321" s="6" t="s">
        <v>7</v>
      </c>
      <c r="C2321" s="6" t="s">
        <v>54</v>
      </c>
      <c r="D2321" s="6" t="s">
        <v>100</v>
      </c>
      <c r="E2321" s="10" t="s">
        <v>2462</v>
      </c>
      <c r="F2321" s="6" t="s">
        <v>5169</v>
      </c>
      <c r="G2321" s="6" t="s">
        <v>81</v>
      </c>
      <c r="H2321" s="6" t="s">
        <v>8009</v>
      </c>
      <c r="I2321" s="6" t="s">
        <v>8440</v>
      </c>
      <c r="J2321" s="6" t="s">
        <v>9142</v>
      </c>
      <c r="K2321" s="6" t="s">
        <v>10886</v>
      </c>
      <c r="L2321" s="16" t="n">
        <v>45622</v>
      </c>
      <c r="M2321" s="16" t="n">
        <v>45716</v>
      </c>
      <c r="N2321" s="6" t="s">
        <v>10886</v>
      </c>
      <c r="O2321" s="16" t="n">
        <v>45622</v>
      </c>
      <c r="P2321" s="6" t="s">
        <v>12196</v>
      </c>
      <c r="Q2321" s="6" t="s">
        <v>81</v>
      </c>
      <c r="R2321" s="6" t="s">
        <v>81</v>
      </c>
      <c r="S2321" s="6" t="s">
        <v>10886</v>
      </c>
      <c r="T2321" s="16" t="n">
        <v>45622</v>
      </c>
      <c r="U2321" s="6" t="s">
        <v>13169</v>
      </c>
      <c r="V2321" s="6" t="s">
        <v>81</v>
      </c>
      <c r="W2321" s="6" t="s">
        <v>81</v>
      </c>
      <c r="X2321" s="6" t="s">
        <v>81</v>
      </c>
      <c r="Y2321" s="21" t="s">
        <v>81</v>
      </c>
      <c r="Z2321" s="6" t="s">
        <v>81</v>
      </c>
      <c r="AA2321" s="6" t="s">
        <v>81</v>
      </c>
      <c r="AB2321" s="6" t="s">
        <v>81</v>
      </c>
      <c r="AC2321" s="6" t="s">
        <v>81</v>
      </c>
      <c r="AD2321" s="21" t="s">
        <v>81</v>
      </c>
      <c r="AE2321" s="6" t="s">
        <v>81</v>
      </c>
      <c r="AF2321" s="6" t="s">
        <v>81</v>
      </c>
      <c r="AG2321" s="6" t="s">
        <v>81</v>
      </c>
      <c r="AH2321" s="6" t="s">
        <v>16864</v>
      </c>
      <c r="AI2321" s="6" t="s">
        <v>81</v>
      </c>
      <c r="AJ2321" s="6" t="s">
        <v>17578</v>
      </c>
      <c r="AK2321" s="6" t="s">
        <v>17712</v>
      </c>
      <c r="AL2321" s="6" t="s">
        <v>18444</v>
      </c>
      <c r="AM2321" s="6" t="s">
        <v>18742</v>
      </c>
      <c r="AN2321" s="6" t="s">
        <v>81</v>
      </c>
      <c r="AO2321" s="6" t="s">
        <v>81</v>
      </c>
      <c r="AP2321" s="6" t="s">
        <v>16864</v>
      </c>
      <c r="AQ2321" s="6" t="s">
        <v>81</v>
      </c>
      <c r="AR2321" s="6" t="s">
        <v>17578</v>
      </c>
      <c r="AS2321" s="6" t="s">
        <v>17712</v>
      </c>
      <c r="AT2321" s="6" t="s">
        <v>18444</v>
      </c>
      <c r="AU2321" s="6" t="s">
        <v>18742</v>
      </c>
      <c r="AV2321" s="6" t="s">
        <v>81</v>
      </c>
      <c r="AW2321" s="6" t="s">
        <v>81</v>
      </c>
      <c r="AX2321" s="6" t="s">
        <v>81</v>
      </c>
      <c r="AY2321" s="6" t="s">
        <v>81</v>
      </c>
      <c r="AZ2321" s="6" t="s">
        <v>81</v>
      </c>
      <c r="BA2321" s="6" t="s">
        <v>81</v>
      </c>
      <c r="BB2321" s="24" t="n">
        <v>72</v>
      </c>
      <c r="BC2321" s="26"/>
      <c r="BD2321" s="26"/>
      <c r="BE2321" s="26"/>
      <c r="BF2321" s="26" t="s">
        <v>23900</v>
      </c>
      <c r="BG2321" s="26"/>
      <c r="BH2321" s="26"/>
      <c r="BI2321" s="26"/>
      <c r="BJ2321" s="26"/>
      <c r="BK2321" s="26"/>
      <c r="BL2321" s="26"/>
      <c r="BM2321" s="26"/>
      <c r="BN2321" s="26"/>
      <c r="BO2321" s="26"/>
      <c r="BP2321" s="16" t="n">
        <v>45623</v>
      </c>
      <c r="BQ2321" s="28" t="str">
        <f>HYPERLINK("https://organic.ams.usda.gov/Integrity/Certificate.aspx?cid=57&amp;nopid=3252024060")</f>
        <v>https://organic.ams.usda.gov/Integrity/Certificate.aspx?cid=57&amp;nopid=3252024060</v>
      </c>
    </row>
    <row r="2322">
      <c r="A2322" t="s">
        <v>3</v>
      </c>
      <c r="B2322" s="6" t="s">
        <v>30</v>
      </c>
      <c r="C2322" s="6" t="s">
        <v>77</v>
      </c>
      <c r="D2322" s="6" t="s">
        <v>123</v>
      </c>
      <c r="E2322" s="10" t="s">
        <v>2463</v>
      </c>
      <c r="F2322" s="6" t="s">
        <v>5170</v>
      </c>
      <c r="G2322" s="6" t="s">
        <v>81</v>
      </c>
      <c r="H2322" s="6" t="s">
        <v>8010</v>
      </c>
      <c r="I2322" s="6" t="s">
        <v>9499</v>
      </c>
      <c r="J2322" s="6" t="s">
        <v>9671</v>
      </c>
      <c r="K2322" s="6" t="s">
        <v>10886</v>
      </c>
      <c r="L2322" s="16" t="n">
        <v>41050</v>
      </c>
      <c r="M2322" s="16" t="n">
        <v>45747</v>
      </c>
      <c r="N2322" s="6" t="s">
        <v>10886</v>
      </c>
      <c r="O2322" s="16" t="n">
        <v>41050</v>
      </c>
      <c r="P2322" s="6" t="s">
        <v>12197</v>
      </c>
      <c r="Q2322" s="6" t="s">
        <v>81</v>
      </c>
      <c r="R2322" s="6" t="s">
        <v>13061</v>
      </c>
      <c r="S2322" s="6" t="s">
        <v>10886</v>
      </c>
      <c r="T2322" s="16" t="n">
        <v>41050</v>
      </c>
      <c r="U2322" s="6" t="s">
        <v>13400</v>
      </c>
      <c r="V2322" s="6" t="s">
        <v>81</v>
      </c>
      <c r="W2322" s="6" t="s">
        <v>8010</v>
      </c>
      <c r="X2322" s="6" t="s">
        <v>81</v>
      </c>
      <c r="Y2322" s="21" t="s">
        <v>81</v>
      </c>
      <c r="Z2322" s="6" t="s">
        <v>81</v>
      </c>
      <c r="AA2322" s="6" t="s">
        <v>81</v>
      </c>
      <c r="AB2322" s="6" t="s">
        <v>81</v>
      </c>
      <c r="AC2322" s="6" t="s">
        <v>10886</v>
      </c>
      <c r="AD2322" s="16" t="n">
        <v>42928</v>
      </c>
      <c r="AE2322" s="6" t="s">
        <v>14409</v>
      </c>
      <c r="AF2322" s="6" t="s">
        <v>81</v>
      </c>
      <c r="AG2322" s="6" t="s">
        <v>81</v>
      </c>
      <c r="AH2322" s="6" t="s">
        <v>16865</v>
      </c>
      <c r="AI2322" s="6" t="s">
        <v>81</v>
      </c>
      <c r="AJ2322" s="6" t="s">
        <v>18267</v>
      </c>
      <c r="AK2322" s="6" t="s">
        <v>18380</v>
      </c>
      <c r="AL2322" s="6" t="s">
        <v>18444</v>
      </c>
      <c r="AM2322" s="6" t="s">
        <v>19491</v>
      </c>
      <c r="AN2322" s="6" t="s">
        <v>8233</v>
      </c>
      <c r="AO2322" s="6" t="s">
        <v>19806</v>
      </c>
      <c r="AP2322" s="6" t="s">
        <v>16865</v>
      </c>
      <c r="AQ2322" s="6" t="s">
        <v>81</v>
      </c>
      <c r="AR2322" s="6" t="s">
        <v>18267</v>
      </c>
      <c r="AS2322" s="6" t="s">
        <v>17712</v>
      </c>
      <c r="AT2322" s="6" t="s">
        <v>18444</v>
      </c>
      <c r="AU2322" s="6" t="s">
        <v>19491</v>
      </c>
      <c r="AV2322" s="6" t="s">
        <v>81</v>
      </c>
      <c r="AW2322" s="6" t="s">
        <v>81</v>
      </c>
      <c r="AX2322" s="6" t="s">
        <v>81</v>
      </c>
      <c r="AY2322" s="6" t="s">
        <v>81</v>
      </c>
      <c r="AZ2322" s="6" t="s">
        <v>81</v>
      </c>
      <c r="BA2322" s="6" t="s">
        <v>81</v>
      </c>
      <c r="BB2322" s="24" t="n">
        <v>141</v>
      </c>
      <c r="BC2322" s="26"/>
      <c r="BD2322" s="26"/>
      <c r="BE2322" s="26"/>
      <c r="BF2322" s="26"/>
      <c r="BG2322" s="26"/>
      <c r="BH2322" s="26"/>
      <c r="BI2322" s="26"/>
      <c r="BJ2322" s="26"/>
      <c r="BK2322" s="26"/>
      <c r="BL2322" s="26"/>
      <c r="BM2322" s="26"/>
      <c r="BN2322" s="26"/>
      <c r="BO2322" s="26"/>
      <c r="BP2322" s="16" t="n">
        <v>45722</v>
      </c>
      <c r="BQ2322" s="28" t="str">
        <f>HYPERLINK("https://organic.ams.usda.gov/Integrity/Certificate.aspx?cid=70&amp;nopid=6431252400")</f>
        <v>https://organic.ams.usda.gov/Integrity/Certificate.aspx?cid=70&amp;nopid=6431252400</v>
      </c>
    </row>
    <row r="2323">
      <c r="A2323" t="s">
        <v>3</v>
      </c>
      <c r="B2323" s="6" t="s">
        <v>9</v>
      </c>
      <c r="C2323" s="6" t="s">
        <v>56</v>
      </c>
      <c r="D2323" s="6" t="s">
        <v>102</v>
      </c>
      <c r="E2323" s="10" t="s">
        <v>2464</v>
      </c>
      <c r="F2323" s="6" t="s">
        <v>5171</v>
      </c>
      <c r="G2323" s="6" t="s">
        <v>81</v>
      </c>
      <c r="H2323" s="6" t="s">
        <v>8011</v>
      </c>
      <c r="I2323" s="6" t="s">
        <v>8440</v>
      </c>
      <c r="J2323" s="6" t="s">
        <v>9682</v>
      </c>
      <c r="K2323" s="6" t="s">
        <v>10886</v>
      </c>
      <c r="L2323" s="16" t="n">
        <v>44404</v>
      </c>
      <c r="M2323" s="16" t="n">
        <v>45748</v>
      </c>
      <c r="N2323" s="6" t="s">
        <v>10886</v>
      </c>
      <c r="O2323" s="16" t="n">
        <v>44404</v>
      </c>
      <c r="P2323" s="6" t="s">
        <v>12198</v>
      </c>
      <c r="Q2323" s="6" t="s">
        <v>81</v>
      </c>
      <c r="R2323" s="6" t="s">
        <v>13062</v>
      </c>
      <c r="S2323" s="6" t="s">
        <v>10886</v>
      </c>
      <c r="T2323" s="16" t="n">
        <v>44404</v>
      </c>
      <c r="U2323" s="6" t="s">
        <v>13389</v>
      </c>
      <c r="V2323" s="6" t="s">
        <v>81</v>
      </c>
      <c r="W2323" s="6" t="s">
        <v>13062</v>
      </c>
      <c r="X2323" s="6" t="s">
        <v>81</v>
      </c>
      <c r="Y2323" s="21" t="s">
        <v>81</v>
      </c>
      <c r="Z2323" s="6" t="s">
        <v>81</v>
      </c>
      <c r="AA2323" s="6" t="s">
        <v>81</v>
      </c>
      <c r="AB2323" s="6" t="s">
        <v>81</v>
      </c>
      <c r="AC2323" s="6" t="s">
        <v>81</v>
      </c>
      <c r="AD2323" s="21" t="s">
        <v>81</v>
      </c>
      <c r="AE2323" s="6" t="s">
        <v>81</v>
      </c>
      <c r="AF2323" s="6" t="s">
        <v>81</v>
      </c>
      <c r="AG2323" s="6" t="s">
        <v>81</v>
      </c>
      <c r="AH2323" s="6" t="s">
        <v>16866</v>
      </c>
      <c r="AI2323" s="6" t="s">
        <v>81</v>
      </c>
      <c r="AJ2323" s="6" t="s">
        <v>17477</v>
      </c>
      <c r="AK2323" s="6" t="s">
        <v>18380</v>
      </c>
      <c r="AL2323" s="6" t="s">
        <v>18444</v>
      </c>
      <c r="AM2323" s="6" t="s">
        <v>18639</v>
      </c>
      <c r="AN2323" s="6" t="s">
        <v>19665</v>
      </c>
      <c r="AO2323" s="6" t="s">
        <v>19755</v>
      </c>
      <c r="AP2323" s="6" t="s">
        <v>81</v>
      </c>
      <c r="AQ2323" s="6" t="s">
        <v>81</v>
      </c>
      <c r="AR2323" s="6" t="s">
        <v>81</v>
      </c>
      <c r="AS2323" s="6" t="s">
        <v>81</v>
      </c>
      <c r="AT2323" s="6" t="s">
        <v>81</v>
      </c>
      <c r="AU2323" s="6" t="s">
        <v>81</v>
      </c>
      <c r="AV2323" s="6" t="s">
        <v>81</v>
      </c>
      <c r="AW2323" s="6" t="s">
        <v>81</v>
      </c>
      <c r="AX2323" s="6" t="s">
        <v>22262</v>
      </c>
      <c r="AY2323" s="6" t="s">
        <v>81</v>
      </c>
      <c r="AZ2323" s="6" t="s">
        <v>81</v>
      </c>
      <c r="BA2323" s="6" t="s">
        <v>81</v>
      </c>
      <c r="BB2323" s="24" t="n">
        <v>70</v>
      </c>
      <c r="BC2323" s="26"/>
      <c r="BD2323" s="26"/>
      <c r="BE2323" s="26"/>
      <c r="BF2323" s="26"/>
      <c r="BG2323" s="26"/>
      <c r="BH2323" s="26"/>
      <c r="BI2323" s="26"/>
      <c r="BJ2323" s="26"/>
      <c r="BK2323" s="26"/>
      <c r="BL2323" s="26"/>
      <c r="BM2323" s="26"/>
      <c r="BN2323" s="26"/>
      <c r="BO2323" s="26"/>
      <c r="BP2323" s="16" t="n">
        <v>45738</v>
      </c>
      <c r="BQ2323" s="28" t="str">
        <f>HYPERLINK("https://organic.ams.usda.gov/Integrity/Certificate.aspx?cid=52&amp;nopid=8432101972")</f>
        <v>https://organic.ams.usda.gov/Integrity/Certificate.aspx?cid=52&amp;nopid=8432101972</v>
      </c>
    </row>
    <row r="2324">
      <c r="A2324" t="s">
        <v>3</v>
      </c>
      <c r="B2324" s="6" t="s">
        <v>29</v>
      </c>
      <c r="C2324" s="6" t="s">
        <v>76</v>
      </c>
      <c r="D2324" s="6" t="s">
        <v>122</v>
      </c>
      <c r="E2324" s="10" t="s">
        <v>2465</v>
      </c>
      <c r="F2324" s="6" t="s">
        <v>5172</v>
      </c>
      <c r="G2324" s="6" t="s">
        <v>81</v>
      </c>
      <c r="H2324" s="6" t="s">
        <v>8012</v>
      </c>
      <c r="I2324" s="6" t="s">
        <v>8440</v>
      </c>
      <c r="J2324" s="6" t="s">
        <v>9805</v>
      </c>
      <c r="K2324" s="6" t="s">
        <v>10886</v>
      </c>
      <c r="L2324" s="16" t="n">
        <v>44123</v>
      </c>
      <c r="M2324" s="16" t="n">
        <v>45870</v>
      </c>
      <c r="N2324" s="6" t="s">
        <v>10886</v>
      </c>
      <c r="O2324" s="16" t="n">
        <v>44123</v>
      </c>
      <c r="P2324" s="6" t="s">
        <v>12199</v>
      </c>
      <c r="Q2324" s="6" t="s">
        <v>81</v>
      </c>
      <c r="R2324" s="6" t="s">
        <v>13063</v>
      </c>
      <c r="S2324" s="6" t="s">
        <v>10886</v>
      </c>
      <c r="T2324" s="16" t="n">
        <v>44123</v>
      </c>
      <c r="U2324" s="6" t="s">
        <v>13366</v>
      </c>
      <c r="V2324" s="6" t="s">
        <v>81</v>
      </c>
      <c r="W2324" s="6" t="s">
        <v>13063</v>
      </c>
      <c r="X2324" s="6" t="s">
        <v>81</v>
      </c>
      <c r="Y2324" s="21" t="s">
        <v>81</v>
      </c>
      <c r="Z2324" s="6" t="s">
        <v>81</v>
      </c>
      <c r="AA2324" s="6" t="s">
        <v>81</v>
      </c>
      <c r="AB2324" s="6" t="s">
        <v>81</v>
      </c>
      <c r="AC2324" s="6" t="s">
        <v>81</v>
      </c>
      <c r="AD2324" s="21" t="s">
        <v>81</v>
      </c>
      <c r="AE2324" s="6" t="s">
        <v>81</v>
      </c>
      <c r="AF2324" s="6" t="s">
        <v>81</v>
      </c>
      <c r="AG2324" s="6" t="s">
        <v>81</v>
      </c>
      <c r="AH2324" s="6" t="s">
        <v>16867</v>
      </c>
      <c r="AI2324" s="6" t="s">
        <v>81</v>
      </c>
      <c r="AJ2324" s="6" t="s">
        <v>17406</v>
      </c>
      <c r="AK2324" s="6" t="s">
        <v>17712</v>
      </c>
      <c r="AL2324" s="6" t="s">
        <v>18444</v>
      </c>
      <c r="AM2324" s="6" t="s">
        <v>18562</v>
      </c>
      <c r="AN2324" s="6" t="s">
        <v>19657</v>
      </c>
      <c r="AO2324" s="6" t="s">
        <v>19751</v>
      </c>
      <c r="AP2324" s="6" t="s">
        <v>81</v>
      </c>
      <c r="AQ2324" s="6" t="s">
        <v>81</v>
      </c>
      <c r="AR2324" s="6" t="s">
        <v>81</v>
      </c>
      <c r="AS2324" s="6" t="s">
        <v>81</v>
      </c>
      <c r="AT2324" s="6" t="s">
        <v>81</v>
      </c>
      <c r="AU2324" s="6" t="s">
        <v>81</v>
      </c>
      <c r="AV2324" s="6" t="s">
        <v>81</v>
      </c>
      <c r="AW2324" s="6" t="s">
        <v>81</v>
      </c>
      <c r="AX2324" s="6" t="s">
        <v>81</v>
      </c>
      <c r="AY2324" s="6" t="s">
        <v>81</v>
      </c>
      <c r="AZ2324" s="6" t="s">
        <v>81</v>
      </c>
      <c r="BA2324" s="6" t="s">
        <v>81</v>
      </c>
      <c r="BB2324" s="24" t="n">
        <v>115</v>
      </c>
      <c r="BC2324" s="26"/>
      <c r="BD2324" s="26"/>
      <c r="BE2324" s="26"/>
      <c r="BF2324" s="26" t="s">
        <v>23900</v>
      </c>
      <c r="BG2324" s="26"/>
      <c r="BH2324" s="26"/>
      <c r="BI2324" s="26"/>
      <c r="BJ2324" s="26"/>
      <c r="BK2324" s="26"/>
      <c r="BL2324" s="26"/>
      <c r="BM2324" s="26"/>
      <c r="BN2324" s="26"/>
      <c r="BO2324" s="26"/>
      <c r="BP2324" s="16" t="n">
        <v>45737</v>
      </c>
      <c r="BQ2324" s="28" t="str">
        <f>HYPERLINK("https://organic.ams.usda.gov/Integrity/Certificate.aspx?cid=31&amp;nopid=3928972153")</f>
        <v>https://organic.ams.usda.gov/Integrity/Certificate.aspx?cid=31&amp;nopid=3928972153</v>
      </c>
    </row>
    <row r="2325">
      <c r="A2325" t="s">
        <v>3</v>
      </c>
      <c r="B2325" s="6" t="s">
        <v>9</v>
      </c>
      <c r="C2325" s="6" t="s">
        <v>56</v>
      </c>
      <c r="D2325" s="6" t="s">
        <v>102</v>
      </c>
      <c r="E2325" s="10" t="s">
        <v>2466</v>
      </c>
      <c r="F2325" s="6" t="s">
        <v>5173</v>
      </c>
      <c r="G2325" s="6" t="s">
        <v>81</v>
      </c>
      <c r="H2325" s="6" t="s">
        <v>8013</v>
      </c>
      <c r="I2325" s="6" t="s">
        <v>8440</v>
      </c>
      <c r="J2325" s="6" t="s">
        <v>9666</v>
      </c>
      <c r="K2325" s="6" t="s">
        <v>10886</v>
      </c>
      <c r="L2325" s="16" t="n">
        <v>45286</v>
      </c>
      <c r="M2325" s="16" t="n">
        <v>45748</v>
      </c>
      <c r="N2325" s="6" t="s">
        <v>10886</v>
      </c>
      <c r="O2325" s="16" t="n">
        <v>45286</v>
      </c>
      <c r="P2325" s="6" t="s">
        <v>12200</v>
      </c>
      <c r="Q2325" s="6" t="s">
        <v>81</v>
      </c>
      <c r="R2325" s="6" t="s">
        <v>13064</v>
      </c>
      <c r="S2325" s="6" t="s">
        <v>10886</v>
      </c>
      <c r="T2325" s="16" t="n">
        <v>45286</v>
      </c>
      <c r="U2325" s="6" t="s">
        <v>13168</v>
      </c>
      <c r="V2325" s="6" t="s">
        <v>81</v>
      </c>
      <c r="W2325" s="6" t="s">
        <v>13064</v>
      </c>
      <c r="X2325" s="6" t="s">
        <v>81</v>
      </c>
      <c r="Y2325" s="21" t="s">
        <v>81</v>
      </c>
      <c r="Z2325" s="6" t="s">
        <v>81</v>
      </c>
      <c r="AA2325" s="6" t="s">
        <v>81</v>
      </c>
      <c r="AB2325" s="6" t="s">
        <v>81</v>
      </c>
      <c r="AC2325" s="6" t="s">
        <v>10886</v>
      </c>
      <c r="AD2325" s="16" t="n">
        <v>45286</v>
      </c>
      <c r="AE2325" s="6" t="s">
        <v>14410</v>
      </c>
      <c r="AF2325" s="6" t="s">
        <v>81</v>
      </c>
      <c r="AG2325" s="6" t="s">
        <v>13064</v>
      </c>
      <c r="AH2325" s="6" t="s">
        <v>16868</v>
      </c>
      <c r="AI2325" s="6" t="s">
        <v>81</v>
      </c>
      <c r="AJ2325" s="6" t="s">
        <v>17347</v>
      </c>
      <c r="AK2325" s="6" t="s">
        <v>18378</v>
      </c>
      <c r="AL2325" s="6" t="s">
        <v>18444</v>
      </c>
      <c r="AM2325" s="6" t="s">
        <v>18501</v>
      </c>
      <c r="AN2325" s="6" t="s">
        <v>19640</v>
      </c>
      <c r="AO2325" s="6" t="s">
        <v>19726</v>
      </c>
      <c r="AP2325" s="6" t="s">
        <v>81</v>
      </c>
      <c r="AQ2325" s="6" t="s">
        <v>81</v>
      </c>
      <c r="AR2325" s="6" t="s">
        <v>81</v>
      </c>
      <c r="AS2325" s="6" t="s">
        <v>81</v>
      </c>
      <c r="AT2325" s="6" t="s">
        <v>81</v>
      </c>
      <c r="AU2325" s="6" t="s">
        <v>81</v>
      </c>
      <c r="AV2325" s="6" t="s">
        <v>81</v>
      </c>
      <c r="AW2325" s="6" t="s">
        <v>81</v>
      </c>
      <c r="AX2325" s="6" t="s">
        <v>22263</v>
      </c>
      <c r="AY2325" s="6" t="s">
        <v>81</v>
      </c>
      <c r="AZ2325" s="6" t="s">
        <v>81</v>
      </c>
      <c r="BA2325" s="6" t="s">
        <v>81</v>
      </c>
      <c r="BB2325" s="24" t="n">
        <v>100</v>
      </c>
      <c r="BC2325" s="26"/>
      <c r="BD2325" s="26"/>
      <c r="BE2325" s="26"/>
      <c r="BF2325" s="26"/>
      <c r="BG2325" s="26"/>
      <c r="BH2325" s="26"/>
      <c r="BI2325" s="26"/>
      <c r="BJ2325" s="26"/>
      <c r="BK2325" s="26"/>
      <c r="BL2325" s="26"/>
      <c r="BM2325" s="26"/>
      <c r="BN2325" s="26"/>
      <c r="BO2325" s="26"/>
      <c r="BP2325" s="16" t="n">
        <v>45738</v>
      </c>
      <c r="BQ2325" s="28" t="str">
        <f>HYPERLINK("https://organic.ams.usda.gov/Integrity/Certificate.aspx?cid=52&amp;nopid=8431300633")</f>
        <v>https://organic.ams.usda.gov/Integrity/Certificate.aspx?cid=52&amp;nopid=8431300633</v>
      </c>
    </row>
    <row r="2326">
      <c r="A2326" t="s">
        <v>3</v>
      </c>
      <c r="B2326" s="6" t="s">
        <v>8</v>
      </c>
      <c r="C2326" s="6" t="s">
        <v>55</v>
      </c>
      <c r="D2326" s="6" t="s">
        <v>101</v>
      </c>
      <c r="E2326" s="10" t="s">
        <v>2467</v>
      </c>
      <c r="F2326" s="6" t="s">
        <v>5174</v>
      </c>
      <c r="G2326" s="6" t="s">
        <v>5845</v>
      </c>
      <c r="H2326" s="6" t="s">
        <v>8014</v>
      </c>
      <c r="I2326" s="6" t="s">
        <v>9188</v>
      </c>
      <c r="J2326" s="6" t="s">
        <v>9666</v>
      </c>
      <c r="K2326" s="6" t="s">
        <v>10886</v>
      </c>
      <c r="L2326" s="16" t="n">
        <v>41792</v>
      </c>
      <c r="M2326" s="18" t="s">
        <v>81</v>
      </c>
      <c r="N2326" s="6" t="s">
        <v>10886</v>
      </c>
      <c r="O2326" s="16" t="n">
        <v>41792</v>
      </c>
      <c r="P2326" s="6" t="s">
        <v>12201</v>
      </c>
      <c r="Q2326" s="6" t="s">
        <v>81</v>
      </c>
      <c r="R2326" s="6" t="s">
        <v>81</v>
      </c>
      <c r="S2326" s="6" t="s">
        <v>10886</v>
      </c>
      <c r="T2326" s="16" t="n">
        <v>41792</v>
      </c>
      <c r="U2326" s="6" t="s">
        <v>13853</v>
      </c>
      <c r="V2326" s="6" t="s">
        <v>81</v>
      </c>
      <c r="W2326" s="6" t="s">
        <v>81</v>
      </c>
      <c r="X2326" s="6" t="s">
        <v>81</v>
      </c>
      <c r="Y2326" s="21" t="s">
        <v>81</v>
      </c>
      <c r="Z2326" s="6" t="s">
        <v>81</v>
      </c>
      <c r="AA2326" s="6" t="s">
        <v>81</v>
      </c>
      <c r="AB2326" s="6" t="s">
        <v>81</v>
      </c>
      <c r="AC2326" s="6" t="s">
        <v>81</v>
      </c>
      <c r="AD2326" s="21" t="s">
        <v>81</v>
      </c>
      <c r="AE2326" s="6" t="s">
        <v>81</v>
      </c>
      <c r="AF2326" s="6" t="s">
        <v>81</v>
      </c>
      <c r="AG2326" s="6" t="s">
        <v>81</v>
      </c>
      <c r="AH2326" s="6" t="s">
        <v>16869</v>
      </c>
      <c r="AI2326" s="6" t="s">
        <v>81</v>
      </c>
      <c r="AJ2326" s="6" t="s">
        <v>17315</v>
      </c>
      <c r="AK2326" s="6" t="s">
        <v>18379</v>
      </c>
      <c r="AL2326" s="6" t="s">
        <v>18444</v>
      </c>
      <c r="AM2326" s="6" t="s">
        <v>18467</v>
      </c>
      <c r="AN2326" s="6" t="s">
        <v>19637</v>
      </c>
      <c r="AO2326" s="6" t="s">
        <v>19723</v>
      </c>
      <c r="AP2326" s="6" t="s">
        <v>81</v>
      </c>
      <c r="AQ2326" s="6" t="s">
        <v>81</v>
      </c>
      <c r="AR2326" s="6" t="s">
        <v>81</v>
      </c>
      <c r="AS2326" s="6" t="s">
        <v>81</v>
      </c>
      <c r="AT2326" s="6" t="s">
        <v>81</v>
      </c>
      <c r="AU2326" s="6" t="s">
        <v>81</v>
      </c>
      <c r="AV2326" s="6" t="s">
        <v>81</v>
      </c>
      <c r="AW2326" s="6" t="s">
        <v>81</v>
      </c>
      <c r="AX2326" s="6" t="s">
        <v>81</v>
      </c>
      <c r="AY2326" s="6" t="s">
        <v>81</v>
      </c>
      <c r="AZ2326" s="6" t="s">
        <v>81</v>
      </c>
      <c r="BA2326" s="6" t="s">
        <v>81</v>
      </c>
      <c r="BB2326" s="24" t="n">
        <v>89</v>
      </c>
      <c r="BC2326" s="26"/>
      <c r="BD2326" s="26"/>
      <c r="BE2326" s="26"/>
      <c r="BF2326" s="26"/>
      <c r="BG2326" s="26"/>
      <c r="BH2326" s="26"/>
      <c r="BI2326" s="26"/>
      <c r="BJ2326" s="26"/>
      <c r="BK2326" s="26"/>
      <c r="BL2326" s="26"/>
      <c r="BM2326" s="26"/>
      <c r="BN2326" s="26"/>
      <c r="BO2326" s="26"/>
      <c r="BP2326" s="16" t="n">
        <v>45292</v>
      </c>
      <c r="BQ2326" s="28" t="str">
        <f>HYPERLINK("https://organic.ams.usda.gov/Integrity/Certificate.aspx?cid=45&amp;nopid=9950007528")</f>
        <v>https://organic.ams.usda.gov/Integrity/Certificate.aspx?cid=45&amp;nopid=9950007528</v>
      </c>
    </row>
    <row r="2327">
      <c r="A2327" t="s">
        <v>3</v>
      </c>
      <c r="B2327" s="6" t="s">
        <v>7</v>
      </c>
      <c r="C2327" s="6" t="s">
        <v>54</v>
      </c>
      <c r="D2327" s="6" t="s">
        <v>100</v>
      </c>
      <c r="E2327" s="10" t="s">
        <v>2468</v>
      </c>
      <c r="F2327" s="6" t="s">
        <v>5175</v>
      </c>
      <c r="G2327" s="6" t="s">
        <v>81</v>
      </c>
      <c r="H2327" s="6" t="s">
        <v>8015</v>
      </c>
      <c r="I2327" s="6" t="s">
        <v>9500</v>
      </c>
      <c r="J2327" s="6" t="s">
        <v>10704</v>
      </c>
      <c r="K2327" s="6" t="s">
        <v>10886</v>
      </c>
      <c r="L2327" s="16" t="n">
        <v>42531</v>
      </c>
      <c r="M2327" s="16" t="n">
        <v>45716</v>
      </c>
      <c r="N2327" s="6" t="s">
        <v>10886</v>
      </c>
      <c r="O2327" s="16" t="n">
        <v>42531</v>
      </c>
      <c r="P2327" s="6" t="s">
        <v>10910</v>
      </c>
      <c r="Q2327" s="6" t="s">
        <v>81</v>
      </c>
      <c r="R2327" s="6" t="s">
        <v>81</v>
      </c>
      <c r="S2327" s="6" t="s">
        <v>10886</v>
      </c>
      <c r="T2327" s="16" t="n">
        <v>42531</v>
      </c>
      <c r="U2327" s="6" t="s">
        <v>13175</v>
      </c>
      <c r="V2327" s="6" t="s">
        <v>81</v>
      </c>
      <c r="W2327" s="6" t="s">
        <v>81</v>
      </c>
      <c r="X2327" s="6" t="s">
        <v>81</v>
      </c>
      <c r="Y2327" s="21" t="s">
        <v>81</v>
      </c>
      <c r="Z2327" s="6" t="s">
        <v>81</v>
      </c>
      <c r="AA2327" s="6" t="s">
        <v>81</v>
      </c>
      <c r="AB2327" s="6" t="s">
        <v>81</v>
      </c>
      <c r="AC2327" s="6" t="s">
        <v>81</v>
      </c>
      <c r="AD2327" s="21" t="s">
        <v>81</v>
      </c>
      <c r="AE2327" s="6" t="s">
        <v>81</v>
      </c>
      <c r="AF2327" s="6" t="s">
        <v>81</v>
      </c>
      <c r="AG2327" s="6" t="s">
        <v>81</v>
      </c>
      <c r="AH2327" s="6" t="s">
        <v>16870</v>
      </c>
      <c r="AI2327" s="6" t="s">
        <v>81</v>
      </c>
      <c r="AJ2327" s="6" t="s">
        <v>17453</v>
      </c>
      <c r="AK2327" s="6" t="s">
        <v>17712</v>
      </c>
      <c r="AL2327" s="6" t="s">
        <v>18444</v>
      </c>
      <c r="AM2327" s="6" t="s">
        <v>18612</v>
      </c>
      <c r="AN2327" s="6" t="s">
        <v>19670</v>
      </c>
      <c r="AO2327" s="6" t="s">
        <v>19782</v>
      </c>
      <c r="AP2327" s="6" t="s">
        <v>20414</v>
      </c>
      <c r="AQ2327" s="6" t="s">
        <v>81</v>
      </c>
      <c r="AR2327" s="6" t="s">
        <v>17971</v>
      </c>
      <c r="AS2327" s="6" t="s">
        <v>17712</v>
      </c>
      <c r="AT2327" s="6" t="s">
        <v>18444</v>
      </c>
      <c r="AU2327" s="6" t="s">
        <v>19158</v>
      </c>
      <c r="AV2327" s="6" t="s">
        <v>81</v>
      </c>
      <c r="AW2327" s="6" t="s">
        <v>81</v>
      </c>
      <c r="AX2327" s="6" t="s">
        <v>22264</v>
      </c>
      <c r="AY2327" s="6" t="s">
        <v>81</v>
      </c>
      <c r="AZ2327" s="6" t="s">
        <v>81</v>
      </c>
      <c r="BA2327" s="6" t="s">
        <v>81</v>
      </c>
      <c r="BB2327" s="24" t="n">
        <v>670</v>
      </c>
      <c r="BC2327" s="26"/>
      <c r="BD2327" s="26"/>
      <c r="BE2327" s="26"/>
      <c r="BF2327" s="26" t="s">
        <v>23900</v>
      </c>
      <c r="BG2327" s="26"/>
      <c r="BH2327" s="26"/>
      <c r="BI2327" s="26"/>
      <c r="BJ2327" s="26"/>
      <c r="BK2327" s="26"/>
      <c r="BL2327" s="26"/>
      <c r="BM2327" s="26"/>
      <c r="BN2327" s="26"/>
      <c r="BO2327" s="26"/>
      <c r="BP2327" s="16" t="n">
        <v>45595</v>
      </c>
      <c r="BQ2327" s="28" t="str">
        <f>HYPERLINK("https://organic.ams.usda.gov/Integrity/Certificate.aspx?cid=57&amp;nopid=3252016091")</f>
        <v>https://organic.ams.usda.gov/Integrity/Certificate.aspx?cid=57&amp;nopid=3252016091</v>
      </c>
    </row>
    <row r="2328">
      <c r="A2328" t="s">
        <v>3</v>
      </c>
      <c r="B2328" s="6" t="s">
        <v>13</v>
      </c>
      <c r="C2328" s="6" t="s">
        <v>60</v>
      </c>
      <c r="D2328" s="6" t="s">
        <v>106</v>
      </c>
      <c r="E2328" s="10" t="s">
        <v>2469</v>
      </c>
      <c r="F2328" s="6" t="s">
        <v>5176</v>
      </c>
      <c r="G2328" s="6" t="s">
        <v>81</v>
      </c>
      <c r="H2328" s="6" t="s">
        <v>8016</v>
      </c>
      <c r="I2328" s="6" t="s">
        <v>8937</v>
      </c>
      <c r="J2328" s="6" t="s">
        <v>9728</v>
      </c>
      <c r="K2328" s="6" t="s">
        <v>10886</v>
      </c>
      <c r="L2328" s="16" t="n">
        <v>44281</v>
      </c>
      <c r="M2328" s="16" t="n">
        <v>45839</v>
      </c>
      <c r="N2328" s="6" t="s">
        <v>10886</v>
      </c>
      <c r="O2328" s="16" t="n">
        <v>44281</v>
      </c>
      <c r="P2328" s="6" t="s">
        <v>12202</v>
      </c>
      <c r="Q2328" s="6" t="s">
        <v>81</v>
      </c>
      <c r="R2328" s="6" t="s">
        <v>13065</v>
      </c>
      <c r="S2328" s="6" t="s">
        <v>10886</v>
      </c>
      <c r="T2328" s="16" t="n">
        <v>44281</v>
      </c>
      <c r="U2328" s="6" t="s">
        <v>13220</v>
      </c>
      <c r="V2328" s="6" t="s">
        <v>81</v>
      </c>
      <c r="W2328" s="6" t="s">
        <v>13065</v>
      </c>
      <c r="X2328" s="6" t="s">
        <v>81</v>
      </c>
      <c r="Y2328" s="21" t="s">
        <v>81</v>
      </c>
      <c r="Z2328" s="6" t="s">
        <v>81</v>
      </c>
      <c r="AA2328" s="6" t="s">
        <v>81</v>
      </c>
      <c r="AB2328" s="6" t="s">
        <v>81</v>
      </c>
      <c r="AC2328" s="6" t="s">
        <v>81</v>
      </c>
      <c r="AD2328" s="21" t="s">
        <v>81</v>
      </c>
      <c r="AE2328" s="6" t="s">
        <v>81</v>
      </c>
      <c r="AF2328" s="6" t="s">
        <v>81</v>
      </c>
      <c r="AG2328" s="6" t="s">
        <v>81</v>
      </c>
      <c r="AH2328" s="6" t="s">
        <v>16871</v>
      </c>
      <c r="AI2328" s="6" t="s">
        <v>81</v>
      </c>
      <c r="AJ2328" s="6" t="s">
        <v>17391</v>
      </c>
      <c r="AK2328" s="6" t="s">
        <v>18379</v>
      </c>
      <c r="AL2328" s="6" t="s">
        <v>18444</v>
      </c>
      <c r="AM2328" s="6" t="s">
        <v>18467</v>
      </c>
      <c r="AN2328" s="6" t="s">
        <v>19637</v>
      </c>
      <c r="AO2328" s="6" t="s">
        <v>19723</v>
      </c>
      <c r="AP2328" s="6" t="s">
        <v>16871</v>
      </c>
      <c r="AQ2328" s="6" t="s">
        <v>81</v>
      </c>
      <c r="AR2328" s="6" t="s">
        <v>17391</v>
      </c>
      <c r="AS2328" s="6" t="s">
        <v>18379</v>
      </c>
      <c r="AT2328" s="6" t="s">
        <v>18444</v>
      </c>
      <c r="AU2328" s="6" t="s">
        <v>18467</v>
      </c>
      <c r="AV2328" s="6" t="s">
        <v>81</v>
      </c>
      <c r="AW2328" s="6" t="s">
        <v>81</v>
      </c>
      <c r="AX2328" s="6" t="s">
        <v>22265</v>
      </c>
      <c r="AY2328" s="6" t="s">
        <v>81</v>
      </c>
      <c r="AZ2328" s="6" t="s">
        <v>81</v>
      </c>
      <c r="BA2328" s="6" t="s">
        <v>81</v>
      </c>
      <c r="BB2328" s="24" t="n">
        <v>76</v>
      </c>
      <c r="BC2328" s="26"/>
      <c r="BD2328" s="26"/>
      <c r="BE2328" s="26"/>
      <c r="BF2328" s="26" t="s">
        <v>23900</v>
      </c>
      <c r="BG2328" s="26"/>
      <c r="BH2328" s="26"/>
      <c r="BI2328" s="26"/>
      <c r="BJ2328" s="26"/>
      <c r="BK2328" s="26"/>
      <c r="BL2328" s="26"/>
      <c r="BM2328" s="26"/>
      <c r="BN2328" s="26"/>
      <c r="BO2328" s="26"/>
      <c r="BP2328" s="16" t="n">
        <v>45663</v>
      </c>
      <c r="BQ2328" s="28" t="str">
        <f>HYPERLINK("https://organic.ams.usda.gov/Integrity/Certificate.aspx?cid=72&amp;nopid=5878390649")</f>
        <v>https://organic.ams.usda.gov/Integrity/Certificate.aspx?cid=72&amp;nopid=5878390649</v>
      </c>
    </row>
    <row r="2329">
      <c r="A2329" t="s">
        <v>3</v>
      </c>
      <c r="B2329" s="6" t="s">
        <v>21</v>
      </c>
      <c r="C2329" s="6" t="s">
        <v>68</v>
      </c>
      <c r="D2329" s="6" t="s">
        <v>114</v>
      </c>
      <c r="E2329" s="10" t="s">
        <v>2470</v>
      </c>
      <c r="F2329" s="6" t="s">
        <v>5177</v>
      </c>
      <c r="G2329" s="6" t="s">
        <v>81</v>
      </c>
      <c r="H2329" s="6" t="s">
        <v>8017</v>
      </c>
      <c r="I2329" s="6" t="s">
        <v>8693</v>
      </c>
      <c r="J2329" s="6" t="s">
        <v>9749</v>
      </c>
      <c r="K2329" s="6" t="s">
        <v>10886</v>
      </c>
      <c r="L2329" s="16" t="n">
        <v>44677</v>
      </c>
      <c r="M2329" s="16" t="n">
        <v>46023</v>
      </c>
      <c r="N2329" s="6" t="s">
        <v>81</v>
      </c>
      <c r="O2329" s="21" t="s">
        <v>81</v>
      </c>
      <c r="P2329" s="6" t="s">
        <v>81</v>
      </c>
      <c r="Q2329" s="6" t="s">
        <v>81</v>
      </c>
      <c r="R2329" s="6" t="s">
        <v>81</v>
      </c>
      <c r="S2329" s="6" t="s">
        <v>81</v>
      </c>
      <c r="T2329" s="21" t="s">
        <v>81</v>
      </c>
      <c r="U2329" s="6" t="s">
        <v>81</v>
      </c>
      <c r="V2329" s="6" t="s">
        <v>81</v>
      </c>
      <c r="W2329" s="6" t="s">
        <v>81</v>
      </c>
      <c r="X2329" s="6" t="s">
        <v>81</v>
      </c>
      <c r="Y2329" s="21" t="s">
        <v>81</v>
      </c>
      <c r="Z2329" s="6" t="s">
        <v>81</v>
      </c>
      <c r="AA2329" s="6" t="s">
        <v>81</v>
      </c>
      <c r="AB2329" s="6" t="s">
        <v>81</v>
      </c>
      <c r="AC2329" s="6" t="s">
        <v>10886</v>
      </c>
      <c r="AD2329" s="16" t="n">
        <v>44677</v>
      </c>
      <c r="AE2329" s="6" t="s">
        <v>14411</v>
      </c>
      <c r="AF2329" s="6" t="s">
        <v>81</v>
      </c>
      <c r="AG2329" s="6" t="s">
        <v>81</v>
      </c>
      <c r="AH2329" s="6" t="s">
        <v>81</v>
      </c>
      <c r="AI2329" s="6" t="s">
        <v>81</v>
      </c>
      <c r="AJ2329" s="6" t="s">
        <v>81</v>
      </c>
      <c r="AK2329" s="6" t="s">
        <v>81</v>
      </c>
      <c r="AL2329" s="6" t="s">
        <v>81</v>
      </c>
      <c r="AM2329" s="6" t="s">
        <v>81</v>
      </c>
      <c r="AN2329" s="6" t="s">
        <v>81</v>
      </c>
      <c r="AO2329" s="6" t="s">
        <v>81</v>
      </c>
      <c r="AP2329" s="6" t="s">
        <v>20415</v>
      </c>
      <c r="AQ2329" s="6" t="s">
        <v>81</v>
      </c>
      <c r="AR2329" s="6" t="s">
        <v>20576</v>
      </c>
      <c r="AS2329" s="6" t="s">
        <v>18380</v>
      </c>
      <c r="AT2329" s="6" t="s">
        <v>18444</v>
      </c>
      <c r="AU2329" s="6" t="s">
        <v>20699</v>
      </c>
      <c r="AV2329" s="6" t="s">
        <v>19653</v>
      </c>
      <c r="AW2329" s="6" t="s">
        <v>20740</v>
      </c>
      <c r="AX2329" s="6" t="s">
        <v>22266</v>
      </c>
      <c r="AY2329" s="6" t="s">
        <v>23375</v>
      </c>
      <c r="AZ2329" s="6" t="s">
        <v>81</v>
      </c>
      <c r="BA2329" s="6" t="s">
        <v>81</v>
      </c>
      <c r="BB2329" s="6" t="s">
        <v>81</v>
      </c>
      <c r="BC2329" s="26"/>
      <c r="BD2329" s="26"/>
      <c r="BE2329" s="26"/>
      <c r="BF2329" s="26"/>
      <c r="BG2329" s="26"/>
      <c r="BH2329" s="26"/>
      <c r="BI2329" s="26"/>
      <c r="BJ2329" s="26"/>
      <c r="BK2329" s="26"/>
      <c r="BL2329" s="26"/>
      <c r="BM2329" s="26"/>
      <c r="BN2329" s="26"/>
      <c r="BO2329" s="26"/>
      <c r="BP2329" s="16" t="n">
        <v>45692</v>
      </c>
      <c r="BQ2329" s="28" t="str">
        <f>HYPERLINK("https://organic.ams.usda.gov/Integrity/Certificate.aspx?cid=62&amp;nopid=8150019050")</f>
        <v>https://organic.ams.usda.gov/Integrity/Certificate.aspx?cid=62&amp;nopid=8150019050</v>
      </c>
    </row>
    <row r="2330">
      <c r="A2330" t="s">
        <v>3</v>
      </c>
      <c r="B2330" s="6" t="s">
        <v>35</v>
      </c>
      <c r="C2330" s="6" t="s">
        <v>82</v>
      </c>
      <c r="D2330" s="6" t="s">
        <v>127</v>
      </c>
      <c r="E2330" s="10" t="s">
        <v>2471</v>
      </c>
      <c r="F2330" s="6" t="s">
        <v>5178</v>
      </c>
      <c r="G2330" s="6" t="s">
        <v>81</v>
      </c>
      <c r="H2330" s="6" t="s">
        <v>8018</v>
      </c>
      <c r="I2330" s="6" t="s">
        <v>8591</v>
      </c>
      <c r="J2330" s="6" t="s">
        <v>10705</v>
      </c>
      <c r="K2330" s="6" t="s">
        <v>10886</v>
      </c>
      <c r="L2330" s="16" t="n">
        <v>39241</v>
      </c>
      <c r="M2330" s="16" t="n">
        <v>45762</v>
      </c>
      <c r="N2330" s="6" t="s">
        <v>10886</v>
      </c>
      <c r="O2330" s="16" t="n">
        <v>39241</v>
      </c>
      <c r="P2330" s="6" t="s">
        <v>12053</v>
      </c>
      <c r="Q2330" s="6" t="s">
        <v>81</v>
      </c>
      <c r="R2330" s="6" t="s">
        <v>13066</v>
      </c>
      <c r="S2330" s="6" t="s">
        <v>10886</v>
      </c>
      <c r="T2330" s="16" t="n">
        <v>39241</v>
      </c>
      <c r="U2330" s="6" t="s">
        <v>13320</v>
      </c>
      <c r="V2330" s="6" t="s">
        <v>81</v>
      </c>
      <c r="W2330" s="6" t="s">
        <v>13066</v>
      </c>
      <c r="X2330" s="6" t="s">
        <v>81</v>
      </c>
      <c r="Y2330" s="21" t="s">
        <v>81</v>
      </c>
      <c r="Z2330" s="6" t="s">
        <v>81</v>
      </c>
      <c r="AA2330" s="6" t="s">
        <v>81</v>
      </c>
      <c r="AB2330" s="6" t="s">
        <v>81</v>
      </c>
      <c r="AC2330" s="6" t="s">
        <v>81</v>
      </c>
      <c r="AD2330" s="21" t="s">
        <v>81</v>
      </c>
      <c r="AE2330" s="6" t="s">
        <v>81</v>
      </c>
      <c r="AF2330" s="6" t="s">
        <v>81</v>
      </c>
      <c r="AG2330" s="6" t="s">
        <v>81</v>
      </c>
      <c r="AH2330" s="6" t="s">
        <v>16872</v>
      </c>
      <c r="AI2330" s="6" t="s">
        <v>81</v>
      </c>
      <c r="AJ2330" s="6" t="s">
        <v>18268</v>
      </c>
      <c r="AK2330" s="6" t="s">
        <v>18405</v>
      </c>
      <c r="AL2330" s="6" t="s">
        <v>18444</v>
      </c>
      <c r="AM2330" s="6" t="s">
        <v>19492</v>
      </c>
      <c r="AN2330" s="6" t="s">
        <v>19696</v>
      </c>
      <c r="AO2330" s="6" t="s">
        <v>19805</v>
      </c>
      <c r="AP2330" s="6" t="s">
        <v>16872</v>
      </c>
      <c r="AQ2330" s="6" t="s">
        <v>81</v>
      </c>
      <c r="AR2330" s="6" t="s">
        <v>18268</v>
      </c>
      <c r="AS2330" s="6" t="s">
        <v>18405</v>
      </c>
      <c r="AT2330" s="6" t="s">
        <v>18444</v>
      </c>
      <c r="AU2330" s="6" t="s">
        <v>19492</v>
      </c>
      <c r="AV2330" s="6" t="s">
        <v>81</v>
      </c>
      <c r="AW2330" s="6" t="s">
        <v>81</v>
      </c>
      <c r="AX2330" s="6" t="s">
        <v>22267</v>
      </c>
      <c r="AY2330" s="6" t="s">
        <v>23376</v>
      </c>
      <c r="AZ2330" s="6" t="s">
        <v>81</v>
      </c>
      <c r="BA2330" s="6" t="s">
        <v>81</v>
      </c>
      <c r="BB2330" s="24" t="n">
        <v>642</v>
      </c>
      <c r="BC2330" s="26"/>
      <c r="BD2330" s="26"/>
      <c r="BE2330" s="26"/>
      <c r="BF2330" s="26"/>
      <c r="BG2330" s="26"/>
      <c r="BH2330" s="26"/>
      <c r="BI2330" s="26"/>
      <c r="BJ2330" s="26"/>
      <c r="BK2330" s="26"/>
      <c r="BL2330" s="26"/>
      <c r="BM2330" s="26"/>
      <c r="BN2330" s="26"/>
      <c r="BO2330" s="26"/>
      <c r="BP2330" s="16" t="n">
        <v>45694</v>
      </c>
      <c r="BQ2330" s="28" t="str">
        <f>HYPERLINK("https://organic.ams.usda.gov/Integrity/Certificate.aspx?cid=47&amp;nopid=7142073846")</f>
        <v>https://organic.ams.usda.gov/Integrity/Certificate.aspx?cid=47&amp;nopid=7142073846</v>
      </c>
    </row>
    <row r="2331">
      <c r="A2331" t="s">
        <v>3</v>
      </c>
      <c r="B2331" s="6" t="s">
        <v>13</v>
      </c>
      <c r="C2331" s="6" t="s">
        <v>60</v>
      </c>
      <c r="D2331" s="6" t="s">
        <v>106</v>
      </c>
      <c r="E2331" s="10" t="s">
        <v>2472</v>
      </c>
      <c r="F2331" s="6" t="s">
        <v>5179</v>
      </c>
      <c r="G2331" s="6" t="s">
        <v>81</v>
      </c>
      <c r="H2331" s="6" t="s">
        <v>8019</v>
      </c>
      <c r="I2331" s="6" t="s">
        <v>9501</v>
      </c>
      <c r="J2331" s="6" t="s">
        <v>10706</v>
      </c>
      <c r="K2331" s="6" t="s">
        <v>10886</v>
      </c>
      <c r="L2331" s="16" t="n">
        <v>45363</v>
      </c>
      <c r="M2331" s="16" t="n">
        <v>46024</v>
      </c>
      <c r="N2331" s="6" t="s">
        <v>81</v>
      </c>
      <c r="O2331" s="21" t="s">
        <v>81</v>
      </c>
      <c r="P2331" s="6" t="s">
        <v>81</v>
      </c>
      <c r="Q2331" s="6" t="s">
        <v>81</v>
      </c>
      <c r="R2331" s="6" t="s">
        <v>81</v>
      </c>
      <c r="S2331" s="6" t="s">
        <v>81</v>
      </c>
      <c r="T2331" s="21" t="s">
        <v>81</v>
      </c>
      <c r="U2331" s="6" t="s">
        <v>81</v>
      </c>
      <c r="V2331" s="6" t="s">
        <v>81</v>
      </c>
      <c r="W2331" s="6" t="s">
        <v>81</v>
      </c>
      <c r="X2331" s="6" t="s">
        <v>81</v>
      </c>
      <c r="Y2331" s="21" t="s">
        <v>81</v>
      </c>
      <c r="Z2331" s="6" t="s">
        <v>81</v>
      </c>
      <c r="AA2331" s="6" t="s">
        <v>81</v>
      </c>
      <c r="AB2331" s="6" t="s">
        <v>81</v>
      </c>
      <c r="AC2331" s="6" t="s">
        <v>10886</v>
      </c>
      <c r="AD2331" s="16" t="n">
        <v>45363</v>
      </c>
      <c r="AE2331" s="6" t="s">
        <v>14412</v>
      </c>
      <c r="AF2331" s="6" t="s">
        <v>81</v>
      </c>
      <c r="AG2331" s="6" t="s">
        <v>14592</v>
      </c>
      <c r="AH2331" s="6" t="s">
        <v>16873</v>
      </c>
      <c r="AI2331" s="6" t="s">
        <v>17303</v>
      </c>
      <c r="AJ2331" s="6" t="s">
        <v>17370</v>
      </c>
      <c r="AK2331" s="6" t="s">
        <v>18389</v>
      </c>
      <c r="AL2331" s="6" t="s">
        <v>18444</v>
      </c>
      <c r="AM2331" s="6" t="s">
        <v>19493</v>
      </c>
      <c r="AN2331" s="6" t="s">
        <v>81</v>
      </c>
      <c r="AO2331" s="6" t="s">
        <v>81</v>
      </c>
      <c r="AP2331" s="6" t="s">
        <v>20416</v>
      </c>
      <c r="AQ2331" s="6" t="s">
        <v>81</v>
      </c>
      <c r="AR2331" s="6" t="s">
        <v>17370</v>
      </c>
      <c r="AS2331" s="6" t="s">
        <v>18389</v>
      </c>
      <c r="AT2331" s="6" t="s">
        <v>18444</v>
      </c>
      <c r="AU2331" s="6" t="s">
        <v>20700</v>
      </c>
      <c r="AV2331" s="6" t="s">
        <v>81</v>
      </c>
      <c r="AW2331" s="6" t="s">
        <v>81</v>
      </c>
      <c r="AX2331" s="6" t="s">
        <v>22268</v>
      </c>
      <c r="AY2331" s="6" t="s">
        <v>23377</v>
      </c>
      <c r="AZ2331" s="6" t="s">
        <v>23769</v>
      </c>
      <c r="BA2331" s="6" t="s">
        <v>81</v>
      </c>
      <c r="BB2331" s="6" t="s">
        <v>81</v>
      </c>
      <c r="BC2331" s="26"/>
      <c r="BD2331" s="26"/>
      <c r="BE2331" s="26"/>
      <c r="BF2331" s="26"/>
      <c r="BG2331" s="26" t="s">
        <v>23900</v>
      </c>
      <c r="BH2331" s="26"/>
      <c r="BI2331" s="26"/>
      <c r="BJ2331" s="26"/>
      <c r="BK2331" s="26"/>
      <c r="BL2331" s="26"/>
      <c r="BM2331" s="26"/>
      <c r="BN2331" s="26" t="s">
        <v>23900</v>
      </c>
      <c r="BO2331" s="26"/>
      <c r="BP2331" s="16" t="n">
        <v>45663</v>
      </c>
      <c r="BQ2331" s="28" t="str">
        <f>HYPERLINK("https://organic.ams.usda.gov/Integrity/Certificate.aspx?cid=72&amp;nopid=5870107033")</f>
        <v>https://organic.ams.usda.gov/Integrity/Certificate.aspx?cid=72&amp;nopid=5870107033</v>
      </c>
    </row>
    <row r="2332">
      <c r="A2332" t="s">
        <v>3</v>
      </c>
      <c r="B2332" s="6" t="s">
        <v>25</v>
      </c>
      <c r="C2332" s="6" t="s">
        <v>72</v>
      </c>
      <c r="D2332" s="6" t="s">
        <v>118</v>
      </c>
      <c r="E2332" s="10" t="s">
        <v>2473</v>
      </c>
      <c r="F2332" s="6" t="s">
        <v>5180</v>
      </c>
      <c r="G2332" s="6" t="s">
        <v>81</v>
      </c>
      <c r="H2332" s="6" t="s">
        <v>8020</v>
      </c>
      <c r="I2332" s="6" t="s">
        <v>9502</v>
      </c>
      <c r="J2332" s="6" t="s">
        <v>10707</v>
      </c>
      <c r="K2332" s="6" t="s">
        <v>10886</v>
      </c>
      <c r="L2332" s="16" t="n">
        <v>38887</v>
      </c>
      <c r="M2332" s="16" t="n">
        <v>46023</v>
      </c>
      <c r="N2332" s="6" t="s">
        <v>10886</v>
      </c>
      <c r="O2332" s="16" t="n">
        <v>38887</v>
      </c>
      <c r="P2332" s="6" t="s">
        <v>12203</v>
      </c>
      <c r="Q2332" s="6" t="s">
        <v>81</v>
      </c>
      <c r="R2332" s="6" t="s">
        <v>81</v>
      </c>
      <c r="S2332" s="6" t="s">
        <v>10886</v>
      </c>
      <c r="T2332" s="16" t="n">
        <v>38887</v>
      </c>
      <c r="U2332" s="6" t="s">
        <v>13854</v>
      </c>
      <c r="V2332" s="6" t="s">
        <v>81</v>
      </c>
      <c r="W2332" s="6" t="s">
        <v>81</v>
      </c>
      <c r="X2332" s="6" t="s">
        <v>81</v>
      </c>
      <c r="Y2332" s="21" t="s">
        <v>81</v>
      </c>
      <c r="Z2332" s="6" t="s">
        <v>81</v>
      </c>
      <c r="AA2332" s="6" t="s">
        <v>81</v>
      </c>
      <c r="AB2332" s="6" t="s">
        <v>81</v>
      </c>
      <c r="AC2332" s="6" t="s">
        <v>10886</v>
      </c>
      <c r="AD2332" s="16" t="n">
        <v>44733</v>
      </c>
      <c r="AE2332" s="6" t="s">
        <v>14413</v>
      </c>
      <c r="AF2332" s="6" t="s">
        <v>81</v>
      </c>
      <c r="AG2332" s="6" t="s">
        <v>81</v>
      </c>
      <c r="AH2332" s="6" t="s">
        <v>16874</v>
      </c>
      <c r="AI2332" s="6" t="s">
        <v>81</v>
      </c>
      <c r="AJ2332" s="6" t="s">
        <v>17506</v>
      </c>
      <c r="AK2332" s="6" t="s">
        <v>18386</v>
      </c>
      <c r="AL2332" s="6" t="s">
        <v>18444</v>
      </c>
      <c r="AM2332" s="6" t="s">
        <v>18667</v>
      </c>
      <c r="AN2332" s="6" t="s">
        <v>19651</v>
      </c>
      <c r="AO2332" s="6" t="s">
        <v>19864</v>
      </c>
      <c r="AP2332" s="6" t="s">
        <v>16874</v>
      </c>
      <c r="AQ2332" s="6" t="s">
        <v>81</v>
      </c>
      <c r="AR2332" s="6" t="s">
        <v>17506</v>
      </c>
      <c r="AS2332" s="6" t="s">
        <v>18386</v>
      </c>
      <c r="AT2332" s="6" t="s">
        <v>18444</v>
      </c>
      <c r="AU2332" s="6" t="s">
        <v>18667</v>
      </c>
      <c r="AV2332" s="6" t="s">
        <v>81</v>
      </c>
      <c r="AW2332" s="6" t="s">
        <v>81</v>
      </c>
      <c r="AX2332" s="6" t="s">
        <v>22269</v>
      </c>
      <c r="AY2332" s="6" t="s">
        <v>23378</v>
      </c>
      <c r="AZ2332" s="6" t="s">
        <v>81</v>
      </c>
      <c r="BA2332" s="6" t="s">
        <v>81</v>
      </c>
      <c r="BB2332" s="24" t="n">
        <v>246</v>
      </c>
      <c r="BC2332" s="26"/>
      <c r="BD2332" s="26"/>
      <c r="BE2332" s="26"/>
      <c r="BF2332" s="26"/>
      <c r="BG2332" s="26"/>
      <c r="BH2332" s="26"/>
      <c r="BI2332" s="26"/>
      <c r="BJ2332" s="26"/>
      <c r="BK2332" s="26"/>
      <c r="BL2332" s="26"/>
      <c r="BM2332" s="26"/>
      <c r="BN2332" s="26"/>
      <c r="BO2332" s="26"/>
      <c r="BP2332" s="16" t="n">
        <v>45667</v>
      </c>
      <c r="BQ2332" s="28" t="str">
        <f>HYPERLINK("https://organic.ams.usda.gov/Integrity/Certificate.aspx?cid=15&amp;nopid=5561000993")</f>
        <v>https://organic.ams.usda.gov/Integrity/Certificate.aspx?cid=15&amp;nopid=5561000993</v>
      </c>
    </row>
    <row r="2333">
      <c r="A2333" t="s">
        <v>3</v>
      </c>
      <c r="B2333" s="6" t="s">
        <v>35</v>
      </c>
      <c r="C2333" s="6" t="s">
        <v>82</v>
      </c>
      <c r="D2333" s="6" t="s">
        <v>127</v>
      </c>
      <c r="E2333" s="10" t="s">
        <v>2474</v>
      </c>
      <c r="F2333" s="6" t="s">
        <v>5181</v>
      </c>
      <c r="G2333" s="6" t="s">
        <v>81</v>
      </c>
      <c r="H2333" s="6" t="s">
        <v>8021</v>
      </c>
      <c r="I2333" s="6" t="s">
        <v>8787</v>
      </c>
      <c r="J2333" s="6" t="s">
        <v>10708</v>
      </c>
      <c r="K2333" s="6" t="s">
        <v>10886</v>
      </c>
      <c r="L2333" s="16" t="n">
        <v>44544</v>
      </c>
      <c r="M2333" s="16" t="n">
        <v>45762</v>
      </c>
      <c r="N2333" s="6" t="s">
        <v>10886</v>
      </c>
      <c r="O2333" s="16" t="n">
        <v>44544</v>
      </c>
      <c r="P2333" s="6" t="s">
        <v>12204</v>
      </c>
      <c r="Q2333" s="6" t="s">
        <v>81</v>
      </c>
      <c r="R2333" s="6" t="s">
        <v>13067</v>
      </c>
      <c r="S2333" s="6" t="s">
        <v>10886</v>
      </c>
      <c r="T2333" s="16" t="n">
        <v>44544</v>
      </c>
      <c r="U2333" s="6" t="s">
        <v>13320</v>
      </c>
      <c r="V2333" s="6" t="s">
        <v>81</v>
      </c>
      <c r="W2333" s="6" t="s">
        <v>13067</v>
      </c>
      <c r="X2333" s="6" t="s">
        <v>81</v>
      </c>
      <c r="Y2333" s="21" t="s">
        <v>81</v>
      </c>
      <c r="Z2333" s="6" t="s">
        <v>81</v>
      </c>
      <c r="AA2333" s="6" t="s">
        <v>81</v>
      </c>
      <c r="AB2333" s="6" t="s">
        <v>81</v>
      </c>
      <c r="AC2333" s="6" t="s">
        <v>81</v>
      </c>
      <c r="AD2333" s="21" t="s">
        <v>81</v>
      </c>
      <c r="AE2333" s="6" t="s">
        <v>81</v>
      </c>
      <c r="AF2333" s="6" t="s">
        <v>81</v>
      </c>
      <c r="AG2333" s="6" t="s">
        <v>81</v>
      </c>
      <c r="AH2333" s="6" t="s">
        <v>16875</v>
      </c>
      <c r="AI2333" s="6" t="s">
        <v>81</v>
      </c>
      <c r="AJ2333" s="6" t="s">
        <v>17926</v>
      </c>
      <c r="AK2333" s="6" t="s">
        <v>18388</v>
      </c>
      <c r="AL2333" s="6" t="s">
        <v>18444</v>
      </c>
      <c r="AM2333" s="6" t="s">
        <v>19494</v>
      </c>
      <c r="AN2333" s="6" t="s">
        <v>19692</v>
      </c>
      <c r="AO2333" s="6" t="s">
        <v>19890</v>
      </c>
      <c r="AP2333" s="6" t="s">
        <v>16875</v>
      </c>
      <c r="AQ2333" s="6" t="s">
        <v>81</v>
      </c>
      <c r="AR2333" s="6" t="s">
        <v>17926</v>
      </c>
      <c r="AS2333" s="6" t="s">
        <v>18388</v>
      </c>
      <c r="AT2333" s="6" t="s">
        <v>18444</v>
      </c>
      <c r="AU2333" s="6" t="s">
        <v>19494</v>
      </c>
      <c r="AV2333" s="6" t="s">
        <v>81</v>
      </c>
      <c r="AW2333" s="6" t="s">
        <v>81</v>
      </c>
      <c r="AX2333" s="6" t="s">
        <v>22270</v>
      </c>
      <c r="AY2333" s="6" t="s">
        <v>23379</v>
      </c>
      <c r="AZ2333" s="6" t="s">
        <v>81</v>
      </c>
      <c r="BA2333" s="6" t="s">
        <v>81</v>
      </c>
      <c r="BB2333" s="24" t="n">
        <v>1318</v>
      </c>
      <c r="BC2333" s="26"/>
      <c r="BD2333" s="26"/>
      <c r="BE2333" s="26"/>
      <c r="BF2333" s="26"/>
      <c r="BG2333" s="26"/>
      <c r="BH2333" s="26"/>
      <c r="BI2333" s="26"/>
      <c r="BJ2333" s="26"/>
      <c r="BK2333" s="26"/>
      <c r="BL2333" s="26"/>
      <c r="BM2333" s="26"/>
      <c r="BN2333" s="26"/>
      <c r="BO2333" s="26"/>
      <c r="BP2333" s="16" t="n">
        <v>45728</v>
      </c>
      <c r="BQ2333" s="28" t="str">
        <f>HYPERLINK("https://organic.ams.usda.gov/Integrity/Certificate.aspx?cid=47&amp;nopid=7142077631")</f>
        <v>https://organic.ams.usda.gov/Integrity/Certificate.aspx?cid=47&amp;nopid=7142077631</v>
      </c>
    </row>
    <row r="2334">
      <c r="A2334" t="s">
        <v>3</v>
      </c>
      <c r="B2334" s="6" t="s">
        <v>29</v>
      </c>
      <c r="C2334" s="6" t="s">
        <v>76</v>
      </c>
      <c r="D2334" s="6" t="s">
        <v>122</v>
      </c>
      <c r="E2334" s="10" t="s">
        <v>2475</v>
      </c>
      <c r="F2334" s="6" t="s">
        <v>5182</v>
      </c>
      <c r="G2334" s="6" t="s">
        <v>81</v>
      </c>
      <c r="H2334" s="6" t="s">
        <v>8022</v>
      </c>
      <c r="I2334" s="6" t="s">
        <v>9503</v>
      </c>
      <c r="J2334" s="6" t="s">
        <v>10709</v>
      </c>
      <c r="K2334" s="6" t="s">
        <v>10886</v>
      </c>
      <c r="L2334" s="16" t="n">
        <v>41118</v>
      </c>
      <c r="M2334" s="16" t="n">
        <v>45870</v>
      </c>
      <c r="N2334" s="6" t="s">
        <v>10886</v>
      </c>
      <c r="O2334" s="16" t="n">
        <v>41118</v>
      </c>
      <c r="P2334" s="6" t="s">
        <v>12205</v>
      </c>
      <c r="Q2334" s="6" t="s">
        <v>81</v>
      </c>
      <c r="R2334" s="6" t="s">
        <v>13068</v>
      </c>
      <c r="S2334" s="6" t="s">
        <v>10886</v>
      </c>
      <c r="T2334" s="16" t="n">
        <v>41118</v>
      </c>
      <c r="U2334" s="6" t="s">
        <v>13212</v>
      </c>
      <c r="V2334" s="6" t="s">
        <v>81</v>
      </c>
      <c r="W2334" s="6" t="s">
        <v>13068</v>
      </c>
      <c r="X2334" s="6" t="s">
        <v>81</v>
      </c>
      <c r="Y2334" s="21" t="s">
        <v>81</v>
      </c>
      <c r="Z2334" s="6" t="s">
        <v>81</v>
      </c>
      <c r="AA2334" s="6" t="s">
        <v>81</v>
      </c>
      <c r="AB2334" s="6" t="s">
        <v>81</v>
      </c>
      <c r="AC2334" s="6" t="s">
        <v>81</v>
      </c>
      <c r="AD2334" s="21" t="s">
        <v>81</v>
      </c>
      <c r="AE2334" s="6" t="s">
        <v>81</v>
      </c>
      <c r="AF2334" s="6" t="s">
        <v>81</v>
      </c>
      <c r="AG2334" s="6" t="s">
        <v>81</v>
      </c>
      <c r="AH2334" s="6" t="s">
        <v>16876</v>
      </c>
      <c r="AI2334" s="6" t="s">
        <v>81</v>
      </c>
      <c r="AJ2334" s="6" t="s">
        <v>17417</v>
      </c>
      <c r="AK2334" s="6" t="s">
        <v>18380</v>
      </c>
      <c r="AL2334" s="6" t="s">
        <v>18444</v>
      </c>
      <c r="AM2334" s="6" t="s">
        <v>18574</v>
      </c>
      <c r="AN2334" s="6" t="s">
        <v>19639</v>
      </c>
      <c r="AO2334" s="6" t="s">
        <v>19725</v>
      </c>
      <c r="AP2334" s="6" t="s">
        <v>81</v>
      </c>
      <c r="AQ2334" s="6" t="s">
        <v>81</v>
      </c>
      <c r="AR2334" s="6" t="s">
        <v>81</v>
      </c>
      <c r="AS2334" s="6" t="s">
        <v>81</v>
      </c>
      <c r="AT2334" s="6" t="s">
        <v>81</v>
      </c>
      <c r="AU2334" s="6" t="s">
        <v>81</v>
      </c>
      <c r="AV2334" s="6" t="s">
        <v>81</v>
      </c>
      <c r="AW2334" s="6" t="s">
        <v>81</v>
      </c>
      <c r="AX2334" s="6" t="s">
        <v>22271</v>
      </c>
      <c r="AY2334" s="6" t="s">
        <v>81</v>
      </c>
      <c r="AZ2334" s="6" t="s">
        <v>81</v>
      </c>
      <c r="BA2334" s="6" t="s">
        <v>81</v>
      </c>
      <c r="BB2334" s="24" t="n">
        <v>82</v>
      </c>
      <c r="BC2334" s="26"/>
      <c r="BD2334" s="26"/>
      <c r="BE2334" s="26"/>
      <c r="BF2334" s="26" t="s">
        <v>23900</v>
      </c>
      <c r="BG2334" s="26"/>
      <c r="BH2334" s="26"/>
      <c r="BI2334" s="26"/>
      <c r="BJ2334" s="26"/>
      <c r="BK2334" s="26"/>
      <c r="BL2334" s="26"/>
      <c r="BM2334" s="26"/>
      <c r="BN2334" s="26"/>
      <c r="BO2334" s="26"/>
      <c r="BP2334" s="16" t="n">
        <v>45737</v>
      </c>
      <c r="BQ2334" s="28" t="str">
        <f>HYPERLINK("https://organic.ams.usda.gov/Integrity/Certificate.aspx?cid=31&amp;nopid=3928971156")</f>
        <v>https://organic.ams.usda.gov/Integrity/Certificate.aspx?cid=31&amp;nopid=3928971156</v>
      </c>
    </row>
    <row r="2335">
      <c r="A2335" t="s">
        <v>3</v>
      </c>
      <c r="B2335" s="6" t="s">
        <v>7</v>
      </c>
      <c r="C2335" s="6" t="s">
        <v>54</v>
      </c>
      <c r="D2335" s="6" t="s">
        <v>100</v>
      </c>
      <c r="E2335" s="10" t="s">
        <v>2476</v>
      </c>
      <c r="F2335" s="6" t="s">
        <v>5183</v>
      </c>
      <c r="G2335" s="6" t="s">
        <v>81</v>
      </c>
      <c r="H2335" s="6" t="s">
        <v>8023</v>
      </c>
      <c r="I2335" s="6" t="s">
        <v>9010</v>
      </c>
      <c r="J2335" s="6" t="s">
        <v>9906</v>
      </c>
      <c r="K2335" s="6" t="s">
        <v>10886</v>
      </c>
      <c r="L2335" s="16" t="n">
        <v>37452</v>
      </c>
      <c r="M2335" s="16" t="n">
        <v>45716</v>
      </c>
      <c r="N2335" s="6" t="s">
        <v>10886</v>
      </c>
      <c r="O2335" s="16" t="n">
        <v>37452</v>
      </c>
      <c r="P2335" s="6" t="s">
        <v>10962</v>
      </c>
      <c r="Q2335" s="6" t="s">
        <v>81</v>
      </c>
      <c r="R2335" s="6" t="s">
        <v>81</v>
      </c>
      <c r="S2335" s="6" t="s">
        <v>10886</v>
      </c>
      <c r="T2335" s="16" t="n">
        <v>37452</v>
      </c>
      <c r="U2335" s="6" t="s">
        <v>13225</v>
      </c>
      <c r="V2335" s="6" t="s">
        <v>81</v>
      </c>
      <c r="W2335" s="6" t="s">
        <v>81</v>
      </c>
      <c r="X2335" s="6" t="s">
        <v>81</v>
      </c>
      <c r="Y2335" s="21" t="s">
        <v>81</v>
      </c>
      <c r="Z2335" s="6" t="s">
        <v>81</v>
      </c>
      <c r="AA2335" s="6" t="s">
        <v>81</v>
      </c>
      <c r="AB2335" s="6" t="s">
        <v>81</v>
      </c>
      <c r="AC2335" s="6" t="s">
        <v>81</v>
      </c>
      <c r="AD2335" s="21" t="s">
        <v>81</v>
      </c>
      <c r="AE2335" s="6" t="s">
        <v>81</v>
      </c>
      <c r="AF2335" s="6" t="s">
        <v>81</v>
      </c>
      <c r="AG2335" s="6" t="s">
        <v>81</v>
      </c>
      <c r="AH2335" s="6" t="s">
        <v>16877</v>
      </c>
      <c r="AI2335" s="6" t="s">
        <v>81</v>
      </c>
      <c r="AJ2335" s="6" t="s">
        <v>17311</v>
      </c>
      <c r="AK2335" s="6" t="s">
        <v>17712</v>
      </c>
      <c r="AL2335" s="6" t="s">
        <v>18444</v>
      </c>
      <c r="AM2335" s="6" t="s">
        <v>18463</v>
      </c>
      <c r="AN2335" s="6" t="s">
        <v>19634</v>
      </c>
      <c r="AO2335" s="6" t="s">
        <v>19719</v>
      </c>
      <c r="AP2335" s="6" t="s">
        <v>16877</v>
      </c>
      <c r="AQ2335" s="6" t="s">
        <v>81</v>
      </c>
      <c r="AR2335" s="6" t="s">
        <v>17311</v>
      </c>
      <c r="AS2335" s="6" t="s">
        <v>17712</v>
      </c>
      <c r="AT2335" s="6" t="s">
        <v>18444</v>
      </c>
      <c r="AU2335" s="6" t="s">
        <v>18463</v>
      </c>
      <c r="AV2335" s="6" t="s">
        <v>81</v>
      </c>
      <c r="AW2335" s="6" t="s">
        <v>81</v>
      </c>
      <c r="AX2335" s="6" t="s">
        <v>22272</v>
      </c>
      <c r="AY2335" s="6" t="s">
        <v>81</v>
      </c>
      <c r="AZ2335" s="6" t="s">
        <v>81</v>
      </c>
      <c r="BA2335" s="6" t="s">
        <v>81</v>
      </c>
      <c r="BB2335" s="24" t="n">
        <v>92</v>
      </c>
      <c r="BC2335" s="26"/>
      <c r="BD2335" s="26"/>
      <c r="BE2335" s="26"/>
      <c r="BF2335" s="26" t="s">
        <v>23900</v>
      </c>
      <c r="BG2335" s="26"/>
      <c r="BH2335" s="26"/>
      <c r="BI2335" s="26"/>
      <c r="BJ2335" s="26"/>
      <c r="BK2335" s="26"/>
      <c r="BL2335" s="26"/>
      <c r="BM2335" s="26"/>
      <c r="BN2335" s="26"/>
      <c r="BO2335" s="26"/>
      <c r="BP2335" s="16" t="n">
        <v>45595</v>
      </c>
      <c r="BQ2335" s="28" t="str">
        <f>HYPERLINK("https://organic.ams.usda.gov/Integrity/Certificate.aspx?cid=57&amp;nopid=3259700481")</f>
        <v>https://organic.ams.usda.gov/Integrity/Certificate.aspx?cid=57&amp;nopid=3259700481</v>
      </c>
    </row>
    <row r="2336">
      <c r="A2336" t="s">
        <v>3</v>
      </c>
      <c r="B2336" s="6" t="s">
        <v>11</v>
      </c>
      <c r="C2336" s="6" t="s">
        <v>58</v>
      </c>
      <c r="D2336" s="6" t="s">
        <v>104</v>
      </c>
      <c r="E2336" s="10" t="s">
        <v>2477</v>
      </c>
      <c r="F2336" s="6" t="s">
        <v>5184</v>
      </c>
      <c r="G2336" s="6" t="s">
        <v>81</v>
      </c>
      <c r="H2336" s="6" t="s">
        <v>81</v>
      </c>
      <c r="I2336" s="6" t="s">
        <v>9504</v>
      </c>
      <c r="J2336" s="6" t="s">
        <v>9665</v>
      </c>
      <c r="K2336" s="6" t="s">
        <v>10886</v>
      </c>
      <c r="L2336" s="16" t="n">
        <v>43217</v>
      </c>
      <c r="M2336" s="16" t="n">
        <v>45383</v>
      </c>
      <c r="N2336" s="6" t="s">
        <v>10886</v>
      </c>
      <c r="O2336" s="16" t="n">
        <v>43217</v>
      </c>
      <c r="P2336" s="6" t="s">
        <v>12206</v>
      </c>
      <c r="Q2336" s="6" t="s">
        <v>81</v>
      </c>
      <c r="R2336" s="6" t="s">
        <v>81</v>
      </c>
      <c r="S2336" s="6" t="s">
        <v>10886</v>
      </c>
      <c r="T2336" s="16" t="n">
        <v>43217</v>
      </c>
      <c r="U2336" s="6" t="s">
        <v>13833</v>
      </c>
      <c r="V2336" s="6" t="s">
        <v>81</v>
      </c>
      <c r="W2336" s="6" t="s">
        <v>81</v>
      </c>
      <c r="X2336" s="6" t="s">
        <v>81</v>
      </c>
      <c r="Y2336" s="21" t="s">
        <v>81</v>
      </c>
      <c r="Z2336" s="6" t="s">
        <v>81</v>
      </c>
      <c r="AA2336" s="6" t="s">
        <v>81</v>
      </c>
      <c r="AB2336" s="6" t="s">
        <v>81</v>
      </c>
      <c r="AC2336" s="6" t="s">
        <v>10886</v>
      </c>
      <c r="AD2336" s="16" t="n">
        <v>43217</v>
      </c>
      <c r="AE2336" s="6" t="s">
        <v>14414</v>
      </c>
      <c r="AF2336" s="6" t="s">
        <v>81</v>
      </c>
      <c r="AG2336" s="6" t="s">
        <v>81</v>
      </c>
      <c r="AH2336" s="6" t="s">
        <v>16878</v>
      </c>
      <c r="AI2336" s="6" t="s">
        <v>81</v>
      </c>
      <c r="AJ2336" s="6" t="s">
        <v>17377</v>
      </c>
      <c r="AK2336" s="6" t="s">
        <v>18377</v>
      </c>
      <c r="AL2336" s="6" t="s">
        <v>18444</v>
      </c>
      <c r="AM2336" s="6" t="s">
        <v>18530</v>
      </c>
      <c r="AN2336" s="6" t="s">
        <v>19634</v>
      </c>
      <c r="AO2336" s="6" t="s">
        <v>19764</v>
      </c>
      <c r="AP2336" s="6" t="s">
        <v>16878</v>
      </c>
      <c r="AQ2336" s="6" t="s">
        <v>81</v>
      </c>
      <c r="AR2336" s="6" t="s">
        <v>17377</v>
      </c>
      <c r="AS2336" s="6" t="s">
        <v>18377</v>
      </c>
      <c r="AT2336" s="6" t="s">
        <v>18444</v>
      </c>
      <c r="AU2336" s="6" t="s">
        <v>18530</v>
      </c>
      <c r="AV2336" s="6" t="s">
        <v>81</v>
      </c>
      <c r="AW2336" s="6" t="s">
        <v>81</v>
      </c>
      <c r="AX2336" s="6" t="s">
        <v>81</v>
      </c>
      <c r="AY2336" s="6" t="s">
        <v>81</v>
      </c>
      <c r="AZ2336" s="6" t="s">
        <v>81</v>
      </c>
      <c r="BA2336" s="6" t="s">
        <v>23825</v>
      </c>
      <c r="BB2336" s="24" t="n">
        <v>221</v>
      </c>
      <c r="BC2336" s="26"/>
      <c r="BD2336" s="26"/>
      <c r="BE2336" s="26"/>
      <c r="BF2336" s="26"/>
      <c r="BG2336" s="26"/>
      <c r="BH2336" s="26"/>
      <c r="BI2336" s="26"/>
      <c r="BJ2336" s="26"/>
      <c r="BK2336" s="26"/>
      <c r="BL2336" s="26"/>
      <c r="BM2336" s="26"/>
      <c r="BN2336" s="26"/>
      <c r="BO2336" s="26"/>
      <c r="BP2336" s="16" t="n">
        <v>45443</v>
      </c>
      <c r="BQ2336" s="28" t="str">
        <f>HYPERLINK("https://organic.ams.usda.gov/Integrity/Certificate.aspx?cid=46&amp;nopid=3671800014")</f>
        <v>https://organic.ams.usda.gov/Integrity/Certificate.aspx?cid=46&amp;nopid=3671800014</v>
      </c>
    </row>
    <row r="2337">
      <c r="A2337" t="s">
        <v>3</v>
      </c>
      <c r="B2337" s="6" t="s">
        <v>7</v>
      </c>
      <c r="C2337" s="6" t="s">
        <v>54</v>
      </c>
      <c r="D2337" s="6" t="s">
        <v>100</v>
      </c>
      <c r="E2337" s="10" t="s">
        <v>2478</v>
      </c>
      <c r="F2337" s="6" t="s">
        <v>5185</v>
      </c>
      <c r="G2337" s="6" t="s">
        <v>81</v>
      </c>
      <c r="H2337" s="6" t="s">
        <v>8024</v>
      </c>
      <c r="I2337" s="6" t="s">
        <v>9237</v>
      </c>
      <c r="J2337" s="6" t="s">
        <v>9760</v>
      </c>
      <c r="K2337" s="6" t="s">
        <v>10886</v>
      </c>
      <c r="L2337" s="16" t="n">
        <v>44054</v>
      </c>
      <c r="M2337" s="16" t="n">
        <v>45716</v>
      </c>
      <c r="N2337" s="6" t="s">
        <v>10886</v>
      </c>
      <c r="O2337" s="16" t="n">
        <v>44054</v>
      </c>
      <c r="P2337" s="6" t="s">
        <v>10910</v>
      </c>
      <c r="Q2337" s="6" t="s">
        <v>81</v>
      </c>
      <c r="R2337" s="6" t="s">
        <v>81</v>
      </c>
      <c r="S2337" s="6" t="s">
        <v>10886</v>
      </c>
      <c r="T2337" s="16" t="n">
        <v>44054</v>
      </c>
      <c r="U2337" s="6" t="s">
        <v>13169</v>
      </c>
      <c r="V2337" s="6" t="s">
        <v>81</v>
      </c>
      <c r="W2337" s="6" t="s">
        <v>81</v>
      </c>
      <c r="X2337" s="6" t="s">
        <v>81</v>
      </c>
      <c r="Y2337" s="21" t="s">
        <v>81</v>
      </c>
      <c r="Z2337" s="6" t="s">
        <v>81</v>
      </c>
      <c r="AA2337" s="6" t="s">
        <v>81</v>
      </c>
      <c r="AB2337" s="6" t="s">
        <v>81</v>
      </c>
      <c r="AC2337" s="6" t="s">
        <v>81</v>
      </c>
      <c r="AD2337" s="21" t="s">
        <v>81</v>
      </c>
      <c r="AE2337" s="6" t="s">
        <v>81</v>
      </c>
      <c r="AF2337" s="6" t="s">
        <v>81</v>
      </c>
      <c r="AG2337" s="6" t="s">
        <v>81</v>
      </c>
      <c r="AH2337" s="6" t="s">
        <v>16879</v>
      </c>
      <c r="AI2337" s="6" t="s">
        <v>81</v>
      </c>
      <c r="AJ2337" s="6" t="s">
        <v>17789</v>
      </c>
      <c r="AK2337" s="6" t="s">
        <v>17712</v>
      </c>
      <c r="AL2337" s="6" t="s">
        <v>18444</v>
      </c>
      <c r="AM2337" s="6" t="s">
        <v>18966</v>
      </c>
      <c r="AN2337" s="6" t="s">
        <v>7450</v>
      </c>
      <c r="AO2337" s="6" t="s">
        <v>19897</v>
      </c>
      <c r="AP2337" s="6" t="s">
        <v>16879</v>
      </c>
      <c r="AQ2337" s="6" t="s">
        <v>81</v>
      </c>
      <c r="AR2337" s="6" t="s">
        <v>17789</v>
      </c>
      <c r="AS2337" s="6" t="s">
        <v>17712</v>
      </c>
      <c r="AT2337" s="6" t="s">
        <v>18444</v>
      </c>
      <c r="AU2337" s="6" t="s">
        <v>18966</v>
      </c>
      <c r="AV2337" s="6" t="s">
        <v>81</v>
      </c>
      <c r="AW2337" s="6" t="s">
        <v>81</v>
      </c>
      <c r="AX2337" s="6" t="s">
        <v>22273</v>
      </c>
      <c r="AY2337" s="6" t="s">
        <v>81</v>
      </c>
      <c r="AZ2337" s="6" t="s">
        <v>81</v>
      </c>
      <c r="BA2337" s="6" t="s">
        <v>81</v>
      </c>
      <c r="BB2337" s="24" t="n">
        <v>380</v>
      </c>
      <c r="BC2337" s="26"/>
      <c r="BD2337" s="26"/>
      <c r="BE2337" s="26"/>
      <c r="BF2337" s="26" t="s">
        <v>23900</v>
      </c>
      <c r="BG2337" s="26"/>
      <c r="BH2337" s="26"/>
      <c r="BI2337" s="26"/>
      <c r="BJ2337" s="26"/>
      <c r="BK2337" s="26"/>
      <c r="BL2337" s="26"/>
      <c r="BM2337" s="26"/>
      <c r="BN2337" s="26"/>
      <c r="BO2337" s="26"/>
      <c r="BP2337" s="16" t="n">
        <v>45737</v>
      </c>
      <c r="BQ2337" s="28" t="str">
        <f>HYPERLINK("https://organic.ams.usda.gov/Integrity/Certificate.aspx?cid=57&amp;nopid=3252020080")</f>
        <v>https://organic.ams.usda.gov/Integrity/Certificate.aspx?cid=57&amp;nopid=3252020080</v>
      </c>
    </row>
    <row r="2338">
      <c r="A2338" t="s">
        <v>3</v>
      </c>
      <c r="B2338" s="6" t="s">
        <v>15</v>
      </c>
      <c r="C2338" s="6" t="s">
        <v>62</v>
      </c>
      <c r="D2338" s="6" t="s">
        <v>108</v>
      </c>
      <c r="E2338" s="10" t="s">
        <v>2479</v>
      </c>
      <c r="F2338" s="6" t="s">
        <v>5186</v>
      </c>
      <c r="G2338" s="6" t="s">
        <v>5846</v>
      </c>
      <c r="H2338" s="6" t="s">
        <v>8025</v>
      </c>
      <c r="I2338" s="6" t="s">
        <v>9505</v>
      </c>
      <c r="J2338" s="6" t="s">
        <v>9770</v>
      </c>
      <c r="K2338" s="6" t="s">
        <v>10886</v>
      </c>
      <c r="L2338" s="16" t="n">
        <v>44370</v>
      </c>
      <c r="M2338" s="16" t="n">
        <v>45792</v>
      </c>
      <c r="N2338" s="6" t="s">
        <v>10886</v>
      </c>
      <c r="O2338" s="16" t="n">
        <v>44370</v>
      </c>
      <c r="P2338" s="6" t="s">
        <v>12207</v>
      </c>
      <c r="Q2338" s="6" t="s">
        <v>81</v>
      </c>
      <c r="R2338" s="6" t="s">
        <v>81</v>
      </c>
      <c r="S2338" s="6" t="s">
        <v>10886</v>
      </c>
      <c r="T2338" s="16" t="n">
        <v>44370</v>
      </c>
      <c r="U2338" s="6" t="s">
        <v>13196</v>
      </c>
      <c r="V2338" s="6" t="s">
        <v>81</v>
      </c>
      <c r="W2338" s="6" t="s">
        <v>81</v>
      </c>
      <c r="X2338" s="6" t="s">
        <v>81</v>
      </c>
      <c r="Y2338" s="21" t="s">
        <v>81</v>
      </c>
      <c r="Z2338" s="6" t="s">
        <v>81</v>
      </c>
      <c r="AA2338" s="6" t="s">
        <v>81</v>
      </c>
      <c r="AB2338" s="6" t="s">
        <v>81</v>
      </c>
      <c r="AC2338" s="6" t="s">
        <v>81</v>
      </c>
      <c r="AD2338" s="21" t="s">
        <v>81</v>
      </c>
      <c r="AE2338" s="6" t="s">
        <v>81</v>
      </c>
      <c r="AF2338" s="6" t="s">
        <v>81</v>
      </c>
      <c r="AG2338" s="6" t="s">
        <v>81</v>
      </c>
      <c r="AH2338" s="6" t="s">
        <v>16880</v>
      </c>
      <c r="AI2338" s="6" t="s">
        <v>81</v>
      </c>
      <c r="AJ2338" s="6" t="s">
        <v>18269</v>
      </c>
      <c r="AK2338" s="6" t="s">
        <v>18378</v>
      </c>
      <c r="AL2338" s="6" t="s">
        <v>18444</v>
      </c>
      <c r="AM2338" s="6" t="s">
        <v>19495</v>
      </c>
      <c r="AN2338" s="6" t="s">
        <v>19655</v>
      </c>
      <c r="AO2338" s="6" t="s">
        <v>19748</v>
      </c>
      <c r="AP2338" s="6" t="s">
        <v>16880</v>
      </c>
      <c r="AQ2338" s="6" t="s">
        <v>81</v>
      </c>
      <c r="AR2338" s="6" t="s">
        <v>18269</v>
      </c>
      <c r="AS2338" s="6" t="s">
        <v>18378</v>
      </c>
      <c r="AT2338" s="6" t="s">
        <v>18444</v>
      </c>
      <c r="AU2338" s="6" t="s">
        <v>19495</v>
      </c>
      <c r="AV2338" s="6" t="s">
        <v>81</v>
      </c>
      <c r="AW2338" s="6" t="s">
        <v>81</v>
      </c>
      <c r="AX2338" s="6" t="s">
        <v>22274</v>
      </c>
      <c r="AY2338" s="6" t="s">
        <v>81</v>
      </c>
      <c r="AZ2338" s="6" t="s">
        <v>81</v>
      </c>
      <c r="BA2338" s="6" t="s">
        <v>81</v>
      </c>
      <c r="BB2338" s="24" t="n">
        <v>133</v>
      </c>
      <c r="BC2338" s="26"/>
      <c r="BD2338" s="26"/>
      <c r="BE2338" s="26"/>
      <c r="BF2338" s="26" t="s">
        <v>23900</v>
      </c>
      <c r="BG2338" s="26"/>
      <c r="BH2338" s="26"/>
      <c r="BI2338" s="26"/>
      <c r="BJ2338" s="26"/>
      <c r="BK2338" s="26"/>
      <c r="BL2338" s="26"/>
      <c r="BM2338" s="26"/>
      <c r="BN2338" s="26"/>
      <c r="BO2338" s="26"/>
      <c r="BP2338" s="16" t="n">
        <v>45737</v>
      </c>
      <c r="BQ2338" s="28" t="str">
        <f>HYPERLINK("https://organic.ams.usda.gov/Integrity/Certificate.aspx?cid=58&amp;nopid=1600003537")</f>
        <v>https://organic.ams.usda.gov/Integrity/Certificate.aspx?cid=58&amp;nopid=1600003537</v>
      </c>
    </row>
    <row r="2339">
      <c r="A2339" t="s">
        <v>3</v>
      </c>
      <c r="B2339" s="6" t="s">
        <v>7</v>
      </c>
      <c r="C2339" s="6" t="s">
        <v>54</v>
      </c>
      <c r="D2339" s="6" t="s">
        <v>100</v>
      </c>
      <c r="E2339" s="10" t="s">
        <v>2480</v>
      </c>
      <c r="F2339" s="6" t="s">
        <v>5187</v>
      </c>
      <c r="G2339" s="6" t="s">
        <v>81</v>
      </c>
      <c r="H2339" s="6" t="s">
        <v>8026</v>
      </c>
      <c r="I2339" s="6" t="s">
        <v>9154</v>
      </c>
      <c r="J2339" s="6" t="s">
        <v>9763</v>
      </c>
      <c r="K2339" s="6" t="s">
        <v>10886</v>
      </c>
      <c r="L2339" s="16" t="n">
        <v>43775</v>
      </c>
      <c r="M2339" s="16" t="n">
        <v>45716</v>
      </c>
      <c r="N2339" s="6" t="s">
        <v>10886</v>
      </c>
      <c r="O2339" s="16" t="n">
        <v>43775</v>
      </c>
      <c r="P2339" s="6" t="s">
        <v>12208</v>
      </c>
      <c r="Q2339" s="6" t="s">
        <v>81</v>
      </c>
      <c r="R2339" s="6" t="s">
        <v>81</v>
      </c>
      <c r="S2339" s="6" t="s">
        <v>10886</v>
      </c>
      <c r="T2339" s="16" t="n">
        <v>44280</v>
      </c>
      <c r="U2339" s="6" t="s">
        <v>13169</v>
      </c>
      <c r="V2339" s="6" t="s">
        <v>81</v>
      </c>
      <c r="W2339" s="6" t="s">
        <v>81</v>
      </c>
      <c r="X2339" s="6" t="s">
        <v>81</v>
      </c>
      <c r="Y2339" s="21" t="s">
        <v>81</v>
      </c>
      <c r="Z2339" s="6" t="s">
        <v>81</v>
      </c>
      <c r="AA2339" s="6" t="s">
        <v>81</v>
      </c>
      <c r="AB2339" s="6" t="s">
        <v>81</v>
      </c>
      <c r="AC2339" s="6" t="s">
        <v>81</v>
      </c>
      <c r="AD2339" s="21" t="s">
        <v>81</v>
      </c>
      <c r="AE2339" s="6" t="s">
        <v>81</v>
      </c>
      <c r="AF2339" s="6" t="s">
        <v>81</v>
      </c>
      <c r="AG2339" s="6" t="s">
        <v>81</v>
      </c>
      <c r="AH2339" s="6" t="s">
        <v>16881</v>
      </c>
      <c r="AI2339" s="6" t="s">
        <v>81</v>
      </c>
      <c r="AJ2339" s="6" t="s">
        <v>17347</v>
      </c>
      <c r="AK2339" s="6" t="s">
        <v>17712</v>
      </c>
      <c r="AL2339" s="6" t="s">
        <v>18444</v>
      </c>
      <c r="AM2339" s="6" t="s">
        <v>18659</v>
      </c>
      <c r="AN2339" s="6" t="s">
        <v>19634</v>
      </c>
      <c r="AO2339" s="6" t="s">
        <v>19719</v>
      </c>
      <c r="AP2339" s="6" t="s">
        <v>16881</v>
      </c>
      <c r="AQ2339" s="6" t="s">
        <v>81</v>
      </c>
      <c r="AR2339" s="6" t="s">
        <v>17347</v>
      </c>
      <c r="AS2339" s="6" t="s">
        <v>17712</v>
      </c>
      <c r="AT2339" s="6" t="s">
        <v>18444</v>
      </c>
      <c r="AU2339" s="6" t="s">
        <v>18659</v>
      </c>
      <c r="AV2339" s="6" t="s">
        <v>81</v>
      </c>
      <c r="AW2339" s="6" t="s">
        <v>81</v>
      </c>
      <c r="AX2339" s="6" t="s">
        <v>22275</v>
      </c>
      <c r="AY2339" s="6" t="s">
        <v>81</v>
      </c>
      <c r="AZ2339" s="6" t="s">
        <v>81</v>
      </c>
      <c r="BA2339" s="6" t="s">
        <v>81</v>
      </c>
      <c r="BB2339" s="24" t="n">
        <v>122</v>
      </c>
      <c r="BC2339" s="26"/>
      <c r="BD2339" s="26"/>
      <c r="BE2339" s="26"/>
      <c r="BF2339" s="26" t="s">
        <v>23900</v>
      </c>
      <c r="BG2339" s="26"/>
      <c r="BH2339" s="26"/>
      <c r="BI2339" s="26"/>
      <c r="BJ2339" s="26"/>
      <c r="BK2339" s="26"/>
      <c r="BL2339" s="26"/>
      <c r="BM2339" s="26"/>
      <c r="BN2339" s="26"/>
      <c r="BO2339" s="26"/>
      <c r="BP2339" s="16" t="n">
        <v>45735</v>
      </c>
      <c r="BQ2339" s="28" t="str">
        <f>HYPERLINK("https://organic.ams.usda.gov/Integrity/Certificate.aspx?cid=57&amp;nopid=3252019095")</f>
        <v>https://organic.ams.usda.gov/Integrity/Certificate.aspx?cid=57&amp;nopid=3252019095</v>
      </c>
    </row>
    <row r="2340">
      <c r="A2340" t="s">
        <v>3</v>
      </c>
      <c r="B2340" s="6" t="s">
        <v>7</v>
      </c>
      <c r="C2340" s="6" t="s">
        <v>54</v>
      </c>
      <c r="D2340" s="6" t="s">
        <v>100</v>
      </c>
      <c r="E2340" s="10" t="s">
        <v>2481</v>
      </c>
      <c r="F2340" s="6" t="s">
        <v>5188</v>
      </c>
      <c r="G2340" s="6" t="s">
        <v>81</v>
      </c>
      <c r="H2340" s="6" t="s">
        <v>8027</v>
      </c>
      <c r="I2340" s="6" t="s">
        <v>8626</v>
      </c>
      <c r="J2340" s="6" t="s">
        <v>10710</v>
      </c>
      <c r="K2340" s="6" t="s">
        <v>10886</v>
      </c>
      <c r="L2340" s="16" t="n">
        <v>39196</v>
      </c>
      <c r="M2340" s="16" t="n">
        <v>45716</v>
      </c>
      <c r="N2340" s="6" t="s">
        <v>10886</v>
      </c>
      <c r="O2340" s="16" t="n">
        <v>39196</v>
      </c>
      <c r="P2340" s="6" t="s">
        <v>12209</v>
      </c>
      <c r="Q2340" s="6" t="s">
        <v>81</v>
      </c>
      <c r="R2340" s="6" t="s">
        <v>81</v>
      </c>
      <c r="S2340" s="6" t="s">
        <v>10886</v>
      </c>
      <c r="T2340" s="16" t="n">
        <v>39235</v>
      </c>
      <c r="U2340" s="6" t="s">
        <v>13169</v>
      </c>
      <c r="V2340" s="6" t="s">
        <v>81</v>
      </c>
      <c r="W2340" s="6" t="s">
        <v>81</v>
      </c>
      <c r="X2340" s="6" t="s">
        <v>81</v>
      </c>
      <c r="Y2340" s="21" t="s">
        <v>81</v>
      </c>
      <c r="Z2340" s="6" t="s">
        <v>81</v>
      </c>
      <c r="AA2340" s="6" t="s">
        <v>81</v>
      </c>
      <c r="AB2340" s="6" t="s">
        <v>81</v>
      </c>
      <c r="AC2340" s="6" t="s">
        <v>81</v>
      </c>
      <c r="AD2340" s="21" t="s">
        <v>81</v>
      </c>
      <c r="AE2340" s="6" t="s">
        <v>81</v>
      </c>
      <c r="AF2340" s="6" t="s">
        <v>81</v>
      </c>
      <c r="AG2340" s="6" t="s">
        <v>81</v>
      </c>
      <c r="AH2340" s="6" t="s">
        <v>16882</v>
      </c>
      <c r="AI2340" s="6" t="s">
        <v>81</v>
      </c>
      <c r="AJ2340" s="6" t="s">
        <v>17925</v>
      </c>
      <c r="AK2340" s="6" t="s">
        <v>17712</v>
      </c>
      <c r="AL2340" s="6" t="s">
        <v>18444</v>
      </c>
      <c r="AM2340" s="6" t="s">
        <v>19115</v>
      </c>
      <c r="AN2340" s="6" t="s">
        <v>19645</v>
      </c>
      <c r="AO2340" s="6" t="s">
        <v>19770</v>
      </c>
      <c r="AP2340" s="6" t="s">
        <v>16882</v>
      </c>
      <c r="AQ2340" s="6" t="s">
        <v>81</v>
      </c>
      <c r="AR2340" s="6" t="s">
        <v>17925</v>
      </c>
      <c r="AS2340" s="6" t="s">
        <v>17712</v>
      </c>
      <c r="AT2340" s="6" t="s">
        <v>18444</v>
      </c>
      <c r="AU2340" s="6" t="s">
        <v>19115</v>
      </c>
      <c r="AV2340" s="6" t="s">
        <v>81</v>
      </c>
      <c r="AW2340" s="6" t="s">
        <v>81</v>
      </c>
      <c r="AX2340" s="6" t="s">
        <v>22276</v>
      </c>
      <c r="AY2340" s="6" t="s">
        <v>23380</v>
      </c>
      <c r="AZ2340" s="6" t="s">
        <v>81</v>
      </c>
      <c r="BA2340" s="6" t="s">
        <v>81</v>
      </c>
      <c r="BB2340" s="24" t="n">
        <v>520</v>
      </c>
      <c r="BC2340" s="26"/>
      <c r="BD2340" s="26"/>
      <c r="BE2340" s="26"/>
      <c r="BF2340" s="26" t="s">
        <v>23900</v>
      </c>
      <c r="BG2340" s="26"/>
      <c r="BH2340" s="26"/>
      <c r="BI2340" s="26"/>
      <c r="BJ2340" s="26"/>
      <c r="BK2340" s="26"/>
      <c r="BL2340" s="26"/>
      <c r="BM2340" s="26"/>
      <c r="BN2340" s="26"/>
      <c r="BO2340" s="26"/>
      <c r="BP2340" s="16" t="n">
        <v>45595</v>
      </c>
      <c r="BQ2340" s="28" t="str">
        <f>HYPERLINK("https://organic.ams.usda.gov/Integrity/Certificate.aspx?cid=57&amp;nopid=3250200694")</f>
        <v>https://organic.ams.usda.gov/Integrity/Certificate.aspx?cid=57&amp;nopid=3250200694</v>
      </c>
    </row>
    <row r="2341">
      <c r="A2341" t="s">
        <v>3</v>
      </c>
      <c r="B2341" s="6" t="s">
        <v>7</v>
      </c>
      <c r="C2341" s="6" t="s">
        <v>54</v>
      </c>
      <c r="D2341" s="6" t="s">
        <v>100</v>
      </c>
      <c r="E2341" s="10" t="s">
        <v>2482</v>
      </c>
      <c r="F2341" s="6" t="s">
        <v>5189</v>
      </c>
      <c r="G2341" s="6" t="s">
        <v>81</v>
      </c>
      <c r="H2341" s="6" t="s">
        <v>8028</v>
      </c>
      <c r="I2341" s="6" t="s">
        <v>9007</v>
      </c>
      <c r="J2341" s="6" t="s">
        <v>9760</v>
      </c>
      <c r="K2341" s="6" t="s">
        <v>10886</v>
      </c>
      <c r="L2341" s="16" t="n">
        <v>43621</v>
      </c>
      <c r="M2341" s="16" t="n">
        <v>45716</v>
      </c>
      <c r="N2341" s="6" t="s">
        <v>10886</v>
      </c>
      <c r="O2341" s="16" t="n">
        <v>43621</v>
      </c>
      <c r="P2341" s="6" t="s">
        <v>12210</v>
      </c>
      <c r="Q2341" s="6" t="s">
        <v>81</v>
      </c>
      <c r="R2341" s="6" t="s">
        <v>81</v>
      </c>
      <c r="S2341" s="6" t="s">
        <v>10886</v>
      </c>
      <c r="T2341" s="16" t="n">
        <v>43621</v>
      </c>
      <c r="U2341" s="6" t="s">
        <v>13169</v>
      </c>
      <c r="V2341" s="6" t="s">
        <v>81</v>
      </c>
      <c r="W2341" s="6" t="s">
        <v>81</v>
      </c>
      <c r="X2341" s="6" t="s">
        <v>81</v>
      </c>
      <c r="Y2341" s="21" t="s">
        <v>81</v>
      </c>
      <c r="Z2341" s="6" t="s">
        <v>81</v>
      </c>
      <c r="AA2341" s="6" t="s">
        <v>81</v>
      </c>
      <c r="AB2341" s="6" t="s">
        <v>81</v>
      </c>
      <c r="AC2341" s="6" t="s">
        <v>81</v>
      </c>
      <c r="AD2341" s="21" t="s">
        <v>81</v>
      </c>
      <c r="AE2341" s="6" t="s">
        <v>81</v>
      </c>
      <c r="AF2341" s="6" t="s">
        <v>81</v>
      </c>
      <c r="AG2341" s="6" t="s">
        <v>81</v>
      </c>
      <c r="AH2341" s="6" t="s">
        <v>16883</v>
      </c>
      <c r="AI2341" s="6" t="s">
        <v>81</v>
      </c>
      <c r="AJ2341" s="6" t="s">
        <v>17695</v>
      </c>
      <c r="AK2341" s="6" t="s">
        <v>17712</v>
      </c>
      <c r="AL2341" s="6" t="s">
        <v>18444</v>
      </c>
      <c r="AM2341" s="6" t="s">
        <v>18861</v>
      </c>
      <c r="AN2341" s="6" t="s">
        <v>19652</v>
      </c>
      <c r="AO2341" s="6" t="s">
        <v>19742</v>
      </c>
      <c r="AP2341" s="6" t="s">
        <v>16883</v>
      </c>
      <c r="AQ2341" s="6" t="s">
        <v>81</v>
      </c>
      <c r="AR2341" s="6" t="s">
        <v>17695</v>
      </c>
      <c r="AS2341" s="6" t="s">
        <v>17712</v>
      </c>
      <c r="AT2341" s="6" t="s">
        <v>18444</v>
      </c>
      <c r="AU2341" s="6" t="s">
        <v>18861</v>
      </c>
      <c r="AV2341" s="6" t="s">
        <v>81</v>
      </c>
      <c r="AW2341" s="6" t="s">
        <v>81</v>
      </c>
      <c r="AX2341" s="6" t="s">
        <v>22277</v>
      </c>
      <c r="AY2341" s="6" t="s">
        <v>81</v>
      </c>
      <c r="AZ2341" s="6" t="s">
        <v>81</v>
      </c>
      <c r="BA2341" s="6" t="s">
        <v>81</v>
      </c>
      <c r="BB2341" s="24" t="n">
        <v>99</v>
      </c>
      <c r="BC2341" s="26"/>
      <c r="BD2341" s="26"/>
      <c r="BE2341" s="26"/>
      <c r="BF2341" s="26" t="s">
        <v>23900</v>
      </c>
      <c r="BG2341" s="26"/>
      <c r="BH2341" s="26"/>
      <c r="BI2341" s="26"/>
      <c r="BJ2341" s="26"/>
      <c r="BK2341" s="26"/>
      <c r="BL2341" s="26"/>
      <c r="BM2341" s="26"/>
      <c r="BN2341" s="26"/>
      <c r="BO2341" s="26"/>
      <c r="BP2341" s="16" t="n">
        <v>45674</v>
      </c>
      <c r="BQ2341" s="28" t="str">
        <f>HYPERLINK("https://organic.ams.usda.gov/Integrity/Certificate.aspx?cid=57&amp;nopid=3252019053")</f>
        <v>https://organic.ams.usda.gov/Integrity/Certificate.aspx?cid=57&amp;nopid=3252019053</v>
      </c>
    </row>
    <row r="2342">
      <c r="A2342" t="s">
        <v>3</v>
      </c>
      <c r="B2342" s="6" t="s">
        <v>8</v>
      </c>
      <c r="C2342" s="6" t="s">
        <v>55</v>
      </c>
      <c r="D2342" s="6" t="s">
        <v>101</v>
      </c>
      <c r="E2342" s="10" t="s">
        <v>2483</v>
      </c>
      <c r="F2342" s="6" t="s">
        <v>5190</v>
      </c>
      <c r="G2342" s="6" t="s">
        <v>81</v>
      </c>
      <c r="H2342" s="6" t="s">
        <v>8029</v>
      </c>
      <c r="I2342" s="6" t="s">
        <v>9506</v>
      </c>
      <c r="J2342" s="6" t="s">
        <v>9994</v>
      </c>
      <c r="K2342" s="6" t="s">
        <v>10886</v>
      </c>
      <c r="L2342" s="16" t="n">
        <v>39728</v>
      </c>
      <c r="M2342" s="16" t="n">
        <v>45748</v>
      </c>
      <c r="N2342" s="6" t="s">
        <v>10886</v>
      </c>
      <c r="O2342" s="16" t="n">
        <v>39728</v>
      </c>
      <c r="P2342" s="6" t="s">
        <v>12211</v>
      </c>
      <c r="Q2342" s="6" t="s">
        <v>81</v>
      </c>
      <c r="R2342" s="6" t="s">
        <v>8029</v>
      </c>
      <c r="S2342" s="6" t="s">
        <v>10886</v>
      </c>
      <c r="T2342" s="16" t="n">
        <v>39728</v>
      </c>
      <c r="U2342" s="6" t="s">
        <v>13855</v>
      </c>
      <c r="V2342" s="6" t="s">
        <v>81</v>
      </c>
      <c r="W2342" s="6" t="s">
        <v>8029</v>
      </c>
      <c r="X2342" s="6" t="s">
        <v>81</v>
      </c>
      <c r="Y2342" s="21" t="s">
        <v>81</v>
      </c>
      <c r="Z2342" s="6" t="s">
        <v>81</v>
      </c>
      <c r="AA2342" s="6" t="s">
        <v>81</v>
      </c>
      <c r="AB2342" s="6" t="s">
        <v>81</v>
      </c>
      <c r="AC2342" s="6" t="s">
        <v>81</v>
      </c>
      <c r="AD2342" s="21" t="s">
        <v>81</v>
      </c>
      <c r="AE2342" s="6" t="s">
        <v>81</v>
      </c>
      <c r="AF2342" s="6" t="s">
        <v>81</v>
      </c>
      <c r="AG2342" s="6" t="s">
        <v>81</v>
      </c>
      <c r="AH2342" s="6" t="s">
        <v>16884</v>
      </c>
      <c r="AI2342" s="6" t="s">
        <v>81</v>
      </c>
      <c r="AJ2342" s="6" t="s">
        <v>17377</v>
      </c>
      <c r="AK2342" s="6" t="s">
        <v>18377</v>
      </c>
      <c r="AL2342" s="6" t="s">
        <v>18444</v>
      </c>
      <c r="AM2342" s="6" t="s">
        <v>18530</v>
      </c>
      <c r="AN2342" s="6" t="s">
        <v>19638</v>
      </c>
      <c r="AO2342" s="6" t="s">
        <v>19724</v>
      </c>
      <c r="AP2342" s="6" t="s">
        <v>20417</v>
      </c>
      <c r="AQ2342" s="6" t="s">
        <v>81</v>
      </c>
      <c r="AR2342" s="6" t="s">
        <v>17681</v>
      </c>
      <c r="AS2342" s="6" t="s">
        <v>18377</v>
      </c>
      <c r="AT2342" s="6" t="s">
        <v>18444</v>
      </c>
      <c r="AU2342" s="6" t="s">
        <v>20701</v>
      </c>
      <c r="AV2342" s="6" t="s">
        <v>81</v>
      </c>
      <c r="AW2342" s="6" t="s">
        <v>81</v>
      </c>
      <c r="AX2342" s="6" t="s">
        <v>81</v>
      </c>
      <c r="AY2342" s="6" t="s">
        <v>81</v>
      </c>
      <c r="AZ2342" s="6" t="s">
        <v>81</v>
      </c>
      <c r="BA2342" s="6" t="s">
        <v>23819</v>
      </c>
      <c r="BB2342" s="24" t="n">
        <v>229</v>
      </c>
      <c r="BC2342" s="26"/>
      <c r="BD2342" s="26"/>
      <c r="BE2342" s="26"/>
      <c r="BF2342" s="26"/>
      <c r="BG2342" s="26"/>
      <c r="BH2342" s="26"/>
      <c r="BI2342" s="26"/>
      <c r="BJ2342" s="26"/>
      <c r="BK2342" s="26"/>
      <c r="BL2342" s="26"/>
      <c r="BM2342" s="26"/>
      <c r="BN2342" s="26"/>
      <c r="BO2342" s="26"/>
      <c r="BP2342" s="16" t="n">
        <v>45552</v>
      </c>
      <c r="BQ2342" s="28" t="str">
        <f>HYPERLINK("https://organic.ams.usda.gov/Integrity/Certificate.aspx?cid=45&amp;nopid=9950003064")</f>
        <v>https://organic.ams.usda.gov/Integrity/Certificate.aspx?cid=45&amp;nopid=9950003064</v>
      </c>
    </row>
    <row r="2343">
      <c r="A2343" t="s">
        <v>3</v>
      </c>
      <c r="B2343" s="6" t="s">
        <v>11</v>
      </c>
      <c r="C2343" s="6" t="s">
        <v>58</v>
      </c>
      <c r="D2343" s="6" t="s">
        <v>104</v>
      </c>
      <c r="E2343" s="10" t="s">
        <v>2484</v>
      </c>
      <c r="F2343" s="6" t="s">
        <v>5191</v>
      </c>
      <c r="G2343" s="6" t="s">
        <v>81</v>
      </c>
      <c r="H2343" s="6" t="s">
        <v>81</v>
      </c>
      <c r="I2343" s="6" t="s">
        <v>8514</v>
      </c>
      <c r="J2343" s="6" t="s">
        <v>10711</v>
      </c>
      <c r="K2343" s="6" t="s">
        <v>10886</v>
      </c>
      <c r="L2343" s="16" t="n">
        <v>40917</v>
      </c>
      <c r="M2343" s="16" t="n">
        <v>45383</v>
      </c>
      <c r="N2343" s="6" t="s">
        <v>10886</v>
      </c>
      <c r="O2343" s="16" t="n">
        <v>40917</v>
      </c>
      <c r="P2343" s="6" t="s">
        <v>12212</v>
      </c>
      <c r="Q2343" s="6" t="s">
        <v>81</v>
      </c>
      <c r="R2343" s="6" t="s">
        <v>81</v>
      </c>
      <c r="S2343" s="6" t="s">
        <v>10886</v>
      </c>
      <c r="T2343" s="16" t="n">
        <v>40917</v>
      </c>
      <c r="U2343" s="6" t="s">
        <v>13856</v>
      </c>
      <c r="V2343" s="6" t="s">
        <v>81</v>
      </c>
      <c r="W2343" s="6" t="s">
        <v>81</v>
      </c>
      <c r="X2343" s="6" t="s">
        <v>81</v>
      </c>
      <c r="Y2343" s="21" t="s">
        <v>81</v>
      </c>
      <c r="Z2343" s="6" t="s">
        <v>81</v>
      </c>
      <c r="AA2343" s="6" t="s">
        <v>81</v>
      </c>
      <c r="AB2343" s="6" t="s">
        <v>81</v>
      </c>
      <c r="AC2343" s="6" t="s">
        <v>81</v>
      </c>
      <c r="AD2343" s="21" t="s">
        <v>81</v>
      </c>
      <c r="AE2343" s="6" t="s">
        <v>81</v>
      </c>
      <c r="AF2343" s="6" t="s">
        <v>81</v>
      </c>
      <c r="AG2343" s="6" t="s">
        <v>81</v>
      </c>
      <c r="AH2343" s="6" t="s">
        <v>16885</v>
      </c>
      <c r="AI2343" s="6" t="s">
        <v>81</v>
      </c>
      <c r="AJ2343" s="6" t="s">
        <v>18270</v>
      </c>
      <c r="AK2343" s="6" t="s">
        <v>18381</v>
      </c>
      <c r="AL2343" s="6" t="s">
        <v>18444</v>
      </c>
      <c r="AM2343" s="6" t="s">
        <v>19496</v>
      </c>
      <c r="AN2343" s="6" t="s">
        <v>19687</v>
      </c>
      <c r="AO2343" s="6" t="s">
        <v>20054</v>
      </c>
      <c r="AP2343" s="6" t="s">
        <v>16885</v>
      </c>
      <c r="AQ2343" s="6" t="s">
        <v>81</v>
      </c>
      <c r="AR2343" s="6" t="s">
        <v>18270</v>
      </c>
      <c r="AS2343" s="6" t="s">
        <v>18381</v>
      </c>
      <c r="AT2343" s="6" t="s">
        <v>18444</v>
      </c>
      <c r="AU2343" s="6" t="s">
        <v>19496</v>
      </c>
      <c r="AV2343" s="6" t="s">
        <v>81</v>
      </c>
      <c r="AW2343" s="6" t="s">
        <v>81</v>
      </c>
      <c r="AX2343" s="6" t="s">
        <v>22278</v>
      </c>
      <c r="AY2343" s="6" t="s">
        <v>23381</v>
      </c>
      <c r="AZ2343" s="6" t="s">
        <v>81</v>
      </c>
      <c r="BA2343" s="6" t="s">
        <v>23825</v>
      </c>
      <c r="BB2343" s="24" t="n">
        <v>1429</v>
      </c>
      <c r="BC2343" s="26"/>
      <c r="BD2343" s="26"/>
      <c r="BE2343" s="26"/>
      <c r="BF2343" s="26"/>
      <c r="BG2343" s="26"/>
      <c r="BH2343" s="26"/>
      <c r="BI2343" s="26"/>
      <c r="BJ2343" s="26"/>
      <c r="BK2343" s="26"/>
      <c r="BL2343" s="26"/>
      <c r="BM2343" s="26"/>
      <c r="BN2343" s="26"/>
      <c r="BO2343" s="26"/>
      <c r="BP2343" s="16" t="n">
        <v>45443</v>
      </c>
      <c r="BQ2343" s="28" t="str">
        <f>HYPERLINK("https://organic.ams.usda.gov/Integrity/Certificate.aspx?cid=46&amp;nopid=3671200001")</f>
        <v>https://organic.ams.usda.gov/Integrity/Certificate.aspx?cid=46&amp;nopid=3671200001</v>
      </c>
    </row>
    <row r="2344">
      <c r="A2344" t="s">
        <v>3</v>
      </c>
      <c r="B2344" s="6" t="s">
        <v>11</v>
      </c>
      <c r="C2344" s="6" t="s">
        <v>58</v>
      </c>
      <c r="D2344" s="6" t="s">
        <v>104</v>
      </c>
      <c r="E2344" s="10" t="s">
        <v>2485</v>
      </c>
      <c r="F2344" s="6" t="s">
        <v>5192</v>
      </c>
      <c r="G2344" s="6" t="s">
        <v>81</v>
      </c>
      <c r="H2344" s="6" t="s">
        <v>81</v>
      </c>
      <c r="I2344" s="6" t="s">
        <v>9507</v>
      </c>
      <c r="J2344" s="6" t="s">
        <v>9734</v>
      </c>
      <c r="K2344" s="6" t="s">
        <v>10886</v>
      </c>
      <c r="L2344" s="16" t="n">
        <v>45379</v>
      </c>
      <c r="M2344" s="16" t="n">
        <v>45748</v>
      </c>
      <c r="N2344" s="6" t="s">
        <v>10886</v>
      </c>
      <c r="O2344" s="16" t="n">
        <v>45379</v>
      </c>
      <c r="P2344" s="6" t="s">
        <v>12213</v>
      </c>
      <c r="Q2344" s="6" t="s">
        <v>81</v>
      </c>
      <c r="R2344" s="6" t="s">
        <v>81</v>
      </c>
      <c r="S2344" s="6" t="s">
        <v>10886</v>
      </c>
      <c r="T2344" s="16" t="n">
        <v>45379</v>
      </c>
      <c r="U2344" s="6" t="s">
        <v>13857</v>
      </c>
      <c r="V2344" s="6" t="s">
        <v>81</v>
      </c>
      <c r="W2344" s="6" t="s">
        <v>81</v>
      </c>
      <c r="X2344" s="6" t="s">
        <v>81</v>
      </c>
      <c r="Y2344" s="21" t="s">
        <v>81</v>
      </c>
      <c r="Z2344" s="6" t="s">
        <v>81</v>
      </c>
      <c r="AA2344" s="6" t="s">
        <v>81</v>
      </c>
      <c r="AB2344" s="6" t="s">
        <v>81</v>
      </c>
      <c r="AC2344" s="6" t="s">
        <v>81</v>
      </c>
      <c r="AD2344" s="21" t="s">
        <v>81</v>
      </c>
      <c r="AE2344" s="6" t="s">
        <v>81</v>
      </c>
      <c r="AF2344" s="6" t="s">
        <v>81</v>
      </c>
      <c r="AG2344" s="6" t="s">
        <v>81</v>
      </c>
      <c r="AH2344" s="6" t="s">
        <v>16886</v>
      </c>
      <c r="AI2344" s="6" t="s">
        <v>81</v>
      </c>
      <c r="AJ2344" s="6" t="s">
        <v>17831</v>
      </c>
      <c r="AK2344" s="6" t="s">
        <v>18377</v>
      </c>
      <c r="AL2344" s="6" t="s">
        <v>18444</v>
      </c>
      <c r="AM2344" s="6" t="s">
        <v>19012</v>
      </c>
      <c r="AN2344" s="6" t="s">
        <v>81</v>
      </c>
      <c r="AO2344" s="6" t="s">
        <v>81</v>
      </c>
      <c r="AP2344" s="6" t="s">
        <v>16886</v>
      </c>
      <c r="AQ2344" s="6" t="s">
        <v>81</v>
      </c>
      <c r="AR2344" s="6" t="s">
        <v>17831</v>
      </c>
      <c r="AS2344" s="6" t="s">
        <v>18377</v>
      </c>
      <c r="AT2344" s="6" t="s">
        <v>18444</v>
      </c>
      <c r="AU2344" s="6" t="s">
        <v>19012</v>
      </c>
      <c r="AV2344" s="6" t="s">
        <v>81</v>
      </c>
      <c r="AW2344" s="6" t="s">
        <v>81</v>
      </c>
      <c r="AX2344" s="6" t="s">
        <v>81</v>
      </c>
      <c r="AY2344" s="6" t="s">
        <v>81</v>
      </c>
      <c r="AZ2344" s="6" t="s">
        <v>81</v>
      </c>
      <c r="BA2344" s="6" t="s">
        <v>23820</v>
      </c>
      <c r="BB2344" s="24" t="n">
        <v>79</v>
      </c>
      <c r="BC2344" s="26"/>
      <c r="BD2344" s="26"/>
      <c r="BE2344" s="26"/>
      <c r="BF2344" s="26"/>
      <c r="BG2344" s="26"/>
      <c r="BH2344" s="26"/>
      <c r="BI2344" s="26"/>
      <c r="BJ2344" s="26"/>
      <c r="BK2344" s="26"/>
      <c r="BL2344" s="26"/>
      <c r="BM2344" s="26"/>
      <c r="BN2344" s="26"/>
      <c r="BO2344" s="26"/>
      <c r="BP2344" s="16" t="n">
        <v>45553</v>
      </c>
      <c r="BQ2344" s="28" t="str">
        <f>HYPERLINK("https://organic.ams.usda.gov/Integrity/Certificate.aspx?cid=46&amp;nopid=3672400012")</f>
        <v>https://organic.ams.usda.gov/Integrity/Certificate.aspx?cid=46&amp;nopid=3672400012</v>
      </c>
    </row>
    <row r="2345">
      <c r="A2345" t="s">
        <v>3</v>
      </c>
      <c r="B2345" s="6" t="s">
        <v>8</v>
      </c>
      <c r="C2345" s="6" t="s">
        <v>55</v>
      </c>
      <c r="D2345" s="6" t="s">
        <v>101</v>
      </c>
      <c r="E2345" s="10" t="s">
        <v>2486</v>
      </c>
      <c r="F2345" s="6" t="s">
        <v>5193</v>
      </c>
      <c r="G2345" s="6" t="s">
        <v>81</v>
      </c>
      <c r="H2345" s="6" t="s">
        <v>8030</v>
      </c>
      <c r="I2345" s="6" t="s">
        <v>8964</v>
      </c>
      <c r="J2345" s="6" t="s">
        <v>10712</v>
      </c>
      <c r="K2345" s="6" t="s">
        <v>10886</v>
      </c>
      <c r="L2345" s="16" t="n">
        <v>39714</v>
      </c>
      <c r="M2345" s="16" t="n">
        <v>45383</v>
      </c>
      <c r="N2345" s="6" t="s">
        <v>10886</v>
      </c>
      <c r="O2345" s="16" t="n">
        <v>39714</v>
      </c>
      <c r="P2345" s="6" t="s">
        <v>12214</v>
      </c>
      <c r="Q2345" s="6" t="s">
        <v>81</v>
      </c>
      <c r="R2345" s="6" t="s">
        <v>8030</v>
      </c>
      <c r="S2345" s="6" t="s">
        <v>10886</v>
      </c>
      <c r="T2345" s="16" t="n">
        <v>39714</v>
      </c>
      <c r="U2345" s="6" t="s">
        <v>13173</v>
      </c>
      <c r="V2345" s="6" t="s">
        <v>81</v>
      </c>
      <c r="W2345" s="6" t="s">
        <v>8030</v>
      </c>
      <c r="X2345" s="6" t="s">
        <v>81</v>
      </c>
      <c r="Y2345" s="21" t="s">
        <v>81</v>
      </c>
      <c r="Z2345" s="6" t="s">
        <v>81</v>
      </c>
      <c r="AA2345" s="6" t="s">
        <v>81</v>
      </c>
      <c r="AB2345" s="6" t="s">
        <v>81</v>
      </c>
      <c r="AC2345" s="6" t="s">
        <v>81</v>
      </c>
      <c r="AD2345" s="21" t="s">
        <v>81</v>
      </c>
      <c r="AE2345" s="6" t="s">
        <v>81</v>
      </c>
      <c r="AF2345" s="6" t="s">
        <v>81</v>
      </c>
      <c r="AG2345" s="6" t="s">
        <v>81</v>
      </c>
      <c r="AH2345" s="6" t="s">
        <v>16887</v>
      </c>
      <c r="AI2345" s="6" t="s">
        <v>81</v>
      </c>
      <c r="AJ2345" s="6" t="s">
        <v>17377</v>
      </c>
      <c r="AK2345" s="6" t="s">
        <v>18377</v>
      </c>
      <c r="AL2345" s="6" t="s">
        <v>18444</v>
      </c>
      <c r="AM2345" s="6" t="s">
        <v>18530</v>
      </c>
      <c r="AN2345" s="6" t="s">
        <v>19638</v>
      </c>
      <c r="AO2345" s="6" t="s">
        <v>19724</v>
      </c>
      <c r="AP2345" s="6" t="s">
        <v>20418</v>
      </c>
      <c r="AQ2345" s="6" t="s">
        <v>81</v>
      </c>
      <c r="AR2345" s="6" t="s">
        <v>17377</v>
      </c>
      <c r="AS2345" s="6" t="s">
        <v>18377</v>
      </c>
      <c r="AT2345" s="6" t="s">
        <v>18444</v>
      </c>
      <c r="AU2345" s="6" t="s">
        <v>18530</v>
      </c>
      <c r="AV2345" s="6" t="s">
        <v>81</v>
      </c>
      <c r="AW2345" s="6" t="s">
        <v>81</v>
      </c>
      <c r="AX2345" s="6" t="s">
        <v>81</v>
      </c>
      <c r="AY2345" s="6" t="s">
        <v>23382</v>
      </c>
      <c r="AZ2345" s="6" t="s">
        <v>81</v>
      </c>
      <c r="BA2345" s="6" t="s">
        <v>23819</v>
      </c>
      <c r="BB2345" s="24" t="n">
        <v>627</v>
      </c>
      <c r="BC2345" s="26"/>
      <c r="BD2345" s="26"/>
      <c r="BE2345" s="26"/>
      <c r="BF2345" s="26" t="s">
        <v>23900</v>
      </c>
      <c r="BG2345" s="26"/>
      <c r="BH2345" s="26"/>
      <c r="BI2345" s="26"/>
      <c r="BJ2345" s="26"/>
      <c r="BK2345" s="26"/>
      <c r="BL2345" s="26"/>
      <c r="BM2345" s="26"/>
      <c r="BN2345" s="26"/>
      <c r="BO2345" s="26"/>
      <c r="BP2345" s="16" t="n">
        <v>45395</v>
      </c>
      <c r="BQ2345" s="28" t="str">
        <f>HYPERLINK("https://organic.ams.usda.gov/Integrity/Certificate.aspx?cid=45&amp;nopid=9950003190")</f>
        <v>https://organic.ams.usda.gov/Integrity/Certificate.aspx?cid=45&amp;nopid=9950003190</v>
      </c>
    </row>
    <row r="2346">
      <c r="A2346" t="s">
        <v>3</v>
      </c>
      <c r="B2346" s="6" t="s">
        <v>23</v>
      </c>
      <c r="C2346" s="6" t="s">
        <v>70</v>
      </c>
      <c r="D2346" s="6" t="s">
        <v>116</v>
      </c>
      <c r="E2346" s="10" t="s">
        <v>2487</v>
      </c>
      <c r="F2346" s="6" t="s">
        <v>5194</v>
      </c>
      <c r="G2346" s="6" t="s">
        <v>81</v>
      </c>
      <c r="H2346" s="6" t="s">
        <v>8031</v>
      </c>
      <c r="I2346" s="6" t="s">
        <v>8971</v>
      </c>
      <c r="J2346" s="6" t="s">
        <v>10713</v>
      </c>
      <c r="K2346" s="6" t="s">
        <v>10886</v>
      </c>
      <c r="L2346" s="16" t="n">
        <v>43272</v>
      </c>
      <c r="M2346" s="16" t="n">
        <v>45829</v>
      </c>
      <c r="N2346" s="6" t="s">
        <v>10886</v>
      </c>
      <c r="O2346" s="16" t="n">
        <v>43272</v>
      </c>
      <c r="P2346" s="6" t="s">
        <v>12215</v>
      </c>
      <c r="Q2346" s="6" t="s">
        <v>81</v>
      </c>
      <c r="R2346" s="6" t="s">
        <v>13069</v>
      </c>
      <c r="S2346" s="6" t="s">
        <v>10886</v>
      </c>
      <c r="T2346" s="16" t="n">
        <v>43272</v>
      </c>
      <c r="U2346" s="6" t="s">
        <v>13298</v>
      </c>
      <c r="V2346" s="6" t="s">
        <v>81</v>
      </c>
      <c r="W2346" s="6" t="s">
        <v>13069</v>
      </c>
      <c r="X2346" s="6" t="s">
        <v>81</v>
      </c>
      <c r="Y2346" s="21" t="s">
        <v>81</v>
      </c>
      <c r="Z2346" s="6" t="s">
        <v>81</v>
      </c>
      <c r="AA2346" s="6" t="s">
        <v>81</v>
      </c>
      <c r="AB2346" s="6" t="s">
        <v>81</v>
      </c>
      <c r="AC2346" s="6" t="s">
        <v>81</v>
      </c>
      <c r="AD2346" s="21" t="s">
        <v>81</v>
      </c>
      <c r="AE2346" s="6" t="s">
        <v>81</v>
      </c>
      <c r="AF2346" s="6" t="s">
        <v>81</v>
      </c>
      <c r="AG2346" s="6" t="s">
        <v>81</v>
      </c>
      <c r="AH2346" s="6" t="s">
        <v>81</v>
      </c>
      <c r="AI2346" s="6" t="s">
        <v>81</v>
      </c>
      <c r="AJ2346" s="6" t="s">
        <v>81</v>
      </c>
      <c r="AK2346" s="6" t="s">
        <v>81</v>
      </c>
      <c r="AL2346" s="6" t="s">
        <v>81</v>
      </c>
      <c r="AM2346" s="6" t="s">
        <v>81</v>
      </c>
      <c r="AN2346" s="6" t="s">
        <v>81</v>
      </c>
      <c r="AO2346" s="6" t="s">
        <v>81</v>
      </c>
      <c r="AP2346" s="6" t="s">
        <v>20419</v>
      </c>
      <c r="AQ2346" s="6" t="s">
        <v>81</v>
      </c>
      <c r="AR2346" s="6" t="s">
        <v>17623</v>
      </c>
      <c r="AS2346" s="6" t="s">
        <v>18386</v>
      </c>
      <c r="AT2346" s="6" t="s">
        <v>18444</v>
      </c>
      <c r="AU2346" s="6" t="s">
        <v>18790</v>
      </c>
      <c r="AV2346" s="6" t="s">
        <v>19651</v>
      </c>
      <c r="AW2346" s="6" t="s">
        <v>19864</v>
      </c>
      <c r="AX2346" s="6" t="s">
        <v>22279</v>
      </c>
      <c r="AY2346" s="6" t="s">
        <v>23383</v>
      </c>
      <c r="AZ2346" s="6" t="s">
        <v>81</v>
      </c>
      <c r="BA2346" s="6" t="s">
        <v>81</v>
      </c>
      <c r="BB2346" s="24" t="n">
        <v>475</v>
      </c>
      <c r="BC2346" s="26"/>
      <c r="BD2346" s="26"/>
      <c r="BE2346" s="26"/>
      <c r="BF2346" s="26"/>
      <c r="BG2346" s="26"/>
      <c r="BH2346" s="26"/>
      <c r="BI2346" s="26"/>
      <c r="BJ2346" s="26"/>
      <c r="BK2346" s="26"/>
      <c r="BL2346" s="26"/>
      <c r="BM2346" s="26"/>
      <c r="BN2346" s="26"/>
      <c r="BO2346" s="26"/>
      <c r="BP2346" s="16" t="n">
        <v>45496</v>
      </c>
      <c r="BQ2346" s="28" t="str">
        <f>HYPERLINK("https://organic.ams.usda.gov/Integrity/Certificate.aspx?cid=63&amp;nopid=6220007868")</f>
        <v>https://organic.ams.usda.gov/Integrity/Certificate.aspx?cid=63&amp;nopid=6220007868</v>
      </c>
    </row>
    <row r="2347">
      <c r="A2347" t="s">
        <v>3</v>
      </c>
      <c r="B2347" s="6" t="s">
        <v>8</v>
      </c>
      <c r="C2347" s="6" t="s">
        <v>55</v>
      </c>
      <c r="D2347" s="6" t="s">
        <v>101</v>
      </c>
      <c r="E2347" s="10" t="s">
        <v>2488</v>
      </c>
      <c r="F2347" s="6" t="s">
        <v>5195</v>
      </c>
      <c r="G2347" s="6" t="s">
        <v>81</v>
      </c>
      <c r="H2347" s="6" t="s">
        <v>8032</v>
      </c>
      <c r="I2347" s="6" t="s">
        <v>8418</v>
      </c>
      <c r="J2347" s="6" t="s">
        <v>10714</v>
      </c>
      <c r="K2347" s="6" t="s">
        <v>10886</v>
      </c>
      <c r="L2347" s="16" t="n">
        <v>38258</v>
      </c>
      <c r="M2347" s="16" t="n">
        <v>45748</v>
      </c>
      <c r="N2347" s="6" t="s">
        <v>10886</v>
      </c>
      <c r="O2347" s="16" t="n">
        <v>38258</v>
      </c>
      <c r="P2347" s="6" t="s">
        <v>12216</v>
      </c>
      <c r="Q2347" s="6" t="s">
        <v>81</v>
      </c>
      <c r="R2347" s="6" t="s">
        <v>8032</v>
      </c>
      <c r="S2347" s="6" t="s">
        <v>10886</v>
      </c>
      <c r="T2347" s="16" t="n">
        <v>38258</v>
      </c>
      <c r="U2347" s="6" t="s">
        <v>13221</v>
      </c>
      <c r="V2347" s="6" t="s">
        <v>81</v>
      </c>
      <c r="W2347" s="6" t="s">
        <v>8032</v>
      </c>
      <c r="X2347" s="6" t="s">
        <v>81</v>
      </c>
      <c r="Y2347" s="21" t="s">
        <v>81</v>
      </c>
      <c r="Z2347" s="6" t="s">
        <v>81</v>
      </c>
      <c r="AA2347" s="6" t="s">
        <v>81</v>
      </c>
      <c r="AB2347" s="6" t="s">
        <v>81</v>
      </c>
      <c r="AC2347" s="6" t="s">
        <v>81</v>
      </c>
      <c r="AD2347" s="21" t="s">
        <v>81</v>
      </c>
      <c r="AE2347" s="6" t="s">
        <v>81</v>
      </c>
      <c r="AF2347" s="6" t="s">
        <v>81</v>
      </c>
      <c r="AG2347" s="6" t="s">
        <v>81</v>
      </c>
      <c r="AH2347" s="6" t="s">
        <v>16888</v>
      </c>
      <c r="AI2347" s="6" t="s">
        <v>81</v>
      </c>
      <c r="AJ2347" s="6" t="s">
        <v>18099</v>
      </c>
      <c r="AK2347" s="6" t="s">
        <v>18377</v>
      </c>
      <c r="AL2347" s="6" t="s">
        <v>18444</v>
      </c>
      <c r="AM2347" s="6" t="s">
        <v>19296</v>
      </c>
      <c r="AN2347" s="6" t="s">
        <v>19634</v>
      </c>
      <c r="AO2347" s="6" t="s">
        <v>19764</v>
      </c>
      <c r="AP2347" s="6" t="s">
        <v>20420</v>
      </c>
      <c r="AQ2347" s="6" t="s">
        <v>81</v>
      </c>
      <c r="AR2347" s="6" t="s">
        <v>18099</v>
      </c>
      <c r="AS2347" s="6" t="s">
        <v>18377</v>
      </c>
      <c r="AT2347" s="6" t="s">
        <v>18444</v>
      </c>
      <c r="AU2347" s="6" t="s">
        <v>19296</v>
      </c>
      <c r="AV2347" s="6" t="s">
        <v>81</v>
      </c>
      <c r="AW2347" s="6" t="s">
        <v>81</v>
      </c>
      <c r="AX2347" s="6" t="s">
        <v>81</v>
      </c>
      <c r="AY2347" s="6" t="s">
        <v>23384</v>
      </c>
      <c r="AZ2347" s="6" t="s">
        <v>81</v>
      </c>
      <c r="BA2347" s="6" t="s">
        <v>23824</v>
      </c>
      <c r="BB2347" s="24" t="n">
        <v>386</v>
      </c>
      <c r="BC2347" s="26"/>
      <c r="BD2347" s="26"/>
      <c r="BE2347" s="26"/>
      <c r="BF2347" s="26" t="s">
        <v>23900</v>
      </c>
      <c r="BG2347" s="26"/>
      <c r="BH2347" s="26"/>
      <c r="BI2347" s="26"/>
      <c r="BJ2347" s="26"/>
      <c r="BK2347" s="26"/>
      <c r="BL2347" s="26"/>
      <c r="BM2347" s="26"/>
      <c r="BN2347" s="26"/>
      <c r="BO2347" s="26"/>
      <c r="BP2347" s="16" t="n">
        <v>45511</v>
      </c>
      <c r="BQ2347" s="28" t="str">
        <f>HYPERLINK("https://organic.ams.usda.gov/Integrity/Certificate.aspx?cid=45&amp;nopid=9950001699")</f>
        <v>https://organic.ams.usda.gov/Integrity/Certificate.aspx?cid=45&amp;nopid=9950001699</v>
      </c>
    </row>
    <row r="2348">
      <c r="A2348" t="s">
        <v>3</v>
      </c>
      <c r="B2348" s="6" t="s">
        <v>8</v>
      </c>
      <c r="C2348" s="6" t="s">
        <v>55</v>
      </c>
      <c r="D2348" s="6" t="s">
        <v>101</v>
      </c>
      <c r="E2348" s="10" t="s">
        <v>2489</v>
      </c>
      <c r="F2348" s="6" t="s">
        <v>5196</v>
      </c>
      <c r="G2348" s="6" t="s">
        <v>81</v>
      </c>
      <c r="H2348" s="6" t="s">
        <v>8033</v>
      </c>
      <c r="I2348" s="6" t="s">
        <v>8861</v>
      </c>
      <c r="J2348" s="6" t="s">
        <v>10715</v>
      </c>
      <c r="K2348" s="6" t="s">
        <v>10886</v>
      </c>
      <c r="L2348" s="16" t="n">
        <v>43706</v>
      </c>
      <c r="M2348" s="16" t="n">
        <v>45748</v>
      </c>
      <c r="N2348" s="6" t="s">
        <v>81</v>
      </c>
      <c r="O2348" s="21" t="s">
        <v>81</v>
      </c>
      <c r="P2348" s="6" t="s">
        <v>81</v>
      </c>
      <c r="Q2348" s="6" t="s">
        <v>81</v>
      </c>
      <c r="R2348" s="6" t="s">
        <v>81</v>
      </c>
      <c r="S2348" s="6" t="s">
        <v>81</v>
      </c>
      <c r="T2348" s="21" t="s">
        <v>81</v>
      </c>
      <c r="U2348" s="6" t="s">
        <v>81</v>
      </c>
      <c r="V2348" s="6" t="s">
        <v>81</v>
      </c>
      <c r="W2348" s="6" t="s">
        <v>81</v>
      </c>
      <c r="X2348" s="6" t="s">
        <v>81</v>
      </c>
      <c r="Y2348" s="21" t="s">
        <v>81</v>
      </c>
      <c r="Z2348" s="6" t="s">
        <v>81</v>
      </c>
      <c r="AA2348" s="6" t="s">
        <v>81</v>
      </c>
      <c r="AB2348" s="6" t="s">
        <v>81</v>
      </c>
      <c r="AC2348" s="6" t="s">
        <v>10886</v>
      </c>
      <c r="AD2348" s="16" t="n">
        <v>43706</v>
      </c>
      <c r="AE2348" s="6" t="s">
        <v>14415</v>
      </c>
      <c r="AF2348" s="6" t="s">
        <v>81</v>
      </c>
      <c r="AG2348" s="6" t="s">
        <v>8033</v>
      </c>
      <c r="AH2348" s="6" t="s">
        <v>16889</v>
      </c>
      <c r="AI2348" s="6" t="s">
        <v>81</v>
      </c>
      <c r="AJ2348" s="6" t="s">
        <v>18271</v>
      </c>
      <c r="AK2348" s="6" t="s">
        <v>18377</v>
      </c>
      <c r="AL2348" s="6" t="s">
        <v>18444</v>
      </c>
      <c r="AM2348" s="6" t="s">
        <v>19497</v>
      </c>
      <c r="AN2348" s="6" t="s">
        <v>19677</v>
      </c>
      <c r="AO2348" s="6" t="s">
        <v>19792</v>
      </c>
      <c r="AP2348" s="6" t="s">
        <v>81</v>
      </c>
      <c r="AQ2348" s="6" t="s">
        <v>81</v>
      </c>
      <c r="AR2348" s="6" t="s">
        <v>81</v>
      </c>
      <c r="AS2348" s="6" t="s">
        <v>81</v>
      </c>
      <c r="AT2348" s="6" t="s">
        <v>81</v>
      </c>
      <c r="AU2348" s="6" t="s">
        <v>81</v>
      </c>
      <c r="AV2348" s="6" t="s">
        <v>81</v>
      </c>
      <c r="AW2348" s="6" t="s">
        <v>81</v>
      </c>
      <c r="AX2348" s="6" t="s">
        <v>81</v>
      </c>
      <c r="AY2348" s="6" t="s">
        <v>23385</v>
      </c>
      <c r="AZ2348" s="6" t="s">
        <v>81</v>
      </c>
      <c r="BA2348" s="6" t="s">
        <v>81</v>
      </c>
      <c r="BB2348" s="24" t="n">
        <v>0</v>
      </c>
      <c r="BC2348" s="26"/>
      <c r="BD2348" s="26"/>
      <c r="BE2348" s="26"/>
      <c r="BF2348" s="26"/>
      <c r="BG2348" s="26"/>
      <c r="BH2348" s="26"/>
      <c r="BI2348" s="26"/>
      <c r="BJ2348" s="26"/>
      <c r="BK2348" s="26"/>
      <c r="BL2348" s="26"/>
      <c r="BM2348" s="26"/>
      <c r="BN2348" s="26"/>
      <c r="BO2348" s="26"/>
      <c r="BP2348" s="16" t="n">
        <v>45579</v>
      </c>
      <c r="BQ2348" s="28" t="str">
        <f>HYPERLINK("https://organic.ams.usda.gov/Integrity/Certificate.aspx?cid=45&amp;nopid=9950011952")</f>
        <v>https://organic.ams.usda.gov/Integrity/Certificate.aspx?cid=45&amp;nopid=9950011952</v>
      </c>
    </row>
    <row r="2349">
      <c r="A2349" t="s">
        <v>3</v>
      </c>
      <c r="B2349" s="6" t="s">
        <v>7</v>
      </c>
      <c r="C2349" s="6" t="s">
        <v>54</v>
      </c>
      <c r="D2349" s="6" t="s">
        <v>100</v>
      </c>
      <c r="E2349" s="10" t="s">
        <v>2490</v>
      </c>
      <c r="F2349" s="6" t="s">
        <v>5197</v>
      </c>
      <c r="G2349" s="6" t="s">
        <v>81</v>
      </c>
      <c r="H2349" s="6" t="s">
        <v>8034</v>
      </c>
      <c r="I2349" s="6" t="s">
        <v>9508</v>
      </c>
      <c r="J2349" s="6" t="s">
        <v>10716</v>
      </c>
      <c r="K2349" s="6" t="s">
        <v>10886</v>
      </c>
      <c r="L2349" s="16" t="n">
        <v>39234</v>
      </c>
      <c r="M2349" s="16" t="n">
        <v>45716</v>
      </c>
      <c r="N2349" s="6" t="s">
        <v>10886</v>
      </c>
      <c r="O2349" s="16" t="n">
        <v>39234</v>
      </c>
      <c r="P2349" s="6" t="s">
        <v>10910</v>
      </c>
      <c r="Q2349" s="6" t="s">
        <v>81</v>
      </c>
      <c r="R2349" s="6" t="s">
        <v>81</v>
      </c>
      <c r="S2349" s="6" t="s">
        <v>10886</v>
      </c>
      <c r="T2349" s="16" t="n">
        <v>39241</v>
      </c>
      <c r="U2349" s="6" t="s">
        <v>13225</v>
      </c>
      <c r="V2349" s="6" t="s">
        <v>81</v>
      </c>
      <c r="W2349" s="6" t="s">
        <v>81</v>
      </c>
      <c r="X2349" s="6" t="s">
        <v>81</v>
      </c>
      <c r="Y2349" s="21" t="s">
        <v>81</v>
      </c>
      <c r="Z2349" s="6" t="s">
        <v>81</v>
      </c>
      <c r="AA2349" s="6" t="s">
        <v>81</v>
      </c>
      <c r="AB2349" s="6" t="s">
        <v>81</v>
      </c>
      <c r="AC2349" s="6" t="s">
        <v>81</v>
      </c>
      <c r="AD2349" s="21" t="s">
        <v>81</v>
      </c>
      <c r="AE2349" s="6" t="s">
        <v>81</v>
      </c>
      <c r="AF2349" s="6" t="s">
        <v>81</v>
      </c>
      <c r="AG2349" s="6" t="s">
        <v>81</v>
      </c>
      <c r="AH2349" s="6" t="s">
        <v>16890</v>
      </c>
      <c r="AI2349" s="6" t="s">
        <v>81</v>
      </c>
      <c r="AJ2349" s="6" t="s">
        <v>17476</v>
      </c>
      <c r="AK2349" s="6" t="s">
        <v>17712</v>
      </c>
      <c r="AL2349" s="6" t="s">
        <v>18444</v>
      </c>
      <c r="AM2349" s="6" t="s">
        <v>18638</v>
      </c>
      <c r="AN2349" s="6" t="s">
        <v>19670</v>
      </c>
      <c r="AO2349" s="6" t="s">
        <v>19782</v>
      </c>
      <c r="AP2349" s="6" t="s">
        <v>16890</v>
      </c>
      <c r="AQ2349" s="6" t="s">
        <v>81</v>
      </c>
      <c r="AR2349" s="6" t="s">
        <v>17476</v>
      </c>
      <c r="AS2349" s="6" t="s">
        <v>17712</v>
      </c>
      <c r="AT2349" s="6" t="s">
        <v>18444</v>
      </c>
      <c r="AU2349" s="6" t="s">
        <v>18638</v>
      </c>
      <c r="AV2349" s="6" t="s">
        <v>81</v>
      </c>
      <c r="AW2349" s="6" t="s">
        <v>81</v>
      </c>
      <c r="AX2349" s="6" t="s">
        <v>22280</v>
      </c>
      <c r="AY2349" s="6" t="s">
        <v>23386</v>
      </c>
      <c r="AZ2349" s="6" t="s">
        <v>23770</v>
      </c>
      <c r="BA2349" s="6" t="s">
        <v>81</v>
      </c>
      <c r="BB2349" s="24" t="n">
        <v>226</v>
      </c>
      <c r="BC2349" s="26"/>
      <c r="BD2349" s="26"/>
      <c r="BE2349" s="26"/>
      <c r="BF2349" s="26" t="s">
        <v>23900</v>
      </c>
      <c r="BG2349" s="26"/>
      <c r="BH2349" s="26"/>
      <c r="BI2349" s="26"/>
      <c r="BJ2349" s="26"/>
      <c r="BK2349" s="26"/>
      <c r="BL2349" s="26"/>
      <c r="BM2349" s="26"/>
      <c r="BN2349" s="26"/>
      <c r="BO2349" s="26"/>
      <c r="BP2349" s="16" t="n">
        <v>45595</v>
      </c>
      <c r="BQ2349" s="28" t="str">
        <f>HYPERLINK("https://organic.ams.usda.gov/Integrity/Certificate.aspx?cid=57&amp;nopid=3252006146")</f>
        <v>https://organic.ams.usda.gov/Integrity/Certificate.aspx?cid=57&amp;nopid=3252006146</v>
      </c>
    </row>
    <row r="2350">
      <c r="A2350" t="s">
        <v>3</v>
      </c>
      <c r="B2350" s="6" t="s">
        <v>21</v>
      </c>
      <c r="C2350" s="6" t="s">
        <v>68</v>
      </c>
      <c r="D2350" s="6" t="s">
        <v>114</v>
      </c>
      <c r="E2350" s="10" t="s">
        <v>2491</v>
      </c>
      <c r="F2350" s="6" t="s">
        <v>5198</v>
      </c>
      <c r="G2350" s="6" t="s">
        <v>81</v>
      </c>
      <c r="H2350" s="6" t="s">
        <v>8035</v>
      </c>
      <c r="I2350" s="6" t="s">
        <v>9509</v>
      </c>
      <c r="J2350" s="6" t="s">
        <v>10717</v>
      </c>
      <c r="K2350" s="6" t="s">
        <v>10886</v>
      </c>
      <c r="L2350" s="16" t="n">
        <v>44740</v>
      </c>
      <c r="M2350" s="16" t="n">
        <v>46023</v>
      </c>
      <c r="N2350" s="6" t="s">
        <v>81</v>
      </c>
      <c r="O2350" s="21" t="s">
        <v>81</v>
      </c>
      <c r="P2350" s="6" t="s">
        <v>81</v>
      </c>
      <c r="Q2350" s="6" t="s">
        <v>81</v>
      </c>
      <c r="R2350" s="6" t="s">
        <v>81</v>
      </c>
      <c r="S2350" s="6" t="s">
        <v>81</v>
      </c>
      <c r="T2350" s="21" t="s">
        <v>81</v>
      </c>
      <c r="U2350" s="6" t="s">
        <v>81</v>
      </c>
      <c r="V2350" s="6" t="s">
        <v>81</v>
      </c>
      <c r="W2350" s="6" t="s">
        <v>81</v>
      </c>
      <c r="X2350" s="6" t="s">
        <v>81</v>
      </c>
      <c r="Y2350" s="21" t="s">
        <v>81</v>
      </c>
      <c r="Z2350" s="6" t="s">
        <v>81</v>
      </c>
      <c r="AA2350" s="6" t="s">
        <v>81</v>
      </c>
      <c r="AB2350" s="6" t="s">
        <v>81</v>
      </c>
      <c r="AC2350" s="6" t="s">
        <v>10886</v>
      </c>
      <c r="AD2350" s="16" t="n">
        <v>44740</v>
      </c>
      <c r="AE2350" s="6" t="s">
        <v>14416</v>
      </c>
      <c r="AF2350" s="6" t="s">
        <v>81</v>
      </c>
      <c r="AG2350" s="6" t="s">
        <v>81</v>
      </c>
      <c r="AH2350" s="6" t="s">
        <v>81</v>
      </c>
      <c r="AI2350" s="6" t="s">
        <v>81</v>
      </c>
      <c r="AJ2350" s="6" t="s">
        <v>81</v>
      </c>
      <c r="AK2350" s="6" t="s">
        <v>81</v>
      </c>
      <c r="AL2350" s="6" t="s">
        <v>81</v>
      </c>
      <c r="AM2350" s="6" t="s">
        <v>81</v>
      </c>
      <c r="AN2350" s="6" t="s">
        <v>81</v>
      </c>
      <c r="AO2350" s="6" t="s">
        <v>81</v>
      </c>
      <c r="AP2350" s="6" t="s">
        <v>20421</v>
      </c>
      <c r="AQ2350" s="6" t="s">
        <v>81</v>
      </c>
      <c r="AR2350" s="6" t="s">
        <v>8503</v>
      </c>
      <c r="AS2350" s="6" t="s">
        <v>18395</v>
      </c>
      <c r="AT2350" s="6" t="s">
        <v>18444</v>
      </c>
      <c r="AU2350" s="6" t="s">
        <v>20702</v>
      </c>
      <c r="AV2350" s="6" t="s">
        <v>19699</v>
      </c>
      <c r="AW2350" s="6" t="s">
        <v>19879</v>
      </c>
      <c r="AX2350" s="6" t="s">
        <v>22281</v>
      </c>
      <c r="AY2350" s="6" t="s">
        <v>23387</v>
      </c>
      <c r="AZ2350" s="6" t="s">
        <v>81</v>
      </c>
      <c r="BA2350" s="6" t="s">
        <v>81</v>
      </c>
      <c r="BB2350" s="6" t="s">
        <v>81</v>
      </c>
      <c r="BC2350" s="26"/>
      <c r="BD2350" s="26"/>
      <c r="BE2350" s="26"/>
      <c r="BF2350" s="26"/>
      <c r="BG2350" s="26"/>
      <c r="BH2350" s="26" t="s">
        <v>23900</v>
      </c>
      <c r="BI2350" s="26"/>
      <c r="BJ2350" s="26"/>
      <c r="BK2350" s="26"/>
      <c r="BL2350" s="26" t="s">
        <v>23900</v>
      </c>
      <c r="BM2350" s="26"/>
      <c r="BN2350" s="26"/>
      <c r="BO2350" s="26"/>
      <c r="BP2350" s="16" t="n">
        <v>45709</v>
      </c>
      <c r="BQ2350" s="28" t="str">
        <f>HYPERLINK("https://organic.ams.usda.gov/Integrity/Certificate.aspx?cid=62&amp;nopid=8150019679")</f>
        <v>https://organic.ams.usda.gov/Integrity/Certificate.aspx?cid=62&amp;nopid=8150019679</v>
      </c>
    </row>
    <row r="2351">
      <c r="A2351" t="s">
        <v>3</v>
      </c>
      <c r="B2351" s="6" t="s">
        <v>28</v>
      </c>
      <c r="C2351" s="6" t="s">
        <v>75</v>
      </c>
      <c r="D2351" s="6" t="s">
        <v>121</v>
      </c>
      <c r="E2351" s="10" t="s">
        <v>2492</v>
      </c>
      <c r="F2351" s="6" t="s">
        <v>5199</v>
      </c>
      <c r="G2351" s="6" t="s">
        <v>81</v>
      </c>
      <c r="H2351" s="6" t="s">
        <v>8036</v>
      </c>
      <c r="I2351" s="6" t="s">
        <v>8564</v>
      </c>
      <c r="J2351" s="6" t="s">
        <v>10718</v>
      </c>
      <c r="K2351" s="6" t="s">
        <v>10886</v>
      </c>
      <c r="L2351" s="16" t="n">
        <v>43691</v>
      </c>
      <c r="M2351" s="16" t="n">
        <v>45383</v>
      </c>
      <c r="N2351" s="6" t="s">
        <v>10886</v>
      </c>
      <c r="O2351" s="16" t="n">
        <v>43691</v>
      </c>
      <c r="P2351" s="6" t="s">
        <v>12217</v>
      </c>
      <c r="Q2351" s="6" t="s">
        <v>81</v>
      </c>
      <c r="R2351" s="6" t="s">
        <v>81</v>
      </c>
      <c r="S2351" s="6" t="s">
        <v>10886</v>
      </c>
      <c r="T2351" s="16" t="n">
        <v>43691</v>
      </c>
      <c r="U2351" s="6" t="s">
        <v>13858</v>
      </c>
      <c r="V2351" s="6" t="s">
        <v>81</v>
      </c>
      <c r="W2351" s="6" t="s">
        <v>81</v>
      </c>
      <c r="X2351" s="6" t="s">
        <v>81</v>
      </c>
      <c r="Y2351" s="21" t="s">
        <v>81</v>
      </c>
      <c r="Z2351" s="6" t="s">
        <v>81</v>
      </c>
      <c r="AA2351" s="6" t="s">
        <v>81</v>
      </c>
      <c r="AB2351" s="6" t="s">
        <v>81</v>
      </c>
      <c r="AC2351" s="6" t="s">
        <v>10886</v>
      </c>
      <c r="AD2351" s="16" t="n">
        <v>43691</v>
      </c>
      <c r="AE2351" s="6" t="s">
        <v>14417</v>
      </c>
      <c r="AF2351" s="6" t="s">
        <v>81</v>
      </c>
      <c r="AG2351" s="6" t="s">
        <v>81</v>
      </c>
      <c r="AH2351" s="6" t="s">
        <v>16891</v>
      </c>
      <c r="AI2351" s="6" t="s">
        <v>81</v>
      </c>
      <c r="AJ2351" s="6" t="s">
        <v>18272</v>
      </c>
      <c r="AK2351" s="6" t="s">
        <v>18380</v>
      </c>
      <c r="AL2351" s="6" t="s">
        <v>18444</v>
      </c>
      <c r="AM2351" s="6" t="s">
        <v>19498</v>
      </c>
      <c r="AN2351" s="6" t="s">
        <v>19665</v>
      </c>
      <c r="AO2351" s="6" t="s">
        <v>19755</v>
      </c>
      <c r="AP2351" s="6" t="s">
        <v>81</v>
      </c>
      <c r="AQ2351" s="6" t="s">
        <v>81</v>
      </c>
      <c r="AR2351" s="6" t="s">
        <v>81</v>
      </c>
      <c r="AS2351" s="6" t="s">
        <v>81</v>
      </c>
      <c r="AT2351" s="6" t="s">
        <v>81</v>
      </c>
      <c r="AU2351" s="6" t="s">
        <v>81</v>
      </c>
      <c r="AV2351" s="6" t="s">
        <v>81</v>
      </c>
      <c r="AW2351" s="6" t="s">
        <v>81</v>
      </c>
      <c r="AX2351" s="6" t="s">
        <v>22282</v>
      </c>
      <c r="AY2351" s="6" t="s">
        <v>23388</v>
      </c>
      <c r="AZ2351" s="6" t="s">
        <v>23771</v>
      </c>
      <c r="BA2351" s="6" t="s">
        <v>81</v>
      </c>
      <c r="BB2351" s="24" t="n">
        <v>316</v>
      </c>
      <c r="BC2351" s="26"/>
      <c r="BD2351" s="26"/>
      <c r="BE2351" s="26"/>
      <c r="BF2351" s="26" t="s">
        <v>23900</v>
      </c>
      <c r="BG2351" s="26"/>
      <c r="BH2351" s="26"/>
      <c r="BI2351" s="26"/>
      <c r="BJ2351" s="26"/>
      <c r="BK2351" s="26"/>
      <c r="BL2351" s="26"/>
      <c r="BM2351" s="26"/>
      <c r="BN2351" s="26"/>
      <c r="BO2351" s="26"/>
      <c r="BP2351" s="16" t="n">
        <v>45422</v>
      </c>
      <c r="BQ2351" s="28" t="str">
        <f>HYPERLINK("https://organic.ams.usda.gov/Integrity/Certificate.aspx?cid=64&amp;nopid=8830001310")</f>
        <v>https://organic.ams.usda.gov/Integrity/Certificate.aspx?cid=64&amp;nopid=8830001310</v>
      </c>
    </row>
    <row r="2352">
      <c r="A2352" t="s">
        <v>3</v>
      </c>
      <c r="B2352" s="6" t="s">
        <v>8</v>
      </c>
      <c r="C2352" s="6" t="s">
        <v>55</v>
      </c>
      <c r="D2352" s="6" t="s">
        <v>101</v>
      </c>
      <c r="E2352" s="10" t="s">
        <v>2493</v>
      </c>
      <c r="F2352" s="6" t="s">
        <v>5200</v>
      </c>
      <c r="G2352" s="6" t="s">
        <v>81</v>
      </c>
      <c r="H2352" s="6" t="s">
        <v>8037</v>
      </c>
      <c r="I2352" s="6" t="s">
        <v>9510</v>
      </c>
      <c r="J2352" s="6" t="s">
        <v>9215</v>
      </c>
      <c r="K2352" s="6" t="s">
        <v>10886</v>
      </c>
      <c r="L2352" s="16" t="n">
        <v>40743</v>
      </c>
      <c r="M2352" s="16" t="n">
        <v>45748</v>
      </c>
      <c r="N2352" s="6" t="s">
        <v>10886</v>
      </c>
      <c r="O2352" s="16" t="n">
        <v>40743</v>
      </c>
      <c r="P2352" s="6" t="s">
        <v>12218</v>
      </c>
      <c r="Q2352" s="6" t="s">
        <v>81</v>
      </c>
      <c r="R2352" s="6" t="s">
        <v>8037</v>
      </c>
      <c r="S2352" s="6" t="s">
        <v>10886</v>
      </c>
      <c r="T2352" s="16" t="n">
        <v>40743</v>
      </c>
      <c r="U2352" s="6" t="s">
        <v>13179</v>
      </c>
      <c r="V2352" s="6" t="s">
        <v>81</v>
      </c>
      <c r="W2352" s="6" t="s">
        <v>8037</v>
      </c>
      <c r="X2352" s="6" t="s">
        <v>81</v>
      </c>
      <c r="Y2352" s="21" t="s">
        <v>81</v>
      </c>
      <c r="Z2352" s="6" t="s">
        <v>81</v>
      </c>
      <c r="AA2352" s="6" t="s">
        <v>81</v>
      </c>
      <c r="AB2352" s="6" t="s">
        <v>81</v>
      </c>
      <c r="AC2352" s="6" t="s">
        <v>81</v>
      </c>
      <c r="AD2352" s="21" t="s">
        <v>81</v>
      </c>
      <c r="AE2352" s="6" t="s">
        <v>81</v>
      </c>
      <c r="AF2352" s="6" t="s">
        <v>81</v>
      </c>
      <c r="AG2352" s="6" t="s">
        <v>81</v>
      </c>
      <c r="AH2352" s="6" t="s">
        <v>16892</v>
      </c>
      <c r="AI2352" s="6" t="s">
        <v>81</v>
      </c>
      <c r="AJ2352" s="6" t="s">
        <v>18273</v>
      </c>
      <c r="AK2352" s="6" t="s">
        <v>18384</v>
      </c>
      <c r="AL2352" s="6" t="s">
        <v>18444</v>
      </c>
      <c r="AM2352" s="6" t="s">
        <v>19499</v>
      </c>
      <c r="AN2352" s="6" t="s">
        <v>19691</v>
      </c>
      <c r="AO2352" s="6" t="s">
        <v>20055</v>
      </c>
      <c r="AP2352" s="6" t="s">
        <v>81</v>
      </c>
      <c r="AQ2352" s="6" t="s">
        <v>81</v>
      </c>
      <c r="AR2352" s="6" t="s">
        <v>81</v>
      </c>
      <c r="AS2352" s="6" t="s">
        <v>81</v>
      </c>
      <c r="AT2352" s="6" t="s">
        <v>81</v>
      </c>
      <c r="AU2352" s="6" t="s">
        <v>81</v>
      </c>
      <c r="AV2352" s="6" t="s">
        <v>81</v>
      </c>
      <c r="AW2352" s="6" t="s">
        <v>81</v>
      </c>
      <c r="AX2352" s="6" t="s">
        <v>81</v>
      </c>
      <c r="AY2352" s="6" t="s">
        <v>23389</v>
      </c>
      <c r="AZ2352" s="6" t="s">
        <v>23772</v>
      </c>
      <c r="BA2352" s="6" t="s">
        <v>23819</v>
      </c>
      <c r="BB2352" s="24" t="n">
        <v>607</v>
      </c>
      <c r="BC2352" s="26"/>
      <c r="BD2352" s="26"/>
      <c r="BE2352" s="26"/>
      <c r="BF2352" s="26" t="s">
        <v>23900</v>
      </c>
      <c r="BG2352" s="26"/>
      <c r="BH2352" s="26"/>
      <c r="BI2352" s="26"/>
      <c r="BJ2352" s="26"/>
      <c r="BK2352" s="26"/>
      <c r="BL2352" s="26"/>
      <c r="BM2352" s="26"/>
      <c r="BN2352" s="26"/>
      <c r="BO2352" s="26"/>
      <c r="BP2352" s="16" t="n">
        <v>45660</v>
      </c>
      <c r="BQ2352" s="28" t="str">
        <f>HYPERLINK("https://organic.ams.usda.gov/Integrity/Certificate.aspx?cid=45&amp;nopid=9950002967")</f>
        <v>https://organic.ams.usda.gov/Integrity/Certificate.aspx?cid=45&amp;nopid=9950002967</v>
      </c>
    </row>
    <row r="2353">
      <c r="A2353" t="s">
        <v>3</v>
      </c>
      <c r="B2353" s="6" t="s">
        <v>16</v>
      </c>
      <c r="C2353" s="6" t="s">
        <v>63</v>
      </c>
      <c r="D2353" s="6" t="s">
        <v>109</v>
      </c>
      <c r="E2353" s="10" t="s">
        <v>2494</v>
      </c>
      <c r="F2353" s="6" t="s">
        <v>5201</v>
      </c>
      <c r="G2353" s="6" t="s">
        <v>5847</v>
      </c>
      <c r="H2353" s="6" t="s">
        <v>8038</v>
      </c>
      <c r="I2353" s="6" t="s">
        <v>9449</v>
      </c>
      <c r="J2353" s="6" t="s">
        <v>10719</v>
      </c>
      <c r="K2353" s="6" t="s">
        <v>10886</v>
      </c>
      <c r="L2353" s="16" t="n">
        <v>39241</v>
      </c>
      <c r="M2353" s="16" t="n">
        <v>45731</v>
      </c>
      <c r="N2353" s="6" t="s">
        <v>10886</v>
      </c>
      <c r="O2353" s="16" t="n">
        <v>39241</v>
      </c>
      <c r="P2353" s="6" t="s">
        <v>12219</v>
      </c>
      <c r="Q2353" s="6" t="s">
        <v>81</v>
      </c>
      <c r="R2353" s="6" t="s">
        <v>81</v>
      </c>
      <c r="S2353" s="6" t="s">
        <v>10886</v>
      </c>
      <c r="T2353" s="16" t="n">
        <v>39241</v>
      </c>
      <c r="U2353" s="6" t="s">
        <v>13859</v>
      </c>
      <c r="V2353" s="6" t="s">
        <v>81</v>
      </c>
      <c r="W2353" s="6" t="s">
        <v>81</v>
      </c>
      <c r="X2353" s="6" t="s">
        <v>81</v>
      </c>
      <c r="Y2353" s="21" t="s">
        <v>81</v>
      </c>
      <c r="Z2353" s="6" t="s">
        <v>81</v>
      </c>
      <c r="AA2353" s="6" t="s">
        <v>81</v>
      </c>
      <c r="AB2353" s="6" t="s">
        <v>81</v>
      </c>
      <c r="AC2353" s="6" t="s">
        <v>10886</v>
      </c>
      <c r="AD2353" s="16" t="n">
        <v>39241</v>
      </c>
      <c r="AE2353" s="6" t="s">
        <v>81</v>
      </c>
      <c r="AF2353" s="6" t="s">
        <v>81</v>
      </c>
      <c r="AG2353" s="6" t="s">
        <v>81</v>
      </c>
      <c r="AH2353" s="6" t="s">
        <v>16893</v>
      </c>
      <c r="AI2353" s="6" t="s">
        <v>81</v>
      </c>
      <c r="AJ2353" s="6" t="s">
        <v>18182</v>
      </c>
      <c r="AK2353" s="6" t="s">
        <v>18383</v>
      </c>
      <c r="AL2353" s="6" t="s">
        <v>18444</v>
      </c>
      <c r="AM2353" s="6" t="s">
        <v>19392</v>
      </c>
      <c r="AN2353" s="6" t="s">
        <v>19655</v>
      </c>
      <c r="AO2353" s="6" t="s">
        <v>19886</v>
      </c>
      <c r="AP2353" s="6" t="s">
        <v>81</v>
      </c>
      <c r="AQ2353" s="6" t="s">
        <v>81</v>
      </c>
      <c r="AR2353" s="6" t="s">
        <v>81</v>
      </c>
      <c r="AS2353" s="6" t="s">
        <v>81</v>
      </c>
      <c r="AT2353" s="6" t="s">
        <v>81</v>
      </c>
      <c r="AU2353" s="6" t="s">
        <v>81</v>
      </c>
      <c r="AV2353" s="6" t="s">
        <v>81</v>
      </c>
      <c r="AW2353" s="6" t="s">
        <v>81</v>
      </c>
      <c r="AX2353" s="6" t="s">
        <v>22283</v>
      </c>
      <c r="AY2353" s="6" t="s">
        <v>81</v>
      </c>
      <c r="AZ2353" s="6" t="s">
        <v>81</v>
      </c>
      <c r="BA2353" s="6" t="s">
        <v>81</v>
      </c>
      <c r="BB2353" s="24" t="n">
        <v>314</v>
      </c>
      <c r="BC2353" s="26"/>
      <c r="BD2353" s="26"/>
      <c r="BE2353" s="26"/>
      <c r="BF2353" s="26"/>
      <c r="BG2353" s="26"/>
      <c r="BH2353" s="26"/>
      <c r="BI2353" s="26"/>
      <c r="BJ2353" s="26"/>
      <c r="BK2353" s="26"/>
      <c r="BL2353" s="26"/>
      <c r="BM2353" s="26"/>
      <c r="BN2353" s="26"/>
      <c r="BO2353" s="26"/>
      <c r="BP2353" s="16" t="n">
        <v>45701</v>
      </c>
      <c r="BQ2353" s="28" t="str">
        <f>HYPERLINK("https://organic.ams.usda.gov/Integrity/Certificate.aspx?cid=81&amp;nopid=4210007058")</f>
        <v>https://organic.ams.usda.gov/Integrity/Certificate.aspx?cid=81&amp;nopid=4210007058</v>
      </c>
    </row>
    <row r="2354">
      <c r="A2354" t="s">
        <v>3</v>
      </c>
      <c r="B2354" s="6" t="s">
        <v>7</v>
      </c>
      <c r="C2354" s="6" t="s">
        <v>54</v>
      </c>
      <c r="D2354" s="6" t="s">
        <v>100</v>
      </c>
      <c r="E2354" s="10" t="s">
        <v>2495</v>
      </c>
      <c r="F2354" s="6" t="s">
        <v>5202</v>
      </c>
      <c r="G2354" s="6" t="s">
        <v>81</v>
      </c>
      <c r="H2354" s="6" t="s">
        <v>8039</v>
      </c>
      <c r="I2354" s="6" t="s">
        <v>9037</v>
      </c>
      <c r="J2354" s="6" t="s">
        <v>9752</v>
      </c>
      <c r="K2354" s="6" t="s">
        <v>10886</v>
      </c>
      <c r="L2354" s="16" t="n">
        <v>41605</v>
      </c>
      <c r="M2354" s="16" t="n">
        <v>45716</v>
      </c>
      <c r="N2354" s="6" t="s">
        <v>10886</v>
      </c>
      <c r="O2354" s="16" t="n">
        <v>41605</v>
      </c>
      <c r="P2354" s="6" t="s">
        <v>11846</v>
      </c>
      <c r="Q2354" s="6" t="s">
        <v>81</v>
      </c>
      <c r="R2354" s="6" t="s">
        <v>81</v>
      </c>
      <c r="S2354" s="6" t="s">
        <v>10886</v>
      </c>
      <c r="T2354" s="16" t="n">
        <v>41605</v>
      </c>
      <c r="U2354" s="6" t="s">
        <v>13225</v>
      </c>
      <c r="V2354" s="6" t="s">
        <v>81</v>
      </c>
      <c r="W2354" s="6" t="s">
        <v>81</v>
      </c>
      <c r="X2354" s="6" t="s">
        <v>81</v>
      </c>
      <c r="Y2354" s="21" t="s">
        <v>81</v>
      </c>
      <c r="Z2354" s="6" t="s">
        <v>81</v>
      </c>
      <c r="AA2354" s="6" t="s">
        <v>81</v>
      </c>
      <c r="AB2354" s="6" t="s">
        <v>81</v>
      </c>
      <c r="AC2354" s="6" t="s">
        <v>81</v>
      </c>
      <c r="AD2354" s="21" t="s">
        <v>81</v>
      </c>
      <c r="AE2354" s="6" t="s">
        <v>81</v>
      </c>
      <c r="AF2354" s="6" t="s">
        <v>81</v>
      </c>
      <c r="AG2354" s="6" t="s">
        <v>81</v>
      </c>
      <c r="AH2354" s="6" t="s">
        <v>16894</v>
      </c>
      <c r="AI2354" s="6" t="s">
        <v>81</v>
      </c>
      <c r="AJ2354" s="6" t="s">
        <v>17752</v>
      </c>
      <c r="AK2354" s="6" t="s">
        <v>17712</v>
      </c>
      <c r="AL2354" s="6" t="s">
        <v>18444</v>
      </c>
      <c r="AM2354" s="6" t="s">
        <v>18921</v>
      </c>
      <c r="AN2354" s="6" t="s">
        <v>7926</v>
      </c>
      <c r="AO2354" s="6" t="s">
        <v>19842</v>
      </c>
      <c r="AP2354" s="6" t="s">
        <v>16894</v>
      </c>
      <c r="AQ2354" s="6" t="s">
        <v>81</v>
      </c>
      <c r="AR2354" s="6" t="s">
        <v>17752</v>
      </c>
      <c r="AS2354" s="6" t="s">
        <v>17712</v>
      </c>
      <c r="AT2354" s="6" t="s">
        <v>18444</v>
      </c>
      <c r="AU2354" s="6" t="s">
        <v>18921</v>
      </c>
      <c r="AV2354" s="6" t="s">
        <v>81</v>
      </c>
      <c r="AW2354" s="6" t="s">
        <v>81</v>
      </c>
      <c r="AX2354" s="6" t="s">
        <v>81</v>
      </c>
      <c r="AY2354" s="6" t="s">
        <v>81</v>
      </c>
      <c r="AZ2354" s="6" t="s">
        <v>81</v>
      </c>
      <c r="BA2354" s="6" t="s">
        <v>81</v>
      </c>
      <c r="BB2354" s="24" t="n">
        <v>90</v>
      </c>
      <c r="BC2354" s="26"/>
      <c r="BD2354" s="26"/>
      <c r="BE2354" s="26"/>
      <c r="BF2354" s="26"/>
      <c r="BG2354" s="26"/>
      <c r="BH2354" s="26"/>
      <c r="BI2354" s="26"/>
      <c r="BJ2354" s="26"/>
      <c r="BK2354" s="26"/>
      <c r="BL2354" s="26"/>
      <c r="BM2354" s="26"/>
      <c r="BN2354" s="26"/>
      <c r="BO2354" s="26"/>
      <c r="BP2354" s="16" t="n">
        <v>45595</v>
      </c>
      <c r="BQ2354" s="28" t="str">
        <f>HYPERLINK("https://organic.ams.usda.gov/Integrity/Certificate.aspx?cid=57&amp;nopid=3252013067")</f>
        <v>https://organic.ams.usda.gov/Integrity/Certificate.aspx?cid=57&amp;nopid=3252013067</v>
      </c>
    </row>
    <row r="2355">
      <c r="A2355" t="s">
        <v>3</v>
      </c>
      <c r="B2355" s="6" t="s">
        <v>10</v>
      </c>
      <c r="C2355" s="6" t="s">
        <v>57</v>
      </c>
      <c r="D2355" s="6" t="s">
        <v>103</v>
      </c>
      <c r="E2355" s="10" t="s">
        <v>2496</v>
      </c>
      <c r="F2355" s="6" t="s">
        <v>5203</v>
      </c>
      <c r="G2355" s="6" t="s">
        <v>81</v>
      </c>
      <c r="H2355" s="6" t="s">
        <v>8040</v>
      </c>
      <c r="I2355" s="6" t="s">
        <v>9511</v>
      </c>
      <c r="J2355" s="6" t="s">
        <v>9671</v>
      </c>
      <c r="K2355" s="6" t="s">
        <v>10886</v>
      </c>
      <c r="L2355" s="16" t="n">
        <v>43711</v>
      </c>
      <c r="M2355" s="16" t="n">
        <v>45748</v>
      </c>
      <c r="N2355" s="6" t="s">
        <v>10886</v>
      </c>
      <c r="O2355" s="16" t="n">
        <v>43711</v>
      </c>
      <c r="P2355" s="6" t="s">
        <v>12220</v>
      </c>
      <c r="Q2355" s="6" t="s">
        <v>81</v>
      </c>
      <c r="R2355" s="6" t="s">
        <v>13070</v>
      </c>
      <c r="S2355" s="6" t="s">
        <v>10886</v>
      </c>
      <c r="T2355" s="16" t="n">
        <v>45627</v>
      </c>
      <c r="U2355" s="6" t="s">
        <v>13163</v>
      </c>
      <c r="V2355" s="6" t="s">
        <v>81</v>
      </c>
      <c r="W2355" s="6" t="s">
        <v>81</v>
      </c>
      <c r="X2355" s="6" t="s">
        <v>81</v>
      </c>
      <c r="Y2355" s="21" t="s">
        <v>81</v>
      </c>
      <c r="Z2355" s="6" t="s">
        <v>81</v>
      </c>
      <c r="AA2355" s="6" t="s">
        <v>81</v>
      </c>
      <c r="AB2355" s="6" t="s">
        <v>81</v>
      </c>
      <c r="AC2355" s="6" t="s">
        <v>81</v>
      </c>
      <c r="AD2355" s="21" t="s">
        <v>81</v>
      </c>
      <c r="AE2355" s="6" t="s">
        <v>81</v>
      </c>
      <c r="AF2355" s="6" t="s">
        <v>81</v>
      </c>
      <c r="AG2355" s="6" t="s">
        <v>81</v>
      </c>
      <c r="AH2355" s="6" t="s">
        <v>16895</v>
      </c>
      <c r="AI2355" s="6" t="s">
        <v>81</v>
      </c>
      <c r="AJ2355" s="6" t="s">
        <v>17583</v>
      </c>
      <c r="AK2355" s="6" t="s">
        <v>18379</v>
      </c>
      <c r="AL2355" s="6" t="s">
        <v>18444</v>
      </c>
      <c r="AM2355" s="6" t="s">
        <v>18746</v>
      </c>
      <c r="AN2355" s="6" t="s">
        <v>6842</v>
      </c>
      <c r="AO2355" s="6" t="s">
        <v>19781</v>
      </c>
      <c r="AP2355" s="6" t="s">
        <v>16895</v>
      </c>
      <c r="AQ2355" s="6" t="s">
        <v>81</v>
      </c>
      <c r="AR2355" s="6" t="s">
        <v>17583</v>
      </c>
      <c r="AS2355" s="6" t="s">
        <v>18379</v>
      </c>
      <c r="AT2355" s="6" t="s">
        <v>18444</v>
      </c>
      <c r="AU2355" s="6" t="s">
        <v>18746</v>
      </c>
      <c r="AV2355" s="6" t="s">
        <v>81</v>
      </c>
      <c r="AW2355" s="6" t="s">
        <v>81</v>
      </c>
      <c r="AX2355" s="6" t="s">
        <v>22284</v>
      </c>
      <c r="AY2355" s="6" t="s">
        <v>81</v>
      </c>
      <c r="AZ2355" s="6" t="s">
        <v>81</v>
      </c>
      <c r="BA2355" s="6" t="s">
        <v>81</v>
      </c>
      <c r="BB2355" s="24" t="n">
        <v>130</v>
      </c>
      <c r="BC2355" s="26"/>
      <c r="BD2355" s="26"/>
      <c r="BE2355" s="26"/>
      <c r="BF2355" s="26"/>
      <c r="BG2355" s="26"/>
      <c r="BH2355" s="26"/>
      <c r="BI2355" s="26"/>
      <c r="BJ2355" s="26"/>
      <c r="BK2355" s="26"/>
      <c r="BL2355" s="26"/>
      <c r="BM2355" s="26"/>
      <c r="BN2355" s="26"/>
      <c r="BO2355" s="26"/>
      <c r="BP2355" s="16" t="n">
        <v>45730</v>
      </c>
      <c r="BQ2355" s="28" t="str">
        <f>HYPERLINK("https://organic.ams.usda.gov/Integrity/Certificate.aspx?cid=90&amp;nopid=7170019024")</f>
        <v>https://organic.ams.usda.gov/Integrity/Certificate.aspx?cid=90&amp;nopid=7170019024</v>
      </c>
    </row>
    <row r="2356">
      <c r="A2356" t="s">
        <v>3</v>
      </c>
      <c r="B2356" s="6" t="s">
        <v>8</v>
      </c>
      <c r="C2356" s="6" t="s">
        <v>55</v>
      </c>
      <c r="D2356" s="6" t="s">
        <v>101</v>
      </c>
      <c r="E2356" s="10" t="s">
        <v>2497</v>
      </c>
      <c r="F2356" s="6" t="s">
        <v>5204</v>
      </c>
      <c r="G2356" s="6" t="s">
        <v>81</v>
      </c>
      <c r="H2356" s="6" t="s">
        <v>8041</v>
      </c>
      <c r="I2356" s="6" t="s">
        <v>9512</v>
      </c>
      <c r="J2356" s="6" t="s">
        <v>10720</v>
      </c>
      <c r="K2356" s="6" t="s">
        <v>10886</v>
      </c>
      <c r="L2356" s="16" t="n">
        <v>40455</v>
      </c>
      <c r="M2356" s="16" t="n">
        <v>45748</v>
      </c>
      <c r="N2356" s="6" t="s">
        <v>10886</v>
      </c>
      <c r="O2356" s="16" t="n">
        <v>40455</v>
      </c>
      <c r="P2356" s="6" t="s">
        <v>12221</v>
      </c>
      <c r="Q2356" s="6" t="s">
        <v>81</v>
      </c>
      <c r="R2356" s="6" t="s">
        <v>8041</v>
      </c>
      <c r="S2356" s="6" t="s">
        <v>10886</v>
      </c>
      <c r="T2356" s="16" t="n">
        <v>40455</v>
      </c>
      <c r="U2356" s="6" t="s">
        <v>13179</v>
      </c>
      <c r="V2356" s="6" t="s">
        <v>81</v>
      </c>
      <c r="W2356" s="6" t="s">
        <v>8041</v>
      </c>
      <c r="X2356" s="6" t="s">
        <v>81</v>
      </c>
      <c r="Y2356" s="21" t="s">
        <v>81</v>
      </c>
      <c r="Z2356" s="6" t="s">
        <v>81</v>
      </c>
      <c r="AA2356" s="6" t="s">
        <v>81</v>
      </c>
      <c r="AB2356" s="6" t="s">
        <v>81</v>
      </c>
      <c r="AC2356" s="6" t="s">
        <v>81</v>
      </c>
      <c r="AD2356" s="21" t="s">
        <v>81</v>
      </c>
      <c r="AE2356" s="6" t="s">
        <v>81</v>
      </c>
      <c r="AF2356" s="6" t="s">
        <v>81</v>
      </c>
      <c r="AG2356" s="6" t="s">
        <v>81</v>
      </c>
      <c r="AH2356" s="6" t="s">
        <v>16896</v>
      </c>
      <c r="AI2356" s="6" t="s">
        <v>81</v>
      </c>
      <c r="AJ2356" s="6" t="s">
        <v>10599</v>
      </c>
      <c r="AK2356" s="6" t="s">
        <v>18377</v>
      </c>
      <c r="AL2356" s="6" t="s">
        <v>18444</v>
      </c>
      <c r="AM2356" s="6" t="s">
        <v>18819</v>
      </c>
      <c r="AN2356" s="6" t="s">
        <v>19651</v>
      </c>
      <c r="AO2356" s="6" t="s">
        <v>19747</v>
      </c>
      <c r="AP2356" s="6" t="s">
        <v>81</v>
      </c>
      <c r="AQ2356" s="6" t="s">
        <v>81</v>
      </c>
      <c r="AR2356" s="6" t="s">
        <v>81</v>
      </c>
      <c r="AS2356" s="6" t="s">
        <v>81</v>
      </c>
      <c r="AT2356" s="6" t="s">
        <v>81</v>
      </c>
      <c r="AU2356" s="6" t="s">
        <v>81</v>
      </c>
      <c r="AV2356" s="6" t="s">
        <v>81</v>
      </c>
      <c r="AW2356" s="6" t="s">
        <v>81</v>
      </c>
      <c r="AX2356" s="6" t="s">
        <v>81</v>
      </c>
      <c r="AY2356" s="6" t="s">
        <v>81</v>
      </c>
      <c r="AZ2356" s="6" t="s">
        <v>81</v>
      </c>
      <c r="BA2356" s="6" t="s">
        <v>23819</v>
      </c>
      <c r="BB2356" s="24" t="n">
        <v>359</v>
      </c>
      <c r="BC2356" s="26"/>
      <c r="BD2356" s="26"/>
      <c r="BE2356" s="26"/>
      <c r="BF2356" s="26" t="s">
        <v>23900</v>
      </c>
      <c r="BG2356" s="26"/>
      <c r="BH2356" s="26"/>
      <c r="BI2356" s="26"/>
      <c r="BJ2356" s="26"/>
      <c r="BK2356" s="26"/>
      <c r="BL2356" s="26"/>
      <c r="BM2356" s="26"/>
      <c r="BN2356" s="26"/>
      <c r="BO2356" s="26"/>
      <c r="BP2356" s="16" t="n">
        <v>45593</v>
      </c>
      <c r="BQ2356" s="28" t="str">
        <f>HYPERLINK("https://organic.ams.usda.gov/Integrity/Certificate.aspx?cid=45&amp;nopid=9950004120")</f>
        <v>https://organic.ams.usda.gov/Integrity/Certificate.aspx?cid=45&amp;nopid=9950004120</v>
      </c>
    </row>
    <row r="2357">
      <c r="A2357" t="s">
        <v>3</v>
      </c>
      <c r="B2357" s="6" t="s">
        <v>8</v>
      </c>
      <c r="C2357" s="6" t="s">
        <v>55</v>
      </c>
      <c r="D2357" s="6" t="s">
        <v>101</v>
      </c>
      <c r="E2357" s="10" t="s">
        <v>2498</v>
      </c>
      <c r="F2357" s="6" t="s">
        <v>5205</v>
      </c>
      <c r="G2357" s="6" t="s">
        <v>5848</v>
      </c>
      <c r="H2357" s="6" t="s">
        <v>8042</v>
      </c>
      <c r="I2357" s="6" t="s">
        <v>9513</v>
      </c>
      <c r="J2357" s="6" t="s">
        <v>10721</v>
      </c>
      <c r="K2357" s="6" t="s">
        <v>10886</v>
      </c>
      <c r="L2357" s="16" t="n">
        <v>43013</v>
      </c>
      <c r="M2357" s="16" t="n">
        <v>45748</v>
      </c>
      <c r="N2357" s="6" t="s">
        <v>10886</v>
      </c>
      <c r="O2357" s="16" t="n">
        <v>43013</v>
      </c>
      <c r="P2357" s="6" t="s">
        <v>12222</v>
      </c>
      <c r="Q2357" s="6" t="s">
        <v>81</v>
      </c>
      <c r="R2357" s="6" t="s">
        <v>8042</v>
      </c>
      <c r="S2357" s="6" t="s">
        <v>10886</v>
      </c>
      <c r="T2357" s="16" t="n">
        <v>43013</v>
      </c>
      <c r="U2357" s="6" t="s">
        <v>13725</v>
      </c>
      <c r="V2357" s="6" t="s">
        <v>81</v>
      </c>
      <c r="W2357" s="6" t="s">
        <v>8042</v>
      </c>
      <c r="X2357" s="6" t="s">
        <v>81</v>
      </c>
      <c r="Y2357" s="21" t="s">
        <v>81</v>
      </c>
      <c r="Z2357" s="6" t="s">
        <v>81</v>
      </c>
      <c r="AA2357" s="6" t="s">
        <v>81</v>
      </c>
      <c r="AB2357" s="6" t="s">
        <v>81</v>
      </c>
      <c r="AC2357" s="6" t="s">
        <v>81</v>
      </c>
      <c r="AD2357" s="21" t="s">
        <v>81</v>
      </c>
      <c r="AE2357" s="6" t="s">
        <v>81</v>
      </c>
      <c r="AF2357" s="6" t="s">
        <v>81</v>
      </c>
      <c r="AG2357" s="6" t="s">
        <v>81</v>
      </c>
      <c r="AH2357" s="6" t="s">
        <v>16897</v>
      </c>
      <c r="AI2357" s="6" t="s">
        <v>81</v>
      </c>
      <c r="AJ2357" s="6" t="s">
        <v>17435</v>
      </c>
      <c r="AK2357" s="6" t="s">
        <v>18377</v>
      </c>
      <c r="AL2357" s="6" t="s">
        <v>18444</v>
      </c>
      <c r="AM2357" s="6" t="s">
        <v>19500</v>
      </c>
      <c r="AN2357" s="6" t="s">
        <v>19661</v>
      </c>
      <c r="AO2357" s="6" t="s">
        <v>19761</v>
      </c>
      <c r="AP2357" s="6" t="s">
        <v>20422</v>
      </c>
      <c r="AQ2357" s="6" t="s">
        <v>81</v>
      </c>
      <c r="AR2357" s="6" t="s">
        <v>20577</v>
      </c>
      <c r="AS2357" s="6" t="s">
        <v>18377</v>
      </c>
      <c r="AT2357" s="6" t="s">
        <v>18444</v>
      </c>
      <c r="AU2357" s="6" t="s">
        <v>19500</v>
      </c>
      <c r="AV2357" s="6" t="s">
        <v>81</v>
      </c>
      <c r="AW2357" s="6" t="s">
        <v>81</v>
      </c>
      <c r="AX2357" s="6" t="s">
        <v>22285</v>
      </c>
      <c r="AY2357" s="6" t="s">
        <v>23390</v>
      </c>
      <c r="AZ2357" s="6" t="s">
        <v>81</v>
      </c>
      <c r="BA2357" s="6" t="s">
        <v>23819</v>
      </c>
      <c r="BB2357" s="24" t="n">
        <v>268</v>
      </c>
      <c r="BC2357" s="26"/>
      <c r="BD2357" s="26"/>
      <c r="BE2357" s="26"/>
      <c r="BF2357" s="26" t="s">
        <v>23900</v>
      </c>
      <c r="BG2357" s="26"/>
      <c r="BH2357" s="26"/>
      <c r="BI2357" s="26"/>
      <c r="BJ2357" s="26"/>
      <c r="BK2357" s="26"/>
      <c r="BL2357" s="26"/>
      <c r="BM2357" s="26"/>
      <c r="BN2357" s="26"/>
      <c r="BO2357" s="26"/>
      <c r="BP2357" s="16" t="n">
        <v>45649</v>
      </c>
      <c r="BQ2357" s="28" t="str">
        <f>HYPERLINK("https://organic.ams.usda.gov/Integrity/Certificate.aspx?cid=45&amp;nopid=9950009992")</f>
        <v>https://organic.ams.usda.gov/Integrity/Certificate.aspx?cid=45&amp;nopid=9950009992</v>
      </c>
    </row>
    <row r="2358">
      <c r="A2358" t="s">
        <v>3</v>
      </c>
      <c r="B2358" s="6" t="s">
        <v>8</v>
      </c>
      <c r="C2358" s="6" t="s">
        <v>55</v>
      </c>
      <c r="D2358" s="6" t="s">
        <v>101</v>
      </c>
      <c r="E2358" s="10" t="s">
        <v>2499</v>
      </c>
      <c r="F2358" s="6" t="s">
        <v>5206</v>
      </c>
      <c r="G2358" s="6" t="s">
        <v>81</v>
      </c>
      <c r="H2358" s="6" t="s">
        <v>8043</v>
      </c>
      <c r="I2358" s="6" t="s">
        <v>9449</v>
      </c>
      <c r="J2358" s="6" t="s">
        <v>9665</v>
      </c>
      <c r="K2358" s="6" t="s">
        <v>10886</v>
      </c>
      <c r="L2358" s="16" t="n">
        <v>40478</v>
      </c>
      <c r="M2358" s="16" t="n">
        <v>45689</v>
      </c>
      <c r="N2358" s="6" t="s">
        <v>10886</v>
      </c>
      <c r="O2358" s="16" t="n">
        <v>40478</v>
      </c>
      <c r="P2358" s="6" t="s">
        <v>11253</v>
      </c>
      <c r="Q2358" s="6" t="s">
        <v>81</v>
      </c>
      <c r="R2358" s="6" t="s">
        <v>8043</v>
      </c>
      <c r="S2358" s="6" t="s">
        <v>10886</v>
      </c>
      <c r="T2358" s="16" t="n">
        <v>40478</v>
      </c>
      <c r="U2358" s="6" t="s">
        <v>13179</v>
      </c>
      <c r="V2358" s="6" t="s">
        <v>81</v>
      </c>
      <c r="W2358" s="6" t="s">
        <v>8043</v>
      </c>
      <c r="X2358" s="6" t="s">
        <v>81</v>
      </c>
      <c r="Y2358" s="21" t="s">
        <v>81</v>
      </c>
      <c r="Z2358" s="6" t="s">
        <v>81</v>
      </c>
      <c r="AA2358" s="6" t="s">
        <v>81</v>
      </c>
      <c r="AB2358" s="6" t="s">
        <v>81</v>
      </c>
      <c r="AC2358" s="6" t="s">
        <v>81</v>
      </c>
      <c r="AD2358" s="21" t="s">
        <v>81</v>
      </c>
      <c r="AE2358" s="6" t="s">
        <v>81</v>
      </c>
      <c r="AF2358" s="6" t="s">
        <v>81</v>
      </c>
      <c r="AG2358" s="6" t="s">
        <v>81</v>
      </c>
      <c r="AH2358" s="6" t="s">
        <v>16898</v>
      </c>
      <c r="AI2358" s="6" t="s">
        <v>81</v>
      </c>
      <c r="AJ2358" s="6" t="s">
        <v>17325</v>
      </c>
      <c r="AK2358" s="6" t="s">
        <v>18378</v>
      </c>
      <c r="AL2358" s="6" t="s">
        <v>18444</v>
      </c>
      <c r="AM2358" s="6" t="s">
        <v>18477</v>
      </c>
      <c r="AN2358" s="6" t="s">
        <v>6132</v>
      </c>
      <c r="AO2358" s="6" t="s">
        <v>19943</v>
      </c>
      <c r="AP2358" s="6" t="s">
        <v>81</v>
      </c>
      <c r="AQ2358" s="6" t="s">
        <v>81</v>
      </c>
      <c r="AR2358" s="6" t="s">
        <v>81</v>
      </c>
      <c r="AS2358" s="6" t="s">
        <v>81</v>
      </c>
      <c r="AT2358" s="6" t="s">
        <v>81</v>
      </c>
      <c r="AU2358" s="6" t="s">
        <v>81</v>
      </c>
      <c r="AV2358" s="6" t="s">
        <v>81</v>
      </c>
      <c r="AW2358" s="6" t="s">
        <v>81</v>
      </c>
      <c r="AX2358" s="6" t="s">
        <v>81</v>
      </c>
      <c r="AY2358" s="6" t="s">
        <v>81</v>
      </c>
      <c r="AZ2358" s="6" t="s">
        <v>81</v>
      </c>
      <c r="BA2358" s="6" t="s">
        <v>23819</v>
      </c>
      <c r="BB2358" s="24" t="n">
        <v>110</v>
      </c>
      <c r="BC2358" s="26"/>
      <c r="BD2358" s="26"/>
      <c r="BE2358" s="26"/>
      <c r="BF2358" s="26" t="s">
        <v>23900</v>
      </c>
      <c r="BG2358" s="26"/>
      <c r="BH2358" s="26"/>
      <c r="BI2358" s="26"/>
      <c r="BJ2358" s="26"/>
      <c r="BK2358" s="26"/>
      <c r="BL2358" s="26"/>
      <c r="BM2358" s="26"/>
      <c r="BN2358" s="26"/>
      <c r="BO2358" s="26"/>
      <c r="BP2358" s="16" t="n">
        <v>45694</v>
      </c>
      <c r="BQ2358" s="28" t="str">
        <f>HYPERLINK("https://organic.ams.usda.gov/Integrity/Certificate.aspx?cid=45&amp;nopid=9950004201")</f>
        <v>https://organic.ams.usda.gov/Integrity/Certificate.aspx?cid=45&amp;nopid=9950004201</v>
      </c>
    </row>
    <row r="2359">
      <c r="A2359" t="s">
        <v>3</v>
      </c>
      <c r="B2359" s="6" t="s">
        <v>35</v>
      </c>
      <c r="C2359" s="6" t="s">
        <v>82</v>
      </c>
      <c r="D2359" s="6" t="s">
        <v>127</v>
      </c>
      <c r="E2359" s="10" t="s">
        <v>2500</v>
      </c>
      <c r="F2359" s="6" t="s">
        <v>5207</v>
      </c>
      <c r="G2359" s="6" t="s">
        <v>81</v>
      </c>
      <c r="H2359" s="6" t="s">
        <v>6094</v>
      </c>
      <c r="I2359" s="6" t="s">
        <v>8514</v>
      </c>
      <c r="J2359" s="6" t="s">
        <v>10231</v>
      </c>
      <c r="K2359" s="6" t="s">
        <v>10886</v>
      </c>
      <c r="L2359" s="16" t="n">
        <v>39168</v>
      </c>
      <c r="M2359" s="16" t="n">
        <v>45798</v>
      </c>
      <c r="N2359" s="6" t="s">
        <v>10886</v>
      </c>
      <c r="O2359" s="16" t="n">
        <v>39168</v>
      </c>
      <c r="P2359" s="6" t="s">
        <v>12223</v>
      </c>
      <c r="Q2359" s="6" t="s">
        <v>81</v>
      </c>
      <c r="R2359" s="6" t="s">
        <v>13071</v>
      </c>
      <c r="S2359" s="6" t="s">
        <v>10886</v>
      </c>
      <c r="T2359" s="16" t="n">
        <v>39168</v>
      </c>
      <c r="U2359" s="6" t="s">
        <v>13860</v>
      </c>
      <c r="V2359" s="6" t="s">
        <v>81</v>
      </c>
      <c r="W2359" s="6" t="s">
        <v>13071</v>
      </c>
      <c r="X2359" s="6" t="s">
        <v>81</v>
      </c>
      <c r="Y2359" s="21" t="s">
        <v>81</v>
      </c>
      <c r="Z2359" s="6" t="s">
        <v>81</v>
      </c>
      <c r="AA2359" s="6" t="s">
        <v>81</v>
      </c>
      <c r="AB2359" s="6" t="s">
        <v>81</v>
      </c>
      <c r="AC2359" s="6" t="s">
        <v>81</v>
      </c>
      <c r="AD2359" s="21" t="s">
        <v>81</v>
      </c>
      <c r="AE2359" s="6" t="s">
        <v>81</v>
      </c>
      <c r="AF2359" s="6" t="s">
        <v>81</v>
      </c>
      <c r="AG2359" s="6" t="s">
        <v>81</v>
      </c>
      <c r="AH2359" s="6" t="s">
        <v>16899</v>
      </c>
      <c r="AI2359" s="6" t="s">
        <v>81</v>
      </c>
      <c r="AJ2359" s="6" t="s">
        <v>18274</v>
      </c>
      <c r="AK2359" s="6" t="s">
        <v>18405</v>
      </c>
      <c r="AL2359" s="6" t="s">
        <v>18444</v>
      </c>
      <c r="AM2359" s="6" t="s">
        <v>19501</v>
      </c>
      <c r="AN2359" s="6" t="s">
        <v>19660</v>
      </c>
      <c r="AO2359" s="6" t="s">
        <v>19967</v>
      </c>
      <c r="AP2359" s="6" t="s">
        <v>16899</v>
      </c>
      <c r="AQ2359" s="6" t="s">
        <v>81</v>
      </c>
      <c r="AR2359" s="6" t="s">
        <v>18274</v>
      </c>
      <c r="AS2359" s="6" t="s">
        <v>18405</v>
      </c>
      <c r="AT2359" s="6" t="s">
        <v>18444</v>
      </c>
      <c r="AU2359" s="6" t="s">
        <v>19501</v>
      </c>
      <c r="AV2359" s="6" t="s">
        <v>81</v>
      </c>
      <c r="AW2359" s="6" t="s">
        <v>81</v>
      </c>
      <c r="AX2359" s="6" t="s">
        <v>22286</v>
      </c>
      <c r="AY2359" s="6" t="s">
        <v>23391</v>
      </c>
      <c r="AZ2359" s="6" t="s">
        <v>81</v>
      </c>
      <c r="BA2359" s="6" t="s">
        <v>81</v>
      </c>
      <c r="BB2359" s="24" t="n">
        <v>356</v>
      </c>
      <c r="BC2359" s="26"/>
      <c r="BD2359" s="26"/>
      <c r="BE2359" s="26"/>
      <c r="BF2359" s="26"/>
      <c r="BG2359" s="26"/>
      <c r="BH2359" s="26"/>
      <c r="BI2359" s="26"/>
      <c r="BJ2359" s="26"/>
      <c r="BK2359" s="26"/>
      <c r="BL2359" s="26"/>
      <c r="BM2359" s="26"/>
      <c r="BN2359" s="26"/>
      <c r="BO2359" s="26"/>
      <c r="BP2359" s="16" t="n">
        <v>45694</v>
      </c>
      <c r="BQ2359" s="28" t="str">
        <f>HYPERLINK("https://organic.ams.usda.gov/Integrity/Certificate.aspx?cid=47&amp;nopid=7142073472")</f>
        <v>https://organic.ams.usda.gov/Integrity/Certificate.aspx?cid=47&amp;nopid=7142073472</v>
      </c>
    </row>
    <row r="2360">
      <c r="A2360" t="s">
        <v>3</v>
      </c>
      <c r="B2360" s="6" t="s">
        <v>12</v>
      </c>
      <c r="C2360" s="6" t="s">
        <v>59</v>
      </c>
      <c r="D2360" s="6" t="s">
        <v>105</v>
      </c>
      <c r="E2360" s="10" t="s">
        <v>2501</v>
      </c>
      <c r="F2360" s="6" t="s">
        <v>5208</v>
      </c>
      <c r="G2360" s="6" t="s">
        <v>81</v>
      </c>
      <c r="H2360" s="6" t="s">
        <v>8044</v>
      </c>
      <c r="I2360" s="6" t="s">
        <v>8452</v>
      </c>
      <c r="J2360" s="6" t="s">
        <v>10722</v>
      </c>
      <c r="K2360" s="6" t="s">
        <v>10886</v>
      </c>
      <c r="L2360" s="16" t="n">
        <v>43009</v>
      </c>
      <c r="M2360" s="16" t="n">
        <v>45717</v>
      </c>
      <c r="N2360" s="6" t="s">
        <v>10886</v>
      </c>
      <c r="O2360" s="16" t="n">
        <v>43009</v>
      </c>
      <c r="P2360" s="6" t="s">
        <v>12224</v>
      </c>
      <c r="Q2360" s="6" t="s">
        <v>81</v>
      </c>
      <c r="R2360" s="6" t="s">
        <v>81</v>
      </c>
      <c r="S2360" s="6" t="s">
        <v>10886</v>
      </c>
      <c r="T2360" s="16" t="n">
        <v>43009</v>
      </c>
      <c r="U2360" s="6" t="s">
        <v>13262</v>
      </c>
      <c r="V2360" s="6" t="s">
        <v>81</v>
      </c>
      <c r="W2360" s="6" t="s">
        <v>81</v>
      </c>
      <c r="X2360" s="6" t="s">
        <v>81</v>
      </c>
      <c r="Y2360" s="21" t="s">
        <v>81</v>
      </c>
      <c r="Z2360" s="6" t="s">
        <v>81</v>
      </c>
      <c r="AA2360" s="6" t="s">
        <v>81</v>
      </c>
      <c r="AB2360" s="6" t="s">
        <v>81</v>
      </c>
      <c r="AC2360" s="6" t="s">
        <v>81</v>
      </c>
      <c r="AD2360" s="21" t="s">
        <v>81</v>
      </c>
      <c r="AE2360" s="6" t="s">
        <v>81</v>
      </c>
      <c r="AF2360" s="6" t="s">
        <v>81</v>
      </c>
      <c r="AG2360" s="6" t="s">
        <v>81</v>
      </c>
      <c r="AH2360" s="6" t="s">
        <v>16900</v>
      </c>
      <c r="AI2360" s="6" t="s">
        <v>81</v>
      </c>
      <c r="AJ2360" s="6" t="s">
        <v>17882</v>
      </c>
      <c r="AK2360" s="6" t="s">
        <v>17712</v>
      </c>
      <c r="AL2360" s="6" t="s">
        <v>18444</v>
      </c>
      <c r="AM2360" s="6" t="s">
        <v>19066</v>
      </c>
      <c r="AN2360" s="6" t="s">
        <v>19673</v>
      </c>
      <c r="AO2360" s="6" t="s">
        <v>19819</v>
      </c>
      <c r="AP2360" s="6" t="s">
        <v>16900</v>
      </c>
      <c r="AQ2360" s="6" t="s">
        <v>81</v>
      </c>
      <c r="AR2360" s="6" t="s">
        <v>17882</v>
      </c>
      <c r="AS2360" s="6" t="s">
        <v>17712</v>
      </c>
      <c r="AT2360" s="6" t="s">
        <v>18444</v>
      </c>
      <c r="AU2360" s="6" t="s">
        <v>19066</v>
      </c>
      <c r="AV2360" s="6" t="s">
        <v>81</v>
      </c>
      <c r="AW2360" s="6" t="s">
        <v>81</v>
      </c>
      <c r="AX2360" s="6" t="s">
        <v>22287</v>
      </c>
      <c r="AY2360" s="6" t="s">
        <v>23392</v>
      </c>
      <c r="AZ2360" s="6" t="s">
        <v>81</v>
      </c>
      <c r="BA2360" s="6" t="s">
        <v>81</v>
      </c>
      <c r="BB2360" s="24" t="n">
        <v>536</v>
      </c>
      <c r="BC2360" s="26"/>
      <c r="BD2360" s="26"/>
      <c r="BE2360" s="26"/>
      <c r="BF2360" s="26"/>
      <c r="BG2360" s="26"/>
      <c r="BH2360" s="26"/>
      <c r="BI2360" s="26"/>
      <c r="BJ2360" s="26"/>
      <c r="BK2360" s="26"/>
      <c r="BL2360" s="26"/>
      <c r="BM2360" s="26"/>
      <c r="BN2360" s="26"/>
      <c r="BO2360" s="26"/>
      <c r="BP2360" s="16" t="n">
        <v>45722</v>
      </c>
      <c r="BQ2360" s="28" t="str">
        <f>HYPERLINK("https://organic.ams.usda.gov/Integrity/Certificate.aspx?cid=68&amp;nopid=8210004755")</f>
        <v>https://organic.ams.usda.gov/Integrity/Certificate.aspx?cid=68&amp;nopid=8210004755</v>
      </c>
    </row>
    <row r="2361">
      <c r="A2361" t="s">
        <v>3</v>
      </c>
      <c r="B2361" s="6" t="s">
        <v>15</v>
      </c>
      <c r="C2361" s="6" t="s">
        <v>62</v>
      </c>
      <c r="D2361" s="6" t="s">
        <v>108</v>
      </c>
      <c r="E2361" s="10" t="s">
        <v>2502</v>
      </c>
      <c r="F2361" s="6" t="s">
        <v>5209</v>
      </c>
      <c r="G2361" s="6" t="s">
        <v>81</v>
      </c>
      <c r="H2361" s="6" t="s">
        <v>7283</v>
      </c>
      <c r="I2361" s="6" t="s">
        <v>8409</v>
      </c>
      <c r="J2361" s="6" t="s">
        <v>9759</v>
      </c>
      <c r="K2361" s="6" t="s">
        <v>10886</v>
      </c>
      <c r="L2361" s="16" t="n">
        <v>40925</v>
      </c>
      <c r="M2361" s="16" t="n">
        <v>46112</v>
      </c>
      <c r="N2361" s="6" t="s">
        <v>81</v>
      </c>
      <c r="O2361" s="21" t="s">
        <v>81</v>
      </c>
      <c r="P2361" s="6" t="s">
        <v>81</v>
      </c>
      <c r="Q2361" s="6" t="s">
        <v>81</v>
      </c>
      <c r="R2361" s="6" t="s">
        <v>81</v>
      </c>
      <c r="S2361" s="6" t="s">
        <v>81</v>
      </c>
      <c r="T2361" s="21" t="s">
        <v>81</v>
      </c>
      <c r="U2361" s="6" t="s">
        <v>81</v>
      </c>
      <c r="V2361" s="6" t="s">
        <v>81</v>
      </c>
      <c r="W2361" s="6" t="s">
        <v>81</v>
      </c>
      <c r="X2361" s="6" t="s">
        <v>81</v>
      </c>
      <c r="Y2361" s="21" t="s">
        <v>81</v>
      </c>
      <c r="Z2361" s="6" t="s">
        <v>81</v>
      </c>
      <c r="AA2361" s="6" t="s">
        <v>81</v>
      </c>
      <c r="AB2361" s="6" t="s">
        <v>81</v>
      </c>
      <c r="AC2361" s="6" t="s">
        <v>10886</v>
      </c>
      <c r="AD2361" s="16" t="n">
        <v>40925</v>
      </c>
      <c r="AE2361" s="6" t="s">
        <v>14418</v>
      </c>
      <c r="AF2361" s="6" t="s">
        <v>81</v>
      </c>
      <c r="AG2361" s="6" t="s">
        <v>81</v>
      </c>
      <c r="AH2361" s="6" t="s">
        <v>16901</v>
      </c>
      <c r="AI2361" s="6" t="s">
        <v>81</v>
      </c>
      <c r="AJ2361" s="6" t="s">
        <v>17580</v>
      </c>
      <c r="AK2361" s="6" t="s">
        <v>8428</v>
      </c>
      <c r="AL2361" s="6" t="s">
        <v>18444</v>
      </c>
      <c r="AM2361" s="6" t="s">
        <v>18744</v>
      </c>
      <c r="AN2361" s="6" t="s">
        <v>19695</v>
      </c>
      <c r="AO2361" s="6" t="s">
        <v>19862</v>
      </c>
      <c r="AP2361" s="6" t="s">
        <v>20423</v>
      </c>
      <c r="AQ2361" s="6" t="s">
        <v>81</v>
      </c>
      <c r="AR2361" s="6" t="s">
        <v>17580</v>
      </c>
      <c r="AS2361" s="6" t="s">
        <v>8428</v>
      </c>
      <c r="AT2361" s="6" t="s">
        <v>18444</v>
      </c>
      <c r="AU2361" s="6" t="s">
        <v>18744</v>
      </c>
      <c r="AV2361" s="6" t="s">
        <v>81</v>
      </c>
      <c r="AW2361" s="6" t="s">
        <v>81</v>
      </c>
      <c r="AX2361" s="6" t="s">
        <v>22288</v>
      </c>
      <c r="AY2361" s="6" t="s">
        <v>23393</v>
      </c>
      <c r="AZ2361" s="6" t="s">
        <v>81</v>
      </c>
      <c r="BA2361" s="6" t="s">
        <v>81</v>
      </c>
      <c r="BB2361" s="6" t="s">
        <v>81</v>
      </c>
      <c r="BC2361" s="26"/>
      <c r="BD2361" s="26"/>
      <c r="BE2361" s="26"/>
      <c r="BF2361" s="26"/>
      <c r="BG2361" s="26" t="s">
        <v>23900</v>
      </c>
      <c r="BH2361" s="26"/>
      <c r="BI2361" s="26"/>
      <c r="BJ2361" s="26"/>
      <c r="BK2361" s="26"/>
      <c r="BL2361" s="26"/>
      <c r="BM2361" s="26"/>
      <c r="BN2361" s="26"/>
      <c r="BO2361" s="26"/>
      <c r="BP2361" s="16" t="n">
        <v>45737</v>
      </c>
      <c r="BQ2361" s="28" t="str">
        <f>HYPERLINK("https://organic.ams.usda.gov/Integrity/Certificate.aspx?cid=58&amp;nopid=1600001929")</f>
        <v>https://organic.ams.usda.gov/Integrity/Certificate.aspx?cid=58&amp;nopid=1600001929</v>
      </c>
    </row>
    <row r="2362">
      <c r="A2362" t="s">
        <v>3</v>
      </c>
      <c r="B2362" s="6" t="s">
        <v>8</v>
      </c>
      <c r="C2362" s="6" t="s">
        <v>55</v>
      </c>
      <c r="D2362" s="6" t="s">
        <v>101</v>
      </c>
      <c r="E2362" s="10" t="s">
        <v>2503</v>
      </c>
      <c r="F2362" s="6" t="s">
        <v>5210</v>
      </c>
      <c r="G2362" s="6" t="s">
        <v>81</v>
      </c>
      <c r="H2362" s="6" t="s">
        <v>8045</v>
      </c>
      <c r="I2362" s="6" t="s">
        <v>8790</v>
      </c>
      <c r="J2362" s="6" t="s">
        <v>10723</v>
      </c>
      <c r="K2362" s="6" t="s">
        <v>10886</v>
      </c>
      <c r="L2362" s="16" t="n">
        <v>42290</v>
      </c>
      <c r="M2362" s="16" t="n">
        <v>45689</v>
      </c>
      <c r="N2362" s="6" t="s">
        <v>10886</v>
      </c>
      <c r="O2362" s="16" t="n">
        <v>42290</v>
      </c>
      <c r="P2362" s="6" t="s">
        <v>12225</v>
      </c>
      <c r="Q2362" s="6" t="s">
        <v>81</v>
      </c>
      <c r="R2362" s="6" t="s">
        <v>8045</v>
      </c>
      <c r="S2362" s="6" t="s">
        <v>10886</v>
      </c>
      <c r="T2362" s="16" t="n">
        <v>42290</v>
      </c>
      <c r="U2362" s="6" t="s">
        <v>13179</v>
      </c>
      <c r="V2362" s="6" t="s">
        <v>81</v>
      </c>
      <c r="W2362" s="6" t="s">
        <v>8045</v>
      </c>
      <c r="X2362" s="6" t="s">
        <v>81</v>
      </c>
      <c r="Y2362" s="21" t="s">
        <v>81</v>
      </c>
      <c r="Z2362" s="6" t="s">
        <v>81</v>
      </c>
      <c r="AA2362" s="6" t="s">
        <v>81</v>
      </c>
      <c r="AB2362" s="6" t="s">
        <v>81</v>
      </c>
      <c r="AC2362" s="6" t="s">
        <v>81</v>
      </c>
      <c r="AD2362" s="21" t="s">
        <v>81</v>
      </c>
      <c r="AE2362" s="6" t="s">
        <v>81</v>
      </c>
      <c r="AF2362" s="6" t="s">
        <v>81</v>
      </c>
      <c r="AG2362" s="6" t="s">
        <v>81</v>
      </c>
      <c r="AH2362" s="6" t="s">
        <v>16902</v>
      </c>
      <c r="AI2362" s="6" t="s">
        <v>81</v>
      </c>
      <c r="AJ2362" s="6" t="s">
        <v>17724</v>
      </c>
      <c r="AK2362" s="6" t="s">
        <v>18377</v>
      </c>
      <c r="AL2362" s="6" t="s">
        <v>18444</v>
      </c>
      <c r="AM2362" s="6" t="s">
        <v>18892</v>
      </c>
      <c r="AN2362" s="6" t="s">
        <v>19643</v>
      </c>
      <c r="AO2362" s="6" t="s">
        <v>19730</v>
      </c>
      <c r="AP2362" s="6" t="s">
        <v>81</v>
      </c>
      <c r="AQ2362" s="6" t="s">
        <v>81</v>
      </c>
      <c r="AR2362" s="6" t="s">
        <v>81</v>
      </c>
      <c r="AS2362" s="6" t="s">
        <v>81</v>
      </c>
      <c r="AT2362" s="6" t="s">
        <v>81</v>
      </c>
      <c r="AU2362" s="6" t="s">
        <v>81</v>
      </c>
      <c r="AV2362" s="6" t="s">
        <v>81</v>
      </c>
      <c r="AW2362" s="6" t="s">
        <v>81</v>
      </c>
      <c r="AX2362" s="6" t="s">
        <v>22289</v>
      </c>
      <c r="AY2362" s="6" t="s">
        <v>23394</v>
      </c>
      <c r="AZ2362" s="6" t="s">
        <v>81</v>
      </c>
      <c r="BA2362" s="6" t="s">
        <v>23819</v>
      </c>
      <c r="BB2362" s="24" t="n">
        <v>486</v>
      </c>
      <c r="BC2362" s="26"/>
      <c r="BD2362" s="26"/>
      <c r="BE2362" s="26"/>
      <c r="BF2362" s="26" t="s">
        <v>23900</v>
      </c>
      <c r="BG2362" s="26"/>
      <c r="BH2362" s="26"/>
      <c r="BI2362" s="26"/>
      <c r="BJ2362" s="26"/>
      <c r="BK2362" s="26"/>
      <c r="BL2362" s="26"/>
      <c r="BM2362" s="26"/>
      <c r="BN2362" s="26"/>
      <c r="BO2362" s="26"/>
      <c r="BP2362" s="16" t="n">
        <v>45721</v>
      </c>
      <c r="BQ2362" s="28" t="str">
        <f>HYPERLINK("https://organic.ams.usda.gov/Integrity/Certificate.aspx?cid=45&amp;nopid=9950008785")</f>
        <v>https://organic.ams.usda.gov/Integrity/Certificate.aspx?cid=45&amp;nopid=9950008785</v>
      </c>
    </row>
    <row r="2363">
      <c r="A2363" t="s">
        <v>3</v>
      </c>
      <c r="B2363" s="6" t="s">
        <v>7</v>
      </c>
      <c r="C2363" s="6" t="s">
        <v>54</v>
      </c>
      <c r="D2363" s="6" t="s">
        <v>100</v>
      </c>
      <c r="E2363" s="10" t="s">
        <v>2504</v>
      </c>
      <c r="F2363" s="6" t="s">
        <v>5211</v>
      </c>
      <c r="G2363" s="6" t="s">
        <v>81</v>
      </c>
      <c r="H2363" s="6" t="s">
        <v>8046</v>
      </c>
      <c r="I2363" s="6" t="s">
        <v>8477</v>
      </c>
      <c r="J2363" s="6" t="s">
        <v>10724</v>
      </c>
      <c r="K2363" s="6" t="s">
        <v>10886</v>
      </c>
      <c r="L2363" s="16" t="n">
        <v>39293</v>
      </c>
      <c r="M2363" s="16" t="n">
        <v>45716</v>
      </c>
      <c r="N2363" s="6" t="s">
        <v>10886</v>
      </c>
      <c r="O2363" s="16" t="n">
        <v>39293</v>
      </c>
      <c r="P2363" s="6" t="s">
        <v>10910</v>
      </c>
      <c r="Q2363" s="6" t="s">
        <v>81</v>
      </c>
      <c r="R2363" s="6" t="s">
        <v>81</v>
      </c>
      <c r="S2363" s="6" t="s">
        <v>10886</v>
      </c>
      <c r="T2363" s="16" t="n">
        <v>39293</v>
      </c>
      <c r="U2363" s="6" t="s">
        <v>13861</v>
      </c>
      <c r="V2363" s="6" t="s">
        <v>81</v>
      </c>
      <c r="W2363" s="6" t="s">
        <v>81</v>
      </c>
      <c r="X2363" s="6" t="s">
        <v>81</v>
      </c>
      <c r="Y2363" s="21" t="s">
        <v>81</v>
      </c>
      <c r="Z2363" s="6" t="s">
        <v>81</v>
      </c>
      <c r="AA2363" s="6" t="s">
        <v>81</v>
      </c>
      <c r="AB2363" s="6" t="s">
        <v>81</v>
      </c>
      <c r="AC2363" s="6" t="s">
        <v>81</v>
      </c>
      <c r="AD2363" s="21" t="s">
        <v>81</v>
      </c>
      <c r="AE2363" s="6" t="s">
        <v>81</v>
      </c>
      <c r="AF2363" s="6" t="s">
        <v>81</v>
      </c>
      <c r="AG2363" s="6" t="s">
        <v>81</v>
      </c>
      <c r="AH2363" s="6" t="s">
        <v>16903</v>
      </c>
      <c r="AI2363" s="6" t="s">
        <v>81</v>
      </c>
      <c r="AJ2363" s="6" t="s">
        <v>18275</v>
      </c>
      <c r="AK2363" s="6" t="s">
        <v>17712</v>
      </c>
      <c r="AL2363" s="6" t="s">
        <v>18444</v>
      </c>
      <c r="AM2363" s="6" t="s">
        <v>19502</v>
      </c>
      <c r="AN2363" s="6" t="s">
        <v>19696</v>
      </c>
      <c r="AO2363" s="6" t="s">
        <v>19791</v>
      </c>
      <c r="AP2363" s="6" t="s">
        <v>20424</v>
      </c>
      <c r="AQ2363" s="6" t="s">
        <v>81</v>
      </c>
      <c r="AR2363" s="6" t="s">
        <v>18275</v>
      </c>
      <c r="AS2363" s="6" t="s">
        <v>17712</v>
      </c>
      <c r="AT2363" s="6" t="s">
        <v>18444</v>
      </c>
      <c r="AU2363" s="6" t="s">
        <v>19502</v>
      </c>
      <c r="AV2363" s="6" t="s">
        <v>81</v>
      </c>
      <c r="AW2363" s="6" t="s">
        <v>81</v>
      </c>
      <c r="AX2363" s="6" t="s">
        <v>22290</v>
      </c>
      <c r="AY2363" s="6" t="s">
        <v>81</v>
      </c>
      <c r="AZ2363" s="6" t="s">
        <v>81</v>
      </c>
      <c r="BA2363" s="6" t="s">
        <v>81</v>
      </c>
      <c r="BB2363" s="24" t="n">
        <v>249</v>
      </c>
      <c r="BC2363" s="26"/>
      <c r="BD2363" s="26"/>
      <c r="BE2363" s="26"/>
      <c r="BF2363" s="26" t="s">
        <v>23900</v>
      </c>
      <c r="BG2363" s="26"/>
      <c r="BH2363" s="26"/>
      <c r="BI2363" s="26"/>
      <c r="BJ2363" s="26"/>
      <c r="BK2363" s="26"/>
      <c r="BL2363" s="26"/>
      <c r="BM2363" s="26"/>
      <c r="BN2363" s="26"/>
      <c r="BO2363" s="26"/>
      <c r="BP2363" s="16" t="n">
        <v>45688</v>
      </c>
      <c r="BQ2363" s="28" t="str">
        <f>HYPERLINK("https://organic.ams.usda.gov/Integrity/Certificate.aspx?cid=57&amp;nopid=3252007065")</f>
        <v>https://organic.ams.usda.gov/Integrity/Certificate.aspx?cid=57&amp;nopid=3252007065</v>
      </c>
    </row>
    <row r="2364">
      <c r="A2364" t="s">
        <v>3</v>
      </c>
      <c r="B2364" s="6" t="s">
        <v>8</v>
      </c>
      <c r="C2364" s="6" t="s">
        <v>55</v>
      </c>
      <c r="D2364" s="6" t="s">
        <v>101</v>
      </c>
      <c r="E2364" s="10" t="s">
        <v>2505</v>
      </c>
      <c r="F2364" s="6" t="s">
        <v>5212</v>
      </c>
      <c r="G2364" s="6" t="s">
        <v>5849</v>
      </c>
      <c r="H2364" s="6" t="s">
        <v>8047</v>
      </c>
      <c r="I2364" s="6" t="s">
        <v>9133</v>
      </c>
      <c r="J2364" s="6" t="s">
        <v>9728</v>
      </c>
      <c r="K2364" s="6" t="s">
        <v>10886</v>
      </c>
      <c r="L2364" s="16" t="n">
        <v>43557</v>
      </c>
      <c r="M2364" s="18" t="s">
        <v>81</v>
      </c>
      <c r="N2364" s="6" t="s">
        <v>81</v>
      </c>
      <c r="O2364" s="21" t="s">
        <v>81</v>
      </c>
      <c r="P2364" s="6" t="s">
        <v>81</v>
      </c>
      <c r="Q2364" s="6" t="s">
        <v>81</v>
      </c>
      <c r="R2364" s="6" t="s">
        <v>81</v>
      </c>
      <c r="S2364" s="6" t="s">
        <v>81</v>
      </c>
      <c r="T2364" s="21" t="s">
        <v>81</v>
      </c>
      <c r="U2364" s="6" t="s">
        <v>81</v>
      </c>
      <c r="V2364" s="6" t="s">
        <v>81</v>
      </c>
      <c r="W2364" s="6" t="s">
        <v>81</v>
      </c>
      <c r="X2364" s="6" t="s">
        <v>81</v>
      </c>
      <c r="Y2364" s="21" t="s">
        <v>81</v>
      </c>
      <c r="Z2364" s="6" t="s">
        <v>81</v>
      </c>
      <c r="AA2364" s="6" t="s">
        <v>81</v>
      </c>
      <c r="AB2364" s="6" t="s">
        <v>81</v>
      </c>
      <c r="AC2364" s="6" t="s">
        <v>10886</v>
      </c>
      <c r="AD2364" s="16" t="n">
        <v>43557</v>
      </c>
      <c r="AE2364" s="6" t="s">
        <v>14419</v>
      </c>
      <c r="AF2364" s="6" t="s">
        <v>81</v>
      </c>
      <c r="AG2364" s="6" t="s">
        <v>81</v>
      </c>
      <c r="AH2364" s="6" t="s">
        <v>16904</v>
      </c>
      <c r="AI2364" s="6" t="s">
        <v>81</v>
      </c>
      <c r="AJ2364" s="6" t="s">
        <v>17635</v>
      </c>
      <c r="AK2364" s="6" t="s">
        <v>18379</v>
      </c>
      <c r="AL2364" s="6" t="s">
        <v>18444</v>
      </c>
      <c r="AM2364" s="6" t="s">
        <v>18804</v>
      </c>
      <c r="AN2364" s="6" t="s">
        <v>19637</v>
      </c>
      <c r="AO2364" s="6" t="s">
        <v>19723</v>
      </c>
      <c r="AP2364" s="6" t="s">
        <v>20144</v>
      </c>
      <c r="AQ2364" s="6" t="s">
        <v>81</v>
      </c>
      <c r="AR2364" s="6" t="s">
        <v>17635</v>
      </c>
      <c r="AS2364" s="6" t="s">
        <v>18379</v>
      </c>
      <c r="AT2364" s="6" t="s">
        <v>18444</v>
      </c>
      <c r="AU2364" s="6" t="s">
        <v>18804</v>
      </c>
      <c r="AV2364" s="6" t="s">
        <v>81</v>
      </c>
      <c r="AW2364" s="6" t="s">
        <v>81</v>
      </c>
      <c r="AX2364" s="6" t="s">
        <v>81</v>
      </c>
      <c r="AY2364" s="6" t="s">
        <v>81</v>
      </c>
      <c r="AZ2364" s="6" t="s">
        <v>23773</v>
      </c>
      <c r="BA2364" s="6" t="s">
        <v>81</v>
      </c>
      <c r="BB2364" s="6" t="s">
        <v>81</v>
      </c>
      <c r="BC2364" s="26"/>
      <c r="BD2364" s="26"/>
      <c r="BE2364" s="26"/>
      <c r="BF2364" s="26"/>
      <c r="BG2364" s="26"/>
      <c r="BH2364" s="26"/>
      <c r="BI2364" s="26"/>
      <c r="BJ2364" s="26"/>
      <c r="BK2364" s="26"/>
      <c r="BL2364" s="26"/>
      <c r="BM2364" s="26"/>
      <c r="BN2364" s="26"/>
      <c r="BO2364" s="26"/>
      <c r="BP2364" s="16" t="n">
        <v>45292</v>
      </c>
      <c r="BQ2364" s="28" t="str">
        <f>HYPERLINK("https://organic.ams.usda.gov/Integrity/Certificate.aspx?cid=45&amp;nopid=9950011749")</f>
        <v>https://organic.ams.usda.gov/Integrity/Certificate.aspx?cid=45&amp;nopid=9950011749</v>
      </c>
    </row>
    <row r="2365">
      <c r="A2365" t="s">
        <v>3</v>
      </c>
      <c r="B2365" s="6" t="s">
        <v>29</v>
      </c>
      <c r="C2365" s="6" t="s">
        <v>76</v>
      </c>
      <c r="D2365" s="6" t="s">
        <v>122</v>
      </c>
      <c r="E2365" s="10" t="s">
        <v>2506</v>
      </c>
      <c r="F2365" s="6" t="s">
        <v>5213</v>
      </c>
      <c r="G2365" s="6" t="s">
        <v>81</v>
      </c>
      <c r="H2365" s="6" t="s">
        <v>8048</v>
      </c>
      <c r="I2365" s="6" t="s">
        <v>9514</v>
      </c>
      <c r="J2365" s="6" t="s">
        <v>10725</v>
      </c>
      <c r="K2365" s="6" t="s">
        <v>10886</v>
      </c>
      <c r="L2365" s="16" t="n">
        <v>45726</v>
      </c>
      <c r="M2365" s="16" t="n">
        <v>46091</v>
      </c>
      <c r="N2365" s="6" t="s">
        <v>81</v>
      </c>
      <c r="O2365" s="21" t="s">
        <v>81</v>
      </c>
      <c r="P2365" s="6" t="s">
        <v>81</v>
      </c>
      <c r="Q2365" s="6" t="s">
        <v>81</v>
      </c>
      <c r="R2365" s="6" t="s">
        <v>81</v>
      </c>
      <c r="S2365" s="6" t="s">
        <v>81</v>
      </c>
      <c r="T2365" s="21" t="s">
        <v>81</v>
      </c>
      <c r="U2365" s="6" t="s">
        <v>81</v>
      </c>
      <c r="V2365" s="6" t="s">
        <v>81</v>
      </c>
      <c r="W2365" s="6" t="s">
        <v>81</v>
      </c>
      <c r="X2365" s="6" t="s">
        <v>81</v>
      </c>
      <c r="Y2365" s="21" t="s">
        <v>81</v>
      </c>
      <c r="Z2365" s="6" t="s">
        <v>81</v>
      </c>
      <c r="AA2365" s="6" t="s">
        <v>81</v>
      </c>
      <c r="AB2365" s="6" t="s">
        <v>81</v>
      </c>
      <c r="AC2365" s="6" t="s">
        <v>10886</v>
      </c>
      <c r="AD2365" s="16" t="n">
        <v>45726</v>
      </c>
      <c r="AE2365" s="6" t="s">
        <v>14420</v>
      </c>
      <c r="AF2365" s="6" t="s">
        <v>81</v>
      </c>
      <c r="AG2365" s="6" t="s">
        <v>14593</v>
      </c>
      <c r="AH2365" s="6" t="s">
        <v>16905</v>
      </c>
      <c r="AI2365" s="6" t="s">
        <v>81</v>
      </c>
      <c r="AJ2365" s="6" t="s">
        <v>18276</v>
      </c>
      <c r="AK2365" s="6" t="s">
        <v>18413</v>
      </c>
      <c r="AL2365" s="6" t="s">
        <v>18444</v>
      </c>
      <c r="AM2365" s="6" t="s">
        <v>19503</v>
      </c>
      <c r="AN2365" s="6" t="s">
        <v>81</v>
      </c>
      <c r="AO2365" s="6" t="s">
        <v>81</v>
      </c>
      <c r="AP2365" s="6" t="s">
        <v>81</v>
      </c>
      <c r="AQ2365" s="6" t="s">
        <v>81</v>
      </c>
      <c r="AR2365" s="6" t="s">
        <v>81</v>
      </c>
      <c r="AS2365" s="6" t="s">
        <v>81</v>
      </c>
      <c r="AT2365" s="6" t="s">
        <v>81</v>
      </c>
      <c r="AU2365" s="6" t="s">
        <v>81</v>
      </c>
      <c r="AV2365" s="6" t="s">
        <v>81</v>
      </c>
      <c r="AW2365" s="6" t="s">
        <v>81</v>
      </c>
      <c r="AX2365" s="6" t="s">
        <v>22291</v>
      </c>
      <c r="AY2365" s="6" t="s">
        <v>23395</v>
      </c>
      <c r="AZ2365" s="6" t="s">
        <v>81</v>
      </c>
      <c r="BA2365" s="6" t="s">
        <v>81</v>
      </c>
      <c r="BB2365" s="6" t="s">
        <v>81</v>
      </c>
      <c r="BC2365" s="26"/>
      <c r="BD2365" s="26"/>
      <c r="BE2365" s="26"/>
      <c r="BF2365" s="26"/>
      <c r="BG2365" s="26"/>
      <c r="BH2365" s="26"/>
      <c r="BI2365" s="26"/>
      <c r="BJ2365" s="26"/>
      <c r="BK2365" s="26"/>
      <c r="BL2365" s="26"/>
      <c r="BM2365" s="26"/>
      <c r="BN2365" s="26"/>
      <c r="BO2365" s="26"/>
      <c r="BP2365" s="16" t="n">
        <v>45737</v>
      </c>
      <c r="BQ2365" s="28" t="str">
        <f>HYPERLINK("https://organic.ams.usda.gov/Integrity/Certificate.aspx?cid=31&amp;nopid=3928972506")</f>
        <v>https://organic.ams.usda.gov/Integrity/Certificate.aspx?cid=31&amp;nopid=3928972506</v>
      </c>
    </row>
    <row r="2366">
      <c r="A2366" t="s">
        <v>3</v>
      </c>
      <c r="B2366" s="6" t="s">
        <v>49</v>
      </c>
      <c r="C2366" s="6" t="s">
        <v>96</v>
      </c>
      <c r="D2366" s="6" t="s">
        <v>141</v>
      </c>
      <c r="E2366" s="10" t="s">
        <v>2507</v>
      </c>
      <c r="F2366" s="6" t="s">
        <v>5214</v>
      </c>
      <c r="G2366" s="6" t="s">
        <v>5850</v>
      </c>
      <c r="H2366" s="6" t="s">
        <v>8049</v>
      </c>
      <c r="I2366" s="6" t="s">
        <v>9515</v>
      </c>
      <c r="J2366" s="6" t="s">
        <v>10726</v>
      </c>
      <c r="K2366" s="6" t="s">
        <v>10886</v>
      </c>
      <c r="L2366" s="16" t="n">
        <v>44866</v>
      </c>
      <c r="M2366" s="16" t="n">
        <v>46081</v>
      </c>
      <c r="N2366" s="6" t="s">
        <v>81</v>
      </c>
      <c r="O2366" s="21" t="s">
        <v>81</v>
      </c>
      <c r="P2366" s="6" t="s">
        <v>81</v>
      </c>
      <c r="Q2366" s="6" t="s">
        <v>81</v>
      </c>
      <c r="R2366" s="6" t="s">
        <v>81</v>
      </c>
      <c r="S2366" s="6" t="s">
        <v>81</v>
      </c>
      <c r="T2366" s="21" t="s">
        <v>81</v>
      </c>
      <c r="U2366" s="6" t="s">
        <v>81</v>
      </c>
      <c r="V2366" s="6" t="s">
        <v>81</v>
      </c>
      <c r="W2366" s="6" t="s">
        <v>81</v>
      </c>
      <c r="X2366" s="6" t="s">
        <v>81</v>
      </c>
      <c r="Y2366" s="21" t="s">
        <v>81</v>
      </c>
      <c r="Z2366" s="6" t="s">
        <v>81</v>
      </c>
      <c r="AA2366" s="6" t="s">
        <v>81</v>
      </c>
      <c r="AB2366" s="6" t="s">
        <v>81</v>
      </c>
      <c r="AC2366" s="6" t="s">
        <v>10886</v>
      </c>
      <c r="AD2366" s="16" t="n">
        <v>44866</v>
      </c>
      <c r="AE2366" s="6" t="s">
        <v>14421</v>
      </c>
      <c r="AF2366" s="6" t="s">
        <v>81</v>
      </c>
      <c r="AG2366" s="6" t="s">
        <v>14594</v>
      </c>
      <c r="AH2366" s="6" t="s">
        <v>16906</v>
      </c>
      <c r="AI2366" s="6" t="s">
        <v>81</v>
      </c>
      <c r="AJ2366" s="6" t="s">
        <v>18277</v>
      </c>
      <c r="AK2366" s="6" t="s">
        <v>81</v>
      </c>
      <c r="AL2366" s="6" t="s">
        <v>18458</v>
      </c>
      <c r="AM2366" s="6" t="s">
        <v>19504</v>
      </c>
      <c r="AN2366" s="6" t="s">
        <v>81</v>
      </c>
      <c r="AO2366" s="6" t="s">
        <v>81</v>
      </c>
      <c r="AP2366" s="6" t="s">
        <v>16906</v>
      </c>
      <c r="AQ2366" s="6" t="s">
        <v>81</v>
      </c>
      <c r="AR2366" s="6" t="s">
        <v>18277</v>
      </c>
      <c r="AS2366" s="6" t="s">
        <v>81</v>
      </c>
      <c r="AT2366" s="6" t="s">
        <v>18458</v>
      </c>
      <c r="AU2366" s="6" t="s">
        <v>19504</v>
      </c>
      <c r="AV2366" s="6" t="s">
        <v>81</v>
      </c>
      <c r="AW2366" s="6" t="s">
        <v>81</v>
      </c>
      <c r="AX2366" s="6" t="s">
        <v>22292</v>
      </c>
      <c r="AY2366" s="6" t="s">
        <v>23396</v>
      </c>
      <c r="AZ2366" s="6" t="s">
        <v>23774</v>
      </c>
      <c r="BA2366" s="6" t="s">
        <v>23882</v>
      </c>
      <c r="BB2366" s="6" t="s">
        <v>81</v>
      </c>
      <c r="BC2366" s="26"/>
      <c r="BD2366" s="26"/>
      <c r="BE2366" s="26" t="s">
        <v>23900</v>
      </c>
      <c r="BF2366" s="26"/>
      <c r="BG2366" s="26" t="s">
        <v>23900</v>
      </c>
      <c r="BH2366" s="26"/>
      <c r="BI2366" s="26"/>
      <c r="BJ2366" s="26"/>
      <c r="BK2366" s="26"/>
      <c r="BL2366" s="26"/>
      <c r="BM2366" s="26"/>
      <c r="BN2366" s="26"/>
      <c r="BO2366" s="26"/>
      <c r="BP2366" s="16" t="n">
        <v>45720</v>
      </c>
      <c r="BQ2366" s="28" t="str">
        <f>HYPERLINK("https://organic.ams.usda.gov/Integrity/Certificate.aspx?cid=84&amp;nopid=5380000691")</f>
        <v>https://organic.ams.usda.gov/Integrity/Certificate.aspx?cid=84&amp;nopid=5380000691</v>
      </c>
    </row>
    <row r="2367">
      <c r="A2367" t="s">
        <v>3</v>
      </c>
      <c r="B2367" s="6" t="s">
        <v>25</v>
      </c>
      <c r="C2367" s="6" t="s">
        <v>72</v>
      </c>
      <c r="D2367" s="6" t="s">
        <v>118</v>
      </c>
      <c r="E2367" s="10" t="s">
        <v>2508</v>
      </c>
      <c r="F2367" s="6" t="s">
        <v>5215</v>
      </c>
      <c r="G2367" s="6" t="s">
        <v>81</v>
      </c>
      <c r="H2367" s="6" t="s">
        <v>8050</v>
      </c>
      <c r="I2367" s="6" t="s">
        <v>81</v>
      </c>
      <c r="J2367" s="6" t="s">
        <v>81</v>
      </c>
      <c r="K2367" s="6" t="s">
        <v>10886</v>
      </c>
      <c r="L2367" s="16" t="n">
        <v>41398</v>
      </c>
      <c r="M2367" s="16" t="n">
        <v>46023</v>
      </c>
      <c r="N2367" s="6" t="s">
        <v>10886</v>
      </c>
      <c r="O2367" s="16" t="n">
        <v>41398</v>
      </c>
      <c r="P2367" s="6" t="s">
        <v>11128</v>
      </c>
      <c r="Q2367" s="6" t="s">
        <v>81</v>
      </c>
      <c r="R2367" s="6" t="s">
        <v>81</v>
      </c>
      <c r="S2367" s="6" t="s">
        <v>10886</v>
      </c>
      <c r="T2367" s="16" t="n">
        <v>41398</v>
      </c>
      <c r="U2367" s="6" t="s">
        <v>13862</v>
      </c>
      <c r="V2367" s="6" t="s">
        <v>81</v>
      </c>
      <c r="W2367" s="6" t="s">
        <v>81</v>
      </c>
      <c r="X2367" s="6" t="s">
        <v>81</v>
      </c>
      <c r="Y2367" s="21" t="s">
        <v>81</v>
      </c>
      <c r="Z2367" s="6" t="s">
        <v>81</v>
      </c>
      <c r="AA2367" s="6" t="s">
        <v>81</v>
      </c>
      <c r="AB2367" s="6" t="s">
        <v>81</v>
      </c>
      <c r="AC2367" s="6" t="s">
        <v>10886</v>
      </c>
      <c r="AD2367" s="16" t="n">
        <v>44734</v>
      </c>
      <c r="AE2367" s="6" t="s">
        <v>14081</v>
      </c>
      <c r="AF2367" s="6" t="s">
        <v>81</v>
      </c>
      <c r="AG2367" s="6" t="s">
        <v>81</v>
      </c>
      <c r="AH2367" s="6" t="s">
        <v>16907</v>
      </c>
      <c r="AI2367" s="6" t="s">
        <v>81</v>
      </c>
      <c r="AJ2367" s="6" t="s">
        <v>17561</v>
      </c>
      <c r="AK2367" s="6" t="s">
        <v>18386</v>
      </c>
      <c r="AL2367" s="6" t="s">
        <v>18444</v>
      </c>
      <c r="AM2367" s="6" t="s">
        <v>18725</v>
      </c>
      <c r="AN2367" s="6" t="s">
        <v>19672</v>
      </c>
      <c r="AO2367" s="6" t="s">
        <v>19787</v>
      </c>
      <c r="AP2367" s="6" t="s">
        <v>16907</v>
      </c>
      <c r="AQ2367" s="6" t="s">
        <v>81</v>
      </c>
      <c r="AR2367" s="6" t="s">
        <v>17561</v>
      </c>
      <c r="AS2367" s="6" t="s">
        <v>18386</v>
      </c>
      <c r="AT2367" s="6" t="s">
        <v>18444</v>
      </c>
      <c r="AU2367" s="6" t="s">
        <v>18725</v>
      </c>
      <c r="AV2367" s="6" t="s">
        <v>81</v>
      </c>
      <c r="AW2367" s="6" t="s">
        <v>81</v>
      </c>
      <c r="AX2367" s="6" t="s">
        <v>81</v>
      </c>
      <c r="AY2367" s="6" t="s">
        <v>81</v>
      </c>
      <c r="AZ2367" s="6" t="s">
        <v>81</v>
      </c>
      <c r="BA2367" s="6" t="s">
        <v>81</v>
      </c>
      <c r="BB2367" s="24" t="n">
        <v>923</v>
      </c>
      <c r="BC2367" s="26"/>
      <c r="BD2367" s="26"/>
      <c r="BE2367" s="26"/>
      <c r="BF2367" s="26"/>
      <c r="BG2367" s="26"/>
      <c r="BH2367" s="26"/>
      <c r="BI2367" s="26"/>
      <c r="BJ2367" s="26"/>
      <c r="BK2367" s="26"/>
      <c r="BL2367" s="26"/>
      <c r="BM2367" s="26"/>
      <c r="BN2367" s="26"/>
      <c r="BO2367" s="26"/>
      <c r="BP2367" s="16" t="n">
        <v>45667</v>
      </c>
      <c r="BQ2367" s="28" t="str">
        <f>HYPERLINK("https://organic.ams.usda.gov/Integrity/Certificate.aspx?cid=15&amp;nopid=5561001415")</f>
        <v>https://organic.ams.usda.gov/Integrity/Certificate.aspx?cid=15&amp;nopid=5561001415</v>
      </c>
    </row>
    <row r="2368">
      <c r="A2368" t="s">
        <v>3</v>
      </c>
      <c r="B2368" s="6" t="s">
        <v>8</v>
      </c>
      <c r="C2368" s="6" t="s">
        <v>55</v>
      </c>
      <c r="D2368" s="6" t="s">
        <v>101</v>
      </c>
      <c r="E2368" s="10" t="s">
        <v>2509</v>
      </c>
      <c r="F2368" s="6" t="s">
        <v>5216</v>
      </c>
      <c r="G2368" s="6" t="s">
        <v>81</v>
      </c>
      <c r="H2368" s="6" t="s">
        <v>8051</v>
      </c>
      <c r="I2368" s="6" t="s">
        <v>8586</v>
      </c>
      <c r="J2368" s="6" t="s">
        <v>10727</v>
      </c>
      <c r="K2368" s="6" t="s">
        <v>10886</v>
      </c>
      <c r="L2368" s="16" t="n">
        <v>42891</v>
      </c>
      <c r="M2368" s="18" t="s">
        <v>81</v>
      </c>
      <c r="N2368" s="6" t="s">
        <v>10886</v>
      </c>
      <c r="O2368" s="16" t="n">
        <v>42891</v>
      </c>
      <c r="P2368" s="6" t="s">
        <v>12226</v>
      </c>
      <c r="Q2368" s="6" t="s">
        <v>81</v>
      </c>
      <c r="R2368" s="6" t="s">
        <v>81</v>
      </c>
      <c r="S2368" s="6" t="s">
        <v>10886</v>
      </c>
      <c r="T2368" s="16" t="n">
        <v>42891</v>
      </c>
      <c r="U2368" s="6" t="s">
        <v>13285</v>
      </c>
      <c r="V2368" s="6" t="s">
        <v>81</v>
      </c>
      <c r="W2368" s="6" t="s">
        <v>81</v>
      </c>
      <c r="X2368" s="6" t="s">
        <v>81</v>
      </c>
      <c r="Y2368" s="21" t="s">
        <v>81</v>
      </c>
      <c r="Z2368" s="6" t="s">
        <v>81</v>
      </c>
      <c r="AA2368" s="6" t="s">
        <v>81</v>
      </c>
      <c r="AB2368" s="6" t="s">
        <v>81</v>
      </c>
      <c r="AC2368" s="6" t="s">
        <v>81</v>
      </c>
      <c r="AD2368" s="21" t="s">
        <v>81</v>
      </c>
      <c r="AE2368" s="6" t="s">
        <v>81</v>
      </c>
      <c r="AF2368" s="6" t="s">
        <v>81</v>
      </c>
      <c r="AG2368" s="6" t="s">
        <v>81</v>
      </c>
      <c r="AH2368" s="6" t="s">
        <v>16908</v>
      </c>
      <c r="AI2368" s="6" t="s">
        <v>81</v>
      </c>
      <c r="AJ2368" s="6" t="s">
        <v>18168</v>
      </c>
      <c r="AK2368" s="6" t="s">
        <v>18381</v>
      </c>
      <c r="AL2368" s="6" t="s">
        <v>18444</v>
      </c>
      <c r="AM2368" s="6" t="s">
        <v>19299</v>
      </c>
      <c r="AN2368" s="6" t="s">
        <v>19676</v>
      </c>
      <c r="AO2368" s="6" t="s">
        <v>19797</v>
      </c>
      <c r="AP2368" s="6" t="s">
        <v>81</v>
      </c>
      <c r="AQ2368" s="6" t="s">
        <v>81</v>
      </c>
      <c r="AR2368" s="6" t="s">
        <v>81</v>
      </c>
      <c r="AS2368" s="6" t="s">
        <v>81</v>
      </c>
      <c r="AT2368" s="6" t="s">
        <v>81</v>
      </c>
      <c r="AU2368" s="6" t="s">
        <v>81</v>
      </c>
      <c r="AV2368" s="6" t="s">
        <v>81</v>
      </c>
      <c r="AW2368" s="6" t="s">
        <v>81</v>
      </c>
      <c r="AX2368" s="6" t="s">
        <v>81</v>
      </c>
      <c r="AY2368" s="6" t="s">
        <v>81</v>
      </c>
      <c r="AZ2368" s="6" t="s">
        <v>81</v>
      </c>
      <c r="BA2368" s="6" t="s">
        <v>81</v>
      </c>
      <c r="BB2368" s="24" t="n">
        <v>227</v>
      </c>
      <c r="BC2368" s="26"/>
      <c r="BD2368" s="26"/>
      <c r="BE2368" s="26"/>
      <c r="BF2368" s="26"/>
      <c r="BG2368" s="26"/>
      <c r="BH2368" s="26"/>
      <c r="BI2368" s="26"/>
      <c r="BJ2368" s="26"/>
      <c r="BK2368" s="26"/>
      <c r="BL2368" s="26"/>
      <c r="BM2368" s="26"/>
      <c r="BN2368" s="26"/>
      <c r="BO2368" s="26"/>
      <c r="BP2368" s="16" t="n">
        <v>45292</v>
      </c>
      <c r="BQ2368" s="28" t="str">
        <f>HYPERLINK("https://organic.ams.usda.gov/Integrity/Certificate.aspx?cid=45&amp;nopid=9950001443")</f>
        <v>https://organic.ams.usda.gov/Integrity/Certificate.aspx?cid=45&amp;nopid=9950001443</v>
      </c>
    </row>
    <row r="2369">
      <c r="A2369" t="s">
        <v>3</v>
      </c>
      <c r="B2369" s="6" t="s">
        <v>16</v>
      </c>
      <c r="C2369" s="6" t="s">
        <v>63</v>
      </c>
      <c r="D2369" s="6" t="s">
        <v>109</v>
      </c>
      <c r="E2369" s="10" t="s">
        <v>2510</v>
      </c>
      <c r="F2369" s="6" t="s">
        <v>5217</v>
      </c>
      <c r="G2369" s="6" t="s">
        <v>81</v>
      </c>
      <c r="H2369" s="6" t="s">
        <v>8052</v>
      </c>
      <c r="I2369" s="6" t="s">
        <v>8552</v>
      </c>
      <c r="J2369" s="6" t="s">
        <v>10728</v>
      </c>
      <c r="K2369" s="6" t="s">
        <v>10886</v>
      </c>
      <c r="L2369" s="16" t="n">
        <v>43241</v>
      </c>
      <c r="M2369" s="16" t="n">
        <v>45731</v>
      </c>
      <c r="N2369" s="6" t="s">
        <v>10886</v>
      </c>
      <c r="O2369" s="16" t="n">
        <v>43241</v>
      </c>
      <c r="P2369" s="6" t="s">
        <v>11567</v>
      </c>
      <c r="Q2369" s="6" t="s">
        <v>81</v>
      </c>
      <c r="R2369" s="6" t="s">
        <v>81</v>
      </c>
      <c r="S2369" s="6" t="s">
        <v>10886</v>
      </c>
      <c r="T2369" s="16" t="n">
        <v>43241</v>
      </c>
      <c r="U2369" s="6" t="s">
        <v>13281</v>
      </c>
      <c r="V2369" s="6" t="s">
        <v>81</v>
      </c>
      <c r="W2369" s="6" t="s">
        <v>81</v>
      </c>
      <c r="X2369" s="6" t="s">
        <v>81</v>
      </c>
      <c r="Y2369" s="21" t="s">
        <v>81</v>
      </c>
      <c r="Z2369" s="6" t="s">
        <v>81</v>
      </c>
      <c r="AA2369" s="6" t="s">
        <v>81</v>
      </c>
      <c r="AB2369" s="6" t="s">
        <v>81</v>
      </c>
      <c r="AC2369" s="6" t="s">
        <v>10886</v>
      </c>
      <c r="AD2369" s="16" t="n">
        <v>43241</v>
      </c>
      <c r="AE2369" s="6" t="s">
        <v>81</v>
      </c>
      <c r="AF2369" s="6" t="s">
        <v>81</v>
      </c>
      <c r="AG2369" s="6" t="s">
        <v>81</v>
      </c>
      <c r="AH2369" s="6" t="s">
        <v>16909</v>
      </c>
      <c r="AI2369" s="6" t="s">
        <v>81</v>
      </c>
      <c r="AJ2369" s="6" t="s">
        <v>17887</v>
      </c>
      <c r="AK2369" s="6" t="s">
        <v>18383</v>
      </c>
      <c r="AL2369" s="6" t="s">
        <v>18444</v>
      </c>
      <c r="AM2369" s="6" t="s">
        <v>19073</v>
      </c>
      <c r="AN2369" s="6" t="s">
        <v>19653</v>
      </c>
      <c r="AO2369" s="6" t="s">
        <v>19928</v>
      </c>
      <c r="AP2369" s="6" t="s">
        <v>81</v>
      </c>
      <c r="AQ2369" s="6" t="s">
        <v>81</v>
      </c>
      <c r="AR2369" s="6" t="s">
        <v>81</v>
      </c>
      <c r="AS2369" s="6" t="s">
        <v>81</v>
      </c>
      <c r="AT2369" s="6" t="s">
        <v>81</v>
      </c>
      <c r="AU2369" s="6" t="s">
        <v>81</v>
      </c>
      <c r="AV2369" s="6" t="s">
        <v>81</v>
      </c>
      <c r="AW2369" s="6" t="s">
        <v>81</v>
      </c>
      <c r="AX2369" s="6" t="s">
        <v>22293</v>
      </c>
      <c r="AY2369" s="6" t="s">
        <v>81</v>
      </c>
      <c r="AZ2369" s="6" t="s">
        <v>81</v>
      </c>
      <c r="BA2369" s="6" t="s">
        <v>81</v>
      </c>
      <c r="BB2369" s="24" t="n">
        <v>256</v>
      </c>
      <c r="BC2369" s="26"/>
      <c r="BD2369" s="26"/>
      <c r="BE2369" s="26"/>
      <c r="BF2369" s="26"/>
      <c r="BG2369" s="26"/>
      <c r="BH2369" s="26"/>
      <c r="BI2369" s="26"/>
      <c r="BJ2369" s="26"/>
      <c r="BK2369" s="26"/>
      <c r="BL2369" s="26"/>
      <c r="BM2369" s="26"/>
      <c r="BN2369" s="26"/>
      <c r="BO2369" s="26"/>
      <c r="BP2369" s="16" t="n">
        <v>45701</v>
      </c>
      <c r="BQ2369" s="28" t="str">
        <f>HYPERLINK("https://organic.ams.usda.gov/Integrity/Certificate.aspx?cid=81&amp;nopid=4213724490")</f>
        <v>https://organic.ams.usda.gov/Integrity/Certificate.aspx?cid=81&amp;nopid=4213724490</v>
      </c>
    </row>
    <row r="2370">
      <c r="A2370" t="s">
        <v>3</v>
      </c>
      <c r="B2370" s="6" t="s">
        <v>34</v>
      </c>
      <c r="C2370" s="6" t="s">
        <v>81</v>
      </c>
      <c r="D2370" s="6" t="s">
        <v>81</v>
      </c>
      <c r="E2370" s="10" t="s">
        <v>2511</v>
      </c>
      <c r="F2370" s="6" t="s">
        <v>5218</v>
      </c>
      <c r="G2370" s="6" t="s">
        <v>5851</v>
      </c>
      <c r="H2370" s="6" t="s">
        <v>8053</v>
      </c>
      <c r="I2370" s="6" t="s">
        <v>9516</v>
      </c>
      <c r="J2370" s="6" t="s">
        <v>10729</v>
      </c>
      <c r="K2370" s="6" t="s">
        <v>10886</v>
      </c>
      <c r="L2370" s="16" t="n">
        <v>40661</v>
      </c>
      <c r="M2370" s="16" t="n">
        <v>45717</v>
      </c>
      <c r="N2370" s="6" t="s">
        <v>10886</v>
      </c>
      <c r="O2370" s="16" t="n">
        <v>40661</v>
      </c>
      <c r="P2370" s="6" t="s">
        <v>11031</v>
      </c>
      <c r="Q2370" s="6" t="s">
        <v>81</v>
      </c>
      <c r="R2370" s="6" t="s">
        <v>8053</v>
      </c>
      <c r="S2370" s="6" t="s">
        <v>10886</v>
      </c>
      <c r="T2370" s="16" t="n">
        <v>40661</v>
      </c>
      <c r="U2370" s="6" t="s">
        <v>13413</v>
      </c>
      <c r="V2370" s="6" t="s">
        <v>81</v>
      </c>
      <c r="W2370" s="6" t="s">
        <v>8053</v>
      </c>
      <c r="X2370" s="6" t="s">
        <v>81</v>
      </c>
      <c r="Y2370" s="21" t="s">
        <v>81</v>
      </c>
      <c r="Z2370" s="6" t="s">
        <v>81</v>
      </c>
      <c r="AA2370" s="6" t="s">
        <v>81</v>
      </c>
      <c r="AB2370" s="6" t="s">
        <v>81</v>
      </c>
      <c r="AC2370" s="6" t="s">
        <v>81</v>
      </c>
      <c r="AD2370" s="21" t="s">
        <v>81</v>
      </c>
      <c r="AE2370" s="6" t="s">
        <v>81</v>
      </c>
      <c r="AF2370" s="6" t="s">
        <v>81</v>
      </c>
      <c r="AG2370" s="6" t="s">
        <v>81</v>
      </c>
      <c r="AH2370" s="6" t="s">
        <v>16910</v>
      </c>
      <c r="AI2370" s="6" t="s">
        <v>81</v>
      </c>
      <c r="AJ2370" s="6" t="s">
        <v>18278</v>
      </c>
      <c r="AK2370" s="6" t="s">
        <v>18386</v>
      </c>
      <c r="AL2370" s="6" t="s">
        <v>18444</v>
      </c>
      <c r="AM2370" s="6" t="s">
        <v>19505</v>
      </c>
      <c r="AN2370" s="6" t="s">
        <v>81</v>
      </c>
      <c r="AO2370" s="6" t="s">
        <v>81</v>
      </c>
      <c r="AP2370" s="6" t="s">
        <v>81</v>
      </c>
      <c r="AQ2370" s="6" t="s">
        <v>81</v>
      </c>
      <c r="AR2370" s="6" t="s">
        <v>81</v>
      </c>
      <c r="AS2370" s="6" t="s">
        <v>81</v>
      </c>
      <c r="AT2370" s="6" t="s">
        <v>81</v>
      </c>
      <c r="AU2370" s="6" t="s">
        <v>81</v>
      </c>
      <c r="AV2370" s="6" t="s">
        <v>81</v>
      </c>
      <c r="AW2370" s="6" t="s">
        <v>81</v>
      </c>
      <c r="AX2370" s="6" t="s">
        <v>22294</v>
      </c>
      <c r="AY2370" s="6" t="s">
        <v>23397</v>
      </c>
      <c r="AZ2370" s="6" t="s">
        <v>81</v>
      </c>
      <c r="BA2370" s="6" t="s">
        <v>23833</v>
      </c>
      <c r="BB2370" s="24" t="n">
        <v>200</v>
      </c>
      <c r="BC2370" s="26"/>
      <c r="BD2370" s="26"/>
      <c r="BE2370" s="26"/>
      <c r="BF2370" s="26" t="s">
        <v>23900</v>
      </c>
      <c r="BG2370" s="26"/>
      <c r="BH2370" s="26"/>
      <c r="BI2370" s="26"/>
      <c r="BJ2370" s="26"/>
      <c r="BK2370" s="26"/>
      <c r="BL2370" s="26"/>
      <c r="BM2370" s="26"/>
      <c r="BN2370" s="26"/>
      <c r="BO2370" s="26"/>
      <c r="BP2370" s="16" t="n">
        <v>45629</v>
      </c>
      <c r="BQ2370" s="28" t="str">
        <f>HYPERLINK("")</f>
      </c>
    </row>
    <row r="2371">
      <c r="A2371" t="s">
        <v>3</v>
      </c>
      <c r="B2371" s="6" t="s">
        <v>25</v>
      </c>
      <c r="C2371" s="6" t="s">
        <v>72</v>
      </c>
      <c r="D2371" s="6" t="s">
        <v>118</v>
      </c>
      <c r="E2371" s="10" t="s">
        <v>2512</v>
      </c>
      <c r="F2371" s="6" t="s">
        <v>5219</v>
      </c>
      <c r="G2371" s="6" t="s">
        <v>81</v>
      </c>
      <c r="H2371" s="6" t="s">
        <v>8054</v>
      </c>
      <c r="I2371" s="6" t="s">
        <v>9517</v>
      </c>
      <c r="J2371" s="6" t="s">
        <v>10730</v>
      </c>
      <c r="K2371" s="6" t="s">
        <v>10886</v>
      </c>
      <c r="L2371" s="16" t="n">
        <v>42270</v>
      </c>
      <c r="M2371" s="16" t="n">
        <v>46023</v>
      </c>
      <c r="N2371" s="6" t="s">
        <v>10886</v>
      </c>
      <c r="O2371" s="16" t="n">
        <v>42270</v>
      </c>
      <c r="P2371" s="6" t="s">
        <v>12227</v>
      </c>
      <c r="Q2371" s="6" t="s">
        <v>81</v>
      </c>
      <c r="R2371" s="6" t="s">
        <v>81</v>
      </c>
      <c r="S2371" s="6" t="s">
        <v>10886</v>
      </c>
      <c r="T2371" s="16" t="n">
        <v>42366</v>
      </c>
      <c r="U2371" s="6" t="s">
        <v>13863</v>
      </c>
      <c r="V2371" s="6" t="s">
        <v>81</v>
      </c>
      <c r="W2371" s="6" t="s">
        <v>81</v>
      </c>
      <c r="X2371" s="6" t="s">
        <v>81</v>
      </c>
      <c r="Y2371" s="21" t="s">
        <v>81</v>
      </c>
      <c r="Z2371" s="6" t="s">
        <v>81</v>
      </c>
      <c r="AA2371" s="6" t="s">
        <v>81</v>
      </c>
      <c r="AB2371" s="6" t="s">
        <v>81</v>
      </c>
      <c r="AC2371" s="6" t="s">
        <v>10886</v>
      </c>
      <c r="AD2371" s="16" t="n">
        <v>44734</v>
      </c>
      <c r="AE2371" s="6" t="s">
        <v>14081</v>
      </c>
      <c r="AF2371" s="6" t="s">
        <v>81</v>
      </c>
      <c r="AG2371" s="6" t="s">
        <v>81</v>
      </c>
      <c r="AH2371" s="6" t="s">
        <v>16911</v>
      </c>
      <c r="AI2371" s="6" t="s">
        <v>81</v>
      </c>
      <c r="AJ2371" s="6" t="s">
        <v>18279</v>
      </c>
      <c r="AK2371" s="6" t="s">
        <v>18386</v>
      </c>
      <c r="AL2371" s="6" t="s">
        <v>18444</v>
      </c>
      <c r="AM2371" s="6" t="s">
        <v>19506</v>
      </c>
      <c r="AN2371" s="6" t="s">
        <v>19682</v>
      </c>
      <c r="AO2371" s="6" t="s">
        <v>20056</v>
      </c>
      <c r="AP2371" s="6" t="s">
        <v>16911</v>
      </c>
      <c r="AQ2371" s="6" t="s">
        <v>81</v>
      </c>
      <c r="AR2371" s="6" t="s">
        <v>18279</v>
      </c>
      <c r="AS2371" s="6" t="s">
        <v>18386</v>
      </c>
      <c r="AT2371" s="6" t="s">
        <v>18444</v>
      </c>
      <c r="AU2371" s="6" t="s">
        <v>19506</v>
      </c>
      <c r="AV2371" s="6" t="s">
        <v>81</v>
      </c>
      <c r="AW2371" s="6" t="s">
        <v>81</v>
      </c>
      <c r="AX2371" s="6" t="s">
        <v>22295</v>
      </c>
      <c r="AY2371" s="6" t="s">
        <v>23398</v>
      </c>
      <c r="AZ2371" s="6" t="s">
        <v>81</v>
      </c>
      <c r="BA2371" s="6" t="s">
        <v>81</v>
      </c>
      <c r="BB2371" s="24" t="n">
        <v>67</v>
      </c>
      <c r="BC2371" s="26"/>
      <c r="BD2371" s="26"/>
      <c r="BE2371" s="26"/>
      <c r="BF2371" s="26"/>
      <c r="BG2371" s="26"/>
      <c r="BH2371" s="26"/>
      <c r="BI2371" s="26"/>
      <c r="BJ2371" s="26"/>
      <c r="BK2371" s="26"/>
      <c r="BL2371" s="26"/>
      <c r="BM2371" s="26"/>
      <c r="BN2371" s="26"/>
      <c r="BO2371" s="26"/>
      <c r="BP2371" s="16" t="n">
        <v>45667</v>
      </c>
      <c r="BQ2371" s="28" t="str">
        <f>HYPERLINK("https://organic.ams.usda.gov/Integrity/Certificate.aspx?cid=15&amp;nopid=5561001629")</f>
        <v>https://organic.ams.usda.gov/Integrity/Certificate.aspx?cid=15&amp;nopid=5561001629</v>
      </c>
    </row>
    <row r="2372">
      <c r="A2372" t="s">
        <v>3</v>
      </c>
      <c r="B2372" s="6" t="s">
        <v>8</v>
      </c>
      <c r="C2372" s="6" t="s">
        <v>55</v>
      </c>
      <c r="D2372" s="6" t="s">
        <v>101</v>
      </c>
      <c r="E2372" s="10" t="s">
        <v>2513</v>
      </c>
      <c r="F2372" s="6" t="s">
        <v>5220</v>
      </c>
      <c r="G2372" s="6" t="s">
        <v>81</v>
      </c>
      <c r="H2372" s="6" t="s">
        <v>8055</v>
      </c>
      <c r="I2372" s="6" t="s">
        <v>9185</v>
      </c>
      <c r="J2372" s="6" t="s">
        <v>10605</v>
      </c>
      <c r="K2372" s="6" t="s">
        <v>10886</v>
      </c>
      <c r="L2372" s="16" t="n">
        <v>38532</v>
      </c>
      <c r="M2372" s="16" t="n">
        <v>45383</v>
      </c>
      <c r="N2372" s="6" t="s">
        <v>10886</v>
      </c>
      <c r="O2372" s="16" t="n">
        <v>38532</v>
      </c>
      <c r="P2372" s="6" t="s">
        <v>12228</v>
      </c>
      <c r="Q2372" s="6" t="s">
        <v>81</v>
      </c>
      <c r="R2372" s="6" t="s">
        <v>8055</v>
      </c>
      <c r="S2372" s="6" t="s">
        <v>10886</v>
      </c>
      <c r="T2372" s="16" t="n">
        <v>38532</v>
      </c>
      <c r="U2372" s="6" t="s">
        <v>13200</v>
      </c>
      <c r="V2372" s="6" t="s">
        <v>81</v>
      </c>
      <c r="W2372" s="6" t="s">
        <v>8055</v>
      </c>
      <c r="X2372" s="6" t="s">
        <v>81</v>
      </c>
      <c r="Y2372" s="21" t="s">
        <v>81</v>
      </c>
      <c r="Z2372" s="6" t="s">
        <v>81</v>
      </c>
      <c r="AA2372" s="6" t="s">
        <v>81</v>
      </c>
      <c r="AB2372" s="6" t="s">
        <v>81</v>
      </c>
      <c r="AC2372" s="6" t="s">
        <v>81</v>
      </c>
      <c r="AD2372" s="21" t="s">
        <v>81</v>
      </c>
      <c r="AE2372" s="6" t="s">
        <v>81</v>
      </c>
      <c r="AF2372" s="6" t="s">
        <v>81</v>
      </c>
      <c r="AG2372" s="6" t="s">
        <v>81</v>
      </c>
      <c r="AH2372" s="6" t="s">
        <v>16912</v>
      </c>
      <c r="AI2372" s="6" t="s">
        <v>81</v>
      </c>
      <c r="AJ2372" s="6" t="s">
        <v>18280</v>
      </c>
      <c r="AK2372" s="6" t="s">
        <v>18381</v>
      </c>
      <c r="AL2372" s="6" t="s">
        <v>18444</v>
      </c>
      <c r="AM2372" s="6" t="s">
        <v>19507</v>
      </c>
      <c r="AN2372" s="6" t="s">
        <v>19681</v>
      </c>
      <c r="AO2372" s="6" t="s">
        <v>19903</v>
      </c>
      <c r="AP2372" s="6" t="s">
        <v>20425</v>
      </c>
      <c r="AQ2372" s="6" t="s">
        <v>81</v>
      </c>
      <c r="AR2372" s="6" t="s">
        <v>18280</v>
      </c>
      <c r="AS2372" s="6" t="s">
        <v>18381</v>
      </c>
      <c r="AT2372" s="6" t="s">
        <v>18444</v>
      </c>
      <c r="AU2372" s="6" t="s">
        <v>19507</v>
      </c>
      <c r="AV2372" s="6" t="s">
        <v>81</v>
      </c>
      <c r="AW2372" s="6" t="s">
        <v>81</v>
      </c>
      <c r="AX2372" s="6" t="s">
        <v>81</v>
      </c>
      <c r="AY2372" s="6" t="s">
        <v>81</v>
      </c>
      <c r="AZ2372" s="6" t="s">
        <v>81</v>
      </c>
      <c r="BA2372" s="6" t="s">
        <v>8055</v>
      </c>
      <c r="BB2372" s="24" t="n">
        <v>464</v>
      </c>
      <c r="BC2372" s="26"/>
      <c r="BD2372" s="26"/>
      <c r="BE2372" s="26"/>
      <c r="BF2372" s="26"/>
      <c r="BG2372" s="26"/>
      <c r="BH2372" s="26"/>
      <c r="BI2372" s="26"/>
      <c r="BJ2372" s="26"/>
      <c r="BK2372" s="26"/>
      <c r="BL2372" s="26"/>
      <c r="BM2372" s="26"/>
      <c r="BN2372" s="26"/>
      <c r="BO2372" s="26"/>
      <c r="BP2372" s="16" t="n">
        <v>45425</v>
      </c>
      <c r="BQ2372" s="28" t="str">
        <f>HYPERLINK("https://organic.ams.usda.gov/Integrity/Certificate.aspx?cid=45&amp;nopid=9950001844")</f>
        <v>https://organic.ams.usda.gov/Integrity/Certificate.aspx?cid=45&amp;nopid=9950001844</v>
      </c>
    </row>
    <row r="2373">
      <c r="A2373" t="s">
        <v>3</v>
      </c>
      <c r="B2373" s="6" t="s">
        <v>35</v>
      </c>
      <c r="C2373" s="6" t="s">
        <v>82</v>
      </c>
      <c r="D2373" s="6" t="s">
        <v>127</v>
      </c>
      <c r="E2373" s="10" t="s">
        <v>2514</v>
      </c>
      <c r="F2373" s="6" t="s">
        <v>5221</v>
      </c>
      <c r="G2373" s="6" t="s">
        <v>81</v>
      </c>
      <c r="H2373" s="6" t="s">
        <v>8056</v>
      </c>
      <c r="I2373" s="6" t="s">
        <v>8511</v>
      </c>
      <c r="J2373" s="6" t="s">
        <v>9786</v>
      </c>
      <c r="K2373" s="6" t="s">
        <v>10886</v>
      </c>
      <c r="L2373" s="16" t="n">
        <v>39234</v>
      </c>
      <c r="M2373" s="16" t="n">
        <v>45762</v>
      </c>
      <c r="N2373" s="6" t="s">
        <v>10886</v>
      </c>
      <c r="O2373" s="16" t="n">
        <v>39234</v>
      </c>
      <c r="P2373" s="6" t="s">
        <v>12229</v>
      </c>
      <c r="Q2373" s="6" t="s">
        <v>81</v>
      </c>
      <c r="R2373" s="6" t="s">
        <v>13072</v>
      </c>
      <c r="S2373" s="6" t="s">
        <v>10886</v>
      </c>
      <c r="T2373" s="16" t="n">
        <v>39234</v>
      </c>
      <c r="U2373" s="6" t="s">
        <v>13320</v>
      </c>
      <c r="V2373" s="6" t="s">
        <v>81</v>
      </c>
      <c r="W2373" s="6" t="s">
        <v>13072</v>
      </c>
      <c r="X2373" s="6" t="s">
        <v>81</v>
      </c>
      <c r="Y2373" s="21" t="s">
        <v>81</v>
      </c>
      <c r="Z2373" s="6" t="s">
        <v>81</v>
      </c>
      <c r="AA2373" s="6" t="s">
        <v>81</v>
      </c>
      <c r="AB2373" s="6" t="s">
        <v>81</v>
      </c>
      <c r="AC2373" s="6" t="s">
        <v>81</v>
      </c>
      <c r="AD2373" s="21" t="s">
        <v>81</v>
      </c>
      <c r="AE2373" s="6" t="s">
        <v>81</v>
      </c>
      <c r="AF2373" s="6" t="s">
        <v>81</v>
      </c>
      <c r="AG2373" s="6" t="s">
        <v>81</v>
      </c>
      <c r="AH2373" s="6" t="s">
        <v>16913</v>
      </c>
      <c r="AI2373" s="6" t="s">
        <v>81</v>
      </c>
      <c r="AJ2373" s="6" t="s">
        <v>18281</v>
      </c>
      <c r="AK2373" s="6" t="s">
        <v>18405</v>
      </c>
      <c r="AL2373" s="6" t="s">
        <v>18444</v>
      </c>
      <c r="AM2373" s="6" t="s">
        <v>19508</v>
      </c>
      <c r="AN2373" s="6" t="s">
        <v>19692</v>
      </c>
      <c r="AO2373" s="6" t="s">
        <v>19751</v>
      </c>
      <c r="AP2373" s="6" t="s">
        <v>20426</v>
      </c>
      <c r="AQ2373" s="6" t="s">
        <v>81</v>
      </c>
      <c r="AR2373" s="6" t="s">
        <v>17854</v>
      </c>
      <c r="AS2373" s="6" t="s">
        <v>18405</v>
      </c>
      <c r="AT2373" s="6" t="s">
        <v>18444</v>
      </c>
      <c r="AU2373" s="6" t="s">
        <v>19036</v>
      </c>
      <c r="AV2373" s="6" t="s">
        <v>81</v>
      </c>
      <c r="AW2373" s="6" t="s">
        <v>81</v>
      </c>
      <c r="AX2373" s="6" t="s">
        <v>22296</v>
      </c>
      <c r="AY2373" s="6" t="s">
        <v>23399</v>
      </c>
      <c r="AZ2373" s="6" t="s">
        <v>81</v>
      </c>
      <c r="BA2373" s="6" t="s">
        <v>81</v>
      </c>
      <c r="BB2373" s="24" t="n">
        <v>376</v>
      </c>
      <c r="BC2373" s="26"/>
      <c r="BD2373" s="26"/>
      <c r="BE2373" s="26"/>
      <c r="BF2373" s="26"/>
      <c r="BG2373" s="26"/>
      <c r="BH2373" s="26"/>
      <c r="BI2373" s="26"/>
      <c r="BJ2373" s="26"/>
      <c r="BK2373" s="26"/>
      <c r="BL2373" s="26"/>
      <c r="BM2373" s="26"/>
      <c r="BN2373" s="26"/>
      <c r="BO2373" s="26"/>
      <c r="BP2373" s="16" t="n">
        <v>45735</v>
      </c>
      <c r="BQ2373" s="28" t="str">
        <f>HYPERLINK("https://organic.ams.usda.gov/Integrity/Certificate.aspx?cid=47&amp;nopid=7142073394")</f>
        <v>https://organic.ams.usda.gov/Integrity/Certificate.aspx?cid=47&amp;nopid=7142073394</v>
      </c>
    </row>
    <row r="2374">
      <c r="A2374" t="s">
        <v>3</v>
      </c>
      <c r="B2374" s="6" t="s">
        <v>22</v>
      </c>
      <c r="C2374" s="6" t="s">
        <v>69</v>
      </c>
      <c r="D2374" s="6" t="s">
        <v>115</v>
      </c>
      <c r="E2374" s="10" t="s">
        <v>2515</v>
      </c>
      <c r="F2374" s="6" t="s">
        <v>5222</v>
      </c>
      <c r="G2374" s="6" t="s">
        <v>81</v>
      </c>
      <c r="H2374" s="6" t="s">
        <v>81</v>
      </c>
      <c r="I2374" s="6" t="s">
        <v>9518</v>
      </c>
      <c r="J2374" s="6" t="s">
        <v>10729</v>
      </c>
      <c r="K2374" s="6" t="s">
        <v>10886</v>
      </c>
      <c r="L2374" s="16" t="n">
        <v>45366</v>
      </c>
      <c r="M2374" s="16" t="n">
        <v>46048</v>
      </c>
      <c r="N2374" s="6" t="s">
        <v>81</v>
      </c>
      <c r="O2374" s="21" t="s">
        <v>81</v>
      </c>
      <c r="P2374" s="6" t="s">
        <v>81</v>
      </c>
      <c r="Q2374" s="6" t="s">
        <v>81</v>
      </c>
      <c r="R2374" s="6" t="s">
        <v>81</v>
      </c>
      <c r="S2374" s="6" t="s">
        <v>81</v>
      </c>
      <c r="T2374" s="21" t="s">
        <v>81</v>
      </c>
      <c r="U2374" s="6" t="s">
        <v>81</v>
      </c>
      <c r="V2374" s="6" t="s">
        <v>81</v>
      </c>
      <c r="W2374" s="6" t="s">
        <v>81</v>
      </c>
      <c r="X2374" s="6" t="s">
        <v>81</v>
      </c>
      <c r="Y2374" s="21" t="s">
        <v>81</v>
      </c>
      <c r="Z2374" s="6" t="s">
        <v>81</v>
      </c>
      <c r="AA2374" s="6" t="s">
        <v>81</v>
      </c>
      <c r="AB2374" s="6" t="s">
        <v>81</v>
      </c>
      <c r="AC2374" s="6" t="s">
        <v>10886</v>
      </c>
      <c r="AD2374" s="16" t="n">
        <v>45366</v>
      </c>
      <c r="AE2374" s="6" t="s">
        <v>14422</v>
      </c>
      <c r="AF2374" s="6" t="s">
        <v>81</v>
      </c>
      <c r="AG2374" s="6" t="s">
        <v>81</v>
      </c>
      <c r="AH2374" s="6" t="s">
        <v>16914</v>
      </c>
      <c r="AI2374" s="6" t="s">
        <v>81</v>
      </c>
      <c r="AJ2374" s="6" t="s">
        <v>81</v>
      </c>
      <c r="AK2374" s="6" t="s">
        <v>81</v>
      </c>
      <c r="AL2374" s="6" t="s">
        <v>18449</v>
      </c>
      <c r="AM2374" s="6" t="s">
        <v>81</v>
      </c>
      <c r="AN2374" s="6" t="s">
        <v>81</v>
      </c>
      <c r="AO2374" s="6" t="s">
        <v>81</v>
      </c>
      <c r="AP2374" s="6" t="s">
        <v>81</v>
      </c>
      <c r="AQ2374" s="6" t="s">
        <v>81</v>
      </c>
      <c r="AR2374" s="6" t="s">
        <v>81</v>
      </c>
      <c r="AS2374" s="6" t="s">
        <v>81</v>
      </c>
      <c r="AT2374" s="6" t="s">
        <v>81</v>
      </c>
      <c r="AU2374" s="6" t="s">
        <v>81</v>
      </c>
      <c r="AV2374" s="6" t="s">
        <v>81</v>
      </c>
      <c r="AW2374" s="6" t="s">
        <v>81</v>
      </c>
      <c r="AX2374" s="6" t="s">
        <v>22297</v>
      </c>
      <c r="AY2374" s="6" t="s">
        <v>23400</v>
      </c>
      <c r="AZ2374" s="6" t="s">
        <v>81</v>
      </c>
      <c r="BA2374" s="6" t="s">
        <v>81</v>
      </c>
      <c r="BB2374" s="6" t="s">
        <v>81</v>
      </c>
      <c r="BC2374" s="26"/>
      <c r="BD2374" s="26"/>
      <c r="BE2374" s="26"/>
      <c r="BF2374" s="26"/>
      <c r="BG2374" s="26"/>
      <c r="BH2374" s="26"/>
      <c r="BI2374" s="26"/>
      <c r="BJ2374" s="26"/>
      <c r="BK2374" s="26"/>
      <c r="BL2374" s="26"/>
      <c r="BM2374" s="26"/>
      <c r="BN2374" s="26"/>
      <c r="BO2374" s="26"/>
      <c r="BP2374" s="16" t="n">
        <v>45727</v>
      </c>
      <c r="BQ2374" s="28" t="str">
        <f>HYPERLINK("https://organic.ams.usda.gov/Integrity/Certificate.aspx?cid=21&amp;nopid=1780901510")</f>
        <v>https://organic.ams.usda.gov/Integrity/Certificate.aspx?cid=21&amp;nopid=1780901510</v>
      </c>
    </row>
    <row r="2375">
      <c r="A2375" t="s">
        <v>3</v>
      </c>
      <c r="B2375" s="6" t="s">
        <v>9</v>
      </c>
      <c r="C2375" s="6" t="s">
        <v>56</v>
      </c>
      <c r="D2375" s="6" t="s">
        <v>102</v>
      </c>
      <c r="E2375" s="10" t="s">
        <v>2516</v>
      </c>
      <c r="F2375" s="6" t="s">
        <v>5223</v>
      </c>
      <c r="G2375" s="6" t="s">
        <v>81</v>
      </c>
      <c r="H2375" s="6" t="s">
        <v>8057</v>
      </c>
      <c r="I2375" s="6" t="s">
        <v>9519</v>
      </c>
      <c r="J2375" s="6" t="s">
        <v>10731</v>
      </c>
      <c r="K2375" s="6" t="s">
        <v>10886</v>
      </c>
      <c r="L2375" s="16" t="n">
        <v>44029</v>
      </c>
      <c r="M2375" s="16" t="n">
        <v>45748</v>
      </c>
      <c r="N2375" s="6" t="s">
        <v>10886</v>
      </c>
      <c r="O2375" s="16" t="n">
        <v>44029</v>
      </c>
      <c r="P2375" s="6" t="s">
        <v>10923</v>
      </c>
      <c r="Q2375" s="6" t="s">
        <v>81</v>
      </c>
      <c r="R2375" s="6" t="s">
        <v>13073</v>
      </c>
      <c r="S2375" s="6" t="s">
        <v>10886</v>
      </c>
      <c r="T2375" s="16" t="n">
        <v>44029</v>
      </c>
      <c r="U2375" s="6" t="s">
        <v>13176</v>
      </c>
      <c r="V2375" s="6" t="s">
        <v>81</v>
      </c>
      <c r="W2375" s="6" t="s">
        <v>13073</v>
      </c>
      <c r="X2375" s="6" t="s">
        <v>81</v>
      </c>
      <c r="Y2375" s="21" t="s">
        <v>81</v>
      </c>
      <c r="Z2375" s="6" t="s">
        <v>81</v>
      </c>
      <c r="AA2375" s="6" t="s">
        <v>81</v>
      </c>
      <c r="AB2375" s="6" t="s">
        <v>81</v>
      </c>
      <c r="AC2375" s="6" t="s">
        <v>81</v>
      </c>
      <c r="AD2375" s="21" t="s">
        <v>81</v>
      </c>
      <c r="AE2375" s="6" t="s">
        <v>81</v>
      </c>
      <c r="AF2375" s="6" t="s">
        <v>81</v>
      </c>
      <c r="AG2375" s="6" t="s">
        <v>81</v>
      </c>
      <c r="AH2375" s="6" t="s">
        <v>16915</v>
      </c>
      <c r="AI2375" s="6" t="s">
        <v>81</v>
      </c>
      <c r="AJ2375" s="6" t="s">
        <v>17713</v>
      </c>
      <c r="AK2375" s="6" t="s">
        <v>18391</v>
      </c>
      <c r="AL2375" s="6" t="s">
        <v>18444</v>
      </c>
      <c r="AM2375" s="6" t="s">
        <v>18880</v>
      </c>
      <c r="AN2375" s="6" t="s">
        <v>19695</v>
      </c>
      <c r="AO2375" s="6" t="s">
        <v>19909</v>
      </c>
      <c r="AP2375" s="6" t="s">
        <v>81</v>
      </c>
      <c r="AQ2375" s="6" t="s">
        <v>81</v>
      </c>
      <c r="AR2375" s="6" t="s">
        <v>81</v>
      </c>
      <c r="AS2375" s="6" t="s">
        <v>81</v>
      </c>
      <c r="AT2375" s="6" t="s">
        <v>81</v>
      </c>
      <c r="AU2375" s="6" t="s">
        <v>81</v>
      </c>
      <c r="AV2375" s="6" t="s">
        <v>81</v>
      </c>
      <c r="AW2375" s="6" t="s">
        <v>81</v>
      </c>
      <c r="AX2375" s="6" t="s">
        <v>22298</v>
      </c>
      <c r="AY2375" s="6" t="s">
        <v>81</v>
      </c>
      <c r="AZ2375" s="6" t="s">
        <v>81</v>
      </c>
      <c r="BA2375" s="6" t="s">
        <v>81</v>
      </c>
      <c r="BB2375" s="24" t="n">
        <v>189</v>
      </c>
      <c r="BC2375" s="26"/>
      <c r="BD2375" s="26"/>
      <c r="BE2375" s="26"/>
      <c r="BF2375" s="26"/>
      <c r="BG2375" s="26"/>
      <c r="BH2375" s="26"/>
      <c r="BI2375" s="26"/>
      <c r="BJ2375" s="26"/>
      <c r="BK2375" s="26"/>
      <c r="BL2375" s="26"/>
      <c r="BM2375" s="26"/>
      <c r="BN2375" s="26"/>
      <c r="BO2375" s="26"/>
      <c r="BP2375" s="16" t="n">
        <v>45738</v>
      </c>
      <c r="BQ2375" s="28" t="str">
        <f>HYPERLINK("https://organic.ams.usda.gov/Integrity/Certificate.aspx?cid=52&amp;nopid=8431001185")</f>
        <v>https://organic.ams.usda.gov/Integrity/Certificate.aspx?cid=52&amp;nopid=8431001185</v>
      </c>
    </row>
    <row r="2376">
      <c r="A2376" t="s">
        <v>3</v>
      </c>
      <c r="B2376" s="6" t="s">
        <v>15</v>
      </c>
      <c r="C2376" s="6" t="s">
        <v>62</v>
      </c>
      <c r="D2376" s="6" t="s">
        <v>108</v>
      </c>
      <c r="E2376" s="10" t="s">
        <v>2517</v>
      </c>
      <c r="F2376" s="6" t="s">
        <v>5224</v>
      </c>
      <c r="G2376" s="6" t="s">
        <v>5852</v>
      </c>
      <c r="H2376" s="6" t="s">
        <v>8058</v>
      </c>
      <c r="I2376" s="6" t="s">
        <v>9520</v>
      </c>
      <c r="J2376" s="6" t="s">
        <v>9745</v>
      </c>
      <c r="K2376" s="6" t="s">
        <v>10886</v>
      </c>
      <c r="L2376" s="16" t="n">
        <v>37550</v>
      </c>
      <c r="M2376" s="16" t="n">
        <v>46157</v>
      </c>
      <c r="N2376" s="6" t="s">
        <v>10886</v>
      </c>
      <c r="O2376" s="16" t="n">
        <v>37550</v>
      </c>
      <c r="P2376" s="6" t="s">
        <v>12230</v>
      </c>
      <c r="Q2376" s="6" t="s">
        <v>81</v>
      </c>
      <c r="R2376" s="6" t="s">
        <v>81</v>
      </c>
      <c r="S2376" s="6" t="s">
        <v>10886</v>
      </c>
      <c r="T2376" s="16" t="n">
        <v>37550</v>
      </c>
      <c r="U2376" s="6" t="s">
        <v>13864</v>
      </c>
      <c r="V2376" s="6" t="s">
        <v>81</v>
      </c>
      <c r="W2376" s="6" t="s">
        <v>81</v>
      </c>
      <c r="X2376" s="6" t="s">
        <v>81</v>
      </c>
      <c r="Y2376" s="21" t="s">
        <v>81</v>
      </c>
      <c r="Z2376" s="6" t="s">
        <v>81</v>
      </c>
      <c r="AA2376" s="6" t="s">
        <v>81</v>
      </c>
      <c r="AB2376" s="6" t="s">
        <v>81</v>
      </c>
      <c r="AC2376" s="6" t="s">
        <v>81</v>
      </c>
      <c r="AD2376" s="21" t="s">
        <v>81</v>
      </c>
      <c r="AE2376" s="6" t="s">
        <v>81</v>
      </c>
      <c r="AF2376" s="6" t="s">
        <v>81</v>
      </c>
      <c r="AG2376" s="6" t="s">
        <v>81</v>
      </c>
      <c r="AH2376" s="6" t="s">
        <v>16916</v>
      </c>
      <c r="AI2376" s="6" t="s">
        <v>81</v>
      </c>
      <c r="AJ2376" s="6" t="s">
        <v>18133</v>
      </c>
      <c r="AK2376" s="6" t="s">
        <v>18378</v>
      </c>
      <c r="AL2376" s="6" t="s">
        <v>18444</v>
      </c>
      <c r="AM2376" s="6" t="s">
        <v>19333</v>
      </c>
      <c r="AN2376" s="6" t="s">
        <v>19676</v>
      </c>
      <c r="AO2376" s="6" t="s">
        <v>19784</v>
      </c>
      <c r="AP2376" s="6" t="s">
        <v>16916</v>
      </c>
      <c r="AQ2376" s="6" t="s">
        <v>81</v>
      </c>
      <c r="AR2376" s="6" t="s">
        <v>18133</v>
      </c>
      <c r="AS2376" s="6" t="s">
        <v>18378</v>
      </c>
      <c r="AT2376" s="6" t="s">
        <v>18444</v>
      </c>
      <c r="AU2376" s="6" t="s">
        <v>19333</v>
      </c>
      <c r="AV2376" s="6" t="s">
        <v>81</v>
      </c>
      <c r="AW2376" s="6" t="s">
        <v>81</v>
      </c>
      <c r="AX2376" s="6" t="s">
        <v>22299</v>
      </c>
      <c r="AY2376" s="6" t="s">
        <v>81</v>
      </c>
      <c r="AZ2376" s="6" t="s">
        <v>81</v>
      </c>
      <c r="BA2376" s="6" t="s">
        <v>81</v>
      </c>
      <c r="BB2376" s="24" t="n">
        <v>141</v>
      </c>
      <c r="BC2376" s="26"/>
      <c r="BD2376" s="26"/>
      <c r="BE2376" s="26"/>
      <c r="BF2376" s="26" t="s">
        <v>23900</v>
      </c>
      <c r="BG2376" s="26"/>
      <c r="BH2376" s="26"/>
      <c r="BI2376" s="26"/>
      <c r="BJ2376" s="26"/>
      <c r="BK2376" s="26"/>
      <c r="BL2376" s="26"/>
      <c r="BM2376" s="26"/>
      <c r="BN2376" s="26"/>
      <c r="BO2376" s="26"/>
      <c r="BP2376" s="16" t="n">
        <v>45737</v>
      </c>
      <c r="BQ2376" s="28" t="str">
        <f>HYPERLINK("https://organic.ams.usda.gov/Integrity/Certificate.aspx?cid=58&amp;nopid=1600000662")</f>
        <v>https://organic.ams.usda.gov/Integrity/Certificate.aspx?cid=58&amp;nopid=1600000662</v>
      </c>
    </row>
    <row r="2377">
      <c r="A2377" t="s">
        <v>3</v>
      </c>
      <c r="B2377" s="6" t="s">
        <v>9</v>
      </c>
      <c r="C2377" s="6" t="s">
        <v>56</v>
      </c>
      <c r="D2377" s="6" t="s">
        <v>102</v>
      </c>
      <c r="E2377" s="10" t="s">
        <v>2518</v>
      </c>
      <c r="F2377" s="6" t="s">
        <v>5225</v>
      </c>
      <c r="G2377" s="6" t="s">
        <v>81</v>
      </c>
      <c r="H2377" s="6" t="s">
        <v>8059</v>
      </c>
      <c r="I2377" s="6" t="s">
        <v>9520</v>
      </c>
      <c r="J2377" s="6" t="s">
        <v>9667</v>
      </c>
      <c r="K2377" s="6" t="s">
        <v>10886</v>
      </c>
      <c r="L2377" s="16" t="n">
        <v>43816</v>
      </c>
      <c r="M2377" s="16" t="n">
        <v>45748</v>
      </c>
      <c r="N2377" s="6" t="s">
        <v>10886</v>
      </c>
      <c r="O2377" s="16" t="n">
        <v>43816</v>
      </c>
      <c r="P2377" s="6" t="s">
        <v>12231</v>
      </c>
      <c r="Q2377" s="6" t="s">
        <v>81</v>
      </c>
      <c r="R2377" s="6" t="s">
        <v>13074</v>
      </c>
      <c r="S2377" s="6" t="s">
        <v>10886</v>
      </c>
      <c r="T2377" s="16" t="n">
        <v>43816</v>
      </c>
      <c r="U2377" s="6" t="s">
        <v>13176</v>
      </c>
      <c r="V2377" s="6" t="s">
        <v>81</v>
      </c>
      <c r="W2377" s="6" t="s">
        <v>13074</v>
      </c>
      <c r="X2377" s="6" t="s">
        <v>81</v>
      </c>
      <c r="Y2377" s="21" t="s">
        <v>81</v>
      </c>
      <c r="Z2377" s="6" t="s">
        <v>81</v>
      </c>
      <c r="AA2377" s="6" t="s">
        <v>81</v>
      </c>
      <c r="AB2377" s="6" t="s">
        <v>81</v>
      </c>
      <c r="AC2377" s="6" t="s">
        <v>81</v>
      </c>
      <c r="AD2377" s="21" t="s">
        <v>81</v>
      </c>
      <c r="AE2377" s="6" t="s">
        <v>81</v>
      </c>
      <c r="AF2377" s="6" t="s">
        <v>81</v>
      </c>
      <c r="AG2377" s="6" t="s">
        <v>81</v>
      </c>
      <c r="AH2377" s="6" t="s">
        <v>16917</v>
      </c>
      <c r="AI2377" s="6" t="s">
        <v>81</v>
      </c>
      <c r="AJ2377" s="6" t="s">
        <v>17337</v>
      </c>
      <c r="AK2377" s="6" t="s">
        <v>18377</v>
      </c>
      <c r="AL2377" s="6" t="s">
        <v>18444</v>
      </c>
      <c r="AM2377" s="6" t="s">
        <v>18491</v>
      </c>
      <c r="AN2377" s="6" t="s">
        <v>19643</v>
      </c>
      <c r="AO2377" s="6" t="s">
        <v>19730</v>
      </c>
      <c r="AP2377" s="6" t="s">
        <v>81</v>
      </c>
      <c r="AQ2377" s="6" t="s">
        <v>81</v>
      </c>
      <c r="AR2377" s="6" t="s">
        <v>81</v>
      </c>
      <c r="AS2377" s="6" t="s">
        <v>81</v>
      </c>
      <c r="AT2377" s="6" t="s">
        <v>81</v>
      </c>
      <c r="AU2377" s="6" t="s">
        <v>81</v>
      </c>
      <c r="AV2377" s="6" t="s">
        <v>81</v>
      </c>
      <c r="AW2377" s="6" t="s">
        <v>81</v>
      </c>
      <c r="AX2377" s="6" t="s">
        <v>81</v>
      </c>
      <c r="AY2377" s="6" t="s">
        <v>81</v>
      </c>
      <c r="AZ2377" s="6" t="s">
        <v>81</v>
      </c>
      <c r="BA2377" s="6" t="s">
        <v>81</v>
      </c>
      <c r="BB2377" s="24" t="n">
        <v>120</v>
      </c>
      <c r="BC2377" s="26"/>
      <c r="BD2377" s="26"/>
      <c r="BE2377" s="26"/>
      <c r="BF2377" s="26"/>
      <c r="BG2377" s="26"/>
      <c r="BH2377" s="26"/>
      <c r="BI2377" s="26"/>
      <c r="BJ2377" s="26"/>
      <c r="BK2377" s="26"/>
      <c r="BL2377" s="26"/>
      <c r="BM2377" s="26"/>
      <c r="BN2377" s="26"/>
      <c r="BO2377" s="26"/>
      <c r="BP2377" s="16" t="n">
        <v>45738</v>
      </c>
      <c r="BQ2377" s="28" t="str">
        <f>HYPERLINK("https://organic.ams.usda.gov/Integrity/Certificate.aspx?cid=52&amp;nopid=8431901758")</f>
        <v>https://organic.ams.usda.gov/Integrity/Certificate.aspx?cid=52&amp;nopid=8431901758</v>
      </c>
    </row>
    <row r="2378">
      <c r="A2378" t="s">
        <v>3</v>
      </c>
      <c r="B2378" s="6" t="s">
        <v>11</v>
      </c>
      <c r="C2378" s="6" t="s">
        <v>58</v>
      </c>
      <c r="D2378" s="6" t="s">
        <v>104</v>
      </c>
      <c r="E2378" s="10" t="s">
        <v>2519</v>
      </c>
      <c r="F2378" s="6" t="s">
        <v>5226</v>
      </c>
      <c r="G2378" s="6" t="s">
        <v>81</v>
      </c>
      <c r="H2378" s="6" t="s">
        <v>81</v>
      </c>
      <c r="I2378" s="6" t="s">
        <v>9521</v>
      </c>
      <c r="J2378" s="6" t="s">
        <v>9755</v>
      </c>
      <c r="K2378" s="6" t="s">
        <v>10886</v>
      </c>
      <c r="L2378" s="16" t="n">
        <v>44949</v>
      </c>
      <c r="M2378" s="16" t="n">
        <v>45383</v>
      </c>
      <c r="N2378" s="6" t="s">
        <v>10886</v>
      </c>
      <c r="O2378" s="16" t="n">
        <v>44949</v>
      </c>
      <c r="P2378" s="6" t="s">
        <v>12232</v>
      </c>
      <c r="Q2378" s="6" t="s">
        <v>81</v>
      </c>
      <c r="R2378" s="6" t="s">
        <v>81</v>
      </c>
      <c r="S2378" s="6" t="s">
        <v>10886</v>
      </c>
      <c r="T2378" s="16" t="n">
        <v>44949</v>
      </c>
      <c r="U2378" s="6" t="s">
        <v>13865</v>
      </c>
      <c r="V2378" s="6" t="s">
        <v>81</v>
      </c>
      <c r="W2378" s="6" t="s">
        <v>81</v>
      </c>
      <c r="X2378" s="6" t="s">
        <v>81</v>
      </c>
      <c r="Y2378" s="21" t="s">
        <v>81</v>
      </c>
      <c r="Z2378" s="6" t="s">
        <v>81</v>
      </c>
      <c r="AA2378" s="6" t="s">
        <v>81</v>
      </c>
      <c r="AB2378" s="6" t="s">
        <v>81</v>
      </c>
      <c r="AC2378" s="6" t="s">
        <v>81</v>
      </c>
      <c r="AD2378" s="21" t="s">
        <v>81</v>
      </c>
      <c r="AE2378" s="6" t="s">
        <v>81</v>
      </c>
      <c r="AF2378" s="6" t="s">
        <v>81</v>
      </c>
      <c r="AG2378" s="6" t="s">
        <v>81</v>
      </c>
      <c r="AH2378" s="6" t="s">
        <v>16918</v>
      </c>
      <c r="AI2378" s="6" t="s">
        <v>81</v>
      </c>
      <c r="AJ2378" s="6" t="s">
        <v>17730</v>
      </c>
      <c r="AK2378" s="6" t="s">
        <v>18377</v>
      </c>
      <c r="AL2378" s="6" t="s">
        <v>18444</v>
      </c>
      <c r="AM2378" s="6" t="s">
        <v>18898</v>
      </c>
      <c r="AN2378" s="6" t="s">
        <v>6139</v>
      </c>
      <c r="AO2378" s="6" t="s">
        <v>19814</v>
      </c>
      <c r="AP2378" s="6" t="s">
        <v>81</v>
      </c>
      <c r="AQ2378" s="6" t="s">
        <v>81</v>
      </c>
      <c r="AR2378" s="6" t="s">
        <v>81</v>
      </c>
      <c r="AS2378" s="6" t="s">
        <v>81</v>
      </c>
      <c r="AT2378" s="6" t="s">
        <v>81</v>
      </c>
      <c r="AU2378" s="6" t="s">
        <v>81</v>
      </c>
      <c r="AV2378" s="6" t="s">
        <v>81</v>
      </c>
      <c r="AW2378" s="6" t="s">
        <v>81</v>
      </c>
      <c r="AX2378" s="6" t="s">
        <v>81</v>
      </c>
      <c r="AY2378" s="6" t="s">
        <v>81</v>
      </c>
      <c r="AZ2378" s="6" t="s">
        <v>81</v>
      </c>
      <c r="BA2378" s="6" t="s">
        <v>81</v>
      </c>
      <c r="BB2378" s="24" t="n">
        <v>67</v>
      </c>
      <c r="BC2378" s="26"/>
      <c r="BD2378" s="26"/>
      <c r="BE2378" s="26"/>
      <c r="BF2378" s="26"/>
      <c r="BG2378" s="26"/>
      <c r="BH2378" s="26"/>
      <c r="BI2378" s="26"/>
      <c r="BJ2378" s="26"/>
      <c r="BK2378" s="26"/>
      <c r="BL2378" s="26"/>
      <c r="BM2378" s="26"/>
      <c r="BN2378" s="26"/>
      <c r="BO2378" s="26"/>
      <c r="BP2378" s="16" t="n">
        <v>45441</v>
      </c>
      <c r="BQ2378" s="28" t="str">
        <f>HYPERLINK("https://organic.ams.usda.gov/Integrity/Certificate.aspx?cid=46&amp;nopid=3672200050")</f>
        <v>https://organic.ams.usda.gov/Integrity/Certificate.aspx?cid=46&amp;nopid=3672200050</v>
      </c>
    </row>
    <row r="2379">
      <c r="A2379" t="s">
        <v>3</v>
      </c>
      <c r="B2379" s="6" t="s">
        <v>12</v>
      </c>
      <c r="C2379" s="6" t="s">
        <v>59</v>
      </c>
      <c r="D2379" s="6" t="s">
        <v>105</v>
      </c>
      <c r="E2379" s="10" t="s">
        <v>2520</v>
      </c>
      <c r="F2379" s="6" t="s">
        <v>5227</v>
      </c>
      <c r="G2379" s="6" t="s">
        <v>81</v>
      </c>
      <c r="H2379" s="6" t="s">
        <v>8060</v>
      </c>
      <c r="I2379" s="6" t="s">
        <v>9522</v>
      </c>
      <c r="J2379" s="6" t="s">
        <v>9669</v>
      </c>
      <c r="K2379" s="6" t="s">
        <v>10886</v>
      </c>
      <c r="L2379" s="16" t="n">
        <v>44572</v>
      </c>
      <c r="M2379" s="16" t="n">
        <v>45717</v>
      </c>
      <c r="N2379" s="6" t="s">
        <v>10886</v>
      </c>
      <c r="O2379" s="16" t="n">
        <v>44572</v>
      </c>
      <c r="P2379" s="6" t="s">
        <v>12233</v>
      </c>
      <c r="Q2379" s="6" t="s">
        <v>81</v>
      </c>
      <c r="R2379" s="6" t="s">
        <v>81</v>
      </c>
      <c r="S2379" s="6" t="s">
        <v>10886</v>
      </c>
      <c r="T2379" s="16" t="n">
        <v>44572</v>
      </c>
      <c r="U2379" s="6" t="s">
        <v>13559</v>
      </c>
      <c r="V2379" s="6" t="s">
        <v>81</v>
      </c>
      <c r="W2379" s="6" t="s">
        <v>81</v>
      </c>
      <c r="X2379" s="6" t="s">
        <v>81</v>
      </c>
      <c r="Y2379" s="21" t="s">
        <v>81</v>
      </c>
      <c r="Z2379" s="6" t="s">
        <v>81</v>
      </c>
      <c r="AA2379" s="6" t="s">
        <v>81</v>
      </c>
      <c r="AB2379" s="6" t="s">
        <v>81</v>
      </c>
      <c r="AC2379" s="6" t="s">
        <v>81</v>
      </c>
      <c r="AD2379" s="21" t="s">
        <v>81</v>
      </c>
      <c r="AE2379" s="6" t="s">
        <v>81</v>
      </c>
      <c r="AF2379" s="6" t="s">
        <v>81</v>
      </c>
      <c r="AG2379" s="6" t="s">
        <v>81</v>
      </c>
      <c r="AH2379" s="6" t="s">
        <v>16919</v>
      </c>
      <c r="AI2379" s="6" t="s">
        <v>81</v>
      </c>
      <c r="AJ2379" s="6" t="s">
        <v>17739</v>
      </c>
      <c r="AK2379" s="6" t="s">
        <v>17712</v>
      </c>
      <c r="AL2379" s="6" t="s">
        <v>18444</v>
      </c>
      <c r="AM2379" s="6" t="s">
        <v>18907</v>
      </c>
      <c r="AN2379" s="6" t="s">
        <v>19649</v>
      </c>
      <c r="AO2379" s="6" t="s">
        <v>19738</v>
      </c>
      <c r="AP2379" s="6" t="s">
        <v>16919</v>
      </c>
      <c r="AQ2379" s="6" t="s">
        <v>81</v>
      </c>
      <c r="AR2379" s="6" t="s">
        <v>17739</v>
      </c>
      <c r="AS2379" s="6" t="s">
        <v>17712</v>
      </c>
      <c r="AT2379" s="6" t="s">
        <v>18444</v>
      </c>
      <c r="AU2379" s="6" t="s">
        <v>18907</v>
      </c>
      <c r="AV2379" s="6" t="s">
        <v>81</v>
      </c>
      <c r="AW2379" s="6" t="s">
        <v>81</v>
      </c>
      <c r="AX2379" s="6" t="s">
        <v>81</v>
      </c>
      <c r="AY2379" s="6" t="s">
        <v>81</v>
      </c>
      <c r="AZ2379" s="6" t="s">
        <v>81</v>
      </c>
      <c r="BA2379" s="6" t="s">
        <v>81</v>
      </c>
      <c r="BB2379" s="24" t="n">
        <v>81</v>
      </c>
      <c r="BC2379" s="26"/>
      <c r="BD2379" s="26"/>
      <c r="BE2379" s="26"/>
      <c r="BF2379" s="26"/>
      <c r="BG2379" s="26"/>
      <c r="BH2379" s="26"/>
      <c r="BI2379" s="26"/>
      <c r="BJ2379" s="26"/>
      <c r="BK2379" s="26"/>
      <c r="BL2379" s="26"/>
      <c r="BM2379" s="26"/>
      <c r="BN2379" s="26"/>
      <c r="BO2379" s="26"/>
      <c r="BP2379" s="16" t="n">
        <v>45684</v>
      </c>
      <c r="BQ2379" s="28" t="str">
        <f>HYPERLINK("https://organic.ams.usda.gov/Integrity/Certificate.aspx?cid=68&amp;nopid=8210008175")</f>
        <v>https://organic.ams.usda.gov/Integrity/Certificate.aspx?cid=68&amp;nopid=8210008175</v>
      </c>
    </row>
    <row r="2380">
      <c r="A2380" t="s">
        <v>3</v>
      </c>
      <c r="B2380" s="6" t="s">
        <v>7</v>
      </c>
      <c r="C2380" s="6" t="s">
        <v>54</v>
      </c>
      <c r="D2380" s="6" t="s">
        <v>100</v>
      </c>
      <c r="E2380" s="10" t="s">
        <v>2521</v>
      </c>
      <c r="F2380" s="6" t="s">
        <v>5228</v>
      </c>
      <c r="G2380" s="6" t="s">
        <v>81</v>
      </c>
      <c r="H2380" s="6" t="s">
        <v>8061</v>
      </c>
      <c r="I2380" s="6" t="s">
        <v>9523</v>
      </c>
      <c r="J2380" s="6" t="s">
        <v>10055</v>
      </c>
      <c r="K2380" s="6" t="s">
        <v>10886</v>
      </c>
      <c r="L2380" s="16" t="n">
        <v>45432</v>
      </c>
      <c r="M2380" s="16" t="n">
        <v>45716</v>
      </c>
      <c r="N2380" s="6" t="s">
        <v>10886</v>
      </c>
      <c r="O2380" s="16" t="n">
        <v>45432</v>
      </c>
      <c r="P2380" s="6" t="s">
        <v>10934</v>
      </c>
      <c r="Q2380" s="6" t="s">
        <v>81</v>
      </c>
      <c r="R2380" s="6" t="s">
        <v>81</v>
      </c>
      <c r="S2380" s="6" t="s">
        <v>10886</v>
      </c>
      <c r="T2380" s="16" t="n">
        <v>45454</v>
      </c>
      <c r="U2380" s="6" t="s">
        <v>13169</v>
      </c>
      <c r="V2380" s="6" t="s">
        <v>81</v>
      </c>
      <c r="W2380" s="6" t="s">
        <v>81</v>
      </c>
      <c r="X2380" s="6" t="s">
        <v>81</v>
      </c>
      <c r="Y2380" s="21" t="s">
        <v>81</v>
      </c>
      <c r="Z2380" s="6" t="s">
        <v>81</v>
      </c>
      <c r="AA2380" s="6" t="s">
        <v>81</v>
      </c>
      <c r="AB2380" s="6" t="s">
        <v>81</v>
      </c>
      <c r="AC2380" s="6" t="s">
        <v>81</v>
      </c>
      <c r="AD2380" s="21" t="s">
        <v>81</v>
      </c>
      <c r="AE2380" s="6" t="s">
        <v>81</v>
      </c>
      <c r="AF2380" s="6" t="s">
        <v>81</v>
      </c>
      <c r="AG2380" s="6" t="s">
        <v>81</v>
      </c>
      <c r="AH2380" s="6" t="s">
        <v>16920</v>
      </c>
      <c r="AI2380" s="6" t="s">
        <v>81</v>
      </c>
      <c r="AJ2380" s="6" t="s">
        <v>17393</v>
      </c>
      <c r="AK2380" s="6" t="s">
        <v>17712</v>
      </c>
      <c r="AL2380" s="6" t="s">
        <v>18444</v>
      </c>
      <c r="AM2380" s="6" t="s">
        <v>18549</v>
      </c>
      <c r="AN2380" s="6" t="s">
        <v>81</v>
      </c>
      <c r="AO2380" s="6" t="s">
        <v>81</v>
      </c>
      <c r="AP2380" s="6" t="s">
        <v>16920</v>
      </c>
      <c r="AQ2380" s="6" t="s">
        <v>81</v>
      </c>
      <c r="AR2380" s="6" t="s">
        <v>17393</v>
      </c>
      <c r="AS2380" s="6" t="s">
        <v>17712</v>
      </c>
      <c r="AT2380" s="6" t="s">
        <v>18444</v>
      </c>
      <c r="AU2380" s="6" t="s">
        <v>18549</v>
      </c>
      <c r="AV2380" s="6" t="s">
        <v>81</v>
      </c>
      <c r="AW2380" s="6" t="s">
        <v>81</v>
      </c>
      <c r="AX2380" s="6" t="s">
        <v>81</v>
      </c>
      <c r="AY2380" s="6" t="s">
        <v>81</v>
      </c>
      <c r="AZ2380" s="6" t="s">
        <v>81</v>
      </c>
      <c r="BA2380" s="6" t="s">
        <v>81</v>
      </c>
      <c r="BB2380" s="24" t="n">
        <v>54</v>
      </c>
      <c r="BC2380" s="26"/>
      <c r="BD2380" s="26"/>
      <c r="BE2380" s="26"/>
      <c r="BF2380" s="26"/>
      <c r="BG2380" s="26"/>
      <c r="BH2380" s="26"/>
      <c r="BI2380" s="26"/>
      <c r="BJ2380" s="26"/>
      <c r="BK2380" s="26"/>
      <c r="BL2380" s="26"/>
      <c r="BM2380" s="26"/>
      <c r="BN2380" s="26"/>
      <c r="BO2380" s="26"/>
      <c r="BP2380" s="16" t="n">
        <v>45595</v>
      </c>
      <c r="BQ2380" s="28" t="str">
        <f>HYPERLINK("https://organic.ams.usda.gov/Integrity/Certificate.aspx?cid=57&amp;nopid=3252024024")</f>
        <v>https://organic.ams.usda.gov/Integrity/Certificate.aspx?cid=57&amp;nopid=3252024024</v>
      </c>
    </row>
    <row r="2381">
      <c r="A2381" t="s">
        <v>3</v>
      </c>
      <c r="B2381" s="6" t="s">
        <v>7</v>
      </c>
      <c r="C2381" s="6" t="s">
        <v>54</v>
      </c>
      <c r="D2381" s="6" t="s">
        <v>100</v>
      </c>
      <c r="E2381" s="10" t="s">
        <v>2522</v>
      </c>
      <c r="F2381" s="6" t="s">
        <v>5229</v>
      </c>
      <c r="G2381" s="6" t="s">
        <v>81</v>
      </c>
      <c r="H2381" s="6" t="s">
        <v>8062</v>
      </c>
      <c r="I2381" s="6" t="s">
        <v>9523</v>
      </c>
      <c r="J2381" s="6" t="s">
        <v>9142</v>
      </c>
      <c r="K2381" s="6" t="s">
        <v>10886</v>
      </c>
      <c r="L2381" s="16" t="n">
        <v>45495</v>
      </c>
      <c r="M2381" s="16" t="n">
        <v>45716</v>
      </c>
      <c r="N2381" s="6" t="s">
        <v>10886</v>
      </c>
      <c r="O2381" s="16" t="n">
        <v>45495</v>
      </c>
      <c r="P2381" s="6" t="s">
        <v>10944</v>
      </c>
      <c r="Q2381" s="6" t="s">
        <v>81</v>
      </c>
      <c r="R2381" s="6" t="s">
        <v>81</v>
      </c>
      <c r="S2381" s="6" t="s">
        <v>10886</v>
      </c>
      <c r="T2381" s="16" t="n">
        <v>45495</v>
      </c>
      <c r="U2381" s="6" t="s">
        <v>13169</v>
      </c>
      <c r="V2381" s="6" t="s">
        <v>81</v>
      </c>
      <c r="W2381" s="6" t="s">
        <v>81</v>
      </c>
      <c r="X2381" s="6" t="s">
        <v>81</v>
      </c>
      <c r="Y2381" s="21" t="s">
        <v>81</v>
      </c>
      <c r="Z2381" s="6" t="s">
        <v>81</v>
      </c>
      <c r="AA2381" s="6" t="s">
        <v>81</v>
      </c>
      <c r="AB2381" s="6" t="s">
        <v>81</v>
      </c>
      <c r="AC2381" s="6" t="s">
        <v>81</v>
      </c>
      <c r="AD2381" s="21" t="s">
        <v>81</v>
      </c>
      <c r="AE2381" s="6" t="s">
        <v>81</v>
      </c>
      <c r="AF2381" s="6" t="s">
        <v>81</v>
      </c>
      <c r="AG2381" s="6" t="s">
        <v>81</v>
      </c>
      <c r="AH2381" s="6" t="s">
        <v>16921</v>
      </c>
      <c r="AI2381" s="6" t="s">
        <v>81</v>
      </c>
      <c r="AJ2381" s="6" t="s">
        <v>17406</v>
      </c>
      <c r="AK2381" s="6" t="s">
        <v>17712</v>
      </c>
      <c r="AL2381" s="6" t="s">
        <v>18444</v>
      </c>
      <c r="AM2381" s="6" t="s">
        <v>18562</v>
      </c>
      <c r="AN2381" s="6" t="s">
        <v>81</v>
      </c>
      <c r="AO2381" s="6" t="s">
        <v>81</v>
      </c>
      <c r="AP2381" s="6" t="s">
        <v>16921</v>
      </c>
      <c r="AQ2381" s="6" t="s">
        <v>81</v>
      </c>
      <c r="AR2381" s="6" t="s">
        <v>17406</v>
      </c>
      <c r="AS2381" s="6" t="s">
        <v>17712</v>
      </c>
      <c r="AT2381" s="6" t="s">
        <v>18444</v>
      </c>
      <c r="AU2381" s="6" t="s">
        <v>18562</v>
      </c>
      <c r="AV2381" s="6" t="s">
        <v>81</v>
      </c>
      <c r="AW2381" s="6" t="s">
        <v>81</v>
      </c>
      <c r="AX2381" s="6" t="s">
        <v>81</v>
      </c>
      <c r="AY2381" s="6" t="s">
        <v>81</v>
      </c>
      <c r="AZ2381" s="6" t="s">
        <v>81</v>
      </c>
      <c r="BA2381" s="6" t="s">
        <v>81</v>
      </c>
      <c r="BB2381" s="24" t="n">
        <v>63</v>
      </c>
      <c r="BC2381" s="26"/>
      <c r="BD2381" s="26"/>
      <c r="BE2381" s="26"/>
      <c r="BF2381" s="26" t="s">
        <v>23900</v>
      </c>
      <c r="BG2381" s="26"/>
      <c r="BH2381" s="26"/>
      <c r="BI2381" s="26"/>
      <c r="BJ2381" s="26"/>
      <c r="BK2381" s="26"/>
      <c r="BL2381" s="26"/>
      <c r="BM2381" s="26"/>
      <c r="BN2381" s="26"/>
      <c r="BO2381" s="26"/>
      <c r="BP2381" s="16" t="n">
        <v>45595</v>
      </c>
      <c r="BQ2381" s="28" t="str">
        <f>HYPERLINK("https://organic.ams.usda.gov/Integrity/Certificate.aspx?cid=57&amp;nopid=3252023038")</f>
        <v>https://organic.ams.usda.gov/Integrity/Certificate.aspx?cid=57&amp;nopid=3252023038</v>
      </c>
    </row>
    <row r="2382">
      <c r="A2382" t="s">
        <v>3</v>
      </c>
      <c r="B2382" s="6" t="s">
        <v>7</v>
      </c>
      <c r="C2382" s="6" t="s">
        <v>54</v>
      </c>
      <c r="D2382" s="6" t="s">
        <v>100</v>
      </c>
      <c r="E2382" s="10" t="s">
        <v>2523</v>
      </c>
      <c r="F2382" s="6" t="s">
        <v>5230</v>
      </c>
      <c r="G2382" s="6" t="s">
        <v>81</v>
      </c>
      <c r="H2382" s="6" t="s">
        <v>8063</v>
      </c>
      <c r="I2382" s="6" t="s">
        <v>9523</v>
      </c>
      <c r="J2382" s="6" t="s">
        <v>9665</v>
      </c>
      <c r="K2382" s="6" t="s">
        <v>10886</v>
      </c>
      <c r="L2382" s="16" t="n">
        <v>45366</v>
      </c>
      <c r="M2382" s="16" t="n">
        <v>45716</v>
      </c>
      <c r="N2382" s="6" t="s">
        <v>10886</v>
      </c>
      <c r="O2382" s="16" t="n">
        <v>45366</v>
      </c>
      <c r="P2382" s="6" t="s">
        <v>10910</v>
      </c>
      <c r="Q2382" s="6" t="s">
        <v>81</v>
      </c>
      <c r="R2382" s="6" t="s">
        <v>81</v>
      </c>
      <c r="S2382" s="6" t="s">
        <v>10886</v>
      </c>
      <c r="T2382" s="16" t="n">
        <v>45405</v>
      </c>
      <c r="U2382" s="6" t="s">
        <v>13169</v>
      </c>
      <c r="V2382" s="6" t="s">
        <v>81</v>
      </c>
      <c r="W2382" s="6" t="s">
        <v>81</v>
      </c>
      <c r="X2382" s="6" t="s">
        <v>81</v>
      </c>
      <c r="Y2382" s="21" t="s">
        <v>81</v>
      </c>
      <c r="Z2382" s="6" t="s">
        <v>81</v>
      </c>
      <c r="AA2382" s="6" t="s">
        <v>81</v>
      </c>
      <c r="AB2382" s="6" t="s">
        <v>81</v>
      </c>
      <c r="AC2382" s="6" t="s">
        <v>81</v>
      </c>
      <c r="AD2382" s="21" t="s">
        <v>81</v>
      </c>
      <c r="AE2382" s="6" t="s">
        <v>81</v>
      </c>
      <c r="AF2382" s="6" t="s">
        <v>81</v>
      </c>
      <c r="AG2382" s="6" t="s">
        <v>81</v>
      </c>
      <c r="AH2382" s="6" t="s">
        <v>16922</v>
      </c>
      <c r="AI2382" s="6" t="s">
        <v>81</v>
      </c>
      <c r="AJ2382" s="6" t="s">
        <v>17531</v>
      </c>
      <c r="AK2382" s="6" t="s">
        <v>17712</v>
      </c>
      <c r="AL2382" s="6" t="s">
        <v>18444</v>
      </c>
      <c r="AM2382" s="6" t="s">
        <v>18694</v>
      </c>
      <c r="AN2382" s="6" t="s">
        <v>81</v>
      </c>
      <c r="AO2382" s="6" t="s">
        <v>81</v>
      </c>
      <c r="AP2382" s="6" t="s">
        <v>16922</v>
      </c>
      <c r="AQ2382" s="6" t="s">
        <v>81</v>
      </c>
      <c r="AR2382" s="6" t="s">
        <v>17531</v>
      </c>
      <c r="AS2382" s="6" t="s">
        <v>17712</v>
      </c>
      <c r="AT2382" s="6" t="s">
        <v>18444</v>
      </c>
      <c r="AU2382" s="6" t="s">
        <v>18694</v>
      </c>
      <c r="AV2382" s="6" t="s">
        <v>81</v>
      </c>
      <c r="AW2382" s="6" t="s">
        <v>81</v>
      </c>
      <c r="AX2382" s="6" t="s">
        <v>22300</v>
      </c>
      <c r="AY2382" s="6" t="s">
        <v>81</v>
      </c>
      <c r="AZ2382" s="6" t="s">
        <v>81</v>
      </c>
      <c r="BA2382" s="6" t="s">
        <v>81</v>
      </c>
      <c r="BB2382" s="24" t="n">
        <v>93</v>
      </c>
      <c r="BC2382" s="26"/>
      <c r="BD2382" s="26"/>
      <c r="BE2382" s="26"/>
      <c r="BF2382" s="26"/>
      <c r="BG2382" s="26"/>
      <c r="BH2382" s="26"/>
      <c r="BI2382" s="26"/>
      <c r="BJ2382" s="26"/>
      <c r="BK2382" s="26"/>
      <c r="BL2382" s="26"/>
      <c r="BM2382" s="26"/>
      <c r="BN2382" s="26"/>
      <c r="BO2382" s="26"/>
      <c r="BP2382" s="16" t="n">
        <v>45595</v>
      </c>
      <c r="BQ2382" s="28" t="str">
        <f>HYPERLINK("https://organic.ams.usda.gov/Integrity/Certificate.aspx?cid=57&amp;nopid=3252024029")</f>
        <v>https://organic.ams.usda.gov/Integrity/Certificate.aspx?cid=57&amp;nopid=3252024029</v>
      </c>
    </row>
    <row r="2383">
      <c r="A2383" t="s">
        <v>3</v>
      </c>
      <c r="B2383" s="6" t="s">
        <v>29</v>
      </c>
      <c r="C2383" s="6" t="s">
        <v>76</v>
      </c>
      <c r="D2383" s="6" t="s">
        <v>122</v>
      </c>
      <c r="E2383" s="10" t="s">
        <v>2524</v>
      </c>
      <c r="F2383" s="6" t="s">
        <v>5231</v>
      </c>
      <c r="G2383" s="6" t="s">
        <v>5853</v>
      </c>
      <c r="H2383" s="6" t="s">
        <v>8064</v>
      </c>
      <c r="I2383" s="6" t="s">
        <v>9524</v>
      </c>
      <c r="J2383" s="6" t="s">
        <v>9671</v>
      </c>
      <c r="K2383" s="6" t="s">
        <v>10886</v>
      </c>
      <c r="L2383" s="16" t="n">
        <v>44725</v>
      </c>
      <c r="M2383" s="16" t="n">
        <v>45870</v>
      </c>
      <c r="N2383" s="6" t="s">
        <v>10886</v>
      </c>
      <c r="O2383" s="16" t="n">
        <v>44725</v>
      </c>
      <c r="P2383" s="6" t="s">
        <v>12234</v>
      </c>
      <c r="Q2383" s="6" t="s">
        <v>81</v>
      </c>
      <c r="R2383" s="6" t="s">
        <v>13075</v>
      </c>
      <c r="S2383" s="6" t="s">
        <v>10886</v>
      </c>
      <c r="T2383" s="16" t="n">
        <v>44725</v>
      </c>
      <c r="U2383" s="6" t="s">
        <v>13384</v>
      </c>
      <c r="V2383" s="6" t="s">
        <v>81</v>
      </c>
      <c r="W2383" s="6" t="s">
        <v>13075</v>
      </c>
      <c r="X2383" s="6" t="s">
        <v>81</v>
      </c>
      <c r="Y2383" s="21" t="s">
        <v>81</v>
      </c>
      <c r="Z2383" s="6" t="s">
        <v>81</v>
      </c>
      <c r="AA2383" s="6" t="s">
        <v>81</v>
      </c>
      <c r="AB2383" s="6" t="s">
        <v>81</v>
      </c>
      <c r="AC2383" s="6" t="s">
        <v>81</v>
      </c>
      <c r="AD2383" s="21" t="s">
        <v>81</v>
      </c>
      <c r="AE2383" s="6" t="s">
        <v>81</v>
      </c>
      <c r="AF2383" s="6" t="s">
        <v>81</v>
      </c>
      <c r="AG2383" s="6" t="s">
        <v>81</v>
      </c>
      <c r="AH2383" s="6" t="s">
        <v>16923</v>
      </c>
      <c r="AI2383" s="6" t="s">
        <v>81</v>
      </c>
      <c r="AJ2383" s="6" t="s">
        <v>18282</v>
      </c>
      <c r="AK2383" s="6" t="s">
        <v>18380</v>
      </c>
      <c r="AL2383" s="6" t="s">
        <v>18444</v>
      </c>
      <c r="AM2383" s="6" t="s">
        <v>19509</v>
      </c>
      <c r="AN2383" s="6" t="s">
        <v>19702</v>
      </c>
      <c r="AO2383" s="6" t="s">
        <v>19832</v>
      </c>
      <c r="AP2383" s="6" t="s">
        <v>81</v>
      </c>
      <c r="AQ2383" s="6" t="s">
        <v>81</v>
      </c>
      <c r="AR2383" s="6" t="s">
        <v>81</v>
      </c>
      <c r="AS2383" s="6" t="s">
        <v>81</v>
      </c>
      <c r="AT2383" s="6" t="s">
        <v>81</v>
      </c>
      <c r="AU2383" s="6" t="s">
        <v>81</v>
      </c>
      <c r="AV2383" s="6" t="s">
        <v>81</v>
      </c>
      <c r="AW2383" s="6" t="s">
        <v>81</v>
      </c>
      <c r="AX2383" s="6" t="s">
        <v>22301</v>
      </c>
      <c r="AY2383" s="6" t="s">
        <v>81</v>
      </c>
      <c r="AZ2383" s="6" t="s">
        <v>81</v>
      </c>
      <c r="BA2383" s="6" t="s">
        <v>81</v>
      </c>
      <c r="BB2383" s="24" t="n">
        <v>60</v>
      </c>
      <c r="BC2383" s="26"/>
      <c r="BD2383" s="26"/>
      <c r="BE2383" s="26"/>
      <c r="BF2383" s="26" t="s">
        <v>23900</v>
      </c>
      <c r="BG2383" s="26"/>
      <c r="BH2383" s="26"/>
      <c r="BI2383" s="26"/>
      <c r="BJ2383" s="26"/>
      <c r="BK2383" s="26"/>
      <c r="BL2383" s="26"/>
      <c r="BM2383" s="26"/>
      <c r="BN2383" s="26"/>
      <c r="BO2383" s="26"/>
      <c r="BP2383" s="16" t="n">
        <v>45737</v>
      </c>
      <c r="BQ2383" s="28" t="str">
        <f>HYPERLINK("https://organic.ams.usda.gov/Integrity/Certificate.aspx?cid=31&amp;nopid=3928972272")</f>
        <v>https://organic.ams.usda.gov/Integrity/Certificate.aspx?cid=31&amp;nopid=3928972272</v>
      </c>
    </row>
    <row r="2384">
      <c r="A2384" t="s">
        <v>3</v>
      </c>
      <c r="B2384" s="6" t="s">
        <v>11</v>
      </c>
      <c r="C2384" s="6" t="s">
        <v>58</v>
      </c>
      <c r="D2384" s="6" t="s">
        <v>104</v>
      </c>
      <c r="E2384" s="10" t="s">
        <v>2525</v>
      </c>
      <c r="F2384" s="6" t="s">
        <v>5232</v>
      </c>
      <c r="G2384" s="6" t="s">
        <v>81</v>
      </c>
      <c r="H2384" s="6" t="s">
        <v>81</v>
      </c>
      <c r="I2384" s="6" t="s">
        <v>9525</v>
      </c>
      <c r="J2384" s="6" t="s">
        <v>9666</v>
      </c>
      <c r="K2384" s="6" t="s">
        <v>10886</v>
      </c>
      <c r="L2384" s="16" t="n">
        <v>45442</v>
      </c>
      <c r="M2384" s="16" t="n">
        <v>45748</v>
      </c>
      <c r="N2384" s="6" t="s">
        <v>10886</v>
      </c>
      <c r="O2384" s="16" t="n">
        <v>45442</v>
      </c>
      <c r="P2384" s="6" t="s">
        <v>10982</v>
      </c>
      <c r="Q2384" s="6" t="s">
        <v>81</v>
      </c>
      <c r="R2384" s="6" t="s">
        <v>81</v>
      </c>
      <c r="S2384" s="6" t="s">
        <v>10886</v>
      </c>
      <c r="T2384" s="16" t="n">
        <v>45442</v>
      </c>
      <c r="U2384" s="6" t="s">
        <v>13866</v>
      </c>
      <c r="V2384" s="6" t="s">
        <v>81</v>
      </c>
      <c r="W2384" s="6" t="s">
        <v>81</v>
      </c>
      <c r="X2384" s="6" t="s">
        <v>81</v>
      </c>
      <c r="Y2384" s="21" t="s">
        <v>81</v>
      </c>
      <c r="Z2384" s="6" t="s">
        <v>81</v>
      </c>
      <c r="AA2384" s="6" t="s">
        <v>81</v>
      </c>
      <c r="AB2384" s="6" t="s">
        <v>81</v>
      </c>
      <c r="AC2384" s="6" t="s">
        <v>81</v>
      </c>
      <c r="AD2384" s="21" t="s">
        <v>81</v>
      </c>
      <c r="AE2384" s="6" t="s">
        <v>81</v>
      </c>
      <c r="AF2384" s="6" t="s">
        <v>81</v>
      </c>
      <c r="AG2384" s="6" t="s">
        <v>81</v>
      </c>
      <c r="AH2384" s="6" t="s">
        <v>16924</v>
      </c>
      <c r="AI2384" s="6" t="s">
        <v>81</v>
      </c>
      <c r="AJ2384" s="6" t="s">
        <v>17831</v>
      </c>
      <c r="AK2384" s="6" t="s">
        <v>18377</v>
      </c>
      <c r="AL2384" s="6" t="s">
        <v>18444</v>
      </c>
      <c r="AM2384" s="6" t="s">
        <v>19012</v>
      </c>
      <c r="AN2384" s="6" t="s">
        <v>81</v>
      </c>
      <c r="AO2384" s="6" t="s">
        <v>81</v>
      </c>
      <c r="AP2384" s="6" t="s">
        <v>16924</v>
      </c>
      <c r="AQ2384" s="6" t="s">
        <v>81</v>
      </c>
      <c r="AR2384" s="6" t="s">
        <v>17831</v>
      </c>
      <c r="AS2384" s="6" t="s">
        <v>18377</v>
      </c>
      <c r="AT2384" s="6" t="s">
        <v>18444</v>
      </c>
      <c r="AU2384" s="6" t="s">
        <v>19012</v>
      </c>
      <c r="AV2384" s="6" t="s">
        <v>81</v>
      </c>
      <c r="AW2384" s="6" t="s">
        <v>81</v>
      </c>
      <c r="AX2384" s="6" t="s">
        <v>81</v>
      </c>
      <c r="AY2384" s="6" t="s">
        <v>81</v>
      </c>
      <c r="AZ2384" s="6" t="s">
        <v>81</v>
      </c>
      <c r="BA2384" s="6" t="s">
        <v>23825</v>
      </c>
      <c r="BB2384" s="24" t="n">
        <v>40</v>
      </c>
      <c r="BC2384" s="26"/>
      <c r="BD2384" s="26"/>
      <c r="BE2384" s="26"/>
      <c r="BF2384" s="26"/>
      <c r="BG2384" s="26"/>
      <c r="BH2384" s="26"/>
      <c r="BI2384" s="26"/>
      <c r="BJ2384" s="26"/>
      <c r="BK2384" s="26"/>
      <c r="BL2384" s="26"/>
      <c r="BM2384" s="26"/>
      <c r="BN2384" s="26"/>
      <c r="BO2384" s="26"/>
      <c r="BP2384" s="16" t="n">
        <v>45442</v>
      </c>
      <c r="BQ2384" s="28" t="str">
        <f>HYPERLINK("https://organic.ams.usda.gov/Integrity/Certificate.aspx?cid=46&amp;nopid=3672400029")</f>
        <v>https://organic.ams.usda.gov/Integrity/Certificate.aspx?cid=46&amp;nopid=3672400029</v>
      </c>
    </row>
    <row r="2385">
      <c r="A2385" t="s">
        <v>3</v>
      </c>
      <c r="B2385" s="6" t="s">
        <v>7</v>
      </c>
      <c r="C2385" s="6" t="s">
        <v>54</v>
      </c>
      <c r="D2385" s="6" t="s">
        <v>100</v>
      </c>
      <c r="E2385" s="10" t="s">
        <v>2526</v>
      </c>
      <c r="F2385" s="6" t="s">
        <v>5233</v>
      </c>
      <c r="G2385" s="6" t="s">
        <v>81</v>
      </c>
      <c r="H2385" s="6" t="s">
        <v>8065</v>
      </c>
      <c r="I2385" s="6" t="s">
        <v>8858</v>
      </c>
      <c r="J2385" s="6" t="s">
        <v>9671</v>
      </c>
      <c r="K2385" s="6" t="s">
        <v>10886</v>
      </c>
      <c r="L2385" s="16" t="n">
        <v>41130</v>
      </c>
      <c r="M2385" s="16" t="n">
        <v>45716</v>
      </c>
      <c r="N2385" s="6" t="s">
        <v>10886</v>
      </c>
      <c r="O2385" s="16" t="n">
        <v>41130</v>
      </c>
      <c r="P2385" s="6" t="s">
        <v>10910</v>
      </c>
      <c r="Q2385" s="6" t="s">
        <v>81</v>
      </c>
      <c r="R2385" s="6" t="s">
        <v>81</v>
      </c>
      <c r="S2385" s="6" t="s">
        <v>10886</v>
      </c>
      <c r="T2385" s="16" t="n">
        <v>41130</v>
      </c>
      <c r="U2385" s="6" t="s">
        <v>13169</v>
      </c>
      <c r="V2385" s="6" t="s">
        <v>81</v>
      </c>
      <c r="W2385" s="6" t="s">
        <v>81</v>
      </c>
      <c r="X2385" s="6" t="s">
        <v>81</v>
      </c>
      <c r="Y2385" s="21" t="s">
        <v>81</v>
      </c>
      <c r="Z2385" s="6" t="s">
        <v>81</v>
      </c>
      <c r="AA2385" s="6" t="s">
        <v>81</v>
      </c>
      <c r="AB2385" s="6" t="s">
        <v>81</v>
      </c>
      <c r="AC2385" s="6" t="s">
        <v>81</v>
      </c>
      <c r="AD2385" s="21" t="s">
        <v>81</v>
      </c>
      <c r="AE2385" s="6" t="s">
        <v>81</v>
      </c>
      <c r="AF2385" s="6" t="s">
        <v>81</v>
      </c>
      <c r="AG2385" s="6" t="s">
        <v>81</v>
      </c>
      <c r="AH2385" s="6" t="s">
        <v>16925</v>
      </c>
      <c r="AI2385" s="6" t="s">
        <v>81</v>
      </c>
      <c r="AJ2385" s="6" t="s">
        <v>17341</v>
      </c>
      <c r="AK2385" s="6" t="s">
        <v>17712</v>
      </c>
      <c r="AL2385" s="6" t="s">
        <v>18444</v>
      </c>
      <c r="AM2385" s="6" t="s">
        <v>18495</v>
      </c>
      <c r="AN2385" s="6" t="s">
        <v>19649</v>
      </c>
      <c r="AO2385" s="6" t="s">
        <v>19738</v>
      </c>
      <c r="AP2385" s="6" t="s">
        <v>16925</v>
      </c>
      <c r="AQ2385" s="6" t="s">
        <v>81</v>
      </c>
      <c r="AR2385" s="6" t="s">
        <v>17341</v>
      </c>
      <c r="AS2385" s="6" t="s">
        <v>17712</v>
      </c>
      <c r="AT2385" s="6" t="s">
        <v>18444</v>
      </c>
      <c r="AU2385" s="6" t="s">
        <v>18495</v>
      </c>
      <c r="AV2385" s="6" t="s">
        <v>81</v>
      </c>
      <c r="AW2385" s="6" t="s">
        <v>81</v>
      </c>
      <c r="AX2385" s="6" t="s">
        <v>22302</v>
      </c>
      <c r="AY2385" s="6" t="s">
        <v>81</v>
      </c>
      <c r="AZ2385" s="6" t="s">
        <v>81</v>
      </c>
      <c r="BA2385" s="6" t="s">
        <v>81</v>
      </c>
      <c r="BB2385" s="24" t="n">
        <v>366</v>
      </c>
      <c r="BC2385" s="26"/>
      <c r="BD2385" s="26"/>
      <c r="BE2385" s="26"/>
      <c r="BF2385" s="26" t="s">
        <v>23900</v>
      </c>
      <c r="BG2385" s="26"/>
      <c r="BH2385" s="26"/>
      <c r="BI2385" s="26"/>
      <c r="BJ2385" s="26"/>
      <c r="BK2385" s="26"/>
      <c r="BL2385" s="26"/>
      <c r="BM2385" s="26"/>
      <c r="BN2385" s="26"/>
      <c r="BO2385" s="26"/>
      <c r="BP2385" s="16" t="n">
        <v>45702</v>
      </c>
      <c r="BQ2385" s="28" t="str">
        <f>HYPERLINK("https://organic.ams.usda.gov/Integrity/Certificate.aspx?cid=57&amp;nopid=3252012043")</f>
        <v>https://organic.ams.usda.gov/Integrity/Certificate.aspx?cid=57&amp;nopid=3252012043</v>
      </c>
    </row>
    <row r="2386">
      <c r="A2386" t="s">
        <v>3</v>
      </c>
      <c r="B2386" s="6" t="s">
        <v>7</v>
      </c>
      <c r="C2386" s="6" t="s">
        <v>54</v>
      </c>
      <c r="D2386" s="6" t="s">
        <v>100</v>
      </c>
      <c r="E2386" s="10" t="s">
        <v>2527</v>
      </c>
      <c r="F2386" s="6" t="s">
        <v>5234</v>
      </c>
      <c r="G2386" s="6" t="s">
        <v>81</v>
      </c>
      <c r="H2386" s="6" t="s">
        <v>8066</v>
      </c>
      <c r="I2386" s="6" t="s">
        <v>8800</v>
      </c>
      <c r="J2386" s="6" t="s">
        <v>10732</v>
      </c>
      <c r="K2386" s="6" t="s">
        <v>10886</v>
      </c>
      <c r="L2386" s="16" t="n">
        <v>39431</v>
      </c>
      <c r="M2386" s="16" t="n">
        <v>45716</v>
      </c>
      <c r="N2386" s="6" t="s">
        <v>10886</v>
      </c>
      <c r="O2386" s="16" t="n">
        <v>39431</v>
      </c>
      <c r="P2386" s="6" t="s">
        <v>11578</v>
      </c>
      <c r="Q2386" s="6" t="s">
        <v>81</v>
      </c>
      <c r="R2386" s="6" t="s">
        <v>81</v>
      </c>
      <c r="S2386" s="6" t="s">
        <v>10886</v>
      </c>
      <c r="T2386" s="16" t="n">
        <v>39777</v>
      </c>
      <c r="U2386" s="6" t="s">
        <v>13867</v>
      </c>
      <c r="V2386" s="6" t="s">
        <v>81</v>
      </c>
      <c r="W2386" s="6" t="s">
        <v>81</v>
      </c>
      <c r="X2386" s="6" t="s">
        <v>81</v>
      </c>
      <c r="Y2386" s="21" t="s">
        <v>81</v>
      </c>
      <c r="Z2386" s="6" t="s">
        <v>81</v>
      </c>
      <c r="AA2386" s="6" t="s">
        <v>81</v>
      </c>
      <c r="AB2386" s="6" t="s">
        <v>81</v>
      </c>
      <c r="AC2386" s="6" t="s">
        <v>81</v>
      </c>
      <c r="AD2386" s="21" t="s">
        <v>81</v>
      </c>
      <c r="AE2386" s="6" t="s">
        <v>81</v>
      </c>
      <c r="AF2386" s="6" t="s">
        <v>81</v>
      </c>
      <c r="AG2386" s="6" t="s">
        <v>81</v>
      </c>
      <c r="AH2386" s="6" t="s">
        <v>16926</v>
      </c>
      <c r="AI2386" s="6" t="s">
        <v>81</v>
      </c>
      <c r="AJ2386" s="6" t="s">
        <v>17709</v>
      </c>
      <c r="AK2386" s="6" t="s">
        <v>17712</v>
      </c>
      <c r="AL2386" s="6" t="s">
        <v>18444</v>
      </c>
      <c r="AM2386" s="6" t="s">
        <v>18876</v>
      </c>
      <c r="AN2386" s="6" t="s">
        <v>19669</v>
      </c>
      <c r="AO2386" s="6" t="s">
        <v>19790</v>
      </c>
      <c r="AP2386" s="6" t="s">
        <v>16926</v>
      </c>
      <c r="AQ2386" s="6" t="s">
        <v>81</v>
      </c>
      <c r="AR2386" s="6" t="s">
        <v>17709</v>
      </c>
      <c r="AS2386" s="6" t="s">
        <v>17712</v>
      </c>
      <c r="AT2386" s="6" t="s">
        <v>18444</v>
      </c>
      <c r="AU2386" s="6" t="s">
        <v>18876</v>
      </c>
      <c r="AV2386" s="6" t="s">
        <v>81</v>
      </c>
      <c r="AW2386" s="6" t="s">
        <v>81</v>
      </c>
      <c r="AX2386" s="6" t="s">
        <v>22303</v>
      </c>
      <c r="AY2386" s="6" t="s">
        <v>81</v>
      </c>
      <c r="AZ2386" s="6" t="s">
        <v>81</v>
      </c>
      <c r="BA2386" s="6" t="s">
        <v>81</v>
      </c>
      <c r="BB2386" s="24" t="n">
        <v>296</v>
      </c>
      <c r="BC2386" s="26"/>
      <c r="BD2386" s="26"/>
      <c r="BE2386" s="26"/>
      <c r="BF2386" s="26" t="s">
        <v>23900</v>
      </c>
      <c r="BG2386" s="26"/>
      <c r="BH2386" s="26"/>
      <c r="BI2386" s="26"/>
      <c r="BJ2386" s="26"/>
      <c r="BK2386" s="26"/>
      <c r="BL2386" s="26"/>
      <c r="BM2386" s="26"/>
      <c r="BN2386" s="26"/>
      <c r="BO2386" s="26"/>
      <c r="BP2386" s="16" t="n">
        <v>45595</v>
      </c>
      <c r="BQ2386" s="28" t="str">
        <f>HYPERLINK("https://organic.ams.usda.gov/Integrity/Certificate.aspx?cid=57&amp;nopid=3252007076")</f>
        <v>https://organic.ams.usda.gov/Integrity/Certificate.aspx?cid=57&amp;nopid=3252007076</v>
      </c>
    </row>
    <row r="2387">
      <c r="A2387" t="s">
        <v>3</v>
      </c>
      <c r="B2387" s="6" t="s">
        <v>7</v>
      </c>
      <c r="C2387" s="6" t="s">
        <v>54</v>
      </c>
      <c r="D2387" s="6" t="s">
        <v>100</v>
      </c>
      <c r="E2387" s="10" t="s">
        <v>2528</v>
      </c>
      <c r="F2387" s="6" t="s">
        <v>5235</v>
      </c>
      <c r="G2387" s="6" t="s">
        <v>81</v>
      </c>
      <c r="H2387" s="6" t="s">
        <v>8067</v>
      </c>
      <c r="I2387" s="6" t="s">
        <v>8807</v>
      </c>
      <c r="J2387" s="6" t="s">
        <v>10194</v>
      </c>
      <c r="K2387" s="6" t="s">
        <v>10886</v>
      </c>
      <c r="L2387" s="16" t="n">
        <v>42226</v>
      </c>
      <c r="M2387" s="16" t="n">
        <v>45716</v>
      </c>
      <c r="N2387" s="6" t="s">
        <v>10886</v>
      </c>
      <c r="O2387" s="16" t="n">
        <v>42226</v>
      </c>
      <c r="P2387" s="6" t="s">
        <v>12235</v>
      </c>
      <c r="Q2387" s="6" t="s">
        <v>81</v>
      </c>
      <c r="R2387" s="6" t="s">
        <v>81</v>
      </c>
      <c r="S2387" s="6" t="s">
        <v>10886</v>
      </c>
      <c r="T2387" s="16" t="n">
        <v>42643</v>
      </c>
      <c r="U2387" s="6" t="s">
        <v>13480</v>
      </c>
      <c r="V2387" s="6" t="s">
        <v>81</v>
      </c>
      <c r="W2387" s="6" t="s">
        <v>81</v>
      </c>
      <c r="X2387" s="6" t="s">
        <v>81</v>
      </c>
      <c r="Y2387" s="21" t="s">
        <v>81</v>
      </c>
      <c r="Z2387" s="6" t="s">
        <v>81</v>
      </c>
      <c r="AA2387" s="6" t="s">
        <v>81</v>
      </c>
      <c r="AB2387" s="6" t="s">
        <v>81</v>
      </c>
      <c r="AC2387" s="6" t="s">
        <v>81</v>
      </c>
      <c r="AD2387" s="21" t="s">
        <v>81</v>
      </c>
      <c r="AE2387" s="6" t="s">
        <v>81</v>
      </c>
      <c r="AF2387" s="6" t="s">
        <v>81</v>
      </c>
      <c r="AG2387" s="6" t="s">
        <v>81</v>
      </c>
      <c r="AH2387" s="6" t="s">
        <v>16927</v>
      </c>
      <c r="AI2387" s="6" t="s">
        <v>81</v>
      </c>
      <c r="AJ2387" s="6" t="s">
        <v>18283</v>
      </c>
      <c r="AK2387" s="6" t="s">
        <v>17712</v>
      </c>
      <c r="AL2387" s="6" t="s">
        <v>18444</v>
      </c>
      <c r="AM2387" s="6" t="s">
        <v>19510</v>
      </c>
      <c r="AN2387" s="6" t="s">
        <v>7926</v>
      </c>
      <c r="AO2387" s="6" t="s">
        <v>19842</v>
      </c>
      <c r="AP2387" s="6" t="s">
        <v>16927</v>
      </c>
      <c r="AQ2387" s="6" t="s">
        <v>81</v>
      </c>
      <c r="AR2387" s="6" t="s">
        <v>18283</v>
      </c>
      <c r="AS2387" s="6" t="s">
        <v>17712</v>
      </c>
      <c r="AT2387" s="6" t="s">
        <v>18444</v>
      </c>
      <c r="AU2387" s="6" t="s">
        <v>19510</v>
      </c>
      <c r="AV2387" s="6" t="s">
        <v>81</v>
      </c>
      <c r="AW2387" s="6" t="s">
        <v>81</v>
      </c>
      <c r="AX2387" s="6" t="s">
        <v>22304</v>
      </c>
      <c r="AY2387" s="6" t="s">
        <v>23401</v>
      </c>
      <c r="AZ2387" s="6" t="s">
        <v>81</v>
      </c>
      <c r="BA2387" s="6" t="s">
        <v>81</v>
      </c>
      <c r="BB2387" s="24" t="n">
        <v>897</v>
      </c>
      <c r="BC2387" s="26"/>
      <c r="BD2387" s="26"/>
      <c r="BE2387" s="26"/>
      <c r="BF2387" s="26" t="s">
        <v>23900</v>
      </c>
      <c r="BG2387" s="26"/>
      <c r="BH2387" s="26"/>
      <c r="BI2387" s="26"/>
      <c r="BJ2387" s="26"/>
      <c r="BK2387" s="26"/>
      <c r="BL2387" s="26"/>
      <c r="BM2387" s="26"/>
      <c r="BN2387" s="26"/>
      <c r="BO2387" s="26"/>
      <c r="BP2387" s="16" t="n">
        <v>45595</v>
      </c>
      <c r="BQ2387" s="28" t="str">
        <f>HYPERLINK("https://organic.ams.usda.gov/Integrity/Certificate.aspx?cid=57&amp;nopid=3252015061")</f>
        <v>https://organic.ams.usda.gov/Integrity/Certificate.aspx?cid=57&amp;nopid=3252015061</v>
      </c>
    </row>
    <row r="2388">
      <c r="A2388" t="s">
        <v>3</v>
      </c>
      <c r="B2388" s="6" t="s">
        <v>13</v>
      </c>
      <c r="C2388" s="6" t="s">
        <v>60</v>
      </c>
      <c r="D2388" s="6" t="s">
        <v>106</v>
      </c>
      <c r="E2388" s="10" t="s">
        <v>2529</v>
      </c>
      <c r="F2388" s="6" t="s">
        <v>5236</v>
      </c>
      <c r="G2388" s="6" t="s">
        <v>81</v>
      </c>
      <c r="H2388" s="6" t="s">
        <v>8068</v>
      </c>
      <c r="I2388" s="6" t="s">
        <v>9526</v>
      </c>
      <c r="J2388" s="6" t="s">
        <v>9665</v>
      </c>
      <c r="K2388" s="6" t="s">
        <v>10886</v>
      </c>
      <c r="L2388" s="16" t="n">
        <v>44901</v>
      </c>
      <c r="M2388" s="16" t="n">
        <v>45839</v>
      </c>
      <c r="N2388" s="6" t="s">
        <v>81</v>
      </c>
      <c r="O2388" s="21" t="s">
        <v>81</v>
      </c>
      <c r="P2388" s="6" t="s">
        <v>81</v>
      </c>
      <c r="Q2388" s="6" t="s">
        <v>81</v>
      </c>
      <c r="R2388" s="6" t="s">
        <v>81</v>
      </c>
      <c r="S2388" s="6" t="s">
        <v>81</v>
      </c>
      <c r="T2388" s="21" t="s">
        <v>81</v>
      </c>
      <c r="U2388" s="6" t="s">
        <v>81</v>
      </c>
      <c r="V2388" s="6" t="s">
        <v>81</v>
      </c>
      <c r="W2388" s="6" t="s">
        <v>81</v>
      </c>
      <c r="X2388" s="6" t="s">
        <v>81</v>
      </c>
      <c r="Y2388" s="21" t="s">
        <v>81</v>
      </c>
      <c r="Z2388" s="6" t="s">
        <v>81</v>
      </c>
      <c r="AA2388" s="6" t="s">
        <v>81</v>
      </c>
      <c r="AB2388" s="6" t="s">
        <v>81</v>
      </c>
      <c r="AC2388" s="6" t="s">
        <v>10886</v>
      </c>
      <c r="AD2388" s="16" t="n">
        <v>44901</v>
      </c>
      <c r="AE2388" s="6" t="s">
        <v>14423</v>
      </c>
      <c r="AF2388" s="6" t="s">
        <v>81</v>
      </c>
      <c r="AG2388" s="6" t="s">
        <v>14595</v>
      </c>
      <c r="AH2388" s="6" t="s">
        <v>16928</v>
      </c>
      <c r="AI2388" s="6" t="s">
        <v>81</v>
      </c>
      <c r="AJ2388" s="6" t="s">
        <v>17426</v>
      </c>
      <c r="AK2388" s="6" t="s">
        <v>18384</v>
      </c>
      <c r="AL2388" s="6" t="s">
        <v>18444</v>
      </c>
      <c r="AM2388" s="6" t="s">
        <v>18583</v>
      </c>
      <c r="AN2388" s="6" t="s">
        <v>19690</v>
      </c>
      <c r="AO2388" s="6" t="s">
        <v>19852</v>
      </c>
      <c r="AP2388" s="6" t="s">
        <v>16928</v>
      </c>
      <c r="AQ2388" s="6" t="s">
        <v>81</v>
      </c>
      <c r="AR2388" s="6" t="s">
        <v>17426</v>
      </c>
      <c r="AS2388" s="6" t="s">
        <v>18384</v>
      </c>
      <c r="AT2388" s="6" t="s">
        <v>18444</v>
      </c>
      <c r="AU2388" s="6" t="s">
        <v>18583</v>
      </c>
      <c r="AV2388" s="6" t="s">
        <v>81</v>
      </c>
      <c r="AW2388" s="6" t="s">
        <v>81</v>
      </c>
      <c r="AX2388" s="6" t="s">
        <v>22305</v>
      </c>
      <c r="AY2388" s="6" t="s">
        <v>81</v>
      </c>
      <c r="AZ2388" s="6" t="s">
        <v>81</v>
      </c>
      <c r="BA2388" s="6" t="s">
        <v>81</v>
      </c>
      <c r="BB2388" s="6" t="s">
        <v>81</v>
      </c>
      <c r="BC2388" s="26"/>
      <c r="BD2388" s="26"/>
      <c r="BE2388" s="26"/>
      <c r="BF2388" s="26" t="s">
        <v>23900</v>
      </c>
      <c r="BG2388" s="26"/>
      <c r="BH2388" s="26"/>
      <c r="BI2388" s="26"/>
      <c r="BJ2388" s="26"/>
      <c r="BK2388" s="26"/>
      <c r="BL2388" s="26" t="s">
        <v>23900</v>
      </c>
      <c r="BM2388" s="26"/>
      <c r="BN2388" s="26"/>
      <c r="BO2388" s="26"/>
      <c r="BP2388" s="16" t="n">
        <v>45705</v>
      </c>
      <c r="BQ2388" s="28" t="str">
        <f>HYPERLINK("https://organic.ams.usda.gov/Integrity/Certificate.aspx?cid=72&amp;nopid=5870106485")</f>
        <v>https://organic.ams.usda.gov/Integrity/Certificate.aspx?cid=72&amp;nopid=5870106485</v>
      </c>
    </row>
    <row r="2389">
      <c r="A2389" t="s">
        <v>3</v>
      </c>
      <c r="B2389" s="6" t="s">
        <v>7</v>
      </c>
      <c r="C2389" s="6" t="s">
        <v>54</v>
      </c>
      <c r="D2389" s="6" t="s">
        <v>100</v>
      </c>
      <c r="E2389" s="10" t="s">
        <v>2530</v>
      </c>
      <c r="F2389" s="6" t="s">
        <v>5237</v>
      </c>
      <c r="G2389" s="6" t="s">
        <v>5854</v>
      </c>
      <c r="H2389" s="6" t="s">
        <v>8069</v>
      </c>
      <c r="I2389" s="6" t="s">
        <v>9527</v>
      </c>
      <c r="J2389" s="6" t="s">
        <v>10733</v>
      </c>
      <c r="K2389" s="6" t="s">
        <v>10886</v>
      </c>
      <c r="L2389" s="16" t="n">
        <v>45505</v>
      </c>
      <c r="M2389" s="16" t="n">
        <v>45672</v>
      </c>
      <c r="N2389" s="6" t="s">
        <v>81</v>
      </c>
      <c r="O2389" s="21" t="s">
        <v>81</v>
      </c>
      <c r="P2389" s="6" t="s">
        <v>81</v>
      </c>
      <c r="Q2389" s="6" t="s">
        <v>81</v>
      </c>
      <c r="R2389" s="6" t="s">
        <v>81</v>
      </c>
      <c r="S2389" s="6" t="s">
        <v>81</v>
      </c>
      <c r="T2389" s="21" t="s">
        <v>81</v>
      </c>
      <c r="U2389" s="6" t="s">
        <v>81</v>
      </c>
      <c r="V2389" s="6" t="s">
        <v>81</v>
      </c>
      <c r="W2389" s="6" t="s">
        <v>81</v>
      </c>
      <c r="X2389" s="6" t="s">
        <v>81</v>
      </c>
      <c r="Y2389" s="21" t="s">
        <v>81</v>
      </c>
      <c r="Z2389" s="6" t="s">
        <v>81</v>
      </c>
      <c r="AA2389" s="6" t="s">
        <v>81</v>
      </c>
      <c r="AB2389" s="6" t="s">
        <v>81</v>
      </c>
      <c r="AC2389" s="6" t="s">
        <v>10886</v>
      </c>
      <c r="AD2389" s="16" t="n">
        <v>45505</v>
      </c>
      <c r="AE2389" s="6" t="s">
        <v>14424</v>
      </c>
      <c r="AF2389" s="6" t="s">
        <v>81</v>
      </c>
      <c r="AG2389" s="6" t="s">
        <v>81</v>
      </c>
      <c r="AH2389" s="6" t="s">
        <v>16929</v>
      </c>
      <c r="AI2389" s="6" t="s">
        <v>81</v>
      </c>
      <c r="AJ2389" s="6" t="s">
        <v>17712</v>
      </c>
      <c r="AK2389" s="6" t="s">
        <v>17712</v>
      </c>
      <c r="AL2389" s="6" t="s">
        <v>18444</v>
      </c>
      <c r="AM2389" s="6" t="s">
        <v>19511</v>
      </c>
      <c r="AN2389" s="6" t="s">
        <v>19700</v>
      </c>
      <c r="AO2389" s="6" t="s">
        <v>19908</v>
      </c>
      <c r="AP2389" s="6" t="s">
        <v>16929</v>
      </c>
      <c r="AQ2389" s="6" t="s">
        <v>81</v>
      </c>
      <c r="AR2389" s="6" t="s">
        <v>17712</v>
      </c>
      <c r="AS2389" s="6" t="s">
        <v>17712</v>
      </c>
      <c r="AT2389" s="6" t="s">
        <v>18444</v>
      </c>
      <c r="AU2389" s="6" t="s">
        <v>19511</v>
      </c>
      <c r="AV2389" s="6" t="s">
        <v>81</v>
      </c>
      <c r="AW2389" s="6" t="s">
        <v>81</v>
      </c>
      <c r="AX2389" s="6" t="s">
        <v>22306</v>
      </c>
      <c r="AY2389" s="6" t="s">
        <v>23402</v>
      </c>
      <c r="AZ2389" s="6" t="s">
        <v>23775</v>
      </c>
      <c r="BA2389" s="6" t="s">
        <v>81</v>
      </c>
      <c r="BB2389" s="24" t="n">
        <v>0</v>
      </c>
      <c r="BC2389" s="26" t="s">
        <v>23900</v>
      </c>
      <c r="BD2389" s="26"/>
      <c r="BE2389" s="26"/>
      <c r="BF2389" s="26"/>
      <c r="BG2389" s="26" t="s">
        <v>23900</v>
      </c>
      <c r="BH2389" s="26"/>
      <c r="BI2389" s="26"/>
      <c r="BJ2389" s="26"/>
      <c r="BK2389" s="26"/>
      <c r="BL2389" s="26"/>
      <c r="BM2389" s="26"/>
      <c r="BN2389" s="26"/>
      <c r="BO2389" s="26"/>
      <c r="BP2389" s="16" t="n">
        <v>45603</v>
      </c>
      <c r="BQ2389" s="28" t="str">
        <f>HYPERLINK("https://organic.ams.usda.gov/Integrity/Certificate.aspx?cid=57&amp;nopid=3252013053")</f>
        <v>https://organic.ams.usda.gov/Integrity/Certificate.aspx?cid=57&amp;nopid=3252013053</v>
      </c>
    </row>
    <row r="2390">
      <c r="A2390" t="s">
        <v>3</v>
      </c>
      <c r="B2390" s="6" t="s">
        <v>32</v>
      </c>
      <c r="C2390" s="6" t="s">
        <v>79</v>
      </c>
      <c r="D2390" s="6" t="s">
        <v>125</v>
      </c>
      <c r="E2390" s="10" t="s">
        <v>2531</v>
      </c>
      <c r="F2390" s="6" t="s">
        <v>5238</v>
      </c>
      <c r="G2390" s="6" t="s">
        <v>81</v>
      </c>
      <c r="H2390" s="6" t="s">
        <v>8070</v>
      </c>
      <c r="I2390" s="6" t="s">
        <v>8807</v>
      </c>
      <c r="J2390" s="6" t="s">
        <v>10734</v>
      </c>
      <c r="K2390" s="6" t="s">
        <v>10886</v>
      </c>
      <c r="L2390" s="16" t="n">
        <v>41480</v>
      </c>
      <c r="M2390" s="16" t="n">
        <v>46082</v>
      </c>
      <c r="N2390" s="6" t="s">
        <v>81</v>
      </c>
      <c r="O2390" s="21" t="s">
        <v>81</v>
      </c>
      <c r="P2390" s="6" t="s">
        <v>81</v>
      </c>
      <c r="Q2390" s="6" t="s">
        <v>81</v>
      </c>
      <c r="R2390" s="6" t="s">
        <v>81</v>
      </c>
      <c r="S2390" s="6" t="s">
        <v>81</v>
      </c>
      <c r="T2390" s="21" t="s">
        <v>81</v>
      </c>
      <c r="U2390" s="6" t="s">
        <v>81</v>
      </c>
      <c r="V2390" s="6" t="s">
        <v>81</v>
      </c>
      <c r="W2390" s="6" t="s">
        <v>81</v>
      </c>
      <c r="X2390" s="6" t="s">
        <v>81</v>
      </c>
      <c r="Y2390" s="21" t="s">
        <v>81</v>
      </c>
      <c r="Z2390" s="6" t="s">
        <v>81</v>
      </c>
      <c r="AA2390" s="6" t="s">
        <v>81</v>
      </c>
      <c r="AB2390" s="6" t="s">
        <v>81</v>
      </c>
      <c r="AC2390" s="6" t="s">
        <v>10886</v>
      </c>
      <c r="AD2390" s="16" t="n">
        <v>41480</v>
      </c>
      <c r="AE2390" s="6" t="s">
        <v>14425</v>
      </c>
      <c r="AF2390" s="6" t="s">
        <v>81</v>
      </c>
      <c r="AG2390" s="6" t="s">
        <v>5606</v>
      </c>
      <c r="AH2390" s="6" t="s">
        <v>16930</v>
      </c>
      <c r="AI2390" s="6" t="s">
        <v>81</v>
      </c>
      <c r="AJ2390" s="6" t="s">
        <v>9853</v>
      </c>
      <c r="AK2390" s="6" t="s">
        <v>18152</v>
      </c>
      <c r="AL2390" s="6" t="s">
        <v>18444</v>
      </c>
      <c r="AM2390" s="6" t="s">
        <v>19512</v>
      </c>
      <c r="AN2390" s="6" t="s">
        <v>81</v>
      </c>
      <c r="AO2390" s="6" t="s">
        <v>81</v>
      </c>
      <c r="AP2390" s="6" t="s">
        <v>16930</v>
      </c>
      <c r="AQ2390" s="6" t="s">
        <v>81</v>
      </c>
      <c r="AR2390" s="6" t="s">
        <v>9853</v>
      </c>
      <c r="AS2390" s="6" t="s">
        <v>18152</v>
      </c>
      <c r="AT2390" s="6" t="s">
        <v>18444</v>
      </c>
      <c r="AU2390" s="6" t="s">
        <v>19512</v>
      </c>
      <c r="AV2390" s="6" t="s">
        <v>19657</v>
      </c>
      <c r="AW2390" s="6" t="s">
        <v>19914</v>
      </c>
      <c r="AX2390" s="6" t="s">
        <v>22307</v>
      </c>
      <c r="AY2390" s="6" t="s">
        <v>23403</v>
      </c>
      <c r="AZ2390" s="6" t="s">
        <v>23776</v>
      </c>
      <c r="BA2390" s="6" t="s">
        <v>81</v>
      </c>
      <c r="BB2390" s="6" t="s">
        <v>81</v>
      </c>
      <c r="BC2390" s="26"/>
      <c r="BD2390" s="26"/>
      <c r="BE2390" s="26" t="s">
        <v>23900</v>
      </c>
      <c r="BF2390" s="26"/>
      <c r="BG2390" s="26"/>
      <c r="BH2390" s="26"/>
      <c r="BI2390" s="26"/>
      <c r="BJ2390" s="26"/>
      <c r="BK2390" s="26"/>
      <c r="BL2390" s="26" t="s">
        <v>23900</v>
      </c>
      <c r="BM2390" s="26"/>
      <c r="BN2390" s="26"/>
      <c r="BO2390" s="26"/>
      <c r="BP2390" s="16" t="n">
        <v>45739</v>
      </c>
      <c r="BQ2390" s="28" t="str">
        <f>HYPERLINK("https://organic.ams.usda.gov/Integrity/Certificate.aspx?cid=82&amp;nopid=2780002787")</f>
        <v>https://organic.ams.usda.gov/Integrity/Certificate.aspx?cid=82&amp;nopid=2780002787</v>
      </c>
    </row>
    <row r="2391">
      <c r="A2391" t="s">
        <v>3</v>
      </c>
      <c r="B2391" s="6" t="s">
        <v>11</v>
      </c>
      <c r="C2391" s="6" t="s">
        <v>58</v>
      </c>
      <c r="D2391" s="6" t="s">
        <v>104</v>
      </c>
      <c r="E2391" s="10" t="s">
        <v>2532</v>
      </c>
      <c r="F2391" s="6" t="s">
        <v>5239</v>
      </c>
      <c r="G2391" s="6" t="s">
        <v>81</v>
      </c>
      <c r="H2391" s="6" t="s">
        <v>81</v>
      </c>
      <c r="I2391" s="6" t="s">
        <v>8509</v>
      </c>
      <c r="J2391" s="6" t="s">
        <v>9949</v>
      </c>
      <c r="K2391" s="6" t="s">
        <v>10886</v>
      </c>
      <c r="L2391" s="16" t="n">
        <v>43231</v>
      </c>
      <c r="M2391" s="16" t="n">
        <v>45748</v>
      </c>
      <c r="N2391" s="6" t="s">
        <v>10886</v>
      </c>
      <c r="O2391" s="16" t="n">
        <v>43231</v>
      </c>
      <c r="P2391" s="6" t="s">
        <v>12236</v>
      </c>
      <c r="Q2391" s="6" t="s">
        <v>81</v>
      </c>
      <c r="R2391" s="6" t="s">
        <v>81</v>
      </c>
      <c r="S2391" s="6" t="s">
        <v>10886</v>
      </c>
      <c r="T2391" s="16" t="n">
        <v>43231</v>
      </c>
      <c r="U2391" s="6" t="s">
        <v>13868</v>
      </c>
      <c r="V2391" s="6" t="s">
        <v>81</v>
      </c>
      <c r="W2391" s="6" t="s">
        <v>81</v>
      </c>
      <c r="X2391" s="6" t="s">
        <v>81</v>
      </c>
      <c r="Y2391" s="21" t="s">
        <v>81</v>
      </c>
      <c r="Z2391" s="6" t="s">
        <v>81</v>
      </c>
      <c r="AA2391" s="6" t="s">
        <v>81</v>
      </c>
      <c r="AB2391" s="6" t="s">
        <v>81</v>
      </c>
      <c r="AC2391" s="6" t="s">
        <v>81</v>
      </c>
      <c r="AD2391" s="21" t="s">
        <v>81</v>
      </c>
      <c r="AE2391" s="6" t="s">
        <v>81</v>
      </c>
      <c r="AF2391" s="6" t="s">
        <v>81</v>
      </c>
      <c r="AG2391" s="6" t="s">
        <v>81</v>
      </c>
      <c r="AH2391" s="6" t="s">
        <v>16931</v>
      </c>
      <c r="AI2391" s="6" t="s">
        <v>81</v>
      </c>
      <c r="AJ2391" s="6" t="s">
        <v>18284</v>
      </c>
      <c r="AK2391" s="6" t="s">
        <v>18377</v>
      </c>
      <c r="AL2391" s="6" t="s">
        <v>18444</v>
      </c>
      <c r="AM2391" s="6" t="s">
        <v>19513</v>
      </c>
      <c r="AN2391" s="6" t="s">
        <v>19657</v>
      </c>
      <c r="AO2391" s="6" t="s">
        <v>19831</v>
      </c>
      <c r="AP2391" s="6" t="s">
        <v>16931</v>
      </c>
      <c r="AQ2391" s="6" t="s">
        <v>81</v>
      </c>
      <c r="AR2391" s="6" t="s">
        <v>18284</v>
      </c>
      <c r="AS2391" s="6" t="s">
        <v>18377</v>
      </c>
      <c r="AT2391" s="6" t="s">
        <v>18444</v>
      </c>
      <c r="AU2391" s="6" t="s">
        <v>19513</v>
      </c>
      <c r="AV2391" s="6" t="s">
        <v>81</v>
      </c>
      <c r="AW2391" s="6" t="s">
        <v>81</v>
      </c>
      <c r="AX2391" s="6" t="s">
        <v>22308</v>
      </c>
      <c r="AY2391" s="6" t="s">
        <v>23404</v>
      </c>
      <c r="AZ2391" s="6" t="s">
        <v>81</v>
      </c>
      <c r="BA2391" s="6" t="s">
        <v>23825</v>
      </c>
      <c r="BB2391" s="24" t="n">
        <v>707</v>
      </c>
      <c r="BC2391" s="26"/>
      <c r="BD2391" s="26"/>
      <c r="BE2391" s="26"/>
      <c r="BF2391" s="26"/>
      <c r="BG2391" s="26"/>
      <c r="BH2391" s="26"/>
      <c r="BI2391" s="26"/>
      <c r="BJ2391" s="26"/>
      <c r="BK2391" s="26"/>
      <c r="BL2391" s="26"/>
      <c r="BM2391" s="26"/>
      <c r="BN2391" s="26"/>
      <c r="BO2391" s="26"/>
      <c r="BP2391" s="16" t="n">
        <v>45737</v>
      </c>
      <c r="BQ2391" s="28" t="str">
        <f>HYPERLINK("https://organic.ams.usda.gov/Integrity/Certificate.aspx?cid=46&amp;nopid=3671800016")</f>
        <v>https://organic.ams.usda.gov/Integrity/Certificate.aspx?cid=46&amp;nopid=3671800016</v>
      </c>
    </row>
    <row r="2392">
      <c r="A2392" t="s">
        <v>3</v>
      </c>
      <c r="B2392" s="6" t="s">
        <v>7</v>
      </c>
      <c r="C2392" s="6" t="s">
        <v>54</v>
      </c>
      <c r="D2392" s="6" t="s">
        <v>100</v>
      </c>
      <c r="E2392" s="10" t="s">
        <v>2533</v>
      </c>
      <c r="F2392" s="6" t="s">
        <v>5240</v>
      </c>
      <c r="G2392" s="6" t="s">
        <v>81</v>
      </c>
      <c r="H2392" s="6" t="s">
        <v>8071</v>
      </c>
      <c r="I2392" s="6" t="s">
        <v>9528</v>
      </c>
      <c r="J2392" s="6" t="s">
        <v>9668</v>
      </c>
      <c r="K2392" s="6" t="s">
        <v>10886</v>
      </c>
      <c r="L2392" s="16" t="n">
        <v>44376</v>
      </c>
      <c r="M2392" s="16" t="n">
        <v>45716</v>
      </c>
      <c r="N2392" s="6" t="s">
        <v>10886</v>
      </c>
      <c r="O2392" s="16" t="n">
        <v>44376</v>
      </c>
      <c r="P2392" s="6" t="s">
        <v>11833</v>
      </c>
      <c r="Q2392" s="6" t="s">
        <v>81</v>
      </c>
      <c r="R2392" s="6" t="s">
        <v>81</v>
      </c>
      <c r="S2392" s="6" t="s">
        <v>10886</v>
      </c>
      <c r="T2392" s="16" t="n">
        <v>44826</v>
      </c>
      <c r="U2392" s="6" t="s">
        <v>13277</v>
      </c>
      <c r="V2392" s="6" t="s">
        <v>81</v>
      </c>
      <c r="W2392" s="6" t="s">
        <v>81</v>
      </c>
      <c r="X2392" s="6" t="s">
        <v>81</v>
      </c>
      <c r="Y2392" s="21" t="s">
        <v>81</v>
      </c>
      <c r="Z2392" s="6" t="s">
        <v>81</v>
      </c>
      <c r="AA2392" s="6" t="s">
        <v>81</v>
      </c>
      <c r="AB2392" s="6" t="s">
        <v>81</v>
      </c>
      <c r="AC2392" s="6" t="s">
        <v>81</v>
      </c>
      <c r="AD2392" s="21" t="s">
        <v>81</v>
      </c>
      <c r="AE2392" s="6" t="s">
        <v>81</v>
      </c>
      <c r="AF2392" s="6" t="s">
        <v>81</v>
      </c>
      <c r="AG2392" s="6" t="s">
        <v>81</v>
      </c>
      <c r="AH2392" s="6" t="s">
        <v>16932</v>
      </c>
      <c r="AI2392" s="6" t="s">
        <v>81</v>
      </c>
      <c r="AJ2392" s="6" t="s">
        <v>17341</v>
      </c>
      <c r="AK2392" s="6" t="s">
        <v>17712</v>
      </c>
      <c r="AL2392" s="6" t="s">
        <v>18444</v>
      </c>
      <c r="AM2392" s="6" t="s">
        <v>18495</v>
      </c>
      <c r="AN2392" s="6" t="s">
        <v>7195</v>
      </c>
      <c r="AO2392" s="6" t="s">
        <v>19735</v>
      </c>
      <c r="AP2392" s="6" t="s">
        <v>16932</v>
      </c>
      <c r="AQ2392" s="6" t="s">
        <v>81</v>
      </c>
      <c r="AR2392" s="6" t="s">
        <v>17341</v>
      </c>
      <c r="AS2392" s="6" t="s">
        <v>17712</v>
      </c>
      <c r="AT2392" s="6" t="s">
        <v>18444</v>
      </c>
      <c r="AU2392" s="6" t="s">
        <v>18495</v>
      </c>
      <c r="AV2392" s="6" t="s">
        <v>81</v>
      </c>
      <c r="AW2392" s="6" t="s">
        <v>81</v>
      </c>
      <c r="AX2392" s="6" t="s">
        <v>22309</v>
      </c>
      <c r="AY2392" s="6" t="s">
        <v>81</v>
      </c>
      <c r="AZ2392" s="6" t="s">
        <v>81</v>
      </c>
      <c r="BA2392" s="6" t="s">
        <v>81</v>
      </c>
      <c r="BB2392" s="24" t="n">
        <v>111</v>
      </c>
      <c r="BC2392" s="26"/>
      <c r="BD2392" s="26"/>
      <c r="BE2392" s="26"/>
      <c r="BF2392" s="26"/>
      <c r="BG2392" s="26"/>
      <c r="BH2392" s="26"/>
      <c r="BI2392" s="26"/>
      <c r="BJ2392" s="26"/>
      <c r="BK2392" s="26"/>
      <c r="BL2392" s="26"/>
      <c r="BM2392" s="26"/>
      <c r="BN2392" s="26"/>
      <c r="BO2392" s="26"/>
      <c r="BP2392" s="16" t="n">
        <v>45681</v>
      </c>
      <c r="BQ2392" s="28" t="str">
        <f>HYPERLINK("https://organic.ams.usda.gov/Integrity/Certificate.aspx?cid=57&amp;nopid=3252021055")</f>
        <v>https://organic.ams.usda.gov/Integrity/Certificate.aspx?cid=57&amp;nopid=3252021055</v>
      </c>
    </row>
    <row r="2393">
      <c r="A2393" t="s">
        <v>3</v>
      </c>
      <c r="B2393" s="6" t="s">
        <v>12</v>
      </c>
      <c r="C2393" s="6" t="s">
        <v>59</v>
      </c>
      <c r="D2393" s="6" t="s">
        <v>105</v>
      </c>
      <c r="E2393" s="10" t="s">
        <v>2534</v>
      </c>
      <c r="F2393" s="6" t="s">
        <v>5241</v>
      </c>
      <c r="G2393" s="6" t="s">
        <v>81</v>
      </c>
      <c r="H2393" s="6" t="s">
        <v>8072</v>
      </c>
      <c r="I2393" s="6" t="s">
        <v>9529</v>
      </c>
      <c r="J2393" s="6" t="s">
        <v>9668</v>
      </c>
      <c r="K2393" s="6" t="s">
        <v>10886</v>
      </c>
      <c r="L2393" s="16" t="n">
        <v>44474</v>
      </c>
      <c r="M2393" s="16" t="n">
        <v>45717</v>
      </c>
      <c r="N2393" s="6" t="s">
        <v>10886</v>
      </c>
      <c r="O2393" s="16" t="n">
        <v>44474</v>
      </c>
      <c r="P2393" s="6" t="s">
        <v>12237</v>
      </c>
      <c r="Q2393" s="6" t="s">
        <v>81</v>
      </c>
      <c r="R2393" s="6" t="s">
        <v>81</v>
      </c>
      <c r="S2393" s="6" t="s">
        <v>10886</v>
      </c>
      <c r="T2393" s="16" t="n">
        <v>44511</v>
      </c>
      <c r="U2393" s="6" t="s">
        <v>13166</v>
      </c>
      <c r="V2393" s="6" t="s">
        <v>81</v>
      </c>
      <c r="W2393" s="6" t="s">
        <v>81</v>
      </c>
      <c r="X2393" s="6" t="s">
        <v>81</v>
      </c>
      <c r="Y2393" s="21" t="s">
        <v>81</v>
      </c>
      <c r="Z2393" s="6" t="s">
        <v>81</v>
      </c>
      <c r="AA2393" s="6" t="s">
        <v>81</v>
      </c>
      <c r="AB2393" s="6" t="s">
        <v>81</v>
      </c>
      <c r="AC2393" s="6" t="s">
        <v>81</v>
      </c>
      <c r="AD2393" s="21" t="s">
        <v>81</v>
      </c>
      <c r="AE2393" s="6" t="s">
        <v>81</v>
      </c>
      <c r="AF2393" s="6" t="s">
        <v>81</v>
      </c>
      <c r="AG2393" s="6" t="s">
        <v>81</v>
      </c>
      <c r="AH2393" s="6" t="s">
        <v>16933</v>
      </c>
      <c r="AI2393" s="6" t="s">
        <v>81</v>
      </c>
      <c r="AJ2393" s="6" t="s">
        <v>17491</v>
      </c>
      <c r="AK2393" s="6" t="s">
        <v>18380</v>
      </c>
      <c r="AL2393" s="6" t="s">
        <v>18444</v>
      </c>
      <c r="AM2393" s="6" t="s">
        <v>18651</v>
      </c>
      <c r="AN2393" s="6" t="s">
        <v>19665</v>
      </c>
      <c r="AO2393" s="6" t="s">
        <v>19755</v>
      </c>
      <c r="AP2393" s="6" t="s">
        <v>16933</v>
      </c>
      <c r="AQ2393" s="6" t="s">
        <v>81</v>
      </c>
      <c r="AR2393" s="6" t="s">
        <v>17491</v>
      </c>
      <c r="AS2393" s="6" t="s">
        <v>18380</v>
      </c>
      <c r="AT2393" s="6" t="s">
        <v>18444</v>
      </c>
      <c r="AU2393" s="6" t="s">
        <v>18651</v>
      </c>
      <c r="AV2393" s="6" t="s">
        <v>81</v>
      </c>
      <c r="AW2393" s="6" t="s">
        <v>81</v>
      </c>
      <c r="AX2393" s="6" t="s">
        <v>81</v>
      </c>
      <c r="AY2393" s="6" t="s">
        <v>81</v>
      </c>
      <c r="AZ2393" s="6" t="s">
        <v>81</v>
      </c>
      <c r="BA2393" s="6" t="s">
        <v>81</v>
      </c>
      <c r="BB2393" s="24" t="n">
        <v>46</v>
      </c>
      <c r="BC2393" s="26"/>
      <c r="BD2393" s="26"/>
      <c r="BE2393" s="26"/>
      <c r="BF2393" s="26"/>
      <c r="BG2393" s="26"/>
      <c r="BH2393" s="26"/>
      <c r="BI2393" s="26"/>
      <c r="BJ2393" s="26"/>
      <c r="BK2393" s="26"/>
      <c r="BL2393" s="26"/>
      <c r="BM2393" s="26"/>
      <c r="BN2393" s="26"/>
      <c r="BO2393" s="26"/>
      <c r="BP2393" s="16" t="n">
        <v>45684</v>
      </c>
      <c r="BQ2393" s="28" t="str">
        <f>HYPERLINK("https://organic.ams.usda.gov/Integrity/Certificate.aspx?cid=68&amp;nopid=8210008250")</f>
        <v>https://organic.ams.usda.gov/Integrity/Certificate.aspx?cid=68&amp;nopid=8210008250</v>
      </c>
    </row>
    <row r="2394">
      <c r="A2394" t="s">
        <v>3</v>
      </c>
      <c r="B2394" s="6" t="s">
        <v>24</v>
      </c>
      <c r="C2394" s="6" t="s">
        <v>71</v>
      </c>
      <c r="D2394" s="6" t="s">
        <v>117</v>
      </c>
      <c r="E2394" s="10" t="s">
        <v>2535</v>
      </c>
      <c r="F2394" s="6" t="s">
        <v>5242</v>
      </c>
      <c r="G2394" s="6" t="s">
        <v>81</v>
      </c>
      <c r="H2394" s="6" t="s">
        <v>81</v>
      </c>
      <c r="I2394" s="6" t="s">
        <v>9530</v>
      </c>
      <c r="J2394" s="6" t="s">
        <v>9713</v>
      </c>
      <c r="K2394" s="6" t="s">
        <v>10886</v>
      </c>
      <c r="L2394" s="16" t="n">
        <v>44607</v>
      </c>
      <c r="M2394" s="16" t="n">
        <v>45963</v>
      </c>
      <c r="N2394" s="6" t="s">
        <v>81</v>
      </c>
      <c r="O2394" s="21" t="s">
        <v>81</v>
      </c>
      <c r="P2394" s="6" t="s">
        <v>81</v>
      </c>
      <c r="Q2394" s="6" t="s">
        <v>81</v>
      </c>
      <c r="R2394" s="6" t="s">
        <v>81</v>
      </c>
      <c r="S2394" s="6" t="s">
        <v>81</v>
      </c>
      <c r="T2394" s="21" t="s">
        <v>81</v>
      </c>
      <c r="U2394" s="6" t="s">
        <v>81</v>
      </c>
      <c r="V2394" s="6" t="s">
        <v>81</v>
      </c>
      <c r="W2394" s="6" t="s">
        <v>81</v>
      </c>
      <c r="X2394" s="6" t="s">
        <v>81</v>
      </c>
      <c r="Y2394" s="21" t="s">
        <v>81</v>
      </c>
      <c r="Z2394" s="6" t="s">
        <v>81</v>
      </c>
      <c r="AA2394" s="6" t="s">
        <v>81</v>
      </c>
      <c r="AB2394" s="6" t="s">
        <v>81</v>
      </c>
      <c r="AC2394" s="6" t="s">
        <v>10886</v>
      </c>
      <c r="AD2394" s="16" t="n">
        <v>44607</v>
      </c>
      <c r="AE2394" s="6" t="s">
        <v>14426</v>
      </c>
      <c r="AF2394" s="6" t="s">
        <v>81</v>
      </c>
      <c r="AG2394" s="6" t="s">
        <v>81</v>
      </c>
      <c r="AH2394" s="6" t="s">
        <v>16934</v>
      </c>
      <c r="AI2394" s="6" t="s">
        <v>81</v>
      </c>
      <c r="AJ2394" s="6" t="s">
        <v>18285</v>
      </c>
      <c r="AK2394" s="6" t="s">
        <v>17712</v>
      </c>
      <c r="AL2394" s="6" t="s">
        <v>18444</v>
      </c>
      <c r="AM2394" s="6" t="s">
        <v>19514</v>
      </c>
      <c r="AN2394" s="6" t="s">
        <v>19665</v>
      </c>
      <c r="AO2394" s="6" t="s">
        <v>19834</v>
      </c>
      <c r="AP2394" s="6" t="s">
        <v>16934</v>
      </c>
      <c r="AQ2394" s="6" t="s">
        <v>81</v>
      </c>
      <c r="AR2394" s="6" t="s">
        <v>18285</v>
      </c>
      <c r="AS2394" s="6" t="s">
        <v>17712</v>
      </c>
      <c r="AT2394" s="6" t="s">
        <v>18444</v>
      </c>
      <c r="AU2394" s="6" t="s">
        <v>19514</v>
      </c>
      <c r="AV2394" s="6" t="s">
        <v>81</v>
      </c>
      <c r="AW2394" s="6" t="s">
        <v>81</v>
      </c>
      <c r="AX2394" s="6" t="s">
        <v>81</v>
      </c>
      <c r="AY2394" s="6" t="s">
        <v>23405</v>
      </c>
      <c r="AZ2394" s="6" t="s">
        <v>81</v>
      </c>
      <c r="BA2394" s="6" t="s">
        <v>81</v>
      </c>
      <c r="BB2394" s="6" t="s">
        <v>81</v>
      </c>
      <c r="BC2394" s="26"/>
      <c r="BD2394" s="26"/>
      <c r="BE2394" s="26"/>
      <c r="BF2394" s="26"/>
      <c r="BG2394" s="26"/>
      <c r="BH2394" s="26"/>
      <c r="BI2394" s="26"/>
      <c r="BJ2394" s="26"/>
      <c r="BK2394" s="26"/>
      <c r="BL2394" s="26"/>
      <c r="BM2394" s="26"/>
      <c r="BN2394" s="26"/>
      <c r="BO2394" s="26"/>
      <c r="BP2394" s="16" t="n">
        <v>45628</v>
      </c>
      <c r="BQ2394" s="28" t="str">
        <f>HYPERLINK("https://organic.ams.usda.gov/Integrity/Certificate.aspx?cid=1&amp;nopid=9092134802")</f>
        <v>https://organic.ams.usda.gov/Integrity/Certificate.aspx?cid=1&amp;nopid=9092134802</v>
      </c>
    </row>
    <row r="2395">
      <c r="A2395" t="s">
        <v>3</v>
      </c>
      <c r="B2395" s="6" t="s">
        <v>8</v>
      </c>
      <c r="C2395" s="6" t="s">
        <v>55</v>
      </c>
      <c r="D2395" s="6" t="s">
        <v>101</v>
      </c>
      <c r="E2395" s="10" t="s">
        <v>2536</v>
      </c>
      <c r="F2395" s="6" t="s">
        <v>5243</v>
      </c>
      <c r="G2395" s="6" t="s">
        <v>81</v>
      </c>
      <c r="H2395" s="6" t="s">
        <v>8073</v>
      </c>
      <c r="I2395" s="6" t="s">
        <v>9385</v>
      </c>
      <c r="J2395" s="6" t="s">
        <v>10735</v>
      </c>
      <c r="K2395" s="6" t="s">
        <v>10886</v>
      </c>
      <c r="L2395" s="16" t="n">
        <v>44490</v>
      </c>
      <c r="M2395" s="16" t="n">
        <v>45748</v>
      </c>
      <c r="N2395" s="6" t="s">
        <v>10886</v>
      </c>
      <c r="O2395" s="16" t="n">
        <v>44490</v>
      </c>
      <c r="P2395" s="6" t="s">
        <v>12238</v>
      </c>
      <c r="Q2395" s="6" t="s">
        <v>81</v>
      </c>
      <c r="R2395" s="6" t="s">
        <v>8073</v>
      </c>
      <c r="S2395" s="6" t="s">
        <v>10886</v>
      </c>
      <c r="T2395" s="16" t="n">
        <v>44490</v>
      </c>
      <c r="U2395" s="6" t="s">
        <v>13869</v>
      </c>
      <c r="V2395" s="6" t="s">
        <v>81</v>
      </c>
      <c r="W2395" s="6" t="s">
        <v>8073</v>
      </c>
      <c r="X2395" s="6" t="s">
        <v>81</v>
      </c>
      <c r="Y2395" s="21" t="s">
        <v>81</v>
      </c>
      <c r="Z2395" s="6" t="s">
        <v>81</v>
      </c>
      <c r="AA2395" s="6" t="s">
        <v>81</v>
      </c>
      <c r="AB2395" s="6" t="s">
        <v>81</v>
      </c>
      <c r="AC2395" s="6" t="s">
        <v>81</v>
      </c>
      <c r="AD2395" s="21" t="s">
        <v>81</v>
      </c>
      <c r="AE2395" s="6" t="s">
        <v>81</v>
      </c>
      <c r="AF2395" s="6" t="s">
        <v>81</v>
      </c>
      <c r="AG2395" s="6" t="s">
        <v>81</v>
      </c>
      <c r="AH2395" s="6" t="s">
        <v>16935</v>
      </c>
      <c r="AI2395" s="6" t="s">
        <v>81</v>
      </c>
      <c r="AJ2395" s="6" t="s">
        <v>18286</v>
      </c>
      <c r="AK2395" s="6" t="s">
        <v>18377</v>
      </c>
      <c r="AL2395" s="6" t="s">
        <v>18444</v>
      </c>
      <c r="AM2395" s="6" t="s">
        <v>19515</v>
      </c>
      <c r="AN2395" s="6" t="s">
        <v>6842</v>
      </c>
      <c r="AO2395" s="6" t="s">
        <v>19788</v>
      </c>
      <c r="AP2395" s="6" t="s">
        <v>81</v>
      </c>
      <c r="AQ2395" s="6" t="s">
        <v>81</v>
      </c>
      <c r="AR2395" s="6" t="s">
        <v>81</v>
      </c>
      <c r="AS2395" s="6" t="s">
        <v>81</v>
      </c>
      <c r="AT2395" s="6" t="s">
        <v>81</v>
      </c>
      <c r="AU2395" s="6" t="s">
        <v>81</v>
      </c>
      <c r="AV2395" s="6" t="s">
        <v>81</v>
      </c>
      <c r="AW2395" s="6" t="s">
        <v>81</v>
      </c>
      <c r="AX2395" s="6" t="s">
        <v>81</v>
      </c>
      <c r="AY2395" s="6" t="s">
        <v>23406</v>
      </c>
      <c r="AZ2395" s="6" t="s">
        <v>81</v>
      </c>
      <c r="BA2395" s="6" t="s">
        <v>23819</v>
      </c>
      <c r="BB2395" s="24" t="n">
        <v>240</v>
      </c>
      <c r="BC2395" s="26"/>
      <c r="BD2395" s="26"/>
      <c r="BE2395" s="26"/>
      <c r="BF2395" s="26" t="s">
        <v>23900</v>
      </c>
      <c r="BG2395" s="26"/>
      <c r="BH2395" s="26"/>
      <c r="BI2395" s="26"/>
      <c r="BJ2395" s="26"/>
      <c r="BK2395" s="26"/>
      <c r="BL2395" s="26"/>
      <c r="BM2395" s="26"/>
      <c r="BN2395" s="26"/>
      <c r="BO2395" s="26"/>
      <c r="BP2395" s="16" t="n">
        <v>45671</v>
      </c>
      <c r="BQ2395" s="28" t="str">
        <f>HYPERLINK("https://organic.ams.usda.gov/Integrity/Certificate.aspx?cid=45&amp;nopid=9950010526")</f>
        <v>https://organic.ams.usda.gov/Integrity/Certificate.aspx?cid=45&amp;nopid=9950010526</v>
      </c>
    </row>
    <row r="2396">
      <c r="A2396" t="s">
        <v>3</v>
      </c>
      <c r="B2396" s="6" t="s">
        <v>12</v>
      </c>
      <c r="C2396" s="6" t="s">
        <v>59</v>
      </c>
      <c r="D2396" s="6" t="s">
        <v>105</v>
      </c>
      <c r="E2396" s="10" t="s">
        <v>2537</v>
      </c>
      <c r="F2396" s="6" t="s">
        <v>5244</v>
      </c>
      <c r="G2396" s="6" t="s">
        <v>81</v>
      </c>
      <c r="H2396" s="6" t="s">
        <v>8074</v>
      </c>
      <c r="I2396" s="6" t="s">
        <v>8651</v>
      </c>
      <c r="J2396" s="6" t="s">
        <v>9675</v>
      </c>
      <c r="K2396" s="6" t="s">
        <v>10886</v>
      </c>
      <c r="L2396" s="16" t="n">
        <v>44091</v>
      </c>
      <c r="M2396" s="16" t="n">
        <v>45717</v>
      </c>
      <c r="N2396" s="6" t="s">
        <v>81</v>
      </c>
      <c r="O2396" s="21" t="s">
        <v>81</v>
      </c>
      <c r="P2396" s="6" t="s">
        <v>81</v>
      </c>
      <c r="Q2396" s="6" t="s">
        <v>81</v>
      </c>
      <c r="R2396" s="6" t="s">
        <v>81</v>
      </c>
      <c r="S2396" s="6" t="s">
        <v>81</v>
      </c>
      <c r="T2396" s="21" t="s">
        <v>81</v>
      </c>
      <c r="U2396" s="6" t="s">
        <v>81</v>
      </c>
      <c r="V2396" s="6" t="s">
        <v>81</v>
      </c>
      <c r="W2396" s="6" t="s">
        <v>81</v>
      </c>
      <c r="X2396" s="6" t="s">
        <v>81</v>
      </c>
      <c r="Y2396" s="21" t="s">
        <v>81</v>
      </c>
      <c r="Z2396" s="6" t="s">
        <v>81</v>
      </c>
      <c r="AA2396" s="6" t="s">
        <v>81</v>
      </c>
      <c r="AB2396" s="6" t="s">
        <v>81</v>
      </c>
      <c r="AC2396" s="6" t="s">
        <v>10886</v>
      </c>
      <c r="AD2396" s="16" t="n">
        <v>44091</v>
      </c>
      <c r="AE2396" s="6" t="s">
        <v>14427</v>
      </c>
      <c r="AF2396" s="6" t="s">
        <v>81</v>
      </c>
      <c r="AG2396" s="6" t="s">
        <v>81</v>
      </c>
      <c r="AH2396" s="6" t="s">
        <v>16936</v>
      </c>
      <c r="AI2396" s="6" t="s">
        <v>81</v>
      </c>
      <c r="AJ2396" s="6" t="s">
        <v>17591</v>
      </c>
      <c r="AK2396" s="6" t="s">
        <v>18380</v>
      </c>
      <c r="AL2396" s="6" t="s">
        <v>18444</v>
      </c>
      <c r="AM2396" s="6" t="s">
        <v>18756</v>
      </c>
      <c r="AN2396" s="6" t="s">
        <v>6132</v>
      </c>
      <c r="AO2396" s="6" t="s">
        <v>19751</v>
      </c>
      <c r="AP2396" s="6" t="s">
        <v>20427</v>
      </c>
      <c r="AQ2396" s="6" t="s">
        <v>81</v>
      </c>
      <c r="AR2396" s="6" t="s">
        <v>20578</v>
      </c>
      <c r="AS2396" s="6" t="s">
        <v>18378</v>
      </c>
      <c r="AT2396" s="6" t="s">
        <v>18444</v>
      </c>
      <c r="AU2396" s="6" t="s">
        <v>20703</v>
      </c>
      <c r="AV2396" s="6" t="s">
        <v>81</v>
      </c>
      <c r="AW2396" s="6" t="s">
        <v>81</v>
      </c>
      <c r="AX2396" s="6" t="s">
        <v>22310</v>
      </c>
      <c r="AY2396" s="6" t="s">
        <v>23407</v>
      </c>
      <c r="AZ2396" s="6" t="s">
        <v>81</v>
      </c>
      <c r="BA2396" s="6" t="s">
        <v>81</v>
      </c>
      <c r="BB2396" s="6" t="s">
        <v>81</v>
      </c>
      <c r="BC2396" s="26"/>
      <c r="BD2396" s="26"/>
      <c r="BE2396" s="26"/>
      <c r="BF2396" s="26"/>
      <c r="BG2396" s="26"/>
      <c r="BH2396" s="26"/>
      <c r="BI2396" s="26"/>
      <c r="BJ2396" s="26"/>
      <c r="BK2396" s="26"/>
      <c r="BL2396" s="26"/>
      <c r="BM2396" s="26"/>
      <c r="BN2396" s="26"/>
      <c r="BO2396" s="26"/>
      <c r="BP2396" s="16" t="n">
        <v>45699</v>
      </c>
      <c r="BQ2396" s="28" t="str">
        <f>HYPERLINK("https://organic.ams.usda.gov/Integrity/Certificate.aspx?cid=68&amp;nopid=8210007525")</f>
        <v>https://organic.ams.usda.gov/Integrity/Certificate.aspx?cid=68&amp;nopid=8210007525</v>
      </c>
    </row>
    <row r="2397">
      <c r="A2397" t="s">
        <v>3</v>
      </c>
      <c r="B2397" s="6" t="s">
        <v>12</v>
      </c>
      <c r="C2397" s="6" t="s">
        <v>59</v>
      </c>
      <c r="D2397" s="6" t="s">
        <v>105</v>
      </c>
      <c r="E2397" s="10" t="s">
        <v>2538</v>
      </c>
      <c r="F2397" s="6" t="s">
        <v>5245</v>
      </c>
      <c r="G2397" s="6" t="s">
        <v>81</v>
      </c>
      <c r="H2397" s="6" t="s">
        <v>8075</v>
      </c>
      <c r="I2397" s="6" t="s">
        <v>9531</v>
      </c>
      <c r="J2397" s="6" t="s">
        <v>10736</v>
      </c>
      <c r="K2397" s="6" t="s">
        <v>10886</v>
      </c>
      <c r="L2397" s="16" t="n">
        <v>43262</v>
      </c>
      <c r="M2397" s="16" t="n">
        <v>45717</v>
      </c>
      <c r="N2397" s="6" t="s">
        <v>10886</v>
      </c>
      <c r="O2397" s="16" t="n">
        <v>43262</v>
      </c>
      <c r="P2397" s="6" t="s">
        <v>11031</v>
      </c>
      <c r="Q2397" s="6" t="s">
        <v>81</v>
      </c>
      <c r="R2397" s="6" t="s">
        <v>81</v>
      </c>
      <c r="S2397" s="6" t="s">
        <v>10886</v>
      </c>
      <c r="T2397" s="16" t="n">
        <v>43262</v>
      </c>
      <c r="U2397" s="6" t="s">
        <v>13624</v>
      </c>
      <c r="V2397" s="6" t="s">
        <v>81</v>
      </c>
      <c r="W2397" s="6" t="s">
        <v>81</v>
      </c>
      <c r="X2397" s="6" t="s">
        <v>81</v>
      </c>
      <c r="Y2397" s="21" t="s">
        <v>81</v>
      </c>
      <c r="Z2397" s="6" t="s">
        <v>81</v>
      </c>
      <c r="AA2397" s="6" t="s">
        <v>81</v>
      </c>
      <c r="AB2397" s="6" t="s">
        <v>81</v>
      </c>
      <c r="AC2397" s="6" t="s">
        <v>81</v>
      </c>
      <c r="AD2397" s="21" t="s">
        <v>81</v>
      </c>
      <c r="AE2397" s="6" t="s">
        <v>81</v>
      </c>
      <c r="AF2397" s="6" t="s">
        <v>81</v>
      </c>
      <c r="AG2397" s="6" t="s">
        <v>81</v>
      </c>
      <c r="AH2397" s="6" t="s">
        <v>16937</v>
      </c>
      <c r="AI2397" s="6" t="s">
        <v>81</v>
      </c>
      <c r="AJ2397" s="6" t="s">
        <v>18287</v>
      </c>
      <c r="AK2397" s="6" t="s">
        <v>17712</v>
      </c>
      <c r="AL2397" s="6" t="s">
        <v>18444</v>
      </c>
      <c r="AM2397" s="6" t="s">
        <v>19516</v>
      </c>
      <c r="AN2397" s="6" t="s">
        <v>19693</v>
      </c>
      <c r="AO2397" s="6" t="s">
        <v>19858</v>
      </c>
      <c r="AP2397" s="6" t="s">
        <v>20147</v>
      </c>
      <c r="AQ2397" s="6" t="s">
        <v>81</v>
      </c>
      <c r="AR2397" s="6" t="s">
        <v>20509</v>
      </c>
      <c r="AS2397" s="6" t="s">
        <v>17712</v>
      </c>
      <c r="AT2397" s="6" t="s">
        <v>18444</v>
      </c>
      <c r="AU2397" s="6" t="s">
        <v>20619</v>
      </c>
      <c r="AV2397" s="6" t="s">
        <v>81</v>
      </c>
      <c r="AW2397" s="6" t="s">
        <v>81</v>
      </c>
      <c r="AX2397" s="6" t="s">
        <v>22311</v>
      </c>
      <c r="AY2397" s="6" t="s">
        <v>22710</v>
      </c>
      <c r="AZ2397" s="6" t="s">
        <v>81</v>
      </c>
      <c r="BA2397" s="6" t="s">
        <v>81</v>
      </c>
      <c r="BB2397" s="24" t="n">
        <v>245</v>
      </c>
      <c r="BC2397" s="26"/>
      <c r="BD2397" s="26"/>
      <c r="BE2397" s="26"/>
      <c r="BF2397" s="26"/>
      <c r="BG2397" s="26"/>
      <c r="BH2397" s="26"/>
      <c r="BI2397" s="26"/>
      <c r="BJ2397" s="26"/>
      <c r="BK2397" s="26"/>
      <c r="BL2397" s="26"/>
      <c r="BM2397" s="26"/>
      <c r="BN2397" s="26"/>
      <c r="BO2397" s="26"/>
      <c r="BP2397" s="16" t="n">
        <v>45684</v>
      </c>
      <c r="BQ2397" s="28" t="str">
        <f>HYPERLINK("https://organic.ams.usda.gov/Integrity/Certificate.aspx?cid=68&amp;nopid=8210006299")</f>
        <v>https://organic.ams.usda.gov/Integrity/Certificate.aspx?cid=68&amp;nopid=8210006299</v>
      </c>
    </row>
    <row r="2398">
      <c r="A2398" t="s">
        <v>3</v>
      </c>
      <c r="B2398" s="6" t="s">
        <v>25</v>
      </c>
      <c r="C2398" s="6" t="s">
        <v>72</v>
      </c>
      <c r="D2398" s="6" t="s">
        <v>118</v>
      </c>
      <c r="E2398" s="10" t="s">
        <v>2539</v>
      </c>
      <c r="F2398" s="6" t="s">
        <v>5246</v>
      </c>
      <c r="G2398" s="6" t="s">
        <v>81</v>
      </c>
      <c r="H2398" s="6" t="s">
        <v>8076</v>
      </c>
      <c r="I2398" s="6" t="s">
        <v>9532</v>
      </c>
      <c r="J2398" s="6" t="s">
        <v>10128</v>
      </c>
      <c r="K2398" s="6" t="s">
        <v>10886</v>
      </c>
      <c r="L2398" s="16" t="n">
        <v>41178</v>
      </c>
      <c r="M2398" s="16" t="n">
        <v>46023</v>
      </c>
      <c r="N2398" s="6" t="s">
        <v>10886</v>
      </c>
      <c r="O2398" s="16" t="n">
        <v>41178</v>
      </c>
      <c r="P2398" s="6" t="s">
        <v>11031</v>
      </c>
      <c r="Q2398" s="6" t="s">
        <v>81</v>
      </c>
      <c r="R2398" s="6" t="s">
        <v>81</v>
      </c>
      <c r="S2398" s="6" t="s">
        <v>10886</v>
      </c>
      <c r="T2398" s="16" t="n">
        <v>41178</v>
      </c>
      <c r="U2398" s="6" t="s">
        <v>13870</v>
      </c>
      <c r="V2398" s="6" t="s">
        <v>81</v>
      </c>
      <c r="W2398" s="6" t="s">
        <v>81</v>
      </c>
      <c r="X2398" s="6" t="s">
        <v>81</v>
      </c>
      <c r="Y2398" s="21" t="s">
        <v>81</v>
      </c>
      <c r="Z2398" s="6" t="s">
        <v>81</v>
      </c>
      <c r="AA2398" s="6" t="s">
        <v>81</v>
      </c>
      <c r="AB2398" s="6" t="s">
        <v>81</v>
      </c>
      <c r="AC2398" s="6" t="s">
        <v>10886</v>
      </c>
      <c r="AD2398" s="16" t="n">
        <v>44734</v>
      </c>
      <c r="AE2398" s="6" t="s">
        <v>14081</v>
      </c>
      <c r="AF2398" s="6" t="s">
        <v>81</v>
      </c>
      <c r="AG2398" s="6" t="s">
        <v>81</v>
      </c>
      <c r="AH2398" s="6" t="s">
        <v>16938</v>
      </c>
      <c r="AI2398" s="6" t="s">
        <v>81</v>
      </c>
      <c r="AJ2398" s="6" t="s">
        <v>17710</v>
      </c>
      <c r="AK2398" s="6" t="s">
        <v>18386</v>
      </c>
      <c r="AL2398" s="6" t="s">
        <v>18444</v>
      </c>
      <c r="AM2398" s="6" t="s">
        <v>18657</v>
      </c>
      <c r="AN2398" s="6" t="s">
        <v>19674</v>
      </c>
      <c r="AO2398" s="6" t="s">
        <v>19803</v>
      </c>
      <c r="AP2398" s="6" t="s">
        <v>16938</v>
      </c>
      <c r="AQ2398" s="6" t="s">
        <v>81</v>
      </c>
      <c r="AR2398" s="6" t="s">
        <v>17710</v>
      </c>
      <c r="AS2398" s="6" t="s">
        <v>18386</v>
      </c>
      <c r="AT2398" s="6" t="s">
        <v>18444</v>
      </c>
      <c r="AU2398" s="6" t="s">
        <v>18657</v>
      </c>
      <c r="AV2398" s="6" t="s">
        <v>81</v>
      </c>
      <c r="AW2398" s="6" t="s">
        <v>81</v>
      </c>
      <c r="AX2398" s="6" t="s">
        <v>22312</v>
      </c>
      <c r="AY2398" s="6" t="s">
        <v>23408</v>
      </c>
      <c r="AZ2398" s="6" t="s">
        <v>81</v>
      </c>
      <c r="BA2398" s="6" t="s">
        <v>23827</v>
      </c>
      <c r="BB2398" s="24" t="n">
        <v>950</v>
      </c>
      <c r="BC2398" s="26"/>
      <c r="BD2398" s="26"/>
      <c r="BE2398" s="26"/>
      <c r="BF2398" s="26" t="s">
        <v>23900</v>
      </c>
      <c r="BG2398" s="26"/>
      <c r="BH2398" s="26"/>
      <c r="BI2398" s="26"/>
      <c r="BJ2398" s="26"/>
      <c r="BK2398" s="26"/>
      <c r="BL2398" s="26"/>
      <c r="BM2398" s="26"/>
      <c r="BN2398" s="26"/>
      <c r="BO2398" s="26"/>
      <c r="BP2398" s="16" t="n">
        <v>45688</v>
      </c>
      <c r="BQ2398" s="28" t="str">
        <f>HYPERLINK("https://organic.ams.usda.gov/Integrity/Certificate.aspx?cid=15&amp;nopid=5561001398")</f>
        <v>https://organic.ams.usda.gov/Integrity/Certificate.aspx?cid=15&amp;nopid=5561001398</v>
      </c>
    </row>
    <row r="2399">
      <c r="A2399" t="s">
        <v>3</v>
      </c>
      <c r="B2399" s="6" t="s">
        <v>23</v>
      </c>
      <c r="C2399" s="6" t="s">
        <v>70</v>
      </c>
      <c r="D2399" s="6" t="s">
        <v>116</v>
      </c>
      <c r="E2399" s="10" t="s">
        <v>2540</v>
      </c>
      <c r="F2399" s="6" t="s">
        <v>5247</v>
      </c>
      <c r="G2399" s="6" t="s">
        <v>81</v>
      </c>
      <c r="H2399" s="6" t="s">
        <v>8077</v>
      </c>
      <c r="I2399" s="6" t="s">
        <v>8961</v>
      </c>
      <c r="J2399" s="6" t="s">
        <v>10128</v>
      </c>
      <c r="K2399" s="6" t="s">
        <v>10886</v>
      </c>
      <c r="L2399" s="16" t="n">
        <v>41360</v>
      </c>
      <c r="M2399" s="16" t="n">
        <v>45743</v>
      </c>
      <c r="N2399" s="6" t="s">
        <v>10886</v>
      </c>
      <c r="O2399" s="16" t="n">
        <v>41360</v>
      </c>
      <c r="P2399" s="6" t="s">
        <v>12239</v>
      </c>
      <c r="Q2399" s="6" t="s">
        <v>81</v>
      </c>
      <c r="R2399" s="6" t="s">
        <v>13076</v>
      </c>
      <c r="S2399" s="6" t="s">
        <v>10886</v>
      </c>
      <c r="T2399" s="16" t="n">
        <v>41360</v>
      </c>
      <c r="U2399" s="6" t="s">
        <v>13871</v>
      </c>
      <c r="V2399" s="6" t="s">
        <v>81</v>
      </c>
      <c r="W2399" s="6" t="s">
        <v>13076</v>
      </c>
      <c r="X2399" s="6" t="s">
        <v>81</v>
      </c>
      <c r="Y2399" s="21" t="s">
        <v>81</v>
      </c>
      <c r="Z2399" s="6" t="s">
        <v>81</v>
      </c>
      <c r="AA2399" s="6" t="s">
        <v>81</v>
      </c>
      <c r="AB2399" s="6" t="s">
        <v>81</v>
      </c>
      <c r="AC2399" s="6" t="s">
        <v>81</v>
      </c>
      <c r="AD2399" s="21" t="s">
        <v>81</v>
      </c>
      <c r="AE2399" s="6" t="s">
        <v>81</v>
      </c>
      <c r="AF2399" s="6" t="s">
        <v>81</v>
      </c>
      <c r="AG2399" s="6" t="s">
        <v>81</v>
      </c>
      <c r="AH2399" s="6" t="s">
        <v>16939</v>
      </c>
      <c r="AI2399" s="6" t="s">
        <v>81</v>
      </c>
      <c r="AJ2399" s="6" t="s">
        <v>17954</v>
      </c>
      <c r="AK2399" s="6" t="s">
        <v>18386</v>
      </c>
      <c r="AL2399" s="6" t="s">
        <v>18444</v>
      </c>
      <c r="AM2399" s="6" t="s">
        <v>18760</v>
      </c>
      <c r="AN2399" s="6" t="s">
        <v>81</v>
      </c>
      <c r="AO2399" s="6" t="s">
        <v>81</v>
      </c>
      <c r="AP2399" s="6" t="s">
        <v>16939</v>
      </c>
      <c r="AQ2399" s="6" t="s">
        <v>81</v>
      </c>
      <c r="AR2399" s="6" t="s">
        <v>17954</v>
      </c>
      <c r="AS2399" s="6" t="s">
        <v>18386</v>
      </c>
      <c r="AT2399" s="6" t="s">
        <v>18444</v>
      </c>
      <c r="AU2399" s="6" t="s">
        <v>18760</v>
      </c>
      <c r="AV2399" s="6" t="s">
        <v>19672</v>
      </c>
      <c r="AW2399" s="6" t="s">
        <v>19787</v>
      </c>
      <c r="AX2399" s="6" t="s">
        <v>21536</v>
      </c>
      <c r="AY2399" s="6" t="s">
        <v>23409</v>
      </c>
      <c r="AZ2399" s="6" t="s">
        <v>81</v>
      </c>
      <c r="BA2399" s="6" t="s">
        <v>81</v>
      </c>
      <c r="BB2399" s="24" t="n">
        <v>4321</v>
      </c>
      <c r="BC2399" s="26"/>
      <c r="BD2399" s="26"/>
      <c r="BE2399" s="26"/>
      <c r="BF2399" s="26"/>
      <c r="BG2399" s="26"/>
      <c r="BH2399" s="26"/>
      <c r="BI2399" s="26"/>
      <c r="BJ2399" s="26"/>
      <c r="BK2399" s="26"/>
      <c r="BL2399" s="26"/>
      <c r="BM2399" s="26"/>
      <c r="BN2399" s="26"/>
      <c r="BO2399" s="26"/>
      <c r="BP2399" s="16" t="n">
        <v>45729</v>
      </c>
      <c r="BQ2399" s="28" t="str">
        <f>HYPERLINK("https://organic.ams.usda.gov/Integrity/Certificate.aspx?cid=63&amp;nopid=6220005883")</f>
        <v>https://organic.ams.usda.gov/Integrity/Certificate.aspx?cid=63&amp;nopid=6220005883</v>
      </c>
    </row>
    <row r="2400">
      <c r="A2400" t="s">
        <v>3</v>
      </c>
      <c r="B2400" s="6" t="s">
        <v>8</v>
      </c>
      <c r="C2400" s="6" t="s">
        <v>55</v>
      </c>
      <c r="D2400" s="6" t="s">
        <v>101</v>
      </c>
      <c r="E2400" s="10" t="s">
        <v>2541</v>
      </c>
      <c r="F2400" s="6" t="s">
        <v>5248</v>
      </c>
      <c r="G2400" s="6" t="s">
        <v>81</v>
      </c>
      <c r="H2400" s="6" t="s">
        <v>8078</v>
      </c>
      <c r="I2400" s="6" t="s">
        <v>8713</v>
      </c>
      <c r="J2400" s="6" t="s">
        <v>10737</v>
      </c>
      <c r="K2400" s="6" t="s">
        <v>10886</v>
      </c>
      <c r="L2400" s="16" t="n">
        <v>43357</v>
      </c>
      <c r="M2400" s="16" t="n">
        <v>45748</v>
      </c>
      <c r="N2400" s="6" t="s">
        <v>10886</v>
      </c>
      <c r="O2400" s="16" t="n">
        <v>43357</v>
      </c>
      <c r="P2400" s="6" t="s">
        <v>12240</v>
      </c>
      <c r="Q2400" s="6" t="s">
        <v>81</v>
      </c>
      <c r="R2400" s="6" t="s">
        <v>8078</v>
      </c>
      <c r="S2400" s="6" t="s">
        <v>10886</v>
      </c>
      <c r="T2400" s="16" t="n">
        <v>43357</v>
      </c>
      <c r="U2400" s="6" t="s">
        <v>13501</v>
      </c>
      <c r="V2400" s="6" t="s">
        <v>81</v>
      </c>
      <c r="W2400" s="6" t="s">
        <v>8078</v>
      </c>
      <c r="X2400" s="6" t="s">
        <v>81</v>
      </c>
      <c r="Y2400" s="21" t="s">
        <v>81</v>
      </c>
      <c r="Z2400" s="6" t="s">
        <v>81</v>
      </c>
      <c r="AA2400" s="6" t="s">
        <v>81</v>
      </c>
      <c r="AB2400" s="6" t="s">
        <v>81</v>
      </c>
      <c r="AC2400" s="6" t="s">
        <v>81</v>
      </c>
      <c r="AD2400" s="21" t="s">
        <v>81</v>
      </c>
      <c r="AE2400" s="6" t="s">
        <v>81</v>
      </c>
      <c r="AF2400" s="6" t="s">
        <v>81</v>
      </c>
      <c r="AG2400" s="6" t="s">
        <v>81</v>
      </c>
      <c r="AH2400" s="6" t="s">
        <v>16940</v>
      </c>
      <c r="AI2400" s="6" t="s">
        <v>81</v>
      </c>
      <c r="AJ2400" s="6" t="s">
        <v>18288</v>
      </c>
      <c r="AK2400" s="6" t="s">
        <v>18391</v>
      </c>
      <c r="AL2400" s="6" t="s">
        <v>18444</v>
      </c>
      <c r="AM2400" s="6" t="s">
        <v>19517</v>
      </c>
      <c r="AN2400" s="6" t="s">
        <v>19648</v>
      </c>
      <c r="AO2400" s="6" t="s">
        <v>19973</v>
      </c>
      <c r="AP2400" s="6" t="s">
        <v>81</v>
      </c>
      <c r="AQ2400" s="6" t="s">
        <v>81</v>
      </c>
      <c r="AR2400" s="6" t="s">
        <v>81</v>
      </c>
      <c r="AS2400" s="6" t="s">
        <v>81</v>
      </c>
      <c r="AT2400" s="6" t="s">
        <v>81</v>
      </c>
      <c r="AU2400" s="6" t="s">
        <v>81</v>
      </c>
      <c r="AV2400" s="6" t="s">
        <v>81</v>
      </c>
      <c r="AW2400" s="6" t="s">
        <v>81</v>
      </c>
      <c r="AX2400" s="6" t="s">
        <v>81</v>
      </c>
      <c r="AY2400" s="6" t="s">
        <v>23410</v>
      </c>
      <c r="AZ2400" s="6" t="s">
        <v>81</v>
      </c>
      <c r="BA2400" s="6" t="s">
        <v>23819</v>
      </c>
      <c r="BB2400" s="24" t="n">
        <v>1948</v>
      </c>
      <c r="BC2400" s="26"/>
      <c r="BD2400" s="26"/>
      <c r="BE2400" s="26"/>
      <c r="BF2400" s="26"/>
      <c r="BG2400" s="26"/>
      <c r="BH2400" s="26"/>
      <c r="BI2400" s="26"/>
      <c r="BJ2400" s="26"/>
      <c r="BK2400" s="26"/>
      <c r="BL2400" s="26"/>
      <c r="BM2400" s="26"/>
      <c r="BN2400" s="26"/>
      <c r="BO2400" s="26"/>
      <c r="BP2400" s="16" t="n">
        <v>45573</v>
      </c>
      <c r="BQ2400" s="28" t="str">
        <f>HYPERLINK("https://organic.ams.usda.gov/Integrity/Certificate.aspx?cid=45&amp;nopid=9950008803")</f>
        <v>https://organic.ams.usda.gov/Integrity/Certificate.aspx?cid=45&amp;nopid=9950008803</v>
      </c>
    </row>
    <row r="2401">
      <c r="A2401" t="s">
        <v>3</v>
      </c>
      <c r="B2401" s="6" t="s">
        <v>8</v>
      </c>
      <c r="C2401" s="6" t="s">
        <v>55</v>
      </c>
      <c r="D2401" s="6" t="s">
        <v>101</v>
      </c>
      <c r="E2401" s="10" t="s">
        <v>2542</v>
      </c>
      <c r="F2401" s="6" t="s">
        <v>5249</v>
      </c>
      <c r="G2401" s="6" t="s">
        <v>81</v>
      </c>
      <c r="H2401" s="6" t="s">
        <v>7414</v>
      </c>
      <c r="I2401" s="6" t="s">
        <v>8590</v>
      </c>
      <c r="J2401" s="6" t="s">
        <v>10738</v>
      </c>
      <c r="K2401" s="6" t="s">
        <v>10886</v>
      </c>
      <c r="L2401" s="16" t="n">
        <v>37935</v>
      </c>
      <c r="M2401" s="16" t="n">
        <v>45689</v>
      </c>
      <c r="N2401" s="6" t="s">
        <v>10886</v>
      </c>
      <c r="O2401" s="16" t="n">
        <v>37935</v>
      </c>
      <c r="P2401" s="6" t="s">
        <v>12241</v>
      </c>
      <c r="Q2401" s="6" t="s">
        <v>81</v>
      </c>
      <c r="R2401" s="6" t="s">
        <v>7414</v>
      </c>
      <c r="S2401" s="6" t="s">
        <v>10886</v>
      </c>
      <c r="T2401" s="16" t="n">
        <v>37935</v>
      </c>
      <c r="U2401" s="6" t="s">
        <v>13179</v>
      </c>
      <c r="V2401" s="6" t="s">
        <v>81</v>
      </c>
      <c r="W2401" s="6" t="s">
        <v>7414</v>
      </c>
      <c r="X2401" s="6" t="s">
        <v>81</v>
      </c>
      <c r="Y2401" s="21" t="s">
        <v>81</v>
      </c>
      <c r="Z2401" s="6" t="s">
        <v>81</v>
      </c>
      <c r="AA2401" s="6" t="s">
        <v>81</v>
      </c>
      <c r="AB2401" s="6" t="s">
        <v>81</v>
      </c>
      <c r="AC2401" s="6" t="s">
        <v>81</v>
      </c>
      <c r="AD2401" s="21" t="s">
        <v>81</v>
      </c>
      <c r="AE2401" s="6" t="s">
        <v>81</v>
      </c>
      <c r="AF2401" s="6" t="s">
        <v>81</v>
      </c>
      <c r="AG2401" s="6" t="s">
        <v>81</v>
      </c>
      <c r="AH2401" s="6" t="s">
        <v>16941</v>
      </c>
      <c r="AI2401" s="6" t="s">
        <v>81</v>
      </c>
      <c r="AJ2401" s="6" t="s">
        <v>18289</v>
      </c>
      <c r="AK2401" s="6" t="s">
        <v>18381</v>
      </c>
      <c r="AL2401" s="6" t="s">
        <v>18444</v>
      </c>
      <c r="AM2401" s="6" t="s">
        <v>19518</v>
      </c>
      <c r="AN2401" s="6" t="s">
        <v>19680</v>
      </c>
      <c r="AO2401" s="6" t="s">
        <v>20057</v>
      </c>
      <c r="AP2401" s="6" t="s">
        <v>81</v>
      </c>
      <c r="AQ2401" s="6" t="s">
        <v>81</v>
      </c>
      <c r="AR2401" s="6" t="s">
        <v>81</v>
      </c>
      <c r="AS2401" s="6" t="s">
        <v>81</v>
      </c>
      <c r="AT2401" s="6" t="s">
        <v>81</v>
      </c>
      <c r="AU2401" s="6" t="s">
        <v>81</v>
      </c>
      <c r="AV2401" s="6" t="s">
        <v>81</v>
      </c>
      <c r="AW2401" s="6" t="s">
        <v>81</v>
      </c>
      <c r="AX2401" s="6" t="s">
        <v>22313</v>
      </c>
      <c r="AY2401" s="6" t="s">
        <v>23411</v>
      </c>
      <c r="AZ2401" s="6" t="s">
        <v>81</v>
      </c>
      <c r="BA2401" s="6" t="s">
        <v>23819</v>
      </c>
      <c r="BB2401" s="24" t="n">
        <v>141</v>
      </c>
      <c r="BC2401" s="26"/>
      <c r="BD2401" s="26"/>
      <c r="BE2401" s="26"/>
      <c r="BF2401" s="26" t="s">
        <v>23900</v>
      </c>
      <c r="BG2401" s="26"/>
      <c r="BH2401" s="26"/>
      <c r="BI2401" s="26"/>
      <c r="BJ2401" s="26"/>
      <c r="BK2401" s="26"/>
      <c r="BL2401" s="26"/>
      <c r="BM2401" s="26"/>
      <c r="BN2401" s="26"/>
      <c r="BO2401" s="26"/>
      <c r="BP2401" s="16" t="n">
        <v>45692</v>
      </c>
      <c r="BQ2401" s="28" t="str">
        <f>HYPERLINK("https://organic.ams.usda.gov/Integrity/Certificate.aspx?cid=45&amp;nopid=9950001431")</f>
        <v>https://organic.ams.usda.gov/Integrity/Certificate.aspx?cid=45&amp;nopid=9950001431</v>
      </c>
    </row>
    <row r="2402">
      <c r="A2402" t="s">
        <v>3</v>
      </c>
      <c r="B2402" s="6" t="s">
        <v>29</v>
      </c>
      <c r="C2402" s="6" t="s">
        <v>76</v>
      </c>
      <c r="D2402" s="6" t="s">
        <v>122</v>
      </c>
      <c r="E2402" s="10" t="s">
        <v>2543</v>
      </c>
      <c r="F2402" s="6" t="s">
        <v>5250</v>
      </c>
      <c r="G2402" s="6" t="s">
        <v>81</v>
      </c>
      <c r="H2402" s="6" t="s">
        <v>8079</v>
      </c>
      <c r="I2402" s="6" t="s">
        <v>8514</v>
      </c>
      <c r="J2402" s="6" t="s">
        <v>9664</v>
      </c>
      <c r="K2402" s="6" t="s">
        <v>10886</v>
      </c>
      <c r="L2402" s="16" t="n">
        <v>42898</v>
      </c>
      <c r="M2402" s="16" t="n">
        <v>45870</v>
      </c>
      <c r="N2402" s="6" t="s">
        <v>10886</v>
      </c>
      <c r="O2402" s="16" t="n">
        <v>43858</v>
      </c>
      <c r="P2402" s="6" t="s">
        <v>12242</v>
      </c>
      <c r="Q2402" s="6" t="s">
        <v>81</v>
      </c>
      <c r="R2402" s="6" t="s">
        <v>13077</v>
      </c>
      <c r="S2402" s="6" t="s">
        <v>10886</v>
      </c>
      <c r="T2402" s="16" t="n">
        <v>43858</v>
      </c>
      <c r="U2402" s="6" t="s">
        <v>13872</v>
      </c>
      <c r="V2402" s="6" t="s">
        <v>81</v>
      </c>
      <c r="W2402" s="6" t="s">
        <v>13077</v>
      </c>
      <c r="X2402" s="6" t="s">
        <v>81</v>
      </c>
      <c r="Y2402" s="21" t="s">
        <v>81</v>
      </c>
      <c r="Z2402" s="6" t="s">
        <v>81</v>
      </c>
      <c r="AA2402" s="6" t="s">
        <v>81</v>
      </c>
      <c r="AB2402" s="6" t="s">
        <v>81</v>
      </c>
      <c r="AC2402" s="6" t="s">
        <v>81</v>
      </c>
      <c r="AD2402" s="21" t="s">
        <v>81</v>
      </c>
      <c r="AE2402" s="6" t="s">
        <v>81</v>
      </c>
      <c r="AF2402" s="6" t="s">
        <v>81</v>
      </c>
      <c r="AG2402" s="6" t="s">
        <v>81</v>
      </c>
      <c r="AH2402" s="6" t="s">
        <v>16942</v>
      </c>
      <c r="AI2402" s="6" t="s">
        <v>81</v>
      </c>
      <c r="AJ2402" s="6" t="s">
        <v>18022</v>
      </c>
      <c r="AK2402" s="6" t="s">
        <v>17712</v>
      </c>
      <c r="AL2402" s="6" t="s">
        <v>18444</v>
      </c>
      <c r="AM2402" s="6" t="s">
        <v>18463</v>
      </c>
      <c r="AN2402" s="6" t="s">
        <v>19634</v>
      </c>
      <c r="AO2402" s="6" t="s">
        <v>19719</v>
      </c>
      <c r="AP2402" s="6" t="s">
        <v>81</v>
      </c>
      <c r="AQ2402" s="6" t="s">
        <v>81</v>
      </c>
      <c r="AR2402" s="6" t="s">
        <v>81</v>
      </c>
      <c r="AS2402" s="6" t="s">
        <v>81</v>
      </c>
      <c r="AT2402" s="6" t="s">
        <v>81</v>
      </c>
      <c r="AU2402" s="6" t="s">
        <v>81</v>
      </c>
      <c r="AV2402" s="6" t="s">
        <v>81</v>
      </c>
      <c r="AW2402" s="6" t="s">
        <v>81</v>
      </c>
      <c r="AX2402" s="6" t="s">
        <v>22314</v>
      </c>
      <c r="AY2402" s="6" t="s">
        <v>81</v>
      </c>
      <c r="AZ2402" s="6" t="s">
        <v>81</v>
      </c>
      <c r="BA2402" s="6" t="s">
        <v>81</v>
      </c>
      <c r="BB2402" s="24" t="n">
        <v>116</v>
      </c>
      <c r="BC2402" s="26"/>
      <c r="BD2402" s="26"/>
      <c r="BE2402" s="26"/>
      <c r="BF2402" s="26" t="s">
        <v>23900</v>
      </c>
      <c r="BG2402" s="26"/>
      <c r="BH2402" s="26"/>
      <c r="BI2402" s="26"/>
      <c r="BJ2402" s="26"/>
      <c r="BK2402" s="26"/>
      <c r="BL2402" s="26"/>
      <c r="BM2402" s="26"/>
      <c r="BN2402" s="26"/>
      <c r="BO2402" s="26"/>
      <c r="BP2402" s="16" t="n">
        <v>45737</v>
      </c>
      <c r="BQ2402" s="28" t="str">
        <f>HYPERLINK("https://organic.ams.usda.gov/Integrity/Certificate.aspx?cid=31&amp;nopid=3928971776")</f>
        <v>https://organic.ams.usda.gov/Integrity/Certificate.aspx?cid=31&amp;nopid=3928971776</v>
      </c>
    </row>
    <row r="2403">
      <c r="A2403" t="s">
        <v>3</v>
      </c>
      <c r="B2403" s="6" t="s">
        <v>12</v>
      </c>
      <c r="C2403" s="6" t="s">
        <v>59</v>
      </c>
      <c r="D2403" s="6" t="s">
        <v>105</v>
      </c>
      <c r="E2403" s="10" t="s">
        <v>2544</v>
      </c>
      <c r="F2403" s="6" t="s">
        <v>5251</v>
      </c>
      <c r="G2403" s="6" t="s">
        <v>81</v>
      </c>
      <c r="H2403" s="6" t="s">
        <v>8080</v>
      </c>
      <c r="I2403" s="6" t="s">
        <v>9533</v>
      </c>
      <c r="J2403" s="6" t="s">
        <v>10739</v>
      </c>
      <c r="K2403" s="6" t="s">
        <v>10886</v>
      </c>
      <c r="L2403" s="16" t="n">
        <v>37550</v>
      </c>
      <c r="M2403" s="16" t="n">
        <v>45717</v>
      </c>
      <c r="N2403" s="6" t="s">
        <v>10886</v>
      </c>
      <c r="O2403" s="16" t="n">
        <v>37550</v>
      </c>
      <c r="P2403" s="6" t="s">
        <v>12243</v>
      </c>
      <c r="Q2403" s="6" t="s">
        <v>81</v>
      </c>
      <c r="R2403" s="6" t="s">
        <v>81</v>
      </c>
      <c r="S2403" s="6" t="s">
        <v>10886</v>
      </c>
      <c r="T2403" s="16" t="n">
        <v>37550</v>
      </c>
      <c r="U2403" s="6" t="s">
        <v>13873</v>
      </c>
      <c r="V2403" s="6" t="s">
        <v>81</v>
      </c>
      <c r="W2403" s="6" t="s">
        <v>81</v>
      </c>
      <c r="X2403" s="6" t="s">
        <v>81</v>
      </c>
      <c r="Y2403" s="21" t="s">
        <v>81</v>
      </c>
      <c r="Z2403" s="6" t="s">
        <v>81</v>
      </c>
      <c r="AA2403" s="6" t="s">
        <v>81</v>
      </c>
      <c r="AB2403" s="6" t="s">
        <v>81</v>
      </c>
      <c r="AC2403" s="6" t="s">
        <v>10886</v>
      </c>
      <c r="AD2403" s="16" t="n">
        <v>37550</v>
      </c>
      <c r="AE2403" s="6" t="s">
        <v>14428</v>
      </c>
      <c r="AF2403" s="6" t="s">
        <v>81</v>
      </c>
      <c r="AG2403" s="6" t="s">
        <v>81</v>
      </c>
      <c r="AH2403" s="6" t="s">
        <v>16943</v>
      </c>
      <c r="AI2403" s="6" t="s">
        <v>81</v>
      </c>
      <c r="AJ2403" s="6" t="s">
        <v>18290</v>
      </c>
      <c r="AK2403" s="6" t="s">
        <v>18380</v>
      </c>
      <c r="AL2403" s="6" t="s">
        <v>18444</v>
      </c>
      <c r="AM2403" s="6" t="s">
        <v>19519</v>
      </c>
      <c r="AN2403" s="6" t="s">
        <v>19683</v>
      </c>
      <c r="AO2403" s="6" t="s">
        <v>19867</v>
      </c>
      <c r="AP2403" s="6" t="s">
        <v>20428</v>
      </c>
      <c r="AQ2403" s="6" t="s">
        <v>81</v>
      </c>
      <c r="AR2403" s="6" t="s">
        <v>18290</v>
      </c>
      <c r="AS2403" s="6" t="s">
        <v>18380</v>
      </c>
      <c r="AT2403" s="6" t="s">
        <v>18444</v>
      </c>
      <c r="AU2403" s="6" t="s">
        <v>19519</v>
      </c>
      <c r="AV2403" s="6" t="s">
        <v>81</v>
      </c>
      <c r="AW2403" s="6" t="s">
        <v>81</v>
      </c>
      <c r="AX2403" s="6" t="s">
        <v>22315</v>
      </c>
      <c r="AY2403" s="6" t="s">
        <v>23412</v>
      </c>
      <c r="AZ2403" s="6" t="s">
        <v>81</v>
      </c>
      <c r="BA2403" s="6" t="s">
        <v>81</v>
      </c>
      <c r="BB2403" s="24" t="n">
        <v>547</v>
      </c>
      <c r="BC2403" s="26"/>
      <c r="BD2403" s="26"/>
      <c r="BE2403" s="26"/>
      <c r="BF2403" s="26"/>
      <c r="BG2403" s="26"/>
      <c r="BH2403" s="26"/>
      <c r="BI2403" s="26"/>
      <c r="BJ2403" s="26"/>
      <c r="BK2403" s="26"/>
      <c r="BL2403" s="26"/>
      <c r="BM2403" s="26"/>
      <c r="BN2403" s="26"/>
      <c r="BO2403" s="26"/>
      <c r="BP2403" s="16" t="n">
        <v>45684</v>
      </c>
      <c r="BQ2403" s="28" t="str">
        <f>HYPERLINK("https://organic.ams.usda.gov/Integrity/Certificate.aspx?cid=68&amp;nopid=8210003732")</f>
        <v>https://organic.ams.usda.gov/Integrity/Certificate.aspx?cid=68&amp;nopid=8210003732</v>
      </c>
    </row>
    <row r="2404">
      <c r="A2404" t="s">
        <v>3</v>
      </c>
      <c r="B2404" s="6" t="s">
        <v>13</v>
      </c>
      <c r="C2404" s="6" t="s">
        <v>60</v>
      </c>
      <c r="D2404" s="6" t="s">
        <v>106</v>
      </c>
      <c r="E2404" s="10" t="s">
        <v>2545</v>
      </c>
      <c r="F2404" s="6" t="s">
        <v>5252</v>
      </c>
      <c r="G2404" s="6" t="s">
        <v>81</v>
      </c>
      <c r="H2404" s="6" t="s">
        <v>8081</v>
      </c>
      <c r="I2404" s="6" t="s">
        <v>8807</v>
      </c>
      <c r="J2404" s="6" t="s">
        <v>9665</v>
      </c>
      <c r="K2404" s="6" t="s">
        <v>10886</v>
      </c>
      <c r="L2404" s="16" t="n">
        <v>42634</v>
      </c>
      <c r="M2404" s="16" t="n">
        <v>45748</v>
      </c>
      <c r="N2404" s="6" t="s">
        <v>10886</v>
      </c>
      <c r="O2404" s="16" t="n">
        <v>42634</v>
      </c>
      <c r="P2404" s="6" t="s">
        <v>11252</v>
      </c>
      <c r="Q2404" s="6" t="s">
        <v>81</v>
      </c>
      <c r="R2404" s="6" t="s">
        <v>13078</v>
      </c>
      <c r="S2404" s="6" t="s">
        <v>10886</v>
      </c>
      <c r="T2404" s="16" t="n">
        <v>42634</v>
      </c>
      <c r="U2404" s="6" t="s">
        <v>13381</v>
      </c>
      <c r="V2404" s="6" t="s">
        <v>81</v>
      </c>
      <c r="W2404" s="6" t="s">
        <v>13078</v>
      </c>
      <c r="X2404" s="6" t="s">
        <v>81</v>
      </c>
      <c r="Y2404" s="21" t="s">
        <v>81</v>
      </c>
      <c r="Z2404" s="6" t="s">
        <v>81</v>
      </c>
      <c r="AA2404" s="6" t="s">
        <v>81</v>
      </c>
      <c r="AB2404" s="6" t="s">
        <v>81</v>
      </c>
      <c r="AC2404" s="6" t="s">
        <v>81</v>
      </c>
      <c r="AD2404" s="21" t="s">
        <v>81</v>
      </c>
      <c r="AE2404" s="6" t="s">
        <v>81</v>
      </c>
      <c r="AF2404" s="6" t="s">
        <v>81</v>
      </c>
      <c r="AG2404" s="6" t="s">
        <v>81</v>
      </c>
      <c r="AH2404" s="6" t="s">
        <v>16944</v>
      </c>
      <c r="AI2404" s="6" t="s">
        <v>81</v>
      </c>
      <c r="AJ2404" s="6" t="s">
        <v>10457</v>
      </c>
      <c r="AK2404" s="6" t="s">
        <v>18378</v>
      </c>
      <c r="AL2404" s="6" t="s">
        <v>18444</v>
      </c>
      <c r="AM2404" s="6" t="s">
        <v>18573</v>
      </c>
      <c r="AN2404" s="6" t="s">
        <v>6817</v>
      </c>
      <c r="AO2404" s="6" t="s">
        <v>19849</v>
      </c>
      <c r="AP2404" s="6" t="s">
        <v>16944</v>
      </c>
      <c r="AQ2404" s="6" t="s">
        <v>81</v>
      </c>
      <c r="AR2404" s="6" t="s">
        <v>10457</v>
      </c>
      <c r="AS2404" s="6" t="s">
        <v>18378</v>
      </c>
      <c r="AT2404" s="6" t="s">
        <v>18444</v>
      </c>
      <c r="AU2404" s="6" t="s">
        <v>18573</v>
      </c>
      <c r="AV2404" s="6" t="s">
        <v>81</v>
      </c>
      <c r="AW2404" s="6" t="s">
        <v>81</v>
      </c>
      <c r="AX2404" s="6" t="s">
        <v>22316</v>
      </c>
      <c r="AY2404" s="6" t="s">
        <v>81</v>
      </c>
      <c r="AZ2404" s="6" t="s">
        <v>81</v>
      </c>
      <c r="BA2404" s="6" t="s">
        <v>81</v>
      </c>
      <c r="BB2404" s="24" t="n">
        <v>114</v>
      </c>
      <c r="BC2404" s="26"/>
      <c r="BD2404" s="26"/>
      <c r="BE2404" s="26"/>
      <c r="BF2404" s="26" t="s">
        <v>23900</v>
      </c>
      <c r="BG2404" s="26"/>
      <c r="BH2404" s="26"/>
      <c r="BI2404" s="26"/>
      <c r="BJ2404" s="26"/>
      <c r="BK2404" s="26"/>
      <c r="BL2404" s="26"/>
      <c r="BM2404" s="26"/>
      <c r="BN2404" s="26"/>
      <c r="BO2404" s="26"/>
      <c r="BP2404" s="16" t="n">
        <v>45702</v>
      </c>
      <c r="BQ2404" s="28" t="str">
        <f>HYPERLINK("https://organic.ams.usda.gov/Integrity/Certificate.aspx?cid=72&amp;nopid=5870002427")</f>
        <v>https://organic.ams.usda.gov/Integrity/Certificate.aspx?cid=72&amp;nopid=5870002427</v>
      </c>
    </row>
    <row r="2405">
      <c r="A2405" t="s">
        <v>3</v>
      </c>
      <c r="B2405" s="6" t="s">
        <v>9</v>
      </c>
      <c r="C2405" s="6" t="s">
        <v>56</v>
      </c>
      <c r="D2405" s="6" t="s">
        <v>102</v>
      </c>
      <c r="E2405" s="10" t="s">
        <v>2546</v>
      </c>
      <c r="F2405" s="6" t="s">
        <v>5253</v>
      </c>
      <c r="G2405" s="6" t="s">
        <v>81</v>
      </c>
      <c r="H2405" s="6" t="s">
        <v>8082</v>
      </c>
      <c r="I2405" s="6" t="s">
        <v>81</v>
      </c>
      <c r="J2405" s="6" t="s">
        <v>81</v>
      </c>
      <c r="K2405" s="6" t="s">
        <v>10886</v>
      </c>
      <c r="L2405" s="16" t="n">
        <v>41478</v>
      </c>
      <c r="M2405" s="16" t="n">
        <v>46113</v>
      </c>
      <c r="N2405" s="6" t="s">
        <v>10886</v>
      </c>
      <c r="O2405" s="16" t="n">
        <v>41478</v>
      </c>
      <c r="P2405" s="6" t="s">
        <v>12244</v>
      </c>
      <c r="Q2405" s="6" t="s">
        <v>81</v>
      </c>
      <c r="R2405" s="6" t="s">
        <v>13079</v>
      </c>
      <c r="S2405" s="6" t="s">
        <v>10886</v>
      </c>
      <c r="T2405" s="16" t="n">
        <v>41478</v>
      </c>
      <c r="U2405" s="6" t="s">
        <v>13168</v>
      </c>
      <c r="V2405" s="6" t="s">
        <v>81</v>
      </c>
      <c r="W2405" s="6" t="s">
        <v>13079</v>
      </c>
      <c r="X2405" s="6" t="s">
        <v>81</v>
      </c>
      <c r="Y2405" s="21" t="s">
        <v>81</v>
      </c>
      <c r="Z2405" s="6" t="s">
        <v>81</v>
      </c>
      <c r="AA2405" s="6" t="s">
        <v>81</v>
      </c>
      <c r="AB2405" s="6" t="s">
        <v>81</v>
      </c>
      <c r="AC2405" s="6" t="s">
        <v>81</v>
      </c>
      <c r="AD2405" s="21" t="s">
        <v>81</v>
      </c>
      <c r="AE2405" s="6" t="s">
        <v>81</v>
      </c>
      <c r="AF2405" s="6" t="s">
        <v>81</v>
      </c>
      <c r="AG2405" s="6" t="s">
        <v>81</v>
      </c>
      <c r="AH2405" s="6" t="s">
        <v>16945</v>
      </c>
      <c r="AI2405" s="6" t="s">
        <v>81</v>
      </c>
      <c r="AJ2405" s="6" t="s">
        <v>17329</v>
      </c>
      <c r="AK2405" s="6" t="s">
        <v>18380</v>
      </c>
      <c r="AL2405" s="6" t="s">
        <v>18444</v>
      </c>
      <c r="AM2405" s="6" t="s">
        <v>18481</v>
      </c>
      <c r="AN2405" s="6" t="s">
        <v>19639</v>
      </c>
      <c r="AO2405" s="6" t="s">
        <v>19725</v>
      </c>
      <c r="AP2405" s="6" t="s">
        <v>81</v>
      </c>
      <c r="AQ2405" s="6" t="s">
        <v>81</v>
      </c>
      <c r="AR2405" s="6" t="s">
        <v>81</v>
      </c>
      <c r="AS2405" s="6" t="s">
        <v>81</v>
      </c>
      <c r="AT2405" s="6" t="s">
        <v>81</v>
      </c>
      <c r="AU2405" s="6" t="s">
        <v>81</v>
      </c>
      <c r="AV2405" s="6" t="s">
        <v>81</v>
      </c>
      <c r="AW2405" s="6" t="s">
        <v>81</v>
      </c>
      <c r="AX2405" s="6" t="s">
        <v>81</v>
      </c>
      <c r="AY2405" s="6" t="s">
        <v>81</v>
      </c>
      <c r="AZ2405" s="6" t="s">
        <v>81</v>
      </c>
      <c r="BA2405" s="6" t="s">
        <v>81</v>
      </c>
      <c r="BB2405" s="24" t="n">
        <v>101</v>
      </c>
      <c r="BC2405" s="26"/>
      <c r="BD2405" s="26"/>
      <c r="BE2405" s="26"/>
      <c r="BF2405" s="26"/>
      <c r="BG2405" s="26"/>
      <c r="BH2405" s="26"/>
      <c r="BI2405" s="26"/>
      <c r="BJ2405" s="26"/>
      <c r="BK2405" s="26"/>
      <c r="BL2405" s="26"/>
      <c r="BM2405" s="26"/>
      <c r="BN2405" s="26"/>
      <c r="BO2405" s="26"/>
      <c r="BP2405" s="16" t="n">
        <v>45738</v>
      </c>
      <c r="BQ2405" s="28" t="str">
        <f>HYPERLINK("https://organic.ams.usda.gov/Integrity/Certificate.aspx?cid=52&amp;nopid=8431300507")</f>
        <v>https://organic.ams.usda.gov/Integrity/Certificate.aspx?cid=52&amp;nopid=8431300507</v>
      </c>
    </row>
    <row r="2406">
      <c r="A2406" t="s">
        <v>3</v>
      </c>
      <c r="B2406" s="6" t="s">
        <v>29</v>
      </c>
      <c r="C2406" s="6" t="s">
        <v>76</v>
      </c>
      <c r="D2406" s="6" t="s">
        <v>122</v>
      </c>
      <c r="E2406" s="10" t="s">
        <v>2547</v>
      </c>
      <c r="F2406" s="6" t="s">
        <v>5254</v>
      </c>
      <c r="G2406" s="6" t="s">
        <v>81</v>
      </c>
      <c r="H2406" s="6" t="s">
        <v>8083</v>
      </c>
      <c r="I2406" s="6" t="s">
        <v>9534</v>
      </c>
      <c r="J2406" s="6" t="s">
        <v>9233</v>
      </c>
      <c r="K2406" s="6" t="s">
        <v>10886</v>
      </c>
      <c r="L2406" s="16" t="n">
        <v>39909</v>
      </c>
      <c r="M2406" s="16" t="n">
        <v>45505</v>
      </c>
      <c r="N2406" s="6" t="s">
        <v>10886</v>
      </c>
      <c r="O2406" s="16" t="n">
        <v>39909</v>
      </c>
      <c r="P2406" s="6" t="s">
        <v>10910</v>
      </c>
      <c r="Q2406" s="6" t="s">
        <v>81</v>
      </c>
      <c r="R2406" s="6" t="s">
        <v>13080</v>
      </c>
      <c r="S2406" s="6" t="s">
        <v>10886</v>
      </c>
      <c r="T2406" s="16" t="n">
        <v>39909</v>
      </c>
      <c r="U2406" s="6" t="s">
        <v>13222</v>
      </c>
      <c r="V2406" s="6" t="s">
        <v>81</v>
      </c>
      <c r="W2406" s="6" t="s">
        <v>13080</v>
      </c>
      <c r="X2406" s="6" t="s">
        <v>81</v>
      </c>
      <c r="Y2406" s="21" t="s">
        <v>81</v>
      </c>
      <c r="Z2406" s="6" t="s">
        <v>81</v>
      </c>
      <c r="AA2406" s="6" t="s">
        <v>81</v>
      </c>
      <c r="AB2406" s="6" t="s">
        <v>81</v>
      </c>
      <c r="AC2406" s="6" t="s">
        <v>81</v>
      </c>
      <c r="AD2406" s="21" t="s">
        <v>81</v>
      </c>
      <c r="AE2406" s="6" t="s">
        <v>81</v>
      </c>
      <c r="AF2406" s="6" t="s">
        <v>81</v>
      </c>
      <c r="AG2406" s="6" t="s">
        <v>81</v>
      </c>
      <c r="AH2406" s="6" t="s">
        <v>16946</v>
      </c>
      <c r="AI2406" s="6" t="s">
        <v>81</v>
      </c>
      <c r="AJ2406" s="6" t="s">
        <v>18224</v>
      </c>
      <c r="AK2406" s="6" t="s">
        <v>18380</v>
      </c>
      <c r="AL2406" s="6" t="s">
        <v>18444</v>
      </c>
      <c r="AM2406" s="6" t="s">
        <v>19437</v>
      </c>
      <c r="AN2406" s="6" t="s">
        <v>19642</v>
      </c>
      <c r="AO2406" s="6" t="s">
        <v>20058</v>
      </c>
      <c r="AP2406" s="6" t="s">
        <v>81</v>
      </c>
      <c r="AQ2406" s="6" t="s">
        <v>81</v>
      </c>
      <c r="AR2406" s="6" t="s">
        <v>81</v>
      </c>
      <c r="AS2406" s="6" t="s">
        <v>81</v>
      </c>
      <c r="AT2406" s="6" t="s">
        <v>81</v>
      </c>
      <c r="AU2406" s="6" t="s">
        <v>81</v>
      </c>
      <c r="AV2406" s="6" t="s">
        <v>81</v>
      </c>
      <c r="AW2406" s="6" t="s">
        <v>81</v>
      </c>
      <c r="AX2406" s="6" t="s">
        <v>22317</v>
      </c>
      <c r="AY2406" s="6" t="s">
        <v>23413</v>
      </c>
      <c r="AZ2406" s="6" t="s">
        <v>81</v>
      </c>
      <c r="BA2406" s="6" t="s">
        <v>81</v>
      </c>
      <c r="BB2406" s="24" t="n">
        <v>390</v>
      </c>
      <c r="BC2406" s="26"/>
      <c r="BD2406" s="26"/>
      <c r="BE2406" s="26"/>
      <c r="BF2406" s="26" t="s">
        <v>23900</v>
      </c>
      <c r="BG2406" s="26"/>
      <c r="BH2406" s="26"/>
      <c r="BI2406" s="26"/>
      <c r="BJ2406" s="26"/>
      <c r="BK2406" s="26"/>
      <c r="BL2406" s="26"/>
      <c r="BM2406" s="26"/>
      <c r="BN2406" s="26"/>
      <c r="BO2406" s="26"/>
      <c r="BP2406" s="16" t="n">
        <v>45737</v>
      </c>
      <c r="BQ2406" s="28" t="str">
        <f>HYPERLINK("https://organic.ams.usda.gov/Integrity/Certificate.aspx?cid=31&amp;nopid=3920897837")</f>
        <v>https://organic.ams.usda.gov/Integrity/Certificate.aspx?cid=31&amp;nopid=3920897837</v>
      </c>
    </row>
    <row r="2407">
      <c r="A2407" t="s">
        <v>3</v>
      </c>
      <c r="B2407" s="6" t="s">
        <v>7</v>
      </c>
      <c r="C2407" s="6" t="s">
        <v>54</v>
      </c>
      <c r="D2407" s="6" t="s">
        <v>100</v>
      </c>
      <c r="E2407" s="10" t="s">
        <v>2548</v>
      </c>
      <c r="F2407" s="6" t="s">
        <v>5255</v>
      </c>
      <c r="G2407" s="6" t="s">
        <v>81</v>
      </c>
      <c r="H2407" s="6" t="s">
        <v>8084</v>
      </c>
      <c r="I2407" s="6" t="s">
        <v>9405</v>
      </c>
      <c r="J2407" s="6" t="s">
        <v>9669</v>
      </c>
      <c r="K2407" s="6" t="s">
        <v>10886</v>
      </c>
      <c r="L2407" s="16" t="n">
        <v>43704</v>
      </c>
      <c r="M2407" s="16" t="n">
        <v>45716</v>
      </c>
      <c r="N2407" s="6" t="s">
        <v>10886</v>
      </c>
      <c r="O2407" s="16" t="n">
        <v>43704</v>
      </c>
      <c r="P2407" s="6" t="s">
        <v>10910</v>
      </c>
      <c r="Q2407" s="6" t="s">
        <v>81</v>
      </c>
      <c r="R2407" s="6" t="s">
        <v>81</v>
      </c>
      <c r="S2407" s="6" t="s">
        <v>10886</v>
      </c>
      <c r="T2407" s="16" t="n">
        <v>43704</v>
      </c>
      <c r="U2407" s="6" t="s">
        <v>13169</v>
      </c>
      <c r="V2407" s="6" t="s">
        <v>81</v>
      </c>
      <c r="W2407" s="6" t="s">
        <v>81</v>
      </c>
      <c r="X2407" s="6" t="s">
        <v>81</v>
      </c>
      <c r="Y2407" s="21" t="s">
        <v>81</v>
      </c>
      <c r="Z2407" s="6" t="s">
        <v>81</v>
      </c>
      <c r="AA2407" s="6" t="s">
        <v>81</v>
      </c>
      <c r="AB2407" s="6" t="s">
        <v>81</v>
      </c>
      <c r="AC2407" s="6" t="s">
        <v>81</v>
      </c>
      <c r="AD2407" s="21" t="s">
        <v>81</v>
      </c>
      <c r="AE2407" s="6" t="s">
        <v>81</v>
      </c>
      <c r="AF2407" s="6" t="s">
        <v>81</v>
      </c>
      <c r="AG2407" s="6" t="s">
        <v>81</v>
      </c>
      <c r="AH2407" s="6" t="s">
        <v>16947</v>
      </c>
      <c r="AI2407" s="6" t="s">
        <v>81</v>
      </c>
      <c r="AJ2407" s="6" t="s">
        <v>17352</v>
      </c>
      <c r="AK2407" s="6" t="s">
        <v>17712</v>
      </c>
      <c r="AL2407" s="6" t="s">
        <v>18444</v>
      </c>
      <c r="AM2407" s="6" t="s">
        <v>18506</v>
      </c>
      <c r="AN2407" s="6" t="s">
        <v>19652</v>
      </c>
      <c r="AO2407" s="6" t="s">
        <v>19742</v>
      </c>
      <c r="AP2407" s="6" t="s">
        <v>16947</v>
      </c>
      <c r="AQ2407" s="6" t="s">
        <v>81</v>
      </c>
      <c r="AR2407" s="6" t="s">
        <v>17352</v>
      </c>
      <c r="AS2407" s="6" t="s">
        <v>17712</v>
      </c>
      <c r="AT2407" s="6" t="s">
        <v>18444</v>
      </c>
      <c r="AU2407" s="6" t="s">
        <v>18506</v>
      </c>
      <c r="AV2407" s="6" t="s">
        <v>81</v>
      </c>
      <c r="AW2407" s="6" t="s">
        <v>81</v>
      </c>
      <c r="AX2407" s="6" t="s">
        <v>22318</v>
      </c>
      <c r="AY2407" s="6" t="s">
        <v>81</v>
      </c>
      <c r="AZ2407" s="6" t="s">
        <v>81</v>
      </c>
      <c r="BA2407" s="6" t="s">
        <v>81</v>
      </c>
      <c r="BB2407" s="24" t="n">
        <v>273</v>
      </c>
      <c r="BC2407" s="26"/>
      <c r="BD2407" s="26"/>
      <c r="BE2407" s="26"/>
      <c r="BF2407" s="26" t="s">
        <v>23900</v>
      </c>
      <c r="BG2407" s="26"/>
      <c r="BH2407" s="26"/>
      <c r="BI2407" s="26"/>
      <c r="BJ2407" s="26"/>
      <c r="BK2407" s="26"/>
      <c r="BL2407" s="26"/>
      <c r="BM2407" s="26"/>
      <c r="BN2407" s="26"/>
      <c r="BO2407" s="26"/>
      <c r="BP2407" s="16" t="n">
        <v>45730</v>
      </c>
      <c r="BQ2407" s="28" t="str">
        <f>HYPERLINK("https://organic.ams.usda.gov/Integrity/Certificate.aspx?cid=57&amp;nopid=3252019069")</f>
        <v>https://organic.ams.usda.gov/Integrity/Certificate.aspx?cid=57&amp;nopid=3252019069</v>
      </c>
    </row>
    <row r="2408">
      <c r="A2408" t="s">
        <v>3</v>
      </c>
      <c r="B2408" s="6" t="s">
        <v>17</v>
      </c>
      <c r="C2408" s="6" t="s">
        <v>64</v>
      </c>
      <c r="D2408" s="6" t="s">
        <v>110</v>
      </c>
      <c r="E2408" s="10" t="s">
        <v>2549</v>
      </c>
      <c r="F2408" s="6" t="s">
        <v>5256</v>
      </c>
      <c r="G2408" s="6" t="s">
        <v>81</v>
      </c>
      <c r="H2408" s="6" t="s">
        <v>8085</v>
      </c>
      <c r="I2408" s="6" t="s">
        <v>8552</v>
      </c>
      <c r="J2408" s="6" t="s">
        <v>10740</v>
      </c>
      <c r="K2408" s="6" t="s">
        <v>10886</v>
      </c>
      <c r="L2408" s="16" t="n">
        <v>43256</v>
      </c>
      <c r="M2408" s="16" t="n">
        <v>46068</v>
      </c>
      <c r="N2408" s="6" t="s">
        <v>81</v>
      </c>
      <c r="O2408" s="21" t="s">
        <v>81</v>
      </c>
      <c r="P2408" s="6" t="s">
        <v>81</v>
      </c>
      <c r="Q2408" s="6" t="s">
        <v>81</v>
      </c>
      <c r="R2408" s="6" t="s">
        <v>81</v>
      </c>
      <c r="S2408" s="6" t="s">
        <v>81</v>
      </c>
      <c r="T2408" s="21" t="s">
        <v>81</v>
      </c>
      <c r="U2408" s="6" t="s">
        <v>81</v>
      </c>
      <c r="V2408" s="6" t="s">
        <v>81</v>
      </c>
      <c r="W2408" s="6" t="s">
        <v>81</v>
      </c>
      <c r="X2408" s="6" t="s">
        <v>81</v>
      </c>
      <c r="Y2408" s="21" t="s">
        <v>81</v>
      </c>
      <c r="Z2408" s="6" t="s">
        <v>81</v>
      </c>
      <c r="AA2408" s="6" t="s">
        <v>81</v>
      </c>
      <c r="AB2408" s="6" t="s">
        <v>81</v>
      </c>
      <c r="AC2408" s="6" t="s">
        <v>10886</v>
      </c>
      <c r="AD2408" s="16" t="n">
        <v>43256</v>
      </c>
      <c r="AE2408" s="6" t="s">
        <v>14429</v>
      </c>
      <c r="AF2408" s="6" t="s">
        <v>81</v>
      </c>
      <c r="AG2408" s="6" t="s">
        <v>8085</v>
      </c>
      <c r="AH2408" s="6" t="s">
        <v>16948</v>
      </c>
      <c r="AI2408" s="6" t="s">
        <v>81</v>
      </c>
      <c r="AJ2408" s="6" t="s">
        <v>18291</v>
      </c>
      <c r="AK2408" s="6" t="s">
        <v>18384</v>
      </c>
      <c r="AL2408" s="6" t="s">
        <v>18444</v>
      </c>
      <c r="AM2408" s="6" t="s">
        <v>18877</v>
      </c>
      <c r="AN2408" s="6" t="s">
        <v>7926</v>
      </c>
      <c r="AO2408" s="6" t="s">
        <v>19790</v>
      </c>
      <c r="AP2408" s="6" t="s">
        <v>16948</v>
      </c>
      <c r="AQ2408" s="6" t="s">
        <v>81</v>
      </c>
      <c r="AR2408" s="6" t="s">
        <v>18291</v>
      </c>
      <c r="AS2408" s="6" t="s">
        <v>18384</v>
      </c>
      <c r="AT2408" s="6" t="s">
        <v>18444</v>
      </c>
      <c r="AU2408" s="6" t="s">
        <v>18877</v>
      </c>
      <c r="AV2408" s="6" t="s">
        <v>81</v>
      </c>
      <c r="AW2408" s="6" t="s">
        <v>81</v>
      </c>
      <c r="AX2408" s="6" t="s">
        <v>22319</v>
      </c>
      <c r="AY2408" s="6" t="s">
        <v>81</v>
      </c>
      <c r="AZ2408" s="6" t="s">
        <v>81</v>
      </c>
      <c r="BA2408" s="6" t="s">
        <v>81</v>
      </c>
      <c r="BB2408" s="6" t="s">
        <v>81</v>
      </c>
      <c r="BC2408" s="26"/>
      <c r="BD2408" s="26"/>
      <c r="BE2408" s="26" t="s">
        <v>23900</v>
      </c>
      <c r="BF2408" s="26"/>
      <c r="BG2408" s="26"/>
      <c r="BH2408" s="26"/>
      <c r="BI2408" s="26"/>
      <c r="BJ2408" s="26"/>
      <c r="BK2408" s="26"/>
      <c r="BL2408" s="26" t="s">
        <v>23900</v>
      </c>
      <c r="BM2408" s="26"/>
      <c r="BN2408" s="26"/>
      <c r="BO2408" s="26"/>
      <c r="BP2408" s="16" t="n">
        <v>45726</v>
      </c>
      <c r="BQ2408" s="28" t="str">
        <f>HYPERLINK("https://organic.ams.usda.gov/Integrity/Certificate.aspx?cid=36&amp;nopid=5400000906")</f>
        <v>https://organic.ams.usda.gov/Integrity/Certificate.aspx?cid=36&amp;nopid=5400000906</v>
      </c>
    </row>
    <row r="2409">
      <c r="A2409" t="s">
        <v>3</v>
      </c>
      <c r="B2409" s="6" t="s">
        <v>7</v>
      </c>
      <c r="C2409" s="6" t="s">
        <v>54</v>
      </c>
      <c r="D2409" s="6" t="s">
        <v>100</v>
      </c>
      <c r="E2409" s="10" t="s">
        <v>2550</v>
      </c>
      <c r="F2409" s="6" t="s">
        <v>5257</v>
      </c>
      <c r="G2409" s="6" t="s">
        <v>81</v>
      </c>
      <c r="H2409" s="6" t="s">
        <v>8086</v>
      </c>
      <c r="I2409" s="6" t="s">
        <v>9535</v>
      </c>
      <c r="J2409" s="6" t="s">
        <v>10741</v>
      </c>
      <c r="K2409" s="6" t="s">
        <v>10886</v>
      </c>
      <c r="L2409" s="16" t="n">
        <v>42866</v>
      </c>
      <c r="M2409" s="16" t="n">
        <v>45716</v>
      </c>
      <c r="N2409" s="6" t="s">
        <v>10886</v>
      </c>
      <c r="O2409" s="16" t="n">
        <v>42866</v>
      </c>
      <c r="P2409" s="6" t="s">
        <v>11398</v>
      </c>
      <c r="Q2409" s="6" t="s">
        <v>81</v>
      </c>
      <c r="R2409" s="6" t="s">
        <v>81</v>
      </c>
      <c r="S2409" s="6" t="s">
        <v>10886</v>
      </c>
      <c r="T2409" s="16" t="n">
        <v>42866</v>
      </c>
      <c r="U2409" s="6" t="s">
        <v>13284</v>
      </c>
      <c r="V2409" s="6" t="s">
        <v>81</v>
      </c>
      <c r="W2409" s="6" t="s">
        <v>81</v>
      </c>
      <c r="X2409" s="6" t="s">
        <v>81</v>
      </c>
      <c r="Y2409" s="21" t="s">
        <v>81</v>
      </c>
      <c r="Z2409" s="6" t="s">
        <v>81</v>
      </c>
      <c r="AA2409" s="6" t="s">
        <v>81</v>
      </c>
      <c r="AB2409" s="6" t="s">
        <v>81</v>
      </c>
      <c r="AC2409" s="6" t="s">
        <v>81</v>
      </c>
      <c r="AD2409" s="21" t="s">
        <v>81</v>
      </c>
      <c r="AE2409" s="6" t="s">
        <v>81</v>
      </c>
      <c r="AF2409" s="6" t="s">
        <v>81</v>
      </c>
      <c r="AG2409" s="6" t="s">
        <v>81</v>
      </c>
      <c r="AH2409" s="6" t="s">
        <v>16949</v>
      </c>
      <c r="AI2409" s="6" t="s">
        <v>81</v>
      </c>
      <c r="AJ2409" s="6" t="s">
        <v>18234</v>
      </c>
      <c r="AK2409" s="6" t="s">
        <v>17712</v>
      </c>
      <c r="AL2409" s="6" t="s">
        <v>18444</v>
      </c>
      <c r="AM2409" s="6" t="s">
        <v>19451</v>
      </c>
      <c r="AN2409" s="6" t="s">
        <v>7595</v>
      </c>
      <c r="AO2409" s="6" t="s">
        <v>19818</v>
      </c>
      <c r="AP2409" s="6" t="s">
        <v>16949</v>
      </c>
      <c r="AQ2409" s="6" t="s">
        <v>81</v>
      </c>
      <c r="AR2409" s="6" t="s">
        <v>18234</v>
      </c>
      <c r="AS2409" s="6" t="s">
        <v>17712</v>
      </c>
      <c r="AT2409" s="6" t="s">
        <v>18444</v>
      </c>
      <c r="AU2409" s="6" t="s">
        <v>19451</v>
      </c>
      <c r="AV2409" s="6" t="s">
        <v>81</v>
      </c>
      <c r="AW2409" s="6" t="s">
        <v>81</v>
      </c>
      <c r="AX2409" s="6" t="s">
        <v>22320</v>
      </c>
      <c r="AY2409" s="6" t="s">
        <v>23414</v>
      </c>
      <c r="AZ2409" s="6" t="s">
        <v>81</v>
      </c>
      <c r="BA2409" s="6" t="s">
        <v>81</v>
      </c>
      <c r="BB2409" s="24" t="n">
        <v>642</v>
      </c>
      <c r="BC2409" s="26"/>
      <c r="BD2409" s="26"/>
      <c r="BE2409" s="26"/>
      <c r="BF2409" s="26" t="s">
        <v>23900</v>
      </c>
      <c r="BG2409" s="26"/>
      <c r="BH2409" s="26"/>
      <c r="BI2409" s="26"/>
      <c r="BJ2409" s="26"/>
      <c r="BK2409" s="26"/>
      <c r="BL2409" s="26"/>
      <c r="BM2409" s="26"/>
      <c r="BN2409" s="26"/>
      <c r="BO2409" s="26"/>
      <c r="BP2409" s="16" t="n">
        <v>45595</v>
      </c>
      <c r="BQ2409" s="28" t="str">
        <f>HYPERLINK("https://organic.ams.usda.gov/Integrity/Certificate.aspx?cid=57&amp;nopid=3252017019")</f>
        <v>https://organic.ams.usda.gov/Integrity/Certificate.aspx?cid=57&amp;nopid=3252017019</v>
      </c>
    </row>
    <row r="2410">
      <c r="A2410" t="s">
        <v>3</v>
      </c>
      <c r="B2410" s="6" t="s">
        <v>12</v>
      </c>
      <c r="C2410" s="6" t="s">
        <v>59</v>
      </c>
      <c r="D2410" s="6" t="s">
        <v>105</v>
      </c>
      <c r="E2410" s="10" t="s">
        <v>2551</v>
      </c>
      <c r="F2410" s="6" t="s">
        <v>5258</v>
      </c>
      <c r="G2410" s="6" t="s">
        <v>81</v>
      </c>
      <c r="H2410" s="6" t="s">
        <v>8087</v>
      </c>
      <c r="I2410" s="6" t="s">
        <v>9536</v>
      </c>
      <c r="J2410" s="6" t="s">
        <v>9682</v>
      </c>
      <c r="K2410" s="6" t="s">
        <v>10886</v>
      </c>
      <c r="L2410" s="16" t="n">
        <v>37550</v>
      </c>
      <c r="M2410" s="16" t="n">
        <v>45717</v>
      </c>
      <c r="N2410" s="6" t="s">
        <v>10886</v>
      </c>
      <c r="O2410" s="16" t="n">
        <v>37550</v>
      </c>
      <c r="P2410" s="6" t="s">
        <v>10910</v>
      </c>
      <c r="Q2410" s="6" t="s">
        <v>81</v>
      </c>
      <c r="R2410" s="6" t="s">
        <v>81</v>
      </c>
      <c r="S2410" s="6" t="s">
        <v>10886</v>
      </c>
      <c r="T2410" s="16" t="n">
        <v>37550</v>
      </c>
      <c r="U2410" s="6" t="s">
        <v>13874</v>
      </c>
      <c r="V2410" s="6" t="s">
        <v>81</v>
      </c>
      <c r="W2410" s="6" t="s">
        <v>81</v>
      </c>
      <c r="X2410" s="6" t="s">
        <v>81</v>
      </c>
      <c r="Y2410" s="21" t="s">
        <v>81</v>
      </c>
      <c r="Z2410" s="6" t="s">
        <v>81</v>
      </c>
      <c r="AA2410" s="6" t="s">
        <v>81</v>
      </c>
      <c r="AB2410" s="6" t="s">
        <v>81</v>
      </c>
      <c r="AC2410" s="6" t="s">
        <v>81</v>
      </c>
      <c r="AD2410" s="21" t="s">
        <v>81</v>
      </c>
      <c r="AE2410" s="6" t="s">
        <v>81</v>
      </c>
      <c r="AF2410" s="6" t="s">
        <v>81</v>
      </c>
      <c r="AG2410" s="6" t="s">
        <v>81</v>
      </c>
      <c r="AH2410" s="6" t="s">
        <v>16950</v>
      </c>
      <c r="AI2410" s="6" t="s">
        <v>81</v>
      </c>
      <c r="AJ2410" s="6" t="s">
        <v>17734</v>
      </c>
      <c r="AK2410" s="6" t="s">
        <v>18380</v>
      </c>
      <c r="AL2410" s="6" t="s">
        <v>18444</v>
      </c>
      <c r="AM2410" s="6" t="s">
        <v>18903</v>
      </c>
      <c r="AN2410" s="6" t="s">
        <v>19639</v>
      </c>
      <c r="AO2410" s="6" t="s">
        <v>19725</v>
      </c>
      <c r="AP2410" s="6" t="s">
        <v>16950</v>
      </c>
      <c r="AQ2410" s="6" t="s">
        <v>81</v>
      </c>
      <c r="AR2410" s="6" t="s">
        <v>17734</v>
      </c>
      <c r="AS2410" s="6" t="s">
        <v>18380</v>
      </c>
      <c r="AT2410" s="6" t="s">
        <v>18444</v>
      </c>
      <c r="AU2410" s="6" t="s">
        <v>18903</v>
      </c>
      <c r="AV2410" s="6" t="s">
        <v>81</v>
      </c>
      <c r="AW2410" s="6" t="s">
        <v>81</v>
      </c>
      <c r="AX2410" s="6" t="s">
        <v>22321</v>
      </c>
      <c r="AY2410" s="6" t="s">
        <v>23415</v>
      </c>
      <c r="AZ2410" s="6" t="s">
        <v>81</v>
      </c>
      <c r="BA2410" s="6" t="s">
        <v>81</v>
      </c>
      <c r="BB2410" s="24" t="n">
        <v>665</v>
      </c>
      <c r="BC2410" s="26"/>
      <c r="BD2410" s="26"/>
      <c r="BE2410" s="26"/>
      <c r="BF2410" s="26"/>
      <c r="BG2410" s="26"/>
      <c r="BH2410" s="26"/>
      <c r="BI2410" s="26"/>
      <c r="BJ2410" s="26"/>
      <c r="BK2410" s="26"/>
      <c r="BL2410" s="26"/>
      <c r="BM2410" s="26"/>
      <c r="BN2410" s="26"/>
      <c r="BO2410" s="26"/>
      <c r="BP2410" s="16" t="n">
        <v>45684</v>
      </c>
      <c r="BQ2410" s="28" t="str">
        <f>HYPERLINK("https://organic.ams.usda.gov/Integrity/Certificate.aspx?cid=68&amp;nopid=8210003741")</f>
        <v>https://organic.ams.usda.gov/Integrity/Certificate.aspx?cid=68&amp;nopid=8210003741</v>
      </c>
    </row>
    <row r="2411">
      <c r="A2411" t="s">
        <v>3</v>
      </c>
      <c r="B2411" s="6" t="s">
        <v>35</v>
      </c>
      <c r="C2411" s="6" t="s">
        <v>82</v>
      </c>
      <c r="D2411" s="6" t="s">
        <v>127</v>
      </c>
      <c r="E2411" s="10" t="s">
        <v>2552</v>
      </c>
      <c r="F2411" s="6" t="s">
        <v>5259</v>
      </c>
      <c r="G2411" s="6" t="s">
        <v>81</v>
      </c>
      <c r="H2411" s="6" t="s">
        <v>8088</v>
      </c>
      <c r="I2411" s="6" t="s">
        <v>9151</v>
      </c>
      <c r="J2411" s="6" t="s">
        <v>10086</v>
      </c>
      <c r="K2411" s="6" t="s">
        <v>10886</v>
      </c>
      <c r="L2411" s="16" t="n">
        <v>38445</v>
      </c>
      <c r="M2411" s="16" t="n">
        <v>46163</v>
      </c>
      <c r="N2411" s="6" t="s">
        <v>10886</v>
      </c>
      <c r="O2411" s="16" t="n">
        <v>38445</v>
      </c>
      <c r="P2411" s="6" t="s">
        <v>11857</v>
      </c>
      <c r="Q2411" s="6" t="s">
        <v>81</v>
      </c>
      <c r="R2411" s="6" t="s">
        <v>13081</v>
      </c>
      <c r="S2411" s="6" t="s">
        <v>10886</v>
      </c>
      <c r="T2411" s="16" t="n">
        <v>38445</v>
      </c>
      <c r="U2411" s="6" t="s">
        <v>13320</v>
      </c>
      <c r="V2411" s="6" t="s">
        <v>81</v>
      </c>
      <c r="W2411" s="6" t="s">
        <v>13081</v>
      </c>
      <c r="X2411" s="6" t="s">
        <v>81</v>
      </c>
      <c r="Y2411" s="21" t="s">
        <v>81</v>
      </c>
      <c r="Z2411" s="6" t="s">
        <v>81</v>
      </c>
      <c r="AA2411" s="6" t="s">
        <v>81</v>
      </c>
      <c r="AB2411" s="6" t="s">
        <v>81</v>
      </c>
      <c r="AC2411" s="6" t="s">
        <v>10886</v>
      </c>
      <c r="AD2411" s="16" t="n">
        <v>45378</v>
      </c>
      <c r="AE2411" s="6" t="s">
        <v>14430</v>
      </c>
      <c r="AF2411" s="6" t="s">
        <v>81</v>
      </c>
      <c r="AG2411" s="6" t="s">
        <v>13081</v>
      </c>
      <c r="AH2411" s="6" t="s">
        <v>16951</v>
      </c>
      <c r="AI2411" s="6" t="s">
        <v>81</v>
      </c>
      <c r="AJ2411" s="6" t="s">
        <v>18292</v>
      </c>
      <c r="AK2411" s="6" t="s">
        <v>18405</v>
      </c>
      <c r="AL2411" s="6" t="s">
        <v>18444</v>
      </c>
      <c r="AM2411" s="6" t="s">
        <v>19520</v>
      </c>
      <c r="AN2411" s="6" t="s">
        <v>19692</v>
      </c>
      <c r="AO2411" s="6" t="s">
        <v>19751</v>
      </c>
      <c r="AP2411" s="6" t="s">
        <v>20429</v>
      </c>
      <c r="AQ2411" s="6" t="s">
        <v>81</v>
      </c>
      <c r="AR2411" s="6" t="s">
        <v>18292</v>
      </c>
      <c r="AS2411" s="6" t="s">
        <v>18405</v>
      </c>
      <c r="AT2411" s="6" t="s">
        <v>18444</v>
      </c>
      <c r="AU2411" s="6" t="s">
        <v>19520</v>
      </c>
      <c r="AV2411" s="6" t="s">
        <v>81</v>
      </c>
      <c r="AW2411" s="6" t="s">
        <v>81</v>
      </c>
      <c r="AX2411" s="6" t="s">
        <v>22322</v>
      </c>
      <c r="AY2411" s="6" t="s">
        <v>23416</v>
      </c>
      <c r="AZ2411" s="6" t="s">
        <v>81</v>
      </c>
      <c r="BA2411" s="6" t="s">
        <v>81</v>
      </c>
      <c r="BB2411" s="24" t="n">
        <v>354</v>
      </c>
      <c r="BC2411" s="26"/>
      <c r="BD2411" s="26"/>
      <c r="BE2411" s="26"/>
      <c r="BF2411" s="26"/>
      <c r="BG2411" s="26"/>
      <c r="BH2411" s="26"/>
      <c r="BI2411" s="26"/>
      <c r="BJ2411" s="26"/>
      <c r="BK2411" s="26"/>
      <c r="BL2411" s="26"/>
      <c r="BM2411" s="26"/>
      <c r="BN2411" s="26"/>
      <c r="BO2411" s="26"/>
      <c r="BP2411" s="16" t="n">
        <v>45723</v>
      </c>
      <c r="BQ2411" s="28" t="str">
        <f>HYPERLINK("https://organic.ams.usda.gov/Integrity/Certificate.aspx?cid=47&amp;nopid=7142071516")</f>
        <v>https://organic.ams.usda.gov/Integrity/Certificate.aspx?cid=47&amp;nopid=7142071516</v>
      </c>
    </row>
    <row r="2412">
      <c r="A2412" t="s">
        <v>3</v>
      </c>
      <c r="B2412" s="6" t="s">
        <v>8</v>
      </c>
      <c r="C2412" s="6" t="s">
        <v>55</v>
      </c>
      <c r="D2412" s="6" t="s">
        <v>101</v>
      </c>
      <c r="E2412" s="10" t="s">
        <v>2553</v>
      </c>
      <c r="F2412" s="6" t="s">
        <v>5260</v>
      </c>
      <c r="G2412" s="6" t="s">
        <v>81</v>
      </c>
      <c r="H2412" s="6" t="s">
        <v>8089</v>
      </c>
      <c r="I2412" s="6" t="s">
        <v>9537</v>
      </c>
      <c r="J2412" s="6" t="s">
        <v>9669</v>
      </c>
      <c r="K2412" s="6" t="s">
        <v>10886</v>
      </c>
      <c r="L2412" s="16" t="n">
        <v>40060</v>
      </c>
      <c r="M2412" s="16" t="n">
        <v>45689</v>
      </c>
      <c r="N2412" s="6" t="s">
        <v>10886</v>
      </c>
      <c r="O2412" s="16" t="n">
        <v>40060</v>
      </c>
      <c r="P2412" s="6" t="s">
        <v>12245</v>
      </c>
      <c r="Q2412" s="6" t="s">
        <v>81</v>
      </c>
      <c r="R2412" s="6" t="s">
        <v>8089</v>
      </c>
      <c r="S2412" s="6" t="s">
        <v>10886</v>
      </c>
      <c r="T2412" s="16" t="n">
        <v>40060</v>
      </c>
      <c r="U2412" s="6" t="s">
        <v>13271</v>
      </c>
      <c r="V2412" s="6" t="s">
        <v>81</v>
      </c>
      <c r="W2412" s="6" t="s">
        <v>8089</v>
      </c>
      <c r="X2412" s="6" t="s">
        <v>81</v>
      </c>
      <c r="Y2412" s="21" t="s">
        <v>81</v>
      </c>
      <c r="Z2412" s="6" t="s">
        <v>81</v>
      </c>
      <c r="AA2412" s="6" t="s">
        <v>81</v>
      </c>
      <c r="AB2412" s="6" t="s">
        <v>81</v>
      </c>
      <c r="AC2412" s="6" t="s">
        <v>81</v>
      </c>
      <c r="AD2412" s="21" t="s">
        <v>81</v>
      </c>
      <c r="AE2412" s="6" t="s">
        <v>81</v>
      </c>
      <c r="AF2412" s="6" t="s">
        <v>81</v>
      </c>
      <c r="AG2412" s="6" t="s">
        <v>81</v>
      </c>
      <c r="AH2412" s="6" t="s">
        <v>16952</v>
      </c>
      <c r="AI2412" s="6" t="s">
        <v>81</v>
      </c>
      <c r="AJ2412" s="6" t="s">
        <v>17528</v>
      </c>
      <c r="AK2412" s="6" t="s">
        <v>18377</v>
      </c>
      <c r="AL2412" s="6" t="s">
        <v>18444</v>
      </c>
      <c r="AM2412" s="6" t="s">
        <v>18692</v>
      </c>
      <c r="AN2412" s="6" t="s">
        <v>19639</v>
      </c>
      <c r="AO2412" s="6" t="s">
        <v>19839</v>
      </c>
      <c r="AP2412" s="6" t="s">
        <v>81</v>
      </c>
      <c r="AQ2412" s="6" t="s">
        <v>81</v>
      </c>
      <c r="AR2412" s="6" t="s">
        <v>81</v>
      </c>
      <c r="AS2412" s="6" t="s">
        <v>81</v>
      </c>
      <c r="AT2412" s="6" t="s">
        <v>81</v>
      </c>
      <c r="AU2412" s="6" t="s">
        <v>81</v>
      </c>
      <c r="AV2412" s="6" t="s">
        <v>81</v>
      </c>
      <c r="AW2412" s="6" t="s">
        <v>81</v>
      </c>
      <c r="AX2412" s="6" t="s">
        <v>81</v>
      </c>
      <c r="AY2412" s="6" t="s">
        <v>23417</v>
      </c>
      <c r="AZ2412" s="6" t="s">
        <v>81</v>
      </c>
      <c r="BA2412" s="6" t="s">
        <v>23819</v>
      </c>
      <c r="BB2412" s="24" t="n">
        <v>246</v>
      </c>
      <c r="BC2412" s="26"/>
      <c r="BD2412" s="26"/>
      <c r="BE2412" s="26"/>
      <c r="BF2412" s="26" t="s">
        <v>23900</v>
      </c>
      <c r="BG2412" s="26"/>
      <c r="BH2412" s="26"/>
      <c r="BI2412" s="26"/>
      <c r="BJ2412" s="26"/>
      <c r="BK2412" s="26"/>
      <c r="BL2412" s="26"/>
      <c r="BM2412" s="26"/>
      <c r="BN2412" s="26"/>
      <c r="BO2412" s="26"/>
      <c r="BP2412" s="16" t="n">
        <v>45674</v>
      </c>
      <c r="BQ2412" s="28" t="str">
        <f>HYPERLINK("https://organic.ams.usda.gov/Integrity/Certificate.aspx?cid=45&amp;nopid=9950003526")</f>
        <v>https://organic.ams.usda.gov/Integrity/Certificate.aspx?cid=45&amp;nopid=9950003526</v>
      </c>
    </row>
    <row r="2413">
      <c r="A2413" t="s">
        <v>3</v>
      </c>
      <c r="B2413" s="6" t="s">
        <v>29</v>
      </c>
      <c r="C2413" s="6" t="s">
        <v>76</v>
      </c>
      <c r="D2413" s="6" t="s">
        <v>122</v>
      </c>
      <c r="E2413" s="10" t="s">
        <v>2554</v>
      </c>
      <c r="F2413" s="6" t="s">
        <v>5261</v>
      </c>
      <c r="G2413" s="6" t="s">
        <v>81</v>
      </c>
      <c r="H2413" s="6" t="s">
        <v>8090</v>
      </c>
      <c r="I2413" s="6" t="s">
        <v>9538</v>
      </c>
      <c r="J2413" s="6" t="s">
        <v>10742</v>
      </c>
      <c r="K2413" s="6" t="s">
        <v>10886</v>
      </c>
      <c r="L2413" s="16" t="n">
        <v>45568</v>
      </c>
      <c r="M2413" s="16" t="n">
        <v>45933</v>
      </c>
      <c r="N2413" s="6" t="s">
        <v>81</v>
      </c>
      <c r="O2413" s="21" t="s">
        <v>81</v>
      </c>
      <c r="P2413" s="6" t="s">
        <v>81</v>
      </c>
      <c r="Q2413" s="6" t="s">
        <v>81</v>
      </c>
      <c r="R2413" s="6" t="s">
        <v>81</v>
      </c>
      <c r="S2413" s="6" t="s">
        <v>81</v>
      </c>
      <c r="T2413" s="21" t="s">
        <v>81</v>
      </c>
      <c r="U2413" s="6" t="s">
        <v>81</v>
      </c>
      <c r="V2413" s="6" t="s">
        <v>81</v>
      </c>
      <c r="W2413" s="6" t="s">
        <v>81</v>
      </c>
      <c r="X2413" s="6" t="s">
        <v>81</v>
      </c>
      <c r="Y2413" s="21" t="s">
        <v>81</v>
      </c>
      <c r="Z2413" s="6" t="s">
        <v>81</v>
      </c>
      <c r="AA2413" s="6" t="s">
        <v>81</v>
      </c>
      <c r="AB2413" s="6" t="s">
        <v>81</v>
      </c>
      <c r="AC2413" s="6" t="s">
        <v>10886</v>
      </c>
      <c r="AD2413" s="16" t="n">
        <v>45568</v>
      </c>
      <c r="AE2413" s="6" t="s">
        <v>14431</v>
      </c>
      <c r="AF2413" s="6" t="s">
        <v>81</v>
      </c>
      <c r="AG2413" s="6" t="s">
        <v>14596</v>
      </c>
      <c r="AH2413" s="6" t="s">
        <v>16953</v>
      </c>
      <c r="AI2413" s="6" t="s">
        <v>81</v>
      </c>
      <c r="AJ2413" s="6" t="s">
        <v>18293</v>
      </c>
      <c r="AK2413" s="6" t="s">
        <v>17955</v>
      </c>
      <c r="AL2413" s="6" t="s">
        <v>18444</v>
      </c>
      <c r="AM2413" s="6" t="s">
        <v>19521</v>
      </c>
      <c r="AN2413" s="6" t="s">
        <v>81</v>
      </c>
      <c r="AO2413" s="6" t="s">
        <v>81</v>
      </c>
      <c r="AP2413" s="6" t="s">
        <v>20430</v>
      </c>
      <c r="AQ2413" s="6" t="s">
        <v>81</v>
      </c>
      <c r="AR2413" s="6" t="s">
        <v>20579</v>
      </c>
      <c r="AS2413" s="6" t="s">
        <v>17955</v>
      </c>
      <c r="AT2413" s="6" t="s">
        <v>18444</v>
      </c>
      <c r="AU2413" s="6" t="s">
        <v>20704</v>
      </c>
      <c r="AV2413" s="6" t="s">
        <v>81</v>
      </c>
      <c r="AW2413" s="6" t="s">
        <v>81</v>
      </c>
      <c r="AX2413" s="6" t="s">
        <v>22323</v>
      </c>
      <c r="AY2413" s="6" t="s">
        <v>23418</v>
      </c>
      <c r="AZ2413" s="6" t="s">
        <v>81</v>
      </c>
      <c r="BA2413" s="6" t="s">
        <v>81</v>
      </c>
      <c r="BB2413" s="6" t="s">
        <v>81</v>
      </c>
      <c r="BC2413" s="26"/>
      <c r="BD2413" s="26"/>
      <c r="BE2413" s="26"/>
      <c r="BF2413" s="26"/>
      <c r="BG2413" s="26"/>
      <c r="BH2413" s="26"/>
      <c r="BI2413" s="26"/>
      <c r="BJ2413" s="26"/>
      <c r="BK2413" s="26"/>
      <c r="BL2413" s="26"/>
      <c r="BM2413" s="26"/>
      <c r="BN2413" s="26"/>
      <c r="BO2413" s="26"/>
      <c r="BP2413" s="16" t="n">
        <v>45737</v>
      </c>
      <c r="BQ2413" s="28" t="str">
        <f>HYPERLINK("https://organic.ams.usda.gov/Integrity/Certificate.aspx?cid=31&amp;nopid=3928972448")</f>
        <v>https://organic.ams.usda.gov/Integrity/Certificate.aspx?cid=31&amp;nopid=3928972448</v>
      </c>
    </row>
    <row r="2414">
      <c r="A2414" t="s">
        <v>3</v>
      </c>
      <c r="B2414" s="6" t="s">
        <v>15</v>
      </c>
      <c r="C2414" s="6" t="s">
        <v>62</v>
      </c>
      <c r="D2414" s="6" t="s">
        <v>108</v>
      </c>
      <c r="E2414" s="10" t="s">
        <v>2555</v>
      </c>
      <c r="F2414" s="6" t="s">
        <v>5262</v>
      </c>
      <c r="G2414" s="6" t="s">
        <v>5855</v>
      </c>
      <c r="H2414" s="6" t="s">
        <v>8091</v>
      </c>
      <c r="I2414" s="6" t="s">
        <v>9539</v>
      </c>
      <c r="J2414" s="6" t="s">
        <v>10743</v>
      </c>
      <c r="K2414" s="6" t="s">
        <v>10886</v>
      </c>
      <c r="L2414" s="16" t="n">
        <v>45405</v>
      </c>
      <c r="M2414" s="16" t="n">
        <v>45747</v>
      </c>
      <c r="N2414" s="6" t="s">
        <v>81</v>
      </c>
      <c r="O2414" s="21" t="s">
        <v>81</v>
      </c>
      <c r="P2414" s="6" t="s">
        <v>81</v>
      </c>
      <c r="Q2414" s="6" t="s">
        <v>81</v>
      </c>
      <c r="R2414" s="6" t="s">
        <v>81</v>
      </c>
      <c r="S2414" s="6" t="s">
        <v>81</v>
      </c>
      <c r="T2414" s="21" t="s">
        <v>81</v>
      </c>
      <c r="U2414" s="6" t="s">
        <v>81</v>
      </c>
      <c r="V2414" s="6" t="s">
        <v>81</v>
      </c>
      <c r="W2414" s="6" t="s">
        <v>81</v>
      </c>
      <c r="X2414" s="6" t="s">
        <v>81</v>
      </c>
      <c r="Y2414" s="21" t="s">
        <v>81</v>
      </c>
      <c r="Z2414" s="6" t="s">
        <v>81</v>
      </c>
      <c r="AA2414" s="6" t="s">
        <v>81</v>
      </c>
      <c r="AB2414" s="6" t="s">
        <v>81</v>
      </c>
      <c r="AC2414" s="6" t="s">
        <v>10886</v>
      </c>
      <c r="AD2414" s="16" t="n">
        <v>45405</v>
      </c>
      <c r="AE2414" s="6" t="s">
        <v>14432</v>
      </c>
      <c r="AF2414" s="6" t="s">
        <v>81</v>
      </c>
      <c r="AG2414" s="6" t="s">
        <v>81</v>
      </c>
      <c r="AH2414" s="6" t="s">
        <v>16954</v>
      </c>
      <c r="AI2414" s="6" t="s">
        <v>81</v>
      </c>
      <c r="AJ2414" s="6" t="s">
        <v>18294</v>
      </c>
      <c r="AK2414" s="6" t="s">
        <v>17759</v>
      </c>
      <c r="AL2414" s="6" t="s">
        <v>18444</v>
      </c>
      <c r="AM2414" s="6" t="s">
        <v>19522</v>
      </c>
      <c r="AN2414" s="6" t="s">
        <v>81</v>
      </c>
      <c r="AO2414" s="6" t="s">
        <v>81</v>
      </c>
      <c r="AP2414" s="6" t="s">
        <v>16954</v>
      </c>
      <c r="AQ2414" s="6" t="s">
        <v>81</v>
      </c>
      <c r="AR2414" s="6" t="s">
        <v>18294</v>
      </c>
      <c r="AS2414" s="6" t="s">
        <v>17759</v>
      </c>
      <c r="AT2414" s="6" t="s">
        <v>18444</v>
      </c>
      <c r="AU2414" s="6" t="s">
        <v>19522</v>
      </c>
      <c r="AV2414" s="6" t="s">
        <v>81</v>
      </c>
      <c r="AW2414" s="6" t="s">
        <v>81</v>
      </c>
      <c r="AX2414" s="6" t="s">
        <v>22324</v>
      </c>
      <c r="AY2414" s="6" t="s">
        <v>23419</v>
      </c>
      <c r="AZ2414" s="6" t="s">
        <v>23777</v>
      </c>
      <c r="BA2414" s="6" t="s">
        <v>81</v>
      </c>
      <c r="BB2414" s="6" t="s">
        <v>81</v>
      </c>
      <c r="BC2414" s="26"/>
      <c r="BD2414" s="26"/>
      <c r="BE2414" s="26"/>
      <c r="BF2414" s="26"/>
      <c r="BG2414" s="26" t="s">
        <v>23900</v>
      </c>
      <c r="BH2414" s="26"/>
      <c r="BI2414" s="26"/>
      <c r="BJ2414" s="26"/>
      <c r="BK2414" s="26"/>
      <c r="BL2414" s="26" t="s">
        <v>23900</v>
      </c>
      <c r="BM2414" s="26"/>
      <c r="BN2414" s="26"/>
      <c r="BO2414" s="26"/>
      <c r="BP2414" s="16" t="n">
        <v>45737</v>
      </c>
      <c r="BQ2414" s="28" t="str">
        <f>HYPERLINK("https://organic.ams.usda.gov/Integrity/Certificate.aspx?cid=58&amp;nopid=1600003749")</f>
        <v>https://organic.ams.usda.gov/Integrity/Certificate.aspx?cid=58&amp;nopid=1600003749</v>
      </c>
    </row>
    <row r="2415">
      <c r="A2415" t="s">
        <v>3</v>
      </c>
      <c r="B2415" s="6" t="s">
        <v>19</v>
      </c>
      <c r="C2415" s="6" t="s">
        <v>66</v>
      </c>
      <c r="D2415" s="6" t="s">
        <v>112</v>
      </c>
      <c r="E2415" s="10" t="s">
        <v>2556</v>
      </c>
      <c r="F2415" s="6" t="s">
        <v>5263</v>
      </c>
      <c r="G2415" s="6" t="s">
        <v>81</v>
      </c>
      <c r="H2415" s="6" t="s">
        <v>8092</v>
      </c>
      <c r="I2415" s="6" t="s">
        <v>81</v>
      </c>
      <c r="J2415" s="6" t="s">
        <v>10744</v>
      </c>
      <c r="K2415" s="6" t="s">
        <v>10886</v>
      </c>
      <c r="L2415" s="16" t="n">
        <v>44200</v>
      </c>
      <c r="M2415" s="16" t="n">
        <v>46054</v>
      </c>
      <c r="N2415" s="6" t="s">
        <v>10886</v>
      </c>
      <c r="O2415" s="16" t="n">
        <v>44200</v>
      </c>
      <c r="P2415" s="6" t="s">
        <v>12246</v>
      </c>
      <c r="Q2415" s="6" t="s">
        <v>81</v>
      </c>
      <c r="R2415" s="6" t="s">
        <v>81</v>
      </c>
      <c r="S2415" s="6" t="s">
        <v>81</v>
      </c>
      <c r="T2415" s="21" t="s">
        <v>81</v>
      </c>
      <c r="U2415" s="6" t="s">
        <v>81</v>
      </c>
      <c r="V2415" s="6" t="s">
        <v>81</v>
      </c>
      <c r="W2415" s="6" t="s">
        <v>81</v>
      </c>
      <c r="X2415" s="6" t="s">
        <v>81</v>
      </c>
      <c r="Y2415" s="21" t="s">
        <v>81</v>
      </c>
      <c r="Z2415" s="6" t="s">
        <v>81</v>
      </c>
      <c r="AA2415" s="6" t="s">
        <v>81</v>
      </c>
      <c r="AB2415" s="6" t="s">
        <v>81</v>
      </c>
      <c r="AC2415" s="6" t="s">
        <v>10886</v>
      </c>
      <c r="AD2415" s="16" t="n">
        <v>44200</v>
      </c>
      <c r="AE2415" s="6" t="s">
        <v>14433</v>
      </c>
      <c r="AF2415" s="6" t="s">
        <v>81</v>
      </c>
      <c r="AG2415" s="6" t="s">
        <v>81</v>
      </c>
      <c r="AH2415" s="6" t="s">
        <v>16955</v>
      </c>
      <c r="AI2415" s="6" t="s">
        <v>81</v>
      </c>
      <c r="AJ2415" s="6" t="s">
        <v>17363</v>
      </c>
      <c r="AK2415" s="6" t="s">
        <v>17712</v>
      </c>
      <c r="AL2415" s="6" t="s">
        <v>18444</v>
      </c>
      <c r="AM2415" s="6" t="s">
        <v>18515</v>
      </c>
      <c r="AN2415" s="6" t="s">
        <v>19657</v>
      </c>
      <c r="AO2415" s="6" t="s">
        <v>19751</v>
      </c>
      <c r="AP2415" s="6" t="s">
        <v>81</v>
      </c>
      <c r="AQ2415" s="6" t="s">
        <v>81</v>
      </c>
      <c r="AR2415" s="6" t="s">
        <v>81</v>
      </c>
      <c r="AS2415" s="6" t="s">
        <v>81</v>
      </c>
      <c r="AT2415" s="6" t="s">
        <v>81</v>
      </c>
      <c r="AU2415" s="6" t="s">
        <v>81</v>
      </c>
      <c r="AV2415" s="6" t="s">
        <v>81</v>
      </c>
      <c r="AW2415" s="6" t="s">
        <v>81</v>
      </c>
      <c r="AX2415" s="6" t="s">
        <v>22325</v>
      </c>
      <c r="AY2415" s="6" t="s">
        <v>23420</v>
      </c>
      <c r="AZ2415" s="6" t="s">
        <v>81</v>
      </c>
      <c r="BA2415" s="6" t="s">
        <v>23854</v>
      </c>
      <c r="BB2415" s="24" t="n">
        <v>158</v>
      </c>
      <c r="BC2415" s="26"/>
      <c r="BD2415" s="26"/>
      <c r="BE2415" s="26"/>
      <c r="BF2415" s="26" t="s">
        <v>23900</v>
      </c>
      <c r="BG2415" s="26" t="s">
        <v>23900</v>
      </c>
      <c r="BH2415" s="26"/>
      <c r="BI2415" s="26"/>
      <c r="BJ2415" s="26"/>
      <c r="BK2415" s="26"/>
      <c r="BL2415" s="26"/>
      <c r="BM2415" s="26"/>
      <c r="BN2415" s="26"/>
      <c r="BO2415" s="26"/>
      <c r="BP2415" s="16" t="n">
        <v>45690</v>
      </c>
      <c r="BQ2415" s="28" t="str">
        <f>HYPERLINK("https://organic.ams.usda.gov/Integrity/Certificate.aspx?cid=24&amp;nopid=7880168946")</f>
        <v>https://organic.ams.usda.gov/Integrity/Certificate.aspx?cid=24&amp;nopid=7880168946</v>
      </c>
    </row>
    <row r="2416">
      <c r="A2416" t="s">
        <v>3</v>
      </c>
      <c r="B2416" s="6" t="s">
        <v>8</v>
      </c>
      <c r="C2416" s="6" t="s">
        <v>55</v>
      </c>
      <c r="D2416" s="6" t="s">
        <v>101</v>
      </c>
      <c r="E2416" s="10" t="s">
        <v>2557</v>
      </c>
      <c r="F2416" s="6" t="s">
        <v>5264</v>
      </c>
      <c r="G2416" s="6" t="s">
        <v>81</v>
      </c>
      <c r="H2416" s="6" t="s">
        <v>8093</v>
      </c>
      <c r="I2416" s="6" t="s">
        <v>8799</v>
      </c>
      <c r="J2416" s="6" t="s">
        <v>10745</v>
      </c>
      <c r="K2416" s="6" t="s">
        <v>10886</v>
      </c>
      <c r="L2416" s="16" t="n">
        <v>39059</v>
      </c>
      <c r="M2416" s="16" t="n">
        <v>45748</v>
      </c>
      <c r="N2416" s="6" t="s">
        <v>10886</v>
      </c>
      <c r="O2416" s="16" t="n">
        <v>39059</v>
      </c>
      <c r="P2416" s="6" t="s">
        <v>12247</v>
      </c>
      <c r="Q2416" s="6" t="s">
        <v>81</v>
      </c>
      <c r="R2416" s="6" t="s">
        <v>8093</v>
      </c>
      <c r="S2416" s="6" t="s">
        <v>10886</v>
      </c>
      <c r="T2416" s="16" t="n">
        <v>39059</v>
      </c>
      <c r="U2416" s="6" t="s">
        <v>13179</v>
      </c>
      <c r="V2416" s="6" t="s">
        <v>81</v>
      </c>
      <c r="W2416" s="6" t="s">
        <v>8093</v>
      </c>
      <c r="X2416" s="6" t="s">
        <v>81</v>
      </c>
      <c r="Y2416" s="21" t="s">
        <v>81</v>
      </c>
      <c r="Z2416" s="6" t="s">
        <v>81</v>
      </c>
      <c r="AA2416" s="6" t="s">
        <v>81</v>
      </c>
      <c r="AB2416" s="6" t="s">
        <v>81</v>
      </c>
      <c r="AC2416" s="6" t="s">
        <v>81</v>
      </c>
      <c r="AD2416" s="21" t="s">
        <v>81</v>
      </c>
      <c r="AE2416" s="6" t="s">
        <v>81</v>
      </c>
      <c r="AF2416" s="6" t="s">
        <v>81</v>
      </c>
      <c r="AG2416" s="6" t="s">
        <v>81</v>
      </c>
      <c r="AH2416" s="6" t="s">
        <v>16956</v>
      </c>
      <c r="AI2416" s="6" t="s">
        <v>81</v>
      </c>
      <c r="AJ2416" s="6" t="s">
        <v>18295</v>
      </c>
      <c r="AK2416" s="6" t="s">
        <v>18381</v>
      </c>
      <c r="AL2416" s="6" t="s">
        <v>18444</v>
      </c>
      <c r="AM2416" s="6" t="s">
        <v>19523</v>
      </c>
      <c r="AN2416" s="6" t="s">
        <v>19707</v>
      </c>
      <c r="AO2416" s="6" t="s">
        <v>20018</v>
      </c>
      <c r="AP2416" s="6" t="s">
        <v>81</v>
      </c>
      <c r="AQ2416" s="6" t="s">
        <v>81</v>
      </c>
      <c r="AR2416" s="6" t="s">
        <v>81</v>
      </c>
      <c r="AS2416" s="6" t="s">
        <v>81</v>
      </c>
      <c r="AT2416" s="6" t="s">
        <v>81</v>
      </c>
      <c r="AU2416" s="6" t="s">
        <v>81</v>
      </c>
      <c r="AV2416" s="6" t="s">
        <v>81</v>
      </c>
      <c r="AW2416" s="6" t="s">
        <v>81</v>
      </c>
      <c r="AX2416" s="6" t="s">
        <v>81</v>
      </c>
      <c r="AY2416" s="6" t="s">
        <v>23421</v>
      </c>
      <c r="AZ2416" s="6" t="s">
        <v>81</v>
      </c>
      <c r="BA2416" s="6" t="s">
        <v>23824</v>
      </c>
      <c r="BB2416" s="24" t="n">
        <v>641</v>
      </c>
      <c r="BC2416" s="26"/>
      <c r="BD2416" s="26"/>
      <c r="BE2416" s="26"/>
      <c r="BF2416" s="26" t="s">
        <v>23900</v>
      </c>
      <c r="BG2416" s="26"/>
      <c r="BH2416" s="26"/>
      <c r="BI2416" s="26"/>
      <c r="BJ2416" s="26"/>
      <c r="BK2416" s="26"/>
      <c r="BL2416" s="26"/>
      <c r="BM2416" s="26"/>
      <c r="BN2416" s="26"/>
      <c r="BO2416" s="26"/>
      <c r="BP2416" s="16" t="n">
        <v>45575</v>
      </c>
      <c r="BQ2416" s="28" t="str">
        <f>HYPERLINK("https://organic.ams.usda.gov/Integrity/Certificate.aspx?cid=45&amp;nopid=9950002254")</f>
        <v>https://organic.ams.usda.gov/Integrity/Certificate.aspx?cid=45&amp;nopid=9950002254</v>
      </c>
    </row>
    <row r="2417">
      <c r="A2417" t="s">
        <v>3</v>
      </c>
      <c r="B2417" s="6" t="s">
        <v>25</v>
      </c>
      <c r="C2417" s="6" t="s">
        <v>72</v>
      </c>
      <c r="D2417" s="6" t="s">
        <v>118</v>
      </c>
      <c r="E2417" s="10" t="s">
        <v>2558</v>
      </c>
      <c r="F2417" s="6" t="s">
        <v>5265</v>
      </c>
      <c r="G2417" s="6" t="s">
        <v>5856</v>
      </c>
      <c r="H2417" s="6" t="s">
        <v>8094</v>
      </c>
      <c r="I2417" s="6" t="s">
        <v>8439</v>
      </c>
      <c r="J2417" s="6" t="s">
        <v>10746</v>
      </c>
      <c r="K2417" s="6" t="s">
        <v>10886</v>
      </c>
      <c r="L2417" s="16" t="n">
        <v>31472</v>
      </c>
      <c r="M2417" s="16" t="n">
        <v>46023</v>
      </c>
      <c r="N2417" s="6" t="s">
        <v>10886</v>
      </c>
      <c r="O2417" s="16" t="n">
        <v>31472</v>
      </c>
      <c r="P2417" s="6" t="s">
        <v>12248</v>
      </c>
      <c r="Q2417" s="6" t="s">
        <v>81</v>
      </c>
      <c r="R2417" s="6" t="s">
        <v>81</v>
      </c>
      <c r="S2417" s="6" t="s">
        <v>10886</v>
      </c>
      <c r="T2417" s="16" t="n">
        <v>42968</v>
      </c>
      <c r="U2417" s="6" t="s">
        <v>13875</v>
      </c>
      <c r="V2417" s="6" t="s">
        <v>81</v>
      </c>
      <c r="W2417" s="6" t="s">
        <v>81</v>
      </c>
      <c r="X2417" s="6" t="s">
        <v>81</v>
      </c>
      <c r="Y2417" s="21" t="s">
        <v>81</v>
      </c>
      <c r="Z2417" s="6" t="s">
        <v>81</v>
      </c>
      <c r="AA2417" s="6" t="s">
        <v>81</v>
      </c>
      <c r="AB2417" s="6" t="s">
        <v>81</v>
      </c>
      <c r="AC2417" s="6" t="s">
        <v>81</v>
      </c>
      <c r="AD2417" s="21" t="s">
        <v>81</v>
      </c>
      <c r="AE2417" s="6" t="s">
        <v>81</v>
      </c>
      <c r="AF2417" s="6" t="s">
        <v>81</v>
      </c>
      <c r="AG2417" s="6" t="s">
        <v>81</v>
      </c>
      <c r="AH2417" s="6" t="s">
        <v>16957</v>
      </c>
      <c r="AI2417" s="6" t="s">
        <v>81</v>
      </c>
      <c r="AJ2417" s="6" t="s">
        <v>18296</v>
      </c>
      <c r="AK2417" s="6" t="s">
        <v>18386</v>
      </c>
      <c r="AL2417" s="6" t="s">
        <v>18444</v>
      </c>
      <c r="AM2417" s="6" t="s">
        <v>19524</v>
      </c>
      <c r="AN2417" s="6" t="s">
        <v>19650</v>
      </c>
      <c r="AO2417" s="6" t="s">
        <v>20059</v>
      </c>
      <c r="AP2417" s="6" t="s">
        <v>16957</v>
      </c>
      <c r="AQ2417" s="6" t="s">
        <v>81</v>
      </c>
      <c r="AR2417" s="6" t="s">
        <v>18296</v>
      </c>
      <c r="AS2417" s="6" t="s">
        <v>18386</v>
      </c>
      <c r="AT2417" s="6" t="s">
        <v>18444</v>
      </c>
      <c r="AU2417" s="6" t="s">
        <v>19524</v>
      </c>
      <c r="AV2417" s="6" t="s">
        <v>81</v>
      </c>
      <c r="AW2417" s="6" t="s">
        <v>81</v>
      </c>
      <c r="AX2417" s="6" t="s">
        <v>22326</v>
      </c>
      <c r="AY2417" s="6" t="s">
        <v>23422</v>
      </c>
      <c r="AZ2417" s="6" t="s">
        <v>23778</v>
      </c>
      <c r="BA2417" s="6" t="s">
        <v>23827</v>
      </c>
      <c r="BB2417" s="24" t="n">
        <v>7000</v>
      </c>
      <c r="BC2417" s="26"/>
      <c r="BD2417" s="26"/>
      <c r="BE2417" s="26"/>
      <c r="BF2417" s="26"/>
      <c r="BG2417" s="26"/>
      <c r="BH2417" s="26"/>
      <c r="BI2417" s="26"/>
      <c r="BJ2417" s="26"/>
      <c r="BK2417" s="26"/>
      <c r="BL2417" s="26"/>
      <c r="BM2417" s="26"/>
      <c r="BN2417" s="26"/>
      <c r="BO2417" s="26"/>
      <c r="BP2417" s="16" t="n">
        <v>45698</v>
      </c>
      <c r="BQ2417" s="28" t="str">
        <f>HYPERLINK("https://organic.ams.usda.gov/Integrity/Certificate.aspx?cid=15&amp;nopid=5561001500")</f>
        <v>https://organic.ams.usda.gov/Integrity/Certificate.aspx?cid=15&amp;nopid=5561001500</v>
      </c>
    </row>
    <row r="2418">
      <c r="A2418" t="s">
        <v>3</v>
      </c>
      <c r="B2418" s="6" t="s">
        <v>29</v>
      </c>
      <c r="C2418" s="6" t="s">
        <v>76</v>
      </c>
      <c r="D2418" s="6" t="s">
        <v>122</v>
      </c>
      <c r="E2418" s="10" t="s">
        <v>2559</v>
      </c>
      <c r="F2418" s="6" t="s">
        <v>5266</v>
      </c>
      <c r="G2418" s="6" t="s">
        <v>81</v>
      </c>
      <c r="H2418" s="6" t="s">
        <v>8095</v>
      </c>
      <c r="I2418" s="6" t="s">
        <v>8651</v>
      </c>
      <c r="J2418" s="6" t="s">
        <v>10747</v>
      </c>
      <c r="K2418" s="6" t="s">
        <v>10886</v>
      </c>
      <c r="L2418" s="16" t="n">
        <v>37848</v>
      </c>
      <c r="M2418" s="16" t="n">
        <v>45505</v>
      </c>
      <c r="N2418" s="6" t="s">
        <v>10886</v>
      </c>
      <c r="O2418" s="16" t="n">
        <v>37848</v>
      </c>
      <c r="P2418" s="6" t="s">
        <v>12249</v>
      </c>
      <c r="Q2418" s="6" t="s">
        <v>81</v>
      </c>
      <c r="R2418" s="6" t="s">
        <v>13082</v>
      </c>
      <c r="S2418" s="6" t="s">
        <v>10886</v>
      </c>
      <c r="T2418" s="16" t="n">
        <v>37848</v>
      </c>
      <c r="U2418" s="6" t="s">
        <v>13222</v>
      </c>
      <c r="V2418" s="6" t="s">
        <v>81</v>
      </c>
      <c r="W2418" s="6" t="s">
        <v>13082</v>
      </c>
      <c r="X2418" s="6" t="s">
        <v>81</v>
      </c>
      <c r="Y2418" s="21" t="s">
        <v>81</v>
      </c>
      <c r="Z2418" s="6" t="s">
        <v>81</v>
      </c>
      <c r="AA2418" s="6" t="s">
        <v>81</v>
      </c>
      <c r="AB2418" s="6" t="s">
        <v>81</v>
      </c>
      <c r="AC2418" s="6" t="s">
        <v>81</v>
      </c>
      <c r="AD2418" s="21" t="s">
        <v>81</v>
      </c>
      <c r="AE2418" s="6" t="s">
        <v>81</v>
      </c>
      <c r="AF2418" s="6" t="s">
        <v>81</v>
      </c>
      <c r="AG2418" s="6" t="s">
        <v>81</v>
      </c>
      <c r="AH2418" s="6" t="s">
        <v>16958</v>
      </c>
      <c r="AI2418" s="6" t="s">
        <v>81</v>
      </c>
      <c r="AJ2418" s="6" t="s">
        <v>18030</v>
      </c>
      <c r="AK2418" s="6" t="s">
        <v>18377</v>
      </c>
      <c r="AL2418" s="6" t="s">
        <v>18444</v>
      </c>
      <c r="AM2418" s="6" t="s">
        <v>19525</v>
      </c>
      <c r="AN2418" s="6" t="s">
        <v>19648</v>
      </c>
      <c r="AO2418" s="6" t="s">
        <v>19889</v>
      </c>
      <c r="AP2418" s="6" t="s">
        <v>81</v>
      </c>
      <c r="AQ2418" s="6" t="s">
        <v>81</v>
      </c>
      <c r="AR2418" s="6" t="s">
        <v>81</v>
      </c>
      <c r="AS2418" s="6" t="s">
        <v>81</v>
      </c>
      <c r="AT2418" s="6" t="s">
        <v>81</v>
      </c>
      <c r="AU2418" s="6" t="s">
        <v>81</v>
      </c>
      <c r="AV2418" s="6" t="s">
        <v>81</v>
      </c>
      <c r="AW2418" s="6" t="s">
        <v>81</v>
      </c>
      <c r="AX2418" s="6" t="s">
        <v>22327</v>
      </c>
      <c r="AY2418" s="6" t="s">
        <v>81</v>
      </c>
      <c r="AZ2418" s="6" t="s">
        <v>81</v>
      </c>
      <c r="BA2418" s="6" t="s">
        <v>81</v>
      </c>
      <c r="BB2418" s="24" t="n">
        <v>318</v>
      </c>
      <c r="BC2418" s="26"/>
      <c r="BD2418" s="26"/>
      <c r="BE2418" s="26"/>
      <c r="BF2418" s="26" t="s">
        <v>23900</v>
      </c>
      <c r="BG2418" s="26"/>
      <c r="BH2418" s="26"/>
      <c r="BI2418" s="26"/>
      <c r="BJ2418" s="26"/>
      <c r="BK2418" s="26"/>
      <c r="BL2418" s="26"/>
      <c r="BM2418" s="26"/>
      <c r="BN2418" s="26"/>
      <c r="BO2418" s="26"/>
      <c r="BP2418" s="16" t="n">
        <v>45737</v>
      </c>
      <c r="BQ2418" s="28" t="str">
        <f>HYPERLINK("https://organic.ams.usda.gov/Integrity/Certificate.aspx?cid=31&amp;nopid=3920897293")</f>
        <v>https://organic.ams.usda.gov/Integrity/Certificate.aspx?cid=31&amp;nopid=3920897293</v>
      </c>
    </row>
    <row r="2419">
      <c r="A2419" t="s">
        <v>3</v>
      </c>
      <c r="B2419" s="6" t="s">
        <v>12</v>
      </c>
      <c r="C2419" s="6" t="s">
        <v>59</v>
      </c>
      <c r="D2419" s="6" t="s">
        <v>105</v>
      </c>
      <c r="E2419" s="10" t="s">
        <v>2560</v>
      </c>
      <c r="F2419" s="6" t="s">
        <v>5267</v>
      </c>
      <c r="G2419" s="6" t="s">
        <v>81</v>
      </c>
      <c r="H2419" s="6" t="s">
        <v>8096</v>
      </c>
      <c r="I2419" s="6" t="s">
        <v>9540</v>
      </c>
      <c r="J2419" s="6" t="s">
        <v>9666</v>
      </c>
      <c r="K2419" s="6" t="s">
        <v>10886</v>
      </c>
      <c r="L2419" s="16" t="n">
        <v>41382</v>
      </c>
      <c r="M2419" s="16" t="n">
        <v>45717</v>
      </c>
      <c r="N2419" s="6" t="s">
        <v>10886</v>
      </c>
      <c r="O2419" s="16" t="n">
        <v>41382</v>
      </c>
      <c r="P2419" s="6" t="s">
        <v>10910</v>
      </c>
      <c r="Q2419" s="6" t="s">
        <v>81</v>
      </c>
      <c r="R2419" s="6" t="s">
        <v>81</v>
      </c>
      <c r="S2419" s="6" t="s">
        <v>10886</v>
      </c>
      <c r="T2419" s="16" t="n">
        <v>41382</v>
      </c>
      <c r="U2419" s="6" t="s">
        <v>13166</v>
      </c>
      <c r="V2419" s="6" t="s">
        <v>81</v>
      </c>
      <c r="W2419" s="6" t="s">
        <v>81</v>
      </c>
      <c r="X2419" s="6" t="s">
        <v>81</v>
      </c>
      <c r="Y2419" s="21" t="s">
        <v>81</v>
      </c>
      <c r="Z2419" s="6" t="s">
        <v>81</v>
      </c>
      <c r="AA2419" s="6" t="s">
        <v>81</v>
      </c>
      <c r="AB2419" s="6" t="s">
        <v>81</v>
      </c>
      <c r="AC2419" s="6" t="s">
        <v>81</v>
      </c>
      <c r="AD2419" s="21" t="s">
        <v>81</v>
      </c>
      <c r="AE2419" s="6" t="s">
        <v>81</v>
      </c>
      <c r="AF2419" s="6" t="s">
        <v>81</v>
      </c>
      <c r="AG2419" s="6" t="s">
        <v>81</v>
      </c>
      <c r="AH2419" s="6" t="s">
        <v>16959</v>
      </c>
      <c r="AI2419" s="6" t="s">
        <v>81</v>
      </c>
      <c r="AJ2419" s="6" t="s">
        <v>17741</v>
      </c>
      <c r="AK2419" s="6" t="s">
        <v>18380</v>
      </c>
      <c r="AL2419" s="6" t="s">
        <v>18444</v>
      </c>
      <c r="AM2419" s="6" t="s">
        <v>18908</v>
      </c>
      <c r="AN2419" s="6" t="s">
        <v>19681</v>
      </c>
      <c r="AO2419" s="6" t="s">
        <v>19805</v>
      </c>
      <c r="AP2419" s="6" t="s">
        <v>16959</v>
      </c>
      <c r="AQ2419" s="6" t="s">
        <v>81</v>
      </c>
      <c r="AR2419" s="6" t="s">
        <v>17741</v>
      </c>
      <c r="AS2419" s="6" t="s">
        <v>18380</v>
      </c>
      <c r="AT2419" s="6" t="s">
        <v>18444</v>
      </c>
      <c r="AU2419" s="6" t="s">
        <v>18908</v>
      </c>
      <c r="AV2419" s="6" t="s">
        <v>81</v>
      </c>
      <c r="AW2419" s="6" t="s">
        <v>81</v>
      </c>
      <c r="AX2419" s="6" t="s">
        <v>22328</v>
      </c>
      <c r="AY2419" s="6" t="s">
        <v>81</v>
      </c>
      <c r="AZ2419" s="6" t="s">
        <v>81</v>
      </c>
      <c r="BA2419" s="6" t="s">
        <v>81</v>
      </c>
      <c r="BB2419" s="24" t="n">
        <v>118</v>
      </c>
      <c r="BC2419" s="26"/>
      <c r="BD2419" s="26"/>
      <c r="BE2419" s="26"/>
      <c r="BF2419" s="26"/>
      <c r="BG2419" s="26"/>
      <c r="BH2419" s="26"/>
      <c r="BI2419" s="26"/>
      <c r="BJ2419" s="26"/>
      <c r="BK2419" s="26"/>
      <c r="BL2419" s="26"/>
      <c r="BM2419" s="26"/>
      <c r="BN2419" s="26"/>
      <c r="BO2419" s="26"/>
      <c r="BP2419" s="16" t="n">
        <v>45684</v>
      </c>
      <c r="BQ2419" s="28" t="str">
        <f>HYPERLINK("https://organic.ams.usda.gov/Integrity/Certificate.aspx?cid=68&amp;nopid=8210003291")</f>
        <v>https://organic.ams.usda.gov/Integrity/Certificate.aspx?cid=68&amp;nopid=8210003291</v>
      </c>
    </row>
    <row r="2420">
      <c r="A2420" t="s">
        <v>3</v>
      </c>
      <c r="B2420" s="6" t="s">
        <v>12</v>
      </c>
      <c r="C2420" s="6" t="s">
        <v>59</v>
      </c>
      <c r="D2420" s="6" t="s">
        <v>105</v>
      </c>
      <c r="E2420" s="10" t="s">
        <v>2561</v>
      </c>
      <c r="F2420" s="6" t="s">
        <v>5268</v>
      </c>
      <c r="G2420" s="6" t="s">
        <v>81</v>
      </c>
      <c r="H2420" s="6" t="s">
        <v>8097</v>
      </c>
      <c r="I2420" s="6" t="s">
        <v>9541</v>
      </c>
      <c r="J2420" s="6" t="s">
        <v>9671</v>
      </c>
      <c r="K2420" s="6" t="s">
        <v>10886</v>
      </c>
      <c r="L2420" s="16" t="n">
        <v>43007</v>
      </c>
      <c r="M2420" s="16" t="n">
        <v>45717</v>
      </c>
      <c r="N2420" s="6" t="s">
        <v>10886</v>
      </c>
      <c r="O2420" s="16" t="n">
        <v>43007</v>
      </c>
      <c r="P2420" s="6" t="s">
        <v>11629</v>
      </c>
      <c r="Q2420" s="6" t="s">
        <v>81</v>
      </c>
      <c r="R2420" s="6" t="s">
        <v>81</v>
      </c>
      <c r="S2420" s="6" t="s">
        <v>10886</v>
      </c>
      <c r="T2420" s="16" t="n">
        <v>43007</v>
      </c>
      <c r="U2420" s="6" t="s">
        <v>13876</v>
      </c>
      <c r="V2420" s="6" t="s">
        <v>81</v>
      </c>
      <c r="W2420" s="6" t="s">
        <v>81</v>
      </c>
      <c r="X2420" s="6" t="s">
        <v>81</v>
      </c>
      <c r="Y2420" s="21" t="s">
        <v>81</v>
      </c>
      <c r="Z2420" s="6" t="s">
        <v>81</v>
      </c>
      <c r="AA2420" s="6" t="s">
        <v>81</v>
      </c>
      <c r="AB2420" s="6" t="s">
        <v>81</v>
      </c>
      <c r="AC2420" s="6" t="s">
        <v>81</v>
      </c>
      <c r="AD2420" s="21" t="s">
        <v>81</v>
      </c>
      <c r="AE2420" s="6" t="s">
        <v>81</v>
      </c>
      <c r="AF2420" s="6" t="s">
        <v>81</v>
      </c>
      <c r="AG2420" s="6" t="s">
        <v>81</v>
      </c>
      <c r="AH2420" s="6" t="s">
        <v>16960</v>
      </c>
      <c r="AI2420" s="6" t="s">
        <v>81</v>
      </c>
      <c r="AJ2420" s="6" t="s">
        <v>17322</v>
      </c>
      <c r="AK2420" s="6" t="s">
        <v>18380</v>
      </c>
      <c r="AL2420" s="6" t="s">
        <v>18444</v>
      </c>
      <c r="AM2420" s="6" t="s">
        <v>18474</v>
      </c>
      <c r="AN2420" s="6" t="s">
        <v>6139</v>
      </c>
      <c r="AO2420" s="6" t="s">
        <v>19729</v>
      </c>
      <c r="AP2420" s="6" t="s">
        <v>16960</v>
      </c>
      <c r="AQ2420" s="6" t="s">
        <v>81</v>
      </c>
      <c r="AR2420" s="6" t="s">
        <v>17322</v>
      </c>
      <c r="AS2420" s="6" t="s">
        <v>18380</v>
      </c>
      <c r="AT2420" s="6" t="s">
        <v>18444</v>
      </c>
      <c r="AU2420" s="6" t="s">
        <v>18474</v>
      </c>
      <c r="AV2420" s="6" t="s">
        <v>81</v>
      </c>
      <c r="AW2420" s="6" t="s">
        <v>81</v>
      </c>
      <c r="AX2420" s="6" t="s">
        <v>22329</v>
      </c>
      <c r="AY2420" s="6" t="s">
        <v>81</v>
      </c>
      <c r="AZ2420" s="6" t="s">
        <v>81</v>
      </c>
      <c r="BA2420" s="6" t="s">
        <v>81</v>
      </c>
      <c r="BB2420" s="24" t="n">
        <v>57</v>
      </c>
      <c r="BC2420" s="26"/>
      <c r="BD2420" s="26"/>
      <c r="BE2420" s="26"/>
      <c r="BF2420" s="26"/>
      <c r="BG2420" s="26"/>
      <c r="BH2420" s="26"/>
      <c r="BI2420" s="26"/>
      <c r="BJ2420" s="26"/>
      <c r="BK2420" s="26"/>
      <c r="BL2420" s="26"/>
      <c r="BM2420" s="26"/>
      <c r="BN2420" s="26"/>
      <c r="BO2420" s="26"/>
      <c r="BP2420" s="16" t="n">
        <v>45684</v>
      </c>
      <c r="BQ2420" s="28" t="str">
        <f>HYPERLINK("https://organic.ams.usda.gov/Integrity/Certificate.aspx?cid=68&amp;nopid=8210005253")</f>
        <v>https://organic.ams.usda.gov/Integrity/Certificate.aspx?cid=68&amp;nopid=8210005253</v>
      </c>
    </row>
    <row r="2421">
      <c r="A2421" t="s">
        <v>3</v>
      </c>
      <c r="B2421" s="6" t="s">
        <v>15</v>
      </c>
      <c r="C2421" s="6" t="s">
        <v>62</v>
      </c>
      <c r="D2421" s="6" t="s">
        <v>108</v>
      </c>
      <c r="E2421" s="10" t="s">
        <v>2562</v>
      </c>
      <c r="F2421" s="6" t="s">
        <v>5269</v>
      </c>
      <c r="G2421" s="6" t="s">
        <v>81</v>
      </c>
      <c r="H2421" s="6" t="s">
        <v>8098</v>
      </c>
      <c r="I2421" s="6" t="s">
        <v>9542</v>
      </c>
      <c r="J2421" s="6" t="s">
        <v>9678</v>
      </c>
      <c r="K2421" s="6" t="s">
        <v>10886</v>
      </c>
      <c r="L2421" s="16" t="n">
        <v>40988</v>
      </c>
      <c r="M2421" s="16" t="n">
        <v>45792</v>
      </c>
      <c r="N2421" s="6" t="s">
        <v>10886</v>
      </c>
      <c r="O2421" s="16" t="n">
        <v>40988</v>
      </c>
      <c r="P2421" s="6" t="s">
        <v>10986</v>
      </c>
      <c r="Q2421" s="6" t="s">
        <v>81</v>
      </c>
      <c r="R2421" s="6" t="s">
        <v>81</v>
      </c>
      <c r="S2421" s="6" t="s">
        <v>10886</v>
      </c>
      <c r="T2421" s="16" t="n">
        <v>40988</v>
      </c>
      <c r="U2421" s="6" t="s">
        <v>13877</v>
      </c>
      <c r="V2421" s="6" t="s">
        <v>81</v>
      </c>
      <c r="W2421" s="6" t="s">
        <v>81</v>
      </c>
      <c r="X2421" s="6" t="s">
        <v>81</v>
      </c>
      <c r="Y2421" s="21" t="s">
        <v>81</v>
      </c>
      <c r="Z2421" s="6" t="s">
        <v>81</v>
      </c>
      <c r="AA2421" s="6" t="s">
        <v>81</v>
      </c>
      <c r="AB2421" s="6" t="s">
        <v>81</v>
      </c>
      <c r="AC2421" s="6" t="s">
        <v>81</v>
      </c>
      <c r="AD2421" s="21" t="s">
        <v>81</v>
      </c>
      <c r="AE2421" s="6" t="s">
        <v>81</v>
      </c>
      <c r="AF2421" s="6" t="s">
        <v>81</v>
      </c>
      <c r="AG2421" s="6" t="s">
        <v>81</v>
      </c>
      <c r="AH2421" s="6" t="s">
        <v>16961</v>
      </c>
      <c r="AI2421" s="6" t="s">
        <v>81</v>
      </c>
      <c r="AJ2421" s="6" t="s">
        <v>18297</v>
      </c>
      <c r="AK2421" s="6" t="s">
        <v>18380</v>
      </c>
      <c r="AL2421" s="6" t="s">
        <v>18444</v>
      </c>
      <c r="AM2421" s="6" t="s">
        <v>19526</v>
      </c>
      <c r="AN2421" s="6" t="s">
        <v>19702</v>
      </c>
      <c r="AO2421" s="6" t="s">
        <v>19832</v>
      </c>
      <c r="AP2421" s="6" t="s">
        <v>20431</v>
      </c>
      <c r="AQ2421" s="6" t="s">
        <v>81</v>
      </c>
      <c r="AR2421" s="6" t="s">
        <v>20580</v>
      </c>
      <c r="AS2421" s="6" t="s">
        <v>18380</v>
      </c>
      <c r="AT2421" s="6" t="s">
        <v>18444</v>
      </c>
      <c r="AU2421" s="6" t="s">
        <v>19526</v>
      </c>
      <c r="AV2421" s="6" t="s">
        <v>81</v>
      </c>
      <c r="AW2421" s="6" t="s">
        <v>81</v>
      </c>
      <c r="AX2421" s="6" t="s">
        <v>22330</v>
      </c>
      <c r="AY2421" s="6" t="s">
        <v>81</v>
      </c>
      <c r="AZ2421" s="6" t="s">
        <v>81</v>
      </c>
      <c r="BA2421" s="6" t="s">
        <v>81</v>
      </c>
      <c r="BB2421" s="24" t="n">
        <v>68</v>
      </c>
      <c r="BC2421" s="26"/>
      <c r="BD2421" s="26"/>
      <c r="BE2421" s="26"/>
      <c r="BF2421" s="26" t="s">
        <v>23900</v>
      </c>
      <c r="BG2421" s="26"/>
      <c r="BH2421" s="26"/>
      <c r="BI2421" s="26"/>
      <c r="BJ2421" s="26"/>
      <c r="BK2421" s="26"/>
      <c r="BL2421" s="26"/>
      <c r="BM2421" s="26"/>
      <c r="BN2421" s="26"/>
      <c r="BO2421" s="26"/>
      <c r="BP2421" s="16" t="n">
        <v>45737</v>
      </c>
      <c r="BQ2421" s="28" t="str">
        <f>HYPERLINK("https://organic.ams.usda.gov/Integrity/Certificate.aspx?cid=58&amp;nopid=1600003580")</f>
        <v>https://organic.ams.usda.gov/Integrity/Certificate.aspx?cid=58&amp;nopid=1600003580</v>
      </c>
    </row>
    <row r="2422">
      <c r="A2422" t="s">
        <v>3</v>
      </c>
      <c r="B2422" s="6" t="s">
        <v>8</v>
      </c>
      <c r="C2422" s="6" t="s">
        <v>55</v>
      </c>
      <c r="D2422" s="6" t="s">
        <v>101</v>
      </c>
      <c r="E2422" s="10" t="s">
        <v>2563</v>
      </c>
      <c r="F2422" s="6" t="s">
        <v>5270</v>
      </c>
      <c r="G2422" s="6" t="s">
        <v>81</v>
      </c>
      <c r="H2422" s="6" t="s">
        <v>8099</v>
      </c>
      <c r="I2422" s="6" t="s">
        <v>8516</v>
      </c>
      <c r="J2422" s="6" t="s">
        <v>9671</v>
      </c>
      <c r="K2422" s="6" t="s">
        <v>10886</v>
      </c>
      <c r="L2422" s="16" t="n">
        <v>43350</v>
      </c>
      <c r="M2422" s="16" t="n">
        <v>45689</v>
      </c>
      <c r="N2422" s="6" t="s">
        <v>10886</v>
      </c>
      <c r="O2422" s="16" t="n">
        <v>43350</v>
      </c>
      <c r="P2422" s="6" t="s">
        <v>12250</v>
      </c>
      <c r="Q2422" s="6" t="s">
        <v>81</v>
      </c>
      <c r="R2422" s="6" t="s">
        <v>8099</v>
      </c>
      <c r="S2422" s="6" t="s">
        <v>10886</v>
      </c>
      <c r="T2422" s="16" t="n">
        <v>45349</v>
      </c>
      <c r="U2422" s="6" t="s">
        <v>13420</v>
      </c>
      <c r="V2422" s="6" t="s">
        <v>81</v>
      </c>
      <c r="W2422" s="6" t="s">
        <v>8099</v>
      </c>
      <c r="X2422" s="6" t="s">
        <v>81</v>
      </c>
      <c r="Y2422" s="21" t="s">
        <v>81</v>
      </c>
      <c r="Z2422" s="6" t="s">
        <v>81</v>
      </c>
      <c r="AA2422" s="6" t="s">
        <v>81</v>
      </c>
      <c r="AB2422" s="6" t="s">
        <v>81</v>
      </c>
      <c r="AC2422" s="6" t="s">
        <v>81</v>
      </c>
      <c r="AD2422" s="21" t="s">
        <v>81</v>
      </c>
      <c r="AE2422" s="6" t="s">
        <v>81</v>
      </c>
      <c r="AF2422" s="6" t="s">
        <v>81</v>
      </c>
      <c r="AG2422" s="6" t="s">
        <v>81</v>
      </c>
      <c r="AH2422" s="6" t="s">
        <v>16962</v>
      </c>
      <c r="AI2422" s="6" t="s">
        <v>81</v>
      </c>
      <c r="AJ2422" s="6" t="s">
        <v>17329</v>
      </c>
      <c r="AK2422" s="6" t="s">
        <v>18380</v>
      </c>
      <c r="AL2422" s="6" t="s">
        <v>18444</v>
      </c>
      <c r="AM2422" s="6" t="s">
        <v>18481</v>
      </c>
      <c r="AN2422" s="6" t="s">
        <v>19639</v>
      </c>
      <c r="AO2422" s="6" t="s">
        <v>19725</v>
      </c>
      <c r="AP2422" s="6" t="s">
        <v>81</v>
      </c>
      <c r="AQ2422" s="6" t="s">
        <v>81</v>
      </c>
      <c r="AR2422" s="6" t="s">
        <v>81</v>
      </c>
      <c r="AS2422" s="6" t="s">
        <v>81</v>
      </c>
      <c r="AT2422" s="6" t="s">
        <v>81</v>
      </c>
      <c r="AU2422" s="6" t="s">
        <v>81</v>
      </c>
      <c r="AV2422" s="6" t="s">
        <v>81</v>
      </c>
      <c r="AW2422" s="6" t="s">
        <v>81</v>
      </c>
      <c r="AX2422" s="6" t="s">
        <v>81</v>
      </c>
      <c r="AY2422" s="6" t="s">
        <v>81</v>
      </c>
      <c r="AZ2422" s="6" t="s">
        <v>81</v>
      </c>
      <c r="BA2422" s="6" t="s">
        <v>23819</v>
      </c>
      <c r="BB2422" s="24" t="n">
        <v>50</v>
      </c>
      <c r="BC2422" s="26"/>
      <c r="BD2422" s="26"/>
      <c r="BE2422" s="26"/>
      <c r="BF2422" s="26" t="s">
        <v>23900</v>
      </c>
      <c r="BG2422" s="26"/>
      <c r="BH2422" s="26"/>
      <c r="BI2422" s="26"/>
      <c r="BJ2422" s="26"/>
      <c r="BK2422" s="26"/>
      <c r="BL2422" s="26"/>
      <c r="BM2422" s="26"/>
      <c r="BN2422" s="26"/>
      <c r="BO2422" s="26"/>
      <c r="BP2422" s="16" t="n">
        <v>45723</v>
      </c>
      <c r="BQ2422" s="28" t="str">
        <f>HYPERLINK("https://organic.ams.usda.gov/Integrity/Certificate.aspx?cid=45&amp;nopid=9950011042")</f>
        <v>https://organic.ams.usda.gov/Integrity/Certificate.aspx?cid=45&amp;nopid=9950011042</v>
      </c>
    </row>
    <row r="2423">
      <c r="A2423" t="s">
        <v>3</v>
      </c>
      <c r="B2423" s="6" t="s">
        <v>9</v>
      </c>
      <c r="C2423" s="6" t="s">
        <v>56</v>
      </c>
      <c r="D2423" s="6" t="s">
        <v>102</v>
      </c>
      <c r="E2423" s="10" t="s">
        <v>2564</v>
      </c>
      <c r="F2423" s="6" t="s">
        <v>5270</v>
      </c>
      <c r="G2423" s="6" t="s">
        <v>81</v>
      </c>
      <c r="H2423" s="6" t="s">
        <v>8100</v>
      </c>
      <c r="I2423" s="6" t="s">
        <v>8516</v>
      </c>
      <c r="J2423" s="6" t="s">
        <v>9671</v>
      </c>
      <c r="K2423" s="6" t="s">
        <v>10886</v>
      </c>
      <c r="L2423" s="16" t="n">
        <v>43665</v>
      </c>
      <c r="M2423" s="16" t="n">
        <v>46113</v>
      </c>
      <c r="N2423" s="6" t="s">
        <v>10886</v>
      </c>
      <c r="O2423" s="16" t="n">
        <v>43665</v>
      </c>
      <c r="P2423" s="6" t="s">
        <v>12251</v>
      </c>
      <c r="Q2423" s="6" t="s">
        <v>81</v>
      </c>
      <c r="R2423" s="6" t="s">
        <v>13083</v>
      </c>
      <c r="S2423" s="6" t="s">
        <v>10886</v>
      </c>
      <c r="T2423" s="16" t="n">
        <v>43665</v>
      </c>
      <c r="U2423" s="6" t="s">
        <v>13176</v>
      </c>
      <c r="V2423" s="6" t="s">
        <v>81</v>
      </c>
      <c r="W2423" s="6" t="s">
        <v>13083</v>
      </c>
      <c r="X2423" s="6" t="s">
        <v>81</v>
      </c>
      <c r="Y2423" s="21" t="s">
        <v>81</v>
      </c>
      <c r="Z2423" s="6" t="s">
        <v>81</v>
      </c>
      <c r="AA2423" s="6" t="s">
        <v>81</v>
      </c>
      <c r="AB2423" s="6" t="s">
        <v>81</v>
      </c>
      <c r="AC2423" s="6" t="s">
        <v>81</v>
      </c>
      <c r="AD2423" s="21" t="s">
        <v>81</v>
      </c>
      <c r="AE2423" s="6" t="s">
        <v>81</v>
      </c>
      <c r="AF2423" s="6" t="s">
        <v>81</v>
      </c>
      <c r="AG2423" s="6" t="s">
        <v>81</v>
      </c>
      <c r="AH2423" s="6" t="s">
        <v>16963</v>
      </c>
      <c r="AI2423" s="6" t="s">
        <v>81</v>
      </c>
      <c r="AJ2423" s="6" t="s">
        <v>17326</v>
      </c>
      <c r="AK2423" s="6" t="s">
        <v>18377</v>
      </c>
      <c r="AL2423" s="6" t="s">
        <v>18444</v>
      </c>
      <c r="AM2423" s="6" t="s">
        <v>18478</v>
      </c>
      <c r="AN2423" s="6" t="s">
        <v>19643</v>
      </c>
      <c r="AO2423" s="6" t="s">
        <v>19730</v>
      </c>
      <c r="AP2423" s="6" t="s">
        <v>81</v>
      </c>
      <c r="AQ2423" s="6" t="s">
        <v>81</v>
      </c>
      <c r="AR2423" s="6" t="s">
        <v>81</v>
      </c>
      <c r="AS2423" s="6" t="s">
        <v>81</v>
      </c>
      <c r="AT2423" s="6" t="s">
        <v>81</v>
      </c>
      <c r="AU2423" s="6" t="s">
        <v>81</v>
      </c>
      <c r="AV2423" s="6" t="s">
        <v>81</v>
      </c>
      <c r="AW2423" s="6" t="s">
        <v>81</v>
      </c>
      <c r="AX2423" s="6" t="s">
        <v>81</v>
      </c>
      <c r="AY2423" s="6" t="s">
        <v>81</v>
      </c>
      <c r="AZ2423" s="6" t="s">
        <v>81</v>
      </c>
      <c r="BA2423" s="6" t="s">
        <v>81</v>
      </c>
      <c r="BB2423" s="24" t="n">
        <v>109</v>
      </c>
      <c r="BC2423" s="26"/>
      <c r="BD2423" s="26"/>
      <c r="BE2423" s="26"/>
      <c r="BF2423" s="26"/>
      <c r="BG2423" s="26"/>
      <c r="BH2423" s="26"/>
      <c r="BI2423" s="26"/>
      <c r="BJ2423" s="26"/>
      <c r="BK2423" s="26"/>
      <c r="BL2423" s="26"/>
      <c r="BM2423" s="26"/>
      <c r="BN2423" s="26"/>
      <c r="BO2423" s="26"/>
      <c r="BP2423" s="16" t="n">
        <v>45738</v>
      </c>
      <c r="BQ2423" s="28" t="str">
        <f>HYPERLINK("https://organic.ams.usda.gov/Integrity/Certificate.aspx?cid=52&amp;nopid=8431901639")</f>
        <v>https://organic.ams.usda.gov/Integrity/Certificate.aspx?cid=52&amp;nopid=8431901639</v>
      </c>
    </row>
    <row r="2424">
      <c r="A2424" t="s">
        <v>3</v>
      </c>
      <c r="B2424" s="6" t="s">
        <v>13</v>
      </c>
      <c r="C2424" s="6" t="s">
        <v>60</v>
      </c>
      <c r="D2424" s="6" t="s">
        <v>106</v>
      </c>
      <c r="E2424" s="10" t="s">
        <v>2565</v>
      </c>
      <c r="F2424" s="6" t="s">
        <v>5271</v>
      </c>
      <c r="G2424" s="6" t="s">
        <v>81</v>
      </c>
      <c r="H2424" s="6" t="s">
        <v>8101</v>
      </c>
      <c r="I2424" s="6" t="s">
        <v>8412</v>
      </c>
      <c r="J2424" s="6" t="s">
        <v>9665</v>
      </c>
      <c r="K2424" s="6" t="s">
        <v>10886</v>
      </c>
      <c r="L2424" s="16" t="n">
        <v>41551</v>
      </c>
      <c r="M2424" s="16" t="n">
        <v>45992</v>
      </c>
      <c r="N2424" s="6" t="s">
        <v>10886</v>
      </c>
      <c r="O2424" s="16" t="n">
        <v>41551</v>
      </c>
      <c r="P2424" s="6" t="s">
        <v>12252</v>
      </c>
      <c r="Q2424" s="6" t="s">
        <v>81</v>
      </c>
      <c r="R2424" s="6" t="s">
        <v>13084</v>
      </c>
      <c r="S2424" s="6" t="s">
        <v>10886</v>
      </c>
      <c r="T2424" s="16" t="n">
        <v>42598</v>
      </c>
      <c r="U2424" s="6" t="s">
        <v>13878</v>
      </c>
      <c r="V2424" s="6" t="s">
        <v>81</v>
      </c>
      <c r="W2424" s="6" t="s">
        <v>13084</v>
      </c>
      <c r="X2424" s="6" t="s">
        <v>81</v>
      </c>
      <c r="Y2424" s="21" t="s">
        <v>81</v>
      </c>
      <c r="Z2424" s="6" t="s">
        <v>81</v>
      </c>
      <c r="AA2424" s="6" t="s">
        <v>81</v>
      </c>
      <c r="AB2424" s="6" t="s">
        <v>81</v>
      </c>
      <c r="AC2424" s="6" t="s">
        <v>81</v>
      </c>
      <c r="AD2424" s="21" t="s">
        <v>81</v>
      </c>
      <c r="AE2424" s="6" t="s">
        <v>81</v>
      </c>
      <c r="AF2424" s="6" t="s">
        <v>81</v>
      </c>
      <c r="AG2424" s="6" t="s">
        <v>81</v>
      </c>
      <c r="AH2424" s="6" t="s">
        <v>16964</v>
      </c>
      <c r="AI2424" s="6" t="s">
        <v>81</v>
      </c>
      <c r="AJ2424" s="6" t="s">
        <v>17391</v>
      </c>
      <c r="AK2424" s="6" t="s">
        <v>18379</v>
      </c>
      <c r="AL2424" s="6" t="s">
        <v>18444</v>
      </c>
      <c r="AM2424" s="6" t="s">
        <v>18467</v>
      </c>
      <c r="AN2424" s="6" t="s">
        <v>19637</v>
      </c>
      <c r="AO2424" s="6" t="s">
        <v>19723</v>
      </c>
      <c r="AP2424" s="6" t="s">
        <v>16964</v>
      </c>
      <c r="AQ2424" s="6" t="s">
        <v>81</v>
      </c>
      <c r="AR2424" s="6" t="s">
        <v>17391</v>
      </c>
      <c r="AS2424" s="6" t="s">
        <v>18379</v>
      </c>
      <c r="AT2424" s="6" t="s">
        <v>18444</v>
      </c>
      <c r="AU2424" s="6" t="s">
        <v>18467</v>
      </c>
      <c r="AV2424" s="6" t="s">
        <v>81</v>
      </c>
      <c r="AW2424" s="6" t="s">
        <v>81</v>
      </c>
      <c r="AX2424" s="6" t="s">
        <v>22331</v>
      </c>
      <c r="AY2424" s="6" t="s">
        <v>81</v>
      </c>
      <c r="AZ2424" s="6" t="s">
        <v>81</v>
      </c>
      <c r="BA2424" s="6" t="s">
        <v>81</v>
      </c>
      <c r="BB2424" s="24" t="n">
        <v>95</v>
      </c>
      <c r="BC2424" s="26"/>
      <c r="BD2424" s="26"/>
      <c r="BE2424" s="26"/>
      <c r="BF2424" s="26" t="s">
        <v>23900</v>
      </c>
      <c r="BG2424" s="26"/>
      <c r="BH2424" s="26"/>
      <c r="BI2424" s="26"/>
      <c r="BJ2424" s="26"/>
      <c r="BK2424" s="26"/>
      <c r="BL2424" s="26"/>
      <c r="BM2424" s="26"/>
      <c r="BN2424" s="26"/>
      <c r="BO2424" s="26"/>
      <c r="BP2424" s="16" t="n">
        <v>45663</v>
      </c>
      <c r="BQ2424" s="28" t="str">
        <f>HYPERLINK("https://organic.ams.usda.gov/Integrity/Certificate.aspx?cid=72&amp;nopid=5870001432")</f>
        <v>https://organic.ams.usda.gov/Integrity/Certificate.aspx?cid=72&amp;nopid=5870001432</v>
      </c>
    </row>
    <row r="2425">
      <c r="A2425" t="s">
        <v>3</v>
      </c>
      <c r="B2425" s="6" t="s">
        <v>15</v>
      </c>
      <c r="C2425" s="6" t="s">
        <v>62</v>
      </c>
      <c r="D2425" s="6" t="s">
        <v>108</v>
      </c>
      <c r="E2425" s="10" t="s">
        <v>2566</v>
      </c>
      <c r="F2425" s="6" t="s">
        <v>5272</v>
      </c>
      <c r="G2425" s="6" t="s">
        <v>81</v>
      </c>
      <c r="H2425" s="6" t="s">
        <v>7273</v>
      </c>
      <c r="I2425" s="6" t="s">
        <v>8412</v>
      </c>
      <c r="J2425" s="6" t="s">
        <v>9237</v>
      </c>
      <c r="K2425" s="6" t="s">
        <v>10886</v>
      </c>
      <c r="L2425" s="16" t="n">
        <v>39382</v>
      </c>
      <c r="M2425" s="16" t="n">
        <v>45792</v>
      </c>
      <c r="N2425" s="6" t="s">
        <v>10886</v>
      </c>
      <c r="O2425" s="16" t="n">
        <v>39382</v>
      </c>
      <c r="P2425" s="6" t="s">
        <v>10986</v>
      </c>
      <c r="Q2425" s="6" t="s">
        <v>81</v>
      </c>
      <c r="R2425" s="6" t="s">
        <v>81</v>
      </c>
      <c r="S2425" s="6" t="s">
        <v>10886</v>
      </c>
      <c r="T2425" s="16" t="n">
        <v>39382</v>
      </c>
      <c r="U2425" s="6" t="s">
        <v>13180</v>
      </c>
      <c r="V2425" s="6" t="s">
        <v>81</v>
      </c>
      <c r="W2425" s="6" t="s">
        <v>81</v>
      </c>
      <c r="X2425" s="6" t="s">
        <v>81</v>
      </c>
      <c r="Y2425" s="21" t="s">
        <v>81</v>
      </c>
      <c r="Z2425" s="6" t="s">
        <v>81</v>
      </c>
      <c r="AA2425" s="6" t="s">
        <v>81</v>
      </c>
      <c r="AB2425" s="6" t="s">
        <v>81</v>
      </c>
      <c r="AC2425" s="6" t="s">
        <v>81</v>
      </c>
      <c r="AD2425" s="21" t="s">
        <v>81</v>
      </c>
      <c r="AE2425" s="6" t="s">
        <v>81</v>
      </c>
      <c r="AF2425" s="6" t="s">
        <v>81</v>
      </c>
      <c r="AG2425" s="6" t="s">
        <v>81</v>
      </c>
      <c r="AH2425" s="6" t="s">
        <v>16965</v>
      </c>
      <c r="AI2425" s="6" t="s">
        <v>81</v>
      </c>
      <c r="AJ2425" s="6" t="s">
        <v>18298</v>
      </c>
      <c r="AK2425" s="6" t="s">
        <v>18378</v>
      </c>
      <c r="AL2425" s="6" t="s">
        <v>18444</v>
      </c>
      <c r="AM2425" s="6" t="s">
        <v>19527</v>
      </c>
      <c r="AN2425" s="6" t="s">
        <v>19676</v>
      </c>
      <c r="AO2425" s="6" t="s">
        <v>19784</v>
      </c>
      <c r="AP2425" s="6" t="s">
        <v>16965</v>
      </c>
      <c r="AQ2425" s="6" t="s">
        <v>81</v>
      </c>
      <c r="AR2425" s="6" t="s">
        <v>18298</v>
      </c>
      <c r="AS2425" s="6" t="s">
        <v>18378</v>
      </c>
      <c r="AT2425" s="6" t="s">
        <v>18444</v>
      </c>
      <c r="AU2425" s="6" t="s">
        <v>19527</v>
      </c>
      <c r="AV2425" s="6" t="s">
        <v>81</v>
      </c>
      <c r="AW2425" s="6" t="s">
        <v>81</v>
      </c>
      <c r="AX2425" s="6" t="s">
        <v>22332</v>
      </c>
      <c r="AY2425" s="6" t="s">
        <v>23423</v>
      </c>
      <c r="AZ2425" s="6" t="s">
        <v>81</v>
      </c>
      <c r="BA2425" s="6" t="s">
        <v>81</v>
      </c>
      <c r="BB2425" s="24" t="n">
        <v>133</v>
      </c>
      <c r="BC2425" s="26"/>
      <c r="BD2425" s="26"/>
      <c r="BE2425" s="26"/>
      <c r="BF2425" s="26" t="s">
        <v>23900</v>
      </c>
      <c r="BG2425" s="26"/>
      <c r="BH2425" s="26"/>
      <c r="BI2425" s="26"/>
      <c r="BJ2425" s="26"/>
      <c r="BK2425" s="26"/>
      <c r="BL2425" s="26"/>
      <c r="BM2425" s="26"/>
      <c r="BN2425" s="26"/>
      <c r="BO2425" s="26"/>
      <c r="BP2425" s="16" t="n">
        <v>45737</v>
      </c>
      <c r="BQ2425" s="28" t="str">
        <f>HYPERLINK("https://organic.ams.usda.gov/Integrity/Certificate.aspx?cid=58&amp;nopid=1600001359")</f>
        <v>https://organic.ams.usda.gov/Integrity/Certificate.aspx?cid=58&amp;nopid=1600001359</v>
      </c>
    </row>
    <row r="2426">
      <c r="A2426" t="s">
        <v>3</v>
      </c>
      <c r="B2426" s="6" t="s">
        <v>11</v>
      </c>
      <c r="C2426" s="6" t="s">
        <v>58</v>
      </c>
      <c r="D2426" s="6" t="s">
        <v>104</v>
      </c>
      <c r="E2426" s="10" t="s">
        <v>2567</v>
      </c>
      <c r="F2426" s="6" t="s">
        <v>5273</v>
      </c>
      <c r="G2426" s="6" t="s">
        <v>81</v>
      </c>
      <c r="H2426" s="6" t="s">
        <v>81</v>
      </c>
      <c r="I2426" s="6" t="s">
        <v>8412</v>
      </c>
      <c r="J2426" s="6" t="s">
        <v>10748</v>
      </c>
      <c r="K2426" s="6" t="s">
        <v>10886</v>
      </c>
      <c r="L2426" s="16" t="n">
        <v>42713</v>
      </c>
      <c r="M2426" s="16" t="n">
        <v>45383</v>
      </c>
      <c r="N2426" s="6" t="s">
        <v>10886</v>
      </c>
      <c r="O2426" s="16" t="n">
        <v>42713</v>
      </c>
      <c r="P2426" s="6" t="s">
        <v>12253</v>
      </c>
      <c r="Q2426" s="6" t="s">
        <v>81</v>
      </c>
      <c r="R2426" s="6" t="s">
        <v>81</v>
      </c>
      <c r="S2426" s="6" t="s">
        <v>10886</v>
      </c>
      <c r="T2426" s="16" t="n">
        <v>42713</v>
      </c>
      <c r="U2426" s="6" t="s">
        <v>13879</v>
      </c>
      <c r="V2426" s="6" t="s">
        <v>81</v>
      </c>
      <c r="W2426" s="6" t="s">
        <v>81</v>
      </c>
      <c r="X2426" s="6" t="s">
        <v>81</v>
      </c>
      <c r="Y2426" s="21" t="s">
        <v>81</v>
      </c>
      <c r="Z2426" s="6" t="s">
        <v>81</v>
      </c>
      <c r="AA2426" s="6" t="s">
        <v>81</v>
      </c>
      <c r="AB2426" s="6" t="s">
        <v>81</v>
      </c>
      <c r="AC2426" s="6" t="s">
        <v>81</v>
      </c>
      <c r="AD2426" s="21" t="s">
        <v>81</v>
      </c>
      <c r="AE2426" s="6" t="s">
        <v>81</v>
      </c>
      <c r="AF2426" s="6" t="s">
        <v>81</v>
      </c>
      <c r="AG2426" s="6" t="s">
        <v>81</v>
      </c>
      <c r="AH2426" s="6" t="s">
        <v>16966</v>
      </c>
      <c r="AI2426" s="6" t="s">
        <v>81</v>
      </c>
      <c r="AJ2426" s="6" t="s">
        <v>17493</v>
      </c>
      <c r="AK2426" s="6" t="s">
        <v>18377</v>
      </c>
      <c r="AL2426" s="6" t="s">
        <v>18444</v>
      </c>
      <c r="AM2426" s="6" t="s">
        <v>18653</v>
      </c>
      <c r="AN2426" s="6" t="s">
        <v>6332</v>
      </c>
      <c r="AO2426" s="6" t="s">
        <v>19885</v>
      </c>
      <c r="AP2426" s="6" t="s">
        <v>16966</v>
      </c>
      <c r="AQ2426" s="6" t="s">
        <v>81</v>
      </c>
      <c r="AR2426" s="6" t="s">
        <v>17493</v>
      </c>
      <c r="AS2426" s="6" t="s">
        <v>18377</v>
      </c>
      <c r="AT2426" s="6" t="s">
        <v>18444</v>
      </c>
      <c r="AU2426" s="6" t="s">
        <v>18653</v>
      </c>
      <c r="AV2426" s="6" t="s">
        <v>81</v>
      </c>
      <c r="AW2426" s="6" t="s">
        <v>81</v>
      </c>
      <c r="AX2426" s="6" t="s">
        <v>81</v>
      </c>
      <c r="AY2426" s="6" t="s">
        <v>81</v>
      </c>
      <c r="AZ2426" s="6" t="s">
        <v>81</v>
      </c>
      <c r="BA2426" s="6" t="s">
        <v>81</v>
      </c>
      <c r="BB2426" s="24" t="n">
        <v>364</v>
      </c>
      <c r="BC2426" s="26"/>
      <c r="BD2426" s="26"/>
      <c r="BE2426" s="26"/>
      <c r="BF2426" s="26"/>
      <c r="BG2426" s="26"/>
      <c r="BH2426" s="26"/>
      <c r="BI2426" s="26"/>
      <c r="BJ2426" s="26"/>
      <c r="BK2426" s="26"/>
      <c r="BL2426" s="26"/>
      <c r="BM2426" s="26"/>
      <c r="BN2426" s="26"/>
      <c r="BO2426" s="26"/>
      <c r="BP2426" s="16" t="n">
        <v>45443</v>
      </c>
      <c r="BQ2426" s="28" t="str">
        <f>HYPERLINK("https://organic.ams.usda.gov/Integrity/Certificate.aspx?cid=46&amp;nopid=3671600139")</f>
        <v>https://organic.ams.usda.gov/Integrity/Certificate.aspx?cid=46&amp;nopid=3671600139</v>
      </c>
    </row>
    <row r="2427">
      <c r="A2427" t="s">
        <v>3</v>
      </c>
      <c r="B2427" s="6" t="s">
        <v>9</v>
      </c>
      <c r="C2427" s="6" t="s">
        <v>56</v>
      </c>
      <c r="D2427" s="6" t="s">
        <v>102</v>
      </c>
      <c r="E2427" s="10" t="s">
        <v>2568</v>
      </c>
      <c r="F2427" s="6" t="s">
        <v>5274</v>
      </c>
      <c r="G2427" s="6" t="s">
        <v>81</v>
      </c>
      <c r="H2427" s="6" t="s">
        <v>8102</v>
      </c>
      <c r="I2427" s="6" t="s">
        <v>9543</v>
      </c>
      <c r="J2427" s="6" t="s">
        <v>10337</v>
      </c>
      <c r="K2427" s="6" t="s">
        <v>10886</v>
      </c>
      <c r="L2427" s="16" t="n">
        <v>43420</v>
      </c>
      <c r="M2427" s="16" t="n">
        <v>46113</v>
      </c>
      <c r="N2427" s="6" t="s">
        <v>10886</v>
      </c>
      <c r="O2427" s="16" t="n">
        <v>43420</v>
      </c>
      <c r="P2427" s="6" t="s">
        <v>10900</v>
      </c>
      <c r="Q2427" s="6" t="s">
        <v>81</v>
      </c>
      <c r="R2427" s="6" t="s">
        <v>13085</v>
      </c>
      <c r="S2427" s="6" t="s">
        <v>10886</v>
      </c>
      <c r="T2427" s="16" t="n">
        <v>43420</v>
      </c>
      <c r="U2427" s="6" t="s">
        <v>13880</v>
      </c>
      <c r="V2427" s="6" t="s">
        <v>81</v>
      </c>
      <c r="W2427" s="6" t="s">
        <v>13085</v>
      </c>
      <c r="X2427" s="6" t="s">
        <v>81</v>
      </c>
      <c r="Y2427" s="21" t="s">
        <v>81</v>
      </c>
      <c r="Z2427" s="6" t="s">
        <v>81</v>
      </c>
      <c r="AA2427" s="6" t="s">
        <v>81</v>
      </c>
      <c r="AB2427" s="6" t="s">
        <v>81</v>
      </c>
      <c r="AC2427" s="6" t="s">
        <v>81</v>
      </c>
      <c r="AD2427" s="21" t="s">
        <v>81</v>
      </c>
      <c r="AE2427" s="6" t="s">
        <v>81</v>
      </c>
      <c r="AF2427" s="6" t="s">
        <v>81</v>
      </c>
      <c r="AG2427" s="6" t="s">
        <v>81</v>
      </c>
      <c r="AH2427" s="6" t="s">
        <v>16967</v>
      </c>
      <c r="AI2427" s="6" t="s">
        <v>81</v>
      </c>
      <c r="AJ2427" s="6" t="s">
        <v>9032</v>
      </c>
      <c r="AK2427" s="6" t="s">
        <v>18377</v>
      </c>
      <c r="AL2427" s="6" t="s">
        <v>18444</v>
      </c>
      <c r="AM2427" s="6" t="s">
        <v>18909</v>
      </c>
      <c r="AN2427" s="6" t="s">
        <v>19652</v>
      </c>
      <c r="AO2427" s="6" t="s">
        <v>19772</v>
      </c>
      <c r="AP2427" s="6" t="s">
        <v>81</v>
      </c>
      <c r="AQ2427" s="6" t="s">
        <v>81</v>
      </c>
      <c r="AR2427" s="6" t="s">
        <v>81</v>
      </c>
      <c r="AS2427" s="6" t="s">
        <v>81</v>
      </c>
      <c r="AT2427" s="6" t="s">
        <v>81</v>
      </c>
      <c r="AU2427" s="6" t="s">
        <v>81</v>
      </c>
      <c r="AV2427" s="6" t="s">
        <v>81</v>
      </c>
      <c r="AW2427" s="6" t="s">
        <v>81</v>
      </c>
      <c r="AX2427" s="6" t="s">
        <v>22333</v>
      </c>
      <c r="AY2427" s="6" t="s">
        <v>23424</v>
      </c>
      <c r="AZ2427" s="6" t="s">
        <v>81</v>
      </c>
      <c r="BA2427" s="6" t="s">
        <v>81</v>
      </c>
      <c r="BB2427" s="24" t="n">
        <v>365</v>
      </c>
      <c r="BC2427" s="26"/>
      <c r="BD2427" s="26"/>
      <c r="BE2427" s="26"/>
      <c r="BF2427" s="26"/>
      <c r="BG2427" s="26"/>
      <c r="BH2427" s="26"/>
      <c r="BI2427" s="26"/>
      <c r="BJ2427" s="26"/>
      <c r="BK2427" s="26"/>
      <c r="BL2427" s="26"/>
      <c r="BM2427" s="26"/>
      <c r="BN2427" s="26"/>
      <c r="BO2427" s="26"/>
      <c r="BP2427" s="16" t="n">
        <v>45738</v>
      </c>
      <c r="BQ2427" s="28" t="str">
        <f>HYPERLINK("https://organic.ams.usda.gov/Integrity/Certificate.aspx?cid=52&amp;nopid=8431801555")</f>
        <v>https://organic.ams.usda.gov/Integrity/Certificate.aspx?cid=52&amp;nopid=8431801555</v>
      </c>
    </row>
    <row r="2428">
      <c r="A2428" t="s">
        <v>3</v>
      </c>
      <c r="B2428" s="6" t="s">
        <v>7</v>
      </c>
      <c r="C2428" s="6" t="s">
        <v>54</v>
      </c>
      <c r="D2428" s="6" t="s">
        <v>100</v>
      </c>
      <c r="E2428" s="10" t="s">
        <v>2569</v>
      </c>
      <c r="F2428" s="6" t="s">
        <v>5275</v>
      </c>
      <c r="G2428" s="6" t="s">
        <v>81</v>
      </c>
      <c r="H2428" s="6" t="s">
        <v>8103</v>
      </c>
      <c r="I2428" s="6" t="s">
        <v>8928</v>
      </c>
      <c r="J2428" s="6" t="s">
        <v>9675</v>
      </c>
      <c r="K2428" s="6" t="s">
        <v>10886</v>
      </c>
      <c r="L2428" s="16" t="n">
        <v>43221</v>
      </c>
      <c r="M2428" s="16" t="n">
        <v>45716</v>
      </c>
      <c r="N2428" s="6" t="s">
        <v>10886</v>
      </c>
      <c r="O2428" s="16" t="n">
        <v>43221</v>
      </c>
      <c r="P2428" s="6" t="s">
        <v>10910</v>
      </c>
      <c r="Q2428" s="6" t="s">
        <v>81</v>
      </c>
      <c r="R2428" s="6" t="s">
        <v>81</v>
      </c>
      <c r="S2428" s="6" t="s">
        <v>10886</v>
      </c>
      <c r="T2428" s="16" t="n">
        <v>43221</v>
      </c>
      <c r="U2428" s="6" t="s">
        <v>13160</v>
      </c>
      <c r="V2428" s="6" t="s">
        <v>81</v>
      </c>
      <c r="W2428" s="6" t="s">
        <v>81</v>
      </c>
      <c r="X2428" s="6" t="s">
        <v>81</v>
      </c>
      <c r="Y2428" s="21" t="s">
        <v>81</v>
      </c>
      <c r="Z2428" s="6" t="s">
        <v>81</v>
      </c>
      <c r="AA2428" s="6" t="s">
        <v>81</v>
      </c>
      <c r="AB2428" s="6" t="s">
        <v>81</v>
      </c>
      <c r="AC2428" s="6" t="s">
        <v>81</v>
      </c>
      <c r="AD2428" s="21" t="s">
        <v>81</v>
      </c>
      <c r="AE2428" s="6" t="s">
        <v>81</v>
      </c>
      <c r="AF2428" s="6" t="s">
        <v>81</v>
      </c>
      <c r="AG2428" s="6" t="s">
        <v>81</v>
      </c>
      <c r="AH2428" s="6" t="s">
        <v>16968</v>
      </c>
      <c r="AI2428" s="6" t="s">
        <v>81</v>
      </c>
      <c r="AJ2428" s="6" t="s">
        <v>17352</v>
      </c>
      <c r="AK2428" s="6" t="s">
        <v>17712</v>
      </c>
      <c r="AL2428" s="6" t="s">
        <v>18444</v>
      </c>
      <c r="AM2428" s="6" t="s">
        <v>18506</v>
      </c>
      <c r="AN2428" s="6" t="s">
        <v>19652</v>
      </c>
      <c r="AO2428" s="6" t="s">
        <v>19742</v>
      </c>
      <c r="AP2428" s="6" t="s">
        <v>16968</v>
      </c>
      <c r="AQ2428" s="6" t="s">
        <v>81</v>
      </c>
      <c r="AR2428" s="6" t="s">
        <v>17352</v>
      </c>
      <c r="AS2428" s="6" t="s">
        <v>17712</v>
      </c>
      <c r="AT2428" s="6" t="s">
        <v>18444</v>
      </c>
      <c r="AU2428" s="6" t="s">
        <v>18506</v>
      </c>
      <c r="AV2428" s="6" t="s">
        <v>81</v>
      </c>
      <c r="AW2428" s="6" t="s">
        <v>81</v>
      </c>
      <c r="AX2428" s="6" t="s">
        <v>22334</v>
      </c>
      <c r="AY2428" s="6" t="s">
        <v>81</v>
      </c>
      <c r="AZ2428" s="6" t="s">
        <v>81</v>
      </c>
      <c r="BA2428" s="6" t="s">
        <v>81</v>
      </c>
      <c r="BB2428" s="24" t="n">
        <v>373</v>
      </c>
      <c r="BC2428" s="26"/>
      <c r="BD2428" s="26"/>
      <c r="BE2428" s="26"/>
      <c r="BF2428" s="26" t="s">
        <v>23900</v>
      </c>
      <c r="BG2428" s="26"/>
      <c r="BH2428" s="26"/>
      <c r="BI2428" s="26"/>
      <c r="BJ2428" s="26"/>
      <c r="BK2428" s="26"/>
      <c r="BL2428" s="26"/>
      <c r="BM2428" s="26"/>
      <c r="BN2428" s="26"/>
      <c r="BO2428" s="26"/>
      <c r="BP2428" s="16" t="n">
        <v>45737</v>
      </c>
      <c r="BQ2428" s="28" t="str">
        <f>HYPERLINK("https://organic.ams.usda.gov/Integrity/Certificate.aspx?cid=57&amp;nopid=3252018027")</f>
        <v>https://organic.ams.usda.gov/Integrity/Certificate.aspx?cid=57&amp;nopid=3252018027</v>
      </c>
    </row>
    <row r="2429">
      <c r="A2429" t="s">
        <v>3</v>
      </c>
      <c r="B2429" s="6" t="s">
        <v>13</v>
      </c>
      <c r="C2429" s="6" t="s">
        <v>60</v>
      </c>
      <c r="D2429" s="6" t="s">
        <v>106</v>
      </c>
      <c r="E2429" s="10" t="s">
        <v>2570</v>
      </c>
      <c r="F2429" s="6" t="s">
        <v>5276</v>
      </c>
      <c r="G2429" s="6" t="s">
        <v>81</v>
      </c>
      <c r="H2429" s="6" t="s">
        <v>8104</v>
      </c>
      <c r="I2429" s="6" t="s">
        <v>8928</v>
      </c>
      <c r="J2429" s="6" t="s">
        <v>9699</v>
      </c>
      <c r="K2429" s="6" t="s">
        <v>10886</v>
      </c>
      <c r="L2429" s="16" t="n">
        <v>42558</v>
      </c>
      <c r="M2429" s="16" t="n">
        <v>46113</v>
      </c>
      <c r="N2429" s="6" t="s">
        <v>10886</v>
      </c>
      <c r="O2429" s="16" t="n">
        <v>42558</v>
      </c>
      <c r="P2429" s="6" t="s">
        <v>12254</v>
      </c>
      <c r="Q2429" s="6" t="s">
        <v>81</v>
      </c>
      <c r="R2429" s="6" t="s">
        <v>13086</v>
      </c>
      <c r="S2429" s="6" t="s">
        <v>10886</v>
      </c>
      <c r="T2429" s="16" t="n">
        <v>42558</v>
      </c>
      <c r="U2429" s="6" t="s">
        <v>13220</v>
      </c>
      <c r="V2429" s="6" t="s">
        <v>81</v>
      </c>
      <c r="W2429" s="6" t="s">
        <v>13086</v>
      </c>
      <c r="X2429" s="6" t="s">
        <v>81</v>
      </c>
      <c r="Y2429" s="21" t="s">
        <v>81</v>
      </c>
      <c r="Z2429" s="6" t="s">
        <v>81</v>
      </c>
      <c r="AA2429" s="6" t="s">
        <v>81</v>
      </c>
      <c r="AB2429" s="6" t="s">
        <v>81</v>
      </c>
      <c r="AC2429" s="6" t="s">
        <v>81</v>
      </c>
      <c r="AD2429" s="21" t="s">
        <v>81</v>
      </c>
      <c r="AE2429" s="6" t="s">
        <v>81</v>
      </c>
      <c r="AF2429" s="6" t="s">
        <v>81</v>
      </c>
      <c r="AG2429" s="6" t="s">
        <v>81</v>
      </c>
      <c r="AH2429" s="6" t="s">
        <v>16969</v>
      </c>
      <c r="AI2429" s="6" t="s">
        <v>81</v>
      </c>
      <c r="AJ2429" s="6" t="s">
        <v>17695</v>
      </c>
      <c r="AK2429" s="6" t="s">
        <v>17712</v>
      </c>
      <c r="AL2429" s="6" t="s">
        <v>18444</v>
      </c>
      <c r="AM2429" s="6" t="s">
        <v>18861</v>
      </c>
      <c r="AN2429" s="6" t="s">
        <v>19652</v>
      </c>
      <c r="AO2429" s="6" t="s">
        <v>19742</v>
      </c>
      <c r="AP2429" s="6" t="s">
        <v>16969</v>
      </c>
      <c r="AQ2429" s="6" t="s">
        <v>81</v>
      </c>
      <c r="AR2429" s="6" t="s">
        <v>17695</v>
      </c>
      <c r="AS2429" s="6" t="s">
        <v>17712</v>
      </c>
      <c r="AT2429" s="6" t="s">
        <v>18444</v>
      </c>
      <c r="AU2429" s="6" t="s">
        <v>18861</v>
      </c>
      <c r="AV2429" s="6" t="s">
        <v>81</v>
      </c>
      <c r="AW2429" s="6" t="s">
        <v>81</v>
      </c>
      <c r="AX2429" s="6" t="s">
        <v>22335</v>
      </c>
      <c r="AY2429" s="6" t="s">
        <v>81</v>
      </c>
      <c r="AZ2429" s="6" t="s">
        <v>81</v>
      </c>
      <c r="BA2429" s="6" t="s">
        <v>81</v>
      </c>
      <c r="BB2429" s="24" t="n">
        <v>426</v>
      </c>
      <c r="BC2429" s="26"/>
      <c r="BD2429" s="26"/>
      <c r="BE2429" s="26"/>
      <c r="BF2429" s="26" t="s">
        <v>23900</v>
      </c>
      <c r="BG2429" s="26"/>
      <c r="BH2429" s="26"/>
      <c r="BI2429" s="26"/>
      <c r="BJ2429" s="26"/>
      <c r="BK2429" s="26"/>
      <c r="BL2429" s="26"/>
      <c r="BM2429" s="26"/>
      <c r="BN2429" s="26"/>
      <c r="BO2429" s="26"/>
      <c r="BP2429" s="16" t="n">
        <v>45737</v>
      </c>
      <c r="BQ2429" s="28" t="str">
        <f>HYPERLINK("https://organic.ams.usda.gov/Integrity/Certificate.aspx?cid=72&amp;nopid=5870002378")</f>
        <v>https://organic.ams.usda.gov/Integrity/Certificate.aspx?cid=72&amp;nopid=5870002378</v>
      </c>
    </row>
    <row r="2430">
      <c r="A2430" t="s">
        <v>3</v>
      </c>
      <c r="B2430" s="6" t="s">
        <v>15</v>
      </c>
      <c r="C2430" s="6" t="s">
        <v>62</v>
      </c>
      <c r="D2430" s="6" t="s">
        <v>108</v>
      </c>
      <c r="E2430" s="10" t="s">
        <v>2571</v>
      </c>
      <c r="F2430" s="6" t="s">
        <v>5277</v>
      </c>
      <c r="G2430" s="6" t="s">
        <v>5857</v>
      </c>
      <c r="H2430" s="6" t="s">
        <v>8105</v>
      </c>
      <c r="I2430" s="6" t="s">
        <v>8928</v>
      </c>
      <c r="J2430" s="6" t="s">
        <v>9718</v>
      </c>
      <c r="K2430" s="6" t="s">
        <v>10886</v>
      </c>
      <c r="L2430" s="16" t="n">
        <v>40842</v>
      </c>
      <c r="M2430" s="16" t="n">
        <v>45792</v>
      </c>
      <c r="N2430" s="6" t="s">
        <v>10886</v>
      </c>
      <c r="O2430" s="16" t="n">
        <v>40842</v>
      </c>
      <c r="P2430" s="6" t="s">
        <v>12255</v>
      </c>
      <c r="Q2430" s="6" t="s">
        <v>81</v>
      </c>
      <c r="R2430" s="6" t="s">
        <v>81</v>
      </c>
      <c r="S2430" s="6" t="s">
        <v>10886</v>
      </c>
      <c r="T2430" s="16" t="n">
        <v>40842</v>
      </c>
      <c r="U2430" s="6" t="s">
        <v>13460</v>
      </c>
      <c r="V2430" s="6" t="s">
        <v>81</v>
      </c>
      <c r="W2430" s="6" t="s">
        <v>81</v>
      </c>
      <c r="X2430" s="6" t="s">
        <v>81</v>
      </c>
      <c r="Y2430" s="21" t="s">
        <v>81</v>
      </c>
      <c r="Z2430" s="6" t="s">
        <v>81</v>
      </c>
      <c r="AA2430" s="6" t="s">
        <v>81</v>
      </c>
      <c r="AB2430" s="6" t="s">
        <v>81</v>
      </c>
      <c r="AC2430" s="6" t="s">
        <v>81</v>
      </c>
      <c r="AD2430" s="21" t="s">
        <v>81</v>
      </c>
      <c r="AE2430" s="6" t="s">
        <v>81</v>
      </c>
      <c r="AF2430" s="6" t="s">
        <v>81</v>
      </c>
      <c r="AG2430" s="6" t="s">
        <v>81</v>
      </c>
      <c r="AH2430" s="6" t="s">
        <v>16970</v>
      </c>
      <c r="AI2430" s="6" t="s">
        <v>81</v>
      </c>
      <c r="AJ2430" s="6" t="s">
        <v>17669</v>
      </c>
      <c r="AK2430" s="6" t="s">
        <v>18384</v>
      </c>
      <c r="AL2430" s="6" t="s">
        <v>18444</v>
      </c>
      <c r="AM2430" s="6" t="s">
        <v>18836</v>
      </c>
      <c r="AN2430" s="6" t="s">
        <v>8053</v>
      </c>
      <c r="AO2430" s="6" t="s">
        <v>19894</v>
      </c>
      <c r="AP2430" s="6" t="s">
        <v>16970</v>
      </c>
      <c r="AQ2430" s="6" t="s">
        <v>81</v>
      </c>
      <c r="AR2430" s="6" t="s">
        <v>17669</v>
      </c>
      <c r="AS2430" s="6" t="s">
        <v>18384</v>
      </c>
      <c r="AT2430" s="6" t="s">
        <v>18444</v>
      </c>
      <c r="AU2430" s="6" t="s">
        <v>18836</v>
      </c>
      <c r="AV2430" s="6" t="s">
        <v>81</v>
      </c>
      <c r="AW2430" s="6" t="s">
        <v>81</v>
      </c>
      <c r="AX2430" s="6" t="s">
        <v>22336</v>
      </c>
      <c r="AY2430" s="6" t="s">
        <v>81</v>
      </c>
      <c r="AZ2430" s="6" t="s">
        <v>81</v>
      </c>
      <c r="BA2430" s="6" t="s">
        <v>81</v>
      </c>
      <c r="BB2430" s="24" t="n">
        <v>315</v>
      </c>
      <c r="BC2430" s="26"/>
      <c r="BD2430" s="26"/>
      <c r="BE2430" s="26"/>
      <c r="BF2430" s="26" t="s">
        <v>23900</v>
      </c>
      <c r="BG2430" s="26"/>
      <c r="BH2430" s="26"/>
      <c r="BI2430" s="26"/>
      <c r="BJ2430" s="26"/>
      <c r="BK2430" s="26"/>
      <c r="BL2430" s="26"/>
      <c r="BM2430" s="26"/>
      <c r="BN2430" s="26"/>
      <c r="BO2430" s="26"/>
      <c r="BP2430" s="16" t="n">
        <v>45737</v>
      </c>
      <c r="BQ2430" s="28" t="str">
        <f>HYPERLINK("https://organic.ams.usda.gov/Integrity/Certificate.aspx?cid=58&amp;nopid=1600001848")</f>
        <v>https://organic.ams.usda.gov/Integrity/Certificate.aspx?cid=58&amp;nopid=1600001848</v>
      </c>
    </row>
    <row r="2431">
      <c r="A2431" t="s">
        <v>3</v>
      </c>
      <c r="B2431" s="6" t="s">
        <v>15</v>
      </c>
      <c r="C2431" s="6" t="s">
        <v>62</v>
      </c>
      <c r="D2431" s="6" t="s">
        <v>108</v>
      </c>
      <c r="E2431" s="10" t="s">
        <v>2572</v>
      </c>
      <c r="F2431" s="6" t="s">
        <v>5278</v>
      </c>
      <c r="G2431" s="6" t="s">
        <v>81</v>
      </c>
      <c r="H2431" s="6" t="s">
        <v>8106</v>
      </c>
      <c r="I2431" s="6" t="s">
        <v>9544</v>
      </c>
      <c r="J2431" s="6" t="s">
        <v>9668</v>
      </c>
      <c r="K2431" s="6" t="s">
        <v>10886</v>
      </c>
      <c r="L2431" s="16" t="n">
        <v>44207</v>
      </c>
      <c r="M2431" s="16" t="n">
        <v>46157</v>
      </c>
      <c r="N2431" s="6" t="s">
        <v>10886</v>
      </c>
      <c r="O2431" s="16" t="n">
        <v>44207</v>
      </c>
      <c r="P2431" s="6" t="s">
        <v>12171</v>
      </c>
      <c r="Q2431" s="6" t="s">
        <v>81</v>
      </c>
      <c r="R2431" s="6" t="s">
        <v>81</v>
      </c>
      <c r="S2431" s="6" t="s">
        <v>10886</v>
      </c>
      <c r="T2431" s="16" t="n">
        <v>44207</v>
      </c>
      <c r="U2431" s="6" t="s">
        <v>13881</v>
      </c>
      <c r="V2431" s="6" t="s">
        <v>81</v>
      </c>
      <c r="W2431" s="6" t="s">
        <v>81</v>
      </c>
      <c r="X2431" s="6" t="s">
        <v>81</v>
      </c>
      <c r="Y2431" s="21" t="s">
        <v>81</v>
      </c>
      <c r="Z2431" s="6" t="s">
        <v>81</v>
      </c>
      <c r="AA2431" s="6" t="s">
        <v>81</v>
      </c>
      <c r="AB2431" s="6" t="s">
        <v>81</v>
      </c>
      <c r="AC2431" s="6" t="s">
        <v>10886</v>
      </c>
      <c r="AD2431" s="16" t="n">
        <v>44207</v>
      </c>
      <c r="AE2431" s="6" t="s">
        <v>14434</v>
      </c>
      <c r="AF2431" s="6" t="s">
        <v>81</v>
      </c>
      <c r="AG2431" s="6" t="s">
        <v>81</v>
      </c>
      <c r="AH2431" s="6" t="s">
        <v>16971</v>
      </c>
      <c r="AI2431" s="6" t="s">
        <v>81</v>
      </c>
      <c r="AJ2431" s="6" t="s">
        <v>18073</v>
      </c>
      <c r="AK2431" s="6" t="s">
        <v>18380</v>
      </c>
      <c r="AL2431" s="6" t="s">
        <v>18444</v>
      </c>
      <c r="AM2431" s="6" t="s">
        <v>19267</v>
      </c>
      <c r="AN2431" s="6" t="s">
        <v>81</v>
      </c>
      <c r="AO2431" s="6" t="s">
        <v>81</v>
      </c>
      <c r="AP2431" s="6" t="s">
        <v>16971</v>
      </c>
      <c r="AQ2431" s="6" t="s">
        <v>81</v>
      </c>
      <c r="AR2431" s="6" t="s">
        <v>18073</v>
      </c>
      <c r="AS2431" s="6" t="s">
        <v>18380</v>
      </c>
      <c r="AT2431" s="6" t="s">
        <v>18444</v>
      </c>
      <c r="AU2431" s="6" t="s">
        <v>19267</v>
      </c>
      <c r="AV2431" s="6" t="s">
        <v>81</v>
      </c>
      <c r="AW2431" s="6" t="s">
        <v>81</v>
      </c>
      <c r="AX2431" s="6" t="s">
        <v>22337</v>
      </c>
      <c r="AY2431" s="6" t="s">
        <v>81</v>
      </c>
      <c r="AZ2431" s="6" t="s">
        <v>81</v>
      </c>
      <c r="BA2431" s="6" t="s">
        <v>81</v>
      </c>
      <c r="BB2431" s="24" t="n">
        <v>14</v>
      </c>
      <c r="BC2431" s="26"/>
      <c r="BD2431" s="26"/>
      <c r="BE2431" s="26"/>
      <c r="BF2431" s="26"/>
      <c r="BG2431" s="26"/>
      <c r="BH2431" s="26"/>
      <c r="BI2431" s="26"/>
      <c r="BJ2431" s="26"/>
      <c r="BK2431" s="26" t="s">
        <v>23900</v>
      </c>
      <c r="BL2431" s="26"/>
      <c r="BM2431" s="26"/>
      <c r="BN2431" s="26"/>
      <c r="BO2431" s="26"/>
      <c r="BP2431" s="16" t="n">
        <v>45737</v>
      </c>
      <c r="BQ2431" s="28" t="str">
        <f>HYPERLINK("https://organic.ams.usda.gov/Integrity/Certificate.aspx?cid=58&amp;nopid=1600003716")</f>
        <v>https://organic.ams.usda.gov/Integrity/Certificate.aspx?cid=58&amp;nopid=1600003716</v>
      </c>
    </row>
    <row r="2432">
      <c r="A2432" t="s">
        <v>3</v>
      </c>
      <c r="B2432" s="6" t="s">
        <v>7</v>
      </c>
      <c r="C2432" s="6" t="s">
        <v>54</v>
      </c>
      <c r="D2432" s="6" t="s">
        <v>100</v>
      </c>
      <c r="E2432" s="10" t="s">
        <v>2573</v>
      </c>
      <c r="F2432" s="6" t="s">
        <v>5279</v>
      </c>
      <c r="G2432" s="6" t="s">
        <v>81</v>
      </c>
      <c r="H2432" s="6" t="s">
        <v>8107</v>
      </c>
      <c r="I2432" s="6" t="s">
        <v>8928</v>
      </c>
      <c r="J2432" s="6" t="s">
        <v>9727</v>
      </c>
      <c r="K2432" s="6" t="s">
        <v>10886</v>
      </c>
      <c r="L2432" s="16" t="n">
        <v>42202</v>
      </c>
      <c r="M2432" s="16" t="n">
        <v>45716</v>
      </c>
      <c r="N2432" s="6" t="s">
        <v>10886</v>
      </c>
      <c r="O2432" s="16" t="n">
        <v>42202</v>
      </c>
      <c r="P2432" s="6" t="s">
        <v>10944</v>
      </c>
      <c r="Q2432" s="6" t="s">
        <v>81</v>
      </c>
      <c r="R2432" s="6" t="s">
        <v>81</v>
      </c>
      <c r="S2432" s="6" t="s">
        <v>10886</v>
      </c>
      <c r="T2432" s="16" t="n">
        <v>42333</v>
      </c>
      <c r="U2432" s="6" t="s">
        <v>13169</v>
      </c>
      <c r="V2432" s="6" t="s">
        <v>81</v>
      </c>
      <c r="W2432" s="6" t="s">
        <v>81</v>
      </c>
      <c r="X2432" s="6" t="s">
        <v>81</v>
      </c>
      <c r="Y2432" s="21" t="s">
        <v>81</v>
      </c>
      <c r="Z2432" s="6" t="s">
        <v>81</v>
      </c>
      <c r="AA2432" s="6" t="s">
        <v>81</v>
      </c>
      <c r="AB2432" s="6" t="s">
        <v>81</v>
      </c>
      <c r="AC2432" s="6" t="s">
        <v>81</v>
      </c>
      <c r="AD2432" s="21" t="s">
        <v>81</v>
      </c>
      <c r="AE2432" s="6" t="s">
        <v>81</v>
      </c>
      <c r="AF2432" s="6" t="s">
        <v>81</v>
      </c>
      <c r="AG2432" s="6" t="s">
        <v>81</v>
      </c>
      <c r="AH2432" s="6" t="s">
        <v>16972</v>
      </c>
      <c r="AI2432" s="6" t="s">
        <v>81</v>
      </c>
      <c r="AJ2432" s="6" t="s">
        <v>17431</v>
      </c>
      <c r="AK2432" s="6" t="s">
        <v>17712</v>
      </c>
      <c r="AL2432" s="6" t="s">
        <v>18444</v>
      </c>
      <c r="AM2432" s="6" t="s">
        <v>18588</v>
      </c>
      <c r="AN2432" s="6" t="s">
        <v>19646</v>
      </c>
      <c r="AO2432" s="6" t="s">
        <v>19729</v>
      </c>
      <c r="AP2432" s="6" t="s">
        <v>16972</v>
      </c>
      <c r="AQ2432" s="6" t="s">
        <v>81</v>
      </c>
      <c r="AR2432" s="6" t="s">
        <v>17431</v>
      </c>
      <c r="AS2432" s="6" t="s">
        <v>17712</v>
      </c>
      <c r="AT2432" s="6" t="s">
        <v>18444</v>
      </c>
      <c r="AU2432" s="6" t="s">
        <v>18588</v>
      </c>
      <c r="AV2432" s="6" t="s">
        <v>81</v>
      </c>
      <c r="AW2432" s="6" t="s">
        <v>81</v>
      </c>
      <c r="AX2432" s="6" t="s">
        <v>81</v>
      </c>
      <c r="AY2432" s="6" t="s">
        <v>81</v>
      </c>
      <c r="AZ2432" s="6" t="s">
        <v>81</v>
      </c>
      <c r="BA2432" s="6" t="s">
        <v>81</v>
      </c>
      <c r="BB2432" s="24" t="n">
        <v>144</v>
      </c>
      <c r="BC2432" s="26"/>
      <c r="BD2432" s="26"/>
      <c r="BE2432" s="26"/>
      <c r="BF2432" s="26"/>
      <c r="BG2432" s="26"/>
      <c r="BH2432" s="26"/>
      <c r="BI2432" s="26"/>
      <c r="BJ2432" s="26"/>
      <c r="BK2432" s="26"/>
      <c r="BL2432" s="26"/>
      <c r="BM2432" s="26"/>
      <c r="BN2432" s="26"/>
      <c r="BO2432" s="26"/>
      <c r="BP2432" s="16" t="n">
        <v>45595</v>
      </c>
      <c r="BQ2432" s="28" t="str">
        <f>HYPERLINK("https://organic.ams.usda.gov/Integrity/Certificate.aspx?cid=57&amp;nopid=3252015080")</f>
        <v>https://organic.ams.usda.gov/Integrity/Certificate.aspx?cid=57&amp;nopid=3252015080</v>
      </c>
    </row>
    <row r="2433">
      <c r="A2433" t="s">
        <v>3</v>
      </c>
      <c r="B2433" s="6" t="s">
        <v>29</v>
      </c>
      <c r="C2433" s="6" t="s">
        <v>76</v>
      </c>
      <c r="D2433" s="6" t="s">
        <v>122</v>
      </c>
      <c r="E2433" s="10" t="s">
        <v>2574</v>
      </c>
      <c r="F2433" s="6" t="s">
        <v>5280</v>
      </c>
      <c r="G2433" s="6" t="s">
        <v>81</v>
      </c>
      <c r="H2433" s="6" t="s">
        <v>8108</v>
      </c>
      <c r="I2433" s="6" t="s">
        <v>9545</v>
      </c>
      <c r="J2433" s="6" t="s">
        <v>9672</v>
      </c>
      <c r="K2433" s="6" t="s">
        <v>10886</v>
      </c>
      <c r="L2433" s="16" t="n">
        <v>45597</v>
      </c>
      <c r="M2433" s="16" t="n">
        <v>45870</v>
      </c>
      <c r="N2433" s="6" t="s">
        <v>10886</v>
      </c>
      <c r="O2433" s="16" t="n">
        <v>45597</v>
      </c>
      <c r="P2433" s="6" t="s">
        <v>11031</v>
      </c>
      <c r="Q2433" s="6" t="s">
        <v>81</v>
      </c>
      <c r="R2433" s="6" t="s">
        <v>13087</v>
      </c>
      <c r="S2433" s="6" t="s">
        <v>10886</v>
      </c>
      <c r="T2433" s="16" t="n">
        <v>45597</v>
      </c>
      <c r="U2433" s="6" t="s">
        <v>13882</v>
      </c>
      <c r="V2433" s="6" t="s">
        <v>81</v>
      </c>
      <c r="W2433" s="6" t="s">
        <v>13087</v>
      </c>
      <c r="X2433" s="6" t="s">
        <v>81</v>
      </c>
      <c r="Y2433" s="21" t="s">
        <v>81</v>
      </c>
      <c r="Z2433" s="6" t="s">
        <v>81</v>
      </c>
      <c r="AA2433" s="6" t="s">
        <v>81</v>
      </c>
      <c r="AB2433" s="6" t="s">
        <v>81</v>
      </c>
      <c r="AC2433" s="6" t="s">
        <v>81</v>
      </c>
      <c r="AD2433" s="21" t="s">
        <v>81</v>
      </c>
      <c r="AE2433" s="6" t="s">
        <v>81</v>
      </c>
      <c r="AF2433" s="6" t="s">
        <v>81</v>
      </c>
      <c r="AG2433" s="6" t="s">
        <v>81</v>
      </c>
      <c r="AH2433" s="6" t="s">
        <v>16973</v>
      </c>
      <c r="AI2433" s="6" t="s">
        <v>81</v>
      </c>
      <c r="AJ2433" s="6" t="s">
        <v>17404</v>
      </c>
      <c r="AK2433" s="6" t="s">
        <v>18380</v>
      </c>
      <c r="AL2433" s="6" t="s">
        <v>18444</v>
      </c>
      <c r="AM2433" s="6" t="s">
        <v>18560</v>
      </c>
      <c r="AN2433" s="6" t="s">
        <v>81</v>
      </c>
      <c r="AO2433" s="6" t="s">
        <v>81</v>
      </c>
      <c r="AP2433" s="6" t="s">
        <v>81</v>
      </c>
      <c r="AQ2433" s="6" t="s">
        <v>81</v>
      </c>
      <c r="AR2433" s="6" t="s">
        <v>81</v>
      </c>
      <c r="AS2433" s="6" t="s">
        <v>81</v>
      </c>
      <c r="AT2433" s="6" t="s">
        <v>81</v>
      </c>
      <c r="AU2433" s="6" t="s">
        <v>81</v>
      </c>
      <c r="AV2433" s="6" t="s">
        <v>81</v>
      </c>
      <c r="AW2433" s="6" t="s">
        <v>81</v>
      </c>
      <c r="AX2433" s="6" t="s">
        <v>22338</v>
      </c>
      <c r="AY2433" s="6" t="s">
        <v>81</v>
      </c>
      <c r="AZ2433" s="6" t="s">
        <v>81</v>
      </c>
      <c r="BA2433" s="6" t="s">
        <v>81</v>
      </c>
      <c r="BB2433" s="24" t="n">
        <v>57</v>
      </c>
      <c r="BC2433" s="26"/>
      <c r="BD2433" s="26"/>
      <c r="BE2433" s="26"/>
      <c r="BF2433" s="26" t="s">
        <v>23900</v>
      </c>
      <c r="BG2433" s="26"/>
      <c r="BH2433" s="26"/>
      <c r="BI2433" s="26"/>
      <c r="BJ2433" s="26"/>
      <c r="BK2433" s="26"/>
      <c r="BL2433" s="26"/>
      <c r="BM2433" s="26"/>
      <c r="BN2433" s="26"/>
      <c r="BO2433" s="26"/>
      <c r="BP2433" s="16" t="n">
        <v>45737</v>
      </c>
      <c r="BQ2433" s="28" t="str">
        <f>HYPERLINK("https://organic.ams.usda.gov/Integrity/Certificate.aspx?cid=31&amp;nopid=3928972456")</f>
        <v>https://organic.ams.usda.gov/Integrity/Certificate.aspx?cid=31&amp;nopid=3928972456</v>
      </c>
    </row>
    <row r="2434">
      <c r="A2434" t="s">
        <v>3</v>
      </c>
      <c r="B2434" s="6" t="s">
        <v>13</v>
      </c>
      <c r="C2434" s="6" t="s">
        <v>60</v>
      </c>
      <c r="D2434" s="6" t="s">
        <v>106</v>
      </c>
      <c r="E2434" s="10" t="s">
        <v>2575</v>
      </c>
      <c r="F2434" s="6" t="s">
        <v>5281</v>
      </c>
      <c r="G2434" s="6" t="s">
        <v>81</v>
      </c>
      <c r="H2434" s="6" t="s">
        <v>5917</v>
      </c>
      <c r="I2434" s="6" t="s">
        <v>8928</v>
      </c>
      <c r="J2434" s="6" t="s">
        <v>9728</v>
      </c>
      <c r="K2434" s="6" t="s">
        <v>10886</v>
      </c>
      <c r="L2434" s="16" t="n">
        <v>43398</v>
      </c>
      <c r="M2434" s="16" t="n">
        <v>45748</v>
      </c>
      <c r="N2434" s="6" t="s">
        <v>10886</v>
      </c>
      <c r="O2434" s="16" t="n">
        <v>43398</v>
      </c>
      <c r="P2434" s="6" t="s">
        <v>10925</v>
      </c>
      <c r="Q2434" s="6" t="s">
        <v>81</v>
      </c>
      <c r="R2434" s="6" t="s">
        <v>13088</v>
      </c>
      <c r="S2434" s="6" t="s">
        <v>10886</v>
      </c>
      <c r="T2434" s="16" t="n">
        <v>43642</v>
      </c>
      <c r="U2434" s="6" t="s">
        <v>13325</v>
      </c>
      <c r="V2434" s="6" t="s">
        <v>81</v>
      </c>
      <c r="W2434" s="6" t="s">
        <v>13088</v>
      </c>
      <c r="X2434" s="6" t="s">
        <v>81</v>
      </c>
      <c r="Y2434" s="21" t="s">
        <v>81</v>
      </c>
      <c r="Z2434" s="6" t="s">
        <v>81</v>
      </c>
      <c r="AA2434" s="6" t="s">
        <v>81</v>
      </c>
      <c r="AB2434" s="6" t="s">
        <v>81</v>
      </c>
      <c r="AC2434" s="6" t="s">
        <v>81</v>
      </c>
      <c r="AD2434" s="21" t="s">
        <v>81</v>
      </c>
      <c r="AE2434" s="6" t="s">
        <v>81</v>
      </c>
      <c r="AF2434" s="6" t="s">
        <v>81</v>
      </c>
      <c r="AG2434" s="6" t="s">
        <v>81</v>
      </c>
      <c r="AH2434" s="6" t="s">
        <v>16974</v>
      </c>
      <c r="AI2434" s="6" t="s">
        <v>81</v>
      </c>
      <c r="AJ2434" s="6" t="s">
        <v>17635</v>
      </c>
      <c r="AK2434" s="6" t="s">
        <v>18379</v>
      </c>
      <c r="AL2434" s="6" t="s">
        <v>18444</v>
      </c>
      <c r="AM2434" s="6" t="s">
        <v>18804</v>
      </c>
      <c r="AN2434" s="6" t="s">
        <v>19637</v>
      </c>
      <c r="AO2434" s="6" t="s">
        <v>19723</v>
      </c>
      <c r="AP2434" s="6" t="s">
        <v>16974</v>
      </c>
      <c r="AQ2434" s="6" t="s">
        <v>81</v>
      </c>
      <c r="AR2434" s="6" t="s">
        <v>17635</v>
      </c>
      <c r="AS2434" s="6" t="s">
        <v>18379</v>
      </c>
      <c r="AT2434" s="6" t="s">
        <v>18444</v>
      </c>
      <c r="AU2434" s="6" t="s">
        <v>18804</v>
      </c>
      <c r="AV2434" s="6" t="s">
        <v>81</v>
      </c>
      <c r="AW2434" s="6" t="s">
        <v>81</v>
      </c>
      <c r="AX2434" s="6" t="s">
        <v>22339</v>
      </c>
      <c r="AY2434" s="6" t="s">
        <v>81</v>
      </c>
      <c r="AZ2434" s="6" t="s">
        <v>81</v>
      </c>
      <c r="BA2434" s="6" t="s">
        <v>81</v>
      </c>
      <c r="BB2434" s="24" t="n">
        <v>182</v>
      </c>
      <c r="BC2434" s="26"/>
      <c r="BD2434" s="26"/>
      <c r="BE2434" s="26"/>
      <c r="BF2434" s="26" t="s">
        <v>23900</v>
      </c>
      <c r="BG2434" s="26"/>
      <c r="BH2434" s="26"/>
      <c r="BI2434" s="26"/>
      <c r="BJ2434" s="26"/>
      <c r="BK2434" s="26"/>
      <c r="BL2434" s="26"/>
      <c r="BM2434" s="26"/>
      <c r="BN2434" s="26"/>
      <c r="BO2434" s="26"/>
      <c r="BP2434" s="16" t="n">
        <v>45663</v>
      </c>
      <c r="BQ2434" s="28" t="str">
        <f>HYPERLINK("https://organic.ams.usda.gov/Integrity/Certificate.aspx?cid=72&amp;nopid=5872060355")</f>
        <v>https://organic.ams.usda.gov/Integrity/Certificate.aspx?cid=72&amp;nopid=5872060355</v>
      </c>
    </row>
    <row r="2435">
      <c r="A2435" t="s">
        <v>3</v>
      </c>
      <c r="B2435" s="6" t="s">
        <v>8</v>
      </c>
      <c r="C2435" s="6" t="s">
        <v>55</v>
      </c>
      <c r="D2435" s="6" t="s">
        <v>101</v>
      </c>
      <c r="E2435" s="10" t="s">
        <v>2576</v>
      </c>
      <c r="F2435" s="6" t="s">
        <v>5282</v>
      </c>
      <c r="G2435" s="6" t="s">
        <v>81</v>
      </c>
      <c r="H2435" s="6" t="s">
        <v>8109</v>
      </c>
      <c r="I2435" s="6" t="s">
        <v>8928</v>
      </c>
      <c r="J2435" s="6" t="s">
        <v>9667</v>
      </c>
      <c r="K2435" s="6" t="s">
        <v>10886</v>
      </c>
      <c r="L2435" s="16" t="n">
        <v>42278</v>
      </c>
      <c r="M2435" s="16" t="n">
        <v>45383</v>
      </c>
      <c r="N2435" s="6" t="s">
        <v>10886</v>
      </c>
      <c r="O2435" s="16" t="n">
        <v>42278</v>
      </c>
      <c r="P2435" s="6" t="s">
        <v>12256</v>
      </c>
      <c r="Q2435" s="6" t="s">
        <v>81</v>
      </c>
      <c r="R2435" s="6" t="s">
        <v>8109</v>
      </c>
      <c r="S2435" s="6" t="s">
        <v>10886</v>
      </c>
      <c r="T2435" s="16" t="n">
        <v>42278</v>
      </c>
      <c r="U2435" s="6" t="s">
        <v>13498</v>
      </c>
      <c r="V2435" s="6" t="s">
        <v>81</v>
      </c>
      <c r="W2435" s="6" t="s">
        <v>8109</v>
      </c>
      <c r="X2435" s="6" t="s">
        <v>81</v>
      </c>
      <c r="Y2435" s="21" t="s">
        <v>81</v>
      </c>
      <c r="Z2435" s="6" t="s">
        <v>81</v>
      </c>
      <c r="AA2435" s="6" t="s">
        <v>81</v>
      </c>
      <c r="AB2435" s="6" t="s">
        <v>81</v>
      </c>
      <c r="AC2435" s="6" t="s">
        <v>81</v>
      </c>
      <c r="AD2435" s="21" t="s">
        <v>81</v>
      </c>
      <c r="AE2435" s="6" t="s">
        <v>81</v>
      </c>
      <c r="AF2435" s="6" t="s">
        <v>81</v>
      </c>
      <c r="AG2435" s="6" t="s">
        <v>81</v>
      </c>
      <c r="AH2435" s="6" t="s">
        <v>16975</v>
      </c>
      <c r="AI2435" s="6" t="s">
        <v>81</v>
      </c>
      <c r="AJ2435" s="6" t="s">
        <v>18299</v>
      </c>
      <c r="AK2435" s="6" t="s">
        <v>18379</v>
      </c>
      <c r="AL2435" s="6" t="s">
        <v>18444</v>
      </c>
      <c r="AM2435" s="6" t="s">
        <v>19528</v>
      </c>
      <c r="AN2435" s="6" t="s">
        <v>19671</v>
      </c>
      <c r="AO2435" s="6" t="s">
        <v>19784</v>
      </c>
      <c r="AP2435" s="6" t="s">
        <v>81</v>
      </c>
      <c r="AQ2435" s="6" t="s">
        <v>81</v>
      </c>
      <c r="AR2435" s="6" t="s">
        <v>81</v>
      </c>
      <c r="AS2435" s="6" t="s">
        <v>81</v>
      </c>
      <c r="AT2435" s="6" t="s">
        <v>81</v>
      </c>
      <c r="AU2435" s="6" t="s">
        <v>81</v>
      </c>
      <c r="AV2435" s="6" t="s">
        <v>81</v>
      </c>
      <c r="AW2435" s="6" t="s">
        <v>81</v>
      </c>
      <c r="AX2435" s="6" t="s">
        <v>81</v>
      </c>
      <c r="AY2435" s="6" t="s">
        <v>81</v>
      </c>
      <c r="AZ2435" s="6" t="s">
        <v>81</v>
      </c>
      <c r="BA2435" s="6" t="s">
        <v>8109</v>
      </c>
      <c r="BB2435" s="24" t="n">
        <v>119</v>
      </c>
      <c r="BC2435" s="26"/>
      <c r="BD2435" s="26"/>
      <c r="BE2435" s="26"/>
      <c r="BF2435" s="26"/>
      <c r="BG2435" s="26"/>
      <c r="BH2435" s="26"/>
      <c r="BI2435" s="26"/>
      <c r="BJ2435" s="26"/>
      <c r="BK2435" s="26"/>
      <c r="BL2435" s="26"/>
      <c r="BM2435" s="26"/>
      <c r="BN2435" s="26"/>
      <c r="BO2435" s="26"/>
      <c r="BP2435" s="16" t="n">
        <v>45425</v>
      </c>
      <c r="BQ2435" s="28" t="str">
        <f>HYPERLINK("https://organic.ams.usda.gov/Integrity/Certificate.aspx?cid=45&amp;nopid=9950008162")</f>
        <v>https://organic.ams.usda.gov/Integrity/Certificate.aspx?cid=45&amp;nopid=9950008162</v>
      </c>
    </row>
    <row r="2436">
      <c r="A2436" t="s">
        <v>3</v>
      </c>
      <c r="B2436" s="6" t="s">
        <v>8</v>
      </c>
      <c r="C2436" s="6" t="s">
        <v>55</v>
      </c>
      <c r="D2436" s="6" t="s">
        <v>101</v>
      </c>
      <c r="E2436" s="10" t="s">
        <v>2577</v>
      </c>
      <c r="F2436" s="6" t="s">
        <v>5282</v>
      </c>
      <c r="G2436" s="6" t="s">
        <v>81</v>
      </c>
      <c r="H2436" s="6" t="s">
        <v>8110</v>
      </c>
      <c r="I2436" s="6" t="s">
        <v>8928</v>
      </c>
      <c r="J2436" s="6" t="s">
        <v>9667</v>
      </c>
      <c r="K2436" s="6" t="s">
        <v>10886</v>
      </c>
      <c r="L2436" s="16" t="n">
        <v>43304</v>
      </c>
      <c r="M2436" s="16" t="n">
        <v>45689</v>
      </c>
      <c r="N2436" s="6" t="s">
        <v>10886</v>
      </c>
      <c r="O2436" s="16" t="n">
        <v>43304</v>
      </c>
      <c r="P2436" s="6" t="s">
        <v>12257</v>
      </c>
      <c r="Q2436" s="6" t="s">
        <v>81</v>
      </c>
      <c r="R2436" s="6" t="s">
        <v>8110</v>
      </c>
      <c r="S2436" s="6" t="s">
        <v>10886</v>
      </c>
      <c r="T2436" s="16" t="n">
        <v>43304</v>
      </c>
      <c r="U2436" s="6" t="s">
        <v>13173</v>
      </c>
      <c r="V2436" s="6" t="s">
        <v>81</v>
      </c>
      <c r="W2436" s="6" t="s">
        <v>8110</v>
      </c>
      <c r="X2436" s="6" t="s">
        <v>81</v>
      </c>
      <c r="Y2436" s="21" t="s">
        <v>81</v>
      </c>
      <c r="Z2436" s="6" t="s">
        <v>81</v>
      </c>
      <c r="AA2436" s="6" t="s">
        <v>81</v>
      </c>
      <c r="AB2436" s="6" t="s">
        <v>81</v>
      </c>
      <c r="AC2436" s="6" t="s">
        <v>81</v>
      </c>
      <c r="AD2436" s="21" t="s">
        <v>81</v>
      </c>
      <c r="AE2436" s="6" t="s">
        <v>81</v>
      </c>
      <c r="AF2436" s="6" t="s">
        <v>81</v>
      </c>
      <c r="AG2436" s="6" t="s">
        <v>81</v>
      </c>
      <c r="AH2436" s="6" t="s">
        <v>16976</v>
      </c>
      <c r="AI2436" s="6" t="s">
        <v>81</v>
      </c>
      <c r="AJ2436" s="6" t="s">
        <v>17332</v>
      </c>
      <c r="AK2436" s="6" t="s">
        <v>18380</v>
      </c>
      <c r="AL2436" s="6" t="s">
        <v>18444</v>
      </c>
      <c r="AM2436" s="6" t="s">
        <v>18484</v>
      </c>
      <c r="AN2436" s="6" t="s">
        <v>19665</v>
      </c>
      <c r="AO2436" s="6" t="s">
        <v>19755</v>
      </c>
      <c r="AP2436" s="6" t="s">
        <v>81</v>
      </c>
      <c r="AQ2436" s="6" t="s">
        <v>81</v>
      </c>
      <c r="AR2436" s="6" t="s">
        <v>81</v>
      </c>
      <c r="AS2436" s="6" t="s">
        <v>81</v>
      </c>
      <c r="AT2436" s="6" t="s">
        <v>81</v>
      </c>
      <c r="AU2436" s="6" t="s">
        <v>81</v>
      </c>
      <c r="AV2436" s="6" t="s">
        <v>81</v>
      </c>
      <c r="AW2436" s="6" t="s">
        <v>81</v>
      </c>
      <c r="AX2436" s="6" t="s">
        <v>81</v>
      </c>
      <c r="AY2436" s="6" t="s">
        <v>81</v>
      </c>
      <c r="AZ2436" s="6" t="s">
        <v>81</v>
      </c>
      <c r="BA2436" s="6" t="s">
        <v>81</v>
      </c>
      <c r="BB2436" s="24" t="n">
        <v>70</v>
      </c>
      <c r="BC2436" s="26"/>
      <c r="BD2436" s="26"/>
      <c r="BE2436" s="26"/>
      <c r="BF2436" s="26" t="s">
        <v>23900</v>
      </c>
      <c r="BG2436" s="26"/>
      <c r="BH2436" s="26"/>
      <c r="BI2436" s="26"/>
      <c r="BJ2436" s="26"/>
      <c r="BK2436" s="26"/>
      <c r="BL2436" s="26"/>
      <c r="BM2436" s="26"/>
      <c r="BN2436" s="26"/>
      <c r="BO2436" s="26"/>
      <c r="BP2436" s="16" t="n">
        <v>45735</v>
      </c>
      <c r="BQ2436" s="28" t="str">
        <f>HYPERLINK("https://organic.ams.usda.gov/Integrity/Certificate.aspx?cid=45&amp;nopid=9950008908")</f>
        <v>https://organic.ams.usda.gov/Integrity/Certificate.aspx?cid=45&amp;nopid=9950008908</v>
      </c>
    </row>
    <row r="2437">
      <c r="A2437" t="s">
        <v>3</v>
      </c>
      <c r="B2437" s="6" t="s">
        <v>10</v>
      </c>
      <c r="C2437" s="6" t="s">
        <v>57</v>
      </c>
      <c r="D2437" s="6" t="s">
        <v>103</v>
      </c>
      <c r="E2437" s="10" t="s">
        <v>2578</v>
      </c>
      <c r="F2437" s="6" t="s">
        <v>5283</v>
      </c>
      <c r="G2437" s="6" t="s">
        <v>81</v>
      </c>
      <c r="H2437" s="6" t="s">
        <v>8111</v>
      </c>
      <c r="I2437" s="6" t="s">
        <v>9546</v>
      </c>
      <c r="J2437" s="6" t="s">
        <v>9666</v>
      </c>
      <c r="K2437" s="6" t="s">
        <v>10886</v>
      </c>
      <c r="L2437" s="16" t="n">
        <v>41925</v>
      </c>
      <c r="M2437" s="16" t="n">
        <v>45748</v>
      </c>
      <c r="N2437" s="6" t="s">
        <v>10886</v>
      </c>
      <c r="O2437" s="16" t="n">
        <v>41925</v>
      </c>
      <c r="P2437" s="6" t="s">
        <v>10925</v>
      </c>
      <c r="Q2437" s="6" t="s">
        <v>81</v>
      </c>
      <c r="R2437" s="6" t="s">
        <v>13089</v>
      </c>
      <c r="S2437" s="6" t="s">
        <v>10886</v>
      </c>
      <c r="T2437" s="16" t="n">
        <v>41925</v>
      </c>
      <c r="U2437" s="6" t="s">
        <v>13163</v>
      </c>
      <c r="V2437" s="6" t="s">
        <v>81</v>
      </c>
      <c r="W2437" s="6" t="s">
        <v>81</v>
      </c>
      <c r="X2437" s="6" t="s">
        <v>81</v>
      </c>
      <c r="Y2437" s="21" t="s">
        <v>81</v>
      </c>
      <c r="Z2437" s="6" t="s">
        <v>81</v>
      </c>
      <c r="AA2437" s="6" t="s">
        <v>81</v>
      </c>
      <c r="AB2437" s="6" t="s">
        <v>81</v>
      </c>
      <c r="AC2437" s="6" t="s">
        <v>81</v>
      </c>
      <c r="AD2437" s="21" t="s">
        <v>81</v>
      </c>
      <c r="AE2437" s="6" t="s">
        <v>81</v>
      </c>
      <c r="AF2437" s="6" t="s">
        <v>81</v>
      </c>
      <c r="AG2437" s="6" t="s">
        <v>81</v>
      </c>
      <c r="AH2437" s="6" t="s">
        <v>16977</v>
      </c>
      <c r="AI2437" s="6" t="s">
        <v>81</v>
      </c>
      <c r="AJ2437" s="6" t="s">
        <v>17645</v>
      </c>
      <c r="AK2437" s="6" t="s">
        <v>18379</v>
      </c>
      <c r="AL2437" s="6" t="s">
        <v>18444</v>
      </c>
      <c r="AM2437" s="6" t="s">
        <v>18814</v>
      </c>
      <c r="AN2437" s="6" t="s">
        <v>19654</v>
      </c>
      <c r="AO2437" s="6" t="s">
        <v>19765</v>
      </c>
      <c r="AP2437" s="6" t="s">
        <v>16977</v>
      </c>
      <c r="AQ2437" s="6" t="s">
        <v>81</v>
      </c>
      <c r="AR2437" s="6" t="s">
        <v>17645</v>
      </c>
      <c r="AS2437" s="6" t="s">
        <v>18379</v>
      </c>
      <c r="AT2437" s="6" t="s">
        <v>18444</v>
      </c>
      <c r="AU2437" s="6" t="s">
        <v>18814</v>
      </c>
      <c r="AV2437" s="6" t="s">
        <v>81</v>
      </c>
      <c r="AW2437" s="6" t="s">
        <v>81</v>
      </c>
      <c r="AX2437" s="6" t="s">
        <v>22340</v>
      </c>
      <c r="AY2437" s="6" t="s">
        <v>81</v>
      </c>
      <c r="AZ2437" s="6" t="s">
        <v>81</v>
      </c>
      <c r="BA2437" s="6" t="s">
        <v>81</v>
      </c>
      <c r="BB2437" s="24" t="n">
        <v>97</v>
      </c>
      <c r="BC2437" s="26"/>
      <c r="BD2437" s="26"/>
      <c r="BE2437" s="26"/>
      <c r="BF2437" s="26"/>
      <c r="BG2437" s="26"/>
      <c r="BH2437" s="26"/>
      <c r="BI2437" s="26"/>
      <c r="BJ2437" s="26"/>
      <c r="BK2437" s="26"/>
      <c r="BL2437" s="26"/>
      <c r="BM2437" s="26"/>
      <c r="BN2437" s="26"/>
      <c r="BO2437" s="26"/>
      <c r="BP2437" s="16" t="n">
        <v>45730</v>
      </c>
      <c r="BQ2437" s="28" t="str">
        <f>HYPERLINK("https://organic.ams.usda.gov/Integrity/Certificate.aspx?cid=90&amp;nopid=7170020197")</f>
        <v>https://organic.ams.usda.gov/Integrity/Certificate.aspx?cid=90&amp;nopid=7170020197</v>
      </c>
    </row>
    <row r="2438">
      <c r="A2438" t="s">
        <v>3</v>
      </c>
      <c r="B2438" s="6" t="s">
        <v>9</v>
      </c>
      <c r="C2438" s="6" t="s">
        <v>56</v>
      </c>
      <c r="D2438" s="6" t="s">
        <v>102</v>
      </c>
      <c r="E2438" s="10" t="s">
        <v>2579</v>
      </c>
      <c r="F2438" s="6" t="s">
        <v>5284</v>
      </c>
      <c r="G2438" s="6" t="s">
        <v>81</v>
      </c>
      <c r="H2438" s="6" t="s">
        <v>8032</v>
      </c>
      <c r="I2438" s="6" t="s">
        <v>8928</v>
      </c>
      <c r="J2438" s="6" t="s">
        <v>9665</v>
      </c>
      <c r="K2438" s="6" t="s">
        <v>10886</v>
      </c>
      <c r="L2438" s="16" t="n">
        <v>42248</v>
      </c>
      <c r="M2438" s="16" t="n">
        <v>46113</v>
      </c>
      <c r="N2438" s="6" t="s">
        <v>10886</v>
      </c>
      <c r="O2438" s="16" t="n">
        <v>42248</v>
      </c>
      <c r="P2438" s="6" t="s">
        <v>12258</v>
      </c>
      <c r="Q2438" s="6" t="s">
        <v>81</v>
      </c>
      <c r="R2438" s="6" t="s">
        <v>13090</v>
      </c>
      <c r="S2438" s="6" t="s">
        <v>10886</v>
      </c>
      <c r="T2438" s="16" t="n">
        <v>42248</v>
      </c>
      <c r="U2438" s="6" t="s">
        <v>13168</v>
      </c>
      <c r="V2438" s="6" t="s">
        <v>81</v>
      </c>
      <c r="W2438" s="6" t="s">
        <v>13090</v>
      </c>
      <c r="X2438" s="6" t="s">
        <v>81</v>
      </c>
      <c r="Y2438" s="21" t="s">
        <v>81</v>
      </c>
      <c r="Z2438" s="6" t="s">
        <v>81</v>
      </c>
      <c r="AA2438" s="6" t="s">
        <v>81</v>
      </c>
      <c r="AB2438" s="6" t="s">
        <v>81</v>
      </c>
      <c r="AC2438" s="6" t="s">
        <v>81</v>
      </c>
      <c r="AD2438" s="21" t="s">
        <v>81</v>
      </c>
      <c r="AE2438" s="6" t="s">
        <v>81</v>
      </c>
      <c r="AF2438" s="6" t="s">
        <v>81</v>
      </c>
      <c r="AG2438" s="6" t="s">
        <v>81</v>
      </c>
      <c r="AH2438" s="6" t="s">
        <v>16978</v>
      </c>
      <c r="AI2438" s="6" t="s">
        <v>81</v>
      </c>
      <c r="AJ2438" s="6" t="s">
        <v>17645</v>
      </c>
      <c r="AK2438" s="6" t="s">
        <v>18379</v>
      </c>
      <c r="AL2438" s="6" t="s">
        <v>18444</v>
      </c>
      <c r="AM2438" s="6" t="s">
        <v>18814</v>
      </c>
      <c r="AN2438" s="6" t="s">
        <v>19654</v>
      </c>
      <c r="AO2438" s="6" t="s">
        <v>19765</v>
      </c>
      <c r="AP2438" s="6" t="s">
        <v>81</v>
      </c>
      <c r="AQ2438" s="6" t="s">
        <v>81</v>
      </c>
      <c r="AR2438" s="6" t="s">
        <v>81</v>
      </c>
      <c r="AS2438" s="6" t="s">
        <v>81</v>
      </c>
      <c r="AT2438" s="6" t="s">
        <v>81</v>
      </c>
      <c r="AU2438" s="6" t="s">
        <v>81</v>
      </c>
      <c r="AV2438" s="6" t="s">
        <v>81</v>
      </c>
      <c r="AW2438" s="6" t="s">
        <v>81</v>
      </c>
      <c r="AX2438" s="6" t="s">
        <v>22341</v>
      </c>
      <c r="AY2438" s="6" t="s">
        <v>81</v>
      </c>
      <c r="AZ2438" s="6" t="s">
        <v>81</v>
      </c>
      <c r="BA2438" s="6" t="s">
        <v>81</v>
      </c>
      <c r="BB2438" s="24" t="n">
        <v>116</v>
      </c>
      <c r="BC2438" s="26"/>
      <c r="BD2438" s="26"/>
      <c r="BE2438" s="26"/>
      <c r="BF2438" s="26"/>
      <c r="BG2438" s="26"/>
      <c r="BH2438" s="26"/>
      <c r="BI2438" s="26"/>
      <c r="BJ2438" s="26"/>
      <c r="BK2438" s="26"/>
      <c r="BL2438" s="26"/>
      <c r="BM2438" s="26"/>
      <c r="BN2438" s="26"/>
      <c r="BO2438" s="26"/>
      <c r="BP2438" s="16" t="n">
        <v>45738</v>
      </c>
      <c r="BQ2438" s="28" t="str">
        <f>HYPERLINK("https://organic.ams.usda.gov/Integrity/Certificate.aspx?cid=52&amp;nopid=8431501058")</f>
        <v>https://organic.ams.usda.gov/Integrity/Certificate.aspx?cid=52&amp;nopid=8431501058</v>
      </c>
    </row>
    <row r="2439">
      <c r="A2439" t="s">
        <v>3</v>
      </c>
      <c r="B2439" s="6" t="s">
        <v>13</v>
      </c>
      <c r="C2439" s="6" t="s">
        <v>60</v>
      </c>
      <c r="D2439" s="6" t="s">
        <v>106</v>
      </c>
      <c r="E2439" s="10" t="s">
        <v>2580</v>
      </c>
      <c r="F2439" s="6" t="s">
        <v>5285</v>
      </c>
      <c r="G2439" s="6" t="s">
        <v>81</v>
      </c>
      <c r="H2439" s="6" t="s">
        <v>8112</v>
      </c>
      <c r="I2439" s="6" t="s">
        <v>8928</v>
      </c>
      <c r="J2439" s="6" t="s">
        <v>9726</v>
      </c>
      <c r="K2439" s="6" t="s">
        <v>10886</v>
      </c>
      <c r="L2439" s="16" t="n">
        <v>42675</v>
      </c>
      <c r="M2439" s="16" t="n">
        <v>45748</v>
      </c>
      <c r="N2439" s="6" t="s">
        <v>10886</v>
      </c>
      <c r="O2439" s="16" t="n">
        <v>42675</v>
      </c>
      <c r="P2439" s="6" t="s">
        <v>10910</v>
      </c>
      <c r="Q2439" s="6" t="s">
        <v>81</v>
      </c>
      <c r="R2439" s="6" t="s">
        <v>13091</v>
      </c>
      <c r="S2439" s="6" t="s">
        <v>10886</v>
      </c>
      <c r="T2439" s="16" t="n">
        <v>42856</v>
      </c>
      <c r="U2439" s="6" t="s">
        <v>13381</v>
      </c>
      <c r="V2439" s="6" t="s">
        <v>81</v>
      </c>
      <c r="W2439" s="6" t="s">
        <v>13091</v>
      </c>
      <c r="X2439" s="6" t="s">
        <v>81</v>
      </c>
      <c r="Y2439" s="21" t="s">
        <v>81</v>
      </c>
      <c r="Z2439" s="6" t="s">
        <v>81</v>
      </c>
      <c r="AA2439" s="6" t="s">
        <v>81</v>
      </c>
      <c r="AB2439" s="6" t="s">
        <v>81</v>
      </c>
      <c r="AC2439" s="6" t="s">
        <v>81</v>
      </c>
      <c r="AD2439" s="21" t="s">
        <v>81</v>
      </c>
      <c r="AE2439" s="6" t="s">
        <v>81</v>
      </c>
      <c r="AF2439" s="6" t="s">
        <v>81</v>
      </c>
      <c r="AG2439" s="6" t="s">
        <v>81</v>
      </c>
      <c r="AH2439" s="6" t="s">
        <v>16979</v>
      </c>
      <c r="AI2439" s="6" t="s">
        <v>81</v>
      </c>
      <c r="AJ2439" s="6" t="s">
        <v>17324</v>
      </c>
      <c r="AK2439" s="6" t="s">
        <v>18378</v>
      </c>
      <c r="AL2439" s="6" t="s">
        <v>18444</v>
      </c>
      <c r="AM2439" s="6" t="s">
        <v>18476</v>
      </c>
      <c r="AN2439" s="6" t="s">
        <v>19640</v>
      </c>
      <c r="AO2439" s="6" t="s">
        <v>19726</v>
      </c>
      <c r="AP2439" s="6" t="s">
        <v>16979</v>
      </c>
      <c r="AQ2439" s="6" t="s">
        <v>81</v>
      </c>
      <c r="AR2439" s="6" t="s">
        <v>17324</v>
      </c>
      <c r="AS2439" s="6" t="s">
        <v>18378</v>
      </c>
      <c r="AT2439" s="6" t="s">
        <v>18444</v>
      </c>
      <c r="AU2439" s="6" t="s">
        <v>18476</v>
      </c>
      <c r="AV2439" s="6" t="s">
        <v>81</v>
      </c>
      <c r="AW2439" s="6" t="s">
        <v>81</v>
      </c>
      <c r="AX2439" s="6" t="s">
        <v>22342</v>
      </c>
      <c r="AY2439" s="6" t="s">
        <v>81</v>
      </c>
      <c r="AZ2439" s="6" t="s">
        <v>81</v>
      </c>
      <c r="BA2439" s="6" t="s">
        <v>81</v>
      </c>
      <c r="BB2439" s="24" t="n">
        <v>131</v>
      </c>
      <c r="BC2439" s="26"/>
      <c r="BD2439" s="26"/>
      <c r="BE2439" s="26"/>
      <c r="BF2439" s="26" t="s">
        <v>23900</v>
      </c>
      <c r="BG2439" s="26"/>
      <c r="BH2439" s="26"/>
      <c r="BI2439" s="26"/>
      <c r="BJ2439" s="26"/>
      <c r="BK2439" s="26"/>
      <c r="BL2439" s="26"/>
      <c r="BM2439" s="26"/>
      <c r="BN2439" s="26"/>
      <c r="BO2439" s="26"/>
      <c r="BP2439" s="16" t="n">
        <v>45663</v>
      </c>
      <c r="BQ2439" s="28" t="str">
        <f>HYPERLINK("https://organic.ams.usda.gov/Integrity/Certificate.aspx?cid=72&amp;nopid=5870002543")</f>
        <v>https://organic.ams.usda.gov/Integrity/Certificate.aspx?cid=72&amp;nopid=5870002543</v>
      </c>
    </row>
    <row r="2440">
      <c r="A2440" t="s">
        <v>3</v>
      </c>
      <c r="B2440" s="6" t="s">
        <v>11</v>
      </c>
      <c r="C2440" s="6" t="s">
        <v>58</v>
      </c>
      <c r="D2440" s="6" t="s">
        <v>104</v>
      </c>
      <c r="E2440" s="10" t="s">
        <v>2581</v>
      </c>
      <c r="F2440" s="6" t="s">
        <v>5286</v>
      </c>
      <c r="G2440" s="6" t="s">
        <v>81</v>
      </c>
      <c r="H2440" s="6" t="s">
        <v>81</v>
      </c>
      <c r="I2440" s="6" t="s">
        <v>9547</v>
      </c>
      <c r="J2440" s="6" t="s">
        <v>9667</v>
      </c>
      <c r="K2440" s="6" t="s">
        <v>10886</v>
      </c>
      <c r="L2440" s="16" t="n">
        <v>45196</v>
      </c>
      <c r="M2440" s="16" t="n">
        <v>45383</v>
      </c>
      <c r="N2440" s="6" t="s">
        <v>10886</v>
      </c>
      <c r="O2440" s="16" t="n">
        <v>45196</v>
      </c>
      <c r="P2440" s="6" t="s">
        <v>12259</v>
      </c>
      <c r="Q2440" s="6" t="s">
        <v>81</v>
      </c>
      <c r="R2440" s="6" t="s">
        <v>81</v>
      </c>
      <c r="S2440" s="6" t="s">
        <v>10886</v>
      </c>
      <c r="T2440" s="16" t="n">
        <v>45196</v>
      </c>
      <c r="U2440" s="6" t="s">
        <v>13883</v>
      </c>
      <c r="V2440" s="6" t="s">
        <v>81</v>
      </c>
      <c r="W2440" s="6" t="s">
        <v>81</v>
      </c>
      <c r="X2440" s="6" t="s">
        <v>81</v>
      </c>
      <c r="Y2440" s="21" t="s">
        <v>81</v>
      </c>
      <c r="Z2440" s="6" t="s">
        <v>81</v>
      </c>
      <c r="AA2440" s="6" t="s">
        <v>81</v>
      </c>
      <c r="AB2440" s="6" t="s">
        <v>81</v>
      </c>
      <c r="AC2440" s="6" t="s">
        <v>81</v>
      </c>
      <c r="AD2440" s="21" t="s">
        <v>81</v>
      </c>
      <c r="AE2440" s="6" t="s">
        <v>81</v>
      </c>
      <c r="AF2440" s="6" t="s">
        <v>81</v>
      </c>
      <c r="AG2440" s="6" t="s">
        <v>81</v>
      </c>
      <c r="AH2440" s="6" t="s">
        <v>16980</v>
      </c>
      <c r="AI2440" s="6" t="s">
        <v>81</v>
      </c>
      <c r="AJ2440" s="6" t="s">
        <v>17337</v>
      </c>
      <c r="AK2440" s="6" t="s">
        <v>18377</v>
      </c>
      <c r="AL2440" s="6" t="s">
        <v>18444</v>
      </c>
      <c r="AM2440" s="6" t="s">
        <v>18491</v>
      </c>
      <c r="AN2440" s="6" t="s">
        <v>19643</v>
      </c>
      <c r="AO2440" s="6" t="s">
        <v>19730</v>
      </c>
      <c r="AP2440" s="6" t="s">
        <v>16980</v>
      </c>
      <c r="AQ2440" s="6" t="s">
        <v>81</v>
      </c>
      <c r="AR2440" s="6" t="s">
        <v>17337</v>
      </c>
      <c r="AS2440" s="6" t="s">
        <v>18377</v>
      </c>
      <c r="AT2440" s="6" t="s">
        <v>18444</v>
      </c>
      <c r="AU2440" s="6" t="s">
        <v>18491</v>
      </c>
      <c r="AV2440" s="6" t="s">
        <v>81</v>
      </c>
      <c r="AW2440" s="6" t="s">
        <v>81</v>
      </c>
      <c r="AX2440" s="6" t="s">
        <v>81</v>
      </c>
      <c r="AY2440" s="6" t="s">
        <v>81</v>
      </c>
      <c r="AZ2440" s="6" t="s">
        <v>81</v>
      </c>
      <c r="BA2440" s="6" t="s">
        <v>81</v>
      </c>
      <c r="BB2440" s="24" t="n">
        <v>126</v>
      </c>
      <c r="BC2440" s="26"/>
      <c r="BD2440" s="26"/>
      <c r="BE2440" s="26"/>
      <c r="BF2440" s="26"/>
      <c r="BG2440" s="26"/>
      <c r="BH2440" s="26"/>
      <c r="BI2440" s="26"/>
      <c r="BJ2440" s="26"/>
      <c r="BK2440" s="26"/>
      <c r="BL2440" s="26"/>
      <c r="BM2440" s="26"/>
      <c r="BN2440" s="26"/>
      <c r="BO2440" s="26"/>
      <c r="BP2440" s="16" t="n">
        <v>45616</v>
      </c>
      <c r="BQ2440" s="28" t="str">
        <f>HYPERLINK("https://organic.ams.usda.gov/Integrity/Certificate.aspx?cid=46&amp;nopid=3672300066")</f>
        <v>https://organic.ams.usda.gov/Integrity/Certificate.aspx?cid=46&amp;nopid=3672300066</v>
      </c>
    </row>
    <row r="2441">
      <c r="A2441" t="s">
        <v>3</v>
      </c>
      <c r="B2441" s="6" t="s">
        <v>29</v>
      </c>
      <c r="C2441" s="6" t="s">
        <v>76</v>
      </c>
      <c r="D2441" s="6" t="s">
        <v>122</v>
      </c>
      <c r="E2441" s="10" t="s">
        <v>2582</v>
      </c>
      <c r="F2441" s="6" t="s">
        <v>5287</v>
      </c>
      <c r="G2441" s="6" t="s">
        <v>81</v>
      </c>
      <c r="H2441" s="6" t="s">
        <v>8113</v>
      </c>
      <c r="I2441" s="6" t="s">
        <v>9548</v>
      </c>
      <c r="J2441" s="6" t="s">
        <v>9730</v>
      </c>
      <c r="K2441" s="6" t="s">
        <v>10886</v>
      </c>
      <c r="L2441" s="16" t="n">
        <v>43293</v>
      </c>
      <c r="M2441" s="16" t="n">
        <v>45870</v>
      </c>
      <c r="N2441" s="6" t="s">
        <v>10886</v>
      </c>
      <c r="O2441" s="16" t="n">
        <v>43293</v>
      </c>
      <c r="P2441" s="6" t="s">
        <v>12260</v>
      </c>
      <c r="Q2441" s="6" t="s">
        <v>81</v>
      </c>
      <c r="R2441" s="6" t="s">
        <v>13092</v>
      </c>
      <c r="S2441" s="6" t="s">
        <v>10886</v>
      </c>
      <c r="T2441" s="16" t="n">
        <v>43293</v>
      </c>
      <c r="U2441" s="6" t="s">
        <v>13884</v>
      </c>
      <c r="V2441" s="6" t="s">
        <v>81</v>
      </c>
      <c r="W2441" s="6" t="s">
        <v>13092</v>
      </c>
      <c r="X2441" s="6" t="s">
        <v>81</v>
      </c>
      <c r="Y2441" s="21" t="s">
        <v>81</v>
      </c>
      <c r="Z2441" s="6" t="s">
        <v>81</v>
      </c>
      <c r="AA2441" s="6" t="s">
        <v>81</v>
      </c>
      <c r="AB2441" s="6" t="s">
        <v>81</v>
      </c>
      <c r="AC2441" s="6" t="s">
        <v>81</v>
      </c>
      <c r="AD2441" s="21" t="s">
        <v>81</v>
      </c>
      <c r="AE2441" s="6" t="s">
        <v>81</v>
      </c>
      <c r="AF2441" s="6" t="s">
        <v>81</v>
      </c>
      <c r="AG2441" s="6" t="s">
        <v>81</v>
      </c>
      <c r="AH2441" s="6" t="s">
        <v>16981</v>
      </c>
      <c r="AI2441" s="6" t="s">
        <v>81</v>
      </c>
      <c r="AJ2441" s="6" t="s">
        <v>17582</v>
      </c>
      <c r="AK2441" s="6" t="s">
        <v>18380</v>
      </c>
      <c r="AL2441" s="6" t="s">
        <v>18444</v>
      </c>
      <c r="AM2441" s="6" t="s">
        <v>18745</v>
      </c>
      <c r="AN2441" s="6" t="s">
        <v>7195</v>
      </c>
      <c r="AO2441" s="6" t="s">
        <v>19863</v>
      </c>
      <c r="AP2441" s="6" t="s">
        <v>81</v>
      </c>
      <c r="AQ2441" s="6" t="s">
        <v>81</v>
      </c>
      <c r="AR2441" s="6" t="s">
        <v>81</v>
      </c>
      <c r="AS2441" s="6" t="s">
        <v>81</v>
      </c>
      <c r="AT2441" s="6" t="s">
        <v>81</v>
      </c>
      <c r="AU2441" s="6" t="s">
        <v>81</v>
      </c>
      <c r="AV2441" s="6" t="s">
        <v>81</v>
      </c>
      <c r="AW2441" s="6" t="s">
        <v>81</v>
      </c>
      <c r="AX2441" s="6" t="s">
        <v>81</v>
      </c>
      <c r="AY2441" s="6" t="s">
        <v>81</v>
      </c>
      <c r="AZ2441" s="6" t="s">
        <v>81</v>
      </c>
      <c r="BA2441" s="6" t="s">
        <v>81</v>
      </c>
      <c r="BB2441" s="24" t="n">
        <v>46</v>
      </c>
      <c r="BC2441" s="26"/>
      <c r="BD2441" s="26"/>
      <c r="BE2441" s="26"/>
      <c r="BF2441" s="26" t="s">
        <v>23900</v>
      </c>
      <c r="BG2441" s="26"/>
      <c r="BH2441" s="26"/>
      <c r="BI2441" s="26"/>
      <c r="BJ2441" s="26"/>
      <c r="BK2441" s="26"/>
      <c r="BL2441" s="26"/>
      <c r="BM2441" s="26"/>
      <c r="BN2441" s="26"/>
      <c r="BO2441" s="26"/>
      <c r="BP2441" s="16" t="n">
        <v>45737</v>
      </c>
      <c r="BQ2441" s="28" t="str">
        <f>HYPERLINK("https://organic.ams.usda.gov/Integrity/Certificate.aspx?cid=31&amp;nopid=3928971926")</f>
        <v>https://organic.ams.usda.gov/Integrity/Certificate.aspx?cid=31&amp;nopid=3928971926</v>
      </c>
    </row>
    <row r="2442">
      <c r="A2442" t="s">
        <v>3</v>
      </c>
      <c r="B2442" s="6" t="s">
        <v>30</v>
      </c>
      <c r="C2442" s="6" t="s">
        <v>77</v>
      </c>
      <c r="D2442" s="6" t="s">
        <v>123</v>
      </c>
      <c r="E2442" s="10" t="s">
        <v>2583</v>
      </c>
      <c r="F2442" s="6" t="s">
        <v>5288</v>
      </c>
      <c r="G2442" s="6" t="s">
        <v>81</v>
      </c>
      <c r="H2442" s="6" t="s">
        <v>8114</v>
      </c>
      <c r="I2442" s="6" t="s">
        <v>81</v>
      </c>
      <c r="J2442" s="6" t="s">
        <v>81</v>
      </c>
      <c r="K2442" s="6" t="s">
        <v>10886</v>
      </c>
      <c r="L2442" s="16" t="n">
        <v>44720</v>
      </c>
      <c r="M2442" s="16" t="n">
        <v>45747</v>
      </c>
      <c r="N2442" s="6" t="s">
        <v>10886</v>
      </c>
      <c r="O2442" s="16" t="n">
        <v>44720</v>
      </c>
      <c r="P2442" s="6" t="s">
        <v>12261</v>
      </c>
      <c r="Q2442" s="6" t="s">
        <v>81</v>
      </c>
      <c r="R2442" s="6" t="s">
        <v>13093</v>
      </c>
      <c r="S2442" s="6" t="s">
        <v>10886</v>
      </c>
      <c r="T2442" s="16" t="n">
        <v>44720</v>
      </c>
      <c r="U2442" s="6" t="s">
        <v>13400</v>
      </c>
      <c r="V2442" s="6" t="s">
        <v>81</v>
      </c>
      <c r="W2442" s="6" t="s">
        <v>81</v>
      </c>
      <c r="X2442" s="6" t="s">
        <v>81</v>
      </c>
      <c r="Y2442" s="21" t="s">
        <v>81</v>
      </c>
      <c r="Z2442" s="6" t="s">
        <v>81</v>
      </c>
      <c r="AA2442" s="6" t="s">
        <v>81</v>
      </c>
      <c r="AB2442" s="6" t="s">
        <v>81</v>
      </c>
      <c r="AC2442" s="6" t="s">
        <v>81</v>
      </c>
      <c r="AD2442" s="21" t="s">
        <v>81</v>
      </c>
      <c r="AE2442" s="6" t="s">
        <v>81</v>
      </c>
      <c r="AF2442" s="6" t="s">
        <v>81</v>
      </c>
      <c r="AG2442" s="6" t="s">
        <v>81</v>
      </c>
      <c r="AH2442" s="6" t="s">
        <v>16982</v>
      </c>
      <c r="AI2442" s="6" t="s">
        <v>81</v>
      </c>
      <c r="AJ2442" s="6" t="s">
        <v>18300</v>
      </c>
      <c r="AK2442" s="6" t="s">
        <v>18380</v>
      </c>
      <c r="AL2442" s="6" t="s">
        <v>18444</v>
      </c>
      <c r="AM2442" s="6" t="s">
        <v>18479</v>
      </c>
      <c r="AN2442" s="6" t="s">
        <v>19639</v>
      </c>
      <c r="AO2442" s="6" t="s">
        <v>19725</v>
      </c>
      <c r="AP2442" s="6" t="s">
        <v>16982</v>
      </c>
      <c r="AQ2442" s="6" t="s">
        <v>81</v>
      </c>
      <c r="AR2442" s="6" t="s">
        <v>18300</v>
      </c>
      <c r="AS2442" s="6" t="s">
        <v>18380</v>
      </c>
      <c r="AT2442" s="6" t="s">
        <v>18444</v>
      </c>
      <c r="AU2442" s="6" t="s">
        <v>18479</v>
      </c>
      <c r="AV2442" s="6" t="s">
        <v>81</v>
      </c>
      <c r="AW2442" s="6" t="s">
        <v>81</v>
      </c>
      <c r="AX2442" s="6" t="s">
        <v>81</v>
      </c>
      <c r="AY2442" s="6" t="s">
        <v>81</v>
      </c>
      <c r="AZ2442" s="6" t="s">
        <v>81</v>
      </c>
      <c r="BA2442" s="6" t="s">
        <v>81</v>
      </c>
      <c r="BB2442" s="24" t="n">
        <v>76</v>
      </c>
      <c r="BC2442" s="26"/>
      <c r="BD2442" s="26"/>
      <c r="BE2442" s="26"/>
      <c r="BF2442" s="26"/>
      <c r="BG2442" s="26"/>
      <c r="BH2442" s="26"/>
      <c r="BI2442" s="26"/>
      <c r="BJ2442" s="26"/>
      <c r="BK2442" s="26"/>
      <c r="BL2442" s="26"/>
      <c r="BM2442" s="26"/>
      <c r="BN2442" s="26"/>
      <c r="BO2442" s="26"/>
      <c r="BP2442" s="16" t="n">
        <v>45698</v>
      </c>
      <c r="BQ2442" s="28" t="str">
        <f>HYPERLINK("https://organic.ams.usda.gov/Integrity/Certificate.aspx?cid=70&amp;nopid=6432218310")</f>
        <v>https://organic.ams.usda.gov/Integrity/Certificate.aspx?cid=70&amp;nopid=6432218310</v>
      </c>
    </row>
    <row r="2443">
      <c r="A2443" t="s">
        <v>3</v>
      </c>
      <c r="B2443" s="6" t="s">
        <v>18</v>
      </c>
      <c r="C2443" s="6" t="s">
        <v>65</v>
      </c>
      <c r="D2443" s="6" t="s">
        <v>111</v>
      </c>
      <c r="E2443" s="10" t="s">
        <v>2584</v>
      </c>
      <c r="F2443" s="6" t="s">
        <v>5289</v>
      </c>
      <c r="G2443" s="6" t="s">
        <v>81</v>
      </c>
      <c r="H2443" s="6" t="s">
        <v>8115</v>
      </c>
      <c r="I2443" s="6" t="s">
        <v>9549</v>
      </c>
      <c r="J2443" s="6" t="s">
        <v>10749</v>
      </c>
      <c r="K2443" s="6" t="s">
        <v>10886</v>
      </c>
      <c r="L2443" s="16" t="n">
        <v>45648</v>
      </c>
      <c r="M2443" s="16" t="n">
        <v>46068</v>
      </c>
      <c r="N2443" s="6" t="s">
        <v>10886</v>
      </c>
      <c r="O2443" s="16" t="n">
        <v>45648</v>
      </c>
      <c r="P2443" s="6" t="s">
        <v>10922</v>
      </c>
      <c r="Q2443" s="6" t="s">
        <v>81</v>
      </c>
      <c r="R2443" s="6" t="s">
        <v>81</v>
      </c>
      <c r="S2443" s="6" t="s">
        <v>10886</v>
      </c>
      <c r="T2443" s="16" t="n">
        <v>45648</v>
      </c>
      <c r="U2443" s="6" t="s">
        <v>13885</v>
      </c>
      <c r="V2443" s="6" t="s">
        <v>81</v>
      </c>
      <c r="W2443" s="6" t="s">
        <v>81</v>
      </c>
      <c r="X2443" s="6" t="s">
        <v>81</v>
      </c>
      <c r="Y2443" s="21" t="s">
        <v>81</v>
      </c>
      <c r="Z2443" s="6" t="s">
        <v>81</v>
      </c>
      <c r="AA2443" s="6" t="s">
        <v>81</v>
      </c>
      <c r="AB2443" s="6" t="s">
        <v>81</v>
      </c>
      <c r="AC2443" s="6" t="s">
        <v>81</v>
      </c>
      <c r="AD2443" s="21" t="s">
        <v>81</v>
      </c>
      <c r="AE2443" s="6" t="s">
        <v>81</v>
      </c>
      <c r="AF2443" s="6" t="s">
        <v>81</v>
      </c>
      <c r="AG2443" s="6" t="s">
        <v>81</v>
      </c>
      <c r="AH2443" s="6" t="s">
        <v>16983</v>
      </c>
      <c r="AI2443" s="6" t="s">
        <v>81</v>
      </c>
      <c r="AJ2443" s="6" t="s">
        <v>17341</v>
      </c>
      <c r="AK2443" s="6" t="s">
        <v>17712</v>
      </c>
      <c r="AL2443" s="6" t="s">
        <v>18444</v>
      </c>
      <c r="AM2443" s="6" t="s">
        <v>18495</v>
      </c>
      <c r="AN2443" s="6" t="s">
        <v>81</v>
      </c>
      <c r="AO2443" s="6" t="s">
        <v>81</v>
      </c>
      <c r="AP2443" s="6" t="s">
        <v>16983</v>
      </c>
      <c r="AQ2443" s="6" t="s">
        <v>81</v>
      </c>
      <c r="AR2443" s="6" t="s">
        <v>17341</v>
      </c>
      <c r="AS2443" s="6" t="s">
        <v>17712</v>
      </c>
      <c r="AT2443" s="6" t="s">
        <v>18444</v>
      </c>
      <c r="AU2443" s="6" t="s">
        <v>18495</v>
      </c>
      <c r="AV2443" s="6" t="s">
        <v>81</v>
      </c>
      <c r="AW2443" s="6" t="s">
        <v>81</v>
      </c>
      <c r="AX2443" s="6" t="s">
        <v>22343</v>
      </c>
      <c r="AY2443" s="6" t="s">
        <v>81</v>
      </c>
      <c r="AZ2443" s="6" t="s">
        <v>81</v>
      </c>
      <c r="BA2443" s="6" t="s">
        <v>23883</v>
      </c>
      <c r="BB2443" s="24" t="n">
        <v>198</v>
      </c>
      <c r="BC2443" s="26"/>
      <c r="BD2443" s="26"/>
      <c r="BE2443" s="26"/>
      <c r="BF2443" s="26" t="s">
        <v>23900</v>
      </c>
      <c r="BG2443" s="26"/>
      <c r="BH2443" s="26"/>
      <c r="BI2443" s="26"/>
      <c r="BJ2443" s="26"/>
      <c r="BK2443" s="26"/>
      <c r="BL2443" s="26"/>
      <c r="BM2443" s="26"/>
      <c r="BN2443" s="26"/>
      <c r="BO2443" s="26"/>
      <c r="BP2443" s="16" t="n">
        <v>45648</v>
      </c>
      <c r="BQ2443" s="28" t="str">
        <f>HYPERLINK("https://organic.ams.usda.gov/Integrity/Certificate.aspx?cid=8&amp;nopid=2205663872")</f>
        <v>https://organic.ams.usda.gov/Integrity/Certificate.aspx?cid=8&amp;nopid=2205663872</v>
      </c>
    </row>
    <row r="2444">
      <c r="A2444" t="s">
        <v>3</v>
      </c>
      <c r="B2444" s="6" t="s">
        <v>15</v>
      </c>
      <c r="C2444" s="6" t="s">
        <v>62</v>
      </c>
      <c r="D2444" s="6" t="s">
        <v>108</v>
      </c>
      <c r="E2444" s="10" t="s">
        <v>2585</v>
      </c>
      <c r="F2444" s="6" t="s">
        <v>5290</v>
      </c>
      <c r="G2444" s="6" t="s">
        <v>5858</v>
      </c>
      <c r="H2444" s="6" t="s">
        <v>6484</v>
      </c>
      <c r="I2444" s="6" t="s">
        <v>8693</v>
      </c>
      <c r="J2444" s="6" t="s">
        <v>10019</v>
      </c>
      <c r="K2444" s="6" t="s">
        <v>10886</v>
      </c>
      <c r="L2444" s="16" t="n">
        <v>37550</v>
      </c>
      <c r="M2444" s="16" t="n">
        <v>46157</v>
      </c>
      <c r="N2444" s="6" t="s">
        <v>10886</v>
      </c>
      <c r="O2444" s="16" t="n">
        <v>37550</v>
      </c>
      <c r="P2444" s="6" t="s">
        <v>12262</v>
      </c>
      <c r="Q2444" s="6" t="s">
        <v>81</v>
      </c>
      <c r="R2444" s="6" t="s">
        <v>81</v>
      </c>
      <c r="S2444" s="6" t="s">
        <v>10886</v>
      </c>
      <c r="T2444" s="16" t="n">
        <v>37550</v>
      </c>
      <c r="U2444" s="6" t="s">
        <v>13444</v>
      </c>
      <c r="V2444" s="6" t="s">
        <v>81</v>
      </c>
      <c r="W2444" s="6" t="s">
        <v>81</v>
      </c>
      <c r="X2444" s="6" t="s">
        <v>81</v>
      </c>
      <c r="Y2444" s="21" t="s">
        <v>81</v>
      </c>
      <c r="Z2444" s="6" t="s">
        <v>81</v>
      </c>
      <c r="AA2444" s="6" t="s">
        <v>81</v>
      </c>
      <c r="AB2444" s="6" t="s">
        <v>81</v>
      </c>
      <c r="AC2444" s="6" t="s">
        <v>81</v>
      </c>
      <c r="AD2444" s="21" t="s">
        <v>81</v>
      </c>
      <c r="AE2444" s="6" t="s">
        <v>81</v>
      </c>
      <c r="AF2444" s="6" t="s">
        <v>81</v>
      </c>
      <c r="AG2444" s="6" t="s">
        <v>81</v>
      </c>
      <c r="AH2444" s="6" t="s">
        <v>16984</v>
      </c>
      <c r="AI2444" s="6" t="s">
        <v>81</v>
      </c>
      <c r="AJ2444" s="6" t="s">
        <v>17949</v>
      </c>
      <c r="AK2444" s="6" t="s">
        <v>18378</v>
      </c>
      <c r="AL2444" s="6" t="s">
        <v>18444</v>
      </c>
      <c r="AM2444" s="6" t="s">
        <v>19138</v>
      </c>
      <c r="AN2444" s="6" t="s">
        <v>19676</v>
      </c>
      <c r="AO2444" s="6" t="s">
        <v>19784</v>
      </c>
      <c r="AP2444" s="6" t="s">
        <v>20432</v>
      </c>
      <c r="AQ2444" s="6" t="s">
        <v>81</v>
      </c>
      <c r="AR2444" s="6" t="s">
        <v>17949</v>
      </c>
      <c r="AS2444" s="6" t="s">
        <v>18378</v>
      </c>
      <c r="AT2444" s="6" t="s">
        <v>18444</v>
      </c>
      <c r="AU2444" s="6" t="s">
        <v>19138</v>
      </c>
      <c r="AV2444" s="6" t="s">
        <v>81</v>
      </c>
      <c r="AW2444" s="6" t="s">
        <v>81</v>
      </c>
      <c r="AX2444" s="6" t="s">
        <v>22344</v>
      </c>
      <c r="AY2444" s="6" t="s">
        <v>23425</v>
      </c>
      <c r="AZ2444" s="6" t="s">
        <v>81</v>
      </c>
      <c r="BA2444" s="6" t="s">
        <v>81</v>
      </c>
      <c r="BB2444" s="24" t="n">
        <v>1324</v>
      </c>
      <c r="BC2444" s="26"/>
      <c r="BD2444" s="26"/>
      <c r="BE2444" s="26"/>
      <c r="BF2444" s="26" t="s">
        <v>23900</v>
      </c>
      <c r="BG2444" s="26"/>
      <c r="BH2444" s="26"/>
      <c r="BI2444" s="26"/>
      <c r="BJ2444" s="26"/>
      <c r="BK2444" s="26"/>
      <c r="BL2444" s="26"/>
      <c r="BM2444" s="26"/>
      <c r="BN2444" s="26"/>
      <c r="BO2444" s="26"/>
      <c r="BP2444" s="16" t="n">
        <v>45737</v>
      </c>
      <c r="BQ2444" s="28" t="str">
        <f>HYPERLINK("https://organic.ams.usda.gov/Integrity/Certificate.aspx?cid=58&amp;nopid=1600000798")</f>
        <v>https://organic.ams.usda.gov/Integrity/Certificate.aspx?cid=58&amp;nopid=1600000798</v>
      </c>
    </row>
    <row r="2445">
      <c r="A2445" t="s">
        <v>3</v>
      </c>
      <c r="B2445" s="6" t="s">
        <v>8</v>
      </c>
      <c r="C2445" s="6" t="s">
        <v>55</v>
      </c>
      <c r="D2445" s="6" t="s">
        <v>101</v>
      </c>
      <c r="E2445" s="10" t="s">
        <v>2586</v>
      </c>
      <c r="F2445" s="6" t="s">
        <v>5291</v>
      </c>
      <c r="G2445" s="6" t="s">
        <v>81</v>
      </c>
      <c r="H2445" s="6" t="s">
        <v>8116</v>
      </c>
      <c r="I2445" s="6" t="s">
        <v>8509</v>
      </c>
      <c r="J2445" s="6" t="s">
        <v>10750</v>
      </c>
      <c r="K2445" s="6" t="s">
        <v>10886</v>
      </c>
      <c r="L2445" s="16" t="n">
        <v>39064</v>
      </c>
      <c r="M2445" s="16" t="n">
        <v>45383</v>
      </c>
      <c r="N2445" s="6" t="s">
        <v>10886</v>
      </c>
      <c r="O2445" s="16" t="n">
        <v>39064</v>
      </c>
      <c r="P2445" s="6" t="s">
        <v>12263</v>
      </c>
      <c r="Q2445" s="6" t="s">
        <v>81</v>
      </c>
      <c r="R2445" s="6" t="s">
        <v>8116</v>
      </c>
      <c r="S2445" s="6" t="s">
        <v>10886</v>
      </c>
      <c r="T2445" s="16" t="n">
        <v>39064</v>
      </c>
      <c r="U2445" s="6" t="s">
        <v>13200</v>
      </c>
      <c r="V2445" s="6" t="s">
        <v>81</v>
      </c>
      <c r="W2445" s="6" t="s">
        <v>8116</v>
      </c>
      <c r="X2445" s="6" t="s">
        <v>81</v>
      </c>
      <c r="Y2445" s="21" t="s">
        <v>81</v>
      </c>
      <c r="Z2445" s="6" t="s">
        <v>81</v>
      </c>
      <c r="AA2445" s="6" t="s">
        <v>81</v>
      </c>
      <c r="AB2445" s="6" t="s">
        <v>81</v>
      </c>
      <c r="AC2445" s="6" t="s">
        <v>81</v>
      </c>
      <c r="AD2445" s="21" t="s">
        <v>81</v>
      </c>
      <c r="AE2445" s="6" t="s">
        <v>81</v>
      </c>
      <c r="AF2445" s="6" t="s">
        <v>81</v>
      </c>
      <c r="AG2445" s="6" t="s">
        <v>81</v>
      </c>
      <c r="AH2445" s="6" t="s">
        <v>16985</v>
      </c>
      <c r="AI2445" s="6" t="s">
        <v>81</v>
      </c>
      <c r="AJ2445" s="6" t="s">
        <v>18301</v>
      </c>
      <c r="AK2445" s="6" t="s">
        <v>18377</v>
      </c>
      <c r="AL2445" s="6" t="s">
        <v>18444</v>
      </c>
      <c r="AM2445" s="6" t="s">
        <v>19529</v>
      </c>
      <c r="AN2445" s="6" t="s">
        <v>19690</v>
      </c>
      <c r="AO2445" s="6" t="s">
        <v>19849</v>
      </c>
      <c r="AP2445" s="6" t="s">
        <v>81</v>
      </c>
      <c r="AQ2445" s="6" t="s">
        <v>81</v>
      </c>
      <c r="AR2445" s="6" t="s">
        <v>81</v>
      </c>
      <c r="AS2445" s="6" t="s">
        <v>81</v>
      </c>
      <c r="AT2445" s="6" t="s">
        <v>81</v>
      </c>
      <c r="AU2445" s="6" t="s">
        <v>81</v>
      </c>
      <c r="AV2445" s="6" t="s">
        <v>81</v>
      </c>
      <c r="AW2445" s="6" t="s">
        <v>81</v>
      </c>
      <c r="AX2445" s="6" t="s">
        <v>81</v>
      </c>
      <c r="AY2445" s="6" t="s">
        <v>81</v>
      </c>
      <c r="AZ2445" s="6" t="s">
        <v>81</v>
      </c>
      <c r="BA2445" s="6" t="s">
        <v>8116</v>
      </c>
      <c r="BB2445" s="24" t="n">
        <v>393</v>
      </c>
      <c r="BC2445" s="26"/>
      <c r="BD2445" s="26"/>
      <c r="BE2445" s="26"/>
      <c r="BF2445" s="26"/>
      <c r="BG2445" s="26"/>
      <c r="BH2445" s="26"/>
      <c r="BI2445" s="26"/>
      <c r="BJ2445" s="26"/>
      <c r="BK2445" s="26"/>
      <c r="BL2445" s="26"/>
      <c r="BM2445" s="26"/>
      <c r="BN2445" s="26"/>
      <c r="BO2445" s="26"/>
      <c r="BP2445" s="16" t="n">
        <v>45425</v>
      </c>
      <c r="BQ2445" s="28" t="str">
        <f>HYPERLINK("https://organic.ams.usda.gov/Integrity/Certificate.aspx?cid=45&amp;nopid=9950002258")</f>
        <v>https://organic.ams.usda.gov/Integrity/Certificate.aspx?cid=45&amp;nopid=9950002258</v>
      </c>
    </row>
    <row r="2446">
      <c r="A2446" t="s">
        <v>3</v>
      </c>
      <c r="B2446" s="6" t="s">
        <v>8</v>
      </c>
      <c r="C2446" s="6" t="s">
        <v>55</v>
      </c>
      <c r="D2446" s="6" t="s">
        <v>101</v>
      </c>
      <c r="E2446" s="10" t="s">
        <v>2587</v>
      </c>
      <c r="F2446" s="6" t="s">
        <v>5292</v>
      </c>
      <c r="G2446" s="6" t="s">
        <v>81</v>
      </c>
      <c r="H2446" s="6" t="s">
        <v>8117</v>
      </c>
      <c r="I2446" s="6" t="s">
        <v>8684</v>
      </c>
      <c r="J2446" s="6" t="s">
        <v>9671</v>
      </c>
      <c r="K2446" s="6" t="s">
        <v>10886</v>
      </c>
      <c r="L2446" s="16" t="n">
        <v>42530</v>
      </c>
      <c r="M2446" s="16" t="n">
        <v>45689</v>
      </c>
      <c r="N2446" s="6" t="s">
        <v>10886</v>
      </c>
      <c r="O2446" s="16" t="n">
        <v>42530</v>
      </c>
      <c r="P2446" s="6" t="s">
        <v>12264</v>
      </c>
      <c r="Q2446" s="6" t="s">
        <v>81</v>
      </c>
      <c r="R2446" s="6" t="s">
        <v>8117</v>
      </c>
      <c r="S2446" s="6" t="s">
        <v>10886</v>
      </c>
      <c r="T2446" s="16" t="n">
        <v>42530</v>
      </c>
      <c r="U2446" s="6" t="s">
        <v>13173</v>
      </c>
      <c r="V2446" s="6" t="s">
        <v>81</v>
      </c>
      <c r="W2446" s="6" t="s">
        <v>8117</v>
      </c>
      <c r="X2446" s="6" t="s">
        <v>81</v>
      </c>
      <c r="Y2446" s="21" t="s">
        <v>81</v>
      </c>
      <c r="Z2446" s="6" t="s">
        <v>81</v>
      </c>
      <c r="AA2446" s="6" t="s">
        <v>81</v>
      </c>
      <c r="AB2446" s="6" t="s">
        <v>81</v>
      </c>
      <c r="AC2446" s="6" t="s">
        <v>81</v>
      </c>
      <c r="AD2446" s="21" t="s">
        <v>81</v>
      </c>
      <c r="AE2446" s="6" t="s">
        <v>81</v>
      </c>
      <c r="AF2446" s="6" t="s">
        <v>81</v>
      </c>
      <c r="AG2446" s="6" t="s">
        <v>81</v>
      </c>
      <c r="AH2446" s="6" t="s">
        <v>16986</v>
      </c>
      <c r="AI2446" s="6" t="s">
        <v>81</v>
      </c>
      <c r="AJ2446" s="6" t="s">
        <v>17337</v>
      </c>
      <c r="AK2446" s="6" t="s">
        <v>18377</v>
      </c>
      <c r="AL2446" s="6" t="s">
        <v>18444</v>
      </c>
      <c r="AM2446" s="6" t="s">
        <v>18491</v>
      </c>
      <c r="AN2446" s="6" t="s">
        <v>19643</v>
      </c>
      <c r="AO2446" s="6" t="s">
        <v>19730</v>
      </c>
      <c r="AP2446" s="6" t="s">
        <v>81</v>
      </c>
      <c r="AQ2446" s="6" t="s">
        <v>81</v>
      </c>
      <c r="AR2446" s="6" t="s">
        <v>81</v>
      </c>
      <c r="AS2446" s="6" t="s">
        <v>81</v>
      </c>
      <c r="AT2446" s="6" t="s">
        <v>81</v>
      </c>
      <c r="AU2446" s="6" t="s">
        <v>81</v>
      </c>
      <c r="AV2446" s="6" t="s">
        <v>81</v>
      </c>
      <c r="AW2446" s="6" t="s">
        <v>81</v>
      </c>
      <c r="AX2446" s="6" t="s">
        <v>81</v>
      </c>
      <c r="AY2446" s="6" t="s">
        <v>81</v>
      </c>
      <c r="AZ2446" s="6" t="s">
        <v>81</v>
      </c>
      <c r="BA2446" s="6" t="s">
        <v>23819</v>
      </c>
      <c r="BB2446" s="24" t="n">
        <v>145</v>
      </c>
      <c r="BC2446" s="26"/>
      <c r="BD2446" s="26"/>
      <c r="BE2446" s="26"/>
      <c r="BF2446" s="26" t="s">
        <v>23900</v>
      </c>
      <c r="BG2446" s="26"/>
      <c r="BH2446" s="26"/>
      <c r="BI2446" s="26"/>
      <c r="BJ2446" s="26"/>
      <c r="BK2446" s="26"/>
      <c r="BL2446" s="26"/>
      <c r="BM2446" s="26"/>
      <c r="BN2446" s="26"/>
      <c r="BO2446" s="26"/>
      <c r="BP2446" s="16" t="n">
        <v>45695</v>
      </c>
      <c r="BQ2446" s="28" t="str">
        <f>HYPERLINK("https://organic.ams.usda.gov/Integrity/Certificate.aspx?cid=45&amp;nopid=9950009087")</f>
        <v>https://organic.ams.usda.gov/Integrity/Certificate.aspx?cid=45&amp;nopid=9950009087</v>
      </c>
    </row>
    <row r="2447">
      <c r="A2447" t="s">
        <v>3</v>
      </c>
      <c r="B2447" s="6" t="s">
        <v>7</v>
      </c>
      <c r="C2447" s="6" t="s">
        <v>54</v>
      </c>
      <c r="D2447" s="6" t="s">
        <v>100</v>
      </c>
      <c r="E2447" s="10" t="s">
        <v>2588</v>
      </c>
      <c r="F2447" s="6" t="s">
        <v>5293</v>
      </c>
      <c r="G2447" s="6" t="s">
        <v>81</v>
      </c>
      <c r="H2447" s="6" t="s">
        <v>8118</v>
      </c>
      <c r="I2447" s="6" t="s">
        <v>8513</v>
      </c>
      <c r="J2447" s="6" t="s">
        <v>10751</v>
      </c>
      <c r="K2447" s="6" t="s">
        <v>10886</v>
      </c>
      <c r="L2447" s="16" t="n">
        <v>38871</v>
      </c>
      <c r="M2447" s="16" t="n">
        <v>45716</v>
      </c>
      <c r="N2447" s="6" t="s">
        <v>10886</v>
      </c>
      <c r="O2447" s="16" t="n">
        <v>38871</v>
      </c>
      <c r="P2447" s="6" t="s">
        <v>10910</v>
      </c>
      <c r="Q2447" s="6" t="s">
        <v>81</v>
      </c>
      <c r="R2447" s="6" t="s">
        <v>81</v>
      </c>
      <c r="S2447" s="6" t="s">
        <v>10886</v>
      </c>
      <c r="T2447" s="16" t="n">
        <v>38871</v>
      </c>
      <c r="U2447" s="6" t="s">
        <v>13169</v>
      </c>
      <c r="V2447" s="6" t="s">
        <v>81</v>
      </c>
      <c r="W2447" s="6" t="s">
        <v>81</v>
      </c>
      <c r="X2447" s="6" t="s">
        <v>81</v>
      </c>
      <c r="Y2447" s="21" t="s">
        <v>81</v>
      </c>
      <c r="Z2447" s="6" t="s">
        <v>81</v>
      </c>
      <c r="AA2447" s="6" t="s">
        <v>81</v>
      </c>
      <c r="AB2447" s="6" t="s">
        <v>81</v>
      </c>
      <c r="AC2447" s="6" t="s">
        <v>81</v>
      </c>
      <c r="AD2447" s="21" t="s">
        <v>81</v>
      </c>
      <c r="AE2447" s="6" t="s">
        <v>81</v>
      </c>
      <c r="AF2447" s="6" t="s">
        <v>81</v>
      </c>
      <c r="AG2447" s="6" t="s">
        <v>81</v>
      </c>
      <c r="AH2447" s="6" t="s">
        <v>16987</v>
      </c>
      <c r="AI2447" s="6" t="s">
        <v>81</v>
      </c>
      <c r="AJ2447" s="6" t="s">
        <v>17346</v>
      </c>
      <c r="AK2447" s="6" t="s">
        <v>17712</v>
      </c>
      <c r="AL2447" s="6" t="s">
        <v>18444</v>
      </c>
      <c r="AM2447" s="6" t="s">
        <v>18500</v>
      </c>
      <c r="AN2447" s="6" t="s">
        <v>19652</v>
      </c>
      <c r="AO2447" s="6" t="s">
        <v>19742</v>
      </c>
      <c r="AP2447" s="6" t="s">
        <v>16987</v>
      </c>
      <c r="AQ2447" s="6" t="s">
        <v>81</v>
      </c>
      <c r="AR2447" s="6" t="s">
        <v>17346</v>
      </c>
      <c r="AS2447" s="6" t="s">
        <v>17712</v>
      </c>
      <c r="AT2447" s="6" t="s">
        <v>18444</v>
      </c>
      <c r="AU2447" s="6" t="s">
        <v>18500</v>
      </c>
      <c r="AV2447" s="6" t="s">
        <v>81</v>
      </c>
      <c r="AW2447" s="6" t="s">
        <v>81</v>
      </c>
      <c r="AX2447" s="6" t="s">
        <v>22345</v>
      </c>
      <c r="AY2447" s="6" t="s">
        <v>81</v>
      </c>
      <c r="AZ2447" s="6" t="s">
        <v>81</v>
      </c>
      <c r="BA2447" s="6" t="s">
        <v>81</v>
      </c>
      <c r="BB2447" s="24" t="n">
        <v>278</v>
      </c>
      <c r="BC2447" s="26"/>
      <c r="BD2447" s="26"/>
      <c r="BE2447" s="26"/>
      <c r="BF2447" s="26" t="s">
        <v>23900</v>
      </c>
      <c r="BG2447" s="26"/>
      <c r="BH2447" s="26"/>
      <c r="BI2447" s="26"/>
      <c r="BJ2447" s="26"/>
      <c r="BK2447" s="26"/>
      <c r="BL2447" s="26"/>
      <c r="BM2447" s="26"/>
      <c r="BN2447" s="26"/>
      <c r="BO2447" s="26"/>
      <c r="BP2447" s="16" t="n">
        <v>45679</v>
      </c>
      <c r="BQ2447" s="28" t="str">
        <f>HYPERLINK("https://organic.ams.usda.gov/Integrity/Certificate.aspx?cid=57&amp;nopid=3250200605")</f>
        <v>https://organic.ams.usda.gov/Integrity/Certificate.aspx?cid=57&amp;nopid=3250200605</v>
      </c>
    </row>
    <row r="2448">
      <c r="A2448" t="s">
        <v>3</v>
      </c>
      <c r="B2448" s="6" t="s">
        <v>7</v>
      </c>
      <c r="C2448" s="6" t="s">
        <v>54</v>
      </c>
      <c r="D2448" s="6" t="s">
        <v>100</v>
      </c>
      <c r="E2448" s="10" t="s">
        <v>2589</v>
      </c>
      <c r="F2448" s="6" t="s">
        <v>5294</v>
      </c>
      <c r="G2448" s="6" t="s">
        <v>81</v>
      </c>
      <c r="H2448" s="6" t="s">
        <v>8119</v>
      </c>
      <c r="I2448" s="6" t="s">
        <v>8713</v>
      </c>
      <c r="J2448" s="6" t="s">
        <v>9675</v>
      </c>
      <c r="K2448" s="6" t="s">
        <v>10886</v>
      </c>
      <c r="L2448" s="16" t="n">
        <v>43630</v>
      </c>
      <c r="M2448" s="16" t="n">
        <v>45716</v>
      </c>
      <c r="N2448" s="6" t="s">
        <v>10886</v>
      </c>
      <c r="O2448" s="16" t="n">
        <v>43630</v>
      </c>
      <c r="P2448" s="6" t="s">
        <v>10930</v>
      </c>
      <c r="Q2448" s="6" t="s">
        <v>81</v>
      </c>
      <c r="R2448" s="6" t="s">
        <v>81</v>
      </c>
      <c r="S2448" s="6" t="s">
        <v>10886</v>
      </c>
      <c r="T2448" s="16" t="n">
        <v>43630</v>
      </c>
      <c r="U2448" s="6" t="s">
        <v>13160</v>
      </c>
      <c r="V2448" s="6" t="s">
        <v>81</v>
      </c>
      <c r="W2448" s="6" t="s">
        <v>81</v>
      </c>
      <c r="X2448" s="6" t="s">
        <v>81</v>
      </c>
      <c r="Y2448" s="21" t="s">
        <v>81</v>
      </c>
      <c r="Z2448" s="6" t="s">
        <v>81</v>
      </c>
      <c r="AA2448" s="6" t="s">
        <v>81</v>
      </c>
      <c r="AB2448" s="6" t="s">
        <v>81</v>
      </c>
      <c r="AC2448" s="6" t="s">
        <v>81</v>
      </c>
      <c r="AD2448" s="21" t="s">
        <v>81</v>
      </c>
      <c r="AE2448" s="6" t="s">
        <v>81</v>
      </c>
      <c r="AF2448" s="6" t="s">
        <v>81</v>
      </c>
      <c r="AG2448" s="6" t="s">
        <v>81</v>
      </c>
      <c r="AH2448" s="6" t="s">
        <v>16988</v>
      </c>
      <c r="AI2448" s="6" t="s">
        <v>81</v>
      </c>
      <c r="AJ2448" s="6" t="s">
        <v>17648</v>
      </c>
      <c r="AK2448" s="6" t="s">
        <v>17712</v>
      </c>
      <c r="AL2448" s="6" t="s">
        <v>18444</v>
      </c>
      <c r="AM2448" s="6" t="s">
        <v>18817</v>
      </c>
      <c r="AN2448" s="6" t="s">
        <v>19670</v>
      </c>
      <c r="AO2448" s="6" t="s">
        <v>19782</v>
      </c>
      <c r="AP2448" s="6" t="s">
        <v>16988</v>
      </c>
      <c r="AQ2448" s="6" t="s">
        <v>81</v>
      </c>
      <c r="AR2448" s="6" t="s">
        <v>17648</v>
      </c>
      <c r="AS2448" s="6" t="s">
        <v>17712</v>
      </c>
      <c r="AT2448" s="6" t="s">
        <v>18444</v>
      </c>
      <c r="AU2448" s="6" t="s">
        <v>18817</v>
      </c>
      <c r="AV2448" s="6" t="s">
        <v>81</v>
      </c>
      <c r="AW2448" s="6" t="s">
        <v>81</v>
      </c>
      <c r="AX2448" s="6" t="s">
        <v>22346</v>
      </c>
      <c r="AY2448" s="6" t="s">
        <v>81</v>
      </c>
      <c r="AZ2448" s="6" t="s">
        <v>81</v>
      </c>
      <c r="BA2448" s="6" t="s">
        <v>81</v>
      </c>
      <c r="BB2448" s="24" t="n">
        <v>180</v>
      </c>
      <c r="BC2448" s="26"/>
      <c r="BD2448" s="26"/>
      <c r="BE2448" s="26"/>
      <c r="BF2448" s="26" t="s">
        <v>23900</v>
      </c>
      <c r="BG2448" s="26"/>
      <c r="BH2448" s="26"/>
      <c r="BI2448" s="26"/>
      <c r="BJ2448" s="26"/>
      <c r="BK2448" s="26"/>
      <c r="BL2448" s="26"/>
      <c r="BM2448" s="26"/>
      <c r="BN2448" s="26"/>
      <c r="BO2448" s="26"/>
      <c r="BP2448" s="16" t="n">
        <v>45639</v>
      </c>
      <c r="BQ2448" s="28" t="str">
        <f>HYPERLINK("https://organic.ams.usda.gov/Integrity/Certificate.aspx?cid=57&amp;nopid=3252019056")</f>
        <v>https://organic.ams.usda.gov/Integrity/Certificate.aspx?cid=57&amp;nopid=3252019056</v>
      </c>
    </row>
    <row r="2449">
      <c r="A2449" t="s">
        <v>3</v>
      </c>
      <c r="B2449" s="6" t="s">
        <v>7</v>
      </c>
      <c r="C2449" s="6" t="s">
        <v>54</v>
      </c>
      <c r="D2449" s="6" t="s">
        <v>100</v>
      </c>
      <c r="E2449" s="10" t="s">
        <v>2590</v>
      </c>
      <c r="F2449" s="6" t="s">
        <v>5295</v>
      </c>
      <c r="G2449" s="6" t="s">
        <v>81</v>
      </c>
      <c r="H2449" s="6" t="s">
        <v>8120</v>
      </c>
      <c r="I2449" s="6" t="s">
        <v>8919</v>
      </c>
      <c r="J2449" s="6" t="s">
        <v>9997</v>
      </c>
      <c r="K2449" s="6" t="s">
        <v>10886</v>
      </c>
      <c r="L2449" s="16" t="n">
        <v>45014</v>
      </c>
      <c r="M2449" s="16" t="n">
        <v>45716</v>
      </c>
      <c r="N2449" s="6" t="s">
        <v>10886</v>
      </c>
      <c r="O2449" s="16" t="n">
        <v>45014</v>
      </c>
      <c r="P2449" s="6" t="s">
        <v>12265</v>
      </c>
      <c r="Q2449" s="6" t="s">
        <v>81</v>
      </c>
      <c r="R2449" s="6" t="s">
        <v>81</v>
      </c>
      <c r="S2449" s="6" t="s">
        <v>10886</v>
      </c>
      <c r="T2449" s="16" t="n">
        <v>45014</v>
      </c>
      <c r="U2449" s="6" t="s">
        <v>13169</v>
      </c>
      <c r="V2449" s="6" t="s">
        <v>81</v>
      </c>
      <c r="W2449" s="6" t="s">
        <v>81</v>
      </c>
      <c r="X2449" s="6" t="s">
        <v>81</v>
      </c>
      <c r="Y2449" s="21" t="s">
        <v>81</v>
      </c>
      <c r="Z2449" s="6" t="s">
        <v>81</v>
      </c>
      <c r="AA2449" s="6" t="s">
        <v>81</v>
      </c>
      <c r="AB2449" s="6" t="s">
        <v>81</v>
      </c>
      <c r="AC2449" s="6" t="s">
        <v>81</v>
      </c>
      <c r="AD2449" s="21" t="s">
        <v>81</v>
      </c>
      <c r="AE2449" s="6" t="s">
        <v>81</v>
      </c>
      <c r="AF2449" s="6" t="s">
        <v>81</v>
      </c>
      <c r="AG2449" s="6" t="s">
        <v>81</v>
      </c>
      <c r="AH2449" s="6" t="s">
        <v>16989</v>
      </c>
      <c r="AI2449" s="6" t="s">
        <v>81</v>
      </c>
      <c r="AJ2449" s="6" t="s">
        <v>17311</v>
      </c>
      <c r="AK2449" s="6" t="s">
        <v>17712</v>
      </c>
      <c r="AL2449" s="6" t="s">
        <v>18444</v>
      </c>
      <c r="AM2449" s="6" t="s">
        <v>18463</v>
      </c>
      <c r="AN2449" s="6" t="s">
        <v>81</v>
      </c>
      <c r="AO2449" s="6" t="s">
        <v>81</v>
      </c>
      <c r="AP2449" s="6" t="s">
        <v>16989</v>
      </c>
      <c r="AQ2449" s="6" t="s">
        <v>81</v>
      </c>
      <c r="AR2449" s="6" t="s">
        <v>17311</v>
      </c>
      <c r="AS2449" s="6" t="s">
        <v>17712</v>
      </c>
      <c r="AT2449" s="6" t="s">
        <v>18444</v>
      </c>
      <c r="AU2449" s="6" t="s">
        <v>18463</v>
      </c>
      <c r="AV2449" s="6" t="s">
        <v>81</v>
      </c>
      <c r="AW2449" s="6" t="s">
        <v>81</v>
      </c>
      <c r="AX2449" s="6" t="s">
        <v>22347</v>
      </c>
      <c r="AY2449" s="6" t="s">
        <v>81</v>
      </c>
      <c r="AZ2449" s="6" t="s">
        <v>81</v>
      </c>
      <c r="BA2449" s="6" t="s">
        <v>81</v>
      </c>
      <c r="BB2449" s="24" t="n">
        <v>127</v>
      </c>
      <c r="BC2449" s="26"/>
      <c r="BD2449" s="26"/>
      <c r="BE2449" s="26"/>
      <c r="BF2449" s="26" t="s">
        <v>23900</v>
      </c>
      <c r="BG2449" s="26"/>
      <c r="BH2449" s="26"/>
      <c r="BI2449" s="26"/>
      <c r="BJ2449" s="26"/>
      <c r="BK2449" s="26"/>
      <c r="BL2449" s="26"/>
      <c r="BM2449" s="26"/>
      <c r="BN2449" s="26"/>
      <c r="BO2449" s="26"/>
      <c r="BP2449" s="16" t="n">
        <v>45595</v>
      </c>
      <c r="BQ2449" s="28" t="str">
        <f>HYPERLINK("https://organic.ams.usda.gov/Integrity/Certificate.aspx?cid=57&amp;nopid=3252023003")</f>
        <v>https://organic.ams.usda.gov/Integrity/Certificate.aspx?cid=57&amp;nopid=3252023003</v>
      </c>
    </row>
    <row r="2450">
      <c r="A2450" t="s">
        <v>3</v>
      </c>
      <c r="B2450" s="6" t="s">
        <v>8</v>
      </c>
      <c r="C2450" s="6" t="s">
        <v>55</v>
      </c>
      <c r="D2450" s="6" t="s">
        <v>101</v>
      </c>
      <c r="E2450" s="10" t="s">
        <v>2591</v>
      </c>
      <c r="F2450" s="6" t="s">
        <v>5296</v>
      </c>
      <c r="G2450" s="6" t="s">
        <v>81</v>
      </c>
      <c r="H2450" s="6" t="s">
        <v>8121</v>
      </c>
      <c r="I2450" s="6" t="s">
        <v>8707</v>
      </c>
      <c r="J2450" s="6" t="s">
        <v>9668</v>
      </c>
      <c r="K2450" s="6" t="s">
        <v>10886</v>
      </c>
      <c r="L2450" s="16" t="n">
        <v>40486</v>
      </c>
      <c r="M2450" s="16" t="n">
        <v>45748</v>
      </c>
      <c r="N2450" s="6" t="s">
        <v>10886</v>
      </c>
      <c r="O2450" s="16" t="n">
        <v>40486</v>
      </c>
      <c r="P2450" s="6" t="s">
        <v>12266</v>
      </c>
      <c r="Q2450" s="6" t="s">
        <v>81</v>
      </c>
      <c r="R2450" s="6" t="s">
        <v>8121</v>
      </c>
      <c r="S2450" s="6" t="s">
        <v>10886</v>
      </c>
      <c r="T2450" s="16" t="n">
        <v>40486</v>
      </c>
      <c r="U2450" s="6" t="s">
        <v>13265</v>
      </c>
      <c r="V2450" s="6" t="s">
        <v>81</v>
      </c>
      <c r="W2450" s="6" t="s">
        <v>8121</v>
      </c>
      <c r="X2450" s="6" t="s">
        <v>10893</v>
      </c>
      <c r="Y2450" s="16" t="n">
        <v>43859</v>
      </c>
      <c r="Z2450" s="6" t="s">
        <v>81</v>
      </c>
      <c r="AA2450" s="6" t="s">
        <v>81</v>
      </c>
      <c r="AB2450" s="6" t="s">
        <v>81</v>
      </c>
      <c r="AC2450" s="6" t="s">
        <v>81</v>
      </c>
      <c r="AD2450" s="21" t="s">
        <v>81</v>
      </c>
      <c r="AE2450" s="6" t="s">
        <v>81</v>
      </c>
      <c r="AF2450" s="6" t="s">
        <v>81</v>
      </c>
      <c r="AG2450" s="6" t="s">
        <v>81</v>
      </c>
      <c r="AH2450" s="6" t="s">
        <v>16990</v>
      </c>
      <c r="AI2450" s="6" t="s">
        <v>81</v>
      </c>
      <c r="AJ2450" s="6" t="s">
        <v>17508</v>
      </c>
      <c r="AK2450" s="6" t="s">
        <v>18380</v>
      </c>
      <c r="AL2450" s="6" t="s">
        <v>18444</v>
      </c>
      <c r="AM2450" s="6" t="s">
        <v>18672</v>
      </c>
      <c r="AN2450" s="6" t="s">
        <v>6132</v>
      </c>
      <c r="AO2450" s="6" t="s">
        <v>19751</v>
      </c>
      <c r="AP2450" s="6" t="s">
        <v>81</v>
      </c>
      <c r="AQ2450" s="6" t="s">
        <v>81</v>
      </c>
      <c r="AR2450" s="6" t="s">
        <v>81</v>
      </c>
      <c r="AS2450" s="6" t="s">
        <v>81</v>
      </c>
      <c r="AT2450" s="6" t="s">
        <v>81</v>
      </c>
      <c r="AU2450" s="6" t="s">
        <v>81</v>
      </c>
      <c r="AV2450" s="6" t="s">
        <v>81</v>
      </c>
      <c r="AW2450" s="6" t="s">
        <v>81</v>
      </c>
      <c r="AX2450" s="6" t="s">
        <v>81</v>
      </c>
      <c r="AY2450" s="6" t="s">
        <v>81</v>
      </c>
      <c r="AZ2450" s="6" t="s">
        <v>81</v>
      </c>
      <c r="BA2450" s="6" t="s">
        <v>23824</v>
      </c>
      <c r="BB2450" s="24" t="n">
        <v>56</v>
      </c>
      <c r="BC2450" s="26"/>
      <c r="BD2450" s="26"/>
      <c r="BE2450" s="26"/>
      <c r="BF2450" s="26" t="s">
        <v>23900</v>
      </c>
      <c r="BG2450" s="26"/>
      <c r="BH2450" s="26"/>
      <c r="BI2450" s="26"/>
      <c r="BJ2450" s="26"/>
      <c r="BK2450" s="26"/>
      <c r="BL2450" s="26"/>
      <c r="BM2450" s="26"/>
      <c r="BN2450" s="26"/>
      <c r="BO2450" s="26"/>
      <c r="BP2450" s="16" t="n">
        <v>45597</v>
      </c>
      <c r="BQ2450" s="28" t="str">
        <f>HYPERLINK("https://organic.ams.usda.gov/Integrity/Certificate.aspx?cid=45&amp;nopid=9950004118")</f>
        <v>https://organic.ams.usda.gov/Integrity/Certificate.aspx?cid=45&amp;nopid=9950004118</v>
      </c>
    </row>
    <row r="2451">
      <c r="A2451" t="s">
        <v>3</v>
      </c>
      <c r="B2451" s="6" t="s">
        <v>7</v>
      </c>
      <c r="C2451" s="6" t="s">
        <v>54</v>
      </c>
      <c r="D2451" s="6" t="s">
        <v>100</v>
      </c>
      <c r="E2451" s="10" t="s">
        <v>2592</v>
      </c>
      <c r="F2451" s="6" t="s">
        <v>5297</v>
      </c>
      <c r="G2451" s="6" t="s">
        <v>81</v>
      </c>
      <c r="H2451" s="6" t="s">
        <v>8122</v>
      </c>
      <c r="I2451" s="6" t="s">
        <v>8956</v>
      </c>
      <c r="J2451" s="6" t="s">
        <v>10752</v>
      </c>
      <c r="K2451" s="6" t="s">
        <v>10886</v>
      </c>
      <c r="L2451" s="16" t="n">
        <v>37525</v>
      </c>
      <c r="M2451" s="16" t="n">
        <v>45716</v>
      </c>
      <c r="N2451" s="6" t="s">
        <v>10886</v>
      </c>
      <c r="O2451" s="16" t="n">
        <v>37525</v>
      </c>
      <c r="P2451" s="6" t="s">
        <v>10910</v>
      </c>
      <c r="Q2451" s="6" t="s">
        <v>81</v>
      </c>
      <c r="R2451" s="6" t="s">
        <v>81</v>
      </c>
      <c r="S2451" s="6" t="s">
        <v>10886</v>
      </c>
      <c r="T2451" s="16" t="n">
        <v>37525</v>
      </c>
      <c r="U2451" s="6" t="s">
        <v>13160</v>
      </c>
      <c r="V2451" s="6" t="s">
        <v>81</v>
      </c>
      <c r="W2451" s="6" t="s">
        <v>81</v>
      </c>
      <c r="X2451" s="6" t="s">
        <v>81</v>
      </c>
      <c r="Y2451" s="21" t="s">
        <v>81</v>
      </c>
      <c r="Z2451" s="6" t="s">
        <v>81</v>
      </c>
      <c r="AA2451" s="6" t="s">
        <v>81</v>
      </c>
      <c r="AB2451" s="6" t="s">
        <v>81</v>
      </c>
      <c r="AC2451" s="6" t="s">
        <v>81</v>
      </c>
      <c r="AD2451" s="21" t="s">
        <v>81</v>
      </c>
      <c r="AE2451" s="6" t="s">
        <v>81</v>
      </c>
      <c r="AF2451" s="6" t="s">
        <v>81</v>
      </c>
      <c r="AG2451" s="6" t="s">
        <v>81</v>
      </c>
      <c r="AH2451" s="6" t="s">
        <v>16991</v>
      </c>
      <c r="AI2451" s="6" t="s">
        <v>81</v>
      </c>
      <c r="AJ2451" s="6" t="s">
        <v>17509</v>
      </c>
      <c r="AK2451" s="6" t="s">
        <v>17712</v>
      </c>
      <c r="AL2451" s="6" t="s">
        <v>18444</v>
      </c>
      <c r="AM2451" s="6" t="s">
        <v>18673</v>
      </c>
      <c r="AN2451" s="6" t="s">
        <v>6842</v>
      </c>
      <c r="AO2451" s="6" t="s">
        <v>19815</v>
      </c>
      <c r="AP2451" s="6" t="s">
        <v>16991</v>
      </c>
      <c r="AQ2451" s="6" t="s">
        <v>81</v>
      </c>
      <c r="AR2451" s="6" t="s">
        <v>17509</v>
      </c>
      <c r="AS2451" s="6" t="s">
        <v>17712</v>
      </c>
      <c r="AT2451" s="6" t="s">
        <v>18444</v>
      </c>
      <c r="AU2451" s="6" t="s">
        <v>20705</v>
      </c>
      <c r="AV2451" s="6" t="s">
        <v>81</v>
      </c>
      <c r="AW2451" s="6" t="s">
        <v>81</v>
      </c>
      <c r="AX2451" s="6" t="s">
        <v>22348</v>
      </c>
      <c r="AY2451" s="6" t="s">
        <v>81</v>
      </c>
      <c r="AZ2451" s="6" t="s">
        <v>81</v>
      </c>
      <c r="BA2451" s="6" t="s">
        <v>81</v>
      </c>
      <c r="BB2451" s="24" t="n">
        <v>249</v>
      </c>
      <c r="BC2451" s="26"/>
      <c r="BD2451" s="26"/>
      <c r="BE2451" s="26"/>
      <c r="BF2451" s="26" t="s">
        <v>23900</v>
      </c>
      <c r="BG2451" s="26"/>
      <c r="BH2451" s="26"/>
      <c r="BI2451" s="26"/>
      <c r="BJ2451" s="26"/>
      <c r="BK2451" s="26"/>
      <c r="BL2451" s="26"/>
      <c r="BM2451" s="26"/>
      <c r="BN2451" s="26"/>
      <c r="BO2451" s="26"/>
      <c r="BP2451" s="16" t="n">
        <v>45595</v>
      </c>
      <c r="BQ2451" s="28" t="str">
        <f>HYPERLINK("https://organic.ams.usda.gov/Integrity/Certificate.aspx?cid=57&amp;nopid=3250990023")</f>
        <v>https://organic.ams.usda.gov/Integrity/Certificate.aspx?cid=57&amp;nopid=3250990023</v>
      </c>
    </row>
    <row r="2452">
      <c r="A2452" t="s">
        <v>3</v>
      </c>
      <c r="B2452" s="6" t="s">
        <v>25</v>
      </c>
      <c r="C2452" s="6" t="s">
        <v>72</v>
      </c>
      <c r="D2452" s="6" t="s">
        <v>118</v>
      </c>
      <c r="E2452" s="10" t="s">
        <v>2593</v>
      </c>
      <c r="F2452" s="6" t="s">
        <v>5298</v>
      </c>
      <c r="G2452" s="6" t="s">
        <v>5859</v>
      </c>
      <c r="H2452" s="6" t="s">
        <v>8123</v>
      </c>
      <c r="I2452" s="6" t="s">
        <v>9550</v>
      </c>
      <c r="J2452" s="6" t="s">
        <v>10753</v>
      </c>
      <c r="K2452" s="6" t="s">
        <v>10886</v>
      </c>
      <c r="L2452" s="16" t="n">
        <v>38833</v>
      </c>
      <c r="M2452" s="16" t="n">
        <v>46023</v>
      </c>
      <c r="N2452" s="6" t="s">
        <v>10886</v>
      </c>
      <c r="O2452" s="16" t="n">
        <v>38833</v>
      </c>
      <c r="P2452" s="6" t="s">
        <v>12267</v>
      </c>
      <c r="Q2452" s="6" t="s">
        <v>81</v>
      </c>
      <c r="R2452" s="6" t="s">
        <v>81</v>
      </c>
      <c r="S2452" s="6" t="s">
        <v>10886</v>
      </c>
      <c r="T2452" s="16" t="n">
        <v>38833</v>
      </c>
      <c r="U2452" s="6" t="s">
        <v>13886</v>
      </c>
      <c r="V2452" s="6" t="s">
        <v>81</v>
      </c>
      <c r="W2452" s="6" t="s">
        <v>81</v>
      </c>
      <c r="X2452" s="6" t="s">
        <v>81</v>
      </c>
      <c r="Y2452" s="21" t="s">
        <v>81</v>
      </c>
      <c r="Z2452" s="6" t="s">
        <v>81</v>
      </c>
      <c r="AA2452" s="6" t="s">
        <v>81</v>
      </c>
      <c r="AB2452" s="6" t="s">
        <v>81</v>
      </c>
      <c r="AC2452" s="6" t="s">
        <v>10886</v>
      </c>
      <c r="AD2452" s="16" t="n">
        <v>44733</v>
      </c>
      <c r="AE2452" s="6" t="s">
        <v>14435</v>
      </c>
      <c r="AF2452" s="6" t="s">
        <v>81</v>
      </c>
      <c r="AG2452" s="6" t="s">
        <v>81</v>
      </c>
      <c r="AH2452" s="6" t="s">
        <v>16992</v>
      </c>
      <c r="AI2452" s="6" t="s">
        <v>81</v>
      </c>
      <c r="AJ2452" s="6" t="s">
        <v>18302</v>
      </c>
      <c r="AK2452" s="6" t="s">
        <v>18386</v>
      </c>
      <c r="AL2452" s="6" t="s">
        <v>18444</v>
      </c>
      <c r="AM2452" s="6" t="s">
        <v>19530</v>
      </c>
      <c r="AN2452" s="6" t="s">
        <v>19669</v>
      </c>
      <c r="AO2452" s="6" t="s">
        <v>20060</v>
      </c>
      <c r="AP2452" s="6" t="s">
        <v>16992</v>
      </c>
      <c r="AQ2452" s="6" t="s">
        <v>81</v>
      </c>
      <c r="AR2452" s="6" t="s">
        <v>18302</v>
      </c>
      <c r="AS2452" s="6" t="s">
        <v>18386</v>
      </c>
      <c r="AT2452" s="6" t="s">
        <v>18444</v>
      </c>
      <c r="AU2452" s="6" t="s">
        <v>19530</v>
      </c>
      <c r="AV2452" s="6" t="s">
        <v>81</v>
      </c>
      <c r="AW2452" s="6" t="s">
        <v>81</v>
      </c>
      <c r="AX2452" s="6" t="s">
        <v>22349</v>
      </c>
      <c r="AY2452" s="6" t="s">
        <v>23426</v>
      </c>
      <c r="AZ2452" s="6" t="s">
        <v>23779</v>
      </c>
      <c r="BA2452" s="6" t="s">
        <v>23884</v>
      </c>
      <c r="BB2452" s="24" t="n">
        <v>3682</v>
      </c>
      <c r="BC2452" s="26"/>
      <c r="BD2452" s="26"/>
      <c r="BE2452" s="26"/>
      <c r="BF2452" s="26"/>
      <c r="BG2452" s="26"/>
      <c r="BH2452" s="26"/>
      <c r="BI2452" s="26"/>
      <c r="BJ2452" s="26"/>
      <c r="BK2452" s="26"/>
      <c r="BL2452" s="26"/>
      <c r="BM2452" s="26"/>
      <c r="BN2452" s="26"/>
      <c r="BO2452" s="26"/>
      <c r="BP2452" s="16" t="n">
        <v>45667</v>
      </c>
      <c r="BQ2452" s="28" t="str">
        <f>HYPERLINK("https://organic.ams.usda.gov/Integrity/Certificate.aspx?cid=15&amp;nopid=5561001172")</f>
        <v>https://organic.ams.usda.gov/Integrity/Certificate.aspx?cid=15&amp;nopid=5561001172</v>
      </c>
    </row>
    <row r="2453">
      <c r="A2453" t="s">
        <v>3</v>
      </c>
      <c r="B2453" s="6" t="s">
        <v>15</v>
      </c>
      <c r="C2453" s="6" t="s">
        <v>62</v>
      </c>
      <c r="D2453" s="6" t="s">
        <v>108</v>
      </c>
      <c r="E2453" s="10" t="s">
        <v>2594</v>
      </c>
      <c r="F2453" s="6" t="s">
        <v>5299</v>
      </c>
      <c r="G2453" s="6" t="s">
        <v>5860</v>
      </c>
      <c r="H2453" s="6" t="s">
        <v>8124</v>
      </c>
      <c r="I2453" s="6" t="s">
        <v>8928</v>
      </c>
      <c r="J2453" s="6" t="s">
        <v>10754</v>
      </c>
      <c r="K2453" s="6" t="s">
        <v>10886</v>
      </c>
      <c r="L2453" s="16" t="n">
        <v>37550</v>
      </c>
      <c r="M2453" s="16" t="n">
        <v>45792</v>
      </c>
      <c r="N2453" s="6" t="s">
        <v>10886</v>
      </c>
      <c r="O2453" s="16" t="n">
        <v>37550</v>
      </c>
      <c r="P2453" s="6" t="s">
        <v>12268</v>
      </c>
      <c r="Q2453" s="6" t="s">
        <v>81</v>
      </c>
      <c r="R2453" s="6" t="s">
        <v>81</v>
      </c>
      <c r="S2453" s="6" t="s">
        <v>10886</v>
      </c>
      <c r="T2453" s="16" t="n">
        <v>37550</v>
      </c>
      <c r="U2453" s="6" t="s">
        <v>13589</v>
      </c>
      <c r="V2453" s="6" t="s">
        <v>81</v>
      </c>
      <c r="W2453" s="6" t="s">
        <v>81</v>
      </c>
      <c r="X2453" s="6" t="s">
        <v>81</v>
      </c>
      <c r="Y2453" s="21" t="s">
        <v>81</v>
      </c>
      <c r="Z2453" s="6" t="s">
        <v>81</v>
      </c>
      <c r="AA2453" s="6" t="s">
        <v>81</v>
      </c>
      <c r="AB2453" s="6" t="s">
        <v>81</v>
      </c>
      <c r="AC2453" s="6" t="s">
        <v>81</v>
      </c>
      <c r="AD2453" s="21" t="s">
        <v>81</v>
      </c>
      <c r="AE2453" s="6" t="s">
        <v>81</v>
      </c>
      <c r="AF2453" s="6" t="s">
        <v>81</v>
      </c>
      <c r="AG2453" s="6" t="s">
        <v>81</v>
      </c>
      <c r="AH2453" s="6" t="s">
        <v>16993</v>
      </c>
      <c r="AI2453" s="6" t="s">
        <v>81</v>
      </c>
      <c r="AJ2453" s="6" t="s">
        <v>17324</v>
      </c>
      <c r="AK2453" s="6" t="s">
        <v>18378</v>
      </c>
      <c r="AL2453" s="6" t="s">
        <v>18444</v>
      </c>
      <c r="AM2453" s="6" t="s">
        <v>18476</v>
      </c>
      <c r="AN2453" s="6" t="s">
        <v>19640</v>
      </c>
      <c r="AO2453" s="6" t="s">
        <v>19726</v>
      </c>
      <c r="AP2453" s="6" t="s">
        <v>16993</v>
      </c>
      <c r="AQ2453" s="6" t="s">
        <v>81</v>
      </c>
      <c r="AR2453" s="6" t="s">
        <v>17324</v>
      </c>
      <c r="AS2453" s="6" t="s">
        <v>18378</v>
      </c>
      <c r="AT2453" s="6" t="s">
        <v>18444</v>
      </c>
      <c r="AU2453" s="6" t="s">
        <v>18476</v>
      </c>
      <c r="AV2453" s="6" t="s">
        <v>81</v>
      </c>
      <c r="AW2453" s="6" t="s">
        <v>81</v>
      </c>
      <c r="AX2453" s="6" t="s">
        <v>22350</v>
      </c>
      <c r="AY2453" s="6" t="s">
        <v>23427</v>
      </c>
      <c r="AZ2453" s="6" t="s">
        <v>81</v>
      </c>
      <c r="BA2453" s="6" t="s">
        <v>81</v>
      </c>
      <c r="BB2453" s="24" t="n">
        <v>474</v>
      </c>
      <c r="BC2453" s="26"/>
      <c r="BD2453" s="26"/>
      <c r="BE2453" s="26"/>
      <c r="BF2453" s="26" t="s">
        <v>23900</v>
      </c>
      <c r="BG2453" s="26"/>
      <c r="BH2453" s="26"/>
      <c r="BI2453" s="26"/>
      <c r="BJ2453" s="26"/>
      <c r="BK2453" s="26"/>
      <c r="BL2453" s="26"/>
      <c r="BM2453" s="26"/>
      <c r="BN2453" s="26"/>
      <c r="BO2453" s="26"/>
      <c r="BP2453" s="16" t="n">
        <v>45737</v>
      </c>
      <c r="BQ2453" s="28" t="str">
        <f>HYPERLINK("https://organic.ams.usda.gov/Integrity/Certificate.aspx?cid=58&amp;nopid=1600000768")</f>
        <v>https://organic.ams.usda.gov/Integrity/Certificate.aspx?cid=58&amp;nopid=1600000768</v>
      </c>
    </row>
    <row r="2454">
      <c r="A2454" t="s">
        <v>3</v>
      </c>
      <c r="B2454" s="6" t="s">
        <v>29</v>
      </c>
      <c r="C2454" s="6" t="s">
        <v>76</v>
      </c>
      <c r="D2454" s="6" t="s">
        <v>122</v>
      </c>
      <c r="E2454" s="10" t="s">
        <v>2595</v>
      </c>
      <c r="F2454" s="6" t="s">
        <v>5300</v>
      </c>
      <c r="G2454" s="6" t="s">
        <v>81</v>
      </c>
      <c r="H2454" s="6" t="s">
        <v>8125</v>
      </c>
      <c r="I2454" s="6" t="s">
        <v>9551</v>
      </c>
      <c r="J2454" s="6" t="s">
        <v>9679</v>
      </c>
      <c r="K2454" s="6" t="s">
        <v>10886</v>
      </c>
      <c r="L2454" s="16" t="n">
        <v>41477</v>
      </c>
      <c r="M2454" s="16" t="n">
        <v>45870</v>
      </c>
      <c r="N2454" s="6" t="s">
        <v>10886</v>
      </c>
      <c r="O2454" s="16" t="n">
        <v>41477</v>
      </c>
      <c r="P2454" s="6" t="s">
        <v>12269</v>
      </c>
      <c r="Q2454" s="6" t="s">
        <v>81</v>
      </c>
      <c r="R2454" s="6" t="s">
        <v>13094</v>
      </c>
      <c r="S2454" s="6" t="s">
        <v>10886</v>
      </c>
      <c r="T2454" s="16" t="n">
        <v>41477</v>
      </c>
      <c r="U2454" s="6" t="s">
        <v>13887</v>
      </c>
      <c r="V2454" s="6" t="s">
        <v>81</v>
      </c>
      <c r="W2454" s="6" t="s">
        <v>13094</v>
      </c>
      <c r="X2454" s="6" t="s">
        <v>81</v>
      </c>
      <c r="Y2454" s="21" t="s">
        <v>81</v>
      </c>
      <c r="Z2454" s="6" t="s">
        <v>81</v>
      </c>
      <c r="AA2454" s="6" t="s">
        <v>81</v>
      </c>
      <c r="AB2454" s="6" t="s">
        <v>81</v>
      </c>
      <c r="AC2454" s="6" t="s">
        <v>81</v>
      </c>
      <c r="AD2454" s="21" t="s">
        <v>81</v>
      </c>
      <c r="AE2454" s="6" t="s">
        <v>81</v>
      </c>
      <c r="AF2454" s="6" t="s">
        <v>81</v>
      </c>
      <c r="AG2454" s="6" t="s">
        <v>81</v>
      </c>
      <c r="AH2454" s="6" t="s">
        <v>16994</v>
      </c>
      <c r="AI2454" s="6" t="s">
        <v>81</v>
      </c>
      <c r="AJ2454" s="6" t="s">
        <v>17649</v>
      </c>
      <c r="AK2454" s="6" t="s">
        <v>18380</v>
      </c>
      <c r="AL2454" s="6" t="s">
        <v>18444</v>
      </c>
      <c r="AM2454" s="6" t="s">
        <v>18818</v>
      </c>
      <c r="AN2454" s="6" t="s">
        <v>19639</v>
      </c>
      <c r="AO2454" s="6" t="s">
        <v>19725</v>
      </c>
      <c r="AP2454" s="6" t="s">
        <v>81</v>
      </c>
      <c r="AQ2454" s="6" t="s">
        <v>81</v>
      </c>
      <c r="AR2454" s="6" t="s">
        <v>81</v>
      </c>
      <c r="AS2454" s="6" t="s">
        <v>81</v>
      </c>
      <c r="AT2454" s="6" t="s">
        <v>81</v>
      </c>
      <c r="AU2454" s="6" t="s">
        <v>81</v>
      </c>
      <c r="AV2454" s="6" t="s">
        <v>81</v>
      </c>
      <c r="AW2454" s="6" t="s">
        <v>81</v>
      </c>
      <c r="AX2454" s="6" t="s">
        <v>22351</v>
      </c>
      <c r="AY2454" s="6" t="s">
        <v>81</v>
      </c>
      <c r="AZ2454" s="6" t="s">
        <v>81</v>
      </c>
      <c r="BA2454" s="6" t="s">
        <v>81</v>
      </c>
      <c r="BB2454" s="24" t="n">
        <v>50</v>
      </c>
      <c r="BC2454" s="26"/>
      <c r="BD2454" s="26"/>
      <c r="BE2454" s="26"/>
      <c r="BF2454" s="26" t="s">
        <v>23900</v>
      </c>
      <c r="BG2454" s="26"/>
      <c r="BH2454" s="26"/>
      <c r="BI2454" s="26"/>
      <c r="BJ2454" s="26"/>
      <c r="BK2454" s="26"/>
      <c r="BL2454" s="26"/>
      <c r="BM2454" s="26"/>
      <c r="BN2454" s="26"/>
      <c r="BO2454" s="26"/>
      <c r="BP2454" s="16" t="n">
        <v>45737</v>
      </c>
      <c r="BQ2454" s="28" t="str">
        <f>HYPERLINK("https://organic.ams.usda.gov/Integrity/Certificate.aspx?cid=31&amp;nopid=3928971298")</f>
        <v>https://organic.ams.usda.gov/Integrity/Certificate.aspx?cid=31&amp;nopid=3928971298</v>
      </c>
    </row>
    <row r="2455">
      <c r="A2455" t="s">
        <v>3</v>
      </c>
      <c r="B2455" s="6" t="s">
        <v>7</v>
      </c>
      <c r="C2455" s="6" t="s">
        <v>54</v>
      </c>
      <c r="D2455" s="6" t="s">
        <v>100</v>
      </c>
      <c r="E2455" s="10" t="s">
        <v>2596</v>
      </c>
      <c r="F2455" s="6" t="s">
        <v>5301</v>
      </c>
      <c r="G2455" s="6" t="s">
        <v>81</v>
      </c>
      <c r="H2455" s="6" t="s">
        <v>8126</v>
      </c>
      <c r="I2455" s="6" t="s">
        <v>8919</v>
      </c>
      <c r="J2455" s="6" t="s">
        <v>9729</v>
      </c>
      <c r="K2455" s="6" t="s">
        <v>10886</v>
      </c>
      <c r="L2455" s="16" t="n">
        <v>43647</v>
      </c>
      <c r="M2455" s="16" t="n">
        <v>45716</v>
      </c>
      <c r="N2455" s="6" t="s">
        <v>10886</v>
      </c>
      <c r="O2455" s="16" t="n">
        <v>43647</v>
      </c>
      <c r="P2455" s="6" t="s">
        <v>12270</v>
      </c>
      <c r="Q2455" s="6" t="s">
        <v>81</v>
      </c>
      <c r="R2455" s="6" t="s">
        <v>81</v>
      </c>
      <c r="S2455" s="6" t="s">
        <v>10886</v>
      </c>
      <c r="T2455" s="16" t="n">
        <v>43647</v>
      </c>
      <c r="U2455" s="6" t="s">
        <v>13169</v>
      </c>
      <c r="V2455" s="6" t="s">
        <v>81</v>
      </c>
      <c r="W2455" s="6" t="s">
        <v>81</v>
      </c>
      <c r="X2455" s="6" t="s">
        <v>81</v>
      </c>
      <c r="Y2455" s="21" t="s">
        <v>81</v>
      </c>
      <c r="Z2455" s="6" t="s">
        <v>81</v>
      </c>
      <c r="AA2455" s="6" t="s">
        <v>81</v>
      </c>
      <c r="AB2455" s="6" t="s">
        <v>81</v>
      </c>
      <c r="AC2455" s="6" t="s">
        <v>81</v>
      </c>
      <c r="AD2455" s="21" t="s">
        <v>81</v>
      </c>
      <c r="AE2455" s="6" t="s">
        <v>81</v>
      </c>
      <c r="AF2455" s="6" t="s">
        <v>81</v>
      </c>
      <c r="AG2455" s="6" t="s">
        <v>81</v>
      </c>
      <c r="AH2455" s="6" t="s">
        <v>16995</v>
      </c>
      <c r="AI2455" s="6" t="s">
        <v>81</v>
      </c>
      <c r="AJ2455" s="6" t="s">
        <v>17482</v>
      </c>
      <c r="AK2455" s="6" t="s">
        <v>17712</v>
      </c>
      <c r="AL2455" s="6" t="s">
        <v>18444</v>
      </c>
      <c r="AM2455" s="6" t="s">
        <v>18590</v>
      </c>
      <c r="AN2455" s="6" t="s">
        <v>19670</v>
      </c>
      <c r="AO2455" s="6" t="s">
        <v>19782</v>
      </c>
      <c r="AP2455" s="6" t="s">
        <v>16995</v>
      </c>
      <c r="AQ2455" s="6" t="s">
        <v>81</v>
      </c>
      <c r="AR2455" s="6" t="s">
        <v>17482</v>
      </c>
      <c r="AS2455" s="6" t="s">
        <v>17712</v>
      </c>
      <c r="AT2455" s="6" t="s">
        <v>18444</v>
      </c>
      <c r="AU2455" s="6" t="s">
        <v>18590</v>
      </c>
      <c r="AV2455" s="6" t="s">
        <v>81</v>
      </c>
      <c r="AW2455" s="6" t="s">
        <v>81</v>
      </c>
      <c r="AX2455" s="6" t="s">
        <v>81</v>
      </c>
      <c r="AY2455" s="6" t="s">
        <v>81</v>
      </c>
      <c r="AZ2455" s="6" t="s">
        <v>81</v>
      </c>
      <c r="BA2455" s="6" t="s">
        <v>81</v>
      </c>
      <c r="BB2455" s="24" t="n">
        <v>150</v>
      </c>
      <c r="BC2455" s="26"/>
      <c r="BD2455" s="26"/>
      <c r="BE2455" s="26"/>
      <c r="BF2455" s="26" t="s">
        <v>23900</v>
      </c>
      <c r="BG2455" s="26"/>
      <c r="BH2455" s="26"/>
      <c r="BI2455" s="26"/>
      <c r="BJ2455" s="26"/>
      <c r="BK2455" s="26"/>
      <c r="BL2455" s="26"/>
      <c r="BM2455" s="26"/>
      <c r="BN2455" s="26"/>
      <c r="BO2455" s="26"/>
      <c r="BP2455" s="16" t="n">
        <v>45667</v>
      </c>
      <c r="BQ2455" s="28" t="str">
        <f>HYPERLINK("https://organic.ams.usda.gov/Integrity/Certificate.aspx?cid=57&amp;nopid=3252019057")</f>
        <v>https://organic.ams.usda.gov/Integrity/Certificate.aspx?cid=57&amp;nopid=3252019057</v>
      </c>
    </row>
    <row r="2456">
      <c r="A2456" t="s">
        <v>3</v>
      </c>
      <c r="B2456" s="6" t="s">
        <v>40</v>
      </c>
      <c r="C2456" s="6" t="s">
        <v>87</v>
      </c>
      <c r="D2456" s="6" t="s">
        <v>132</v>
      </c>
      <c r="E2456" s="10" t="s">
        <v>2597</v>
      </c>
      <c r="F2456" s="6" t="s">
        <v>5302</v>
      </c>
      <c r="G2456" s="6" t="s">
        <v>81</v>
      </c>
      <c r="H2456" s="6" t="s">
        <v>8127</v>
      </c>
      <c r="I2456" s="6" t="s">
        <v>9552</v>
      </c>
      <c r="J2456" s="6" t="s">
        <v>10755</v>
      </c>
      <c r="K2456" s="6" t="s">
        <v>10886</v>
      </c>
      <c r="L2456" s="16" t="n">
        <v>45671</v>
      </c>
      <c r="M2456" s="16" t="n">
        <v>45931</v>
      </c>
      <c r="N2456" s="6" t="s">
        <v>81</v>
      </c>
      <c r="O2456" s="21" t="s">
        <v>81</v>
      </c>
      <c r="P2456" s="6" t="s">
        <v>81</v>
      </c>
      <c r="Q2456" s="6" t="s">
        <v>81</v>
      </c>
      <c r="R2456" s="6" t="s">
        <v>81</v>
      </c>
      <c r="S2456" s="6" t="s">
        <v>81</v>
      </c>
      <c r="T2456" s="21" t="s">
        <v>81</v>
      </c>
      <c r="U2456" s="6" t="s">
        <v>81</v>
      </c>
      <c r="V2456" s="6" t="s">
        <v>81</v>
      </c>
      <c r="W2456" s="6" t="s">
        <v>81</v>
      </c>
      <c r="X2456" s="6" t="s">
        <v>81</v>
      </c>
      <c r="Y2456" s="21" t="s">
        <v>81</v>
      </c>
      <c r="Z2456" s="6" t="s">
        <v>81</v>
      </c>
      <c r="AA2456" s="6" t="s">
        <v>81</v>
      </c>
      <c r="AB2456" s="6" t="s">
        <v>81</v>
      </c>
      <c r="AC2456" s="6" t="s">
        <v>10886</v>
      </c>
      <c r="AD2456" s="16" t="n">
        <v>45671</v>
      </c>
      <c r="AE2456" s="6" t="s">
        <v>14436</v>
      </c>
      <c r="AF2456" s="6" t="s">
        <v>81</v>
      </c>
      <c r="AG2456" s="6" t="s">
        <v>81</v>
      </c>
      <c r="AH2456" s="6" t="s">
        <v>16996</v>
      </c>
      <c r="AI2456" s="6" t="s">
        <v>81</v>
      </c>
      <c r="AJ2456" s="6" t="s">
        <v>17614</v>
      </c>
      <c r="AK2456" s="6" t="s">
        <v>18398</v>
      </c>
      <c r="AL2456" s="6" t="s">
        <v>18444</v>
      </c>
      <c r="AM2456" s="6" t="s">
        <v>19531</v>
      </c>
      <c r="AN2456" s="6" t="s">
        <v>81</v>
      </c>
      <c r="AO2456" s="6" t="s">
        <v>81</v>
      </c>
      <c r="AP2456" s="6" t="s">
        <v>20433</v>
      </c>
      <c r="AQ2456" s="6" t="s">
        <v>81</v>
      </c>
      <c r="AR2456" s="6" t="s">
        <v>17614</v>
      </c>
      <c r="AS2456" s="6" t="s">
        <v>18398</v>
      </c>
      <c r="AT2456" s="6" t="s">
        <v>18444</v>
      </c>
      <c r="AU2456" s="6" t="s">
        <v>19531</v>
      </c>
      <c r="AV2456" s="6" t="s">
        <v>81</v>
      </c>
      <c r="AW2456" s="6" t="s">
        <v>81</v>
      </c>
      <c r="AX2456" s="6" t="s">
        <v>22352</v>
      </c>
      <c r="AY2456" s="6" t="s">
        <v>23428</v>
      </c>
      <c r="AZ2456" s="6" t="s">
        <v>23780</v>
      </c>
      <c r="BA2456" s="6" t="s">
        <v>81</v>
      </c>
      <c r="BB2456" s="6" t="s">
        <v>81</v>
      </c>
      <c r="BC2456" s="26"/>
      <c r="BD2456" s="26"/>
      <c r="BE2456" s="26"/>
      <c r="BF2456" s="26"/>
      <c r="BG2456" s="26"/>
      <c r="BH2456" s="26"/>
      <c r="BI2456" s="26"/>
      <c r="BJ2456" s="26"/>
      <c r="BK2456" s="26"/>
      <c r="BL2456" s="26"/>
      <c r="BM2456" s="26"/>
      <c r="BN2456" s="26"/>
      <c r="BO2456" s="26"/>
      <c r="BP2456" s="16" t="n">
        <v>45735</v>
      </c>
      <c r="BQ2456" s="28" t="str">
        <f>HYPERLINK("https://organic.ams.usda.gov/Integrity/Certificate.aspx?cid=19&amp;nopid=6350000646")</f>
        <v>https://organic.ams.usda.gov/Integrity/Certificate.aspx?cid=19&amp;nopid=6350000646</v>
      </c>
    </row>
    <row r="2457">
      <c r="A2457" t="s">
        <v>3</v>
      </c>
      <c r="B2457" s="6" t="s">
        <v>22</v>
      </c>
      <c r="C2457" s="6" t="s">
        <v>69</v>
      </c>
      <c r="D2457" s="6" t="s">
        <v>115</v>
      </c>
      <c r="E2457" s="10" t="s">
        <v>2598</v>
      </c>
      <c r="F2457" s="6" t="s">
        <v>5303</v>
      </c>
      <c r="G2457" s="6" t="s">
        <v>81</v>
      </c>
      <c r="H2457" s="6" t="s">
        <v>81</v>
      </c>
      <c r="I2457" s="6" t="s">
        <v>9553</v>
      </c>
      <c r="J2457" s="6" t="s">
        <v>10756</v>
      </c>
      <c r="K2457" s="6" t="s">
        <v>10886</v>
      </c>
      <c r="L2457" s="16" t="n">
        <v>43427</v>
      </c>
      <c r="M2457" s="16" t="n">
        <v>45961</v>
      </c>
      <c r="N2457" s="6" t="s">
        <v>81</v>
      </c>
      <c r="O2457" s="21" t="s">
        <v>81</v>
      </c>
      <c r="P2457" s="6" t="s">
        <v>81</v>
      </c>
      <c r="Q2457" s="6" t="s">
        <v>81</v>
      </c>
      <c r="R2457" s="6" t="s">
        <v>81</v>
      </c>
      <c r="S2457" s="6" t="s">
        <v>81</v>
      </c>
      <c r="T2457" s="21" t="s">
        <v>81</v>
      </c>
      <c r="U2457" s="6" t="s">
        <v>81</v>
      </c>
      <c r="V2457" s="6" t="s">
        <v>81</v>
      </c>
      <c r="W2457" s="6" t="s">
        <v>81</v>
      </c>
      <c r="X2457" s="6" t="s">
        <v>81</v>
      </c>
      <c r="Y2457" s="21" t="s">
        <v>81</v>
      </c>
      <c r="Z2457" s="6" t="s">
        <v>81</v>
      </c>
      <c r="AA2457" s="6" t="s">
        <v>81</v>
      </c>
      <c r="AB2457" s="6" t="s">
        <v>81</v>
      </c>
      <c r="AC2457" s="6" t="s">
        <v>10886</v>
      </c>
      <c r="AD2457" s="16" t="n">
        <v>43427</v>
      </c>
      <c r="AE2457" s="6" t="s">
        <v>14437</v>
      </c>
      <c r="AF2457" s="6" t="s">
        <v>81</v>
      </c>
      <c r="AG2457" s="6" t="s">
        <v>81</v>
      </c>
      <c r="AH2457" s="6" t="s">
        <v>16997</v>
      </c>
      <c r="AI2457" s="6" t="s">
        <v>81</v>
      </c>
      <c r="AJ2457" s="6" t="s">
        <v>81</v>
      </c>
      <c r="AK2457" s="6" t="s">
        <v>18441</v>
      </c>
      <c r="AL2457" s="6" t="s">
        <v>18459</v>
      </c>
      <c r="AM2457" s="6" t="s">
        <v>19532</v>
      </c>
      <c r="AN2457" s="6" t="s">
        <v>81</v>
      </c>
      <c r="AO2457" s="6" t="s">
        <v>81</v>
      </c>
      <c r="AP2457" s="6" t="s">
        <v>81</v>
      </c>
      <c r="AQ2457" s="6" t="s">
        <v>81</v>
      </c>
      <c r="AR2457" s="6" t="s">
        <v>81</v>
      </c>
      <c r="AS2457" s="6" t="s">
        <v>81</v>
      </c>
      <c r="AT2457" s="6" t="s">
        <v>81</v>
      </c>
      <c r="AU2457" s="6" t="s">
        <v>81</v>
      </c>
      <c r="AV2457" s="6" t="s">
        <v>81</v>
      </c>
      <c r="AW2457" s="6" t="s">
        <v>81</v>
      </c>
      <c r="AX2457" s="6" t="s">
        <v>22353</v>
      </c>
      <c r="AY2457" s="6" t="s">
        <v>23429</v>
      </c>
      <c r="AZ2457" s="6" t="s">
        <v>23781</v>
      </c>
      <c r="BA2457" s="6" t="s">
        <v>23821</v>
      </c>
      <c r="BB2457" s="6" t="s">
        <v>81</v>
      </c>
      <c r="BC2457" s="26"/>
      <c r="BD2457" s="26"/>
      <c r="BE2457" s="26"/>
      <c r="BF2457" s="26"/>
      <c r="BG2457" s="26"/>
      <c r="BH2457" s="26"/>
      <c r="BI2457" s="26"/>
      <c r="BJ2457" s="26"/>
      <c r="BK2457" s="26"/>
      <c r="BL2457" s="26"/>
      <c r="BM2457" s="26"/>
      <c r="BN2457" s="26"/>
      <c r="BO2457" s="26"/>
      <c r="BP2457" s="16" t="n">
        <v>45690</v>
      </c>
      <c r="BQ2457" s="28" t="str">
        <f>HYPERLINK("https://organic.ams.usda.gov/Integrity/Certificate.aspx?cid=21&amp;nopid=1780862758")</f>
        <v>https://organic.ams.usda.gov/Integrity/Certificate.aspx?cid=21&amp;nopid=1780862758</v>
      </c>
    </row>
    <row r="2458">
      <c r="A2458" t="s">
        <v>3</v>
      </c>
      <c r="B2458" s="6" t="s">
        <v>41</v>
      </c>
      <c r="C2458" s="6" t="s">
        <v>88</v>
      </c>
      <c r="D2458" s="6" t="s">
        <v>133</v>
      </c>
      <c r="E2458" s="10" t="s">
        <v>2599</v>
      </c>
      <c r="F2458" s="6" t="s">
        <v>5304</v>
      </c>
      <c r="G2458" s="6" t="s">
        <v>81</v>
      </c>
      <c r="H2458" s="6" t="s">
        <v>8128</v>
      </c>
      <c r="I2458" s="6" t="s">
        <v>81</v>
      </c>
      <c r="J2458" s="6" t="s">
        <v>81</v>
      </c>
      <c r="K2458" s="6" t="s">
        <v>10886</v>
      </c>
      <c r="L2458" s="16" t="n">
        <v>44152</v>
      </c>
      <c r="M2458" s="16" t="n">
        <v>45764</v>
      </c>
      <c r="N2458" s="6" t="s">
        <v>81</v>
      </c>
      <c r="O2458" s="21" t="s">
        <v>81</v>
      </c>
      <c r="P2458" s="6" t="s">
        <v>81</v>
      </c>
      <c r="Q2458" s="6" t="s">
        <v>81</v>
      </c>
      <c r="R2458" s="6" t="s">
        <v>81</v>
      </c>
      <c r="S2458" s="6" t="s">
        <v>81</v>
      </c>
      <c r="T2458" s="21" t="s">
        <v>81</v>
      </c>
      <c r="U2458" s="6" t="s">
        <v>81</v>
      </c>
      <c r="V2458" s="6" t="s">
        <v>81</v>
      </c>
      <c r="W2458" s="6" t="s">
        <v>81</v>
      </c>
      <c r="X2458" s="6" t="s">
        <v>81</v>
      </c>
      <c r="Y2458" s="21" t="s">
        <v>81</v>
      </c>
      <c r="Z2458" s="6" t="s">
        <v>81</v>
      </c>
      <c r="AA2458" s="6" t="s">
        <v>81</v>
      </c>
      <c r="AB2458" s="6" t="s">
        <v>81</v>
      </c>
      <c r="AC2458" s="6" t="s">
        <v>10886</v>
      </c>
      <c r="AD2458" s="16" t="n">
        <v>44152</v>
      </c>
      <c r="AE2458" s="6" t="s">
        <v>14438</v>
      </c>
      <c r="AF2458" s="6" t="s">
        <v>81</v>
      </c>
      <c r="AG2458" s="6" t="s">
        <v>14597</v>
      </c>
      <c r="AH2458" s="6" t="s">
        <v>16998</v>
      </c>
      <c r="AI2458" s="6" t="s">
        <v>81</v>
      </c>
      <c r="AJ2458" s="6" t="s">
        <v>18303</v>
      </c>
      <c r="AK2458" s="6" t="s">
        <v>81</v>
      </c>
      <c r="AL2458" s="6" t="s">
        <v>18459</v>
      </c>
      <c r="AM2458" s="6" t="s">
        <v>19533</v>
      </c>
      <c r="AN2458" s="6" t="s">
        <v>81</v>
      </c>
      <c r="AO2458" s="6" t="s">
        <v>81</v>
      </c>
      <c r="AP2458" s="6" t="s">
        <v>81</v>
      </c>
      <c r="AQ2458" s="6" t="s">
        <v>81</v>
      </c>
      <c r="AR2458" s="6" t="s">
        <v>81</v>
      </c>
      <c r="AS2458" s="6" t="s">
        <v>81</v>
      </c>
      <c r="AT2458" s="6" t="s">
        <v>81</v>
      </c>
      <c r="AU2458" s="6" t="s">
        <v>81</v>
      </c>
      <c r="AV2458" s="6" t="s">
        <v>81</v>
      </c>
      <c r="AW2458" s="6" t="s">
        <v>81</v>
      </c>
      <c r="AX2458" s="6" t="s">
        <v>22354</v>
      </c>
      <c r="AY2458" s="6" t="s">
        <v>23430</v>
      </c>
      <c r="AZ2458" s="6" t="s">
        <v>81</v>
      </c>
      <c r="BA2458" s="6" t="s">
        <v>81</v>
      </c>
      <c r="BB2458" s="24" t="n">
        <v>0</v>
      </c>
      <c r="BC2458" s="26"/>
      <c r="BD2458" s="26"/>
      <c r="BE2458" s="26"/>
      <c r="BF2458" s="26"/>
      <c r="BG2458" s="26"/>
      <c r="BH2458" s="26"/>
      <c r="BI2458" s="26"/>
      <c r="BJ2458" s="26"/>
      <c r="BK2458" s="26"/>
      <c r="BL2458" s="26"/>
      <c r="BM2458" s="26"/>
      <c r="BN2458" s="26"/>
      <c r="BO2458" s="26"/>
      <c r="BP2458" s="16" t="n">
        <v>45629</v>
      </c>
      <c r="BQ2458" s="28" t="str">
        <f>HYPERLINK("https://organic.ams.usda.gov/Integrity/Certificate.aspx?cid=12&amp;nopid=8699693650")</f>
        <v>https://organic.ams.usda.gov/Integrity/Certificate.aspx?cid=12&amp;nopid=8699693650</v>
      </c>
    </row>
    <row r="2459">
      <c r="A2459" t="s">
        <v>3</v>
      </c>
      <c r="B2459" s="6" t="s">
        <v>8</v>
      </c>
      <c r="C2459" s="6" t="s">
        <v>55</v>
      </c>
      <c r="D2459" s="6" t="s">
        <v>101</v>
      </c>
      <c r="E2459" s="10" t="s">
        <v>2600</v>
      </c>
      <c r="F2459" s="6" t="s">
        <v>5305</v>
      </c>
      <c r="G2459" s="6" t="s">
        <v>81</v>
      </c>
      <c r="H2459" s="6" t="s">
        <v>8129</v>
      </c>
      <c r="I2459" s="6" t="s">
        <v>8440</v>
      </c>
      <c r="J2459" s="6" t="s">
        <v>9726</v>
      </c>
      <c r="K2459" s="6" t="s">
        <v>10886</v>
      </c>
      <c r="L2459" s="16" t="n">
        <v>44084</v>
      </c>
      <c r="M2459" s="18" t="s">
        <v>81</v>
      </c>
      <c r="N2459" s="6" t="s">
        <v>10886</v>
      </c>
      <c r="O2459" s="16" t="n">
        <v>44084</v>
      </c>
      <c r="P2459" s="6" t="s">
        <v>12271</v>
      </c>
      <c r="Q2459" s="6" t="s">
        <v>81</v>
      </c>
      <c r="R2459" s="6" t="s">
        <v>81</v>
      </c>
      <c r="S2459" s="6" t="s">
        <v>10886</v>
      </c>
      <c r="T2459" s="16" t="n">
        <v>44084</v>
      </c>
      <c r="U2459" s="6" t="s">
        <v>13229</v>
      </c>
      <c r="V2459" s="6" t="s">
        <v>81</v>
      </c>
      <c r="W2459" s="6" t="s">
        <v>81</v>
      </c>
      <c r="X2459" s="6" t="s">
        <v>81</v>
      </c>
      <c r="Y2459" s="21" t="s">
        <v>81</v>
      </c>
      <c r="Z2459" s="6" t="s">
        <v>81</v>
      </c>
      <c r="AA2459" s="6" t="s">
        <v>81</v>
      </c>
      <c r="AB2459" s="6" t="s">
        <v>81</v>
      </c>
      <c r="AC2459" s="6" t="s">
        <v>81</v>
      </c>
      <c r="AD2459" s="21" t="s">
        <v>81</v>
      </c>
      <c r="AE2459" s="6" t="s">
        <v>81</v>
      </c>
      <c r="AF2459" s="6" t="s">
        <v>81</v>
      </c>
      <c r="AG2459" s="6" t="s">
        <v>81</v>
      </c>
      <c r="AH2459" s="6" t="s">
        <v>16999</v>
      </c>
      <c r="AI2459" s="6" t="s">
        <v>81</v>
      </c>
      <c r="AJ2459" s="6" t="s">
        <v>17442</v>
      </c>
      <c r="AK2459" s="6" t="s">
        <v>18391</v>
      </c>
      <c r="AL2459" s="6" t="s">
        <v>18444</v>
      </c>
      <c r="AM2459" s="6" t="s">
        <v>19534</v>
      </c>
      <c r="AN2459" s="6" t="s">
        <v>5924</v>
      </c>
      <c r="AO2459" s="6" t="s">
        <v>19796</v>
      </c>
      <c r="AP2459" s="6" t="s">
        <v>81</v>
      </c>
      <c r="AQ2459" s="6" t="s">
        <v>81</v>
      </c>
      <c r="AR2459" s="6" t="s">
        <v>81</v>
      </c>
      <c r="AS2459" s="6" t="s">
        <v>81</v>
      </c>
      <c r="AT2459" s="6" t="s">
        <v>81</v>
      </c>
      <c r="AU2459" s="6" t="s">
        <v>81</v>
      </c>
      <c r="AV2459" s="6" t="s">
        <v>81</v>
      </c>
      <c r="AW2459" s="6" t="s">
        <v>81</v>
      </c>
      <c r="AX2459" s="6" t="s">
        <v>81</v>
      </c>
      <c r="AY2459" s="6" t="s">
        <v>81</v>
      </c>
      <c r="AZ2459" s="6" t="s">
        <v>81</v>
      </c>
      <c r="BA2459" s="6" t="s">
        <v>81</v>
      </c>
      <c r="BB2459" s="24" t="n">
        <v>70</v>
      </c>
      <c r="BC2459" s="26"/>
      <c r="BD2459" s="26"/>
      <c r="BE2459" s="26"/>
      <c r="BF2459" s="26"/>
      <c r="BG2459" s="26"/>
      <c r="BH2459" s="26"/>
      <c r="BI2459" s="26"/>
      <c r="BJ2459" s="26"/>
      <c r="BK2459" s="26"/>
      <c r="BL2459" s="26"/>
      <c r="BM2459" s="26"/>
      <c r="BN2459" s="26"/>
      <c r="BO2459" s="26"/>
      <c r="BP2459" s="16" t="n">
        <v>45292</v>
      </c>
      <c r="BQ2459" s="28" t="str">
        <f>HYPERLINK("https://organic.ams.usda.gov/Integrity/Certificate.aspx?cid=45&amp;nopid=9950012006")</f>
        <v>https://organic.ams.usda.gov/Integrity/Certificate.aspx?cid=45&amp;nopid=9950012006</v>
      </c>
    </row>
    <row r="2460">
      <c r="A2460" t="s">
        <v>3</v>
      </c>
      <c r="B2460" s="6" t="s">
        <v>7</v>
      </c>
      <c r="C2460" s="6" t="s">
        <v>54</v>
      </c>
      <c r="D2460" s="6" t="s">
        <v>100</v>
      </c>
      <c r="E2460" s="10" t="s">
        <v>2601</v>
      </c>
      <c r="F2460" s="6" t="s">
        <v>5306</v>
      </c>
      <c r="G2460" s="6" t="s">
        <v>81</v>
      </c>
      <c r="H2460" s="6" t="s">
        <v>8130</v>
      </c>
      <c r="I2460" s="6" t="s">
        <v>9554</v>
      </c>
      <c r="J2460" s="6" t="s">
        <v>10757</v>
      </c>
      <c r="K2460" s="6" t="s">
        <v>10886</v>
      </c>
      <c r="L2460" s="16" t="n">
        <v>43242</v>
      </c>
      <c r="M2460" s="16" t="n">
        <v>45716</v>
      </c>
      <c r="N2460" s="6" t="s">
        <v>10886</v>
      </c>
      <c r="O2460" s="16" t="n">
        <v>43242</v>
      </c>
      <c r="P2460" s="6" t="s">
        <v>10910</v>
      </c>
      <c r="Q2460" s="6" t="s">
        <v>81</v>
      </c>
      <c r="R2460" s="6" t="s">
        <v>81</v>
      </c>
      <c r="S2460" s="6" t="s">
        <v>10886</v>
      </c>
      <c r="T2460" s="16" t="n">
        <v>43516</v>
      </c>
      <c r="U2460" s="6" t="s">
        <v>13169</v>
      </c>
      <c r="V2460" s="6" t="s">
        <v>81</v>
      </c>
      <c r="W2460" s="6" t="s">
        <v>81</v>
      </c>
      <c r="X2460" s="6" t="s">
        <v>81</v>
      </c>
      <c r="Y2460" s="21" t="s">
        <v>81</v>
      </c>
      <c r="Z2460" s="6" t="s">
        <v>81</v>
      </c>
      <c r="AA2460" s="6" t="s">
        <v>81</v>
      </c>
      <c r="AB2460" s="6" t="s">
        <v>81</v>
      </c>
      <c r="AC2460" s="6" t="s">
        <v>81</v>
      </c>
      <c r="AD2460" s="21" t="s">
        <v>81</v>
      </c>
      <c r="AE2460" s="6" t="s">
        <v>81</v>
      </c>
      <c r="AF2460" s="6" t="s">
        <v>81</v>
      </c>
      <c r="AG2460" s="6" t="s">
        <v>81</v>
      </c>
      <c r="AH2460" s="6" t="s">
        <v>17000</v>
      </c>
      <c r="AI2460" s="6" t="s">
        <v>81</v>
      </c>
      <c r="AJ2460" s="6" t="s">
        <v>17732</v>
      </c>
      <c r="AK2460" s="6" t="s">
        <v>17712</v>
      </c>
      <c r="AL2460" s="6" t="s">
        <v>18444</v>
      </c>
      <c r="AM2460" s="6" t="s">
        <v>18901</v>
      </c>
      <c r="AN2460" s="6" t="s">
        <v>19696</v>
      </c>
      <c r="AO2460" s="6" t="s">
        <v>19791</v>
      </c>
      <c r="AP2460" s="6" t="s">
        <v>17000</v>
      </c>
      <c r="AQ2460" s="6" t="s">
        <v>81</v>
      </c>
      <c r="AR2460" s="6" t="s">
        <v>17732</v>
      </c>
      <c r="AS2460" s="6" t="s">
        <v>17712</v>
      </c>
      <c r="AT2460" s="6" t="s">
        <v>18444</v>
      </c>
      <c r="AU2460" s="6" t="s">
        <v>18901</v>
      </c>
      <c r="AV2460" s="6" t="s">
        <v>81</v>
      </c>
      <c r="AW2460" s="6" t="s">
        <v>81</v>
      </c>
      <c r="AX2460" s="6" t="s">
        <v>22355</v>
      </c>
      <c r="AY2460" s="6" t="s">
        <v>23431</v>
      </c>
      <c r="AZ2460" s="6" t="s">
        <v>81</v>
      </c>
      <c r="BA2460" s="6" t="s">
        <v>81</v>
      </c>
      <c r="BB2460" s="24" t="n">
        <v>336</v>
      </c>
      <c r="BC2460" s="26"/>
      <c r="BD2460" s="26"/>
      <c r="BE2460" s="26"/>
      <c r="BF2460" s="26" t="s">
        <v>23900</v>
      </c>
      <c r="BG2460" s="26"/>
      <c r="BH2460" s="26"/>
      <c r="BI2460" s="26"/>
      <c r="BJ2460" s="26"/>
      <c r="BK2460" s="26"/>
      <c r="BL2460" s="26"/>
      <c r="BM2460" s="26"/>
      <c r="BN2460" s="26"/>
      <c r="BO2460" s="26"/>
      <c r="BP2460" s="16" t="n">
        <v>45595</v>
      </c>
      <c r="BQ2460" s="28" t="str">
        <f>HYPERLINK("https://organic.ams.usda.gov/Integrity/Certificate.aspx?cid=57&amp;nopid=3252018029")</f>
        <v>https://organic.ams.usda.gov/Integrity/Certificate.aspx?cid=57&amp;nopid=3252018029</v>
      </c>
    </row>
    <row r="2461">
      <c r="A2461" t="s">
        <v>3</v>
      </c>
      <c r="B2461" s="6" t="s">
        <v>8</v>
      </c>
      <c r="C2461" s="6" t="s">
        <v>55</v>
      </c>
      <c r="D2461" s="6" t="s">
        <v>101</v>
      </c>
      <c r="E2461" s="10" t="s">
        <v>2602</v>
      </c>
      <c r="F2461" s="6" t="s">
        <v>5307</v>
      </c>
      <c r="G2461" s="6" t="s">
        <v>81</v>
      </c>
      <c r="H2461" s="6" t="s">
        <v>8131</v>
      </c>
      <c r="I2461" s="6" t="s">
        <v>8407</v>
      </c>
      <c r="J2461" s="6" t="s">
        <v>10758</v>
      </c>
      <c r="K2461" s="6" t="s">
        <v>10886</v>
      </c>
      <c r="L2461" s="16" t="n">
        <v>39071</v>
      </c>
      <c r="M2461" s="16" t="n">
        <v>45689</v>
      </c>
      <c r="N2461" s="6" t="s">
        <v>10886</v>
      </c>
      <c r="O2461" s="16" t="n">
        <v>39071</v>
      </c>
      <c r="P2461" s="6" t="s">
        <v>12272</v>
      </c>
      <c r="Q2461" s="6" t="s">
        <v>81</v>
      </c>
      <c r="R2461" s="6" t="s">
        <v>8131</v>
      </c>
      <c r="S2461" s="6" t="s">
        <v>10886</v>
      </c>
      <c r="T2461" s="16" t="n">
        <v>39071</v>
      </c>
      <c r="U2461" s="6" t="s">
        <v>13179</v>
      </c>
      <c r="V2461" s="6" t="s">
        <v>81</v>
      </c>
      <c r="W2461" s="6" t="s">
        <v>8131</v>
      </c>
      <c r="X2461" s="6" t="s">
        <v>81</v>
      </c>
      <c r="Y2461" s="21" t="s">
        <v>81</v>
      </c>
      <c r="Z2461" s="6" t="s">
        <v>81</v>
      </c>
      <c r="AA2461" s="6" t="s">
        <v>81</v>
      </c>
      <c r="AB2461" s="6" t="s">
        <v>81</v>
      </c>
      <c r="AC2461" s="6" t="s">
        <v>81</v>
      </c>
      <c r="AD2461" s="21" t="s">
        <v>81</v>
      </c>
      <c r="AE2461" s="6" t="s">
        <v>81</v>
      </c>
      <c r="AF2461" s="6" t="s">
        <v>81</v>
      </c>
      <c r="AG2461" s="6" t="s">
        <v>81</v>
      </c>
      <c r="AH2461" s="6" t="s">
        <v>17001</v>
      </c>
      <c r="AI2461" s="6" t="s">
        <v>81</v>
      </c>
      <c r="AJ2461" s="6" t="s">
        <v>17965</v>
      </c>
      <c r="AK2461" s="6" t="s">
        <v>18391</v>
      </c>
      <c r="AL2461" s="6" t="s">
        <v>18444</v>
      </c>
      <c r="AM2461" s="6" t="s">
        <v>19152</v>
      </c>
      <c r="AN2461" s="6" t="s">
        <v>19707</v>
      </c>
      <c r="AO2461" s="6" t="s">
        <v>20061</v>
      </c>
      <c r="AP2461" s="6" t="s">
        <v>81</v>
      </c>
      <c r="AQ2461" s="6" t="s">
        <v>81</v>
      </c>
      <c r="AR2461" s="6" t="s">
        <v>81</v>
      </c>
      <c r="AS2461" s="6" t="s">
        <v>81</v>
      </c>
      <c r="AT2461" s="6" t="s">
        <v>81</v>
      </c>
      <c r="AU2461" s="6" t="s">
        <v>81</v>
      </c>
      <c r="AV2461" s="6" t="s">
        <v>81</v>
      </c>
      <c r="AW2461" s="6" t="s">
        <v>81</v>
      </c>
      <c r="AX2461" s="6" t="s">
        <v>81</v>
      </c>
      <c r="AY2461" s="6" t="s">
        <v>81</v>
      </c>
      <c r="AZ2461" s="6" t="s">
        <v>81</v>
      </c>
      <c r="BA2461" s="6" t="s">
        <v>23819</v>
      </c>
      <c r="BB2461" s="24" t="n">
        <v>208</v>
      </c>
      <c r="BC2461" s="26"/>
      <c r="BD2461" s="26"/>
      <c r="BE2461" s="26"/>
      <c r="BF2461" s="26" t="s">
        <v>23900</v>
      </c>
      <c r="BG2461" s="26"/>
      <c r="BH2461" s="26"/>
      <c r="BI2461" s="26"/>
      <c r="BJ2461" s="26"/>
      <c r="BK2461" s="26"/>
      <c r="BL2461" s="26"/>
      <c r="BM2461" s="26"/>
      <c r="BN2461" s="26"/>
      <c r="BO2461" s="26"/>
      <c r="BP2461" s="16" t="n">
        <v>45736</v>
      </c>
      <c r="BQ2461" s="28" t="str">
        <f>HYPERLINK("https://organic.ams.usda.gov/Integrity/Certificate.aspx?cid=45&amp;nopid=9950002333")</f>
        <v>https://organic.ams.usda.gov/Integrity/Certificate.aspx?cid=45&amp;nopid=9950002333</v>
      </c>
    </row>
    <row r="2462">
      <c r="A2462" t="s">
        <v>3</v>
      </c>
      <c r="B2462" s="6" t="s">
        <v>11</v>
      </c>
      <c r="C2462" s="6" t="s">
        <v>58</v>
      </c>
      <c r="D2462" s="6" t="s">
        <v>104</v>
      </c>
      <c r="E2462" s="10" t="s">
        <v>2603</v>
      </c>
      <c r="F2462" s="6" t="s">
        <v>5308</v>
      </c>
      <c r="G2462" s="6" t="s">
        <v>81</v>
      </c>
      <c r="H2462" s="6" t="s">
        <v>81</v>
      </c>
      <c r="I2462" s="6" t="s">
        <v>9244</v>
      </c>
      <c r="J2462" s="6" t="s">
        <v>10759</v>
      </c>
      <c r="K2462" s="6" t="s">
        <v>10886</v>
      </c>
      <c r="L2462" s="16" t="n">
        <v>45014</v>
      </c>
      <c r="M2462" s="16" t="n">
        <v>45383</v>
      </c>
      <c r="N2462" s="6" t="s">
        <v>10886</v>
      </c>
      <c r="O2462" s="16" t="n">
        <v>45014</v>
      </c>
      <c r="P2462" s="6" t="s">
        <v>12273</v>
      </c>
      <c r="Q2462" s="6" t="s">
        <v>81</v>
      </c>
      <c r="R2462" s="6" t="s">
        <v>81</v>
      </c>
      <c r="S2462" s="6" t="s">
        <v>10886</v>
      </c>
      <c r="T2462" s="16" t="n">
        <v>45014</v>
      </c>
      <c r="U2462" s="6" t="s">
        <v>13888</v>
      </c>
      <c r="V2462" s="6" t="s">
        <v>81</v>
      </c>
      <c r="W2462" s="6" t="s">
        <v>81</v>
      </c>
      <c r="X2462" s="6" t="s">
        <v>81</v>
      </c>
      <c r="Y2462" s="21" t="s">
        <v>81</v>
      </c>
      <c r="Z2462" s="6" t="s">
        <v>81</v>
      </c>
      <c r="AA2462" s="6" t="s">
        <v>81</v>
      </c>
      <c r="AB2462" s="6" t="s">
        <v>81</v>
      </c>
      <c r="AC2462" s="6" t="s">
        <v>81</v>
      </c>
      <c r="AD2462" s="21" t="s">
        <v>81</v>
      </c>
      <c r="AE2462" s="6" t="s">
        <v>81</v>
      </c>
      <c r="AF2462" s="6" t="s">
        <v>81</v>
      </c>
      <c r="AG2462" s="6" t="s">
        <v>81</v>
      </c>
      <c r="AH2462" s="6" t="s">
        <v>17002</v>
      </c>
      <c r="AI2462" s="6" t="s">
        <v>81</v>
      </c>
      <c r="AJ2462" s="6" t="s">
        <v>17860</v>
      </c>
      <c r="AK2462" s="6" t="s">
        <v>18377</v>
      </c>
      <c r="AL2462" s="6" t="s">
        <v>18444</v>
      </c>
      <c r="AM2462" s="6" t="s">
        <v>19042</v>
      </c>
      <c r="AN2462" s="6" t="s">
        <v>6139</v>
      </c>
      <c r="AO2462" s="6" t="s">
        <v>19814</v>
      </c>
      <c r="AP2462" s="6" t="s">
        <v>81</v>
      </c>
      <c r="AQ2462" s="6" t="s">
        <v>81</v>
      </c>
      <c r="AR2462" s="6" t="s">
        <v>81</v>
      </c>
      <c r="AS2462" s="6" t="s">
        <v>81</v>
      </c>
      <c r="AT2462" s="6" t="s">
        <v>81</v>
      </c>
      <c r="AU2462" s="6" t="s">
        <v>81</v>
      </c>
      <c r="AV2462" s="6" t="s">
        <v>81</v>
      </c>
      <c r="AW2462" s="6" t="s">
        <v>81</v>
      </c>
      <c r="AX2462" s="6" t="s">
        <v>81</v>
      </c>
      <c r="AY2462" s="6" t="s">
        <v>81</v>
      </c>
      <c r="AZ2462" s="6" t="s">
        <v>81</v>
      </c>
      <c r="BA2462" s="6" t="s">
        <v>23820</v>
      </c>
      <c r="BB2462" s="24" t="n">
        <v>767</v>
      </c>
      <c r="BC2462" s="26"/>
      <c r="BD2462" s="26"/>
      <c r="BE2462" s="26"/>
      <c r="BF2462" s="26"/>
      <c r="BG2462" s="26"/>
      <c r="BH2462" s="26"/>
      <c r="BI2462" s="26"/>
      <c r="BJ2462" s="26"/>
      <c r="BK2462" s="26"/>
      <c r="BL2462" s="26"/>
      <c r="BM2462" s="26"/>
      <c r="BN2462" s="26"/>
      <c r="BO2462" s="26"/>
      <c r="BP2462" s="16" t="n">
        <v>45443</v>
      </c>
      <c r="BQ2462" s="28" t="str">
        <f>HYPERLINK("https://organic.ams.usda.gov/Integrity/Certificate.aspx?cid=46&amp;nopid=3672300011")</f>
        <v>https://organic.ams.usda.gov/Integrity/Certificate.aspx?cid=46&amp;nopid=3672300011</v>
      </c>
    </row>
    <row r="2463">
      <c r="A2463" t="s">
        <v>3</v>
      </c>
      <c r="B2463" s="6" t="s">
        <v>7</v>
      </c>
      <c r="C2463" s="6" t="s">
        <v>54</v>
      </c>
      <c r="D2463" s="6" t="s">
        <v>100</v>
      </c>
      <c r="E2463" s="10" t="s">
        <v>2604</v>
      </c>
      <c r="F2463" s="6" t="s">
        <v>5309</v>
      </c>
      <c r="G2463" s="6" t="s">
        <v>81</v>
      </c>
      <c r="H2463" s="6" t="s">
        <v>8132</v>
      </c>
      <c r="I2463" s="6" t="s">
        <v>8660</v>
      </c>
      <c r="J2463" s="6" t="s">
        <v>10760</v>
      </c>
      <c r="K2463" s="6" t="s">
        <v>10886</v>
      </c>
      <c r="L2463" s="16" t="n">
        <v>39212</v>
      </c>
      <c r="M2463" s="16" t="n">
        <v>45716</v>
      </c>
      <c r="N2463" s="6" t="s">
        <v>10886</v>
      </c>
      <c r="O2463" s="16" t="n">
        <v>39212</v>
      </c>
      <c r="P2463" s="6" t="s">
        <v>11380</v>
      </c>
      <c r="Q2463" s="6" t="s">
        <v>81</v>
      </c>
      <c r="R2463" s="6" t="s">
        <v>81</v>
      </c>
      <c r="S2463" s="6" t="s">
        <v>10886</v>
      </c>
      <c r="T2463" s="16" t="n">
        <v>43754</v>
      </c>
      <c r="U2463" s="6" t="s">
        <v>13277</v>
      </c>
      <c r="V2463" s="6" t="s">
        <v>81</v>
      </c>
      <c r="W2463" s="6" t="s">
        <v>81</v>
      </c>
      <c r="X2463" s="6" t="s">
        <v>81</v>
      </c>
      <c r="Y2463" s="21" t="s">
        <v>81</v>
      </c>
      <c r="Z2463" s="6" t="s">
        <v>81</v>
      </c>
      <c r="AA2463" s="6" t="s">
        <v>81</v>
      </c>
      <c r="AB2463" s="6" t="s">
        <v>81</v>
      </c>
      <c r="AC2463" s="6" t="s">
        <v>81</v>
      </c>
      <c r="AD2463" s="21" t="s">
        <v>81</v>
      </c>
      <c r="AE2463" s="6" t="s">
        <v>81</v>
      </c>
      <c r="AF2463" s="6" t="s">
        <v>81</v>
      </c>
      <c r="AG2463" s="6" t="s">
        <v>81</v>
      </c>
      <c r="AH2463" s="6" t="s">
        <v>17003</v>
      </c>
      <c r="AI2463" s="6" t="s">
        <v>81</v>
      </c>
      <c r="AJ2463" s="6" t="s">
        <v>18304</v>
      </c>
      <c r="AK2463" s="6" t="s">
        <v>17712</v>
      </c>
      <c r="AL2463" s="6" t="s">
        <v>18444</v>
      </c>
      <c r="AM2463" s="6" t="s">
        <v>19535</v>
      </c>
      <c r="AN2463" s="6" t="s">
        <v>19645</v>
      </c>
      <c r="AO2463" s="6" t="s">
        <v>19770</v>
      </c>
      <c r="AP2463" s="6" t="s">
        <v>17003</v>
      </c>
      <c r="AQ2463" s="6" t="s">
        <v>81</v>
      </c>
      <c r="AR2463" s="6" t="s">
        <v>18304</v>
      </c>
      <c r="AS2463" s="6" t="s">
        <v>17712</v>
      </c>
      <c r="AT2463" s="6" t="s">
        <v>18444</v>
      </c>
      <c r="AU2463" s="6" t="s">
        <v>19535</v>
      </c>
      <c r="AV2463" s="6" t="s">
        <v>81</v>
      </c>
      <c r="AW2463" s="6" t="s">
        <v>81</v>
      </c>
      <c r="AX2463" s="6" t="s">
        <v>22356</v>
      </c>
      <c r="AY2463" s="6" t="s">
        <v>23432</v>
      </c>
      <c r="AZ2463" s="6" t="s">
        <v>81</v>
      </c>
      <c r="BA2463" s="6" t="s">
        <v>81</v>
      </c>
      <c r="BB2463" s="24" t="n">
        <v>209</v>
      </c>
      <c r="BC2463" s="26"/>
      <c r="BD2463" s="26"/>
      <c r="BE2463" s="26"/>
      <c r="BF2463" s="26"/>
      <c r="BG2463" s="26"/>
      <c r="BH2463" s="26"/>
      <c r="BI2463" s="26"/>
      <c r="BJ2463" s="26"/>
      <c r="BK2463" s="26"/>
      <c r="BL2463" s="26"/>
      <c r="BM2463" s="26"/>
      <c r="BN2463" s="26"/>
      <c r="BO2463" s="26"/>
      <c r="BP2463" s="16" t="n">
        <v>45595</v>
      </c>
      <c r="BQ2463" s="28" t="str">
        <f>HYPERLINK("https://organic.ams.usda.gov/Integrity/Certificate.aspx?cid=57&amp;nopid=3252006158")</f>
        <v>https://organic.ams.usda.gov/Integrity/Certificate.aspx?cid=57&amp;nopid=3252006158</v>
      </c>
    </row>
    <row r="2464">
      <c r="A2464" t="s">
        <v>3</v>
      </c>
      <c r="B2464" s="6" t="s">
        <v>7</v>
      </c>
      <c r="C2464" s="6" t="s">
        <v>54</v>
      </c>
      <c r="D2464" s="6" t="s">
        <v>100</v>
      </c>
      <c r="E2464" s="10" t="s">
        <v>2605</v>
      </c>
      <c r="F2464" s="6" t="s">
        <v>5310</v>
      </c>
      <c r="G2464" s="6" t="s">
        <v>81</v>
      </c>
      <c r="H2464" s="6" t="s">
        <v>8133</v>
      </c>
      <c r="I2464" s="6" t="s">
        <v>8685</v>
      </c>
      <c r="J2464" s="6" t="s">
        <v>9665</v>
      </c>
      <c r="K2464" s="6" t="s">
        <v>10886</v>
      </c>
      <c r="L2464" s="16" t="n">
        <v>42261</v>
      </c>
      <c r="M2464" s="16" t="n">
        <v>45716</v>
      </c>
      <c r="N2464" s="6" t="s">
        <v>10886</v>
      </c>
      <c r="O2464" s="16" t="n">
        <v>42261</v>
      </c>
      <c r="P2464" s="6" t="s">
        <v>10934</v>
      </c>
      <c r="Q2464" s="6" t="s">
        <v>81</v>
      </c>
      <c r="R2464" s="6" t="s">
        <v>81</v>
      </c>
      <c r="S2464" s="6" t="s">
        <v>10886</v>
      </c>
      <c r="T2464" s="16" t="n">
        <v>42473</v>
      </c>
      <c r="U2464" s="6" t="s">
        <v>13169</v>
      </c>
      <c r="V2464" s="6" t="s">
        <v>81</v>
      </c>
      <c r="W2464" s="6" t="s">
        <v>81</v>
      </c>
      <c r="X2464" s="6" t="s">
        <v>81</v>
      </c>
      <c r="Y2464" s="21" t="s">
        <v>81</v>
      </c>
      <c r="Z2464" s="6" t="s">
        <v>81</v>
      </c>
      <c r="AA2464" s="6" t="s">
        <v>81</v>
      </c>
      <c r="AB2464" s="6" t="s">
        <v>81</v>
      </c>
      <c r="AC2464" s="6" t="s">
        <v>81</v>
      </c>
      <c r="AD2464" s="21" t="s">
        <v>81</v>
      </c>
      <c r="AE2464" s="6" t="s">
        <v>81</v>
      </c>
      <c r="AF2464" s="6" t="s">
        <v>81</v>
      </c>
      <c r="AG2464" s="6" t="s">
        <v>81</v>
      </c>
      <c r="AH2464" s="6" t="s">
        <v>17004</v>
      </c>
      <c r="AI2464" s="6" t="s">
        <v>81</v>
      </c>
      <c r="AJ2464" s="6" t="s">
        <v>18102</v>
      </c>
      <c r="AK2464" s="6" t="s">
        <v>17712</v>
      </c>
      <c r="AL2464" s="6" t="s">
        <v>18444</v>
      </c>
      <c r="AM2464" s="6" t="s">
        <v>19301</v>
      </c>
      <c r="AN2464" s="6" t="s">
        <v>19662</v>
      </c>
      <c r="AO2464" s="6" t="s">
        <v>19762</v>
      </c>
      <c r="AP2464" s="6" t="s">
        <v>17004</v>
      </c>
      <c r="AQ2464" s="6" t="s">
        <v>81</v>
      </c>
      <c r="AR2464" s="6" t="s">
        <v>18102</v>
      </c>
      <c r="AS2464" s="6" t="s">
        <v>17712</v>
      </c>
      <c r="AT2464" s="6" t="s">
        <v>18444</v>
      </c>
      <c r="AU2464" s="6" t="s">
        <v>19301</v>
      </c>
      <c r="AV2464" s="6" t="s">
        <v>81</v>
      </c>
      <c r="AW2464" s="6" t="s">
        <v>81</v>
      </c>
      <c r="AX2464" s="6" t="s">
        <v>22357</v>
      </c>
      <c r="AY2464" s="6" t="s">
        <v>81</v>
      </c>
      <c r="AZ2464" s="6" t="s">
        <v>81</v>
      </c>
      <c r="BA2464" s="6" t="s">
        <v>81</v>
      </c>
      <c r="BB2464" s="24" t="n">
        <v>147</v>
      </c>
      <c r="BC2464" s="26"/>
      <c r="BD2464" s="26"/>
      <c r="BE2464" s="26"/>
      <c r="BF2464" s="26" t="s">
        <v>23900</v>
      </c>
      <c r="BG2464" s="26"/>
      <c r="BH2464" s="26"/>
      <c r="BI2464" s="26"/>
      <c r="BJ2464" s="26"/>
      <c r="BK2464" s="26"/>
      <c r="BL2464" s="26"/>
      <c r="BM2464" s="26"/>
      <c r="BN2464" s="26"/>
      <c r="BO2464" s="26"/>
      <c r="BP2464" s="16" t="n">
        <v>45695</v>
      </c>
      <c r="BQ2464" s="28" t="str">
        <f>HYPERLINK("https://organic.ams.usda.gov/Integrity/Certificate.aspx?cid=57&amp;nopid=3252015036")</f>
        <v>https://organic.ams.usda.gov/Integrity/Certificate.aspx?cid=57&amp;nopid=3252015036</v>
      </c>
    </row>
    <row r="2465">
      <c r="A2465" t="s">
        <v>3</v>
      </c>
      <c r="B2465" s="6" t="s">
        <v>20</v>
      </c>
      <c r="C2465" s="6" t="s">
        <v>67</v>
      </c>
      <c r="D2465" s="6" t="s">
        <v>113</v>
      </c>
      <c r="E2465" s="10" t="s">
        <v>2606</v>
      </c>
      <c r="F2465" s="6" t="s">
        <v>5311</v>
      </c>
      <c r="G2465" s="6" t="s">
        <v>81</v>
      </c>
      <c r="H2465" s="6" t="s">
        <v>8134</v>
      </c>
      <c r="I2465" s="6" t="s">
        <v>9555</v>
      </c>
      <c r="J2465" s="6" t="s">
        <v>10761</v>
      </c>
      <c r="K2465" s="6" t="s">
        <v>10886</v>
      </c>
      <c r="L2465" s="16" t="n">
        <v>39979</v>
      </c>
      <c r="M2465" s="16" t="n">
        <v>45771</v>
      </c>
      <c r="N2465" s="6" t="s">
        <v>81</v>
      </c>
      <c r="O2465" s="21" t="s">
        <v>81</v>
      </c>
      <c r="P2465" s="6" t="s">
        <v>81</v>
      </c>
      <c r="Q2465" s="6" t="s">
        <v>81</v>
      </c>
      <c r="R2465" s="6" t="s">
        <v>81</v>
      </c>
      <c r="S2465" s="6" t="s">
        <v>81</v>
      </c>
      <c r="T2465" s="21" t="s">
        <v>81</v>
      </c>
      <c r="U2465" s="6" t="s">
        <v>81</v>
      </c>
      <c r="V2465" s="6" t="s">
        <v>81</v>
      </c>
      <c r="W2465" s="6" t="s">
        <v>81</v>
      </c>
      <c r="X2465" s="6" t="s">
        <v>81</v>
      </c>
      <c r="Y2465" s="21" t="s">
        <v>81</v>
      </c>
      <c r="Z2465" s="6" t="s">
        <v>81</v>
      </c>
      <c r="AA2465" s="6" t="s">
        <v>81</v>
      </c>
      <c r="AB2465" s="6" t="s">
        <v>81</v>
      </c>
      <c r="AC2465" s="6" t="s">
        <v>10886</v>
      </c>
      <c r="AD2465" s="16" t="n">
        <v>39979</v>
      </c>
      <c r="AE2465" s="6" t="s">
        <v>14439</v>
      </c>
      <c r="AF2465" s="6" t="s">
        <v>81</v>
      </c>
      <c r="AG2465" s="6" t="s">
        <v>14598</v>
      </c>
      <c r="AH2465" s="6" t="s">
        <v>17005</v>
      </c>
      <c r="AI2465" s="6" t="s">
        <v>81</v>
      </c>
      <c r="AJ2465" s="6" t="s">
        <v>17622</v>
      </c>
      <c r="AK2465" s="6" t="s">
        <v>18386</v>
      </c>
      <c r="AL2465" s="6" t="s">
        <v>18444</v>
      </c>
      <c r="AM2465" s="6" t="s">
        <v>19536</v>
      </c>
      <c r="AN2465" s="6" t="s">
        <v>19642</v>
      </c>
      <c r="AO2465" s="6" t="s">
        <v>19798</v>
      </c>
      <c r="AP2465" s="6" t="s">
        <v>20434</v>
      </c>
      <c r="AQ2465" s="6" t="s">
        <v>81</v>
      </c>
      <c r="AR2465" s="6" t="s">
        <v>20581</v>
      </c>
      <c r="AS2465" s="6" t="s">
        <v>18381</v>
      </c>
      <c r="AT2465" s="6" t="s">
        <v>18444</v>
      </c>
      <c r="AU2465" s="6" t="s">
        <v>20706</v>
      </c>
      <c r="AV2465" s="6" t="s">
        <v>81</v>
      </c>
      <c r="AW2465" s="6" t="s">
        <v>81</v>
      </c>
      <c r="AX2465" s="6" t="s">
        <v>22358</v>
      </c>
      <c r="AY2465" s="6" t="s">
        <v>23433</v>
      </c>
      <c r="AZ2465" s="6" t="s">
        <v>23782</v>
      </c>
      <c r="BA2465" s="6" t="s">
        <v>81</v>
      </c>
      <c r="BB2465" s="6" t="s">
        <v>81</v>
      </c>
      <c r="BC2465" s="26"/>
      <c r="BD2465" s="26"/>
      <c r="BE2465" s="26" t="s">
        <v>23900</v>
      </c>
      <c r="BF2465" s="26"/>
      <c r="BG2465" s="26"/>
      <c r="BH2465" s="26"/>
      <c r="BI2465" s="26"/>
      <c r="BJ2465" s="26"/>
      <c r="BK2465" s="26"/>
      <c r="BL2465" s="26"/>
      <c r="BM2465" s="26"/>
      <c r="BN2465" s="26"/>
      <c r="BO2465" s="26"/>
      <c r="BP2465" s="16" t="n">
        <v>45737</v>
      </c>
      <c r="BQ2465" s="28" t="str">
        <f>HYPERLINK("https://organic.ams.usda.gov/Integrity/Certificate.aspx?cid=71&amp;nopid=5520238593")</f>
        <v>https://organic.ams.usda.gov/Integrity/Certificate.aspx?cid=71&amp;nopid=5520238593</v>
      </c>
    </row>
    <row r="2466">
      <c r="A2466" t="s">
        <v>3</v>
      </c>
      <c r="B2466" s="6" t="s">
        <v>20</v>
      </c>
      <c r="C2466" s="6" t="s">
        <v>67</v>
      </c>
      <c r="D2466" s="6" t="s">
        <v>113</v>
      </c>
      <c r="E2466" s="10" t="s">
        <v>2607</v>
      </c>
      <c r="F2466" s="6" t="s">
        <v>5312</v>
      </c>
      <c r="G2466" s="6" t="s">
        <v>81</v>
      </c>
      <c r="H2466" s="6" t="s">
        <v>8135</v>
      </c>
      <c r="I2466" s="6" t="s">
        <v>9555</v>
      </c>
      <c r="J2466" s="6" t="s">
        <v>10761</v>
      </c>
      <c r="K2466" s="6" t="s">
        <v>10886</v>
      </c>
      <c r="L2466" s="16" t="n">
        <v>41731</v>
      </c>
      <c r="M2466" s="16" t="n">
        <v>45867</v>
      </c>
      <c r="N2466" s="6" t="s">
        <v>81</v>
      </c>
      <c r="O2466" s="21" t="s">
        <v>81</v>
      </c>
      <c r="P2466" s="6" t="s">
        <v>81</v>
      </c>
      <c r="Q2466" s="6" t="s">
        <v>81</v>
      </c>
      <c r="R2466" s="6" t="s">
        <v>81</v>
      </c>
      <c r="S2466" s="6" t="s">
        <v>81</v>
      </c>
      <c r="T2466" s="21" t="s">
        <v>81</v>
      </c>
      <c r="U2466" s="6" t="s">
        <v>81</v>
      </c>
      <c r="V2466" s="6" t="s">
        <v>81</v>
      </c>
      <c r="W2466" s="6" t="s">
        <v>81</v>
      </c>
      <c r="X2466" s="6" t="s">
        <v>81</v>
      </c>
      <c r="Y2466" s="21" t="s">
        <v>81</v>
      </c>
      <c r="Z2466" s="6" t="s">
        <v>81</v>
      </c>
      <c r="AA2466" s="6" t="s">
        <v>81</v>
      </c>
      <c r="AB2466" s="6" t="s">
        <v>81</v>
      </c>
      <c r="AC2466" s="6" t="s">
        <v>10886</v>
      </c>
      <c r="AD2466" s="16" t="n">
        <v>41731</v>
      </c>
      <c r="AE2466" s="6" t="s">
        <v>14440</v>
      </c>
      <c r="AF2466" s="6" t="s">
        <v>81</v>
      </c>
      <c r="AG2466" s="6" t="s">
        <v>14599</v>
      </c>
      <c r="AH2466" s="6" t="s">
        <v>17006</v>
      </c>
      <c r="AI2466" s="6" t="s">
        <v>81</v>
      </c>
      <c r="AJ2466" s="6" t="s">
        <v>8558</v>
      </c>
      <c r="AK2466" s="6" t="s">
        <v>18381</v>
      </c>
      <c r="AL2466" s="6" t="s">
        <v>18444</v>
      </c>
      <c r="AM2466" s="6" t="s">
        <v>19537</v>
      </c>
      <c r="AN2466" s="6" t="s">
        <v>19674</v>
      </c>
      <c r="AO2466" s="6" t="s">
        <v>19789</v>
      </c>
      <c r="AP2466" s="6" t="s">
        <v>20434</v>
      </c>
      <c r="AQ2466" s="6" t="s">
        <v>81</v>
      </c>
      <c r="AR2466" s="6" t="s">
        <v>20581</v>
      </c>
      <c r="AS2466" s="6" t="s">
        <v>18381</v>
      </c>
      <c r="AT2466" s="6" t="s">
        <v>18444</v>
      </c>
      <c r="AU2466" s="6" t="s">
        <v>20706</v>
      </c>
      <c r="AV2466" s="6" t="s">
        <v>81</v>
      </c>
      <c r="AW2466" s="6" t="s">
        <v>81</v>
      </c>
      <c r="AX2466" s="6" t="s">
        <v>22359</v>
      </c>
      <c r="AY2466" s="6" t="s">
        <v>23433</v>
      </c>
      <c r="AZ2466" s="6" t="s">
        <v>23782</v>
      </c>
      <c r="BA2466" s="6" t="s">
        <v>81</v>
      </c>
      <c r="BB2466" s="6" t="s">
        <v>81</v>
      </c>
      <c r="BC2466" s="26"/>
      <c r="BD2466" s="26"/>
      <c r="BE2466" s="26" t="s">
        <v>23900</v>
      </c>
      <c r="BF2466" s="26"/>
      <c r="BG2466" s="26"/>
      <c r="BH2466" s="26"/>
      <c r="BI2466" s="26"/>
      <c r="BJ2466" s="26"/>
      <c r="BK2466" s="26"/>
      <c r="BL2466" s="26"/>
      <c r="BM2466" s="26"/>
      <c r="BN2466" s="26"/>
      <c r="BO2466" s="26"/>
      <c r="BP2466" s="16" t="n">
        <v>45737</v>
      </c>
      <c r="BQ2466" s="28" t="str">
        <f>HYPERLINK("https://organic.ams.usda.gov/Integrity/Certificate.aspx?cid=71&amp;nopid=5520196779")</f>
        <v>https://organic.ams.usda.gov/Integrity/Certificate.aspx?cid=71&amp;nopid=5520196779</v>
      </c>
    </row>
    <row r="2467">
      <c r="A2467" t="s">
        <v>3</v>
      </c>
      <c r="B2467" s="6" t="s">
        <v>7</v>
      </c>
      <c r="C2467" s="6" t="s">
        <v>54</v>
      </c>
      <c r="D2467" s="6" t="s">
        <v>100</v>
      </c>
      <c r="E2467" s="10" t="s">
        <v>2608</v>
      </c>
      <c r="F2467" s="6" t="s">
        <v>5313</v>
      </c>
      <c r="G2467" s="6" t="s">
        <v>81</v>
      </c>
      <c r="H2467" s="6" t="s">
        <v>8136</v>
      </c>
      <c r="I2467" s="6" t="s">
        <v>8937</v>
      </c>
      <c r="J2467" s="6" t="s">
        <v>9666</v>
      </c>
      <c r="K2467" s="6" t="s">
        <v>10886</v>
      </c>
      <c r="L2467" s="16" t="n">
        <v>44412</v>
      </c>
      <c r="M2467" s="16" t="n">
        <v>45716</v>
      </c>
      <c r="N2467" s="6" t="s">
        <v>10886</v>
      </c>
      <c r="O2467" s="16" t="n">
        <v>44412</v>
      </c>
      <c r="P2467" s="6" t="s">
        <v>10925</v>
      </c>
      <c r="Q2467" s="6" t="s">
        <v>81</v>
      </c>
      <c r="R2467" s="6" t="s">
        <v>81</v>
      </c>
      <c r="S2467" s="6" t="s">
        <v>10886</v>
      </c>
      <c r="T2467" s="16" t="n">
        <v>44412</v>
      </c>
      <c r="U2467" s="6" t="s">
        <v>13169</v>
      </c>
      <c r="V2467" s="6" t="s">
        <v>81</v>
      </c>
      <c r="W2467" s="6" t="s">
        <v>81</v>
      </c>
      <c r="X2467" s="6" t="s">
        <v>81</v>
      </c>
      <c r="Y2467" s="21" t="s">
        <v>81</v>
      </c>
      <c r="Z2467" s="6" t="s">
        <v>81</v>
      </c>
      <c r="AA2467" s="6" t="s">
        <v>81</v>
      </c>
      <c r="AB2467" s="6" t="s">
        <v>81</v>
      </c>
      <c r="AC2467" s="6" t="s">
        <v>81</v>
      </c>
      <c r="AD2467" s="21" t="s">
        <v>81</v>
      </c>
      <c r="AE2467" s="6" t="s">
        <v>81</v>
      </c>
      <c r="AF2467" s="6" t="s">
        <v>81</v>
      </c>
      <c r="AG2467" s="6" t="s">
        <v>81</v>
      </c>
      <c r="AH2467" s="6" t="s">
        <v>17007</v>
      </c>
      <c r="AI2467" s="6" t="s">
        <v>81</v>
      </c>
      <c r="AJ2467" s="6" t="s">
        <v>17717</v>
      </c>
      <c r="AK2467" s="6" t="s">
        <v>17712</v>
      </c>
      <c r="AL2467" s="6" t="s">
        <v>18444</v>
      </c>
      <c r="AM2467" s="6" t="s">
        <v>18884</v>
      </c>
      <c r="AN2467" s="6" t="s">
        <v>7195</v>
      </c>
      <c r="AO2467" s="6" t="s">
        <v>19735</v>
      </c>
      <c r="AP2467" s="6" t="s">
        <v>20435</v>
      </c>
      <c r="AQ2467" s="6" t="s">
        <v>81</v>
      </c>
      <c r="AR2467" s="6" t="s">
        <v>17717</v>
      </c>
      <c r="AS2467" s="6" t="s">
        <v>17712</v>
      </c>
      <c r="AT2467" s="6" t="s">
        <v>18444</v>
      </c>
      <c r="AU2467" s="6" t="s">
        <v>18884</v>
      </c>
      <c r="AV2467" s="6" t="s">
        <v>81</v>
      </c>
      <c r="AW2467" s="6" t="s">
        <v>81</v>
      </c>
      <c r="AX2467" s="6" t="s">
        <v>22360</v>
      </c>
      <c r="AY2467" s="6" t="s">
        <v>81</v>
      </c>
      <c r="AZ2467" s="6" t="s">
        <v>81</v>
      </c>
      <c r="BA2467" s="6" t="s">
        <v>81</v>
      </c>
      <c r="BB2467" s="24" t="n">
        <v>300</v>
      </c>
      <c r="BC2467" s="26"/>
      <c r="BD2467" s="26"/>
      <c r="BE2467" s="26"/>
      <c r="BF2467" s="26" t="s">
        <v>23900</v>
      </c>
      <c r="BG2467" s="26"/>
      <c r="BH2467" s="26"/>
      <c r="BI2467" s="26"/>
      <c r="BJ2467" s="26"/>
      <c r="BK2467" s="26"/>
      <c r="BL2467" s="26"/>
      <c r="BM2467" s="26"/>
      <c r="BN2467" s="26"/>
      <c r="BO2467" s="26"/>
      <c r="BP2467" s="16" t="n">
        <v>45695</v>
      </c>
      <c r="BQ2467" s="28" t="str">
        <f>HYPERLINK("https://organic.ams.usda.gov/Integrity/Certificate.aspx?cid=57&amp;nopid=3252021024")</f>
        <v>https://organic.ams.usda.gov/Integrity/Certificate.aspx?cid=57&amp;nopid=3252021024</v>
      </c>
    </row>
    <row r="2468">
      <c r="A2468" t="s">
        <v>3</v>
      </c>
      <c r="B2468" s="6" t="s">
        <v>10</v>
      </c>
      <c r="C2468" s="6" t="s">
        <v>57</v>
      </c>
      <c r="D2468" s="6" t="s">
        <v>103</v>
      </c>
      <c r="E2468" s="10" t="s">
        <v>2609</v>
      </c>
      <c r="F2468" s="6" t="s">
        <v>5314</v>
      </c>
      <c r="G2468" s="6" t="s">
        <v>81</v>
      </c>
      <c r="H2468" s="6" t="s">
        <v>8137</v>
      </c>
      <c r="I2468" s="6" t="s">
        <v>9556</v>
      </c>
      <c r="J2468" s="6" t="s">
        <v>10092</v>
      </c>
      <c r="K2468" s="6" t="s">
        <v>10886</v>
      </c>
      <c r="L2468" s="16" t="n">
        <v>37567</v>
      </c>
      <c r="M2468" s="16" t="n">
        <v>45748</v>
      </c>
      <c r="N2468" s="6" t="s">
        <v>10886</v>
      </c>
      <c r="O2468" s="16" t="n">
        <v>37567</v>
      </c>
      <c r="P2468" s="6" t="s">
        <v>12274</v>
      </c>
      <c r="Q2468" s="6" t="s">
        <v>81</v>
      </c>
      <c r="R2468" s="6" t="s">
        <v>13095</v>
      </c>
      <c r="S2468" s="6" t="s">
        <v>10886</v>
      </c>
      <c r="T2468" s="16" t="n">
        <v>37567</v>
      </c>
      <c r="U2468" s="6" t="s">
        <v>13163</v>
      </c>
      <c r="V2468" s="6" t="s">
        <v>81</v>
      </c>
      <c r="W2468" s="6" t="s">
        <v>81</v>
      </c>
      <c r="X2468" s="6" t="s">
        <v>81</v>
      </c>
      <c r="Y2468" s="21" t="s">
        <v>81</v>
      </c>
      <c r="Z2468" s="6" t="s">
        <v>81</v>
      </c>
      <c r="AA2468" s="6" t="s">
        <v>81</v>
      </c>
      <c r="AB2468" s="6" t="s">
        <v>81</v>
      </c>
      <c r="AC2468" s="6" t="s">
        <v>81</v>
      </c>
      <c r="AD2468" s="21" t="s">
        <v>81</v>
      </c>
      <c r="AE2468" s="6" t="s">
        <v>81</v>
      </c>
      <c r="AF2468" s="6" t="s">
        <v>81</v>
      </c>
      <c r="AG2468" s="6" t="s">
        <v>81</v>
      </c>
      <c r="AH2468" s="6" t="s">
        <v>17008</v>
      </c>
      <c r="AI2468" s="6" t="s">
        <v>81</v>
      </c>
      <c r="AJ2468" s="6" t="s">
        <v>17381</v>
      </c>
      <c r="AK2468" s="6" t="s">
        <v>18379</v>
      </c>
      <c r="AL2468" s="6" t="s">
        <v>18444</v>
      </c>
      <c r="AM2468" s="6" t="s">
        <v>18534</v>
      </c>
      <c r="AN2468" s="6" t="s">
        <v>19637</v>
      </c>
      <c r="AO2468" s="6" t="s">
        <v>19723</v>
      </c>
      <c r="AP2468" s="6" t="s">
        <v>17008</v>
      </c>
      <c r="AQ2468" s="6" t="s">
        <v>81</v>
      </c>
      <c r="AR2468" s="6" t="s">
        <v>17381</v>
      </c>
      <c r="AS2468" s="6" t="s">
        <v>18379</v>
      </c>
      <c r="AT2468" s="6" t="s">
        <v>18444</v>
      </c>
      <c r="AU2468" s="6" t="s">
        <v>18534</v>
      </c>
      <c r="AV2468" s="6" t="s">
        <v>81</v>
      </c>
      <c r="AW2468" s="6" t="s">
        <v>81</v>
      </c>
      <c r="AX2468" s="6" t="s">
        <v>22361</v>
      </c>
      <c r="AY2468" s="6" t="s">
        <v>81</v>
      </c>
      <c r="AZ2468" s="6" t="s">
        <v>81</v>
      </c>
      <c r="BA2468" s="6" t="s">
        <v>81</v>
      </c>
      <c r="BB2468" s="24" t="n">
        <v>170</v>
      </c>
      <c r="BC2468" s="26"/>
      <c r="BD2468" s="26"/>
      <c r="BE2468" s="26"/>
      <c r="BF2468" s="26"/>
      <c r="BG2468" s="26"/>
      <c r="BH2468" s="26"/>
      <c r="BI2468" s="26"/>
      <c r="BJ2468" s="26"/>
      <c r="BK2468" s="26"/>
      <c r="BL2468" s="26"/>
      <c r="BM2468" s="26"/>
      <c r="BN2468" s="26"/>
      <c r="BO2468" s="26"/>
      <c r="BP2468" s="16" t="n">
        <v>45730</v>
      </c>
      <c r="BQ2468" s="28" t="str">
        <f>HYPERLINK("https://organic.ams.usda.gov/Integrity/Certificate.aspx?cid=90&amp;nopid=7170020086")</f>
        <v>https://organic.ams.usda.gov/Integrity/Certificate.aspx?cid=90&amp;nopid=7170020086</v>
      </c>
    </row>
    <row r="2469">
      <c r="A2469" t="s">
        <v>3</v>
      </c>
      <c r="B2469" s="6" t="s">
        <v>32</v>
      </c>
      <c r="C2469" s="6" t="s">
        <v>79</v>
      </c>
      <c r="D2469" s="6" t="s">
        <v>125</v>
      </c>
      <c r="E2469" s="10" t="s">
        <v>2610</v>
      </c>
      <c r="F2469" s="6" t="s">
        <v>5315</v>
      </c>
      <c r="G2469" s="6" t="s">
        <v>81</v>
      </c>
      <c r="H2469" s="6" t="s">
        <v>8138</v>
      </c>
      <c r="I2469" s="6" t="s">
        <v>9380</v>
      </c>
      <c r="J2469" s="6" t="s">
        <v>10762</v>
      </c>
      <c r="K2469" s="6" t="s">
        <v>10886</v>
      </c>
      <c r="L2469" s="16" t="n">
        <v>45398</v>
      </c>
      <c r="M2469" s="16" t="n">
        <v>46082</v>
      </c>
      <c r="N2469" s="6" t="s">
        <v>81</v>
      </c>
      <c r="O2469" s="21" t="s">
        <v>81</v>
      </c>
      <c r="P2469" s="6" t="s">
        <v>81</v>
      </c>
      <c r="Q2469" s="6" t="s">
        <v>81</v>
      </c>
      <c r="R2469" s="6" t="s">
        <v>81</v>
      </c>
      <c r="S2469" s="6" t="s">
        <v>81</v>
      </c>
      <c r="T2469" s="21" t="s">
        <v>81</v>
      </c>
      <c r="U2469" s="6" t="s">
        <v>81</v>
      </c>
      <c r="V2469" s="6" t="s">
        <v>81</v>
      </c>
      <c r="W2469" s="6" t="s">
        <v>81</v>
      </c>
      <c r="X2469" s="6" t="s">
        <v>81</v>
      </c>
      <c r="Y2469" s="21" t="s">
        <v>81</v>
      </c>
      <c r="Z2469" s="6" t="s">
        <v>81</v>
      </c>
      <c r="AA2469" s="6" t="s">
        <v>81</v>
      </c>
      <c r="AB2469" s="6" t="s">
        <v>81</v>
      </c>
      <c r="AC2469" s="6" t="s">
        <v>10886</v>
      </c>
      <c r="AD2469" s="16" t="n">
        <v>45398</v>
      </c>
      <c r="AE2469" s="6" t="s">
        <v>14441</v>
      </c>
      <c r="AF2469" s="6" t="s">
        <v>81</v>
      </c>
      <c r="AG2469" s="6" t="s">
        <v>5606</v>
      </c>
      <c r="AH2469" s="6" t="s">
        <v>17009</v>
      </c>
      <c r="AI2469" s="6" t="s">
        <v>81</v>
      </c>
      <c r="AJ2469" s="6" t="s">
        <v>17441</v>
      </c>
      <c r="AK2469" s="6" t="s">
        <v>18152</v>
      </c>
      <c r="AL2469" s="6" t="s">
        <v>18444</v>
      </c>
      <c r="AM2469" s="6" t="s">
        <v>18598</v>
      </c>
      <c r="AN2469" s="6" t="s">
        <v>81</v>
      </c>
      <c r="AO2469" s="6" t="s">
        <v>81</v>
      </c>
      <c r="AP2469" s="6" t="s">
        <v>20436</v>
      </c>
      <c r="AQ2469" s="6" t="s">
        <v>81</v>
      </c>
      <c r="AR2469" s="6" t="s">
        <v>17661</v>
      </c>
      <c r="AS2469" s="6" t="s">
        <v>18152</v>
      </c>
      <c r="AT2469" s="6" t="s">
        <v>18444</v>
      </c>
      <c r="AU2469" s="6" t="s">
        <v>18829</v>
      </c>
      <c r="AV2469" s="6" t="s">
        <v>81</v>
      </c>
      <c r="AW2469" s="6" t="s">
        <v>81</v>
      </c>
      <c r="AX2469" s="6" t="s">
        <v>22362</v>
      </c>
      <c r="AY2469" s="6" t="s">
        <v>23434</v>
      </c>
      <c r="AZ2469" s="6" t="s">
        <v>81</v>
      </c>
      <c r="BA2469" s="6" t="s">
        <v>81</v>
      </c>
      <c r="BB2469" s="6" t="s">
        <v>81</v>
      </c>
      <c r="BC2469" s="26"/>
      <c r="BD2469" s="26"/>
      <c r="BE2469" s="26"/>
      <c r="BF2469" s="26"/>
      <c r="BG2469" s="26"/>
      <c r="BH2469" s="26"/>
      <c r="BI2469" s="26"/>
      <c r="BJ2469" s="26"/>
      <c r="BK2469" s="26"/>
      <c r="BL2469" s="26"/>
      <c r="BM2469" s="26"/>
      <c r="BN2469" s="26"/>
      <c r="BO2469" s="26"/>
      <c r="BP2469" s="16" t="n">
        <v>45739</v>
      </c>
      <c r="BQ2469" s="28" t="str">
        <f>HYPERLINK("https://organic.ams.usda.gov/Integrity/Certificate.aspx?cid=82&amp;nopid=2780003940")</f>
        <v>https://organic.ams.usda.gov/Integrity/Certificate.aspx?cid=82&amp;nopid=2780003940</v>
      </c>
    </row>
    <row r="2470">
      <c r="A2470" t="s">
        <v>3</v>
      </c>
      <c r="B2470" s="6" t="s">
        <v>7</v>
      </c>
      <c r="C2470" s="6" t="s">
        <v>54</v>
      </c>
      <c r="D2470" s="6" t="s">
        <v>100</v>
      </c>
      <c r="E2470" s="10" t="s">
        <v>2611</v>
      </c>
      <c r="F2470" s="6" t="s">
        <v>5316</v>
      </c>
      <c r="G2470" s="6" t="s">
        <v>81</v>
      </c>
      <c r="H2470" s="6" t="s">
        <v>8139</v>
      </c>
      <c r="I2470" s="6" t="s">
        <v>8552</v>
      </c>
      <c r="J2470" s="6" t="s">
        <v>8437</v>
      </c>
      <c r="K2470" s="6" t="s">
        <v>10886</v>
      </c>
      <c r="L2470" s="16" t="n">
        <v>44370</v>
      </c>
      <c r="M2470" s="16" t="n">
        <v>45672</v>
      </c>
      <c r="N2470" s="6" t="s">
        <v>81</v>
      </c>
      <c r="O2470" s="21" t="s">
        <v>81</v>
      </c>
      <c r="P2470" s="6" t="s">
        <v>81</v>
      </c>
      <c r="Q2470" s="6" t="s">
        <v>81</v>
      </c>
      <c r="R2470" s="6" t="s">
        <v>81</v>
      </c>
      <c r="S2470" s="6" t="s">
        <v>81</v>
      </c>
      <c r="T2470" s="21" t="s">
        <v>81</v>
      </c>
      <c r="U2470" s="6" t="s">
        <v>81</v>
      </c>
      <c r="V2470" s="6" t="s">
        <v>81</v>
      </c>
      <c r="W2470" s="6" t="s">
        <v>81</v>
      </c>
      <c r="X2470" s="6" t="s">
        <v>81</v>
      </c>
      <c r="Y2470" s="21" t="s">
        <v>81</v>
      </c>
      <c r="Z2470" s="6" t="s">
        <v>81</v>
      </c>
      <c r="AA2470" s="6" t="s">
        <v>81</v>
      </c>
      <c r="AB2470" s="6" t="s">
        <v>81</v>
      </c>
      <c r="AC2470" s="6" t="s">
        <v>10886</v>
      </c>
      <c r="AD2470" s="16" t="n">
        <v>44370</v>
      </c>
      <c r="AE2470" s="6" t="s">
        <v>14442</v>
      </c>
      <c r="AF2470" s="6" t="s">
        <v>81</v>
      </c>
      <c r="AG2470" s="6" t="s">
        <v>81</v>
      </c>
      <c r="AH2470" s="6" t="s">
        <v>17010</v>
      </c>
      <c r="AI2470" s="6" t="s">
        <v>81</v>
      </c>
      <c r="AJ2470" s="6" t="s">
        <v>17351</v>
      </c>
      <c r="AK2470" s="6" t="s">
        <v>17712</v>
      </c>
      <c r="AL2470" s="6" t="s">
        <v>18444</v>
      </c>
      <c r="AM2470" s="6" t="s">
        <v>18505</v>
      </c>
      <c r="AN2470" s="6" t="s">
        <v>19653</v>
      </c>
      <c r="AO2470" s="6" t="s">
        <v>19744</v>
      </c>
      <c r="AP2470" s="6" t="s">
        <v>17010</v>
      </c>
      <c r="AQ2470" s="6" t="s">
        <v>81</v>
      </c>
      <c r="AR2470" s="6" t="s">
        <v>17351</v>
      </c>
      <c r="AS2470" s="6" t="s">
        <v>17712</v>
      </c>
      <c r="AT2470" s="6" t="s">
        <v>18444</v>
      </c>
      <c r="AU2470" s="6" t="s">
        <v>18505</v>
      </c>
      <c r="AV2470" s="6" t="s">
        <v>81</v>
      </c>
      <c r="AW2470" s="6" t="s">
        <v>81</v>
      </c>
      <c r="AX2470" s="6" t="s">
        <v>22363</v>
      </c>
      <c r="AY2470" s="6" t="s">
        <v>23435</v>
      </c>
      <c r="AZ2470" s="6" t="s">
        <v>81</v>
      </c>
      <c r="BA2470" s="6" t="s">
        <v>81</v>
      </c>
      <c r="BB2470" s="24" t="n">
        <v>0</v>
      </c>
      <c r="BC2470" s="26"/>
      <c r="BD2470" s="26"/>
      <c r="BE2470" s="26" t="s">
        <v>23900</v>
      </c>
      <c r="BF2470" s="26"/>
      <c r="BG2470" s="26"/>
      <c r="BH2470" s="26"/>
      <c r="BI2470" s="26"/>
      <c r="BJ2470" s="26"/>
      <c r="BK2470" s="26"/>
      <c r="BL2470" s="26"/>
      <c r="BM2470" s="26"/>
      <c r="BN2470" s="26"/>
      <c r="BO2470" s="26"/>
      <c r="BP2470" s="16" t="n">
        <v>45603</v>
      </c>
      <c r="BQ2470" s="28" t="str">
        <f>HYPERLINK("https://organic.ams.usda.gov/Integrity/Certificate.aspx?cid=57&amp;nopid=3252021072")</f>
        <v>https://organic.ams.usda.gov/Integrity/Certificate.aspx?cid=57&amp;nopid=3252021072</v>
      </c>
    </row>
    <row r="2471">
      <c r="A2471" t="s">
        <v>3</v>
      </c>
      <c r="B2471" s="6" t="s">
        <v>7</v>
      </c>
      <c r="C2471" s="6" t="s">
        <v>54</v>
      </c>
      <c r="D2471" s="6" t="s">
        <v>100</v>
      </c>
      <c r="E2471" s="10" t="s">
        <v>2612</v>
      </c>
      <c r="F2471" s="6" t="s">
        <v>5317</v>
      </c>
      <c r="G2471" s="6" t="s">
        <v>81</v>
      </c>
      <c r="H2471" s="6" t="s">
        <v>8140</v>
      </c>
      <c r="I2471" s="6" t="s">
        <v>8685</v>
      </c>
      <c r="J2471" s="6" t="s">
        <v>9665</v>
      </c>
      <c r="K2471" s="6" t="s">
        <v>10886</v>
      </c>
      <c r="L2471" s="16" t="n">
        <v>40421</v>
      </c>
      <c r="M2471" s="16" t="n">
        <v>45716</v>
      </c>
      <c r="N2471" s="6" t="s">
        <v>10886</v>
      </c>
      <c r="O2471" s="16" t="n">
        <v>40421</v>
      </c>
      <c r="P2471" s="6" t="s">
        <v>12275</v>
      </c>
      <c r="Q2471" s="6" t="s">
        <v>81</v>
      </c>
      <c r="R2471" s="6" t="s">
        <v>81</v>
      </c>
      <c r="S2471" s="6" t="s">
        <v>10886</v>
      </c>
      <c r="T2471" s="16" t="n">
        <v>40421</v>
      </c>
      <c r="U2471" s="6" t="s">
        <v>13169</v>
      </c>
      <c r="V2471" s="6" t="s">
        <v>81</v>
      </c>
      <c r="W2471" s="6" t="s">
        <v>81</v>
      </c>
      <c r="X2471" s="6" t="s">
        <v>81</v>
      </c>
      <c r="Y2471" s="21" t="s">
        <v>81</v>
      </c>
      <c r="Z2471" s="6" t="s">
        <v>81</v>
      </c>
      <c r="AA2471" s="6" t="s">
        <v>81</v>
      </c>
      <c r="AB2471" s="6" t="s">
        <v>81</v>
      </c>
      <c r="AC2471" s="6" t="s">
        <v>81</v>
      </c>
      <c r="AD2471" s="21" t="s">
        <v>81</v>
      </c>
      <c r="AE2471" s="6" t="s">
        <v>81</v>
      </c>
      <c r="AF2471" s="6" t="s">
        <v>81</v>
      </c>
      <c r="AG2471" s="6" t="s">
        <v>81</v>
      </c>
      <c r="AH2471" s="6" t="s">
        <v>17011</v>
      </c>
      <c r="AI2471" s="6" t="s">
        <v>81</v>
      </c>
      <c r="AJ2471" s="6" t="s">
        <v>17466</v>
      </c>
      <c r="AK2471" s="6" t="s">
        <v>17712</v>
      </c>
      <c r="AL2471" s="6" t="s">
        <v>18444</v>
      </c>
      <c r="AM2471" s="6" t="s">
        <v>19538</v>
      </c>
      <c r="AN2471" s="6" t="s">
        <v>7926</v>
      </c>
      <c r="AO2471" s="6" t="s">
        <v>19842</v>
      </c>
      <c r="AP2471" s="6" t="s">
        <v>17011</v>
      </c>
      <c r="AQ2471" s="6" t="s">
        <v>81</v>
      </c>
      <c r="AR2471" s="6" t="s">
        <v>17466</v>
      </c>
      <c r="AS2471" s="6" t="s">
        <v>17712</v>
      </c>
      <c r="AT2471" s="6" t="s">
        <v>18444</v>
      </c>
      <c r="AU2471" s="6" t="s">
        <v>19538</v>
      </c>
      <c r="AV2471" s="6" t="s">
        <v>81</v>
      </c>
      <c r="AW2471" s="6" t="s">
        <v>81</v>
      </c>
      <c r="AX2471" s="6" t="s">
        <v>81</v>
      </c>
      <c r="AY2471" s="6" t="s">
        <v>81</v>
      </c>
      <c r="AZ2471" s="6" t="s">
        <v>81</v>
      </c>
      <c r="BA2471" s="6" t="s">
        <v>81</v>
      </c>
      <c r="BB2471" s="24" t="n">
        <v>73</v>
      </c>
      <c r="BC2471" s="26"/>
      <c r="BD2471" s="26"/>
      <c r="BE2471" s="26"/>
      <c r="BF2471" s="26" t="s">
        <v>23900</v>
      </c>
      <c r="BG2471" s="26"/>
      <c r="BH2471" s="26"/>
      <c r="BI2471" s="26"/>
      <c r="BJ2471" s="26"/>
      <c r="BK2471" s="26"/>
      <c r="BL2471" s="26"/>
      <c r="BM2471" s="26"/>
      <c r="BN2471" s="26"/>
      <c r="BO2471" s="26"/>
      <c r="BP2471" s="16" t="n">
        <v>45595</v>
      </c>
      <c r="BQ2471" s="28" t="str">
        <f>HYPERLINK("https://organic.ams.usda.gov/Integrity/Certificate.aspx?cid=57&amp;nopid=3252010055")</f>
        <v>https://organic.ams.usda.gov/Integrity/Certificate.aspx?cid=57&amp;nopid=3252010055</v>
      </c>
    </row>
    <row r="2472">
      <c r="A2472" t="s">
        <v>3</v>
      </c>
      <c r="B2472" s="6" t="s">
        <v>7</v>
      </c>
      <c r="C2472" s="6" t="s">
        <v>54</v>
      </c>
      <c r="D2472" s="6" t="s">
        <v>100</v>
      </c>
      <c r="E2472" s="10" t="s">
        <v>2613</v>
      </c>
      <c r="F2472" s="6" t="s">
        <v>5318</v>
      </c>
      <c r="G2472" s="6" t="s">
        <v>81</v>
      </c>
      <c r="H2472" s="6" t="s">
        <v>8141</v>
      </c>
      <c r="I2472" s="6" t="s">
        <v>9557</v>
      </c>
      <c r="J2472" s="6" t="s">
        <v>9233</v>
      </c>
      <c r="K2472" s="6" t="s">
        <v>10886</v>
      </c>
      <c r="L2472" s="16" t="n">
        <v>39611</v>
      </c>
      <c r="M2472" s="16" t="n">
        <v>45716</v>
      </c>
      <c r="N2472" s="6" t="s">
        <v>10886</v>
      </c>
      <c r="O2472" s="16" t="n">
        <v>39611</v>
      </c>
      <c r="P2472" s="6" t="s">
        <v>12276</v>
      </c>
      <c r="Q2472" s="6" t="s">
        <v>81</v>
      </c>
      <c r="R2472" s="6" t="s">
        <v>81</v>
      </c>
      <c r="S2472" s="6" t="s">
        <v>10886</v>
      </c>
      <c r="T2472" s="16" t="n">
        <v>40493</v>
      </c>
      <c r="U2472" s="6" t="s">
        <v>13169</v>
      </c>
      <c r="V2472" s="6" t="s">
        <v>81</v>
      </c>
      <c r="W2472" s="6" t="s">
        <v>81</v>
      </c>
      <c r="X2472" s="6" t="s">
        <v>81</v>
      </c>
      <c r="Y2472" s="21" t="s">
        <v>81</v>
      </c>
      <c r="Z2472" s="6" t="s">
        <v>81</v>
      </c>
      <c r="AA2472" s="6" t="s">
        <v>81</v>
      </c>
      <c r="AB2472" s="6" t="s">
        <v>81</v>
      </c>
      <c r="AC2472" s="6" t="s">
        <v>81</v>
      </c>
      <c r="AD2472" s="21" t="s">
        <v>81</v>
      </c>
      <c r="AE2472" s="6" t="s">
        <v>81</v>
      </c>
      <c r="AF2472" s="6" t="s">
        <v>81</v>
      </c>
      <c r="AG2472" s="6" t="s">
        <v>81</v>
      </c>
      <c r="AH2472" s="6" t="s">
        <v>17012</v>
      </c>
      <c r="AI2472" s="6" t="s">
        <v>81</v>
      </c>
      <c r="AJ2472" s="6" t="s">
        <v>17625</v>
      </c>
      <c r="AK2472" s="6" t="s">
        <v>17712</v>
      </c>
      <c r="AL2472" s="6" t="s">
        <v>18444</v>
      </c>
      <c r="AM2472" s="6" t="s">
        <v>18792</v>
      </c>
      <c r="AN2472" s="6" t="s">
        <v>19634</v>
      </c>
      <c r="AO2472" s="6" t="s">
        <v>19719</v>
      </c>
      <c r="AP2472" s="6" t="s">
        <v>17012</v>
      </c>
      <c r="AQ2472" s="6" t="s">
        <v>81</v>
      </c>
      <c r="AR2472" s="6" t="s">
        <v>17625</v>
      </c>
      <c r="AS2472" s="6" t="s">
        <v>17712</v>
      </c>
      <c r="AT2472" s="6" t="s">
        <v>18444</v>
      </c>
      <c r="AU2472" s="6" t="s">
        <v>18792</v>
      </c>
      <c r="AV2472" s="6" t="s">
        <v>81</v>
      </c>
      <c r="AW2472" s="6" t="s">
        <v>81</v>
      </c>
      <c r="AX2472" s="6" t="s">
        <v>22364</v>
      </c>
      <c r="AY2472" s="6" t="s">
        <v>81</v>
      </c>
      <c r="AZ2472" s="6" t="s">
        <v>81</v>
      </c>
      <c r="BA2472" s="6" t="s">
        <v>81</v>
      </c>
      <c r="BB2472" s="24" t="n">
        <v>120</v>
      </c>
      <c r="BC2472" s="26"/>
      <c r="BD2472" s="26"/>
      <c r="BE2472" s="26"/>
      <c r="BF2472" s="26"/>
      <c r="BG2472" s="26"/>
      <c r="BH2472" s="26"/>
      <c r="BI2472" s="26"/>
      <c r="BJ2472" s="26"/>
      <c r="BK2472" s="26"/>
      <c r="BL2472" s="26"/>
      <c r="BM2472" s="26"/>
      <c r="BN2472" s="26"/>
      <c r="BO2472" s="26"/>
      <c r="BP2472" s="16" t="n">
        <v>45595</v>
      </c>
      <c r="BQ2472" s="28" t="str">
        <f>HYPERLINK("https://organic.ams.usda.gov/Integrity/Certificate.aspx?cid=57&amp;nopid=3252008014")</f>
        <v>https://organic.ams.usda.gov/Integrity/Certificate.aspx?cid=57&amp;nopid=3252008014</v>
      </c>
    </row>
    <row r="2473">
      <c r="A2473" t="s">
        <v>3</v>
      </c>
      <c r="B2473" s="6" t="s">
        <v>8</v>
      </c>
      <c r="C2473" s="6" t="s">
        <v>55</v>
      </c>
      <c r="D2473" s="6" t="s">
        <v>101</v>
      </c>
      <c r="E2473" s="10" t="s">
        <v>2614</v>
      </c>
      <c r="F2473" s="6" t="s">
        <v>5319</v>
      </c>
      <c r="G2473" s="6" t="s">
        <v>81</v>
      </c>
      <c r="H2473" s="6" t="s">
        <v>8142</v>
      </c>
      <c r="I2473" s="6" t="s">
        <v>8757</v>
      </c>
      <c r="J2473" s="6" t="s">
        <v>9665</v>
      </c>
      <c r="K2473" s="6" t="s">
        <v>10886</v>
      </c>
      <c r="L2473" s="16" t="n">
        <v>39155</v>
      </c>
      <c r="M2473" s="16" t="n">
        <v>45383</v>
      </c>
      <c r="N2473" s="6" t="s">
        <v>10886</v>
      </c>
      <c r="O2473" s="16" t="n">
        <v>39155</v>
      </c>
      <c r="P2473" s="6" t="s">
        <v>12277</v>
      </c>
      <c r="Q2473" s="6" t="s">
        <v>81</v>
      </c>
      <c r="R2473" s="6" t="s">
        <v>8142</v>
      </c>
      <c r="S2473" s="6" t="s">
        <v>10886</v>
      </c>
      <c r="T2473" s="16" t="n">
        <v>39155</v>
      </c>
      <c r="U2473" s="6" t="s">
        <v>13697</v>
      </c>
      <c r="V2473" s="6" t="s">
        <v>81</v>
      </c>
      <c r="W2473" s="6" t="s">
        <v>8142</v>
      </c>
      <c r="X2473" s="6" t="s">
        <v>81</v>
      </c>
      <c r="Y2473" s="21" t="s">
        <v>81</v>
      </c>
      <c r="Z2473" s="6" t="s">
        <v>81</v>
      </c>
      <c r="AA2473" s="6" t="s">
        <v>81</v>
      </c>
      <c r="AB2473" s="6" t="s">
        <v>81</v>
      </c>
      <c r="AC2473" s="6" t="s">
        <v>81</v>
      </c>
      <c r="AD2473" s="21" t="s">
        <v>81</v>
      </c>
      <c r="AE2473" s="6" t="s">
        <v>81</v>
      </c>
      <c r="AF2473" s="6" t="s">
        <v>81</v>
      </c>
      <c r="AG2473" s="6" t="s">
        <v>81</v>
      </c>
      <c r="AH2473" s="6" t="s">
        <v>17013</v>
      </c>
      <c r="AI2473" s="6" t="s">
        <v>81</v>
      </c>
      <c r="AJ2473" s="6" t="s">
        <v>17504</v>
      </c>
      <c r="AK2473" s="6" t="s">
        <v>18377</v>
      </c>
      <c r="AL2473" s="6" t="s">
        <v>18444</v>
      </c>
      <c r="AM2473" s="6" t="s">
        <v>19539</v>
      </c>
      <c r="AN2473" s="6" t="s">
        <v>19685</v>
      </c>
      <c r="AO2473" s="6" t="s">
        <v>19816</v>
      </c>
      <c r="AP2473" s="6" t="s">
        <v>81</v>
      </c>
      <c r="AQ2473" s="6" t="s">
        <v>81</v>
      </c>
      <c r="AR2473" s="6" t="s">
        <v>81</v>
      </c>
      <c r="AS2473" s="6" t="s">
        <v>81</v>
      </c>
      <c r="AT2473" s="6" t="s">
        <v>81</v>
      </c>
      <c r="AU2473" s="6" t="s">
        <v>81</v>
      </c>
      <c r="AV2473" s="6" t="s">
        <v>81</v>
      </c>
      <c r="AW2473" s="6" t="s">
        <v>81</v>
      </c>
      <c r="AX2473" s="6" t="s">
        <v>81</v>
      </c>
      <c r="AY2473" s="6" t="s">
        <v>23436</v>
      </c>
      <c r="AZ2473" s="6" t="s">
        <v>81</v>
      </c>
      <c r="BA2473" s="6" t="s">
        <v>23824</v>
      </c>
      <c r="BB2473" s="24" t="n">
        <v>236</v>
      </c>
      <c r="BC2473" s="26"/>
      <c r="BD2473" s="26"/>
      <c r="BE2473" s="26"/>
      <c r="BF2473" s="26" t="s">
        <v>23900</v>
      </c>
      <c r="BG2473" s="26"/>
      <c r="BH2473" s="26"/>
      <c r="BI2473" s="26"/>
      <c r="BJ2473" s="26"/>
      <c r="BK2473" s="26"/>
      <c r="BL2473" s="26"/>
      <c r="BM2473" s="26"/>
      <c r="BN2473" s="26"/>
      <c r="BO2473" s="26"/>
      <c r="BP2473" s="16" t="n">
        <v>45435</v>
      </c>
      <c r="BQ2473" s="28" t="str">
        <f>HYPERLINK("https://organic.ams.usda.gov/Integrity/Certificate.aspx?cid=45&amp;nopid=9950002517")</f>
        <v>https://organic.ams.usda.gov/Integrity/Certificate.aspx?cid=45&amp;nopid=9950002517</v>
      </c>
    </row>
    <row r="2474">
      <c r="A2474" t="s">
        <v>3</v>
      </c>
      <c r="B2474" s="6" t="s">
        <v>8</v>
      </c>
      <c r="C2474" s="6" t="s">
        <v>55</v>
      </c>
      <c r="D2474" s="6" t="s">
        <v>101</v>
      </c>
      <c r="E2474" s="10" t="s">
        <v>2615</v>
      </c>
      <c r="F2474" s="6" t="s">
        <v>5320</v>
      </c>
      <c r="G2474" s="6" t="s">
        <v>81</v>
      </c>
      <c r="H2474" s="6" t="s">
        <v>8143</v>
      </c>
      <c r="I2474" s="6" t="s">
        <v>9383</v>
      </c>
      <c r="J2474" s="6" t="s">
        <v>10763</v>
      </c>
      <c r="K2474" s="6" t="s">
        <v>10886</v>
      </c>
      <c r="L2474" s="16" t="n">
        <v>40430</v>
      </c>
      <c r="M2474" s="16" t="n">
        <v>45689</v>
      </c>
      <c r="N2474" s="6" t="s">
        <v>10886</v>
      </c>
      <c r="O2474" s="16" t="n">
        <v>40430</v>
      </c>
      <c r="P2474" s="6" t="s">
        <v>12278</v>
      </c>
      <c r="Q2474" s="6" t="s">
        <v>81</v>
      </c>
      <c r="R2474" s="6" t="s">
        <v>8143</v>
      </c>
      <c r="S2474" s="6" t="s">
        <v>10886</v>
      </c>
      <c r="T2474" s="16" t="n">
        <v>40430</v>
      </c>
      <c r="U2474" s="6" t="s">
        <v>13271</v>
      </c>
      <c r="V2474" s="6" t="s">
        <v>81</v>
      </c>
      <c r="W2474" s="6" t="s">
        <v>8143</v>
      </c>
      <c r="X2474" s="6" t="s">
        <v>81</v>
      </c>
      <c r="Y2474" s="21" t="s">
        <v>81</v>
      </c>
      <c r="Z2474" s="6" t="s">
        <v>81</v>
      </c>
      <c r="AA2474" s="6" t="s">
        <v>81</v>
      </c>
      <c r="AB2474" s="6" t="s">
        <v>81</v>
      </c>
      <c r="AC2474" s="6" t="s">
        <v>81</v>
      </c>
      <c r="AD2474" s="21" t="s">
        <v>81</v>
      </c>
      <c r="AE2474" s="6" t="s">
        <v>81</v>
      </c>
      <c r="AF2474" s="6" t="s">
        <v>81</v>
      </c>
      <c r="AG2474" s="6" t="s">
        <v>81</v>
      </c>
      <c r="AH2474" s="6" t="s">
        <v>17014</v>
      </c>
      <c r="AI2474" s="6" t="s">
        <v>81</v>
      </c>
      <c r="AJ2474" s="6" t="s">
        <v>17427</v>
      </c>
      <c r="AK2474" s="6" t="s">
        <v>18377</v>
      </c>
      <c r="AL2474" s="6" t="s">
        <v>18444</v>
      </c>
      <c r="AM2474" s="6" t="s">
        <v>18584</v>
      </c>
      <c r="AN2474" s="6" t="s">
        <v>19634</v>
      </c>
      <c r="AO2474" s="6" t="s">
        <v>19764</v>
      </c>
      <c r="AP2474" s="6" t="s">
        <v>20437</v>
      </c>
      <c r="AQ2474" s="6" t="s">
        <v>81</v>
      </c>
      <c r="AR2474" s="6" t="s">
        <v>17427</v>
      </c>
      <c r="AS2474" s="6" t="s">
        <v>18377</v>
      </c>
      <c r="AT2474" s="6" t="s">
        <v>18444</v>
      </c>
      <c r="AU2474" s="6" t="s">
        <v>18584</v>
      </c>
      <c r="AV2474" s="6" t="s">
        <v>81</v>
      </c>
      <c r="AW2474" s="6" t="s">
        <v>81</v>
      </c>
      <c r="AX2474" s="6" t="s">
        <v>22365</v>
      </c>
      <c r="AY2474" s="6" t="s">
        <v>23437</v>
      </c>
      <c r="AZ2474" s="6" t="s">
        <v>81</v>
      </c>
      <c r="BA2474" s="6" t="s">
        <v>23819</v>
      </c>
      <c r="BB2474" s="24" t="n">
        <v>196</v>
      </c>
      <c r="BC2474" s="26"/>
      <c r="BD2474" s="26"/>
      <c r="BE2474" s="26"/>
      <c r="BF2474" s="26" t="s">
        <v>23900</v>
      </c>
      <c r="BG2474" s="26"/>
      <c r="BH2474" s="26"/>
      <c r="BI2474" s="26"/>
      <c r="BJ2474" s="26"/>
      <c r="BK2474" s="26"/>
      <c r="BL2474" s="26"/>
      <c r="BM2474" s="26"/>
      <c r="BN2474" s="26"/>
      <c r="BO2474" s="26"/>
      <c r="BP2474" s="16" t="n">
        <v>45735</v>
      </c>
      <c r="BQ2474" s="28" t="str">
        <f>HYPERLINK("https://organic.ams.usda.gov/Integrity/Certificate.aspx?cid=45&amp;nopid=9950004175")</f>
        <v>https://organic.ams.usda.gov/Integrity/Certificate.aspx?cid=45&amp;nopid=9950004175</v>
      </c>
    </row>
    <row r="2475">
      <c r="A2475" t="s">
        <v>3</v>
      </c>
      <c r="B2475" s="6" t="s">
        <v>8</v>
      </c>
      <c r="C2475" s="6" t="s">
        <v>55</v>
      </c>
      <c r="D2475" s="6" t="s">
        <v>101</v>
      </c>
      <c r="E2475" s="10" t="s">
        <v>2616</v>
      </c>
      <c r="F2475" s="6" t="s">
        <v>5321</v>
      </c>
      <c r="G2475" s="6" t="s">
        <v>81</v>
      </c>
      <c r="H2475" s="6" t="s">
        <v>8144</v>
      </c>
      <c r="I2475" s="6" t="s">
        <v>8552</v>
      </c>
      <c r="J2475" s="6" t="s">
        <v>9665</v>
      </c>
      <c r="K2475" s="6" t="s">
        <v>10886</v>
      </c>
      <c r="L2475" s="16" t="n">
        <v>45092</v>
      </c>
      <c r="M2475" s="16" t="n">
        <v>45383</v>
      </c>
      <c r="N2475" s="6" t="s">
        <v>10886</v>
      </c>
      <c r="O2475" s="16" t="n">
        <v>45092</v>
      </c>
      <c r="P2475" s="6" t="s">
        <v>12279</v>
      </c>
      <c r="Q2475" s="6" t="s">
        <v>81</v>
      </c>
      <c r="R2475" s="6" t="s">
        <v>8144</v>
      </c>
      <c r="S2475" s="6" t="s">
        <v>10886</v>
      </c>
      <c r="T2475" s="16" t="n">
        <v>45092</v>
      </c>
      <c r="U2475" s="6" t="s">
        <v>13889</v>
      </c>
      <c r="V2475" s="6" t="s">
        <v>81</v>
      </c>
      <c r="W2475" s="6" t="s">
        <v>8144</v>
      </c>
      <c r="X2475" s="6" t="s">
        <v>81</v>
      </c>
      <c r="Y2475" s="21" t="s">
        <v>81</v>
      </c>
      <c r="Z2475" s="6" t="s">
        <v>81</v>
      </c>
      <c r="AA2475" s="6" t="s">
        <v>81</v>
      </c>
      <c r="AB2475" s="6" t="s">
        <v>81</v>
      </c>
      <c r="AC2475" s="6" t="s">
        <v>81</v>
      </c>
      <c r="AD2475" s="21" t="s">
        <v>81</v>
      </c>
      <c r="AE2475" s="6" t="s">
        <v>81</v>
      </c>
      <c r="AF2475" s="6" t="s">
        <v>81</v>
      </c>
      <c r="AG2475" s="6" t="s">
        <v>81</v>
      </c>
      <c r="AH2475" s="6" t="s">
        <v>17015</v>
      </c>
      <c r="AI2475" s="6" t="s">
        <v>81</v>
      </c>
      <c r="AJ2475" s="6" t="s">
        <v>18056</v>
      </c>
      <c r="AK2475" s="6" t="s">
        <v>18378</v>
      </c>
      <c r="AL2475" s="6" t="s">
        <v>18444</v>
      </c>
      <c r="AM2475" s="6" t="s">
        <v>18489</v>
      </c>
      <c r="AN2475" s="6" t="s">
        <v>19640</v>
      </c>
      <c r="AO2475" s="6" t="s">
        <v>19726</v>
      </c>
      <c r="AP2475" s="6" t="s">
        <v>81</v>
      </c>
      <c r="AQ2475" s="6" t="s">
        <v>81</v>
      </c>
      <c r="AR2475" s="6" t="s">
        <v>81</v>
      </c>
      <c r="AS2475" s="6" t="s">
        <v>81</v>
      </c>
      <c r="AT2475" s="6" t="s">
        <v>81</v>
      </c>
      <c r="AU2475" s="6" t="s">
        <v>81</v>
      </c>
      <c r="AV2475" s="6" t="s">
        <v>81</v>
      </c>
      <c r="AW2475" s="6" t="s">
        <v>81</v>
      </c>
      <c r="AX2475" s="6" t="s">
        <v>81</v>
      </c>
      <c r="AY2475" s="6" t="s">
        <v>81</v>
      </c>
      <c r="AZ2475" s="6" t="s">
        <v>81</v>
      </c>
      <c r="BA2475" s="6" t="s">
        <v>23824</v>
      </c>
      <c r="BB2475" s="24" t="n">
        <v>85</v>
      </c>
      <c r="BC2475" s="26"/>
      <c r="BD2475" s="26"/>
      <c r="BE2475" s="26"/>
      <c r="BF2475" s="26"/>
      <c r="BG2475" s="26"/>
      <c r="BH2475" s="26"/>
      <c r="BI2475" s="26"/>
      <c r="BJ2475" s="26"/>
      <c r="BK2475" s="26"/>
      <c r="BL2475" s="26"/>
      <c r="BM2475" s="26"/>
      <c r="BN2475" s="26"/>
      <c r="BO2475" s="26"/>
      <c r="BP2475" s="16" t="n">
        <v>45455</v>
      </c>
      <c r="BQ2475" s="28" t="str">
        <f>HYPERLINK("https://organic.ams.usda.gov/Integrity/Certificate.aspx?cid=45&amp;nopid=9950013163")</f>
        <v>https://organic.ams.usda.gov/Integrity/Certificate.aspx?cid=45&amp;nopid=9950013163</v>
      </c>
    </row>
    <row r="2476">
      <c r="A2476" t="s">
        <v>3</v>
      </c>
      <c r="B2476" s="6" t="s">
        <v>8</v>
      </c>
      <c r="C2476" s="6" t="s">
        <v>55</v>
      </c>
      <c r="D2476" s="6" t="s">
        <v>101</v>
      </c>
      <c r="E2476" s="10" t="s">
        <v>2617</v>
      </c>
      <c r="F2476" s="6" t="s">
        <v>5322</v>
      </c>
      <c r="G2476" s="6" t="s">
        <v>5861</v>
      </c>
      <c r="H2476" s="6" t="s">
        <v>8145</v>
      </c>
      <c r="I2476" s="6" t="s">
        <v>8618</v>
      </c>
      <c r="J2476" s="6" t="s">
        <v>9705</v>
      </c>
      <c r="K2476" s="6" t="s">
        <v>10886</v>
      </c>
      <c r="L2476" s="16" t="n">
        <v>37918</v>
      </c>
      <c r="M2476" s="16" t="n">
        <v>45748</v>
      </c>
      <c r="N2476" s="6" t="s">
        <v>81</v>
      </c>
      <c r="O2476" s="21" t="s">
        <v>81</v>
      </c>
      <c r="P2476" s="6" t="s">
        <v>81</v>
      </c>
      <c r="Q2476" s="6" t="s">
        <v>81</v>
      </c>
      <c r="R2476" s="6" t="s">
        <v>81</v>
      </c>
      <c r="S2476" s="6" t="s">
        <v>81</v>
      </c>
      <c r="T2476" s="21" t="s">
        <v>81</v>
      </c>
      <c r="U2476" s="6" t="s">
        <v>81</v>
      </c>
      <c r="V2476" s="6" t="s">
        <v>81</v>
      </c>
      <c r="W2476" s="6" t="s">
        <v>81</v>
      </c>
      <c r="X2476" s="6" t="s">
        <v>81</v>
      </c>
      <c r="Y2476" s="21" t="s">
        <v>81</v>
      </c>
      <c r="Z2476" s="6" t="s">
        <v>81</v>
      </c>
      <c r="AA2476" s="6" t="s">
        <v>81</v>
      </c>
      <c r="AB2476" s="6" t="s">
        <v>81</v>
      </c>
      <c r="AC2476" s="6" t="s">
        <v>10886</v>
      </c>
      <c r="AD2476" s="16" t="n">
        <v>37918</v>
      </c>
      <c r="AE2476" s="6" t="s">
        <v>14443</v>
      </c>
      <c r="AF2476" s="6" t="s">
        <v>81</v>
      </c>
      <c r="AG2476" s="6" t="s">
        <v>8145</v>
      </c>
      <c r="AH2476" s="6" t="s">
        <v>17016</v>
      </c>
      <c r="AI2476" s="6" t="s">
        <v>81</v>
      </c>
      <c r="AJ2476" s="6" t="s">
        <v>17662</v>
      </c>
      <c r="AK2476" s="6" t="s">
        <v>18377</v>
      </c>
      <c r="AL2476" s="6" t="s">
        <v>18444</v>
      </c>
      <c r="AM2476" s="6" t="s">
        <v>18830</v>
      </c>
      <c r="AN2476" s="6" t="s">
        <v>7546</v>
      </c>
      <c r="AO2476" s="6" t="s">
        <v>19892</v>
      </c>
      <c r="AP2476" s="6" t="s">
        <v>20438</v>
      </c>
      <c r="AQ2476" s="6" t="s">
        <v>81</v>
      </c>
      <c r="AR2476" s="6" t="s">
        <v>17377</v>
      </c>
      <c r="AS2476" s="6" t="s">
        <v>18377</v>
      </c>
      <c r="AT2476" s="6" t="s">
        <v>18444</v>
      </c>
      <c r="AU2476" s="6" t="s">
        <v>18530</v>
      </c>
      <c r="AV2476" s="6" t="s">
        <v>81</v>
      </c>
      <c r="AW2476" s="6" t="s">
        <v>81</v>
      </c>
      <c r="AX2476" s="6" t="s">
        <v>22366</v>
      </c>
      <c r="AY2476" s="6" t="s">
        <v>23438</v>
      </c>
      <c r="AZ2476" s="6" t="s">
        <v>23606</v>
      </c>
      <c r="BA2476" s="6" t="s">
        <v>23824</v>
      </c>
      <c r="BB2476" s="24" t="n">
        <v>0</v>
      </c>
      <c r="BC2476" s="26"/>
      <c r="BD2476" s="26"/>
      <c r="BE2476" s="26"/>
      <c r="BF2476" s="26"/>
      <c r="BG2476" s="26"/>
      <c r="BH2476" s="26"/>
      <c r="BI2476" s="26"/>
      <c r="BJ2476" s="26"/>
      <c r="BK2476" s="26"/>
      <c r="BL2476" s="26"/>
      <c r="BM2476" s="26"/>
      <c r="BN2476" s="26" t="s">
        <v>23900</v>
      </c>
      <c r="BO2476" s="26"/>
      <c r="BP2476" s="16" t="n">
        <v>45637</v>
      </c>
      <c r="BQ2476" s="28" t="str">
        <f>HYPERLINK("https://organic.ams.usda.gov/Integrity/Certificate.aspx?cid=45&amp;nopid=9950001423")</f>
        <v>https://organic.ams.usda.gov/Integrity/Certificate.aspx?cid=45&amp;nopid=9950001423</v>
      </c>
    </row>
    <row r="2477">
      <c r="A2477" t="s">
        <v>3</v>
      </c>
      <c r="B2477" s="6" t="s">
        <v>22</v>
      </c>
      <c r="C2477" s="6" t="s">
        <v>69</v>
      </c>
      <c r="D2477" s="6" t="s">
        <v>115</v>
      </c>
      <c r="E2477" s="10" t="s">
        <v>2618</v>
      </c>
      <c r="F2477" s="6" t="s">
        <v>5323</v>
      </c>
      <c r="G2477" s="6" t="s">
        <v>5862</v>
      </c>
      <c r="H2477" s="6" t="s">
        <v>5862</v>
      </c>
      <c r="I2477" s="6" t="s">
        <v>8529</v>
      </c>
      <c r="J2477" s="6" t="s">
        <v>10764</v>
      </c>
      <c r="K2477" s="6" t="s">
        <v>10886</v>
      </c>
      <c r="L2477" s="16" t="n">
        <v>42122</v>
      </c>
      <c r="M2477" s="16" t="n">
        <v>45689</v>
      </c>
      <c r="N2477" s="6" t="s">
        <v>10886</v>
      </c>
      <c r="O2477" s="16" t="n">
        <v>42122</v>
      </c>
      <c r="P2477" s="6" t="s">
        <v>11428</v>
      </c>
      <c r="Q2477" s="6" t="s">
        <v>81</v>
      </c>
      <c r="R2477" s="6" t="s">
        <v>5862</v>
      </c>
      <c r="S2477" s="6" t="s">
        <v>81</v>
      </c>
      <c r="T2477" s="21" t="s">
        <v>81</v>
      </c>
      <c r="U2477" s="6" t="s">
        <v>81</v>
      </c>
      <c r="V2477" s="6" t="s">
        <v>81</v>
      </c>
      <c r="W2477" s="6" t="s">
        <v>81</v>
      </c>
      <c r="X2477" s="6" t="s">
        <v>81</v>
      </c>
      <c r="Y2477" s="21" t="s">
        <v>81</v>
      </c>
      <c r="Z2477" s="6" t="s">
        <v>81</v>
      </c>
      <c r="AA2477" s="6" t="s">
        <v>81</v>
      </c>
      <c r="AB2477" s="6" t="s">
        <v>81</v>
      </c>
      <c r="AC2477" s="6" t="s">
        <v>10886</v>
      </c>
      <c r="AD2477" s="16" t="n">
        <v>42122</v>
      </c>
      <c r="AE2477" s="6" t="s">
        <v>14444</v>
      </c>
      <c r="AF2477" s="6" t="s">
        <v>81</v>
      </c>
      <c r="AG2477" s="6" t="s">
        <v>5862</v>
      </c>
      <c r="AH2477" s="6" t="s">
        <v>17017</v>
      </c>
      <c r="AI2477" s="6" t="s">
        <v>81</v>
      </c>
      <c r="AJ2477" s="6" t="s">
        <v>17362</v>
      </c>
      <c r="AK2477" s="6" t="s">
        <v>81</v>
      </c>
      <c r="AL2477" s="6" t="s">
        <v>18445</v>
      </c>
      <c r="AM2477" s="6" t="s">
        <v>81</v>
      </c>
      <c r="AN2477" s="6" t="s">
        <v>81</v>
      </c>
      <c r="AO2477" s="6" t="s">
        <v>81</v>
      </c>
      <c r="AP2477" s="6" t="s">
        <v>17017</v>
      </c>
      <c r="AQ2477" s="6" t="s">
        <v>81</v>
      </c>
      <c r="AR2477" s="6" t="s">
        <v>17362</v>
      </c>
      <c r="AS2477" s="6" t="s">
        <v>81</v>
      </c>
      <c r="AT2477" s="6" t="s">
        <v>18445</v>
      </c>
      <c r="AU2477" s="6" t="s">
        <v>81</v>
      </c>
      <c r="AV2477" s="6" t="s">
        <v>81</v>
      </c>
      <c r="AW2477" s="6" t="s">
        <v>81</v>
      </c>
      <c r="AX2477" s="6" t="s">
        <v>81</v>
      </c>
      <c r="AY2477" s="6" t="s">
        <v>23439</v>
      </c>
      <c r="AZ2477" s="6" t="s">
        <v>81</v>
      </c>
      <c r="BA2477" s="6" t="s">
        <v>23821</v>
      </c>
      <c r="BB2477" s="24" t="n">
        <v>1508</v>
      </c>
      <c r="BC2477" s="26"/>
      <c r="BD2477" s="26"/>
      <c r="BE2477" s="26"/>
      <c r="BF2477" s="26"/>
      <c r="BG2477" s="26"/>
      <c r="BH2477" s="26"/>
      <c r="BI2477" s="26"/>
      <c r="BJ2477" s="26"/>
      <c r="BK2477" s="26"/>
      <c r="BL2477" s="26"/>
      <c r="BM2477" s="26"/>
      <c r="BN2477" s="26"/>
      <c r="BO2477" s="26" t="s">
        <v>23900</v>
      </c>
      <c r="BP2477" s="16" t="n">
        <v>45473</v>
      </c>
      <c r="BQ2477" s="28" t="str">
        <f>HYPERLINK("https://organic.ams.usda.gov/Integrity/Certificate.aspx?cid=21&amp;nopid=1780833900")</f>
        <v>https://organic.ams.usda.gov/Integrity/Certificate.aspx?cid=21&amp;nopid=1780833900</v>
      </c>
    </row>
    <row r="2478">
      <c r="A2478" t="s">
        <v>3</v>
      </c>
      <c r="B2478" s="6" t="s">
        <v>13</v>
      </c>
      <c r="C2478" s="6" t="s">
        <v>60</v>
      </c>
      <c r="D2478" s="6" t="s">
        <v>106</v>
      </c>
      <c r="E2478" s="10" t="s">
        <v>2619</v>
      </c>
      <c r="F2478" s="6" t="s">
        <v>5324</v>
      </c>
      <c r="G2478" s="6" t="s">
        <v>81</v>
      </c>
      <c r="H2478" s="6" t="s">
        <v>8146</v>
      </c>
      <c r="I2478" s="6" t="s">
        <v>9558</v>
      </c>
      <c r="J2478" s="6" t="s">
        <v>10765</v>
      </c>
      <c r="K2478" s="6" t="s">
        <v>10886</v>
      </c>
      <c r="L2478" s="16" t="n">
        <v>43437</v>
      </c>
      <c r="M2478" s="16" t="n">
        <v>45839</v>
      </c>
      <c r="N2478" s="6" t="s">
        <v>81</v>
      </c>
      <c r="O2478" s="21" t="s">
        <v>81</v>
      </c>
      <c r="P2478" s="6" t="s">
        <v>81</v>
      </c>
      <c r="Q2478" s="6" t="s">
        <v>81</v>
      </c>
      <c r="R2478" s="6" t="s">
        <v>81</v>
      </c>
      <c r="S2478" s="6" t="s">
        <v>81</v>
      </c>
      <c r="T2478" s="21" t="s">
        <v>81</v>
      </c>
      <c r="U2478" s="6" t="s">
        <v>81</v>
      </c>
      <c r="V2478" s="6" t="s">
        <v>81</v>
      </c>
      <c r="W2478" s="6" t="s">
        <v>81</v>
      </c>
      <c r="X2478" s="6" t="s">
        <v>81</v>
      </c>
      <c r="Y2478" s="21" t="s">
        <v>81</v>
      </c>
      <c r="Z2478" s="6" t="s">
        <v>81</v>
      </c>
      <c r="AA2478" s="6" t="s">
        <v>81</v>
      </c>
      <c r="AB2478" s="6" t="s">
        <v>81</v>
      </c>
      <c r="AC2478" s="6" t="s">
        <v>10886</v>
      </c>
      <c r="AD2478" s="16" t="n">
        <v>43437</v>
      </c>
      <c r="AE2478" s="6" t="s">
        <v>14445</v>
      </c>
      <c r="AF2478" s="6" t="s">
        <v>81</v>
      </c>
      <c r="AG2478" s="6" t="s">
        <v>14600</v>
      </c>
      <c r="AH2478" s="6" t="s">
        <v>17018</v>
      </c>
      <c r="AI2478" s="6" t="s">
        <v>81</v>
      </c>
      <c r="AJ2478" s="6" t="s">
        <v>17447</v>
      </c>
      <c r="AK2478" s="6" t="s">
        <v>18386</v>
      </c>
      <c r="AL2478" s="6" t="s">
        <v>18444</v>
      </c>
      <c r="AM2478" s="6" t="s">
        <v>18605</v>
      </c>
      <c r="AN2478" s="6" t="s">
        <v>19642</v>
      </c>
      <c r="AO2478" s="6" t="s">
        <v>19798</v>
      </c>
      <c r="AP2478" s="6" t="s">
        <v>17018</v>
      </c>
      <c r="AQ2478" s="6" t="s">
        <v>81</v>
      </c>
      <c r="AR2478" s="6" t="s">
        <v>17447</v>
      </c>
      <c r="AS2478" s="6" t="s">
        <v>18386</v>
      </c>
      <c r="AT2478" s="6" t="s">
        <v>18444</v>
      </c>
      <c r="AU2478" s="6" t="s">
        <v>18605</v>
      </c>
      <c r="AV2478" s="6" t="s">
        <v>81</v>
      </c>
      <c r="AW2478" s="6" t="s">
        <v>81</v>
      </c>
      <c r="AX2478" s="6" t="s">
        <v>22367</v>
      </c>
      <c r="AY2478" s="6" t="s">
        <v>23440</v>
      </c>
      <c r="AZ2478" s="6" t="s">
        <v>81</v>
      </c>
      <c r="BA2478" s="6" t="s">
        <v>81</v>
      </c>
      <c r="BB2478" s="6" t="s">
        <v>81</v>
      </c>
      <c r="BC2478" s="26"/>
      <c r="BD2478" s="26"/>
      <c r="BE2478" s="26"/>
      <c r="BF2478" s="26"/>
      <c r="BG2478" s="26"/>
      <c r="BH2478" s="26"/>
      <c r="BI2478" s="26"/>
      <c r="BJ2478" s="26"/>
      <c r="BK2478" s="26"/>
      <c r="BL2478" s="26"/>
      <c r="BM2478" s="26"/>
      <c r="BN2478" s="26"/>
      <c r="BO2478" s="26"/>
      <c r="BP2478" s="16" t="n">
        <v>45663</v>
      </c>
      <c r="BQ2478" s="28" t="str">
        <f>HYPERLINK("https://organic.ams.usda.gov/Integrity/Certificate.aspx?cid=72&amp;nopid=5871052627")</f>
        <v>https://organic.ams.usda.gov/Integrity/Certificate.aspx?cid=72&amp;nopid=5871052627</v>
      </c>
    </row>
    <row r="2479">
      <c r="A2479" t="s">
        <v>3</v>
      </c>
      <c r="B2479" s="6" t="s">
        <v>38</v>
      </c>
      <c r="C2479" s="6" t="s">
        <v>85</v>
      </c>
      <c r="D2479" s="6" t="s">
        <v>130</v>
      </c>
      <c r="E2479" s="10" t="s">
        <v>2620</v>
      </c>
      <c r="F2479" s="6" t="s">
        <v>5325</v>
      </c>
      <c r="G2479" s="6" t="s">
        <v>81</v>
      </c>
      <c r="H2479" s="6" t="s">
        <v>8147</v>
      </c>
      <c r="I2479" s="6" t="s">
        <v>9559</v>
      </c>
      <c r="J2479" s="6" t="s">
        <v>10766</v>
      </c>
      <c r="K2479" s="6" t="s">
        <v>10886</v>
      </c>
      <c r="L2479" s="16" t="n">
        <v>43658</v>
      </c>
      <c r="M2479" s="16" t="n">
        <v>45809</v>
      </c>
      <c r="N2479" s="6" t="s">
        <v>10886</v>
      </c>
      <c r="O2479" s="16" t="n">
        <v>43658</v>
      </c>
      <c r="P2479" s="6" t="s">
        <v>12280</v>
      </c>
      <c r="Q2479" s="6" t="s">
        <v>81</v>
      </c>
      <c r="R2479" s="6" t="s">
        <v>81</v>
      </c>
      <c r="S2479" s="6" t="s">
        <v>10886</v>
      </c>
      <c r="T2479" s="16" t="n">
        <v>43658</v>
      </c>
      <c r="U2479" s="6" t="s">
        <v>13890</v>
      </c>
      <c r="V2479" s="6" t="s">
        <v>81</v>
      </c>
      <c r="W2479" s="6" t="s">
        <v>81</v>
      </c>
      <c r="X2479" s="6" t="s">
        <v>81</v>
      </c>
      <c r="Y2479" s="21" t="s">
        <v>81</v>
      </c>
      <c r="Z2479" s="6" t="s">
        <v>81</v>
      </c>
      <c r="AA2479" s="6" t="s">
        <v>81</v>
      </c>
      <c r="AB2479" s="6" t="s">
        <v>81</v>
      </c>
      <c r="AC2479" s="6" t="s">
        <v>81</v>
      </c>
      <c r="AD2479" s="21" t="s">
        <v>81</v>
      </c>
      <c r="AE2479" s="6" t="s">
        <v>81</v>
      </c>
      <c r="AF2479" s="6" t="s">
        <v>81</v>
      </c>
      <c r="AG2479" s="6" t="s">
        <v>81</v>
      </c>
      <c r="AH2479" s="6" t="s">
        <v>17019</v>
      </c>
      <c r="AI2479" s="6" t="s">
        <v>81</v>
      </c>
      <c r="AJ2479" s="6" t="s">
        <v>18305</v>
      </c>
      <c r="AK2479" s="6" t="s">
        <v>18412</v>
      </c>
      <c r="AL2479" s="6" t="s">
        <v>18444</v>
      </c>
      <c r="AM2479" s="6" t="s">
        <v>19540</v>
      </c>
      <c r="AN2479" s="6" t="s">
        <v>19665</v>
      </c>
      <c r="AO2479" s="6" t="s">
        <v>20062</v>
      </c>
      <c r="AP2479" s="6" t="s">
        <v>20439</v>
      </c>
      <c r="AQ2479" s="6" t="s">
        <v>81</v>
      </c>
      <c r="AR2479" s="6" t="s">
        <v>18305</v>
      </c>
      <c r="AS2479" s="6" t="s">
        <v>18412</v>
      </c>
      <c r="AT2479" s="6" t="s">
        <v>18444</v>
      </c>
      <c r="AU2479" s="6" t="s">
        <v>19540</v>
      </c>
      <c r="AV2479" s="6" t="s">
        <v>81</v>
      </c>
      <c r="AW2479" s="6" t="s">
        <v>81</v>
      </c>
      <c r="AX2479" s="6" t="s">
        <v>22368</v>
      </c>
      <c r="AY2479" s="6" t="s">
        <v>23441</v>
      </c>
      <c r="AZ2479" s="6" t="s">
        <v>81</v>
      </c>
      <c r="BA2479" s="6" t="s">
        <v>81</v>
      </c>
      <c r="BB2479" s="24" t="n">
        <v>1157</v>
      </c>
      <c r="BC2479" s="26"/>
      <c r="BD2479" s="26"/>
      <c r="BE2479" s="26"/>
      <c r="BF2479" s="26"/>
      <c r="BG2479" s="26"/>
      <c r="BH2479" s="26"/>
      <c r="BI2479" s="26"/>
      <c r="BJ2479" s="26"/>
      <c r="BK2479" s="26"/>
      <c r="BL2479" s="26"/>
      <c r="BM2479" s="26"/>
      <c r="BN2479" s="26"/>
      <c r="BO2479" s="26"/>
      <c r="BP2479" s="16" t="n">
        <v>45722</v>
      </c>
      <c r="BQ2479" s="28" t="str">
        <f>HYPERLINK("https://organic.ams.usda.gov/Integrity/Certificate.aspx?cid=33&amp;nopid=2170151085")</f>
        <v>https://organic.ams.usda.gov/Integrity/Certificate.aspx?cid=33&amp;nopid=2170151085</v>
      </c>
    </row>
    <row r="2480">
      <c r="A2480" t="s">
        <v>3</v>
      </c>
      <c r="B2480" s="6" t="s">
        <v>29</v>
      </c>
      <c r="C2480" s="6" t="s">
        <v>76</v>
      </c>
      <c r="D2480" s="6" t="s">
        <v>122</v>
      </c>
      <c r="E2480" s="10" t="s">
        <v>2621</v>
      </c>
      <c r="F2480" s="6" t="s">
        <v>5326</v>
      </c>
      <c r="G2480" s="6" t="s">
        <v>81</v>
      </c>
      <c r="H2480" s="6" t="s">
        <v>8148</v>
      </c>
      <c r="I2480" s="6" t="s">
        <v>9560</v>
      </c>
      <c r="J2480" s="6" t="s">
        <v>10767</v>
      </c>
      <c r="K2480" s="6" t="s">
        <v>10886</v>
      </c>
      <c r="L2480" s="16" t="n">
        <v>38514</v>
      </c>
      <c r="M2480" s="16" t="n">
        <v>45505</v>
      </c>
      <c r="N2480" s="6" t="s">
        <v>10886</v>
      </c>
      <c r="O2480" s="16" t="n">
        <v>38514</v>
      </c>
      <c r="P2480" s="6" t="s">
        <v>12281</v>
      </c>
      <c r="Q2480" s="6" t="s">
        <v>81</v>
      </c>
      <c r="R2480" s="6" t="s">
        <v>13096</v>
      </c>
      <c r="S2480" s="6" t="s">
        <v>10886</v>
      </c>
      <c r="T2480" s="16" t="n">
        <v>38514</v>
      </c>
      <c r="U2480" s="6" t="s">
        <v>13252</v>
      </c>
      <c r="V2480" s="6" t="s">
        <v>81</v>
      </c>
      <c r="W2480" s="6" t="s">
        <v>13096</v>
      </c>
      <c r="X2480" s="6" t="s">
        <v>81</v>
      </c>
      <c r="Y2480" s="21" t="s">
        <v>81</v>
      </c>
      <c r="Z2480" s="6" t="s">
        <v>81</v>
      </c>
      <c r="AA2480" s="6" t="s">
        <v>81</v>
      </c>
      <c r="AB2480" s="6" t="s">
        <v>81</v>
      </c>
      <c r="AC2480" s="6" t="s">
        <v>81</v>
      </c>
      <c r="AD2480" s="21" t="s">
        <v>81</v>
      </c>
      <c r="AE2480" s="6" t="s">
        <v>81</v>
      </c>
      <c r="AF2480" s="6" t="s">
        <v>81</v>
      </c>
      <c r="AG2480" s="6" t="s">
        <v>81</v>
      </c>
      <c r="AH2480" s="6" t="s">
        <v>17020</v>
      </c>
      <c r="AI2480" s="6" t="s">
        <v>81</v>
      </c>
      <c r="AJ2480" s="6" t="s">
        <v>10767</v>
      </c>
      <c r="AK2480" s="6" t="s">
        <v>18377</v>
      </c>
      <c r="AL2480" s="6" t="s">
        <v>18444</v>
      </c>
      <c r="AM2480" s="6" t="s">
        <v>19541</v>
      </c>
      <c r="AN2480" s="6" t="s">
        <v>19673</v>
      </c>
      <c r="AO2480" s="6" t="s">
        <v>19891</v>
      </c>
      <c r="AP2480" s="6" t="s">
        <v>20440</v>
      </c>
      <c r="AQ2480" s="6" t="s">
        <v>81</v>
      </c>
      <c r="AR2480" s="6" t="s">
        <v>10767</v>
      </c>
      <c r="AS2480" s="6" t="s">
        <v>18377</v>
      </c>
      <c r="AT2480" s="6" t="s">
        <v>18444</v>
      </c>
      <c r="AU2480" s="6" t="s">
        <v>19541</v>
      </c>
      <c r="AV2480" s="6" t="s">
        <v>81</v>
      </c>
      <c r="AW2480" s="6" t="s">
        <v>81</v>
      </c>
      <c r="AX2480" s="6" t="s">
        <v>22369</v>
      </c>
      <c r="AY2480" s="6" t="s">
        <v>81</v>
      </c>
      <c r="AZ2480" s="6" t="s">
        <v>81</v>
      </c>
      <c r="BA2480" s="6" t="s">
        <v>81</v>
      </c>
      <c r="BB2480" s="24" t="n">
        <v>478</v>
      </c>
      <c r="BC2480" s="26"/>
      <c r="BD2480" s="26"/>
      <c r="BE2480" s="26"/>
      <c r="BF2480" s="26" t="s">
        <v>23900</v>
      </c>
      <c r="BG2480" s="26"/>
      <c r="BH2480" s="26"/>
      <c r="BI2480" s="26"/>
      <c r="BJ2480" s="26"/>
      <c r="BK2480" s="26"/>
      <c r="BL2480" s="26"/>
      <c r="BM2480" s="26"/>
      <c r="BN2480" s="26"/>
      <c r="BO2480" s="26"/>
      <c r="BP2480" s="16" t="n">
        <v>45737</v>
      </c>
      <c r="BQ2480" s="28" t="str">
        <f>HYPERLINK("https://organic.ams.usda.gov/Integrity/Certificate.aspx?cid=31&amp;nopid=3920897455")</f>
        <v>https://organic.ams.usda.gov/Integrity/Certificate.aspx?cid=31&amp;nopid=3920897455</v>
      </c>
    </row>
    <row r="2481">
      <c r="A2481" t="s">
        <v>3</v>
      </c>
      <c r="B2481" s="6" t="s">
        <v>11</v>
      </c>
      <c r="C2481" s="6" t="s">
        <v>58</v>
      </c>
      <c r="D2481" s="6" t="s">
        <v>104</v>
      </c>
      <c r="E2481" s="10" t="s">
        <v>2622</v>
      </c>
      <c r="F2481" s="6" t="s">
        <v>5327</v>
      </c>
      <c r="G2481" s="6" t="s">
        <v>5863</v>
      </c>
      <c r="H2481" s="6" t="s">
        <v>81</v>
      </c>
      <c r="I2481" s="6" t="s">
        <v>9561</v>
      </c>
      <c r="J2481" s="6" t="s">
        <v>9734</v>
      </c>
      <c r="K2481" s="6" t="s">
        <v>10886</v>
      </c>
      <c r="L2481" s="16" t="n">
        <v>43957</v>
      </c>
      <c r="M2481" s="16" t="n">
        <v>45383</v>
      </c>
      <c r="N2481" s="6" t="s">
        <v>10886</v>
      </c>
      <c r="O2481" s="16" t="n">
        <v>43957</v>
      </c>
      <c r="P2481" s="6" t="s">
        <v>12282</v>
      </c>
      <c r="Q2481" s="6" t="s">
        <v>81</v>
      </c>
      <c r="R2481" s="6" t="s">
        <v>81</v>
      </c>
      <c r="S2481" s="6" t="s">
        <v>10886</v>
      </c>
      <c r="T2481" s="16" t="n">
        <v>43957</v>
      </c>
      <c r="U2481" s="6" t="s">
        <v>13891</v>
      </c>
      <c r="V2481" s="6" t="s">
        <v>81</v>
      </c>
      <c r="W2481" s="6" t="s">
        <v>81</v>
      </c>
      <c r="X2481" s="6" t="s">
        <v>81</v>
      </c>
      <c r="Y2481" s="21" t="s">
        <v>81</v>
      </c>
      <c r="Z2481" s="6" t="s">
        <v>81</v>
      </c>
      <c r="AA2481" s="6" t="s">
        <v>81</v>
      </c>
      <c r="AB2481" s="6" t="s">
        <v>81</v>
      </c>
      <c r="AC2481" s="6" t="s">
        <v>81</v>
      </c>
      <c r="AD2481" s="21" t="s">
        <v>81</v>
      </c>
      <c r="AE2481" s="6" t="s">
        <v>81</v>
      </c>
      <c r="AF2481" s="6" t="s">
        <v>81</v>
      </c>
      <c r="AG2481" s="6" t="s">
        <v>81</v>
      </c>
      <c r="AH2481" s="6" t="s">
        <v>17021</v>
      </c>
      <c r="AI2481" s="6" t="s">
        <v>81</v>
      </c>
      <c r="AJ2481" s="6" t="s">
        <v>17377</v>
      </c>
      <c r="AK2481" s="6" t="s">
        <v>18377</v>
      </c>
      <c r="AL2481" s="6" t="s">
        <v>18444</v>
      </c>
      <c r="AM2481" s="6" t="s">
        <v>18530</v>
      </c>
      <c r="AN2481" s="6" t="s">
        <v>19634</v>
      </c>
      <c r="AO2481" s="6" t="s">
        <v>19764</v>
      </c>
      <c r="AP2481" s="6" t="s">
        <v>17021</v>
      </c>
      <c r="AQ2481" s="6" t="s">
        <v>81</v>
      </c>
      <c r="AR2481" s="6" t="s">
        <v>17377</v>
      </c>
      <c r="AS2481" s="6" t="s">
        <v>18377</v>
      </c>
      <c r="AT2481" s="6" t="s">
        <v>18444</v>
      </c>
      <c r="AU2481" s="6" t="s">
        <v>18530</v>
      </c>
      <c r="AV2481" s="6" t="s">
        <v>81</v>
      </c>
      <c r="AW2481" s="6" t="s">
        <v>81</v>
      </c>
      <c r="AX2481" s="6" t="s">
        <v>81</v>
      </c>
      <c r="AY2481" s="6" t="s">
        <v>81</v>
      </c>
      <c r="AZ2481" s="6" t="s">
        <v>81</v>
      </c>
      <c r="BA2481" s="6" t="s">
        <v>23820</v>
      </c>
      <c r="BB2481" s="24" t="n">
        <v>140</v>
      </c>
      <c r="BC2481" s="26"/>
      <c r="BD2481" s="26"/>
      <c r="BE2481" s="26"/>
      <c r="BF2481" s="26"/>
      <c r="BG2481" s="26"/>
      <c r="BH2481" s="26"/>
      <c r="BI2481" s="26"/>
      <c r="BJ2481" s="26"/>
      <c r="BK2481" s="26"/>
      <c r="BL2481" s="26"/>
      <c r="BM2481" s="26"/>
      <c r="BN2481" s="26"/>
      <c r="BO2481" s="26"/>
      <c r="BP2481" s="16" t="n">
        <v>45443</v>
      </c>
      <c r="BQ2481" s="28" t="str">
        <f>HYPERLINK("https://organic.ams.usda.gov/Integrity/Certificate.aspx?cid=46&amp;nopid=3672000015")</f>
        <v>https://organic.ams.usda.gov/Integrity/Certificate.aspx?cid=46&amp;nopid=3672000015</v>
      </c>
    </row>
    <row r="2482">
      <c r="A2482" t="s">
        <v>3</v>
      </c>
      <c r="B2482" s="6" t="s">
        <v>8</v>
      </c>
      <c r="C2482" s="6" t="s">
        <v>55</v>
      </c>
      <c r="D2482" s="6" t="s">
        <v>101</v>
      </c>
      <c r="E2482" s="10" t="s">
        <v>2623</v>
      </c>
      <c r="F2482" s="6" t="s">
        <v>5328</v>
      </c>
      <c r="G2482" s="6" t="s">
        <v>81</v>
      </c>
      <c r="H2482" s="6" t="s">
        <v>8149</v>
      </c>
      <c r="I2482" s="6" t="s">
        <v>9562</v>
      </c>
      <c r="J2482" s="6" t="s">
        <v>9664</v>
      </c>
      <c r="K2482" s="6" t="s">
        <v>10886</v>
      </c>
      <c r="L2482" s="16" t="n">
        <v>39680</v>
      </c>
      <c r="M2482" s="16" t="n">
        <v>45689</v>
      </c>
      <c r="N2482" s="6" t="s">
        <v>10886</v>
      </c>
      <c r="O2482" s="16" t="n">
        <v>39680</v>
      </c>
      <c r="P2482" s="6" t="s">
        <v>12283</v>
      </c>
      <c r="Q2482" s="6" t="s">
        <v>81</v>
      </c>
      <c r="R2482" s="6" t="s">
        <v>8149</v>
      </c>
      <c r="S2482" s="6" t="s">
        <v>10886</v>
      </c>
      <c r="T2482" s="16" t="n">
        <v>39680</v>
      </c>
      <c r="U2482" s="6" t="s">
        <v>13179</v>
      </c>
      <c r="V2482" s="6" t="s">
        <v>81</v>
      </c>
      <c r="W2482" s="6" t="s">
        <v>8149</v>
      </c>
      <c r="X2482" s="6" t="s">
        <v>81</v>
      </c>
      <c r="Y2482" s="21" t="s">
        <v>81</v>
      </c>
      <c r="Z2482" s="6" t="s">
        <v>81</v>
      </c>
      <c r="AA2482" s="6" t="s">
        <v>81</v>
      </c>
      <c r="AB2482" s="6" t="s">
        <v>81</v>
      </c>
      <c r="AC2482" s="6" t="s">
        <v>81</v>
      </c>
      <c r="AD2482" s="21" t="s">
        <v>81</v>
      </c>
      <c r="AE2482" s="6" t="s">
        <v>81</v>
      </c>
      <c r="AF2482" s="6" t="s">
        <v>81</v>
      </c>
      <c r="AG2482" s="6" t="s">
        <v>81</v>
      </c>
      <c r="AH2482" s="6" t="s">
        <v>17022</v>
      </c>
      <c r="AI2482" s="6" t="s">
        <v>81</v>
      </c>
      <c r="AJ2482" s="6" t="s">
        <v>17530</v>
      </c>
      <c r="AK2482" s="6" t="s">
        <v>18377</v>
      </c>
      <c r="AL2482" s="6" t="s">
        <v>18444</v>
      </c>
      <c r="AM2482" s="6" t="s">
        <v>6414</v>
      </c>
      <c r="AN2482" s="6" t="s">
        <v>19646</v>
      </c>
      <c r="AO2482" s="6" t="s">
        <v>19733</v>
      </c>
      <c r="AP2482" s="6" t="s">
        <v>81</v>
      </c>
      <c r="AQ2482" s="6" t="s">
        <v>81</v>
      </c>
      <c r="AR2482" s="6" t="s">
        <v>81</v>
      </c>
      <c r="AS2482" s="6" t="s">
        <v>81</v>
      </c>
      <c r="AT2482" s="6" t="s">
        <v>81</v>
      </c>
      <c r="AU2482" s="6" t="s">
        <v>81</v>
      </c>
      <c r="AV2482" s="6" t="s">
        <v>81</v>
      </c>
      <c r="AW2482" s="6" t="s">
        <v>81</v>
      </c>
      <c r="AX2482" s="6" t="s">
        <v>81</v>
      </c>
      <c r="AY2482" s="6" t="s">
        <v>81</v>
      </c>
      <c r="AZ2482" s="6" t="s">
        <v>81</v>
      </c>
      <c r="BA2482" s="6" t="s">
        <v>23819</v>
      </c>
      <c r="BB2482" s="24" t="n">
        <v>190</v>
      </c>
      <c r="BC2482" s="26"/>
      <c r="BD2482" s="26"/>
      <c r="BE2482" s="26"/>
      <c r="BF2482" s="26" t="s">
        <v>23900</v>
      </c>
      <c r="BG2482" s="26"/>
      <c r="BH2482" s="26"/>
      <c r="BI2482" s="26"/>
      <c r="BJ2482" s="26"/>
      <c r="BK2482" s="26"/>
      <c r="BL2482" s="26"/>
      <c r="BM2482" s="26"/>
      <c r="BN2482" s="26"/>
      <c r="BO2482" s="26"/>
      <c r="BP2482" s="16" t="n">
        <v>45695</v>
      </c>
      <c r="BQ2482" s="28" t="str">
        <f>HYPERLINK("https://organic.ams.usda.gov/Integrity/Certificate.aspx?cid=45&amp;nopid=9950003037")</f>
        <v>https://organic.ams.usda.gov/Integrity/Certificate.aspx?cid=45&amp;nopid=9950003037</v>
      </c>
    </row>
    <row r="2483">
      <c r="A2483" t="s">
        <v>3</v>
      </c>
      <c r="B2483" s="6" t="s">
        <v>36</v>
      </c>
      <c r="C2483" s="6" t="s">
        <v>83</v>
      </c>
      <c r="D2483" s="6" t="s">
        <v>128</v>
      </c>
      <c r="E2483" s="10" t="s">
        <v>2624</v>
      </c>
      <c r="F2483" s="6" t="s">
        <v>5329</v>
      </c>
      <c r="G2483" s="6" t="s">
        <v>81</v>
      </c>
      <c r="H2483" s="6" t="s">
        <v>8150</v>
      </c>
      <c r="I2483" s="6" t="s">
        <v>9009</v>
      </c>
      <c r="J2483" s="6" t="s">
        <v>10768</v>
      </c>
      <c r="K2483" s="6" t="s">
        <v>10886</v>
      </c>
      <c r="L2483" s="16" t="n">
        <v>43525</v>
      </c>
      <c r="M2483" s="16" t="n">
        <v>45747</v>
      </c>
      <c r="N2483" s="6" t="s">
        <v>81</v>
      </c>
      <c r="O2483" s="21" t="s">
        <v>81</v>
      </c>
      <c r="P2483" s="6" t="s">
        <v>81</v>
      </c>
      <c r="Q2483" s="6" t="s">
        <v>81</v>
      </c>
      <c r="R2483" s="6" t="s">
        <v>81</v>
      </c>
      <c r="S2483" s="6" t="s">
        <v>10886</v>
      </c>
      <c r="T2483" s="16" t="n">
        <v>43525</v>
      </c>
      <c r="U2483" s="6" t="s">
        <v>13892</v>
      </c>
      <c r="V2483" s="6" t="s">
        <v>81</v>
      </c>
      <c r="W2483" s="6" t="s">
        <v>8150</v>
      </c>
      <c r="X2483" s="6" t="s">
        <v>81</v>
      </c>
      <c r="Y2483" s="21" t="s">
        <v>81</v>
      </c>
      <c r="Z2483" s="6" t="s">
        <v>81</v>
      </c>
      <c r="AA2483" s="6" t="s">
        <v>81</v>
      </c>
      <c r="AB2483" s="6" t="s">
        <v>81</v>
      </c>
      <c r="AC2483" s="6" t="s">
        <v>81</v>
      </c>
      <c r="AD2483" s="21" t="s">
        <v>81</v>
      </c>
      <c r="AE2483" s="6" t="s">
        <v>81</v>
      </c>
      <c r="AF2483" s="6" t="s">
        <v>81</v>
      </c>
      <c r="AG2483" s="6" t="s">
        <v>81</v>
      </c>
      <c r="AH2483" s="6" t="s">
        <v>17023</v>
      </c>
      <c r="AI2483" s="6" t="s">
        <v>81</v>
      </c>
      <c r="AJ2483" s="6" t="s">
        <v>18306</v>
      </c>
      <c r="AK2483" s="6" t="s">
        <v>18395</v>
      </c>
      <c r="AL2483" s="6" t="s">
        <v>18444</v>
      </c>
      <c r="AM2483" s="6" t="s">
        <v>19542</v>
      </c>
      <c r="AN2483" s="6" t="s">
        <v>19715</v>
      </c>
      <c r="AO2483" s="6" t="s">
        <v>20063</v>
      </c>
      <c r="AP2483" s="6" t="s">
        <v>20441</v>
      </c>
      <c r="AQ2483" s="6" t="s">
        <v>81</v>
      </c>
      <c r="AR2483" s="6" t="s">
        <v>20582</v>
      </c>
      <c r="AS2483" s="6" t="s">
        <v>18395</v>
      </c>
      <c r="AT2483" s="6" t="s">
        <v>18444</v>
      </c>
      <c r="AU2483" s="6" t="s">
        <v>20707</v>
      </c>
      <c r="AV2483" s="6" t="s">
        <v>81</v>
      </c>
      <c r="AW2483" s="6" t="s">
        <v>81</v>
      </c>
      <c r="AX2483" s="6" t="s">
        <v>22370</v>
      </c>
      <c r="AY2483" s="6" t="s">
        <v>23442</v>
      </c>
      <c r="AZ2483" s="6" t="s">
        <v>81</v>
      </c>
      <c r="BA2483" s="6" t="s">
        <v>81</v>
      </c>
      <c r="BB2483" s="24" t="n">
        <v>5714</v>
      </c>
      <c r="BC2483" s="26"/>
      <c r="BD2483" s="26"/>
      <c r="BE2483" s="26"/>
      <c r="BF2483" s="26"/>
      <c r="BG2483" s="26"/>
      <c r="BH2483" s="26"/>
      <c r="BI2483" s="26"/>
      <c r="BJ2483" s="26"/>
      <c r="BK2483" s="26"/>
      <c r="BL2483" s="26"/>
      <c r="BM2483" s="26"/>
      <c r="BN2483" s="26"/>
      <c r="BO2483" s="26"/>
      <c r="BP2483" s="16" t="n">
        <v>45448</v>
      </c>
      <c r="BQ2483" s="28" t="str">
        <f>HYPERLINK("https://organic.ams.usda.gov/Integrity/Certificate.aspx?cid=77&amp;nopid=3510796434")</f>
        <v>https://organic.ams.usda.gov/Integrity/Certificate.aspx?cid=77&amp;nopid=3510796434</v>
      </c>
    </row>
    <row r="2484">
      <c r="A2484" t="s">
        <v>3</v>
      </c>
      <c r="B2484" s="6" t="s">
        <v>36</v>
      </c>
      <c r="C2484" s="6" t="s">
        <v>83</v>
      </c>
      <c r="D2484" s="6" t="s">
        <v>128</v>
      </c>
      <c r="E2484" s="10" t="s">
        <v>2625</v>
      </c>
      <c r="F2484" s="6" t="s">
        <v>5330</v>
      </c>
      <c r="G2484" s="6" t="s">
        <v>81</v>
      </c>
      <c r="H2484" s="6" t="s">
        <v>8151</v>
      </c>
      <c r="I2484" s="6" t="s">
        <v>9009</v>
      </c>
      <c r="J2484" s="6" t="s">
        <v>10768</v>
      </c>
      <c r="K2484" s="6" t="s">
        <v>10886</v>
      </c>
      <c r="L2484" s="16" t="n">
        <v>43525</v>
      </c>
      <c r="M2484" s="16" t="n">
        <v>45747</v>
      </c>
      <c r="N2484" s="6" t="s">
        <v>81</v>
      </c>
      <c r="O2484" s="21" t="s">
        <v>81</v>
      </c>
      <c r="P2484" s="6" t="s">
        <v>81</v>
      </c>
      <c r="Q2484" s="6" t="s">
        <v>81</v>
      </c>
      <c r="R2484" s="6" t="s">
        <v>81</v>
      </c>
      <c r="S2484" s="6" t="s">
        <v>81</v>
      </c>
      <c r="T2484" s="21" t="s">
        <v>81</v>
      </c>
      <c r="U2484" s="6" t="s">
        <v>81</v>
      </c>
      <c r="V2484" s="6" t="s">
        <v>81</v>
      </c>
      <c r="W2484" s="6" t="s">
        <v>81</v>
      </c>
      <c r="X2484" s="6" t="s">
        <v>81</v>
      </c>
      <c r="Y2484" s="21" t="s">
        <v>81</v>
      </c>
      <c r="Z2484" s="6" t="s">
        <v>81</v>
      </c>
      <c r="AA2484" s="6" t="s">
        <v>81</v>
      </c>
      <c r="AB2484" s="6" t="s">
        <v>81</v>
      </c>
      <c r="AC2484" s="6" t="s">
        <v>10886</v>
      </c>
      <c r="AD2484" s="16" t="n">
        <v>43525</v>
      </c>
      <c r="AE2484" s="6" t="s">
        <v>14446</v>
      </c>
      <c r="AF2484" s="6" t="s">
        <v>81</v>
      </c>
      <c r="AG2484" s="6" t="s">
        <v>8151</v>
      </c>
      <c r="AH2484" s="6" t="s">
        <v>17023</v>
      </c>
      <c r="AI2484" s="6" t="s">
        <v>81</v>
      </c>
      <c r="AJ2484" s="6" t="s">
        <v>18306</v>
      </c>
      <c r="AK2484" s="6" t="s">
        <v>18395</v>
      </c>
      <c r="AL2484" s="6" t="s">
        <v>18444</v>
      </c>
      <c r="AM2484" s="6" t="s">
        <v>19542</v>
      </c>
      <c r="AN2484" s="6" t="s">
        <v>19715</v>
      </c>
      <c r="AO2484" s="6" t="s">
        <v>20063</v>
      </c>
      <c r="AP2484" s="6" t="s">
        <v>20441</v>
      </c>
      <c r="AQ2484" s="6" t="s">
        <v>81</v>
      </c>
      <c r="AR2484" s="6" t="s">
        <v>20582</v>
      </c>
      <c r="AS2484" s="6" t="s">
        <v>18395</v>
      </c>
      <c r="AT2484" s="6" t="s">
        <v>18444</v>
      </c>
      <c r="AU2484" s="6" t="s">
        <v>20707</v>
      </c>
      <c r="AV2484" s="6" t="s">
        <v>81</v>
      </c>
      <c r="AW2484" s="6" t="s">
        <v>81</v>
      </c>
      <c r="AX2484" s="6" t="s">
        <v>22370</v>
      </c>
      <c r="AY2484" s="6" t="s">
        <v>23442</v>
      </c>
      <c r="AZ2484" s="6" t="s">
        <v>81</v>
      </c>
      <c r="BA2484" s="6" t="s">
        <v>81</v>
      </c>
      <c r="BB2484" s="24" t="n">
        <v>5714</v>
      </c>
      <c r="BC2484" s="26"/>
      <c r="BD2484" s="26"/>
      <c r="BE2484" s="26"/>
      <c r="BF2484" s="26"/>
      <c r="BG2484" s="26"/>
      <c r="BH2484" s="26"/>
      <c r="BI2484" s="26"/>
      <c r="BJ2484" s="26"/>
      <c r="BK2484" s="26"/>
      <c r="BL2484" s="26"/>
      <c r="BM2484" s="26"/>
      <c r="BN2484" s="26"/>
      <c r="BO2484" s="26"/>
      <c r="BP2484" s="16" t="n">
        <v>45448</v>
      </c>
      <c r="BQ2484" s="28" t="str">
        <f>HYPERLINK("https://organic.ams.usda.gov/Integrity/Certificate.aspx?cid=77&amp;nopid=3510796385")</f>
        <v>https://organic.ams.usda.gov/Integrity/Certificate.aspx?cid=77&amp;nopid=3510796385</v>
      </c>
    </row>
    <row r="2485">
      <c r="A2485" t="s">
        <v>3</v>
      </c>
      <c r="B2485" s="6" t="s">
        <v>8</v>
      </c>
      <c r="C2485" s="6" t="s">
        <v>55</v>
      </c>
      <c r="D2485" s="6" t="s">
        <v>101</v>
      </c>
      <c r="E2485" s="10" t="s">
        <v>2626</v>
      </c>
      <c r="F2485" s="6" t="s">
        <v>5331</v>
      </c>
      <c r="G2485" s="6" t="s">
        <v>81</v>
      </c>
      <c r="H2485" s="6" t="s">
        <v>8152</v>
      </c>
      <c r="I2485" s="6" t="s">
        <v>8962</v>
      </c>
      <c r="J2485" s="6" t="s">
        <v>9665</v>
      </c>
      <c r="K2485" s="6" t="s">
        <v>10886</v>
      </c>
      <c r="L2485" s="16" t="n">
        <v>41142</v>
      </c>
      <c r="M2485" s="18" t="s">
        <v>81</v>
      </c>
      <c r="N2485" s="6" t="s">
        <v>10886</v>
      </c>
      <c r="O2485" s="16" t="n">
        <v>41142</v>
      </c>
      <c r="P2485" s="6" t="s">
        <v>12284</v>
      </c>
      <c r="Q2485" s="6" t="s">
        <v>81</v>
      </c>
      <c r="R2485" s="6" t="s">
        <v>81</v>
      </c>
      <c r="S2485" s="6" t="s">
        <v>10886</v>
      </c>
      <c r="T2485" s="16" t="n">
        <v>41142</v>
      </c>
      <c r="U2485" s="6" t="s">
        <v>13498</v>
      </c>
      <c r="V2485" s="6" t="s">
        <v>81</v>
      </c>
      <c r="W2485" s="6" t="s">
        <v>81</v>
      </c>
      <c r="X2485" s="6" t="s">
        <v>81</v>
      </c>
      <c r="Y2485" s="21" t="s">
        <v>81</v>
      </c>
      <c r="Z2485" s="6" t="s">
        <v>81</v>
      </c>
      <c r="AA2485" s="6" t="s">
        <v>81</v>
      </c>
      <c r="AB2485" s="6" t="s">
        <v>81</v>
      </c>
      <c r="AC2485" s="6" t="s">
        <v>81</v>
      </c>
      <c r="AD2485" s="21" t="s">
        <v>81</v>
      </c>
      <c r="AE2485" s="6" t="s">
        <v>81</v>
      </c>
      <c r="AF2485" s="6" t="s">
        <v>81</v>
      </c>
      <c r="AG2485" s="6" t="s">
        <v>81</v>
      </c>
      <c r="AH2485" s="6" t="s">
        <v>17024</v>
      </c>
      <c r="AI2485" s="6" t="s">
        <v>81</v>
      </c>
      <c r="AJ2485" s="6" t="s">
        <v>17982</v>
      </c>
      <c r="AK2485" s="6" t="s">
        <v>18378</v>
      </c>
      <c r="AL2485" s="6" t="s">
        <v>18444</v>
      </c>
      <c r="AM2485" s="6" t="s">
        <v>19172</v>
      </c>
      <c r="AN2485" s="6" t="s">
        <v>19676</v>
      </c>
      <c r="AO2485" s="6" t="s">
        <v>19784</v>
      </c>
      <c r="AP2485" s="6" t="s">
        <v>81</v>
      </c>
      <c r="AQ2485" s="6" t="s">
        <v>81</v>
      </c>
      <c r="AR2485" s="6" t="s">
        <v>81</v>
      </c>
      <c r="AS2485" s="6" t="s">
        <v>81</v>
      </c>
      <c r="AT2485" s="6" t="s">
        <v>81</v>
      </c>
      <c r="AU2485" s="6" t="s">
        <v>81</v>
      </c>
      <c r="AV2485" s="6" t="s">
        <v>81</v>
      </c>
      <c r="AW2485" s="6" t="s">
        <v>81</v>
      </c>
      <c r="AX2485" s="6" t="s">
        <v>81</v>
      </c>
      <c r="AY2485" s="6" t="s">
        <v>81</v>
      </c>
      <c r="AZ2485" s="6" t="s">
        <v>81</v>
      </c>
      <c r="BA2485" s="6" t="s">
        <v>81</v>
      </c>
      <c r="BB2485" s="24" t="n">
        <v>121</v>
      </c>
      <c r="BC2485" s="26"/>
      <c r="BD2485" s="26"/>
      <c r="BE2485" s="26"/>
      <c r="BF2485" s="26"/>
      <c r="BG2485" s="26"/>
      <c r="BH2485" s="26"/>
      <c r="BI2485" s="26"/>
      <c r="BJ2485" s="26"/>
      <c r="BK2485" s="26"/>
      <c r="BL2485" s="26"/>
      <c r="BM2485" s="26"/>
      <c r="BN2485" s="26"/>
      <c r="BO2485" s="26"/>
      <c r="BP2485" s="16" t="n">
        <v>45292</v>
      </c>
      <c r="BQ2485" s="28" t="str">
        <f>HYPERLINK("https://organic.ams.usda.gov/Integrity/Certificate.aspx?cid=45&amp;nopid=9950004906")</f>
        <v>https://organic.ams.usda.gov/Integrity/Certificate.aspx?cid=45&amp;nopid=9950004906</v>
      </c>
    </row>
    <row r="2486">
      <c r="A2486" t="s">
        <v>3</v>
      </c>
      <c r="B2486" s="6" t="s">
        <v>8</v>
      </c>
      <c r="C2486" s="6" t="s">
        <v>55</v>
      </c>
      <c r="D2486" s="6" t="s">
        <v>101</v>
      </c>
      <c r="E2486" s="10" t="s">
        <v>2627</v>
      </c>
      <c r="F2486" s="6" t="s">
        <v>5332</v>
      </c>
      <c r="G2486" s="6" t="s">
        <v>81</v>
      </c>
      <c r="H2486" s="6" t="s">
        <v>8153</v>
      </c>
      <c r="I2486" s="6" t="s">
        <v>8918</v>
      </c>
      <c r="J2486" s="6" t="s">
        <v>10769</v>
      </c>
      <c r="K2486" s="6" t="s">
        <v>10886</v>
      </c>
      <c r="L2486" s="16" t="n">
        <v>37630</v>
      </c>
      <c r="M2486" s="16" t="n">
        <v>45689</v>
      </c>
      <c r="N2486" s="6" t="s">
        <v>10886</v>
      </c>
      <c r="O2486" s="16" t="n">
        <v>37630</v>
      </c>
      <c r="P2486" s="6" t="s">
        <v>12285</v>
      </c>
      <c r="Q2486" s="6" t="s">
        <v>81</v>
      </c>
      <c r="R2486" s="6" t="s">
        <v>8153</v>
      </c>
      <c r="S2486" s="6" t="s">
        <v>10886</v>
      </c>
      <c r="T2486" s="16" t="n">
        <v>37630</v>
      </c>
      <c r="U2486" s="6" t="s">
        <v>13221</v>
      </c>
      <c r="V2486" s="6" t="s">
        <v>81</v>
      </c>
      <c r="W2486" s="6" t="s">
        <v>8153</v>
      </c>
      <c r="X2486" s="6" t="s">
        <v>81</v>
      </c>
      <c r="Y2486" s="21" t="s">
        <v>81</v>
      </c>
      <c r="Z2486" s="6" t="s">
        <v>81</v>
      </c>
      <c r="AA2486" s="6" t="s">
        <v>81</v>
      </c>
      <c r="AB2486" s="6" t="s">
        <v>81</v>
      </c>
      <c r="AC2486" s="6" t="s">
        <v>81</v>
      </c>
      <c r="AD2486" s="21" t="s">
        <v>81</v>
      </c>
      <c r="AE2486" s="6" t="s">
        <v>81</v>
      </c>
      <c r="AF2486" s="6" t="s">
        <v>81</v>
      </c>
      <c r="AG2486" s="6" t="s">
        <v>81</v>
      </c>
      <c r="AH2486" s="6" t="s">
        <v>17025</v>
      </c>
      <c r="AI2486" s="6" t="s">
        <v>81</v>
      </c>
      <c r="AJ2486" s="6" t="s">
        <v>17842</v>
      </c>
      <c r="AK2486" s="6" t="s">
        <v>18377</v>
      </c>
      <c r="AL2486" s="6" t="s">
        <v>18444</v>
      </c>
      <c r="AM2486" s="6" t="s">
        <v>19024</v>
      </c>
      <c r="AN2486" s="6" t="s">
        <v>19683</v>
      </c>
      <c r="AO2486" s="6" t="s">
        <v>19837</v>
      </c>
      <c r="AP2486" s="6" t="s">
        <v>20442</v>
      </c>
      <c r="AQ2486" s="6" t="s">
        <v>81</v>
      </c>
      <c r="AR2486" s="6" t="s">
        <v>17842</v>
      </c>
      <c r="AS2486" s="6" t="s">
        <v>18377</v>
      </c>
      <c r="AT2486" s="6" t="s">
        <v>18444</v>
      </c>
      <c r="AU2486" s="6" t="s">
        <v>19024</v>
      </c>
      <c r="AV2486" s="6" t="s">
        <v>81</v>
      </c>
      <c r="AW2486" s="6" t="s">
        <v>81</v>
      </c>
      <c r="AX2486" s="6" t="s">
        <v>22371</v>
      </c>
      <c r="AY2486" s="6" t="s">
        <v>23443</v>
      </c>
      <c r="AZ2486" s="6" t="s">
        <v>81</v>
      </c>
      <c r="BA2486" s="6" t="s">
        <v>23824</v>
      </c>
      <c r="BB2486" s="24" t="n">
        <v>471</v>
      </c>
      <c r="BC2486" s="26"/>
      <c r="BD2486" s="26"/>
      <c r="BE2486" s="26"/>
      <c r="BF2486" s="26" t="s">
        <v>23900</v>
      </c>
      <c r="BG2486" s="26"/>
      <c r="BH2486" s="26"/>
      <c r="BI2486" s="26"/>
      <c r="BJ2486" s="26"/>
      <c r="BK2486" s="26"/>
      <c r="BL2486" s="26"/>
      <c r="BM2486" s="26"/>
      <c r="BN2486" s="26"/>
      <c r="BO2486" s="26"/>
      <c r="BP2486" s="16" t="n">
        <v>45700</v>
      </c>
      <c r="BQ2486" s="28" t="str">
        <f>HYPERLINK("https://organic.ams.usda.gov/Integrity/Certificate.aspx?cid=45&amp;nopid=9950001122")</f>
        <v>https://organic.ams.usda.gov/Integrity/Certificate.aspx?cid=45&amp;nopid=9950001122</v>
      </c>
    </row>
    <row r="2487">
      <c r="A2487" t="s">
        <v>3</v>
      </c>
      <c r="B2487" s="6" t="s">
        <v>8</v>
      </c>
      <c r="C2487" s="6" t="s">
        <v>55</v>
      </c>
      <c r="D2487" s="6" t="s">
        <v>101</v>
      </c>
      <c r="E2487" s="10" t="s">
        <v>2628</v>
      </c>
      <c r="F2487" s="6" t="s">
        <v>5333</v>
      </c>
      <c r="G2487" s="6" t="s">
        <v>81</v>
      </c>
      <c r="H2487" s="6" t="s">
        <v>8154</v>
      </c>
      <c r="I2487" s="6" t="s">
        <v>9007</v>
      </c>
      <c r="J2487" s="6" t="s">
        <v>9729</v>
      </c>
      <c r="K2487" s="6" t="s">
        <v>10886</v>
      </c>
      <c r="L2487" s="16" t="n">
        <v>40875</v>
      </c>
      <c r="M2487" s="16" t="n">
        <v>45748</v>
      </c>
      <c r="N2487" s="6" t="s">
        <v>10886</v>
      </c>
      <c r="O2487" s="16" t="n">
        <v>40875</v>
      </c>
      <c r="P2487" s="6" t="s">
        <v>12286</v>
      </c>
      <c r="Q2487" s="6" t="s">
        <v>81</v>
      </c>
      <c r="R2487" s="6" t="s">
        <v>8154</v>
      </c>
      <c r="S2487" s="6" t="s">
        <v>10886</v>
      </c>
      <c r="T2487" s="16" t="n">
        <v>40875</v>
      </c>
      <c r="U2487" s="6" t="s">
        <v>13173</v>
      </c>
      <c r="V2487" s="6" t="s">
        <v>81</v>
      </c>
      <c r="W2487" s="6" t="s">
        <v>8154</v>
      </c>
      <c r="X2487" s="6" t="s">
        <v>81</v>
      </c>
      <c r="Y2487" s="21" t="s">
        <v>81</v>
      </c>
      <c r="Z2487" s="6" t="s">
        <v>81</v>
      </c>
      <c r="AA2487" s="6" t="s">
        <v>81</v>
      </c>
      <c r="AB2487" s="6" t="s">
        <v>81</v>
      </c>
      <c r="AC2487" s="6" t="s">
        <v>81</v>
      </c>
      <c r="AD2487" s="21" t="s">
        <v>81</v>
      </c>
      <c r="AE2487" s="6" t="s">
        <v>81</v>
      </c>
      <c r="AF2487" s="6" t="s">
        <v>81</v>
      </c>
      <c r="AG2487" s="6" t="s">
        <v>81</v>
      </c>
      <c r="AH2487" s="6" t="s">
        <v>17026</v>
      </c>
      <c r="AI2487" s="6" t="s">
        <v>81</v>
      </c>
      <c r="AJ2487" s="6" t="s">
        <v>17324</v>
      </c>
      <c r="AK2487" s="6" t="s">
        <v>18378</v>
      </c>
      <c r="AL2487" s="6" t="s">
        <v>18444</v>
      </c>
      <c r="AM2487" s="6" t="s">
        <v>18476</v>
      </c>
      <c r="AN2487" s="6" t="s">
        <v>19640</v>
      </c>
      <c r="AO2487" s="6" t="s">
        <v>19726</v>
      </c>
      <c r="AP2487" s="6" t="s">
        <v>20443</v>
      </c>
      <c r="AQ2487" s="6" t="s">
        <v>81</v>
      </c>
      <c r="AR2487" s="6" t="s">
        <v>17324</v>
      </c>
      <c r="AS2487" s="6" t="s">
        <v>18378</v>
      </c>
      <c r="AT2487" s="6" t="s">
        <v>18444</v>
      </c>
      <c r="AU2487" s="6" t="s">
        <v>18476</v>
      </c>
      <c r="AV2487" s="6" t="s">
        <v>81</v>
      </c>
      <c r="AW2487" s="6" t="s">
        <v>81</v>
      </c>
      <c r="AX2487" s="6" t="s">
        <v>81</v>
      </c>
      <c r="AY2487" s="6" t="s">
        <v>81</v>
      </c>
      <c r="AZ2487" s="6" t="s">
        <v>81</v>
      </c>
      <c r="BA2487" s="6" t="s">
        <v>81</v>
      </c>
      <c r="BB2487" s="24" t="n">
        <v>136</v>
      </c>
      <c r="BC2487" s="26"/>
      <c r="BD2487" s="26"/>
      <c r="BE2487" s="26"/>
      <c r="BF2487" s="26" t="s">
        <v>23900</v>
      </c>
      <c r="BG2487" s="26"/>
      <c r="BH2487" s="26"/>
      <c r="BI2487" s="26"/>
      <c r="BJ2487" s="26"/>
      <c r="BK2487" s="26"/>
      <c r="BL2487" s="26"/>
      <c r="BM2487" s="26"/>
      <c r="BN2487" s="26"/>
      <c r="BO2487" s="26"/>
      <c r="BP2487" s="16" t="n">
        <v>45659</v>
      </c>
      <c r="BQ2487" s="28" t="str">
        <f>HYPERLINK("https://organic.ams.usda.gov/Integrity/Certificate.aspx?cid=45&amp;nopid=9950004526")</f>
        <v>https://organic.ams.usda.gov/Integrity/Certificate.aspx?cid=45&amp;nopid=9950004526</v>
      </c>
    </row>
    <row r="2488">
      <c r="A2488" t="s">
        <v>3</v>
      </c>
      <c r="B2488" s="6" t="s">
        <v>15</v>
      </c>
      <c r="C2488" s="6" t="s">
        <v>62</v>
      </c>
      <c r="D2488" s="6" t="s">
        <v>108</v>
      </c>
      <c r="E2488" s="10" t="s">
        <v>2629</v>
      </c>
      <c r="F2488" s="6" t="s">
        <v>5334</v>
      </c>
      <c r="G2488" s="6" t="s">
        <v>81</v>
      </c>
      <c r="H2488" s="6" t="s">
        <v>8155</v>
      </c>
      <c r="I2488" s="6" t="s">
        <v>9563</v>
      </c>
      <c r="J2488" s="6" t="s">
        <v>9671</v>
      </c>
      <c r="K2488" s="6" t="s">
        <v>10886</v>
      </c>
      <c r="L2488" s="16" t="n">
        <v>41866</v>
      </c>
      <c r="M2488" s="16" t="n">
        <v>46157</v>
      </c>
      <c r="N2488" s="6" t="s">
        <v>10886</v>
      </c>
      <c r="O2488" s="16" t="n">
        <v>41866</v>
      </c>
      <c r="P2488" s="6" t="s">
        <v>12287</v>
      </c>
      <c r="Q2488" s="6" t="s">
        <v>81</v>
      </c>
      <c r="R2488" s="6" t="s">
        <v>81</v>
      </c>
      <c r="S2488" s="6" t="s">
        <v>10886</v>
      </c>
      <c r="T2488" s="16" t="n">
        <v>41866</v>
      </c>
      <c r="U2488" s="6" t="s">
        <v>13893</v>
      </c>
      <c r="V2488" s="6" t="s">
        <v>81</v>
      </c>
      <c r="W2488" s="6" t="s">
        <v>81</v>
      </c>
      <c r="X2488" s="6" t="s">
        <v>81</v>
      </c>
      <c r="Y2488" s="21" t="s">
        <v>81</v>
      </c>
      <c r="Z2488" s="6" t="s">
        <v>81</v>
      </c>
      <c r="AA2488" s="6" t="s">
        <v>81</v>
      </c>
      <c r="AB2488" s="6" t="s">
        <v>81</v>
      </c>
      <c r="AC2488" s="6" t="s">
        <v>81</v>
      </c>
      <c r="AD2488" s="21" t="s">
        <v>81</v>
      </c>
      <c r="AE2488" s="6" t="s">
        <v>81</v>
      </c>
      <c r="AF2488" s="6" t="s">
        <v>81</v>
      </c>
      <c r="AG2488" s="6" t="s">
        <v>81</v>
      </c>
      <c r="AH2488" s="6" t="s">
        <v>17027</v>
      </c>
      <c r="AI2488" s="6" t="s">
        <v>81</v>
      </c>
      <c r="AJ2488" s="6" t="s">
        <v>17582</v>
      </c>
      <c r="AK2488" s="6" t="s">
        <v>18380</v>
      </c>
      <c r="AL2488" s="6" t="s">
        <v>18444</v>
      </c>
      <c r="AM2488" s="6" t="s">
        <v>18745</v>
      </c>
      <c r="AN2488" s="6" t="s">
        <v>7195</v>
      </c>
      <c r="AO2488" s="6" t="s">
        <v>19863</v>
      </c>
      <c r="AP2488" s="6" t="s">
        <v>17027</v>
      </c>
      <c r="AQ2488" s="6" t="s">
        <v>81</v>
      </c>
      <c r="AR2488" s="6" t="s">
        <v>17582</v>
      </c>
      <c r="AS2488" s="6" t="s">
        <v>18380</v>
      </c>
      <c r="AT2488" s="6" t="s">
        <v>18444</v>
      </c>
      <c r="AU2488" s="6" t="s">
        <v>18745</v>
      </c>
      <c r="AV2488" s="6" t="s">
        <v>81</v>
      </c>
      <c r="AW2488" s="6" t="s">
        <v>81</v>
      </c>
      <c r="AX2488" s="6" t="s">
        <v>22372</v>
      </c>
      <c r="AY2488" s="6" t="s">
        <v>81</v>
      </c>
      <c r="AZ2488" s="6" t="s">
        <v>81</v>
      </c>
      <c r="BA2488" s="6" t="s">
        <v>81</v>
      </c>
      <c r="BB2488" s="24" t="n">
        <v>86</v>
      </c>
      <c r="BC2488" s="26"/>
      <c r="BD2488" s="26"/>
      <c r="BE2488" s="26"/>
      <c r="BF2488" s="26" t="s">
        <v>23900</v>
      </c>
      <c r="BG2488" s="26"/>
      <c r="BH2488" s="26"/>
      <c r="BI2488" s="26"/>
      <c r="BJ2488" s="26"/>
      <c r="BK2488" s="26" t="s">
        <v>23900</v>
      </c>
      <c r="BL2488" s="26"/>
      <c r="BM2488" s="26"/>
      <c r="BN2488" s="26"/>
      <c r="BO2488" s="26"/>
      <c r="BP2488" s="16" t="n">
        <v>45737</v>
      </c>
      <c r="BQ2488" s="28" t="str">
        <f>HYPERLINK("https://organic.ams.usda.gov/Integrity/Certificate.aspx?cid=58&amp;nopid=1600002267")</f>
        <v>https://organic.ams.usda.gov/Integrity/Certificate.aspx?cid=58&amp;nopid=1600002267</v>
      </c>
    </row>
    <row r="2489">
      <c r="A2489" t="s">
        <v>3</v>
      </c>
      <c r="B2489" s="6" t="s">
        <v>12</v>
      </c>
      <c r="C2489" s="6" t="s">
        <v>59</v>
      </c>
      <c r="D2489" s="6" t="s">
        <v>105</v>
      </c>
      <c r="E2489" s="10" t="s">
        <v>2630</v>
      </c>
      <c r="F2489" s="6" t="s">
        <v>5335</v>
      </c>
      <c r="G2489" s="6" t="s">
        <v>81</v>
      </c>
      <c r="H2489" s="6" t="s">
        <v>8156</v>
      </c>
      <c r="I2489" s="6" t="s">
        <v>9564</v>
      </c>
      <c r="J2489" s="6" t="s">
        <v>10053</v>
      </c>
      <c r="K2489" s="6" t="s">
        <v>10886</v>
      </c>
      <c r="L2489" s="16" t="n">
        <v>42195</v>
      </c>
      <c r="M2489" s="16" t="n">
        <v>45717</v>
      </c>
      <c r="N2489" s="6" t="s">
        <v>10886</v>
      </c>
      <c r="O2489" s="16" t="n">
        <v>42195</v>
      </c>
      <c r="P2489" s="6" t="s">
        <v>12288</v>
      </c>
      <c r="Q2489" s="6" t="s">
        <v>81</v>
      </c>
      <c r="R2489" s="6" t="s">
        <v>81</v>
      </c>
      <c r="S2489" s="6" t="s">
        <v>10886</v>
      </c>
      <c r="T2489" s="16" t="n">
        <v>42195</v>
      </c>
      <c r="U2489" s="6" t="s">
        <v>13209</v>
      </c>
      <c r="V2489" s="6" t="s">
        <v>81</v>
      </c>
      <c r="W2489" s="6" t="s">
        <v>81</v>
      </c>
      <c r="X2489" s="6" t="s">
        <v>81</v>
      </c>
      <c r="Y2489" s="21" t="s">
        <v>81</v>
      </c>
      <c r="Z2489" s="6" t="s">
        <v>81</v>
      </c>
      <c r="AA2489" s="6" t="s">
        <v>81</v>
      </c>
      <c r="AB2489" s="6" t="s">
        <v>81</v>
      </c>
      <c r="AC2489" s="6" t="s">
        <v>81</v>
      </c>
      <c r="AD2489" s="21" t="s">
        <v>81</v>
      </c>
      <c r="AE2489" s="6" t="s">
        <v>81</v>
      </c>
      <c r="AF2489" s="6" t="s">
        <v>81</v>
      </c>
      <c r="AG2489" s="6" t="s">
        <v>81</v>
      </c>
      <c r="AH2489" s="6" t="s">
        <v>17028</v>
      </c>
      <c r="AI2489" s="6" t="s">
        <v>81</v>
      </c>
      <c r="AJ2489" s="6" t="s">
        <v>17743</v>
      </c>
      <c r="AK2489" s="6" t="s">
        <v>18380</v>
      </c>
      <c r="AL2489" s="6" t="s">
        <v>18444</v>
      </c>
      <c r="AM2489" s="6" t="s">
        <v>18911</v>
      </c>
      <c r="AN2489" s="6" t="s">
        <v>19637</v>
      </c>
      <c r="AO2489" s="6" t="s">
        <v>19904</v>
      </c>
      <c r="AP2489" s="6" t="s">
        <v>17028</v>
      </c>
      <c r="AQ2489" s="6" t="s">
        <v>81</v>
      </c>
      <c r="AR2489" s="6" t="s">
        <v>17743</v>
      </c>
      <c r="AS2489" s="6" t="s">
        <v>18380</v>
      </c>
      <c r="AT2489" s="6" t="s">
        <v>18444</v>
      </c>
      <c r="AU2489" s="6" t="s">
        <v>18911</v>
      </c>
      <c r="AV2489" s="6" t="s">
        <v>81</v>
      </c>
      <c r="AW2489" s="6" t="s">
        <v>81</v>
      </c>
      <c r="AX2489" s="6" t="s">
        <v>81</v>
      </c>
      <c r="AY2489" s="6" t="s">
        <v>81</v>
      </c>
      <c r="AZ2489" s="6" t="s">
        <v>81</v>
      </c>
      <c r="BA2489" s="6" t="s">
        <v>81</v>
      </c>
      <c r="BB2489" s="24" t="n">
        <v>108</v>
      </c>
      <c r="BC2489" s="26"/>
      <c r="BD2489" s="26"/>
      <c r="BE2489" s="26"/>
      <c r="BF2489" s="26"/>
      <c r="BG2489" s="26"/>
      <c r="BH2489" s="26"/>
      <c r="BI2489" s="26"/>
      <c r="BJ2489" s="26"/>
      <c r="BK2489" s="26"/>
      <c r="BL2489" s="26"/>
      <c r="BM2489" s="26"/>
      <c r="BN2489" s="26"/>
      <c r="BO2489" s="26"/>
      <c r="BP2489" s="16" t="n">
        <v>45684</v>
      </c>
      <c r="BQ2489" s="28" t="str">
        <f>HYPERLINK("https://organic.ams.usda.gov/Integrity/Certificate.aspx?cid=68&amp;nopid=8210003310")</f>
        <v>https://organic.ams.usda.gov/Integrity/Certificate.aspx?cid=68&amp;nopid=8210003310</v>
      </c>
    </row>
    <row r="2490">
      <c r="A2490" t="s">
        <v>3</v>
      </c>
      <c r="B2490" s="6" t="s">
        <v>6</v>
      </c>
      <c r="C2490" s="6" t="s">
        <v>53</v>
      </c>
      <c r="D2490" s="6" t="s">
        <v>99</v>
      </c>
      <c r="E2490" s="10" t="s">
        <v>2631</v>
      </c>
      <c r="F2490" s="6" t="s">
        <v>5336</v>
      </c>
      <c r="G2490" s="6" t="s">
        <v>81</v>
      </c>
      <c r="H2490" s="6" t="s">
        <v>8157</v>
      </c>
      <c r="I2490" s="6" t="s">
        <v>8418</v>
      </c>
      <c r="J2490" s="6" t="s">
        <v>10770</v>
      </c>
      <c r="K2490" s="6" t="s">
        <v>10886</v>
      </c>
      <c r="L2490" s="16" t="n">
        <v>45420</v>
      </c>
      <c r="M2490" s="16" t="n">
        <v>45734</v>
      </c>
      <c r="N2490" s="6" t="s">
        <v>81</v>
      </c>
      <c r="O2490" s="21" t="s">
        <v>81</v>
      </c>
      <c r="P2490" s="6" t="s">
        <v>81</v>
      </c>
      <c r="Q2490" s="6" t="s">
        <v>81</v>
      </c>
      <c r="R2490" s="6" t="s">
        <v>81</v>
      </c>
      <c r="S2490" s="6" t="s">
        <v>81</v>
      </c>
      <c r="T2490" s="21" t="s">
        <v>81</v>
      </c>
      <c r="U2490" s="6" t="s">
        <v>81</v>
      </c>
      <c r="V2490" s="6" t="s">
        <v>81</v>
      </c>
      <c r="W2490" s="6" t="s">
        <v>81</v>
      </c>
      <c r="X2490" s="6" t="s">
        <v>81</v>
      </c>
      <c r="Y2490" s="21" t="s">
        <v>81</v>
      </c>
      <c r="Z2490" s="6" t="s">
        <v>81</v>
      </c>
      <c r="AA2490" s="6" t="s">
        <v>81</v>
      </c>
      <c r="AB2490" s="6" t="s">
        <v>81</v>
      </c>
      <c r="AC2490" s="6" t="s">
        <v>10886</v>
      </c>
      <c r="AD2490" s="16" t="n">
        <v>45420</v>
      </c>
      <c r="AE2490" s="6" t="s">
        <v>14447</v>
      </c>
      <c r="AF2490" s="6" t="s">
        <v>81</v>
      </c>
      <c r="AG2490" s="6" t="s">
        <v>81</v>
      </c>
      <c r="AH2490" s="6" t="s">
        <v>17029</v>
      </c>
      <c r="AI2490" s="6" t="s">
        <v>81</v>
      </c>
      <c r="AJ2490" s="6" t="s">
        <v>18307</v>
      </c>
      <c r="AK2490" s="6" t="s">
        <v>18410</v>
      </c>
      <c r="AL2490" s="6" t="s">
        <v>9834</v>
      </c>
      <c r="AM2490" s="6" t="s">
        <v>19543</v>
      </c>
      <c r="AN2490" s="6" t="s">
        <v>81</v>
      </c>
      <c r="AO2490" s="6" t="s">
        <v>81</v>
      </c>
      <c r="AP2490" s="6" t="s">
        <v>81</v>
      </c>
      <c r="AQ2490" s="6" t="s">
        <v>81</v>
      </c>
      <c r="AR2490" s="6" t="s">
        <v>81</v>
      </c>
      <c r="AS2490" s="6" t="s">
        <v>81</v>
      </c>
      <c r="AT2490" s="6" t="s">
        <v>81</v>
      </c>
      <c r="AU2490" s="6" t="s">
        <v>81</v>
      </c>
      <c r="AV2490" s="6" t="s">
        <v>81</v>
      </c>
      <c r="AW2490" s="6" t="s">
        <v>81</v>
      </c>
      <c r="AX2490" s="6" t="s">
        <v>22373</v>
      </c>
      <c r="AY2490" s="6" t="s">
        <v>23444</v>
      </c>
      <c r="AZ2490" s="6" t="s">
        <v>81</v>
      </c>
      <c r="BA2490" s="6" t="s">
        <v>81</v>
      </c>
      <c r="BB2490" s="6" t="s">
        <v>81</v>
      </c>
      <c r="BC2490" s="26"/>
      <c r="BD2490" s="26"/>
      <c r="BE2490" s="26"/>
      <c r="BF2490" s="26"/>
      <c r="BG2490" s="26"/>
      <c r="BH2490" s="26"/>
      <c r="BI2490" s="26"/>
      <c r="BJ2490" s="26"/>
      <c r="BK2490" s="26"/>
      <c r="BL2490" s="26"/>
      <c r="BM2490" s="26"/>
      <c r="BN2490" s="26"/>
      <c r="BO2490" s="26"/>
      <c r="BP2490" s="16" t="n">
        <v>45737</v>
      </c>
      <c r="BQ2490" s="28" t="str">
        <f>HYPERLINK("https://organic.ams.usda.gov/Integrity/Certificate.aspx?cid=32&amp;nopid=2230011094")</f>
        <v>https://organic.ams.usda.gov/Integrity/Certificate.aspx?cid=32&amp;nopid=2230011094</v>
      </c>
    </row>
    <row r="2491">
      <c r="A2491" t="s">
        <v>3</v>
      </c>
      <c r="B2491" s="6" t="s">
        <v>6</v>
      </c>
      <c r="C2491" s="6" t="s">
        <v>53</v>
      </c>
      <c r="D2491" s="6" t="s">
        <v>99</v>
      </c>
      <c r="E2491" s="10" t="s">
        <v>2632</v>
      </c>
      <c r="F2491" s="6" t="s">
        <v>5336</v>
      </c>
      <c r="G2491" s="6" t="s">
        <v>81</v>
      </c>
      <c r="H2491" s="6" t="s">
        <v>8158</v>
      </c>
      <c r="I2491" s="6" t="s">
        <v>8418</v>
      </c>
      <c r="J2491" s="6" t="s">
        <v>10770</v>
      </c>
      <c r="K2491" s="6" t="s">
        <v>10886</v>
      </c>
      <c r="L2491" s="16" t="n">
        <v>45033</v>
      </c>
      <c r="M2491" s="16" t="n">
        <v>45735</v>
      </c>
      <c r="N2491" s="6" t="s">
        <v>81</v>
      </c>
      <c r="O2491" s="21" t="s">
        <v>81</v>
      </c>
      <c r="P2491" s="6" t="s">
        <v>81</v>
      </c>
      <c r="Q2491" s="6" t="s">
        <v>81</v>
      </c>
      <c r="R2491" s="6" t="s">
        <v>81</v>
      </c>
      <c r="S2491" s="6" t="s">
        <v>81</v>
      </c>
      <c r="T2491" s="21" t="s">
        <v>81</v>
      </c>
      <c r="U2491" s="6" t="s">
        <v>81</v>
      </c>
      <c r="V2491" s="6" t="s">
        <v>81</v>
      </c>
      <c r="W2491" s="6" t="s">
        <v>81</v>
      </c>
      <c r="X2491" s="6" t="s">
        <v>81</v>
      </c>
      <c r="Y2491" s="21" t="s">
        <v>81</v>
      </c>
      <c r="Z2491" s="6" t="s">
        <v>81</v>
      </c>
      <c r="AA2491" s="6" t="s">
        <v>81</v>
      </c>
      <c r="AB2491" s="6" t="s">
        <v>81</v>
      </c>
      <c r="AC2491" s="6" t="s">
        <v>10886</v>
      </c>
      <c r="AD2491" s="16" t="n">
        <v>45033</v>
      </c>
      <c r="AE2491" s="6" t="s">
        <v>14448</v>
      </c>
      <c r="AF2491" s="6" t="s">
        <v>81</v>
      </c>
      <c r="AG2491" s="6" t="s">
        <v>14601</v>
      </c>
      <c r="AH2491" s="6" t="s">
        <v>17030</v>
      </c>
      <c r="AI2491" s="6" t="s">
        <v>81</v>
      </c>
      <c r="AJ2491" s="6" t="s">
        <v>18307</v>
      </c>
      <c r="AK2491" s="6" t="s">
        <v>18410</v>
      </c>
      <c r="AL2491" s="6" t="s">
        <v>9834</v>
      </c>
      <c r="AM2491" s="6" t="s">
        <v>19544</v>
      </c>
      <c r="AN2491" s="6" t="s">
        <v>81</v>
      </c>
      <c r="AO2491" s="6" t="s">
        <v>81</v>
      </c>
      <c r="AP2491" s="6" t="s">
        <v>81</v>
      </c>
      <c r="AQ2491" s="6" t="s">
        <v>81</v>
      </c>
      <c r="AR2491" s="6" t="s">
        <v>81</v>
      </c>
      <c r="AS2491" s="6" t="s">
        <v>81</v>
      </c>
      <c r="AT2491" s="6" t="s">
        <v>81</v>
      </c>
      <c r="AU2491" s="6" t="s">
        <v>81</v>
      </c>
      <c r="AV2491" s="6" t="s">
        <v>81</v>
      </c>
      <c r="AW2491" s="6" t="s">
        <v>81</v>
      </c>
      <c r="AX2491" s="6" t="s">
        <v>22373</v>
      </c>
      <c r="AY2491" s="6" t="s">
        <v>23444</v>
      </c>
      <c r="AZ2491" s="6" t="s">
        <v>81</v>
      </c>
      <c r="BA2491" s="6" t="s">
        <v>23885</v>
      </c>
      <c r="BB2491" s="6" t="s">
        <v>81</v>
      </c>
      <c r="BC2491" s="26"/>
      <c r="BD2491" s="26"/>
      <c r="BE2491" s="26"/>
      <c r="BF2491" s="26"/>
      <c r="BG2491" s="26"/>
      <c r="BH2491" s="26"/>
      <c r="BI2491" s="26"/>
      <c r="BJ2491" s="26"/>
      <c r="BK2491" s="26"/>
      <c r="BL2491" s="26"/>
      <c r="BM2491" s="26"/>
      <c r="BN2491" s="26"/>
      <c r="BO2491" s="26"/>
      <c r="BP2491" s="16" t="n">
        <v>45737</v>
      </c>
      <c r="BQ2491" s="28" t="str">
        <f>HYPERLINK("https://organic.ams.usda.gov/Integrity/Certificate.aspx?cid=32&amp;nopid=2230005787")</f>
        <v>https://organic.ams.usda.gov/Integrity/Certificate.aspx?cid=32&amp;nopid=2230005787</v>
      </c>
    </row>
    <row r="2492">
      <c r="A2492" t="s">
        <v>3</v>
      </c>
      <c r="B2492" s="6" t="s">
        <v>25</v>
      </c>
      <c r="C2492" s="6" t="s">
        <v>72</v>
      </c>
      <c r="D2492" s="6" t="s">
        <v>118</v>
      </c>
      <c r="E2492" s="10" t="s">
        <v>2633</v>
      </c>
      <c r="F2492" s="6" t="s">
        <v>5337</v>
      </c>
      <c r="G2492" s="6" t="s">
        <v>5864</v>
      </c>
      <c r="H2492" s="6" t="s">
        <v>8159</v>
      </c>
      <c r="I2492" s="6" t="s">
        <v>8530</v>
      </c>
      <c r="J2492" s="6" t="s">
        <v>10771</v>
      </c>
      <c r="K2492" s="6" t="s">
        <v>10886</v>
      </c>
      <c r="L2492" s="16" t="n">
        <v>38910</v>
      </c>
      <c r="M2492" s="16" t="n">
        <v>46023</v>
      </c>
      <c r="N2492" s="6" t="s">
        <v>81</v>
      </c>
      <c r="O2492" s="21" t="s">
        <v>81</v>
      </c>
      <c r="P2492" s="6" t="s">
        <v>81</v>
      </c>
      <c r="Q2492" s="6" t="s">
        <v>81</v>
      </c>
      <c r="R2492" s="6" t="s">
        <v>81</v>
      </c>
      <c r="S2492" s="6" t="s">
        <v>81</v>
      </c>
      <c r="T2492" s="21" t="s">
        <v>81</v>
      </c>
      <c r="U2492" s="6" t="s">
        <v>81</v>
      </c>
      <c r="V2492" s="6" t="s">
        <v>81</v>
      </c>
      <c r="W2492" s="6" t="s">
        <v>81</v>
      </c>
      <c r="X2492" s="6" t="s">
        <v>81</v>
      </c>
      <c r="Y2492" s="21" t="s">
        <v>81</v>
      </c>
      <c r="Z2492" s="6" t="s">
        <v>81</v>
      </c>
      <c r="AA2492" s="6" t="s">
        <v>81</v>
      </c>
      <c r="AB2492" s="6" t="s">
        <v>81</v>
      </c>
      <c r="AC2492" s="6" t="s">
        <v>10886</v>
      </c>
      <c r="AD2492" s="16" t="n">
        <v>38910</v>
      </c>
      <c r="AE2492" s="6" t="s">
        <v>14449</v>
      </c>
      <c r="AF2492" s="6" t="s">
        <v>81</v>
      </c>
      <c r="AG2492" s="6" t="s">
        <v>81</v>
      </c>
      <c r="AH2492" s="6" t="s">
        <v>17031</v>
      </c>
      <c r="AI2492" s="6" t="s">
        <v>81</v>
      </c>
      <c r="AJ2492" s="6" t="s">
        <v>18308</v>
      </c>
      <c r="AK2492" s="6" t="s">
        <v>18385</v>
      </c>
      <c r="AL2492" s="6" t="s">
        <v>18444</v>
      </c>
      <c r="AM2492" s="6" t="s">
        <v>19545</v>
      </c>
      <c r="AN2492" s="6" t="s">
        <v>19672</v>
      </c>
      <c r="AO2492" s="6" t="s">
        <v>19835</v>
      </c>
      <c r="AP2492" s="6" t="s">
        <v>17031</v>
      </c>
      <c r="AQ2492" s="6" t="s">
        <v>81</v>
      </c>
      <c r="AR2492" s="6" t="s">
        <v>18308</v>
      </c>
      <c r="AS2492" s="6" t="s">
        <v>18385</v>
      </c>
      <c r="AT2492" s="6" t="s">
        <v>18444</v>
      </c>
      <c r="AU2492" s="6" t="s">
        <v>19545</v>
      </c>
      <c r="AV2492" s="6" t="s">
        <v>81</v>
      </c>
      <c r="AW2492" s="6" t="s">
        <v>81</v>
      </c>
      <c r="AX2492" s="6" t="s">
        <v>22374</v>
      </c>
      <c r="AY2492" s="6" t="s">
        <v>23445</v>
      </c>
      <c r="AZ2492" s="6" t="s">
        <v>23783</v>
      </c>
      <c r="BA2492" s="6" t="s">
        <v>23886</v>
      </c>
      <c r="BB2492" s="6" t="s">
        <v>81</v>
      </c>
      <c r="BC2492" s="26"/>
      <c r="BD2492" s="26"/>
      <c r="BE2492" s="26"/>
      <c r="BF2492" s="26"/>
      <c r="BG2492" s="26"/>
      <c r="BH2492" s="26"/>
      <c r="BI2492" s="26"/>
      <c r="BJ2492" s="26"/>
      <c r="BK2492" s="26"/>
      <c r="BL2492" s="26"/>
      <c r="BM2492" s="26"/>
      <c r="BN2492" s="26"/>
      <c r="BO2492" s="26"/>
      <c r="BP2492" s="16" t="n">
        <v>45736</v>
      </c>
      <c r="BQ2492" s="28" t="str">
        <f>HYPERLINK("https://organic.ams.usda.gov/Integrity/Certificate.aspx?cid=15&amp;nopid=5561002344")</f>
        <v>https://organic.ams.usda.gov/Integrity/Certificate.aspx?cid=15&amp;nopid=5561002344</v>
      </c>
    </row>
    <row r="2493">
      <c r="A2493" t="s">
        <v>3</v>
      </c>
      <c r="B2493" s="6" t="s">
        <v>8</v>
      </c>
      <c r="C2493" s="6" t="s">
        <v>55</v>
      </c>
      <c r="D2493" s="6" t="s">
        <v>101</v>
      </c>
      <c r="E2493" s="10" t="s">
        <v>2634</v>
      </c>
      <c r="F2493" s="6" t="s">
        <v>5338</v>
      </c>
      <c r="G2493" s="6" t="s">
        <v>81</v>
      </c>
      <c r="H2493" s="6" t="s">
        <v>8160</v>
      </c>
      <c r="I2493" s="6" t="s">
        <v>8626</v>
      </c>
      <c r="J2493" s="6" t="s">
        <v>10721</v>
      </c>
      <c r="K2493" s="6" t="s">
        <v>10886</v>
      </c>
      <c r="L2493" s="16" t="n">
        <v>37851</v>
      </c>
      <c r="M2493" s="16" t="n">
        <v>45383</v>
      </c>
      <c r="N2493" s="6" t="s">
        <v>10886</v>
      </c>
      <c r="O2493" s="16" t="n">
        <v>37851</v>
      </c>
      <c r="P2493" s="6" t="s">
        <v>12289</v>
      </c>
      <c r="Q2493" s="6" t="s">
        <v>81</v>
      </c>
      <c r="R2493" s="6" t="s">
        <v>8160</v>
      </c>
      <c r="S2493" s="6" t="s">
        <v>10886</v>
      </c>
      <c r="T2493" s="16" t="n">
        <v>37851</v>
      </c>
      <c r="U2493" s="6" t="s">
        <v>13271</v>
      </c>
      <c r="V2493" s="6" t="s">
        <v>81</v>
      </c>
      <c r="W2493" s="6" t="s">
        <v>8160</v>
      </c>
      <c r="X2493" s="6" t="s">
        <v>81</v>
      </c>
      <c r="Y2493" s="21" t="s">
        <v>81</v>
      </c>
      <c r="Z2493" s="6" t="s">
        <v>81</v>
      </c>
      <c r="AA2493" s="6" t="s">
        <v>81</v>
      </c>
      <c r="AB2493" s="6" t="s">
        <v>81</v>
      </c>
      <c r="AC2493" s="6" t="s">
        <v>81</v>
      </c>
      <c r="AD2493" s="21" t="s">
        <v>81</v>
      </c>
      <c r="AE2493" s="6" t="s">
        <v>81</v>
      </c>
      <c r="AF2493" s="6" t="s">
        <v>81</v>
      </c>
      <c r="AG2493" s="6" t="s">
        <v>81</v>
      </c>
      <c r="AH2493" s="6" t="s">
        <v>17032</v>
      </c>
      <c r="AI2493" s="6" t="s">
        <v>81</v>
      </c>
      <c r="AJ2493" s="6" t="s">
        <v>17951</v>
      </c>
      <c r="AK2493" s="6" t="s">
        <v>18377</v>
      </c>
      <c r="AL2493" s="6" t="s">
        <v>18444</v>
      </c>
      <c r="AM2493" s="6" t="s">
        <v>19140</v>
      </c>
      <c r="AN2493" s="6" t="s">
        <v>19661</v>
      </c>
      <c r="AO2493" s="6" t="s">
        <v>19761</v>
      </c>
      <c r="AP2493" s="6" t="s">
        <v>81</v>
      </c>
      <c r="AQ2493" s="6" t="s">
        <v>81</v>
      </c>
      <c r="AR2493" s="6" t="s">
        <v>81</v>
      </c>
      <c r="AS2493" s="6" t="s">
        <v>81</v>
      </c>
      <c r="AT2493" s="6" t="s">
        <v>81</v>
      </c>
      <c r="AU2493" s="6" t="s">
        <v>81</v>
      </c>
      <c r="AV2493" s="6" t="s">
        <v>81</v>
      </c>
      <c r="AW2493" s="6" t="s">
        <v>81</v>
      </c>
      <c r="AX2493" s="6" t="s">
        <v>81</v>
      </c>
      <c r="AY2493" s="6" t="s">
        <v>23446</v>
      </c>
      <c r="AZ2493" s="6" t="s">
        <v>81</v>
      </c>
      <c r="BA2493" s="6" t="s">
        <v>23819</v>
      </c>
      <c r="BB2493" s="24" t="n">
        <v>442</v>
      </c>
      <c r="BC2493" s="26"/>
      <c r="BD2493" s="26"/>
      <c r="BE2493" s="26"/>
      <c r="BF2493" s="26" t="s">
        <v>23900</v>
      </c>
      <c r="BG2493" s="26"/>
      <c r="BH2493" s="26"/>
      <c r="BI2493" s="26"/>
      <c r="BJ2493" s="26"/>
      <c r="BK2493" s="26"/>
      <c r="BL2493" s="26"/>
      <c r="BM2493" s="26"/>
      <c r="BN2493" s="26"/>
      <c r="BO2493" s="26"/>
      <c r="BP2493" s="16" t="n">
        <v>45364</v>
      </c>
      <c r="BQ2493" s="28" t="str">
        <f>HYPERLINK("https://organic.ams.usda.gov/Integrity/Certificate.aspx?cid=45&amp;nopid=9950001322")</f>
        <v>https://organic.ams.usda.gov/Integrity/Certificate.aspx?cid=45&amp;nopid=9950001322</v>
      </c>
    </row>
    <row r="2494">
      <c r="A2494" t="s">
        <v>3</v>
      </c>
      <c r="B2494" s="6" t="s">
        <v>8</v>
      </c>
      <c r="C2494" s="6" t="s">
        <v>55</v>
      </c>
      <c r="D2494" s="6" t="s">
        <v>101</v>
      </c>
      <c r="E2494" s="10" t="s">
        <v>2635</v>
      </c>
      <c r="F2494" s="6" t="s">
        <v>5339</v>
      </c>
      <c r="G2494" s="6" t="s">
        <v>81</v>
      </c>
      <c r="H2494" s="6" t="s">
        <v>8161</v>
      </c>
      <c r="I2494" s="6" t="s">
        <v>9565</v>
      </c>
      <c r="J2494" s="6" t="s">
        <v>9665</v>
      </c>
      <c r="K2494" s="6" t="s">
        <v>10886</v>
      </c>
      <c r="L2494" s="16" t="n">
        <v>44649</v>
      </c>
      <c r="M2494" s="16" t="n">
        <v>45383</v>
      </c>
      <c r="N2494" s="6" t="s">
        <v>10886</v>
      </c>
      <c r="O2494" s="16" t="n">
        <v>44649</v>
      </c>
      <c r="P2494" s="6" t="s">
        <v>12290</v>
      </c>
      <c r="Q2494" s="6" t="s">
        <v>81</v>
      </c>
      <c r="R2494" s="6" t="s">
        <v>8161</v>
      </c>
      <c r="S2494" s="6" t="s">
        <v>10886</v>
      </c>
      <c r="T2494" s="16" t="n">
        <v>44649</v>
      </c>
      <c r="U2494" s="6" t="s">
        <v>13614</v>
      </c>
      <c r="V2494" s="6" t="s">
        <v>81</v>
      </c>
      <c r="W2494" s="6" t="s">
        <v>8161</v>
      </c>
      <c r="X2494" s="6" t="s">
        <v>81</v>
      </c>
      <c r="Y2494" s="21" t="s">
        <v>81</v>
      </c>
      <c r="Z2494" s="6" t="s">
        <v>81</v>
      </c>
      <c r="AA2494" s="6" t="s">
        <v>81</v>
      </c>
      <c r="AB2494" s="6" t="s">
        <v>81</v>
      </c>
      <c r="AC2494" s="6" t="s">
        <v>81</v>
      </c>
      <c r="AD2494" s="21" t="s">
        <v>81</v>
      </c>
      <c r="AE2494" s="6" t="s">
        <v>81</v>
      </c>
      <c r="AF2494" s="6" t="s">
        <v>81</v>
      </c>
      <c r="AG2494" s="6" t="s">
        <v>81</v>
      </c>
      <c r="AH2494" s="6" t="s">
        <v>17033</v>
      </c>
      <c r="AI2494" s="6" t="s">
        <v>81</v>
      </c>
      <c r="AJ2494" s="6" t="s">
        <v>17324</v>
      </c>
      <c r="AK2494" s="6" t="s">
        <v>18378</v>
      </c>
      <c r="AL2494" s="6" t="s">
        <v>18444</v>
      </c>
      <c r="AM2494" s="6" t="s">
        <v>18476</v>
      </c>
      <c r="AN2494" s="6" t="s">
        <v>19640</v>
      </c>
      <c r="AO2494" s="6" t="s">
        <v>19726</v>
      </c>
      <c r="AP2494" s="6" t="s">
        <v>81</v>
      </c>
      <c r="AQ2494" s="6" t="s">
        <v>81</v>
      </c>
      <c r="AR2494" s="6" t="s">
        <v>81</v>
      </c>
      <c r="AS2494" s="6" t="s">
        <v>81</v>
      </c>
      <c r="AT2494" s="6" t="s">
        <v>81</v>
      </c>
      <c r="AU2494" s="6" t="s">
        <v>81</v>
      </c>
      <c r="AV2494" s="6" t="s">
        <v>81</v>
      </c>
      <c r="AW2494" s="6" t="s">
        <v>81</v>
      </c>
      <c r="AX2494" s="6" t="s">
        <v>81</v>
      </c>
      <c r="AY2494" s="6" t="s">
        <v>81</v>
      </c>
      <c r="AZ2494" s="6" t="s">
        <v>81</v>
      </c>
      <c r="BA2494" s="6" t="s">
        <v>23819</v>
      </c>
      <c r="BB2494" s="24" t="n">
        <v>98</v>
      </c>
      <c r="BC2494" s="26"/>
      <c r="BD2494" s="26"/>
      <c r="BE2494" s="26"/>
      <c r="BF2494" s="26" t="s">
        <v>23900</v>
      </c>
      <c r="BG2494" s="26"/>
      <c r="BH2494" s="26"/>
      <c r="BI2494" s="26"/>
      <c r="BJ2494" s="26"/>
      <c r="BK2494" s="26"/>
      <c r="BL2494" s="26"/>
      <c r="BM2494" s="26"/>
      <c r="BN2494" s="26"/>
      <c r="BO2494" s="26"/>
      <c r="BP2494" s="16" t="n">
        <v>45446</v>
      </c>
      <c r="BQ2494" s="28" t="str">
        <f>HYPERLINK("https://organic.ams.usda.gov/Integrity/Certificate.aspx?cid=45&amp;nopid=9950012849")</f>
        <v>https://organic.ams.usda.gov/Integrity/Certificate.aspx?cid=45&amp;nopid=9950012849</v>
      </c>
    </row>
    <row r="2495">
      <c r="A2495" t="s">
        <v>3</v>
      </c>
      <c r="B2495" s="6" t="s">
        <v>20</v>
      </c>
      <c r="C2495" s="6" t="s">
        <v>67</v>
      </c>
      <c r="D2495" s="6" t="s">
        <v>113</v>
      </c>
      <c r="E2495" s="10" t="s">
        <v>2636</v>
      </c>
      <c r="F2495" s="6" t="s">
        <v>5340</v>
      </c>
      <c r="G2495" s="6" t="s">
        <v>81</v>
      </c>
      <c r="H2495" s="6" t="s">
        <v>8162</v>
      </c>
      <c r="I2495" s="6" t="s">
        <v>9566</v>
      </c>
      <c r="J2495" s="6" t="s">
        <v>10772</v>
      </c>
      <c r="K2495" s="6" t="s">
        <v>10886</v>
      </c>
      <c r="L2495" s="16" t="n">
        <v>43510</v>
      </c>
      <c r="M2495" s="16" t="n">
        <v>45922</v>
      </c>
      <c r="N2495" s="6" t="s">
        <v>81</v>
      </c>
      <c r="O2495" s="21" t="s">
        <v>81</v>
      </c>
      <c r="P2495" s="6" t="s">
        <v>81</v>
      </c>
      <c r="Q2495" s="6" t="s">
        <v>81</v>
      </c>
      <c r="R2495" s="6" t="s">
        <v>81</v>
      </c>
      <c r="S2495" s="6" t="s">
        <v>81</v>
      </c>
      <c r="T2495" s="21" t="s">
        <v>81</v>
      </c>
      <c r="U2495" s="6" t="s">
        <v>81</v>
      </c>
      <c r="V2495" s="6" t="s">
        <v>81</v>
      </c>
      <c r="W2495" s="6" t="s">
        <v>81</v>
      </c>
      <c r="X2495" s="6" t="s">
        <v>81</v>
      </c>
      <c r="Y2495" s="21" t="s">
        <v>81</v>
      </c>
      <c r="Z2495" s="6" t="s">
        <v>81</v>
      </c>
      <c r="AA2495" s="6" t="s">
        <v>81</v>
      </c>
      <c r="AB2495" s="6" t="s">
        <v>81</v>
      </c>
      <c r="AC2495" s="6" t="s">
        <v>10886</v>
      </c>
      <c r="AD2495" s="16" t="n">
        <v>43510</v>
      </c>
      <c r="AE2495" s="6" t="s">
        <v>14450</v>
      </c>
      <c r="AF2495" s="6" t="s">
        <v>81</v>
      </c>
      <c r="AG2495" s="6" t="s">
        <v>14602</v>
      </c>
      <c r="AH2495" s="6" t="s">
        <v>17034</v>
      </c>
      <c r="AI2495" s="6" t="s">
        <v>81</v>
      </c>
      <c r="AJ2495" s="6" t="s">
        <v>18309</v>
      </c>
      <c r="AK2495" s="6" t="s">
        <v>18386</v>
      </c>
      <c r="AL2495" s="6" t="s">
        <v>18444</v>
      </c>
      <c r="AM2495" s="6" t="s">
        <v>19546</v>
      </c>
      <c r="AN2495" s="6" t="s">
        <v>8233</v>
      </c>
      <c r="AO2495" s="6" t="s">
        <v>19802</v>
      </c>
      <c r="AP2495" s="6" t="s">
        <v>17034</v>
      </c>
      <c r="AQ2495" s="6" t="s">
        <v>81</v>
      </c>
      <c r="AR2495" s="6" t="s">
        <v>18309</v>
      </c>
      <c r="AS2495" s="6" t="s">
        <v>18386</v>
      </c>
      <c r="AT2495" s="6" t="s">
        <v>18444</v>
      </c>
      <c r="AU2495" s="6" t="s">
        <v>19546</v>
      </c>
      <c r="AV2495" s="6" t="s">
        <v>81</v>
      </c>
      <c r="AW2495" s="6" t="s">
        <v>81</v>
      </c>
      <c r="AX2495" s="6" t="s">
        <v>20782</v>
      </c>
      <c r="AY2495" s="6" t="s">
        <v>23447</v>
      </c>
      <c r="AZ2495" s="6" t="s">
        <v>81</v>
      </c>
      <c r="BA2495" s="6" t="s">
        <v>81</v>
      </c>
      <c r="BB2495" s="6" t="s">
        <v>81</v>
      </c>
      <c r="BC2495" s="26"/>
      <c r="BD2495" s="26"/>
      <c r="BE2495" s="26"/>
      <c r="BF2495" s="26"/>
      <c r="BG2495" s="26"/>
      <c r="BH2495" s="26"/>
      <c r="BI2495" s="26"/>
      <c r="BJ2495" s="26"/>
      <c r="BK2495" s="26"/>
      <c r="BL2495" s="26"/>
      <c r="BM2495" s="26"/>
      <c r="BN2495" s="26"/>
      <c r="BO2495" s="26"/>
      <c r="BP2495" s="16" t="n">
        <v>45737</v>
      </c>
      <c r="BQ2495" s="28" t="str">
        <f>HYPERLINK("https://organic.ams.usda.gov/Integrity/Certificate.aspx?cid=71&amp;nopid=5520450067")</f>
        <v>https://organic.ams.usda.gov/Integrity/Certificate.aspx?cid=71&amp;nopid=5520450067</v>
      </c>
    </row>
    <row r="2496">
      <c r="A2496" t="s">
        <v>3</v>
      </c>
      <c r="B2496" s="6" t="s">
        <v>16</v>
      </c>
      <c r="C2496" s="6" t="s">
        <v>63</v>
      </c>
      <c r="D2496" s="6" t="s">
        <v>109</v>
      </c>
      <c r="E2496" s="10" t="s">
        <v>2637</v>
      </c>
      <c r="F2496" s="6" t="s">
        <v>5341</v>
      </c>
      <c r="G2496" s="6" t="s">
        <v>81</v>
      </c>
      <c r="H2496" s="6" t="s">
        <v>8163</v>
      </c>
      <c r="I2496" s="6" t="s">
        <v>8664</v>
      </c>
      <c r="J2496" s="6" t="s">
        <v>10773</v>
      </c>
      <c r="K2496" s="6" t="s">
        <v>10886</v>
      </c>
      <c r="L2496" s="16" t="n">
        <v>37575</v>
      </c>
      <c r="M2496" s="16" t="n">
        <v>45731</v>
      </c>
      <c r="N2496" s="6" t="s">
        <v>10886</v>
      </c>
      <c r="O2496" s="16" t="n">
        <v>37575</v>
      </c>
      <c r="P2496" s="6" t="s">
        <v>12076</v>
      </c>
      <c r="Q2496" s="6" t="s">
        <v>81</v>
      </c>
      <c r="R2496" s="6" t="s">
        <v>81</v>
      </c>
      <c r="S2496" s="6" t="s">
        <v>10886</v>
      </c>
      <c r="T2496" s="16" t="n">
        <v>37575</v>
      </c>
      <c r="U2496" s="6" t="s">
        <v>13281</v>
      </c>
      <c r="V2496" s="6" t="s">
        <v>81</v>
      </c>
      <c r="W2496" s="6" t="s">
        <v>81</v>
      </c>
      <c r="X2496" s="6" t="s">
        <v>81</v>
      </c>
      <c r="Y2496" s="21" t="s">
        <v>81</v>
      </c>
      <c r="Z2496" s="6" t="s">
        <v>81</v>
      </c>
      <c r="AA2496" s="6" t="s">
        <v>81</v>
      </c>
      <c r="AB2496" s="6" t="s">
        <v>81</v>
      </c>
      <c r="AC2496" s="6" t="s">
        <v>10886</v>
      </c>
      <c r="AD2496" s="16" t="n">
        <v>37575</v>
      </c>
      <c r="AE2496" s="6" t="s">
        <v>14364</v>
      </c>
      <c r="AF2496" s="6" t="s">
        <v>81</v>
      </c>
      <c r="AG2496" s="6" t="s">
        <v>81</v>
      </c>
      <c r="AH2496" s="6" t="s">
        <v>17035</v>
      </c>
      <c r="AI2496" s="6" t="s">
        <v>81</v>
      </c>
      <c r="AJ2496" s="6" t="s">
        <v>18310</v>
      </c>
      <c r="AK2496" s="6" t="s">
        <v>18383</v>
      </c>
      <c r="AL2496" s="6" t="s">
        <v>18444</v>
      </c>
      <c r="AM2496" s="6" t="s">
        <v>19547</v>
      </c>
      <c r="AN2496" s="6" t="s">
        <v>19655</v>
      </c>
      <c r="AO2496" s="6" t="s">
        <v>19886</v>
      </c>
      <c r="AP2496" s="6" t="s">
        <v>81</v>
      </c>
      <c r="AQ2496" s="6" t="s">
        <v>81</v>
      </c>
      <c r="AR2496" s="6" t="s">
        <v>81</v>
      </c>
      <c r="AS2496" s="6" t="s">
        <v>81</v>
      </c>
      <c r="AT2496" s="6" t="s">
        <v>81</v>
      </c>
      <c r="AU2496" s="6" t="s">
        <v>81</v>
      </c>
      <c r="AV2496" s="6" t="s">
        <v>81</v>
      </c>
      <c r="AW2496" s="6" t="s">
        <v>81</v>
      </c>
      <c r="AX2496" s="6" t="s">
        <v>22375</v>
      </c>
      <c r="AY2496" s="6" t="s">
        <v>81</v>
      </c>
      <c r="AZ2496" s="6" t="s">
        <v>81</v>
      </c>
      <c r="BA2496" s="6" t="s">
        <v>81</v>
      </c>
      <c r="BB2496" s="24" t="n">
        <v>102</v>
      </c>
      <c r="BC2496" s="26"/>
      <c r="BD2496" s="26"/>
      <c r="BE2496" s="26"/>
      <c r="BF2496" s="26"/>
      <c r="BG2496" s="26"/>
      <c r="BH2496" s="26"/>
      <c r="BI2496" s="26"/>
      <c r="BJ2496" s="26"/>
      <c r="BK2496" s="26"/>
      <c r="BL2496" s="26"/>
      <c r="BM2496" s="26"/>
      <c r="BN2496" s="26"/>
      <c r="BO2496" s="26"/>
      <c r="BP2496" s="16" t="n">
        <v>45701</v>
      </c>
      <c r="BQ2496" s="28" t="str">
        <f>HYPERLINK("https://organic.ams.usda.gov/Integrity/Certificate.aspx?cid=81&amp;nopid=4210099028")</f>
        <v>https://organic.ams.usda.gov/Integrity/Certificate.aspx?cid=81&amp;nopid=4210099028</v>
      </c>
    </row>
    <row r="2497">
      <c r="A2497" t="s">
        <v>3</v>
      </c>
      <c r="B2497" s="6" t="s">
        <v>10</v>
      </c>
      <c r="C2497" s="6" t="s">
        <v>57</v>
      </c>
      <c r="D2497" s="6" t="s">
        <v>103</v>
      </c>
      <c r="E2497" s="10" t="s">
        <v>2638</v>
      </c>
      <c r="F2497" s="6" t="s">
        <v>5342</v>
      </c>
      <c r="G2497" s="6" t="s">
        <v>81</v>
      </c>
      <c r="H2497" s="6" t="s">
        <v>8164</v>
      </c>
      <c r="I2497" s="6" t="s">
        <v>9567</v>
      </c>
      <c r="J2497" s="6" t="s">
        <v>10774</v>
      </c>
      <c r="K2497" s="6" t="s">
        <v>10886</v>
      </c>
      <c r="L2497" s="16" t="n">
        <v>44979</v>
      </c>
      <c r="M2497" s="16" t="n">
        <v>45748</v>
      </c>
      <c r="N2497" s="6" t="s">
        <v>10886</v>
      </c>
      <c r="O2497" s="16" t="n">
        <v>44979</v>
      </c>
      <c r="P2497" s="6" t="s">
        <v>12291</v>
      </c>
      <c r="Q2497" s="6" t="s">
        <v>81</v>
      </c>
      <c r="R2497" s="6" t="s">
        <v>13097</v>
      </c>
      <c r="S2497" s="6" t="s">
        <v>10886</v>
      </c>
      <c r="T2497" s="16" t="n">
        <v>44979</v>
      </c>
      <c r="U2497" s="6" t="s">
        <v>13894</v>
      </c>
      <c r="V2497" s="6" t="s">
        <v>81</v>
      </c>
      <c r="W2497" s="6" t="s">
        <v>81</v>
      </c>
      <c r="X2497" s="6" t="s">
        <v>81</v>
      </c>
      <c r="Y2497" s="21" t="s">
        <v>81</v>
      </c>
      <c r="Z2497" s="6" t="s">
        <v>81</v>
      </c>
      <c r="AA2497" s="6" t="s">
        <v>81</v>
      </c>
      <c r="AB2497" s="6" t="s">
        <v>81</v>
      </c>
      <c r="AC2497" s="6" t="s">
        <v>81</v>
      </c>
      <c r="AD2497" s="21" t="s">
        <v>81</v>
      </c>
      <c r="AE2497" s="6" t="s">
        <v>81</v>
      </c>
      <c r="AF2497" s="6" t="s">
        <v>81</v>
      </c>
      <c r="AG2497" s="6" t="s">
        <v>81</v>
      </c>
      <c r="AH2497" s="6" t="s">
        <v>17036</v>
      </c>
      <c r="AI2497" s="6" t="s">
        <v>81</v>
      </c>
      <c r="AJ2497" s="6" t="s">
        <v>9705</v>
      </c>
      <c r="AK2497" s="6" t="s">
        <v>18381</v>
      </c>
      <c r="AL2497" s="6" t="s">
        <v>18444</v>
      </c>
      <c r="AM2497" s="6" t="s">
        <v>19548</v>
      </c>
      <c r="AN2497" s="6" t="s">
        <v>19676</v>
      </c>
      <c r="AO2497" s="6" t="s">
        <v>19797</v>
      </c>
      <c r="AP2497" s="6" t="s">
        <v>17036</v>
      </c>
      <c r="AQ2497" s="6" t="s">
        <v>81</v>
      </c>
      <c r="AR2497" s="6" t="s">
        <v>9705</v>
      </c>
      <c r="AS2497" s="6" t="s">
        <v>18381</v>
      </c>
      <c r="AT2497" s="6" t="s">
        <v>18444</v>
      </c>
      <c r="AU2497" s="6" t="s">
        <v>19548</v>
      </c>
      <c r="AV2497" s="6" t="s">
        <v>81</v>
      </c>
      <c r="AW2497" s="6" t="s">
        <v>81</v>
      </c>
      <c r="AX2497" s="6" t="s">
        <v>22376</v>
      </c>
      <c r="AY2497" s="6" t="s">
        <v>23448</v>
      </c>
      <c r="AZ2497" s="6" t="s">
        <v>81</v>
      </c>
      <c r="BA2497" s="6" t="s">
        <v>81</v>
      </c>
      <c r="BB2497" s="24" t="n">
        <v>40</v>
      </c>
      <c r="BC2497" s="26"/>
      <c r="BD2497" s="26"/>
      <c r="BE2497" s="26"/>
      <c r="BF2497" s="26"/>
      <c r="BG2497" s="26"/>
      <c r="BH2497" s="26"/>
      <c r="BI2497" s="26"/>
      <c r="BJ2497" s="26"/>
      <c r="BK2497" s="26"/>
      <c r="BL2497" s="26"/>
      <c r="BM2497" s="26"/>
      <c r="BN2497" s="26"/>
      <c r="BO2497" s="26"/>
      <c r="BP2497" s="16" t="n">
        <v>45730</v>
      </c>
      <c r="BQ2497" s="28" t="str">
        <f>HYPERLINK("https://organic.ams.usda.gov/Integrity/Certificate.aspx?cid=90&amp;nopid=7170220582")</f>
        <v>https://organic.ams.usda.gov/Integrity/Certificate.aspx?cid=90&amp;nopid=7170220582</v>
      </c>
    </row>
    <row r="2498">
      <c r="A2498" t="s">
        <v>3</v>
      </c>
      <c r="B2498" s="6" t="s">
        <v>7</v>
      </c>
      <c r="C2498" s="6" t="s">
        <v>54</v>
      </c>
      <c r="D2498" s="6" t="s">
        <v>100</v>
      </c>
      <c r="E2498" s="10" t="s">
        <v>2639</v>
      </c>
      <c r="F2498" s="6" t="s">
        <v>5343</v>
      </c>
      <c r="G2498" s="6" t="s">
        <v>81</v>
      </c>
      <c r="H2498" s="6" t="s">
        <v>8165</v>
      </c>
      <c r="I2498" s="6" t="s">
        <v>8401</v>
      </c>
      <c r="J2498" s="6" t="s">
        <v>10438</v>
      </c>
      <c r="K2498" s="6" t="s">
        <v>10886</v>
      </c>
      <c r="L2498" s="16" t="n">
        <v>43320</v>
      </c>
      <c r="M2498" s="16" t="n">
        <v>45716</v>
      </c>
      <c r="N2498" s="6" t="s">
        <v>10886</v>
      </c>
      <c r="O2498" s="16" t="n">
        <v>43320</v>
      </c>
      <c r="P2498" s="6" t="s">
        <v>12292</v>
      </c>
      <c r="Q2498" s="6" t="s">
        <v>81</v>
      </c>
      <c r="R2498" s="6" t="s">
        <v>81</v>
      </c>
      <c r="S2498" s="6" t="s">
        <v>10886</v>
      </c>
      <c r="T2498" s="16" t="n">
        <v>43320</v>
      </c>
      <c r="U2498" s="6" t="s">
        <v>13895</v>
      </c>
      <c r="V2498" s="6" t="s">
        <v>81</v>
      </c>
      <c r="W2498" s="6" t="s">
        <v>81</v>
      </c>
      <c r="X2498" s="6" t="s">
        <v>81</v>
      </c>
      <c r="Y2498" s="21" t="s">
        <v>81</v>
      </c>
      <c r="Z2498" s="6" t="s">
        <v>81</v>
      </c>
      <c r="AA2498" s="6" t="s">
        <v>81</v>
      </c>
      <c r="AB2498" s="6" t="s">
        <v>81</v>
      </c>
      <c r="AC2498" s="6" t="s">
        <v>81</v>
      </c>
      <c r="AD2498" s="21" t="s">
        <v>81</v>
      </c>
      <c r="AE2498" s="6" t="s">
        <v>81</v>
      </c>
      <c r="AF2498" s="6" t="s">
        <v>81</v>
      </c>
      <c r="AG2498" s="6" t="s">
        <v>81</v>
      </c>
      <c r="AH2498" s="6" t="s">
        <v>17037</v>
      </c>
      <c r="AI2498" s="6" t="s">
        <v>81</v>
      </c>
      <c r="AJ2498" s="6" t="s">
        <v>18311</v>
      </c>
      <c r="AK2498" s="6" t="s">
        <v>17712</v>
      </c>
      <c r="AL2498" s="6" t="s">
        <v>18444</v>
      </c>
      <c r="AM2498" s="6" t="s">
        <v>19549</v>
      </c>
      <c r="AN2498" s="6" t="s">
        <v>19645</v>
      </c>
      <c r="AO2498" s="6" t="s">
        <v>19770</v>
      </c>
      <c r="AP2498" s="6" t="s">
        <v>17037</v>
      </c>
      <c r="AQ2498" s="6" t="s">
        <v>81</v>
      </c>
      <c r="AR2498" s="6" t="s">
        <v>18311</v>
      </c>
      <c r="AS2498" s="6" t="s">
        <v>17712</v>
      </c>
      <c r="AT2498" s="6" t="s">
        <v>18444</v>
      </c>
      <c r="AU2498" s="6" t="s">
        <v>19549</v>
      </c>
      <c r="AV2498" s="6" t="s">
        <v>81</v>
      </c>
      <c r="AW2498" s="6" t="s">
        <v>81</v>
      </c>
      <c r="AX2498" s="6" t="s">
        <v>22377</v>
      </c>
      <c r="AY2498" s="6" t="s">
        <v>23449</v>
      </c>
      <c r="AZ2498" s="6" t="s">
        <v>81</v>
      </c>
      <c r="BA2498" s="6" t="s">
        <v>81</v>
      </c>
      <c r="BB2498" s="24" t="n">
        <v>1022</v>
      </c>
      <c r="BC2498" s="26"/>
      <c r="BD2498" s="26"/>
      <c r="BE2498" s="26"/>
      <c r="BF2498" s="26" t="s">
        <v>23900</v>
      </c>
      <c r="BG2498" s="26"/>
      <c r="BH2498" s="26"/>
      <c r="BI2498" s="26"/>
      <c r="BJ2498" s="26"/>
      <c r="BK2498" s="26"/>
      <c r="BL2498" s="26"/>
      <c r="BM2498" s="26"/>
      <c r="BN2498" s="26"/>
      <c r="BO2498" s="26"/>
      <c r="BP2498" s="16" t="n">
        <v>45595</v>
      </c>
      <c r="BQ2498" s="28" t="str">
        <f>HYPERLINK("https://organic.ams.usda.gov/Integrity/Certificate.aspx?cid=57&amp;nopid=3252018052")</f>
        <v>https://organic.ams.usda.gov/Integrity/Certificate.aspx?cid=57&amp;nopid=3252018052</v>
      </c>
    </row>
    <row r="2499">
      <c r="A2499" t="s">
        <v>3</v>
      </c>
      <c r="B2499" s="6" t="s">
        <v>16</v>
      </c>
      <c r="C2499" s="6" t="s">
        <v>63</v>
      </c>
      <c r="D2499" s="6" t="s">
        <v>109</v>
      </c>
      <c r="E2499" s="10" t="s">
        <v>2640</v>
      </c>
      <c r="F2499" s="6" t="s">
        <v>5344</v>
      </c>
      <c r="G2499" s="6" t="s">
        <v>81</v>
      </c>
      <c r="H2499" s="6" t="s">
        <v>8166</v>
      </c>
      <c r="I2499" s="6" t="s">
        <v>8452</v>
      </c>
      <c r="J2499" s="6" t="s">
        <v>10513</v>
      </c>
      <c r="K2499" s="6" t="s">
        <v>10886</v>
      </c>
      <c r="L2499" s="16" t="n">
        <v>38384</v>
      </c>
      <c r="M2499" s="16" t="n">
        <v>45731</v>
      </c>
      <c r="N2499" s="6" t="s">
        <v>10886</v>
      </c>
      <c r="O2499" s="16" t="n">
        <v>38384</v>
      </c>
      <c r="P2499" s="6" t="s">
        <v>12293</v>
      </c>
      <c r="Q2499" s="6" t="s">
        <v>81</v>
      </c>
      <c r="R2499" s="6" t="s">
        <v>81</v>
      </c>
      <c r="S2499" s="6" t="s">
        <v>10886</v>
      </c>
      <c r="T2499" s="16" t="n">
        <v>38384</v>
      </c>
      <c r="U2499" s="6" t="s">
        <v>13281</v>
      </c>
      <c r="V2499" s="6" t="s">
        <v>81</v>
      </c>
      <c r="W2499" s="6" t="s">
        <v>81</v>
      </c>
      <c r="X2499" s="6" t="s">
        <v>81</v>
      </c>
      <c r="Y2499" s="21" t="s">
        <v>81</v>
      </c>
      <c r="Z2499" s="6" t="s">
        <v>81</v>
      </c>
      <c r="AA2499" s="6" t="s">
        <v>81</v>
      </c>
      <c r="AB2499" s="6" t="s">
        <v>81</v>
      </c>
      <c r="AC2499" s="6" t="s">
        <v>10886</v>
      </c>
      <c r="AD2499" s="16" t="n">
        <v>38384</v>
      </c>
      <c r="AE2499" s="6" t="s">
        <v>14364</v>
      </c>
      <c r="AF2499" s="6" t="s">
        <v>81</v>
      </c>
      <c r="AG2499" s="6" t="s">
        <v>81</v>
      </c>
      <c r="AH2499" s="6" t="s">
        <v>17038</v>
      </c>
      <c r="AI2499" s="6" t="s">
        <v>81</v>
      </c>
      <c r="AJ2499" s="6" t="s">
        <v>17837</v>
      </c>
      <c r="AK2499" s="6" t="s">
        <v>18383</v>
      </c>
      <c r="AL2499" s="6" t="s">
        <v>18444</v>
      </c>
      <c r="AM2499" s="6" t="s">
        <v>19550</v>
      </c>
      <c r="AN2499" s="6" t="s">
        <v>19636</v>
      </c>
      <c r="AO2499" s="6" t="s">
        <v>19740</v>
      </c>
      <c r="AP2499" s="6" t="s">
        <v>20444</v>
      </c>
      <c r="AQ2499" s="6" t="s">
        <v>81</v>
      </c>
      <c r="AR2499" s="6" t="s">
        <v>17837</v>
      </c>
      <c r="AS2499" s="6" t="s">
        <v>18383</v>
      </c>
      <c r="AT2499" s="6" t="s">
        <v>18444</v>
      </c>
      <c r="AU2499" s="6" t="s">
        <v>19550</v>
      </c>
      <c r="AV2499" s="6" t="s">
        <v>81</v>
      </c>
      <c r="AW2499" s="6" t="s">
        <v>81</v>
      </c>
      <c r="AX2499" s="6" t="s">
        <v>22378</v>
      </c>
      <c r="AY2499" s="6" t="s">
        <v>81</v>
      </c>
      <c r="AZ2499" s="6" t="s">
        <v>23784</v>
      </c>
      <c r="BA2499" s="6" t="s">
        <v>81</v>
      </c>
      <c r="BB2499" s="24" t="n">
        <v>506</v>
      </c>
      <c r="BC2499" s="26"/>
      <c r="BD2499" s="26"/>
      <c r="BE2499" s="26"/>
      <c r="BF2499" s="26"/>
      <c r="BG2499" s="26"/>
      <c r="BH2499" s="26"/>
      <c r="BI2499" s="26"/>
      <c r="BJ2499" s="26"/>
      <c r="BK2499" s="26"/>
      <c r="BL2499" s="26"/>
      <c r="BM2499" s="26"/>
      <c r="BN2499" s="26"/>
      <c r="BO2499" s="26"/>
      <c r="BP2499" s="16" t="n">
        <v>45701</v>
      </c>
      <c r="BQ2499" s="28" t="str">
        <f>HYPERLINK("https://organic.ams.usda.gov/Integrity/Certificate.aspx?cid=81&amp;nopid=4210004067")</f>
        <v>https://organic.ams.usda.gov/Integrity/Certificate.aspx?cid=81&amp;nopid=4210004067</v>
      </c>
    </row>
    <row r="2500">
      <c r="A2500" t="s">
        <v>3</v>
      </c>
      <c r="B2500" s="6" t="s">
        <v>16</v>
      </c>
      <c r="C2500" s="6" t="s">
        <v>63</v>
      </c>
      <c r="D2500" s="6" t="s">
        <v>109</v>
      </c>
      <c r="E2500" s="10" t="s">
        <v>2641</v>
      </c>
      <c r="F2500" s="6" t="s">
        <v>5345</v>
      </c>
      <c r="G2500" s="6" t="s">
        <v>5865</v>
      </c>
      <c r="H2500" s="6" t="s">
        <v>8167</v>
      </c>
      <c r="I2500" s="6" t="s">
        <v>9568</v>
      </c>
      <c r="J2500" s="6" t="s">
        <v>10029</v>
      </c>
      <c r="K2500" s="6" t="s">
        <v>10886</v>
      </c>
      <c r="L2500" s="16" t="n">
        <v>38001</v>
      </c>
      <c r="M2500" s="16" t="n">
        <v>45731</v>
      </c>
      <c r="N2500" s="6" t="s">
        <v>10886</v>
      </c>
      <c r="O2500" s="16" t="n">
        <v>38001</v>
      </c>
      <c r="P2500" s="6" t="s">
        <v>12076</v>
      </c>
      <c r="Q2500" s="6" t="s">
        <v>81</v>
      </c>
      <c r="R2500" s="6" t="s">
        <v>81</v>
      </c>
      <c r="S2500" s="6" t="s">
        <v>10886</v>
      </c>
      <c r="T2500" s="16" t="n">
        <v>38001</v>
      </c>
      <c r="U2500" s="6" t="s">
        <v>13896</v>
      </c>
      <c r="V2500" s="6" t="s">
        <v>81</v>
      </c>
      <c r="W2500" s="6" t="s">
        <v>81</v>
      </c>
      <c r="X2500" s="6" t="s">
        <v>81</v>
      </c>
      <c r="Y2500" s="21" t="s">
        <v>81</v>
      </c>
      <c r="Z2500" s="6" t="s">
        <v>81</v>
      </c>
      <c r="AA2500" s="6" t="s">
        <v>81</v>
      </c>
      <c r="AB2500" s="6" t="s">
        <v>81</v>
      </c>
      <c r="AC2500" s="6" t="s">
        <v>10886</v>
      </c>
      <c r="AD2500" s="16" t="n">
        <v>38001</v>
      </c>
      <c r="AE2500" s="6" t="s">
        <v>81</v>
      </c>
      <c r="AF2500" s="6" t="s">
        <v>81</v>
      </c>
      <c r="AG2500" s="6" t="s">
        <v>81</v>
      </c>
      <c r="AH2500" s="6" t="s">
        <v>17039</v>
      </c>
      <c r="AI2500" s="6" t="s">
        <v>81</v>
      </c>
      <c r="AJ2500" s="6" t="s">
        <v>18312</v>
      </c>
      <c r="AK2500" s="6" t="s">
        <v>18383</v>
      </c>
      <c r="AL2500" s="6" t="s">
        <v>18444</v>
      </c>
      <c r="AM2500" s="6" t="s">
        <v>19420</v>
      </c>
      <c r="AN2500" s="6" t="s">
        <v>19655</v>
      </c>
      <c r="AO2500" s="6" t="s">
        <v>19886</v>
      </c>
      <c r="AP2500" s="6" t="s">
        <v>20445</v>
      </c>
      <c r="AQ2500" s="6" t="s">
        <v>81</v>
      </c>
      <c r="AR2500" s="6" t="s">
        <v>18312</v>
      </c>
      <c r="AS2500" s="6" t="s">
        <v>18383</v>
      </c>
      <c r="AT2500" s="6" t="s">
        <v>18444</v>
      </c>
      <c r="AU2500" s="6" t="s">
        <v>19420</v>
      </c>
      <c r="AV2500" s="6" t="s">
        <v>81</v>
      </c>
      <c r="AW2500" s="6" t="s">
        <v>81</v>
      </c>
      <c r="AX2500" s="6" t="s">
        <v>22379</v>
      </c>
      <c r="AY2500" s="6" t="s">
        <v>81</v>
      </c>
      <c r="AZ2500" s="6" t="s">
        <v>81</v>
      </c>
      <c r="BA2500" s="6" t="s">
        <v>81</v>
      </c>
      <c r="BB2500" s="24" t="n">
        <v>502</v>
      </c>
      <c r="BC2500" s="26"/>
      <c r="BD2500" s="26"/>
      <c r="BE2500" s="26"/>
      <c r="BF2500" s="26"/>
      <c r="BG2500" s="26"/>
      <c r="BH2500" s="26"/>
      <c r="BI2500" s="26"/>
      <c r="BJ2500" s="26"/>
      <c r="BK2500" s="26"/>
      <c r="BL2500" s="26"/>
      <c r="BM2500" s="26"/>
      <c r="BN2500" s="26"/>
      <c r="BO2500" s="26"/>
      <c r="BP2500" s="16" t="n">
        <v>45701</v>
      </c>
      <c r="BQ2500" s="28" t="str">
        <f>HYPERLINK("https://organic.ams.usda.gov/Integrity/Certificate.aspx?cid=81&amp;nopid=4210004002")</f>
        <v>https://organic.ams.usda.gov/Integrity/Certificate.aspx?cid=81&amp;nopid=4210004002</v>
      </c>
    </row>
    <row r="2501">
      <c r="A2501" t="s">
        <v>3</v>
      </c>
      <c r="B2501" s="6" t="s">
        <v>50</v>
      </c>
      <c r="C2501" s="6" t="s">
        <v>97</v>
      </c>
      <c r="D2501" s="6" t="s">
        <v>142</v>
      </c>
      <c r="E2501" s="10" t="s">
        <v>2642</v>
      </c>
      <c r="F2501" s="6" t="s">
        <v>5346</v>
      </c>
      <c r="G2501" s="6" t="s">
        <v>81</v>
      </c>
      <c r="H2501" s="6" t="s">
        <v>81</v>
      </c>
      <c r="I2501" s="6" t="s">
        <v>81</v>
      </c>
      <c r="J2501" s="6" t="s">
        <v>81</v>
      </c>
      <c r="K2501" s="6" t="s">
        <v>10886</v>
      </c>
      <c r="L2501" s="16" t="n">
        <v>42859</v>
      </c>
      <c r="M2501" s="18" t="s">
        <v>81</v>
      </c>
      <c r="N2501" s="6" t="s">
        <v>81</v>
      </c>
      <c r="O2501" s="21" t="s">
        <v>81</v>
      </c>
      <c r="P2501" s="6" t="s">
        <v>81</v>
      </c>
      <c r="Q2501" s="6" t="s">
        <v>81</v>
      </c>
      <c r="R2501" s="6" t="s">
        <v>81</v>
      </c>
      <c r="S2501" s="6" t="s">
        <v>81</v>
      </c>
      <c r="T2501" s="21" t="s">
        <v>81</v>
      </c>
      <c r="U2501" s="6" t="s">
        <v>81</v>
      </c>
      <c r="V2501" s="6" t="s">
        <v>81</v>
      </c>
      <c r="W2501" s="6" t="s">
        <v>81</v>
      </c>
      <c r="X2501" s="6" t="s">
        <v>81</v>
      </c>
      <c r="Y2501" s="21" t="s">
        <v>81</v>
      </c>
      <c r="Z2501" s="6" t="s">
        <v>81</v>
      </c>
      <c r="AA2501" s="6" t="s">
        <v>81</v>
      </c>
      <c r="AB2501" s="6" t="s">
        <v>81</v>
      </c>
      <c r="AC2501" s="6" t="s">
        <v>10886</v>
      </c>
      <c r="AD2501" s="16" t="n">
        <v>42859</v>
      </c>
      <c r="AE2501" s="6" t="s">
        <v>14348</v>
      </c>
      <c r="AF2501" s="6" t="s">
        <v>81</v>
      </c>
      <c r="AG2501" s="6" t="s">
        <v>81</v>
      </c>
      <c r="AH2501" s="6" t="s">
        <v>17040</v>
      </c>
      <c r="AI2501" s="6" t="s">
        <v>81</v>
      </c>
      <c r="AJ2501" s="6" t="s">
        <v>81</v>
      </c>
      <c r="AK2501" s="6" t="s">
        <v>81</v>
      </c>
      <c r="AL2501" s="6" t="s">
        <v>18460</v>
      </c>
      <c r="AM2501" s="6" t="s">
        <v>81</v>
      </c>
      <c r="AN2501" s="6" t="s">
        <v>81</v>
      </c>
      <c r="AO2501" s="6" t="s">
        <v>81</v>
      </c>
      <c r="AP2501" s="6" t="s">
        <v>81</v>
      </c>
      <c r="AQ2501" s="6" t="s">
        <v>81</v>
      </c>
      <c r="AR2501" s="6" t="s">
        <v>81</v>
      </c>
      <c r="AS2501" s="6" t="s">
        <v>81</v>
      </c>
      <c r="AT2501" s="6" t="s">
        <v>81</v>
      </c>
      <c r="AU2501" s="6" t="s">
        <v>81</v>
      </c>
      <c r="AV2501" s="6" t="s">
        <v>81</v>
      </c>
      <c r="AW2501" s="6" t="s">
        <v>81</v>
      </c>
      <c r="AX2501" s="6" t="s">
        <v>81</v>
      </c>
      <c r="AY2501" s="6" t="s">
        <v>81</v>
      </c>
      <c r="AZ2501" s="6" t="s">
        <v>81</v>
      </c>
      <c r="BA2501" s="6" t="s">
        <v>81</v>
      </c>
      <c r="BB2501" s="6" t="s">
        <v>81</v>
      </c>
      <c r="BC2501" s="26"/>
      <c r="BD2501" s="26"/>
      <c r="BE2501" s="26"/>
      <c r="BF2501" s="26"/>
      <c r="BG2501" s="26"/>
      <c r="BH2501" s="26"/>
      <c r="BI2501" s="26"/>
      <c r="BJ2501" s="26"/>
      <c r="BK2501" s="26"/>
      <c r="BL2501" s="26"/>
      <c r="BM2501" s="26"/>
      <c r="BN2501" s="26"/>
      <c r="BO2501" s="26"/>
      <c r="BP2501" s="16" t="n">
        <v>43019</v>
      </c>
      <c r="BQ2501" s="28" t="str">
        <f>HYPERLINK("https://organic.ams.usda.gov/Integrity/Certificate.aspx?cid=37&amp;nopid=2197256664")</f>
        <v>https://organic.ams.usda.gov/Integrity/Certificate.aspx?cid=37&amp;nopid=2197256664</v>
      </c>
    </row>
    <row r="2502">
      <c r="A2502" t="s">
        <v>3</v>
      </c>
      <c r="B2502" s="6" t="s">
        <v>21</v>
      </c>
      <c r="C2502" s="6" t="s">
        <v>68</v>
      </c>
      <c r="D2502" s="6" t="s">
        <v>114</v>
      </c>
      <c r="E2502" s="10" t="s">
        <v>2643</v>
      </c>
      <c r="F2502" s="6" t="s">
        <v>5347</v>
      </c>
      <c r="G2502" s="6" t="s">
        <v>81</v>
      </c>
      <c r="H2502" s="6" t="s">
        <v>8168</v>
      </c>
      <c r="I2502" s="6" t="s">
        <v>9569</v>
      </c>
      <c r="J2502" s="6" t="s">
        <v>10775</v>
      </c>
      <c r="K2502" s="6" t="s">
        <v>10886</v>
      </c>
      <c r="L2502" s="16" t="n">
        <v>39072</v>
      </c>
      <c r="M2502" s="16" t="n">
        <v>46023</v>
      </c>
      <c r="N2502" s="6" t="s">
        <v>81</v>
      </c>
      <c r="O2502" s="21" t="s">
        <v>81</v>
      </c>
      <c r="P2502" s="6" t="s">
        <v>81</v>
      </c>
      <c r="Q2502" s="6" t="s">
        <v>81</v>
      </c>
      <c r="R2502" s="6" t="s">
        <v>81</v>
      </c>
      <c r="S2502" s="6" t="s">
        <v>81</v>
      </c>
      <c r="T2502" s="21" t="s">
        <v>81</v>
      </c>
      <c r="U2502" s="6" t="s">
        <v>81</v>
      </c>
      <c r="V2502" s="6" t="s">
        <v>81</v>
      </c>
      <c r="W2502" s="6" t="s">
        <v>81</v>
      </c>
      <c r="X2502" s="6" t="s">
        <v>81</v>
      </c>
      <c r="Y2502" s="21" t="s">
        <v>81</v>
      </c>
      <c r="Z2502" s="6" t="s">
        <v>81</v>
      </c>
      <c r="AA2502" s="6" t="s">
        <v>81</v>
      </c>
      <c r="AB2502" s="6" t="s">
        <v>81</v>
      </c>
      <c r="AC2502" s="6" t="s">
        <v>10886</v>
      </c>
      <c r="AD2502" s="16" t="n">
        <v>39072</v>
      </c>
      <c r="AE2502" s="6" t="s">
        <v>14451</v>
      </c>
      <c r="AF2502" s="6" t="s">
        <v>81</v>
      </c>
      <c r="AG2502" s="6" t="s">
        <v>81</v>
      </c>
      <c r="AH2502" s="6" t="s">
        <v>81</v>
      </c>
      <c r="AI2502" s="6" t="s">
        <v>81</v>
      </c>
      <c r="AJ2502" s="6" t="s">
        <v>81</v>
      </c>
      <c r="AK2502" s="6" t="s">
        <v>81</v>
      </c>
      <c r="AL2502" s="6" t="s">
        <v>81</v>
      </c>
      <c r="AM2502" s="6" t="s">
        <v>81</v>
      </c>
      <c r="AN2502" s="6" t="s">
        <v>81</v>
      </c>
      <c r="AO2502" s="6" t="s">
        <v>81</v>
      </c>
      <c r="AP2502" s="6" t="s">
        <v>20446</v>
      </c>
      <c r="AQ2502" s="6" t="s">
        <v>81</v>
      </c>
      <c r="AR2502" s="6" t="s">
        <v>18183</v>
      </c>
      <c r="AS2502" s="6" t="s">
        <v>18428</v>
      </c>
      <c r="AT2502" s="6" t="s">
        <v>18444</v>
      </c>
      <c r="AU2502" s="6" t="s">
        <v>20708</v>
      </c>
      <c r="AV2502" s="6" t="s">
        <v>81</v>
      </c>
      <c r="AW2502" s="6" t="s">
        <v>81</v>
      </c>
      <c r="AX2502" s="6" t="s">
        <v>22380</v>
      </c>
      <c r="AY2502" s="6" t="s">
        <v>23450</v>
      </c>
      <c r="AZ2502" s="6" t="s">
        <v>81</v>
      </c>
      <c r="BA2502" s="6" t="s">
        <v>81</v>
      </c>
      <c r="BB2502" s="6" t="s">
        <v>81</v>
      </c>
      <c r="BC2502" s="26"/>
      <c r="BD2502" s="26"/>
      <c r="BE2502" s="26"/>
      <c r="BF2502" s="26"/>
      <c r="BG2502" s="26"/>
      <c r="BH2502" s="26"/>
      <c r="BI2502" s="26"/>
      <c r="BJ2502" s="26"/>
      <c r="BK2502" s="26"/>
      <c r="BL2502" s="26"/>
      <c r="BM2502" s="26"/>
      <c r="BN2502" s="26"/>
      <c r="BO2502" s="26"/>
      <c r="BP2502" s="16" t="n">
        <v>45667</v>
      </c>
      <c r="BQ2502" s="28" t="str">
        <f>HYPERLINK("https://organic.ams.usda.gov/Integrity/Certificate.aspx?cid=62&amp;nopid=8150000498")</f>
        <v>https://organic.ams.usda.gov/Integrity/Certificate.aspx?cid=62&amp;nopid=8150000498</v>
      </c>
    </row>
    <row r="2503">
      <c r="A2503" t="s">
        <v>3</v>
      </c>
      <c r="B2503" s="6" t="s">
        <v>20</v>
      </c>
      <c r="C2503" s="6" t="s">
        <v>67</v>
      </c>
      <c r="D2503" s="6" t="s">
        <v>113</v>
      </c>
      <c r="E2503" s="10" t="s">
        <v>2644</v>
      </c>
      <c r="F2503" s="6" t="s">
        <v>5348</v>
      </c>
      <c r="G2503" s="6" t="s">
        <v>81</v>
      </c>
      <c r="H2503" s="6" t="s">
        <v>8169</v>
      </c>
      <c r="I2503" s="6" t="s">
        <v>9570</v>
      </c>
      <c r="J2503" s="6" t="s">
        <v>10776</v>
      </c>
      <c r="K2503" s="6" t="s">
        <v>10886</v>
      </c>
      <c r="L2503" s="16" t="n">
        <v>40052</v>
      </c>
      <c r="M2503" s="16" t="n">
        <v>45708</v>
      </c>
      <c r="N2503" s="6" t="s">
        <v>81</v>
      </c>
      <c r="O2503" s="21" t="s">
        <v>81</v>
      </c>
      <c r="P2503" s="6" t="s">
        <v>81</v>
      </c>
      <c r="Q2503" s="6" t="s">
        <v>81</v>
      </c>
      <c r="R2503" s="6" t="s">
        <v>81</v>
      </c>
      <c r="S2503" s="6" t="s">
        <v>81</v>
      </c>
      <c r="T2503" s="21" t="s">
        <v>81</v>
      </c>
      <c r="U2503" s="6" t="s">
        <v>81</v>
      </c>
      <c r="V2503" s="6" t="s">
        <v>81</v>
      </c>
      <c r="W2503" s="6" t="s">
        <v>81</v>
      </c>
      <c r="X2503" s="6" t="s">
        <v>81</v>
      </c>
      <c r="Y2503" s="21" t="s">
        <v>81</v>
      </c>
      <c r="Z2503" s="6" t="s">
        <v>81</v>
      </c>
      <c r="AA2503" s="6" t="s">
        <v>81</v>
      </c>
      <c r="AB2503" s="6" t="s">
        <v>81</v>
      </c>
      <c r="AC2503" s="6" t="s">
        <v>10886</v>
      </c>
      <c r="AD2503" s="16" t="n">
        <v>40052</v>
      </c>
      <c r="AE2503" s="6" t="s">
        <v>14452</v>
      </c>
      <c r="AF2503" s="6" t="s">
        <v>81</v>
      </c>
      <c r="AG2503" s="6" t="s">
        <v>14603</v>
      </c>
      <c r="AH2503" s="6" t="s">
        <v>17041</v>
      </c>
      <c r="AI2503" s="6" t="s">
        <v>81</v>
      </c>
      <c r="AJ2503" s="6" t="s">
        <v>18313</v>
      </c>
      <c r="AK2503" s="6" t="s">
        <v>18385</v>
      </c>
      <c r="AL2503" s="6" t="s">
        <v>18444</v>
      </c>
      <c r="AM2503" s="6" t="s">
        <v>19551</v>
      </c>
      <c r="AN2503" s="6" t="s">
        <v>8233</v>
      </c>
      <c r="AO2503" s="6" t="s">
        <v>20051</v>
      </c>
      <c r="AP2503" s="6" t="s">
        <v>20447</v>
      </c>
      <c r="AQ2503" s="6" t="s">
        <v>81</v>
      </c>
      <c r="AR2503" s="6" t="s">
        <v>20583</v>
      </c>
      <c r="AS2503" s="6" t="s">
        <v>18385</v>
      </c>
      <c r="AT2503" s="6" t="s">
        <v>18444</v>
      </c>
      <c r="AU2503" s="6" t="s">
        <v>20709</v>
      </c>
      <c r="AV2503" s="6" t="s">
        <v>81</v>
      </c>
      <c r="AW2503" s="6" t="s">
        <v>81</v>
      </c>
      <c r="AX2503" s="6" t="s">
        <v>22381</v>
      </c>
      <c r="AY2503" s="6" t="s">
        <v>81</v>
      </c>
      <c r="AZ2503" s="6" t="s">
        <v>81</v>
      </c>
      <c r="BA2503" s="6" t="s">
        <v>81</v>
      </c>
      <c r="BB2503" s="6" t="s">
        <v>81</v>
      </c>
      <c r="BC2503" s="26"/>
      <c r="BD2503" s="26"/>
      <c r="BE2503" s="26"/>
      <c r="BF2503" s="26"/>
      <c r="BG2503" s="26"/>
      <c r="BH2503" s="26"/>
      <c r="BI2503" s="26"/>
      <c r="BJ2503" s="26"/>
      <c r="BK2503" s="26"/>
      <c r="BL2503" s="26"/>
      <c r="BM2503" s="26"/>
      <c r="BN2503" s="26"/>
      <c r="BO2503" s="26"/>
      <c r="BP2503" s="16" t="n">
        <v>45737</v>
      </c>
      <c r="BQ2503" s="28" t="str">
        <f>HYPERLINK("https://organic.ams.usda.gov/Integrity/Certificate.aspx?cid=71&amp;nopid=5520048292")</f>
        <v>https://organic.ams.usda.gov/Integrity/Certificate.aspx?cid=71&amp;nopid=5520048292</v>
      </c>
    </row>
    <row r="2504">
      <c r="A2504" t="s">
        <v>3</v>
      </c>
      <c r="B2504" s="6" t="s">
        <v>25</v>
      </c>
      <c r="C2504" s="6" t="s">
        <v>72</v>
      </c>
      <c r="D2504" s="6" t="s">
        <v>118</v>
      </c>
      <c r="E2504" s="10" t="s">
        <v>2645</v>
      </c>
      <c r="F2504" s="6" t="s">
        <v>5349</v>
      </c>
      <c r="G2504" s="6" t="s">
        <v>5866</v>
      </c>
      <c r="H2504" s="6" t="s">
        <v>8170</v>
      </c>
      <c r="I2504" s="6" t="s">
        <v>9571</v>
      </c>
      <c r="J2504" s="6" t="s">
        <v>10777</v>
      </c>
      <c r="K2504" s="6" t="s">
        <v>10886</v>
      </c>
      <c r="L2504" s="16" t="n">
        <v>39968</v>
      </c>
      <c r="M2504" s="16" t="n">
        <v>46023</v>
      </c>
      <c r="N2504" s="6" t="s">
        <v>81</v>
      </c>
      <c r="O2504" s="21" t="s">
        <v>81</v>
      </c>
      <c r="P2504" s="6" t="s">
        <v>81</v>
      </c>
      <c r="Q2504" s="6" t="s">
        <v>81</v>
      </c>
      <c r="R2504" s="6" t="s">
        <v>81</v>
      </c>
      <c r="S2504" s="6" t="s">
        <v>81</v>
      </c>
      <c r="T2504" s="21" t="s">
        <v>81</v>
      </c>
      <c r="U2504" s="6" t="s">
        <v>81</v>
      </c>
      <c r="V2504" s="6" t="s">
        <v>81</v>
      </c>
      <c r="W2504" s="6" t="s">
        <v>81</v>
      </c>
      <c r="X2504" s="6" t="s">
        <v>81</v>
      </c>
      <c r="Y2504" s="21" t="s">
        <v>81</v>
      </c>
      <c r="Z2504" s="6" t="s">
        <v>81</v>
      </c>
      <c r="AA2504" s="6" t="s">
        <v>81</v>
      </c>
      <c r="AB2504" s="6" t="s">
        <v>81</v>
      </c>
      <c r="AC2504" s="6" t="s">
        <v>10886</v>
      </c>
      <c r="AD2504" s="16" t="n">
        <v>39968</v>
      </c>
      <c r="AE2504" s="6" t="s">
        <v>14453</v>
      </c>
      <c r="AF2504" s="6" t="s">
        <v>81</v>
      </c>
      <c r="AG2504" s="6" t="s">
        <v>81</v>
      </c>
      <c r="AH2504" s="6" t="s">
        <v>17042</v>
      </c>
      <c r="AI2504" s="6" t="s">
        <v>81</v>
      </c>
      <c r="AJ2504" s="6" t="s">
        <v>18147</v>
      </c>
      <c r="AK2504" s="6" t="s">
        <v>18386</v>
      </c>
      <c r="AL2504" s="6" t="s">
        <v>18444</v>
      </c>
      <c r="AM2504" s="6" t="s">
        <v>19349</v>
      </c>
      <c r="AN2504" s="6" t="s">
        <v>19655</v>
      </c>
      <c r="AO2504" s="6" t="s">
        <v>19759</v>
      </c>
      <c r="AP2504" s="6" t="s">
        <v>17042</v>
      </c>
      <c r="AQ2504" s="6" t="s">
        <v>81</v>
      </c>
      <c r="AR2504" s="6" t="s">
        <v>18147</v>
      </c>
      <c r="AS2504" s="6" t="s">
        <v>18386</v>
      </c>
      <c r="AT2504" s="6" t="s">
        <v>18444</v>
      </c>
      <c r="AU2504" s="6" t="s">
        <v>19349</v>
      </c>
      <c r="AV2504" s="6" t="s">
        <v>81</v>
      </c>
      <c r="AW2504" s="6" t="s">
        <v>81</v>
      </c>
      <c r="AX2504" s="6" t="s">
        <v>81</v>
      </c>
      <c r="AY2504" s="6" t="s">
        <v>23451</v>
      </c>
      <c r="AZ2504" s="6" t="s">
        <v>23785</v>
      </c>
      <c r="BA2504" s="6" t="s">
        <v>23887</v>
      </c>
      <c r="BB2504" s="6" t="s">
        <v>81</v>
      </c>
      <c r="BC2504" s="26"/>
      <c r="BD2504" s="26"/>
      <c r="BE2504" s="26"/>
      <c r="BF2504" s="26"/>
      <c r="BG2504" s="26"/>
      <c r="BH2504" s="26"/>
      <c r="BI2504" s="26"/>
      <c r="BJ2504" s="26"/>
      <c r="BK2504" s="26"/>
      <c r="BL2504" s="26"/>
      <c r="BM2504" s="26"/>
      <c r="BN2504" s="26"/>
      <c r="BO2504" s="26"/>
      <c r="BP2504" s="16" t="n">
        <v>45667</v>
      </c>
      <c r="BQ2504" s="28" t="str">
        <f>HYPERLINK("https://organic.ams.usda.gov/Integrity/Certificate.aspx?cid=15&amp;nopid=5561002471")</f>
        <v>https://organic.ams.usda.gov/Integrity/Certificate.aspx?cid=15&amp;nopid=5561002471</v>
      </c>
    </row>
    <row r="2505">
      <c r="A2505" t="s">
        <v>3</v>
      </c>
      <c r="B2505" s="6" t="s">
        <v>10</v>
      </c>
      <c r="C2505" s="6" t="s">
        <v>57</v>
      </c>
      <c r="D2505" s="6" t="s">
        <v>103</v>
      </c>
      <c r="E2505" s="10" t="s">
        <v>2646</v>
      </c>
      <c r="F2505" s="6" t="s">
        <v>5350</v>
      </c>
      <c r="G2505" s="6" t="s">
        <v>81</v>
      </c>
      <c r="H2505" s="6" t="s">
        <v>8171</v>
      </c>
      <c r="I2505" s="6" t="s">
        <v>9572</v>
      </c>
      <c r="J2505" s="6" t="s">
        <v>10778</v>
      </c>
      <c r="K2505" s="6" t="s">
        <v>10886</v>
      </c>
      <c r="L2505" s="16" t="n">
        <v>38874</v>
      </c>
      <c r="M2505" s="16" t="n">
        <v>45748</v>
      </c>
      <c r="N2505" s="6" t="s">
        <v>10886</v>
      </c>
      <c r="O2505" s="16" t="n">
        <v>38874</v>
      </c>
      <c r="P2505" s="6" t="s">
        <v>10910</v>
      </c>
      <c r="Q2505" s="6" t="s">
        <v>81</v>
      </c>
      <c r="R2505" s="6" t="s">
        <v>13098</v>
      </c>
      <c r="S2505" s="6" t="s">
        <v>10886</v>
      </c>
      <c r="T2505" s="16" t="n">
        <v>38874</v>
      </c>
      <c r="U2505" s="6" t="s">
        <v>13897</v>
      </c>
      <c r="V2505" s="6" t="s">
        <v>81</v>
      </c>
      <c r="W2505" s="6" t="s">
        <v>81</v>
      </c>
      <c r="X2505" s="6" t="s">
        <v>81</v>
      </c>
      <c r="Y2505" s="21" t="s">
        <v>81</v>
      </c>
      <c r="Z2505" s="6" t="s">
        <v>81</v>
      </c>
      <c r="AA2505" s="6" t="s">
        <v>81</v>
      </c>
      <c r="AB2505" s="6" t="s">
        <v>81</v>
      </c>
      <c r="AC2505" s="6" t="s">
        <v>81</v>
      </c>
      <c r="AD2505" s="21" t="s">
        <v>81</v>
      </c>
      <c r="AE2505" s="6" t="s">
        <v>81</v>
      </c>
      <c r="AF2505" s="6" t="s">
        <v>81</v>
      </c>
      <c r="AG2505" s="6" t="s">
        <v>81</v>
      </c>
      <c r="AH2505" s="6" t="s">
        <v>17043</v>
      </c>
      <c r="AI2505" s="6" t="s">
        <v>81</v>
      </c>
      <c r="AJ2505" s="6" t="s">
        <v>18314</v>
      </c>
      <c r="AK2505" s="6" t="s">
        <v>18379</v>
      </c>
      <c r="AL2505" s="6" t="s">
        <v>18444</v>
      </c>
      <c r="AM2505" s="6" t="s">
        <v>19552</v>
      </c>
      <c r="AN2505" s="6" t="s">
        <v>19691</v>
      </c>
      <c r="AO2505" s="6" t="s">
        <v>19924</v>
      </c>
      <c r="AP2505" s="6" t="s">
        <v>17043</v>
      </c>
      <c r="AQ2505" s="6" t="s">
        <v>81</v>
      </c>
      <c r="AR2505" s="6" t="s">
        <v>18314</v>
      </c>
      <c r="AS2505" s="6" t="s">
        <v>18379</v>
      </c>
      <c r="AT2505" s="6" t="s">
        <v>18444</v>
      </c>
      <c r="AU2505" s="6" t="s">
        <v>19552</v>
      </c>
      <c r="AV2505" s="6" t="s">
        <v>81</v>
      </c>
      <c r="AW2505" s="6" t="s">
        <v>81</v>
      </c>
      <c r="AX2505" s="6" t="s">
        <v>22382</v>
      </c>
      <c r="AY2505" s="6" t="s">
        <v>81</v>
      </c>
      <c r="AZ2505" s="6" t="s">
        <v>81</v>
      </c>
      <c r="BA2505" s="6" t="s">
        <v>81</v>
      </c>
      <c r="BB2505" s="24" t="n">
        <v>195</v>
      </c>
      <c r="BC2505" s="26"/>
      <c r="BD2505" s="26"/>
      <c r="BE2505" s="26"/>
      <c r="BF2505" s="26"/>
      <c r="BG2505" s="26"/>
      <c r="BH2505" s="26"/>
      <c r="BI2505" s="26"/>
      <c r="BJ2505" s="26"/>
      <c r="BK2505" s="26"/>
      <c r="BL2505" s="26"/>
      <c r="BM2505" s="26"/>
      <c r="BN2505" s="26"/>
      <c r="BO2505" s="26"/>
      <c r="BP2505" s="16" t="n">
        <v>45730</v>
      </c>
      <c r="BQ2505" s="28" t="str">
        <f>HYPERLINK("https://organic.ams.usda.gov/Integrity/Certificate.aspx?cid=90&amp;nopid=7170020240")</f>
        <v>https://organic.ams.usda.gov/Integrity/Certificate.aspx?cid=90&amp;nopid=7170020240</v>
      </c>
    </row>
    <row r="2506">
      <c r="A2506" t="s">
        <v>3</v>
      </c>
      <c r="B2506" s="6" t="s">
        <v>24</v>
      </c>
      <c r="C2506" s="6" t="s">
        <v>71</v>
      </c>
      <c r="D2506" s="6" t="s">
        <v>117</v>
      </c>
      <c r="E2506" s="10" t="s">
        <v>2647</v>
      </c>
      <c r="F2506" s="6" t="s">
        <v>5351</v>
      </c>
      <c r="G2506" s="6" t="s">
        <v>81</v>
      </c>
      <c r="H2506" s="6" t="s">
        <v>81</v>
      </c>
      <c r="I2506" s="6" t="s">
        <v>8574</v>
      </c>
      <c r="J2506" s="6" t="s">
        <v>10063</v>
      </c>
      <c r="K2506" s="6" t="s">
        <v>10886</v>
      </c>
      <c r="L2506" s="16" t="n">
        <v>44659</v>
      </c>
      <c r="M2506" s="16" t="n">
        <v>45870</v>
      </c>
      <c r="N2506" s="6" t="s">
        <v>10886</v>
      </c>
      <c r="O2506" s="16" t="n">
        <v>44659</v>
      </c>
      <c r="P2506" s="6" t="s">
        <v>12294</v>
      </c>
      <c r="Q2506" s="6" t="s">
        <v>81</v>
      </c>
      <c r="R2506" s="6" t="s">
        <v>81</v>
      </c>
      <c r="S2506" s="6" t="s">
        <v>10886</v>
      </c>
      <c r="T2506" s="16" t="n">
        <v>44659</v>
      </c>
      <c r="U2506" s="6" t="s">
        <v>13898</v>
      </c>
      <c r="V2506" s="6" t="s">
        <v>81</v>
      </c>
      <c r="W2506" s="6" t="s">
        <v>81</v>
      </c>
      <c r="X2506" s="6" t="s">
        <v>81</v>
      </c>
      <c r="Y2506" s="21" t="s">
        <v>81</v>
      </c>
      <c r="Z2506" s="6" t="s">
        <v>81</v>
      </c>
      <c r="AA2506" s="6" t="s">
        <v>81</v>
      </c>
      <c r="AB2506" s="6" t="s">
        <v>81</v>
      </c>
      <c r="AC2506" s="6" t="s">
        <v>10886</v>
      </c>
      <c r="AD2506" s="16" t="n">
        <v>44659</v>
      </c>
      <c r="AE2506" s="6" t="s">
        <v>14454</v>
      </c>
      <c r="AF2506" s="6" t="s">
        <v>81</v>
      </c>
      <c r="AG2506" s="6" t="s">
        <v>81</v>
      </c>
      <c r="AH2506" s="6" t="s">
        <v>17044</v>
      </c>
      <c r="AI2506" s="6" t="s">
        <v>81</v>
      </c>
      <c r="AJ2506" s="6" t="s">
        <v>17610</v>
      </c>
      <c r="AK2506" s="6" t="s">
        <v>18395</v>
      </c>
      <c r="AL2506" s="6" t="s">
        <v>18444</v>
      </c>
      <c r="AM2506" s="6" t="s">
        <v>18776</v>
      </c>
      <c r="AN2506" s="6" t="s">
        <v>19653</v>
      </c>
      <c r="AO2506" s="6" t="s">
        <v>20064</v>
      </c>
      <c r="AP2506" s="6" t="s">
        <v>20200</v>
      </c>
      <c r="AQ2506" s="6" t="s">
        <v>81</v>
      </c>
      <c r="AR2506" s="6" t="s">
        <v>17610</v>
      </c>
      <c r="AS2506" s="6" t="s">
        <v>18395</v>
      </c>
      <c r="AT2506" s="6" t="s">
        <v>18444</v>
      </c>
      <c r="AU2506" s="6" t="s">
        <v>18776</v>
      </c>
      <c r="AV2506" s="6" t="s">
        <v>81</v>
      </c>
      <c r="AW2506" s="6" t="s">
        <v>81</v>
      </c>
      <c r="AX2506" s="6" t="s">
        <v>81</v>
      </c>
      <c r="AY2506" s="6" t="s">
        <v>23452</v>
      </c>
      <c r="AZ2506" s="6" t="s">
        <v>81</v>
      </c>
      <c r="BA2506" s="6" t="s">
        <v>81</v>
      </c>
      <c r="BB2506" s="24" t="n">
        <v>3519</v>
      </c>
      <c r="BC2506" s="26"/>
      <c r="BD2506" s="26"/>
      <c r="BE2506" s="26"/>
      <c r="BF2506" s="26"/>
      <c r="BG2506" s="26"/>
      <c r="BH2506" s="26"/>
      <c r="BI2506" s="26"/>
      <c r="BJ2506" s="26"/>
      <c r="BK2506" s="26"/>
      <c r="BL2506" s="26"/>
      <c r="BM2506" s="26"/>
      <c r="BN2506" s="26"/>
      <c r="BO2506" s="26"/>
      <c r="BP2506" s="16" t="n">
        <v>45628</v>
      </c>
      <c r="BQ2506" s="28" t="str">
        <f>HYPERLINK("https://organic.ams.usda.gov/Integrity/Certificate.aspx?cid=1&amp;nopid=9092130602")</f>
        <v>https://organic.ams.usda.gov/Integrity/Certificate.aspx?cid=1&amp;nopid=9092130602</v>
      </c>
    </row>
    <row r="2507">
      <c r="A2507" t="s">
        <v>3</v>
      </c>
      <c r="B2507" s="6" t="s">
        <v>40</v>
      </c>
      <c r="C2507" s="6" t="s">
        <v>87</v>
      </c>
      <c r="D2507" s="6" t="s">
        <v>132</v>
      </c>
      <c r="E2507" s="10" t="s">
        <v>2648</v>
      </c>
      <c r="F2507" s="6" t="s">
        <v>5352</v>
      </c>
      <c r="G2507" s="6" t="s">
        <v>81</v>
      </c>
      <c r="H2507" s="6" t="s">
        <v>8172</v>
      </c>
      <c r="I2507" s="6" t="s">
        <v>9573</v>
      </c>
      <c r="J2507" s="6" t="s">
        <v>10779</v>
      </c>
      <c r="K2507" s="6" t="s">
        <v>10886</v>
      </c>
      <c r="L2507" s="16" t="n">
        <v>45386</v>
      </c>
      <c r="M2507" s="16" t="n">
        <v>45809</v>
      </c>
      <c r="N2507" s="6" t="s">
        <v>81</v>
      </c>
      <c r="O2507" s="21" t="s">
        <v>81</v>
      </c>
      <c r="P2507" s="6" t="s">
        <v>81</v>
      </c>
      <c r="Q2507" s="6" t="s">
        <v>81</v>
      </c>
      <c r="R2507" s="6" t="s">
        <v>81</v>
      </c>
      <c r="S2507" s="6" t="s">
        <v>81</v>
      </c>
      <c r="T2507" s="21" t="s">
        <v>81</v>
      </c>
      <c r="U2507" s="6" t="s">
        <v>81</v>
      </c>
      <c r="V2507" s="6" t="s">
        <v>81</v>
      </c>
      <c r="W2507" s="6" t="s">
        <v>81</v>
      </c>
      <c r="X2507" s="6" t="s">
        <v>81</v>
      </c>
      <c r="Y2507" s="21" t="s">
        <v>81</v>
      </c>
      <c r="Z2507" s="6" t="s">
        <v>81</v>
      </c>
      <c r="AA2507" s="6" t="s">
        <v>81</v>
      </c>
      <c r="AB2507" s="6" t="s">
        <v>81</v>
      </c>
      <c r="AC2507" s="6" t="s">
        <v>10886</v>
      </c>
      <c r="AD2507" s="16" t="n">
        <v>45386</v>
      </c>
      <c r="AE2507" s="6" t="s">
        <v>14455</v>
      </c>
      <c r="AF2507" s="6" t="s">
        <v>81</v>
      </c>
      <c r="AG2507" s="6" t="s">
        <v>81</v>
      </c>
      <c r="AH2507" s="6" t="s">
        <v>17045</v>
      </c>
      <c r="AI2507" s="6" t="s">
        <v>81</v>
      </c>
      <c r="AJ2507" s="6" t="s">
        <v>17614</v>
      </c>
      <c r="AK2507" s="6" t="s">
        <v>18398</v>
      </c>
      <c r="AL2507" s="6" t="s">
        <v>18444</v>
      </c>
      <c r="AM2507" s="6" t="s">
        <v>18782</v>
      </c>
      <c r="AN2507" s="6" t="s">
        <v>81</v>
      </c>
      <c r="AO2507" s="6" t="s">
        <v>81</v>
      </c>
      <c r="AP2507" s="6" t="s">
        <v>17045</v>
      </c>
      <c r="AQ2507" s="6" t="s">
        <v>81</v>
      </c>
      <c r="AR2507" s="6" t="s">
        <v>17614</v>
      </c>
      <c r="AS2507" s="6" t="s">
        <v>18398</v>
      </c>
      <c r="AT2507" s="6" t="s">
        <v>18444</v>
      </c>
      <c r="AU2507" s="6" t="s">
        <v>18782</v>
      </c>
      <c r="AV2507" s="6" t="s">
        <v>81</v>
      </c>
      <c r="AW2507" s="6" t="s">
        <v>81</v>
      </c>
      <c r="AX2507" s="6" t="s">
        <v>22383</v>
      </c>
      <c r="AY2507" s="6" t="s">
        <v>23453</v>
      </c>
      <c r="AZ2507" s="6" t="s">
        <v>81</v>
      </c>
      <c r="BA2507" s="6" t="s">
        <v>81</v>
      </c>
      <c r="BB2507" s="6" t="s">
        <v>81</v>
      </c>
      <c r="BC2507" s="26"/>
      <c r="BD2507" s="26"/>
      <c r="BE2507" s="26"/>
      <c r="BF2507" s="26"/>
      <c r="BG2507" s="26"/>
      <c r="BH2507" s="26"/>
      <c r="BI2507" s="26"/>
      <c r="BJ2507" s="26"/>
      <c r="BK2507" s="26"/>
      <c r="BL2507" s="26"/>
      <c r="BM2507" s="26"/>
      <c r="BN2507" s="26"/>
      <c r="BO2507" s="26"/>
      <c r="BP2507" s="16" t="n">
        <v>45735</v>
      </c>
      <c r="BQ2507" s="28" t="str">
        <f>HYPERLINK("https://organic.ams.usda.gov/Integrity/Certificate.aspx?cid=19&amp;nopid=6350000629")</f>
        <v>https://organic.ams.usda.gov/Integrity/Certificate.aspx?cid=19&amp;nopid=6350000629</v>
      </c>
    </row>
    <row r="2508">
      <c r="A2508" t="s">
        <v>3</v>
      </c>
      <c r="B2508" s="6" t="s">
        <v>25</v>
      </c>
      <c r="C2508" s="6" t="s">
        <v>72</v>
      </c>
      <c r="D2508" s="6" t="s">
        <v>118</v>
      </c>
      <c r="E2508" s="10" t="s">
        <v>2649</v>
      </c>
      <c r="F2508" s="6" t="s">
        <v>5353</v>
      </c>
      <c r="G2508" s="6" t="s">
        <v>81</v>
      </c>
      <c r="H2508" s="6" t="s">
        <v>8173</v>
      </c>
      <c r="I2508" s="6" t="s">
        <v>9574</v>
      </c>
      <c r="J2508" s="6" t="s">
        <v>10780</v>
      </c>
      <c r="K2508" s="6" t="s">
        <v>10886</v>
      </c>
      <c r="L2508" s="16" t="n">
        <v>41465</v>
      </c>
      <c r="M2508" s="16" t="n">
        <v>46023</v>
      </c>
      <c r="N2508" s="6" t="s">
        <v>81</v>
      </c>
      <c r="O2508" s="21" t="s">
        <v>81</v>
      </c>
      <c r="P2508" s="6" t="s">
        <v>81</v>
      </c>
      <c r="Q2508" s="6" t="s">
        <v>81</v>
      </c>
      <c r="R2508" s="6" t="s">
        <v>81</v>
      </c>
      <c r="S2508" s="6" t="s">
        <v>81</v>
      </c>
      <c r="T2508" s="21" t="s">
        <v>81</v>
      </c>
      <c r="U2508" s="6" t="s">
        <v>81</v>
      </c>
      <c r="V2508" s="6" t="s">
        <v>81</v>
      </c>
      <c r="W2508" s="6" t="s">
        <v>81</v>
      </c>
      <c r="X2508" s="6" t="s">
        <v>81</v>
      </c>
      <c r="Y2508" s="21" t="s">
        <v>81</v>
      </c>
      <c r="Z2508" s="6" t="s">
        <v>81</v>
      </c>
      <c r="AA2508" s="6" t="s">
        <v>81</v>
      </c>
      <c r="AB2508" s="6" t="s">
        <v>81</v>
      </c>
      <c r="AC2508" s="6" t="s">
        <v>10886</v>
      </c>
      <c r="AD2508" s="16" t="n">
        <v>41472</v>
      </c>
      <c r="AE2508" s="6" t="s">
        <v>14456</v>
      </c>
      <c r="AF2508" s="6" t="s">
        <v>81</v>
      </c>
      <c r="AG2508" s="6" t="s">
        <v>81</v>
      </c>
      <c r="AH2508" s="6" t="s">
        <v>17046</v>
      </c>
      <c r="AI2508" s="6" t="s">
        <v>81</v>
      </c>
      <c r="AJ2508" s="6" t="s">
        <v>18315</v>
      </c>
      <c r="AK2508" s="6" t="s">
        <v>18395</v>
      </c>
      <c r="AL2508" s="6" t="s">
        <v>18444</v>
      </c>
      <c r="AM2508" s="6" t="s">
        <v>19553</v>
      </c>
      <c r="AN2508" s="6" t="s">
        <v>19716</v>
      </c>
      <c r="AO2508" s="6" t="s">
        <v>20065</v>
      </c>
      <c r="AP2508" s="6" t="s">
        <v>17046</v>
      </c>
      <c r="AQ2508" s="6" t="s">
        <v>81</v>
      </c>
      <c r="AR2508" s="6" t="s">
        <v>18315</v>
      </c>
      <c r="AS2508" s="6" t="s">
        <v>18395</v>
      </c>
      <c r="AT2508" s="6" t="s">
        <v>18444</v>
      </c>
      <c r="AU2508" s="6" t="s">
        <v>19553</v>
      </c>
      <c r="AV2508" s="6" t="s">
        <v>81</v>
      </c>
      <c r="AW2508" s="6" t="s">
        <v>81</v>
      </c>
      <c r="AX2508" s="6" t="s">
        <v>22384</v>
      </c>
      <c r="AY2508" s="6" t="s">
        <v>23454</v>
      </c>
      <c r="AZ2508" s="6" t="s">
        <v>23786</v>
      </c>
      <c r="BA2508" s="6" t="s">
        <v>23888</v>
      </c>
      <c r="BB2508" s="6" t="s">
        <v>81</v>
      </c>
      <c r="BC2508" s="26"/>
      <c r="BD2508" s="26"/>
      <c r="BE2508" s="26"/>
      <c r="BF2508" s="26"/>
      <c r="BG2508" s="26"/>
      <c r="BH2508" s="26"/>
      <c r="BI2508" s="26"/>
      <c r="BJ2508" s="26"/>
      <c r="BK2508" s="26"/>
      <c r="BL2508" s="26"/>
      <c r="BM2508" s="26"/>
      <c r="BN2508" s="26"/>
      <c r="BO2508" s="26"/>
      <c r="BP2508" s="16" t="n">
        <v>45727</v>
      </c>
      <c r="BQ2508" s="28" t="str">
        <f>HYPERLINK("https://organic.ams.usda.gov/Integrity/Certificate.aspx?cid=15&amp;nopid=5561001832")</f>
        <v>https://organic.ams.usda.gov/Integrity/Certificate.aspx?cid=15&amp;nopid=5561001832</v>
      </c>
    </row>
    <row r="2509">
      <c r="A2509" t="s">
        <v>3</v>
      </c>
      <c r="B2509" s="6" t="s">
        <v>23</v>
      </c>
      <c r="C2509" s="6" t="s">
        <v>70</v>
      </c>
      <c r="D2509" s="6" t="s">
        <v>116</v>
      </c>
      <c r="E2509" s="10" t="s">
        <v>2650</v>
      </c>
      <c r="F2509" s="6" t="s">
        <v>5354</v>
      </c>
      <c r="G2509" s="6" t="s">
        <v>81</v>
      </c>
      <c r="H2509" s="6" t="s">
        <v>8174</v>
      </c>
      <c r="I2509" s="6" t="s">
        <v>9575</v>
      </c>
      <c r="J2509" s="6" t="s">
        <v>10781</v>
      </c>
      <c r="K2509" s="6" t="s">
        <v>10886</v>
      </c>
      <c r="L2509" s="16" t="n">
        <v>42156</v>
      </c>
      <c r="M2509" s="16" t="n">
        <v>45444</v>
      </c>
      <c r="N2509" s="6" t="s">
        <v>10886</v>
      </c>
      <c r="O2509" s="16" t="n">
        <v>42156</v>
      </c>
      <c r="P2509" s="6" t="s">
        <v>12295</v>
      </c>
      <c r="Q2509" s="6" t="s">
        <v>81</v>
      </c>
      <c r="R2509" s="6" t="s">
        <v>13099</v>
      </c>
      <c r="S2509" s="6" t="s">
        <v>10886</v>
      </c>
      <c r="T2509" s="16" t="n">
        <v>42156</v>
      </c>
      <c r="U2509" s="6" t="s">
        <v>81</v>
      </c>
      <c r="V2509" s="6" t="s">
        <v>81</v>
      </c>
      <c r="W2509" s="6" t="s">
        <v>81</v>
      </c>
      <c r="X2509" s="6" t="s">
        <v>81</v>
      </c>
      <c r="Y2509" s="21" t="s">
        <v>81</v>
      </c>
      <c r="Z2509" s="6" t="s">
        <v>81</v>
      </c>
      <c r="AA2509" s="6" t="s">
        <v>81</v>
      </c>
      <c r="AB2509" s="6" t="s">
        <v>81</v>
      </c>
      <c r="AC2509" s="6" t="s">
        <v>81</v>
      </c>
      <c r="AD2509" s="21" t="s">
        <v>81</v>
      </c>
      <c r="AE2509" s="6" t="s">
        <v>81</v>
      </c>
      <c r="AF2509" s="6" t="s">
        <v>81</v>
      </c>
      <c r="AG2509" s="6" t="s">
        <v>81</v>
      </c>
      <c r="AH2509" s="6" t="s">
        <v>81</v>
      </c>
      <c r="AI2509" s="6" t="s">
        <v>81</v>
      </c>
      <c r="AJ2509" s="6" t="s">
        <v>81</v>
      </c>
      <c r="AK2509" s="6" t="s">
        <v>81</v>
      </c>
      <c r="AL2509" s="6" t="s">
        <v>81</v>
      </c>
      <c r="AM2509" s="6" t="s">
        <v>81</v>
      </c>
      <c r="AN2509" s="6" t="s">
        <v>81</v>
      </c>
      <c r="AO2509" s="6" t="s">
        <v>81</v>
      </c>
      <c r="AP2509" s="6" t="s">
        <v>20448</v>
      </c>
      <c r="AQ2509" s="6" t="s">
        <v>81</v>
      </c>
      <c r="AR2509" s="6" t="s">
        <v>17421</v>
      </c>
      <c r="AS2509" s="6" t="s">
        <v>18386</v>
      </c>
      <c r="AT2509" s="6" t="s">
        <v>18444</v>
      </c>
      <c r="AU2509" s="6" t="s">
        <v>18578</v>
      </c>
      <c r="AV2509" s="6" t="s">
        <v>19672</v>
      </c>
      <c r="AW2509" s="6" t="s">
        <v>19787</v>
      </c>
      <c r="AX2509" s="6" t="s">
        <v>22385</v>
      </c>
      <c r="AY2509" s="6" t="s">
        <v>23455</v>
      </c>
      <c r="AZ2509" s="6" t="s">
        <v>81</v>
      </c>
      <c r="BA2509" s="6" t="s">
        <v>81</v>
      </c>
      <c r="BB2509" s="24" t="n">
        <v>1082</v>
      </c>
      <c r="BC2509" s="26"/>
      <c r="BD2509" s="26"/>
      <c r="BE2509" s="26"/>
      <c r="BF2509" s="26"/>
      <c r="BG2509" s="26"/>
      <c r="BH2509" s="26"/>
      <c r="BI2509" s="26"/>
      <c r="BJ2509" s="26"/>
      <c r="BK2509" s="26"/>
      <c r="BL2509" s="26"/>
      <c r="BM2509" s="26"/>
      <c r="BN2509" s="26"/>
      <c r="BO2509" s="26"/>
      <c r="BP2509" s="16" t="n">
        <v>45370</v>
      </c>
      <c r="BQ2509" s="28" t="str">
        <f>HYPERLINK("https://organic.ams.usda.gov/Integrity/Certificate.aspx?cid=63&amp;nopid=6220006573")</f>
        <v>https://organic.ams.usda.gov/Integrity/Certificate.aspx?cid=63&amp;nopid=6220006573</v>
      </c>
    </row>
    <row r="2510">
      <c r="A2510" t="s">
        <v>3</v>
      </c>
      <c r="B2510" s="6" t="s">
        <v>22</v>
      </c>
      <c r="C2510" s="6" t="s">
        <v>69</v>
      </c>
      <c r="D2510" s="6" t="s">
        <v>115</v>
      </c>
      <c r="E2510" s="10" t="s">
        <v>2651</v>
      </c>
      <c r="F2510" s="6" t="s">
        <v>5355</v>
      </c>
      <c r="G2510" s="6" t="s">
        <v>81</v>
      </c>
      <c r="H2510" s="6" t="s">
        <v>8175</v>
      </c>
      <c r="I2510" s="6" t="s">
        <v>9576</v>
      </c>
      <c r="J2510" s="6" t="s">
        <v>10782</v>
      </c>
      <c r="K2510" s="6" t="s">
        <v>10886</v>
      </c>
      <c r="L2510" s="16" t="n">
        <v>42453</v>
      </c>
      <c r="M2510" s="16" t="n">
        <v>45590</v>
      </c>
      <c r="N2510" s="6" t="s">
        <v>81</v>
      </c>
      <c r="O2510" s="21" t="s">
        <v>81</v>
      </c>
      <c r="P2510" s="6" t="s">
        <v>81</v>
      </c>
      <c r="Q2510" s="6" t="s">
        <v>81</v>
      </c>
      <c r="R2510" s="6" t="s">
        <v>81</v>
      </c>
      <c r="S2510" s="6" t="s">
        <v>81</v>
      </c>
      <c r="T2510" s="21" t="s">
        <v>81</v>
      </c>
      <c r="U2510" s="6" t="s">
        <v>81</v>
      </c>
      <c r="V2510" s="6" t="s">
        <v>81</v>
      </c>
      <c r="W2510" s="6" t="s">
        <v>81</v>
      </c>
      <c r="X2510" s="6" t="s">
        <v>81</v>
      </c>
      <c r="Y2510" s="21" t="s">
        <v>81</v>
      </c>
      <c r="Z2510" s="6" t="s">
        <v>81</v>
      </c>
      <c r="AA2510" s="6" t="s">
        <v>81</v>
      </c>
      <c r="AB2510" s="6" t="s">
        <v>81</v>
      </c>
      <c r="AC2510" s="6" t="s">
        <v>10886</v>
      </c>
      <c r="AD2510" s="16" t="n">
        <v>42453</v>
      </c>
      <c r="AE2510" s="6" t="s">
        <v>14457</v>
      </c>
      <c r="AF2510" s="6" t="s">
        <v>81</v>
      </c>
      <c r="AG2510" s="6" t="s">
        <v>81</v>
      </c>
      <c r="AH2510" s="6" t="s">
        <v>17047</v>
      </c>
      <c r="AI2510" s="6" t="s">
        <v>81</v>
      </c>
      <c r="AJ2510" s="6" t="s">
        <v>18090</v>
      </c>
      <c r="AK2510" s="6" t="s">
        <v>18407</v>
      </c>
      <c r="AL2510" s="6" t="s">
        <v>17856</v>
      </c>
      <c r="AM2510" s="6" t="s">
        <v>19554</v>
      </c>
      <c r="AN2510" s="6" t="s">
        <v>81</v>
      </c>
      <c r="AO2510" s="6" t="s">
        <v>81</v>
      </c>
      <c r="AP2510" s="6" t="s">
        <v>17047</v>
      </c>
      <c r="AQ2510" s="6" t="s">
        <v>81</v>
      </c>
      <c r="AR2510" s="6" t="s">
        <v>18090</v>
      </c>
      <c r="AS2510" s="6" t="s">
        <v>18407</v>
      </c>
      <c r="AT2510" s="6" t="s">
        <v>17856</v>
      </c>
      <c r="AU2510" s="6" t="s">
        <v>19554</v>
      </c>
      <c r="AV2510" s="6" t="s">
        <v>81</v>
      </c>
      <c r="AW2510" s="6" t="s">
        <v>81</v>
      </c>
      <c r="AX2510" s="6" t="s">
        <v>22386</v>
      </c>
      <c r="AY2510" s="6" t="s">
        <v>23456</v>
      </c>
      <c r="AZ2510" s="6" t="s">
        <v>81</v>
      </c>
      <c r="BA2510" s="6" t="s">
        <v>81</v>
      </c>
      <c r="BB2510" s="6" t="s">
        <v>81</v>
      </c>
      <c r="BC2510" s="26"/>
      <c r="BD2510" s="26"/>
      <c r="BE2510" s="26"/>
      <c r="BF2510" s="26"/>
      <c r="BG2510" s="26"/>
      <c r="BH2510" s="26"/>
      <c r="BI2510" s="26"/>
      <c r="BJ2510" s="26"/>
      <c r="BK2510" s="26"/>
      <c r="BL2510" s="26"/>
      <c r="BM2510" s="26"/>
      <c r="BN2510" s="26"/>
      <c r="BO2510" s="26"/>
      <c r="BP2510" s="16" t="n">
        <v>45481</v>
      </c>
      <c r="BQ2510" s="28" t="str">
        <f>HYPERLINK("https://organic.ams.usda.gov/Integrity/Certificate.aspx?cid=21&amp;nopid=1780829660")</f>
        <v>https://organic.ams.usda.gov/Integrity/Certificate.aspx?cid=21&amp;nopid=1780829660</v>
      </c>
    </row>
    <row r="2511">
      <c r="A2511" t="s">
        <v>3</v>
      </c>
      <c r="B2511" s="6" t="s">
        <v>29</v>
      </c>
      <c r="C2511" s="6" t="s">
        <v>76</v>
      </c>
      <c r="D2511" s="6" t="s">
        <v>122</v>
      </c>
      <c r="E2511" s="10" t="s">
        <v>2652</v>
      </c>
      <c r="F2511" s="6" t="s">
        <v>5356</v>
      </c>
      <c r="G2511" s="6" t="s">
        <v>5867</v>
      </c>
      <c r="H2511" s="6" t="s">
        <v>8176</v>
      </c>
      <c r="I2511" s="6" t="s">
        <v>9577</v>
      </c>
      <c r="J2511" s="6" t="s">
        <v>10783</v>
      </c>
      <c r="K2511" s="6" t="s">
        <v>10886</v>
      </c>
      <c r="L2511" s="16" t="n">
        <v>40511</v>
      </c>
      <c r="M2511" s="16" t="n">
        <v>45990</v>
      </c>
      <c r="N2511" s="6" t="s">
        <v>81</v>
      </c>
      <c r="O2511" s="21" t="s">
        <v>81</v>
      </c>
      <c r="P2511" s="6" t="s">
        <v>81</v>
      </c>
      <c r="Q2511" s="6" t="s">
        <v>81</v>
      </c>
      <c r="R2511" s="6" t="s">
        <v>81</v>
      </c>
      <c r="S2511" s="6" t="s">
        <v>81</v>
      </c>
      <c r="T2511" s="21" t="s">
        <v>81</v>
      </c>
      <c r="U2511" s="6" t="s">
        <v>81</v>
      </c>
      <c r="V2511" s="6" t="s">
        <v>81</v>
      </c>
      <c r="W2511" s="6" t="s">
        <v>81</v>
      </c>
      <c r="X2511" s="6" t="s">
        <v>81</v>
      </c>
      <c r="Y2511" s="21" t="s">
        <v>81</v>
      </c>
      <c r="Z2511" s="6" t="s">
        <v>81</v>
      </c>
      <c r="AA2511" s="6" t="s">
        <v>81</v>
      </c>
      <c r="AB2511" s="6" t="s">
        <v>81</v>
      </c>
      <c r="AC2511" s="6" t="s">
        <v>10886</v>
      </c>
      <c r="AD2511" s="16" t="n">
        <v>40511</v>
      </c>
      <c r="AE2511" s="6" t="s">
        <v>14458</v>
      </c>
      <c r="AF2511" s="6" t="s">
        <v>81</v>
      </c>
      <c r="AG2511" s="6" t="s">
        <v>14604</v>
      </c>
      <c r="AH2511" s="6" t="s">
        <v>17048</v>
      </c>
      <c r="AI2511" s="6" t="s">
        <v>81</v>
      </c>
      <c r="AJ2511" s="6" t="s">
        <v>18316</v>
      </c>
      <c r="AK2511" s="6" t="s">
        <v>18378</v>
      </c>
      <c r="AL2511" s="6" t="s">
        <v>18444</v>
      </c>
      <c r="AM2511" s="6" t="s">
        <v>19555</v>
      </c>
      <c r="AN2511" s="6" t="s">
        <v>6139</v>
      </c>
      <c r="AO2511" s="6" t="s">
        <v>20014</v>
      </c>
      <c r="AP2511" s="6" t="s">
        <v>81</v>
      </c>
      <c r="AQ2511" s="6" t="s">
        <v>81</v>
      </c>
      <c r="AR2511" s="6" t="s">
        <v>81</v>
      </c>
      <c r="AS2511" s="6" t="s">
        <v>81</v>
      </c>
      <c r="AT2511" s="6" t="s">
        <v>81</v>
      </c>
      <c r="AU2511" s="6" t="s">
        <v>81</v>
      </c>
      <c r="AV2511" s="6" t="s">
        <v>81</v>
      </c>
      <c r="AW2511" s="6" t="s">
        <v>81</v>
      </c>
      <c r="AX2511" s="6" t="s">
        <v>22387</v>
      </c>
      <c r="AY2511" s="6" t="s">
        <v>23457</v>
      </c>
      <c r="AZ2511" s="6" t="s">
        <v>81</v>
      </c>
      <c r="BA2511" s="6" t="s">
        <v>23889</v>
      </c>
      <c r="BB2511" s="6" t="s">
        <v>81</v>
      </c>
      <c r="BC2511" s="26"/>
      <c r="BD2511" s="26"/>
      <c r="BE2511" s="26"/>
      <c r="BF2511" s="26"/>
      <c r="BG2511" s="26"/>
      <c r="BH2511" s="26"/>
      <c r="BI2511" s="26"/>
      <c r="BJ2511" s="26"/>
      <c r="BK2511" s="26"/>
      <c r="BL2511" s="26"/>
      <c r="BM2511" s="26"/>
      <c r="BN2511" s="26"/>
      <c r="BO2511" s="26"/>
      <c r="BP2511" s="16" t="n">
        <v>45737</v>
      </c>
      <c r="BQ2511" s="28" t="str">
        <f>HYPERLINK("https://organic.ams.usda.gov/Integrity/Certificate.aspx?cid=31&amp;nopid=3920001015")</f>
        <v>https://organic.ams.usda.gov/Integrity/Certificate.aspx?cid=31&amp;nopid=3920001015</v>
      </c>
    </row>
    <row r="2512">
      <c r="A2512" t="s">
        <v>3</v>
      </c>
      <c r="B2512" s="6" t="s">
        <v>7</v>
      </c>
      <c r="C2512" s="6" t="s">
        <v>54</v>
      </c>
      <c r="D2512" s="6" t="s">
        <v>100</v>
      </c>
      <c r="E2512" s="10" t="s">
        <v>2653</v>
      </c>
      <c r="F2512" s="6" t="s">
        <v>5357</v>
      </c>
      <c r="G2512" s="6" t="s">
        <v>81</v>
      </c>
      <c r="H2512" s="6" t="s">
        <v>8177</v>
      </c>
      <c r="I2512" s="6" t="s">
        <v>9578</v>
      </c>
      <c r="J2512" s="6" t="s">
        <v>10784</v>
      </c>
      <c r="K2512" s="6" t="s">
        <v>10886</v>
      </c>
      <c r="L2512" s="16" t="n">
        <v>45372</v>
      </c>
      <c r="M2512" s="16" t="n">
        <v>46037</v>
      </c>
      <c r="N2512" s="6" t="s">
        <v>81</v>
      </c>
      <c r="O2512" s="21" t="s">
        <v>81</v>
      </c>
      <c r="P2512" s="6" t="s">
        <v>81</v>
      </c>
      <c r="Q2512" s="6" t="s">
        <v>81</v>
      </c>
      <c r="R2512" s="6" t="s">
        <v>81</v>
      </c>
      <c r="S2512" s="6" t="s">
        <v>81</v>
      </c>
      <c r="T2512" s="21" t="s">
        <v>81</v>
      </c>
      <c r="U2512" s="6" t="s">
        <v>81</v>
      </c>
      <c r="V2512" s="6" t="s">
        <v>81</v>
      </c>
      <c r="W2512" s="6" t="s">
        <v>81</v>
      </c>
      <c r="X2512" s="6" t="s">
        <v>81</v>
      </c>
      <c r="Y2512" s="21" t="s">
        <v>81</v>
      </c>
      <c r="Z2512" s="6" t="s">
        <v>81</v>
      </c>
      <c r="AA2512" s="6" t="s">
        <v>81</v>
      </c>
      <c r="AB2512" s="6" t="s">
        <v>81</v>
      </c>
      <c r="AC2512" s="6" t="s">
        <v>10886</v>
      </c>
      <c r="AD2512" s="16" t="n">
        <v>45372</v>
      </c>
      <c r="AE2512" s="6" t="s">
        <v>14459</v>
      </c>
      <c r="AF2512" s="6" t="s">
        <v>81</v>
      </c>
      <c r="AG2512" s="6" t="s">
        <v>81</v>
      </c>
      <c r="AH2512" s="6" t="s">
        <v>17049</v>
      </c>
      <c r="AI2512" s="6" t="s">
        <v>81</v>
      </c>
      <c r="AJ2512" s="6" t="s">
        <v>18161</v>
      </c>
      <c r="AK2512" s="6" t="s">
        <v>17712</v>
      </c>
      <c r="AL2512" s="6" t="s">
        <v>18444</v>
      </c>
      <c r="AM2512" s="6" t="s">
        <v>19366</v>
      </c>
      <c r="AN2512" s="6" t="s">
        <v>81</v>
      </c>
      <c r="AO2512" s="6" t="s">
        <v>81</v>
      </c>
      <c r="AP2512" s="6" t="s">
        <v>17049</v>
      </c>
      <c r="AQ2512" s="6" t="s">
        <v>81</v>
      </c>
      <c r="AR2512" s="6" t="s">
        <v>18161</v>
      </c>
      <c r="AS2512" s="6" t="s">
        <v>17712</v>
      </c>
      <c r="AT2512" s="6" t="s">
        <v>18444</v>
      </c>
      <c r="AU2512" s="6" t="s">
        <v>19366</v>
      </c>
      <c r="AV2512" s="6" t="s">
        <v>81</v>
      </c>
      <c r="AW2512" s="6" t="s">
        <v>81</v>
      </c>
      <c r="AX2512" s="6" t="s">
        <v>22388</v>
      </c>
      <c r="AY2512" s="6" t="s">
        <v>23458</v>
      </c>
      <c r="AZ2512" s="6" t="s">
        <v>23787</v>
      </c>
      <c r="BA2512" s="6" t="s">
        <v>81</v>
      </c>
      <c r="BB2512" s="24" t="n">
        <v>0</v>
      </c>
      <c r="BC2512" s="26"/>
      <c r="BD2512" s="26"/>
      <c r="BE2512" s="26"/>
      <c r="BF2512" s="26"/>
      <c r="BG2512" s="26"/>
      <c r="BH2512" s="26"/>
      <c r="BI2512" s="26"/>
      <c r="BJ2512" s="26"/>
      <c r="BK2512" s="26"/>
      <c r="BL2512" s="26"/>
      <c r="BM2512" s="26"/>
      <c r="BN2512" s="26"/>
      <c r="BO2512" s="26"/>
      <c r="BP2512" s="16" t="n">
        <v>45730</v>
      </c>
      <c r="BQ2512" s="28" t="str">
        <f>HYPERLINK("https://organic.ams.usda.gov/Integrity/Certificate.aspx?cid=57&amp;nopid=3252024003")</f>
        <v>https://organic.ams.usda.gov/Integrity/Certificate.aspx?cid=57&amp;nopid=3252024003</v>
      </c>
    </row>
    <row r="2513">
      <c r="A2513" t="s">
        <v>3</v>
      </c>
      <c r="B2513" s="6" t="s">
        <v>16</v>
      </c>
      <c r="C2513" s="6" t="s">
        <v>63</v>
      </c>
      <c r="D2513" s="6" t="s">
        <v>109</v>
      </c>
      <c r="E2513" s="10" t="s">
        <v>2654</v>
      </c>
      <c r="F2513" s="6" t="s">
        <v>5358</v>
      </c>
      <c r="G2513" s="6" t="s">
        <v>81</v>
      </c>
      <c r="H2513" s="6" t="s">
        <v>8178</v>
      </c>
      <c r="I2513" s="6" t="s">
        <v>9579</v>
      </c>
      <c r="J2513" s="6" t="s">
        <v>9710</v>
      </c>
      <c r="K2513" s="6" t="s">
        <v>10886</v>
      </c>
      <c r="L2513" s="16" t="n">
        <v>38534</v>
      </c>
      <c r="M2513" s="16" t="n">
        <v>45731</v>
      </c>
      <c r="N2513" s="6" t="s">
        <v>10886</v>
      </c>
      <c r="O2513" s="16" t="n">
        <v>38534</v>
      </c>
      <c r="P2513" s="6" t="s">
        <v>11564</v>
      </c>
      <c r="Q2513" s="6" t="s">
        <v>81</v>
      </c>
      <c r="R2513" s="6" t="s">
        <v>81</v>
      </c>
      <c r="S2513" s="6" t="s">
        <v>10886</v>
      </c>
      <c r="T2513" s="16" t="n">
        <v>38534</v>
      </c>
      <c r="U2513" s="6" t="s">
        <v>13281</v>
      </c>
      <c r="V2513" s="6" t="s">
        <v>81</v>
      </c>
      <c r="W2513" s="6" t="s">
        <v>81</v>
      </c>
      <c r="X2513" s="6" t="s">
        <v>81</v>
      </c>
      <c r="Y2513" s="21" t="s">
        <v>81</v>
      </c>
      <c r="Z2513" s="6" t="s">
        <v>81</v>
      </c>
      <c r="AA2513" s="6" t="s">
        <v>81</v>
      </c>
      <c r="AB2513" s="6" t="s">
        <v>81</v>
      </c>
      <c r="AC2513" s="6" t="s">
        <v>10886</v>
      </c>
      <c r="AD2513" s="16" t="n">
        <v>38534</v>
      </c>
      <c r="AE2513" s="6" t="s">
        <v>81</v>
      </c>
      <c r="AF2513" s="6" t="s">
        <v>81</v>
      </c>
      <c r="AG2513" s="6" t="s">
        <v>81</v>
      </c>
      <c r="AH2513" s="6" t="s">
        <v>17050</v>
      </c>
      <c r="AI2513" s="6" t="s">
        <v>81</v>
      </c>
      <c r="AJ2513" s="6" t="s">
        <v>18185</v>
      </c>
      <c r="AK2513" s="6" t="s">
        <v>18383</v>
      </c>
      <c r="AL2513" s="6" t="s">
        <v>18444</v>
      </c>
      <c r="AM2513" s="6" t="s">
        <v>19396</v>
      </c>
      <c r="AN2513" s="6" t="s">
        <v>19683</v>
      </c>
      <c r="AO2513" s="6" t="s">
        <v>19751</v>
      </c>
      <c r="AP2513" s="6" t="s">
        <v>81</v>
      </c>
      <c r="AQ2513" s="6" t="s">
        <v>81</v>
      </c>
      <c r="AR2513" s="6" t="s">
        <v>81</v>
      </c>
      <c r="AS2513" s="6" t="s">
        <v>81</v>
      </c>
      <c r="AT2513" s="6" t="s">
        <v>81</v>
      </c>
      <c r="AU2513" s="6" t="s">
        <v>81</v>
      </c>
      <c r="AV2513" s="6" t="s">
        <v>81</v>
      </c>
      <c r="AW2513" s="6" t="s">
        <v>81</v>
      </c>
      <c r="AX2513" s="6" t="s">
        <v>22389</v>
      </c>
      <c r="AY2513" s="6" t="s">
        <v>81</v>
      </c>
      <c r="AZ2513" s="6" t="s">
        <v>23788</v>
      </c>
      <c r="BA2513" s="6" t="s">
        <v>81</v>
      </c>
      <c r="BB2513" s="24" t="n">
        <v>487</v>
      </c>
      <c r="BC2513" s="26"/>
      <c r="BD2513" s="26"/>
      <c r="BE2513" s="26"/>
      <c r="BF2513" s="26"/>
      <c r="BG2513" s="26"/>
      <c r="BH2513" s="26"/>
      <c r="BI2513" s="26"/>
      <c r="BJ2513" s="26"/>
      <c r="BK2513" s="26"/>
      <c r="BL2513" s="26"/>
      <c r="BM2513" s="26"/>
      <c r="BN2513" s="26"/>
      <c r="BO2513" s="26"/>
      <c r="BP2513" s="16" t="n">
        <v>45701</v>
      </c>
      <c r="BQ2513" s="28" t="str">
        <f>HYPERLINK("https://organic.ams.usda.gov/Integrity/Certificate.aspx?cid=81&amp;nopid=4210005019")</f>
        <v>https://organic.ams.usda.gov/Integrity/Certificate.aspx?cid=81&amp;nopid=4210005019</v>
      </c>
    </row>
    <row r="2514">
      <c r="A2514" t="s">
        <v>3</v>
      </c>
      <c r="B2514" s="6" t="s">
        <v>16</v>
      </c>
      <c r="C2514" s="6" t="s">
        <v>63</v>
      </c>
      <c r="D2514" s="6" t="s">
        <v>109</v>
      </c>
      <c r="E2514" s="10" t="s">
        <v>2655</v>
      </c>
      <c r="F2514" s="6" t="s">
        <v>5359</v>
      </c>
      <c r="G2514" s="6" t="s">
        <v>81</v>
      </c>
      <c r="H2514" s="6" t="s">
        <v>8179</v>
      </c>
      <c r="I2514" s="6" t="s">
        <v>8992</v>
      </c>
      <c r="J2514" s="6" t="s">
        <v>10785</v>
      </c>
      <c r="K2514" s="6" t="s">
        <v>10886</v>
      </c>
      <c r="L2514" s="16" t="n">
        <v>39579</v>
      </c>
      <c r="M2514" s="16" t="n">
        <v>45731</v>
      </c>
      <c r="N2514" s="6" t="s">
        <v>10886</v>
      </c>
      <c r="O2514" s="16" t="n">
        <v>39579</v>
      </c>
      <c r="P2514" s="6" t="s">
        <v>11544</v>
      </c>
      <c r="Q2514" s="6" t="s">
        <v>81</v>
      </c>
      <c r="R2514" s="6" t="s">
        <v>81</v>
      </c>
      <c r="S2514" s="6" t="s">
        <v>10886</v>
      </c>
      <c r="T2514" s="16" t="n">
        <v>39579</v>
      </c>
      <c r="U2514" s="6" t="s">
        <v>13281</v>
      </c>
      <c r="V2514" s="6" t="s">
        <v>81</v>
      </c>
      <c r="W2514" s="6" t="s">
        <v>81</v>
      </c>
      <c r="X2514" s="6" t="s">
        <v>81</v>
      </c>
      <c r="Y2514" s="21" t="s">
        <v>81</v>
      </c>
      <c r="Z2514" s="6" t="s">
        <v>81</v>
      </c>
      <c r="AA2514" s="6" t="s">
        <v>81</v>
      </c>
      <c r="AB2514" s="6" t="s">
        <v>81</v>
      </c>
      <c r="AC2514" s="6" t="s">
        <v>10886</v>
      </c>
      <c r="AD2514" s="16" t="n">
        <v>39579</v>
      </c>
      <c r="AE2514" s="6" t="s">
        <v>81</v>
      </c>
      <c r="AF2514" s="6" t="s">
        <v>81</v>
      </c>
      <c r="AG2514" s="6" t="s">
        <v>81</v>
      </c>
      <c r="AH2514" s="6" t="s">
        <v>17051</v>
      </c>
      <c r="AI2514" s="6" t="s">
        <v>81</v>
      </c>
      <c r="AJ2514" s="6" t="s">
        <v>18317</v>
      </c>
      <c r="AK2514" s="6" t="s">
        <v>18383</v>
      </c>
      <c r="AL2514" s="6" t="s">
        <v>18444</v>
      </c>
      <c r="AM2514" s="6" t="s">
        <v>19556</v>
      </c>
      <c r="AN2514" s="6" t="s">
        <v>19696</v>
      </c>
      <c r="AO2514" s="6" t="s">
        <v>19935</v>
      </c>
      <c r="AP2514" s="6" t="s">
        <v>81</v>
      </c>
      <c r="AQ2514" s="6" t="s">
        <v>81</v>
      </c>
      <c r="AR2514" s="6" t="s">
        <v>81</v>
      </c>
      <c r="AS2514" s="6" t="s">
        <v>81</v>
      </c>
      <c r="AT2514" s="6" t="s">
        <v>81</v>
      </c>
      <c r="AU2514" s="6" t="s">
        <v>81</v>
      </c>
      <c r="AV2514" s="6" t="s">
        <v>81</v>
      </c>
      <c r="AW2514" s="6" t="s">
        <v>81</v>
      </c>
      <c r="AX2514" s="6" t="s">
        <v>22390</v>
      </c>
      <c r="AY2514" s="6" t="s">
        <v>81</v>
      </c>
      <c r="AZ2514" s="6" t="s">
        <v>23789</v>
      </c>
      <c r="BA2514" s="6" t="s">
        <v>81</v>
      </c>
      <c r="BB2514" s="24" t="n">
        <v>386</v>
      </c>
      <c r="BC2514" s="26"/>
      <c r="BD2514" s="26"/>
      <c r="BE2514" s="26"/>
      <c r="BF2514" s="26"/>
      <c r="BG2514" s="26"/>
      <c r="BH2514" s="26"/>
      <c r="BI2514" s="26"/>
      <c r="BJ2514" s="26"/>
      <c r="BK2514" s="26"/>
      <c r="BL2514" s="26"/>
      <c r="BM2514" s="26"/>
      <c r="BN2514" s="26"/>
      <c r="BO2514" s="26"/>
      <c r="BP2514" s="16" t="n">
        <v>45701</v>
      </c>
      <c r="BQ2514" s="28" t="str">
        <f>HYPERLINK("https://organic.ams.usda.gov/Integrity/Certificate.aspx?cid=81&amp;nopid=4210008057")</f>
        <v>https://organic.ams.usda.gov/Integrity/Certificate.aspx?cid=81&amp;nopid=4210008057</v>
      </c>
    </row>
    <row r="2515">
      <c r="A2515" t="s">
        <v>3</v>
      </c>
      <c r="B2515" s="6" t="s">
        <v>20</v>
      </c>
      <c r="C2515" s="6" t="s">
        <v>67</v>
      </c>
      <c r="D2515" s="6" t="s">
        <v>113</v>
      </c>
      <c r="E2515" s="10" t="s">
        <v>2656</v>
      </c>
      <c r="F2515" s="6" t="s">
        <v>5360</v>
      </c>
      <c r="G2515" s="6" t="s">
        <v>81</v>
      </c>
      <c r="H2515" s="6" t="s">
        <v>8180</v>
      </c>
      <c r="I2515" s="6" t="s">
        <v>8529</v>
      </c>
      <c r="J2515" s="6" t="s">
        <v>10786</v>
      </c>
      <c r="K2515" s="6" t="s">
        <v>10886</v>
      </c>
      <c r="L2515" s="16" t="n">
        <v>43840</v>
      </c>
      <c r="M2515" s="16" t="n">
        <v>45945</v>
      </c>
      <c r="N2515" s="6" t="s">
        <v>81</v>
      </c>
      <c r="O2515" s="21" t="s">
        <v>81</v>
      </c>
      <c r="P2515" s="6" t="s">
        <v>81</v>
      </c>
      <c r="Q2515" s="6" t="s">
        <v>81</v>
      </c>
      <c r="R2515" s="6" t="s">
        <v>81</v>
      </c>
      <c r="S2515" s="6" t="s">
        <v>81</v>
      </c>
      <c r="T2515" s="21" t="s">
        <v>81</v>
      </c>
      <c r="U2515" s="6" t="s">
        <v>81</v>
      </c>
      <c r="V2515" s="6" t="s">
        <v>81</v>
      </c>
      <c r="W2515" s="6" t="s">
        <v>81</v>
      </c>
      <c r="X2515" s="6" t="s">
        <v>81</v>
      </c>
      <c r="Y2515" s="21" t="s">
        <v>81</v>
      </c>
      <c r="Z2515" s="6" t="s">
        <v>81</v>
      </c>
      <c r="AA2515" s="6" t="s">
        <v>81</v>
      </c>
      <c r="AB2515" s="6" t="s">
        <v>81</v>
      </c>
      <c r="AC2515" s="6" t="s">
        <v>10886</v>
      </c>
      <c r="AD2515" s="16" t="n">
        <v>43840</v>
      </c>
      <c r="AE2515" s="6" t="s">
        <v>14460</v>
      </c>
      <c r="AF2515" s="6" t="s">
        <v>81</v>
      </c>
      <c r="AG2515" s="6" t="s">
        <v>14605</v>
      </c>
      <c r="AH2515" s="6" t="s">
        <v>17052</v>
      </c>
      <c r="AI2515" s="6" t="s">
        <v>81</v>
      </c>
      <c r="AJ2515" s="6" t="s">
        <v>18318</v>
      </c>
      <c r="AK2515" s="6" t="s">
        <v>18385</v>
      </c>
      <c r="AL2515" s="6" t="s">
        <v>18444</v>
      </c>
      <c r="AM2515" s="6" t="s">
        <v>19557</v>
      </c>
      <c r="AN2515" s="6" t="s">
        <v>19647</v>
      </c>
      <c r="AO2515" s="6" t="s">
        <v>19812</v>
      </c>
      <c r="AP2515" s="6" t="s">
        <v>17052</v>
      </c>
      <c r="AQ2515" s="6" t="s">
        <v>81</v>
      </c>
      <c r="AR2515" s="6" t="s">
        <v>18318</v>
      </c>
      <c r="AS2515" s="6" t="s">
        <v>18385</v>
      </c>
      <c r="AT2515" s="6" t="s">
        <v>18444</v>
      </c>
      <c r="AU2515" s="6" t="s">
        <v>19557</v>
      </c>
      <c r="AV2515" s="6" t="s">
        <v>81</v>
      </c>
      <c r="AW2515" s="6" t="s">
        <v>81</v>
      </c>
      <c r="AX2515" s="6" t="s">
        <v>22391</v>
      </c>
      <c r="AY2515" s="6" t="s">
        <v>23459</v>
      </c>
      <c r="AZ2515" s="6" t="s">
        <v>23790</v>
      </c>
      <c r="BA2515" s="6" t="s">
        <v>81</v>
      </c>
      <c r="BB2515" s="6" t="s">
        <v>81</v>
      </c>
      <c r="BC2515" s="26"/>
      <c r="BD2515" s="26"/>
      <c r="BE2515" s="26"/>
      <c r="BF2515" s="26"/>
      <c r="BG2515" s="26"/>
      <c r="BH2515" s="26"/>
      <c r="BI2515" s="26"/>
      <c r="BJ2515" s="26"/>
      <c r="BK2515" s="26"/>
      <c r="BL2515" s="26"/>
      <c r="BM2515" s="26"/>
      <c r="BN2515" s="26"/>
      <c r="BO2515" s="26"/>
      <c r="BP2515" s="16" t="n">
        <v>45737</v>
      </c>
      <c r="BQ2515" s="28" t="str">
        <f>HYPERLINK("https://organic.ams.usda.gov/Integrity/Certificate.aspx?cid=71&amp;nopid=5520501360")</f>
        <v>https://organic.ams.usda.gov/Integrity/Certificate.aspx?cid=71&amp;nopid=5520501360</v>
      </c>
    </row>
    <row r="2516">
      <c r="A2516" t="s">
        <v>3</v>
      </c>
      <c r="B2516" s="6" t="s">
        <v>21</v>
      </c>
      <c r="C2516" s="6" t="s">
        <v>68</v>
      </c>
      <c r="D2516" s="6" t="s">
        <v>114</v>
      </c>
      <c r="E2516" s="10" t="s">
        <v>2657</v>
      </c>
      <c r="F2516" s="6" t="s">
        <v>5361</v>
      </c>
      <c r="G2516" s="6" t="s">
        <v>81</v>
      </c>
      <c r="H2516" s="6" t="s">
        <v>8181</v>
      </c>
      <c r="I2516" s="6" t="s">
        <v>9580</v>
      </c>
      <c r="J2516" s="6" t="s">
        <v>10787</v>
      </c>
      <c r="K2516" s="6" t="s">
        <v>10886</v>
      </c>
      <c r="L2516" s="16" t="n">
        <v>42755</v>
      </c>
      <c r="M2516" s="16" t="n">
        <v>46023</v>
      </c>
      <c r="N2516" s="6" t="s">
        <v>81</v>
      </c>
      <c r="O2516" s="21" t="s">
        <v>81</v>
      </c>
      <c r="P2516" s="6" t="s">
        <v>81</v>
      </c>
      <c r="Q2516" s="6" t="s">
        <v>81</v>
      </c>
      <c r="R2516" s="6" t="s">
        <v>81</v>
      </c>
      <c r="S2516" s="6" t="s">
        <v>81</v>
      </c>
      <c r="T2516" s="21" t="s">
        <v>81</v>
      </c>
      <c r="U2516" s="6" t="s">
        <v>81</v>
      </c>
      <c r="V2516" s="6" t="s">
        <v>81</v>
      </c>
      <c r="W2516" s="6" t="s">
        <v>81</v>
      </c>
      <c r="X2516" s="6" t="s">
        <v>81</v>
      </c>
      <c r="Y2516" s="21" t="s">
        <v>81</v>
      </c>
      <c r="Z2516" s="6" t="s">
        <v>81</v>
      </c>
      <c r="AA2516" s="6" t="s">
        <v>81</v>
      </c>
      <c r="AB2516" s="6" t="s">
        <v>81</v>
      </c>
      <c r="AC2516" s="6" t="s">
        <v>10886</v>
      </c>
      <c r="AD2516" s="16" t="n">
        <v>42755</v>
      </c>
      <c r="AE2516" s="6" t="s">
        <v>14461</v>
      </c>
      <c r="AF2516" s="6" t="s">
        <v>81</v>
      </c>
      <c r="AG2516" s="6" t="s">
        <v>81</v>
      </c>
      <c r="AH2516" s="6" t="s">
        <v>81</v>
      </c>
      <c r="AI2516" s="6" t="s">
        <v>81</v>
      </c>
      <c r="AJ2516" s="6" t="s">
        <v>81</v>
      </c>
      <c r="AK2516" s="6" t="s">
        <v>81</v>
      </c>
      <c r="AL2516" s="6" t="s">
        <v>81</v>
      </c>
      <c r="AM2516" s="6" t="s">
        <v>81</v>
      </c>
      <c r="AN2516" s="6" t="s">
        <v>81</v>
      </c>
      <c r="AO2516" s="6" t="s">
        <v>81</v>
      </c>
      <c r="AP2516" s="6" t="s">
        <v>20121</v>
      </c>
      <c r="AQ2516" s="6" t="s">
        <v>81</v>
      </c>
      <c r="AR2516" s="6" t="s">
        <v>20500</v>
      </c>
      <c r="AS2516" s="6" t="s">
        <v>18380</v>
      </c>
      <c r="AT2516" s="6" t="s">
        <v>18444</v>
      </c>
      <c r="AU2516" s="6" t="s">
        <v>20608</v>
      </c>
      <c r="AV2516" s="6" t="s">
        <v>19665</v>
      </c>
      <c r="AW2516" s="6" t="s">
        <v>19755</v>
      </c>
      <c r="AX2516" s="6" t="s">
        <v>22392</v>
      </c>
      <c r="AY2516" s="6" t="s">
        <v>23460</v>
      </c>
      <c r="AZ2516" s="6" t="s">
        <v>81</v>
      </c>
      <c r="BA2516" s="6" t="s">
        <v>81</v>
      </c>
      <c r="BB2516" s="6" t="s">
        <v>81</v>
      </c>
      <c r="BC2516" s="26"/>
      <c r="BD2516" s="26"/>
      <c r="BE2516" s="26"/>
      <c r="BF2516" s="26"/>
      <c r="BG2516" s="26"/>
      <c r="BH2516" s="26" t="s">
        <v>23900</v>
      </c>
      <c r="BI2516" s="26"/>
      <c r="BJ2516" s="26"/>
      <c r="BK2516" s="26"/>
      <c r="BL2516" s="26" t="s">
        <v>23900</v>
      </c>
      <c r="BM2516" s="26"/>
      <c r="BN2516" s="26"/>
      <c r="BO2516" s="26"/>
      <c r="BP2516" s="16" t="n">
        <v>45738</v>
      </c>
      <c r="BQ2516" s="28" t="str">
        <f>HYPERLINK("https://organic.ams.usda.gov/Integrity/Certificate.aspx?cid=62&amp;nopid=8150003363")</f>
        <v>https://organic.ams.usda.gov/Integrity/Certificate.aspx?cid=62&amp;nopid=8150003363</v>
      </c>
    </row>
    <row r="2517">
      <c r="A2517" t="s">
        <v>3</v>
      </c>
      <c r="B2517" s="6" t="s">
        <v>7</v>
      </c>
      <c r="C2517" s="6" t="s">
        <v>54</v>
      </c>
      <c r="D2517" s="6" t="s">
        <v>100</v>
      </c>
      <c r="E2517" s="10" t="s">
        <v>2658</v>
      </c>
      <c r="F2517" s="6" t="s">
        <v>5362</v>
      </c>
      <c r="G2517" s="6" t="s">
        <v>81</v>
      </c>
      <c r="H2517" s="6" t="s">
        <v>8182</v>
      </c>
      <c r="I2517" s="6" t="s">
        <v>9581</v>
      </c>
      <c r="J2517" s="6" t="s">
        <v>10711</v>
      </c>
      <c r="K2517" s="6" t="s">
        <v>10886</v>
      </c>
      <c r="L2517" s="16" t="n">
        <v>45033</v>
      </c>
      <c r="M2517" s="16" t="n">
        <v>45672</v>
      </c>
      <c r="N2517" s="6" t="s">
        <v>10886</v>
      </c>
      <c r="O2517" s="16" t="n">
        <v>45033</v>
      </c>
      <c r="P2517" s="6" t="s">
        <v>12296</v>
      </c>
      <c r="Q2517" s="6" t="s">
        <v>81</v>
      </c>
      <c r="R2517" s="6" t="s">
        <v>81</v>
      </c>
      <c r="S2517" s="6" t="s">
        <v>10886</v>
      </c>
      <c r="T2517" s="16" t="n">
        <v>45139</v>
      </c>
      <c r="U2517" s="6" t="s">
        <v>13175</v>
      </c>
      <c r="V2517" s="6" t="s">
        <v>81</v>
      </c>
      <c r="W2517" s="6" t="s">
        <v>81</v>
      </c>
      <c r="X2517" s="6" t="s">
        <v>81</v>
      </c>
      <c r="Y2517" s="21" t="s">
        <v>81</v>
      </c>
      <c r="Z2517" s="6" t="s">
        <v>81</v>
      </c>
      <c r="AA2517" s="6" t="s">
        <v>81</v>
      </c>
      <c r="AB2517" s="6" t="s">
        <v>81</v>
      </c>
      <c r="AC2517" s="6" t="s">
        <v>10886</v>
      </c>
      <c r="AD2517" s="16" t="n">
        <v>45139</v>
      </c>
      <c r="AE2517" s="6" t="s">
        <v>14462</v>
      </c>
      <c r="AF2517" s="6" t="s">
        <v>81</v>
      </c>
      <c r="AG2517" s="6" t="s">
        <v>81</v>
      </c>
      <c r="AH2517" s="6" t="s">
        <v>17053</v>
      </c>
      <c r="AI2517" s="6" t="s">
        <v>81</v>
      </c>
      <c r="AJ2517" s="6" t="s">
        <v>17815</v>
      </c>
      <c r="AK2517" s="6" t="s">
        <v>17712</v>
      </c>
      <c r="AL2517" s="6" t="s">
        <v>18444</v>
      </c>
      <c r="AM2517" s="6" t="s">
        <v>19558</v>
      </c>
      <c r="AN2517" s="6" t="s">
        <v>81</v>
      </c>
      <c r="AO2517" s="6" t="s">
        <v>81</v>
      </c>
      <c r="AP2517" s="6" t="s">
        <v>17053</v>
      </c>
      <c r="AQ2517" s="6" t="s">
        <v>81</v>
      </c>
      <c r="AR2517" s="6" t="s">
        <v>17815</v>
      </c>
      <c r="AS2517" s="6" t="s">
        <v>17712</v>
      </c>
      <c r="AT2517" s="6" t="s">
        <v>18444</v>
      </c>
      <c r="AU2517" s="6" t="s">
        <v>19558</v>
      </c>
      <c r="AV2517" s="6" t="s">
        <v>81</v>
      </c>
      <c r="AW2517" s="6" t="s">
        <v>81</v>
      </c>
      <c r="AX2517" s="6" t="s">
        <v>22393</v>
      </c>
      <c r="AY2517" s="6" t="s">
        <v>23461</v>
      </c>
      <c r="AZ2517" s="6" t="s">
        <v>23791</v>
      </c>
      <c r="BA2517" s="6" t="s">
        <v>81</v>
      </c>
      <c r="BB2517" s="24" t="n">
        <v>278</v>
      </c>
      <c r="BC2517" s="26"/>
      <c r="BD2517" s="26"/>
      <c r="BE2517" s="26"/>
      <c r="BF2517" s="26" t="s">
        <v>23900</v>
      </c>
      <c r="BG2517" s="26"/>
      <c r="BH2517" s="26"/>
      <c r="BI2517" s="26"/>
      <c r="BJ2517" s="26"/>
      <c r="BK2517" s="26"/>
      <c r="BL2517" s="26"/>
      <c r="BM2517" s="26"/>
      <c r="BN2517" s="26"/>
      <c r="BO2517" s="26"/>
      <c r="BP2517" s="16" t="n">
        <v>45603</v>
      </c>
      <c r="BQ2517" s="28" t="str">
        <f>HYPERLINK("https://organic.ams.usda.gov/Integrity/Certificate.aspx?cid=57&amp;nopid=3252023019")</f>
        <v>https://organic.ams.usda.gov/Integrity/Certificate.aspx?cid=57&amp;nopid=3252023019</v>
      </c>
    </row>
    <row r="2518">
      <c r="A2518" t="s">
        <v>3</v>
      </c>
      <c r="B2518" s="6" t="s">
        <v>7</v>
      </c>
      <c r="C2518" s="6" t="s">
        <v>54</v>
      </c>
      <c r="D2518" s="6" t="s">
        <v>100</v>
      </c>
      <c r="E2518" s="10" t="s">
        <v>2659</v>
      </c>
      <c r="F2518" s="6" t="s">
        <v>5363</v>
      </c>
      <c r="G2518" s="6" t="s">
        <v>81</v>
      </c>
      <c r="H2518" s="6" t="s">
        <v>8183</v>
      </c>
      <c r="I2518" s="6" t="s">
        <v>9582</v>
      </c>
      <c r="J2518" s="6" t="s">
        <v>10788</v>
      </c>
      <c r="K2518" s="6" t="s">
        <v>10886</v>
      </c>
      <c r="L2518" s="16" t="n">
        <v>42807</v>
      </c>
      <c r="M2518" s="16" t="n">
        <v>45716</v>
      </c>
      <c r="N2518" s="6" t="s">
        <v>10886</v>
      </c>
      <c r="O2518" s="16" t="n">
        <v>42807</v>
      </c>
      <c r="P2518" s="6" t="s">
        <v>10910</v>
      </c>
      <c r="Q2518" s="6" t="s">
        <v>81</v>
      </c>
      <c r="R2518" s="6" t="s">
        <v>81</v>
      </c>
      <c r="S2518" s="6" t="s">
        <v>10886</v>
      </c>
      <c r="T2518" s="16" t="n">
        <v>42816</v>
      </c>
      <c r="U2518" s="6" t="s">
        <v>13169</v>
      </c>
      <c r="V2518" s="6" t="s">
        <v>81</v>
      </c>
      <c r="W2518" s="6" t="s">
        <v>81</v>
      </c>
      <c r="X2518" s="6" t="s">
        <v>81</v>
      </c>
      <c r="Y2518" s="21" t="s">
        <v>81</v>
      </c>
      <c r="Z2518" s="6" t="s">
        <v>81</v>
      </c>
      <c r="AA2518" s="6" t="s">
        <v>81</v>
      </c>
      <c r="AB2518" s="6" t="s">
        <v>81</v>
      </c>
      <c r="AC2518" s="6" t="s">
        <v>81</v>
      </c>
      <c r="AD2518" s="21" t="s">
        <v>81</v>
      </c>
      <c r="AE2518" s="6" t="s">
        <v>81</v>
      </c>
      <c r="AF2518" s="6" t="s">
        <v>81</v>
      </c>
      <c r="AG2518" s="6" t="s">
        <v>81</v>
      </c>
      <c r="AH2518" s="6" t="s">
        <v>17054</v>
      </c>
      <c r="AI2518" s="6" t="s">
        <v>81</v>
      </c>
      <c r="AJ2518" s="6" t="s">
        <v>18068</v>
      </c>
      <c r="AK2518" s="6" t="s">
        <v>17712</v>
      </c>
      <c r="AL2518" s="6" t="s">
        <v>18444</v>
      </c>
      <c r="AM2518" s="6" t="s">
        <v>19261</v>
      </c>
      <c r="AN2518" s="6" t="s">
        <v>19645</v>
      </c>
      <c r="AO2518" s="6" t="s">
        <v>19770</v>
      </c>
      <c r="AP2518" s="6" t="s">
        <v>17054</v>
      </c>
      <c r="AQ2518" s="6" t="s">
        <v>81</v>
      </c>
      <c r="AR2518" s="6" t="s">
        <v>18068</v>
      </c>
      <c r="AS2518" s="6" t="s">
        <v>17712</v>
      </c>
      <c r="AT2518" s="6" t="s">
        <v>18444</v>
      </c>
      <c r="AU2518" s="6" t="s">
        <v>19261</v>
      </c>
      <c r="AV2518" s="6" t="s">
        <v>81</v>
      </c>
      <c r="AW2518" s="6" t="s">
        <v>81</v>
      </c>
      <c r="AX2518" s="6" t="s">
        <v>22394</v>
      </c>
      <c r="AY2518" s="6" t="s">
        <v>23462</v>
      </c>
      <c r="AZ2518" s="6" t="s">
        <v>81</v>
      </c>
      <c r="BA2518" s="6" t="s">
        <v>81</v>
      </c>
      <c r="BB2518" s="24" t="n">
        <v>871</v>
      </c>
      <c r="BC2518" s="26"/>
      <c r="BD2518" s="26"/>
      <c r="BE2518" s="26"/>
      <c r="BF2518" s="26" t="s">
        <v>23900</v>
      </c>
      <c r="BG2518" s="26"/>
      <c r="BH2518" s="26"/>
      <c r="BI2518" s="26"/>
      <c r="BJ2518" s="26"/>
      <c r="BK2518" s="26"/>
      <c r="BL2518" s="26"/>
      <c r="BM2518" s="26"/>
      <c r="BN2518" s="26"/>
      <c r="BO2518" s="26"/>
      <c r="BP2518" s="16" t="n">
        <v>45595</v>
      </c>
      <c r="BQ2518" s="28" t="str">
        <f>HYPERLINK("https://organic.ams.usda.gov/Integrity/Certificate.aspx?cid=57&amp;nopid=3252017043")</f>
        <v>https://organic.ams.usda.gov/Integrity/Certificate.aspx?cid=57&amp;nopid=3252017043</v>
      </c>
    </row>
    <row r="2519">
      <c r="A2519" t="s">
        <v>3</v>
      </c>
      <c r="B2519" s="6" t="s">
        <v>7</v>
      </c>
      <c r="C2519" s="6" t="s">
        <v>54</v>
      </c>
      <c r="D2519" s="6" t="s">
        <v>100</v>
      </c>
      <c r="E2519" s="10" t="s">
        <v>2660</v>
      </c>
      <c r="F2519" s="6" t="s">
        <v>5364</v>
      </c>
      <c r="G2519" s="6" t="s">
        <v>81</v>
      </c>
      <c r="H2519" s="6" t="s">
        <v>8184</v>
      </c>
      <c r="I2519" s="6" t="s">
        <v>8513</v>
      </c>
      <c r="J2519" s="6" t="s">
        <v>10789</v>
      </c>
      <c r="K2519" s="6" t="s">
        <v>10886</v>
      </c>
      <c r="L2519" s="16" t="n">
        <v>38938</v>
      </c>
      <c r="M2519" s="16" t="n">
        <v>45716</v>
      </c>
      <c r="N2519" s="6" t="s">
        <v>10886</v>
      </c>
      <c r="O2519" s="16" t="n">
        <v>38938</v>
      </c>
      <c r="P2519" s="6" t="s">
        <v>12297</v>
      </c>
      <c r="Q2519" s="6" t="s">
        <v>81</v>
      </c>
      <c r="R2519" s="6" t="s">
        <v>81</v>
      </c>
      <c r="S2519" s="6" t="s">
        <v>10886</v>
      </c>
      <c r="T2519" s="16" t="n">
        <v>42644</v>
      </c>
      <c r="U2519" s="6" t="s">
        <v>13899</v>
      </c>
      <c r="V2519" s="6" t="s">
        <v>81</v>
      </c>
      <c r="W2519" s="6" t="s">
        <v>81</v>
      </c>
      <c r="X2519" s="6" t="s">
        <v>81</v>
      </c>
      <c r="Y2519" s="21" t="s">
        <v>81</v>
      </c>
      <c r="Z2519" s="6" t="s">
        <v>81</v>
      </c>
      <c r="AA2519" s="6" t="s">
        <v>81</v>
      </c>
      <c r="AB2519" s="6" t="s">
        <v>81</v>
      </c>
      <c r="AC2519" s="6" t="s">
        <v>81</v>
      </c>
      <c r="AD2519" s="21" t="s">
        <v>81</v>
      </c>
      <c r="AE2519" s="6" t="s">
        <v>81</v>
      </c>
      <c r="AF2519" s="6" t="s">
        <v>81</v>
      </c>
      <c r="AG2519" s="6" t="s">
        <v>81</v>
      </c>
      <c r="AH2519" s="6" t="s">
        <v>17055</v>
      </c>
      <c r="AI2519" s="6" t="s">
        <v>81</v>
      </c>
      <c r="AJ2519" s="6" t="s">
        <v>17752</v>
      </c>
      <c r="AK2519" s="6" t="s">
        <v>17712</v>
      </c>
      <c r="AL2519" s="6" t="s">
        <v>18444</v>
      </c>
      <c r="AM2519" s="6" t="s">
        <v>18921</v>
      </c>
      <c r="AN2519" s="6" t="s">
        <v>7926</v>
      </c>
      <c r="AO2519" s="6" t="s">
        <v>19842</v>
      </c>
      <c r="AP2519" s="6" t="s">
        <v>17055</v>
      </c>
      <c r="AQ2519" s="6" t="s">
        <v>81</v>
      </c>
      <c r="AR2519" s="6" t="s">
        <v>17752</v>
      </c>
      <c r="AS2519" s="6" t="s">
        <v>17712</v>
      </c>
      <c r="AT2519" s="6" t="s">
        <v>18444</v>
      </c>
      <c r="AU2519" s="6" t="s">
        <v>18921</v>
      </c>
      <c r="AV2519" s="6" t="s">
        <v>81</v>
      </c>
      <c r="AW2519" s="6" t="s">
        <v>81</v>
      </c>
      <c r="AX2519" s="6" t="s">
        <v>22395</v>
      </c>
      <c r="AY2519" s="6" t="s">
        <v>81</v>
      </c>
      <c r="AZ2519" s="6" t="s">
        <v>81</v>
      </c>
      <c r="BA2519" s="6" t="s">
        <v>81</v>
      </c>
      <c r="BB2519" s="24" t="n">
        <v>422</v>
      </c>
      <c r="BC2519" s="26"/>
      <c r="BD2519" s="26"/>
      <c r="BE2519" s="26"/>
      <c r="BF2519" s="26"/>
      <c r="BG2519" s="26"/>
      <c r="BH2519" s="26"/>
      <c r="BI2519" s="26"/>
      <c r="BJ2519" s="26"/>
      <c r="BK2519" s="26"/>
      <c r="BL2519" s="26"/>
      <c r="BM2519" s="26"/>
      <c r="BN2519" s="26"/>
      <c r="BO2519" s="26"/>
      <c r="BP2519" s="16" t="n">
        <v>45595</v>
      </c>
      <c r="BQ2519" s="28" t="str">
        <f>HYPERLINK("https://organic.ams.usda.gov/Integrity/Certificate.aspx?cid=57&amp;nopid=3250200679")</f>
        <v>https://organic.ams.usda.gov/Integrity/Certificate.aspx?cid=57&amp;nopid=3250200679</v>
      </c>
    </row>
    <row r="2520">
      <c r="A2520" t="s">
        <v>3</v>
      </c>
      <c r="B2520" s="6" t="s">
        <v>35</v>
      </c>
      <c r="C2520" s="6" t="s">
        <v>82</v>
      </c>
      <c r="D2520" s="6" t="s">
        <v>127</v>
      </c>
      <c r="E2520" s="10" t="s">
        <v>2661</v>
      </c>
      <c r="F2520" s="6" t="s">
        <v>5365</v>
      </c>
      <c r="G2520" s="6" t="s">
        <v>81</v>
      </c>
      <c r="H2520" s="6" t="s">
        <v>8185</v>
      </c>
      <c r="I2520" s="6" t="s">
        <v>8478</v>
      </c>
      <c r="J2520" s="6" t="s">
        <v>9949</v>
      </c>
      <c r="K2520" s="6" t="s">
        <v>10886</v>
      </c>
      <c r="L2520" s="16" t="n">
        <v>42110</v>
      </c>
      <c r="M2520" s="16" t="n">
        <v>45762</v>
      </c>
      <c r="N2520" s="6" t="s">
        <v>10886</v>
      </c>
      <c r="O2520" s="16" t="n">
        <v>42110</v>
      </c>
      <c r="P2520" s="6" t="s">
        <v>12298</v>
      </c>
      <c r="Q2520" s="6" t="s">
        <v>81</v>
      </c>
      <c r="R2520" s="6" t="s">
        <v>7176</v>
      </c>
      <c r="S2520" s="6" t="s">
        <v>10886</v>
      </c>
      <c r="T2520" s="16" t="n">
        <v>42110</v>
      </c>
      <c r="U2520" s="6" t="s">
        <v>13900</v>
      </c>
      <c r="V2520" s="6" t="s">
        <v>81</v>
      </c>
      <c r="W2520" s="6" t="s">
        <v>7176</v>
      </c>
      <c r="X2520" s="6" t="s">
        <v>81</v>
      </c>
      <c r="Y2520" s="21" t="s">
        <v>81</v>
      </c>
      <c r="Z2520" s="6" t="s">
        <v>81</v>
      </c>
      <c r="AA2520" s="6" t="s">
        <v>81</v>
      </c>
      <c r="AB2520" s="6" t="s">
        <v>81</v>
      </c>
      <c r="AC2520" s="6" t="s">
        <v>10886</v>
      </c>
      <c r="AD2520" s="16" t="n">
        <v>42110</v>
      </c>
      <c r="AE2520" s="6" t="s">
        <v>14463</v>
      </c>
      <c r="AF2520" s="6" t="s">
        <v>81</v>
      </c>
      <c r="AG2520" s="6" t="s">
        <v>7176</v>
      </c>
      <c r="AH2520" s="6" t="s">
        <v>17056</v>
      </c>
      <c r="AI2520" s="6" t="s">
        <v>81</v>
      </c>
      <c r="AJ2520" s="6" t="s">
        <v>18319</v>
      </c>
      <c r="AK2520" s="6" t="s">
        <v>18405</v>
      </c>
      <c r="AL2520" s="6" t="s">
        <v>18444</v>
      </c>
      <c r="AM2520" s="6" t="s">
        <v>19559</v>
      </c>
      <c r="AN2520" s="6" t="s">
        <v>19683</v>
      </c>
      <c r="AO2520" s="6" t="s">
        <v>20017</v>
      </c>
      <c r="AP2520" s="6" t="s">
        <v>17056</v>
      </c>
      <c r="AQ2520" s="6" t="s">
        <v>81</v>
      </c>
      <c r="AR2520" s="6" t="s">
        <v>18319</v>
      </c>
      <c r="AS2520" s="6" t="s">
        <v>18405</v>
      </c>
      <c r="AT2520" s="6" t="s">
        <v>18444</v>
      </c>
      <c r="AU2520" s="6" t="s">
        <v>19559</v>
      </c>
      <c r="AV2520" s="6" t="s">
        <v>81</v>
      </c>
      <c r="AW2520" s="6" t="s">
        <v>81</v>
      </c>
      <c r="AX2520" s="6" t="s">
        <v>22396</v>
      </c>
      <c r="AY2520" s="6" t="s">
        <v>23463</v>
      </c>
      <c r="AZ2520" s="6" t="s">
        <v>23792</v>
      </c>
      <c r="BA2520" s="6" t="s">
        <v>81</v>
      </c>
      <c r="BB2520" s="24" t="n">
        <v>324</v>
      </c>
      <c r="BC2520" s="26"/>
      <c r="BD2520" s="26"/>
      <c r="BE2520" s="26"/>
      <c r="BF2520" s="26"/>
      <c r="BG2520" s="26"/>
      <c r="BH2520" s="26"/>
      <c r="BI2520" s="26"/>
      <c r="BJ2520" s="26"/>
      <c r="BK2520" s="26"/>
      <c r="BL2520" s="26"/>
      <c r="BM2520" s="26"/>
      <c r="BN2520" s="26"/>
      <c r="BO2520" s="26"/>
      <c r="BP2520" s="16" t="n">
        <v>45727</v>
      </c>
      <c r="BQ2520" s="28" t="str">
        <f>HYPERLINK("https://organic.ams.usda.gov/Integrity/Certificate.aspx?cid=47&amp;nopid=7142074582")</f>
        <v>https://organic.ams.usda.gov/Integrity/Certificate.aspx?cid=47&amp;nopid=7142074582</v>
      </c>
    </row>
    <row r="2521">
      <c r="A2521" t="s">
        <v>3</v>
      </c>
      <c r="B2521" s="6" t="s">
        <v>25</v>
      </c>
      <c r="C2521" s="6" t="s">
        <v>72</v>
      </c>
      <c r="D2521" s="6" t="s">
        <v>118</v>
      </c>
      <c r="E2521" s="10" t="s">
        <v>2662</v>
      </c>
      <c r="F2521" s="6" t="s">
        <v>5366</v>
      </c>
      <c r="G2521" s="6" t="s">
        <v>5868</v>
      </c>
      <c r="H2521" s="6" t="s">
        <v>8186</v>
      </c>
      <c r="I2521" s="6" t="s">
        <v>8889</v>
      </c>
      <c r="J2521" s="6" t="s">
        <v>10790</v>
      </c>
      <c r="K2521" s="6" t="s">
        <v>10886</v>
      </c>
      <c r="L2521" s="16" t="n">
        <v>45184</v>
      </c>
      <c r="M2521" s="16" t="n">
        <v>46023</v>
      </c>
      <c r="N2521" s="6" t="s">
        <v>81</v>
      </c>
      <c r="O2521" s="21" t="s">
        <v>81</v>
      </c>
      <c r="P2521" s="6" t="s">
        <v>81</v>
      </c>
      <c r="Q2521" s="6" t="s">
        <v>81</v>
      </c>
      <c r="R2521" s="6" t="s">
        <v>81</v>
      </c>
      <c r="S2521" s="6" t="s">
        <v>81</v>
      </c>
      <c r="T2521" s="21" t="s">
        <v>81</v>
      </c>
      <c r="U2521" s="6" t="s">
        <v>81</v>
      </c>
      <c r="V2521" s="6" t="s">
        <v>81</v>
      </c>
      <c r="W2521" s="6" t="s">
        <v>81</v>
      </c>
      <c r="X2521" s="6" t="s">
        <v>81</v>
      </c>
      <c r="Y2521" s="21" t="s">
        <v>81</v>
      </c>
      <c r="Z2521" s="6" t="s">
        <v>81</v>
      </c>
      <c r="AA2521" s="6" t="s">
        <v>81</v>
      </c>
      <c r="AB2521" s="6" t="s">
        <v>81</v>
      </c>
      <c r="AC2521" s="6" t="s">
        <v>10886</v>
      </c>
      <c r="AD2521" s="16" t="n">
        <v>45184</v>
      </c>
      <c r="AE2521" s="6" t="s">
        <v>14464</v>
      </c>
      <c r="AF2521" s="6" t="s">
        <v>81</v>
      </c>
      <c r="AG2521" s="6" t="s">
        <v>81</v>
      </c>
      <c r="AH2521" s="6" t="s">
        <v>17057</v>
      </c>
      <c r="AI2521" s="6" t="s">
        <v>17283</v>
      </c>
      <c r="AJ2521" s="6" t="s">
        <v>18320</v>
      </c>
      <c r="AK2521" s="6" t="s">
        <v>18390</v>
      </c>
      <c r="AL2521" s="6" t="s">
        <v>18444</v>
      </c>
      <c r="AM2521" s="6" t="s">
        <v>19560</v>
      </c>
      <c r="AN2521" s="6" t="s">
        <v>19685</v>
      </c>
      <c r="AO2521" s="6" t="s">
        <v>20066</v>
      </c>
      <c r="AP2521" s="6" t="s">
        <v>17057</v>
      </c>
      <c r="AQ2521" s="6" t="s">
        <v>17283</v>
      </c>
      <c r="AR2521" s="6" t="s">
        <v>18320</v>
      </c>
      <c r="AS2521" s="6" t="s">
        <v>18390</v>
      </c>
      <c r="AT2521" s="6" t="s">
        <v>18444</v>
      </c>
      <c r="AU2521" s="6" t="s">
        <v>19560</v>
      </c>
      <c r="AV2521" s="6" t="s">
        <v>81</v>
      </c>
      <c r="AW2521" s="6" t="s">
        <v>81</v>
      </c>
      <c r="AX2521" s="6" t="s">
        <v>22397</v>
      </c>
      <c r="AY2521" s="6" t="s">
        <v>23464</v>
      </c>
      <c r="AZ2521" s="6" t="s">
        <v>23793</v>
      </c>
      <c r="BA2521" s="6" t="s">
        <v>81</v>
      </c>
      <c r="BB2521" s="6" t="s">
        <v>81</v>
      </c>
      <c r="BC2521" s="26"/>
      <c r="BD2521" s="26"/>
      <c r="BE2521" s="26"/>
      <c r="BF2521" s="26"/>
      <c r="BG2521" s="26"/>
      <c r="BH2521" s="26"/>
      <c r="BI2521" s="26"/>
      <c r="BJ2521" s="26"/>
      <c r="BK2521" s="26"/>
      <c r="BL2521" s="26"/>
      <c r="BM2521" s="26"/>
      <c r="BN2521" s="26"/>
      <c r="BO2521" s="26"/>
      <c r="BP2521" s="16" t="n">
        <v>45667</v>
      </c>
      <c r="BQ2521" s="28" t="str">
        <f>HYPERLINK("https://organic.ams.usda.gov/Integrity/Certificate.aspx?cid=15&amp;nopid=5561007727")</f>
        <v>https://organic.ams.usda.gov/Integrity/Certificate.aspx?cid=15&amp;nopid=5561007727</v>
      </c>
    </row>
    <row r="2522">
      <c r="A2522" t="s">
        <v>3</v>
      </c>
      <c r="B2522" s="6" t="s">
        <v>13</v>
      </c>
      <c r="C2522" s="6" t="s">
        <v>60</v>
      </c>
      <c r="D2522" s="6" t="s">
        <v>106</v>
      </c>
      <c r="E2522" s="10" t="s">
        <v>2663</v>
      </c>
      <c r="F2522" s="6" t="s">
        <v>5367</v>
      </c>
      <c r="G2522" s="6" t="s">
        <v>81</v>
      </c>
      <c r="H2522" s="6" t="s">
        <v>8187</v>
      </c>
      <c r="I2522" s="6" t="s">
        <v>8514</v>
      </c>
      <c r="J2522" s="6" t="s">
        <v>10791</v>
      </c>
      <c r="K2522" s="6" t="s">
        <v>10886</v>
      </c>
      <c r="L2522" s="16" t="n">
        <v>45377</v>
      </c>
      <c r="M2522" s="16" t="n">
        <v>46024</v>
      </c>
      <c r="N2522" s="6" t="s">
        <v>81</v>
      </c>
      <c r="O2522" s="21" t="s">
        <v>81</v>
      </c>
      <c r="P2522" s="6" t="s">
        <v>81</v>
      </c>
      <c r="Q2522" s="6" t="s">
        <v>81</v>
      </c>
      <c r="R2522" s="6" t="s">
        <v>81</v>
      </c>
      <c r="S2522" s="6" t="s">
        <v>81</v>
      </c>
      <c r="T2522" s="21" t="s">
        <v>81</v>
      </c>
      <c r="U2522" s="6" t="s">
        <v>81</v>
      </c>
      <c r="V2522" s="6" t="s">
        <v>81</v>
      </c>
      <c r="W2522" s="6" t="s">
        <v>81</v>
      </c>
      <c r="X2522" s="6" t="s">
        <v>81</v>
      </c>
      <c r="Y2522" s="21" t="s">
        <v>81</v>
      </c>
      <c r="Z2522" s="6" t="s">
        <v>81</v>
      </c>
      <c r="AA2522" s="6" t="s">
        <v>81</v>
      </c>
      <c r="AB2522" s="6" t="s">
        <v>81</v>
      </c>
      <c r="AC2522" s="6" t="s">
        <v>10886</v>
      </c>
      <c r="AD2522" s="16" t="n">
        <v>45377</v>
      </c>
      <c r="AE2522" s="6" t="s">
        <v>14465</v>
      </c>
      <c r="AF2522" s="6" t="s">
        <v>81</v>
      </c>
      <c r="AG2522" s="6" t="s">
        <v>14606</v>
      </c>
      <c r="AH2522" s="6" t="s">
        <v>17058</v>
      </c>
      <c r="AI2522" s="6" t="s">
        <v>81</v>
      </c>
      <c r="AJ2522" s="6" t="s">
        <v>18321</v>
      </c>
      <c r="AK2522" s="6" t="s">
        <v>18378</v>
      </c>
      <c r="AL2522" s="6" t="s">
        <v>18444</v>
      </c>
      <c r="AM2522" s="6" t="s">
        <v>19561</v>
      </c>
      <c r="AN2522" s="6" t="s">
        <v>81</v>
      </c>
      <c r="AO2522" s="6" t="s">
        <v>81</v>
      </c>
      <c r="AP2522" s="6" t="s">
        <v>17058</v>
      </c>
      <c r="AQ2522" s="6" t="s">
        <v>81</v>
      </c>
      <c r="AR2522" s="6" t="s">
        <v>18321</v>
      </c>
      <c r="AS2522" s="6" t="s">
        <v>18378</v>
      </c>
      <c r="AT2522" s="6" t="s">
        <v>18444</v>
      </c>
      <c r="AU2522" s="6" t="s">
        <v>19561</v>
      </c>
      <c r="AV2522" s="6" t="s">
        <v>81</v>
      </c>
      <c r="AW2522" s="6" t="s">
        <v>81</v>
      </c>
      <c r="AX2522" s="6" t="s">
        <v>22398</v>
      </c>
      <c r="AY2522" s="6" t="s">
        <v>23465</v>
      </c>
      <c r="AZ2522" s="6" t="s">
        <v>23794</v>
      </c>
      <c r="BA2522" s="6" t="s">
        <v>81</v>
      </c>
      <c r="BB2522" s="6" t="s">
        <v>81</v>
      </c>
      <c r="BC2522" s="26"/>
      <c r="BD2522" s="26"/>
      <c r="BE2522" s="26"/>
      <c r="BF2522" s="26" t="s">
        <v>23900</v>
      </c>
      <c r="BG2522" s="26"/>
      <c r="BH2522" s="26" t="s">
        <v>23900</v>
      </c>
      <c r="BI2522" s="26"/>
      <c r="BJ2522" s="26"/>
      <c r="BK2522" s="26"/>
      <c r="BL2522" s="26"/>
      <c r="BM2522" s="26"/>
      <c r="BN2522" s="26"/>
      <c r="BO2522" s="26"/>
      <c r="BP2522" s="16" t="n">
        <v>45681</v>
      </c>
      <c r="BQ2522" s="28" t="str">
        <f>HYPERLINK("https://organic.ams.usda.gov/Integrity/Certificate.aspx?cid=72&amp;nopid=5870107089")</f>
        <v>https://organic.ams.usda.gov/Integrity/Certificate.aspx?cid=72&amp;nopid=5870107089</v>
      </c>
    </row>
    <row r="2523">
      <c r="A2523" t="s">
        <v>3</v>
      </c>
      <c r="B2523" s="6" t="s">
        <v>7</v>
      </c>
      <c r="C2523" s="6" t="s">
        <v>54</v>
      </c>
      <c r="D2523" s="6" t="s">
        <v>100</v>
      </c>
      <c r="E2523" s="10" t="s">
        <v>2664</v>
      </c>
      <c r="F2523" s="6" t="s">
        <v>5368</v>
      </c>
      <c r="G2523" s="6" t="s">
        <v>81</v>
      </c>
      <c r="H2523" s="6" t="s">
        <v>8188</v>
      </c>
      <c r="I2523" s="6" t="s">
        <v>8954</v>
      </c>
      <c r="J2523" s="6" t="s">
        <v>10792</v>
      </c>
      <c r="K2523" s="6" t="s">
        <v>10886</v>
      </c>
      <c r="L2523" s="16" t="n">
        <v>38916</v>
      </c>
      <c r="M2523" s="16" t="n">
        <v>45716</v>
      </c>
      <c r="N2523" s="6" t="s">
        <v>10886</v>
      </c>
      <c r="O2523" s="16" t="n">
        <v>38916</v>
      </c>
      <c r="P2523" s="6" t="s">
        <v>10910</v>
      </c>
      <c r="Q2523" s="6" t="s">
        <v>81</v>
      </c>
      <c r="R2523" s="6" t="s">
        <v>81</v>
      </c>
      <c r="S2523" s="6" t="s">
        <v>10886</v>
      </c>
      <c r="T2523" s="16" t="n">
        <v>38916</v>
      </c>
      <c r="U2523" s="6" t="s">
        <v>13901</v>
      </c>
      <c r="V2523" s="6" t="s">
        <v>81</v>
      </c>
      <c r="W2523" s="6" t="s">
        <v>81</v>
      </c>
      <c r="X2523" s="6" t="s">
        <v>81</v>
      </c>
      <c r="Y2523" s="21" t="s">
        <v>81</v>
      </c>
      <c r="Z2523" s="6" t="s">
        <v>81</v>
      </c>
      <c r="AA2523" s="6" t="s">
        <v>81</v>
      </c>
      <c r="AB2523" s="6" t="s">
        <v>81</v>
      </c>
      <c r="AC2523" s="6" t="s">
        <v>81</v>
      </c>
      <c r="AD2523" s="21" t="s">
        <v>81</v>
      </c>
      <c r="AE2523" s="6" t="s">
        <v>81</v>
      </c>
      <c r="AF2523" s="6" t="s">
        <v>81</v>
      </c>
      <c r="AG2523" s="6" t="s">
        <v>81</v>
      </c>
      <c r="AH2523" s="6" t="s">
        <v>17059</v>
      </c>
      <c r="AI2523" s="6" t="s">
        <v>81</v>
      </c>
      <c r="AJ2523" s="6" t="s">
        <v>17618</v>
      </c>
      <c r="AK2523" s="6" t="s">
        <v>17712</v>
      </c>
      <c r="AL2523" s="6" t="s">
        <v>18444</v>
      </c>
      <c r="AM2523" s="6" t="s">
        <v>18786</v>
      </c>
      <c r="AN2523" s="6" t="s">
        <v>19645</v>
      </c>
      <c r="AO2523" s="6" t="s">
        <v>19770</v>
      </c>
      <c r="AP2523" s="6" t="s">
        <v>17059</v>
      </c>
      <c r="AQ2523" s="6" t="s">
        <v>81</v>
      </c>
      <c r="AR2523" s="6" t="s">
        <v>17618</v>
      </c>
      <c r="AS2523" s="6" t="s">
        <v>17712</v>
      </c>
      <c r="AT2523" s="6" t="s">
        <v>18444</v>
      </c>
      <c r="AU2523" s="6" t="s">
        <v>18786</v>
      </c>
      <c r="AV2523" s="6" t="s">
        <v>81</v>
      </c>
      <c r="AW2523" s="6" t="s">
        <v>81</v>
      </c>
      <c r="AX2523" s="6" t="s">
        <v>22399</v>
      </c>
      <c r="AY2523" s="6" t="s">
        <v>23466</v>
      </c>
      <c r="AZ2523" s="6" t="s">
        <v>23795</v>
      </c>
      <c r="BA2523" s="6" t="s">
        <v>81</v>
      </c>
      <c r="BB2523" s="24" t="n">
        <v>295</v>
      </c>
      <c r="BC2523" s="26"/>
      <c r="BD2523" s="26"/>
      <c r="BE2523" s="26"/>
      <c r="BF2523" s="26"/>
      <c r="BG2523" s="26"/>
      <c r="BH2523" s="26"/>
      <c r="BI2523" s="26"/>
      <c r="BJ2523" s="26"/>
      <c r="BK2523" s="26"/>
      <c r="BL2523" s="26"/>
      <c r="BM2523" s="26"/>
      <c r="BN2523" s="26"/>
      <c r="BO2523" s="26"/>
      <c r="BP2523" s="16" t="n">
        <v>45595</v>
      </c>
      <c r="BQ2523" s="28" t="str">
        <f>HYPERLINK("https://organic.ams.usda.gov/Integrity/Certificate.aspx?cid=57&amp;nopid=3250200662")</f>
        <v>https://organic.ams.usda.gov/Integrity/Certificate.aspx?cid=57&amp;nopid=3250200662</v>
      </c>
    </row>
    <row r="2524">
      <c r="A2524" t="s">
        <v>3</v>
      </c>
      <c r="B2524" s="6" t="s">
        <v>21</v>
      </c>
      <c r="C2524" s="6" t="s">
        <v>68</v>
      </c>
      <c r="D2524" s="6" t="s">
        <v>114</v>
      </c>
      <c r="E2524" s="10" t="s">
        <v>2665</v>
      </c>
      <c r="F2524" s="6" t="s">
        <v>5369</v>
      </c>
      <c r="G2524" s="6" t="s">
        <v>81</v>
      </c>
      <c r="H2524" s="6" t="s">
        <v>8189</v>
      </c>
      <c r="I2524" s="6" t="s">
        <v>8401</v>
      </c>
      <c r="J2524" s="6" t="s">
        <v>10793</v>
      </c>
      <c r="K2524" s="6" t="s">
        <v>10886</v>
      </c>
      <c r="L2524" s="16" t="n">
        <v>42191</v>
      </c>
      <c r="M2524" s="16" t="n">
        <v>46113</v>
      </c>
      <c r="N2524" s="6" t="s">
        <v>81</v>
      </c>
      <c r="O2524" s="21" t="s">
        <v>81</v>
      </c>
      <c r="P2524" s="6" t="s">
        <v>81</v>
      </c>
      <c r="Q2524" s="6" t="s">
        <v>81</v>
      </c>
      <c r="R2524" s="6" t="s">
        <v>81</v>
      </c>
      <c r="S2524" s="6" t="s">
        <v>81</v>
      </c>
      <c r="T2524" s="21" t="s">
        <v>81</v>
      </c>
      <c r="U2524" s="6" t="s">
        <v>81</v>
      </c>
      <c r="V2524" s="6" t="s">
        <v>81</v>
      </c>
      <c r="W2524" s="6" t="s">
        <v>81</v>
      </c>
      <c r="X2524" s="6" t="s">
        <v>81</v>
      </c>
      <c r="Y2524" s="21" t="s">
        <v>81</v>
      </c>
      <c r="Z2524" s="6" t="s">
        <v>81</v>
      </c>
      <c r="AA2524" s="6" t="s">
        <v>81</v>
      </c>
      <c r="AB2524" s="6" t="s">
        <v>81</v>
      </c>
      <c r="AC2524" s="6" t="s">
        <v>10886</v>
      </c>
      <c r="AD2524" s="16" t="n">
        <v>42191</v>
      </c>
      <c r="AE2524" s="6" t="s">
        <v>14466</v>
      </c>
      <c r="AF2524" s="6" t="s">
        <v>81</v>
      </c>
      <c r="AG2524" s="6" t="s">
        <v>81</v>
      </c>
      <c r="AH2524" s="6" t="s">
        <v>81</v>
      </c>
      <c r="AI2524" s="6" t="s">
        <v>81</v>
      </c>
      <c r="AJ2524" s="6" t="s">
        <v>81</v>
      </c>
      <c r="AK2524" s="6" t="s">
        <v>81</v>
      </c>
      <c r="AL2524" s="6" t="s">
        <v>81</v>
      </c>
      <c r="AM2524" s="6" t="s">
        <v>81</v>
      </c>
      <c r="AN2524" s="6" t="s">
        <v>81</v>
      </c>
      <c r="AO2524" s="6" t="s">
        <v>81</v>
      </c>
      <c r="AP2524" s="6" t="s">
        <v>20449</v>
      </c>
      <c r="AQ2524" s="6" t="s">
        <v>81</v>
      </c>
      <c r="AR2524" s="6" t="s">
        <v>20584</v>
      </c>
      <c r="AS2524" s="6" t="s">
        <v>18386</v>
      </c>
      <c r="AT2524" s="6" t="s">
        <v>18444</v>
      </c>
      <c r="AU2524" s="6" t="s">
        <v>20710</v>
      </c>
      <c r="AV2524" s="6" t="s">
        <v>19674</v>
      </c>
      <c r="AW2524" s="6" t="s">
        <v>19803</v>
      </c>
      <c r="AX2524" s="6" t="s">
        <v>22400</v>
      </c>
      <c r="AY2524" s="6" t="s">
        <v>23467</v>
      </c>
      <c r="AZ2524" s="6" t="s">
        <v>81</v>
      </c>
      <c r="BA2524" s="6" t="s">
        <v>81</v>
      </c>
      <c r="BB2524" s="6" t="s">
        <v>81</v>
      </c>
      <c r="BC2524" s="26"/>
      <c r="BD2524" s="26"/>
      <c r="BE2524" s="26" t="s">
        <v>23900</v>
      </c>
      <c r="BF2524" s="26"/>
      <c r="BG2524" s="26"/>
      <c r="BH2524" s="26"/>
      <c r="BI2524" s="26"/>
      <c r="BJ2524" s="26"/>
      <c r="BK2524" s="26"/>
      <c r="BL2524" s="26"/>
      <c r="BM2524" s="26"/>
      <c r="BN2524" s="26"/>
      <c r="BO2524" s="26"/>
      <c r="BP2524" s="16" t="n">
        <v>45737</v>
      </c>
      <c r="BQ2524" s="28" t="str">
        <f>HYPERLINK("https://organic.ams.usda.gov/Integrity/Certificate.aspx?cid=62&amp;nopid=8150001321")</f>
        <v>https://organic.ams.usda.gov/Integrity/Certificate.aspx?cid=62&amp;nopid=8150001321</v>
      </c>
    </row>
    <row r="2525">
      <c r="A2525" t="s">
        <v>3</v>
      </c>
      <c r="B2525" s="6" t="s">
        <v>19</v>
      </c>
      <c r="C2525" s="6" t="s">
        <v>66</v>
      </c>
      <c r="D2525" s="6" t="s">
        <v>112</v>
      </c>
      <c r="E2525" s="10" t="s">
        <v>2666</v>
      </c>
      <c r="F2525" s="6" t="s">
        <v>5370</v>
      </c>
      <c r="G2525" s="6" t="s">
        <v>81</v>
      </c>
      <c r="H2525" s="6" t="s">
        <v>8190</v>
      </c>
      <c r="I2525" s="6" t="s">
        <v>81</v>
      </c>
      <c r="J2525" s="6" t="s">
        <v>10794</v>
      </c>
      <c r="K2525" s="6" t="s">
        <v>10886</v>
      </c>
      <c r="L2525" s="16" t="n">
        <v>44165</v>
      </c>
      <c r="M2525" s="16" t="n">
        <v>46054</v>
      </c>
      <c r="N2525" s="6" t="s">
        <v>81</v>
      </c>
      <c r="O2525" s="21" t="s">
        <v>81</v>
      </c>
      <c r="P2525" s="6" t="s">
        <v>81</v>
      </c>
      <c r="Q2525" s="6" t="s">
        <v>81</v>
      </c>
      <c r="R2525" s="6" t="s">
        <v>81</v>
      </c>
      <c r="S2525" s="6" t="s">
        <v>81</v>
      </c>
      <c r="T2525" s="21" t="s">
        <v>81</v>
      </c>
      <c r="U2525" s="6" t="s">
        <v>81</v>
      </c>
      <c r="V2525" s="6" t="s">
        <v>81</v>
      </c>
      <c r="W2525" s="6" t="s">
        <v>81</v>
      </c>
      <c r="X2525" s="6" t="s">
        <v>81</v>
      </c>
      <c r="Y2525" s="21" t="s">
        <v>81</v>
      </c>
      <c r="Z2525" s="6" t="s">
        <v>81</v>
      </c>
      <c r="AA2525" s="6" t="s">
        <v>81</v>
      </c>
      <c r="AB2525" s="6" t="s">
        <v>81</v>
      </c>
      <c r="AC2525" s="6" t="s">
        <v>10886</v>
      </c>
      <c r="AD2525" s="16" t="n">
        <v>44165</v>
      </c>
      <c r="AE2525" s="6" t="s">
        <v>14467</v>
      </c>
      <c r="AF2525" s="6" t="s">
        <v>81</v>
      </c>
      <c r="AG2525" s="6" t="s">
        <v>81</v>
      </c>
      <c r="AH2525" s="6" t="s">
        <v>17060</v>
      </c>
      <c r="AI2525" s="6" t="s">
        <v>17304</v>
      </c>
      <c r="AJ2525" s="6" t="s">
        <v>17712</v>
      </c>
      <c r="AK2525" s="6" t="s">
        <v>17712</v>
      </c>
      <c r="AL2525" s="6" t="s">
        <v>18444</v>
      </c>
      <c r="AM2525" s="6" t="s">
        <v>19562</v>
      </c>
      <c r="AN2525" s="6" t="s">
        <v>19700</v>
      </c>
      <c r="AO2525" s="6" t="s">
        <v>19908</v>
      </c>
      <c r="AP2525" s="6" t="s">
        <v>81</v>
      </c>
      <c r="AQ2525" s="6" t="s">
        <v>81</v>
      </c>
      <c r="AR2525" s="6" t="s">
        <v>81</v>
      </c>
      <c r="AS2525" s="6" t="s">
        <v>81</v>
      </c>
      <c r="AT2525" s="6" t="s">
        <v>81</v>
      </c>
      <c r="AU2525" s="6" t="s">
        <v>81</v>
      </c>
      <c r="AV2525" s="6" t="s">
        <v>81</v>
      </c>
      <c r="AW2525" s="6" t="s">
        <v>81</v>
      </c>
      <c r="AX2525" s="6" t="s">
        <v>22401</v>
      </c>
      <c r="AY2525" s="6" t="s">
        <v>23468</v>
      </c>
      <c r="AZ2525" s="6" t="s">
        <v>81</v>
      </c>
      <c r="BA2525" s="6" t="s">
        <v>23854</v>
      </c>
      <c r="BB2525" s="24" t="n">
        <v>0</v>
      </c>
      <c r="BC2525" s="26"/>
      <c r="BD2525" s="26"/>
      <c r="BE2525" s="26"/>
      <c r="BF2525" s="26"/>
      <c r="BG2525" s="26" t="s">
        <v>23900</v>
      </c>
      <c r="BH2525" s="26"/>
      <c r="BI2525" s="26"/>
      <c r="BJ2525" s="26"/>
      <c r="BK2525" s="26"/>
      <c r="BL2525" s="26"/>
      <c r="BM2525" s="26"/>
      <c r="BN2525" s="26"/>
      <c r="BO2525" s="26"/>
      <c r="BP2525" s="16" t="n">
        <v>45691</v>
      </c>
      <c r="BQ2525" s="28" t="str">
        <f>HYPERLINK("https://organic.ams.usda.gov/Integrity/Certificate.aspx?cid=24&amp;nopid=7880090245")</f>
        <v>https://organic.ams.usda.gov/Integrity/Certificate.aspx?cid=24&amp;nopid=7880090245</v>
      </c>
    </row>
    <row r="2526">
      <c r="A2526" t="s">
        <v>3</v>
      </c>
      <c r="B2526" s="6" t="s">
        <v>10</v>
      </c>
      <c r="C2526" s="6" t="s">
        <v>57</v>
      </c>
      <c r="D2526" s="6" t="s">
        <v>103</v>
      </c>
      <c r="E2526" s="10" t="s">
        <v>2667</v>
      </c>
      <c r="F2526" s="6" t="s">
        <v>5371</v>
      </c>
      <c r="G2526" s="6" t="s">
        <v>81</v>
      </c>
      <c r="H2526" s="6" t="s">
        <v>8191</v>
      </c>
      <c r="I2526" s="6" t="s">
        <v>9583</v>
      </c>
      <c r="J2526" s="6" t="s">
        <v>9763</v>
      </c>
      <c r="K2526" s="6" t="s">
        <v>10886</v>
      </c>
      <c r="L2526" s="16" t="n">
        <v>44328</v>
      </c>
      <c r="M2526" s="16" t="n">
        <v>45748</v>
      </c>
      <c r="N2526" s="6" t="s">
        <v>10886</v>
      </c>
      <c r="O2526" s="16" t="n">
        <v>44328</v>
      </c>
      <c r="P2526" s="6" t="s">
        <v>10925</v>
      </c>
      <c r="Q2526" s="6" t="s">
        <v>81</v>
      </c>
      <c r="R2526" s="6" t="s">
        <v>13100</v>
      </c>
      <c r="S2526" s="6" t="s">
        <v>10886</v>
      </c>
      <c r="T2526" s="16" t="n">
        <v>45357</v>
      </c>
      <c r="U2526" s="6" t="s">
        <v>13163</v>
      </c>
      <c r="V2526" s="6" t="s">
        <v>81</v>
      </c>
      <c r="W2526" s="6" t="s">
        <v>81</v>
      </c>
      <c r="X2526" s="6" t="s">
        <v>81</v>
      </c>
      <c r="Y2526" s="21" t="s">
        <v>81</v>
      </c>
      <c r="Z2526" s="6" t="s">
        <v>81</v>
      </c>
      <c r="AA2526" s="6" t="s">
        <v>81</v>
      </c>
      <c r="AB2526" s="6" t="s">
        <v>81</v>
      </c>
      <c r="AC2526" s="6" t="s">
        <v>81</v>
      </c>
      <c r="AD2526" s="21" t="s">
        <v>81</v>
      </c>
      <c r="AE2526" s="6" t="s">
        <v>81</v>
      </c>
      <c r="AF2526" s="6" t="s">
        <v>81</v>
      </c>
      <c r="AG2526" s="6" t="s">
        <v>81</v>
      </c>
      <c r="AH2526" s="6" t="s">
        <v>17061</v>
      </c>
      <c r="AI2526" s="6" t="s">
        <v>81</v>
      </c>
      <c r="AJ2526" s="6" t="s">
        <v>17727</v>
      </c>
      <c r="AK2526" s="6" t="s">
        <v>18379</v>
      </c>
      <c r="AL2526" s="6" t="s">
        <v>18444</v>
      </c>
      <c r="AM2526" s="6" t="s">
        <v>18896</v>
      </c>
      <c r="AN2526" s="6" t="s">
        <v>19642</v>
      </c>
      <c r="AO2526" s="6" t="s">
        <v>19799</v>
      </c>
      <c r="AP2526" s="6" t="s">
        <v>17061</v>
      </c>
      <c r="AQ2526" s="6" t="s">
        <v>81</v>
      </c>
      <c r="AR2526" s="6" t="s">
        <v>17727</v>
      </c>
      <c r="AS2526" s="6" t="s">
        <v>18379</v>
      </c>
      <c r="AT2526" s="6" t="s">
        <v>18444</v>
      </c>
      <c r="AU2526" s="6" t="s">
        <v>18896</v>
      </c>
      <c r="AV2526" s="6" t="s">
        <v>81</v>
      </c>
      <c r="AW2526" s="6" t="s">
        <v>81</v>
      </c>
      <c r="AX2526" s="6" t="s">
        <v>22402</v>
      </c>
      <c r="AY2526" s="6" t="s">
        <v>81</v>
      </c>
      <c r="AZ2526" s="6" t="s">
        <v>81</v>
      </c>
      <c r="BA2526" s="6" t="s">
        <v>81</v>
      </c>
      <c r="BB2526" s="24" t="n">
        <v>89</v>
      </c>
      <c r="BC2526" s="26"/>
      <c r="BD2526" s="26"/>
      <c r="BE2526" s="26"/>
      <c r="BF2526" s="26"/>
      <c r="BG2526" s="26"/>
      <c r="BH2526" s="26"/>
      <c r="BI2526" s="26"/>
      <c r="BJ2526" s="26"/>
      <c r="BK2526" s="26"/>
      <c r="BL2526" s="26"/>
      <c r="BM2526" s="26"/>
      <c r="BN2526" s="26"/>
      <c r="BO2526" s="26"/>
      <c r="BP2526" s="16" t="n">
        <v>45730</v>
      </c>
      <c r="BQ2526" s="28" t="str">
        <f>HYPERLINK("https://organic.ams.usda.gov/Integrity/Certificate.aspx?cid=90&amp;nopid=7170210348")</f>
        <v>https://organic.ams.usda.gov/Integrity/Certificate.aspx?cid=90&amp;nopid=7170210348</v>
      </c>
    </row>
    <row r="2527">
      <c r="A2527" t="s">
        <v>3</v>
      </c>
      <c r="B2527" s="6" t="s">
        <v>12</v>
      </c>
      <c r="C2527" s="6" t="s">
        <v>59</v>
      </c>
      <c r="D2527" s="6" t="s">
        <v>105</v>
      </c>
      <c r="E2527" s="10" t="s">
        <v>2668</v>
      </c>
      <c r="F2527" s="6" t="s">
        <v>5372</v>
      </c>
      <c r="G2527" s="6" t="s">
        <v>81</v>
      </c>
      <c r="H2527" s="6" t="s">
        <v>8192</v>
      </c>
      <c r="I2527" s="6" t="s">
        <v>9060</v>
      </c>
      <c r="J2527" s="6" t="s">
        <v>10082</v>
      </c>
      <c r="K2527" s="6" t="s">
        <v>10886</v>
      </c>
      <c r="L2527" s="16" t="n">
        <v>41722</v>
      </c>
      <c r="M2527" s="16" t="n">
        <v>45717</v>
      </c>
      <c r="N2527" s="6" t="s">
        <v>10886</v>
      </c>
      <c r="O2527" s="16" t="n">
        <v>41722</v>
      </c>
      <c r="P2527" s="6" t="s">
        <v>10910</v>
      </c>
      <c r="Q2527" s="6" t="s">
        <v>81</v>
      </c>
      <c r="R2527" s="6" t="s">
        <v>81</v>
      </c>
      <c r="S2527" s="6" t="s">
        <v>10886</v>
      </c>
      <c r="T2527" s="16" t="n">
        <v>41722</v>
      </c>
      <c r="U2527" s="6" t="s">
        <v>13183</v>
      </c>
      <c r="V2527" s="6" t="s">
        <v>81</v>
      </c>
      <c r="W2527" s="6" t="s">
        <v>81</v>
      </c>
      <c r="X2527" s="6" t="s">
        <v>81</v>
      </c>
      <c r="Y2527" s="21" t="s">
        <v>81</v>
      </c>
      <c r="Z2527" s="6" t="s">
        <v>81</v>
      </c>
      <c r="AA2527" s="6" t="s">
        <v>81</v>
      </c>
      <c r="AB2527" s="6" t="s">
        <v>81</v>
      </c>
      <c r="AC2527" s="6" t="s">
        <v>81</v>
      </c>
      <c r="AD2527" s="21" t="s">
        <v>81</v>
      </c>
      <c r="AE2527" s="6" t="s">
        <v>81</v>
      </c>
      <c r="AF2527" s="6" t="s">
        <v>81</v>
      </c>
      <c r="AG2527" s="6" t="s">
        <v>81</v>
      </c>
      <c r="AH2527" s="6" t="s">
        <v>17062</v>
      </c>
      <c r="AI2527" s="6" t="s">
        <v>81</v>
      </c>
      <c r="AJ2527" s="6" t="s">
        <v>17772</v>
      </c>
      <c r="AK2527" s="6" t="s">
        <v>17712</v>
      </c>
      <c r="AL2527" s="6" t="s">
        <v>18444</v>
      </c>
      <c r="AM2527" s="6" t="s">
        <v>18944</v>
      </c>
      <c r="AN2527" s="6" t="s">
        <v>19645</v>
      </c>
      <c r="AO2527" s="6" t="s">
        <v>19770</v>
      </c>
      <c r="AP2527" s="6" t="s">
        <v>17062</v>
      </c>
      <c r="AQ2527" s="6" t="s">
        <v>81</v>
      </c>
      <c r="AR2527" s="6" t="s">
        <v>17772</v>
      </c>
      <c r="AS2527" s="6" t="s">
        <v>17712</v>
      </c>
      <c r="AT2527" s="6" t="s">
        <v>18444</v>
      </c>
      <c r="AU2527" s="6" t="s">
        <v>18944</v>
      </c>
      <c r="AV2527" s="6" t="s">
        <v>81</v>
      </c>
      <c r="AW2527" s="6" t="s">
        <v>81</v>
      </c>
      <c r="AX2527" s="6" t="s">
        <v>22403</v>
      </c>
      <c r="AY2527" s="6" t="s">
        <v>23469</v>
      </c>
      <c r="AZ2527" s="6" t="s">
        <v>81</v>
      </c>
      <c r="BA2527" s="6" t="s">
        <v>81</v>
      </c>
      <c r="BB2527" s="24" t="n">
        <v>310</v>
      </c>
      <c r="BC2527" s="26"/>
      <c r="BD2527" s="26"/>
      <c r="BE2527" s="26"/>
      <c r="BF2527" s="26"/>
      <c r="BG2527" s="26"/>
      <c r="BH2527" s="26"/>
      <c r="BI2527" s="26"/>
      <c r="BJ2527" s="26"/>
      <c r="BK2527" s="26"/>
      <c r="BL2527" s="26"/>
      <c r="BM2527" s="26"/>
      <c r="BN2527" s="26"/>
      <c r="BO2527" s="26"/>
      <c r="BP2527" s="16" t="n">
        <v>45684</v>
      </c>
      <c r="BQ2527" s="28" t="str">
        <f>HYPERLINK("https://organic.ams.usda.gov/Integrity/Certificate.aspx?cid=68&amp;nopid=8210001069")</f>
        <v>https://organic.ams.usda.gov/Integrity/Certificate.aspx?cid=68&amp;nopid=8210001069</v>
      </c>
    </row>
    <row r="2528">
      <c r="A2528" t="s">
        <v>3</v>
      </c>
      <c r="B2528" s="6" t="s">
        <v>7</v>
      </c>
      <c r="C2528" s="6" t="s">
        <v>54</v>
      </c>
      <c r="D2528" s="6" t="s">
        <v>100</v>
      </c>
      <c r="E2528" s="10" t="s">
        <v>2669</v>
      </c>
      <c r="F2528" s="6" t="s">
        <v>5373</v>
      </c>
      <c r="G2528" s="6" t="s">
        <v>81</v>
      </c>
      <c r="H2528" s="6" t="s">
        <v>8193</v>
      </c>
      <c r="I2528" s="6" t="s">
        <v>9060</v>
      </c>
      <c r="J2528" s="6" t="s">
        <v>10524</v>
      </c>
      <c r="K2528" s="6" t="s">
        <v>10886</v>
      </c>
      <c r="L2528" s="16" t="n">
        <v>39002</v>
      </c>
      <c r="M2528" s="16" t="n">
        <v>45716</v>
      </c>
      <c r="N2528" s="6" t="s">
        <v>10886</v>
      </c>
      <c r="O2528" s="16" t="n">
        <v>39002</v>
      </c>
      <c r="P2528" s="6" t="s">
        <v>11136</v>
      </c>
      <c r="Q2528" s="6" t="s">
        <v>81</v>
      </c>
      <c r="R2528" s="6" t="s">
        <v>81</v>
      </c>
      <c r="S2528" s="6" t="s">
        <v>10886</v>
      </c>
      <c r="T2528" s="16" t="n">
        <v>39240</v>
      </c>
      <c r="U2528" s="6" t="s">
        <v>13169</v>
      </c>
      <c r="V2528" s="6" t="s">
        <v>81</v>
      </c>
      <c r="W2528" s="6" t="s">
        <v>81</v>
      </c>
      <c r="X2528" s="6" t="s">
        <v>81</v>
      </c>
      <c r="Y2528" s="21" t="s">
        <v>81</v>
      </c>
      <c r="Z2528" s="6" t="s">
        <v>81</v>
      </c>
      <c r="AA2528" s="6" t="s">
        <v>81</v>
      </c>
      <c r="AB2528" s="6" t="s">
        <v>81</v>
      </c>
      <c r="AC2528" s="6" t="s">
        <v>81</v>
      </c>
      <c r="AD2528" s="21" t="s">
        <v>81</v>
      </c>
      <c r="AE2528" s="6" t="s">
        <v>81</v>
      </c>
      <c r="AF2528" s="6" t="s">
        <v>81</v>
      </c>
      <c r="AG2528" s="6" t="s">
        <v>81</v>
      </c>
      <c r="AH2528" s="6" t="s">
        <v>17063</v>
      </c>
      <c r="AI2528" s="6" t="s">
        <v>81</v>
      </c>
      <c r="AJ2528" s="6" t="s">
        <v>18322</v>
      </c>
      <c r="AK2528" s="6" t="s">
        <v>17712</v>
      </c>
      <c r="AL2528" s="6" t="s">
        <v>18444</v>
      </c>
      <c r="AM2528" s="6" t="s">
        <v>19563</v>
      </c>
      <c r="AN2528" s="6" t="s">
        <v>19665</v>
      </c>
      <c r="AO2528" s="6" t="s">
        <v>19834</v>
      </c>
      <c r="AP2528" s="6" t="s">
        <v>17063</v>
      </c>
      <c r="AQ2528" s="6" t="s">
        <v>81</v>
      </c>
      <c r="AR2528" s="6" t="s">
        <v>18322</v>
      </c>
      <c r="AS2528" s="6" t="s">
        <v>17712</v>
      </c>
      <c r="AT2528" s="6" t="s">
        <v>18444</v>
      </c>
      <c r="AU2528" s="6" t="s">
        <v>19563</v>
      </c>
      <c r="AV2528" s="6" t="s">
        <v>81</v>
      </c>
      <c r="AW2528" s="6" t="s">
        <v>81</v>
      </c>
      <c r="AX2528" s="6" t="s">
        <v>22404</v>
      </c>
      <c r="AY2528" s="6" t="s">
        <v>81</v>
      </c>
      <c r="AZ2528" s="6" t="s">
        <v>81</v>
      </c>
      <c r="BA2528" s="6" t="s">
        <v>81</v>
      </c>
      <c r="BB2528" s="24" t="n">
        <v>260</v>
      </c>
      <c r="BC2528" s="26"/>
      <c r="BD2528" s="26"/>
      <c r="BE2528" s="26"/>
      <c r="BF2528" s="26" t="s">
        <v>23900</v>
      </c>
      <c r="BG2528" s="26"/>
      <c r="BH2528" s="26"/>
      <c r="BI2528" s="26"/>
      <c r="BJ2528" s="26"/>
      <c r="BK2528" s="26"/>
      <c r="BL2528" s="26"/>
      <c r="BM2528" s="26"/>
      <c r="BN2528" s="26"/>
      <c r="BO2528" s="26"/>
      <c r="BP2528" s="16" t="n">
        <v>45702</v>
      </c>
      <c r="BQ2528" s="28" t="str">
        <f>HYPERLINK("https://organic.ams.usda.gov/Integrity/Certificate.aspx?cid=57&amp;nopid=3252006126")</f>
        <v>https://organic.ams.usda.gov/Integrity/Certificate.aspx?cid=57&amp;nopid=3252006126</v>
      </c>
    </row>
    <row r="2529">
      <c r="A2529" t="s">
        <v>3</v>
      </c>
      <c r="B2529" s="6" t="s">
        <v>19</v>
      </c>
      <c r="C2529" s="6" t="s">
        <v>66</v>
      </c>
      <c r="D2529" s="6" t="s">
        <v>112</v>
      </c>
      <c r="E2529" s="10" t="s">
        <v>2670</v>
      </c>
      <c r="F2529" s="6" t="s">
        <v>5374</v>
      </c>
      <c r="G2529" s="6" t="s">
        <v>81</v>
      </c>
      <c r="H2529" s="6" t="s">
        <v>8194</v>
      </c>
      <c r="I2529" s="6" t="s">
        <v>81</v>
      </c>
      <c r="J2529" s="6" t="s">
        <v>10795</v>
      </c>
      <c r="K2529" s="6" t="s">
        <v>10886</v>
      </c>
      <c r="L2529" s="16" t="n">
        <v>44140</v>
      </c>
      <c r="M2529" s="16" t="n">
        <v>46054</v>
      </c>
      <c r="N2529" s="6" t="s">
        <v>10886</v>
      </c>
      <c r="O2529" s="16" t="n">
        <v>44140</v>
      </c>
      <c r="P2529" s="6" t="s">
        <v>11155</v>
      </c>
      <c r="Q2529" s="6" t="s">
        <v>81</v>
      </c>
      <c r="R2529" s="6" t="s">
        <v>81</v>
      </c>
      <c r="S2529" s="6" t="s">
        <v>10886</v>
      </c>
      <c r="T2529" s="16" t="n">
        <v>44140</v>
      </c>
      <c r="U2529" s="6" t="s">
        <v>13902</v>
      </c>
      <c r="V2529" s="6" t="s">
        <v>81</v>
      </c>
      <c r="W2529" s="6" t="s">
        <v>81</v>
      </c>
      <c r="X2529" s="6" t="s">
        <v>81</v>
      </c>
      <c r="Y2529" s="21" t="s">
        <v>81</v>
      </c>
      <c r="Z2529" s="6" t="s">
        <v>81</v>
      </c>
      <c r="AA2529" s="6" t="s">
        <v>81</v>
      </c>
      <c r="AB2529" s="6" t="s">
        <v>81</v>
      </c>
      <c r="AC2529" s="6" t="s">
        <v>10886</v>
      </c>
      <c r="AD2529" s="16" t="n">
        <v>44140</v>
      </c>
      <c r="AE2529" s="6" t="s">
        <v>14066</v>
      </c>
      <c r="AF2529" s="6" t="s">
        <v>81</v>
      </c>
      <c r="AG2529" s="6" t="s">
        <v>81</v>
      </c>
      <c r="AH2529" s="6" t="s">
        <v>17064</v>
      </c>
      <c r="AI2529" s="6" t="s">
        <v>81</v>
      </c>
      <c r="AJ2529" s="6" t="s">
        <v>17584</v>
      </c>
      <c r="AK2529" s="6" t="s">
        <v>17712</v>
      </c>
      <c r="AL2529" s="6" t="s">
        <v>18444</v>
      </c>
      <c r="AM2529" s="6" t="s">
        <v>18747</v>
      </c>
      <c r="AN2529" s="6" t="s">
        <v>19669</v>
      </c>
      <c r="AO2529" s="6" t="s">
        <v>19790</v>
      </c>
      <c r="AP2529" s="6" t="s">
        <v>81</v>
      </c>
      <c r="AQ2529" s="6" t="s">
        <v>81</v>
      </c>
      <c r="AR2529" s="6" t="s">
        <v>81</v>
      </c>
      <c r="AS2529" s="6" t="s">
        <v>81</v>
      </c>
      <c r="AT2529" s="6" t="s">
        <v>81</v>
      </c>
      <c r="AU2529" s="6" t="s">
        <v>81</v>
      </c>
      <c r="AV2529" s="6" t="s">
        <v>81</v>
      </c>
      <c r="AW2529" s="6" t="s">
        <v>81</v>
      </c>
      <c r="AX2529" s="6" t="s">
        <v>22405</v>
      </c>
      <c r="AY2529" s="6" t="s">
        <v>23470</v>
      </c>
      <c r="AZ2529" s="6" t="s">
        <v>81</v>
      </c>
      <c r="BA2529" s="6" t="s">
        <v>81</v>
      </c>
      <c r="BB2529" s="24" t="n">
        <v>559</v>
      </c>
      <c r="BC2529" s="26"/>
      <c r="BD2529" s="26"/>
      <c r="BE2529" s="26"/>
      <c r="BF2529" s="26" t="s">
        <v>23900</v>
      </c>
      <c r="BG2529" s="26"/>
      <c r="BH2529" s="26"/>
      <c r="BI2529" s="26"/>
      <c r="BJ2529" s="26"/>
      <c r="BK2529" s="26"/>
      <c r="BL2529" s="26"/>
      <c r="BM2529" s="26"/>
      <c r="BN2529" s="26"/>
      <c r="BO2529" s="26"/>
      <c r="BP2529" s="16" t="n">
        <v>45695</v>
      </c>
      <c r="BQ2529" s="28" t="str">
        <f>HYPERLINK("https://organic.ams.usda.gov/Integrity/Certificate.aspx?cid=24&amp;nopid=7880090241")</f>
        <v>https://organic.ams.usda.gov/Integrity/Certificate.aspx?cid=24&amp;nopid=7880090241</v>
      </c>
    </row>
    <row r="2530">
      <c r="A2530" t="s">
        <v>3</v>
      </c>
      <c r="B2530" s="6" t="s">
        <v>8</v>
      </c>
      <c r="C2530" s="6" t="s">
        <v>55</v>
      </c>
      <c r="D2530" s="6" t="s">
        <v>101</v>
      </c>
      <c r="E2530" s="10" t="s">
        <v>2671</v>
      </c>
      <c r="F2530" s="6" t="s">
        <v>5375</v>
      </c>
      <c r="G2530" s="6" t="s">
        <v>81</v>
      </c>
      <c r="H2530" s="6" t="s">
        <v>6432</v>
      </c>
      <c r="I2530" s="6" t="s">
        <v>9584</v>
      </c>
      <c r="J2530" s="6" t="s">
        <v>10796</v>
      </c>
      <c r="K2530" s="6" t="s">
        <v>10886</v>
      </c>
      <c r="L2530" s="16" t="n">
        <v>37560</v>
      </c>
      <c r="M2530" s="16" t="n">
        <v>45748</v>
      </c>
      <c r="N2530" s="6" t="s">
        <v>10886</v>
      </c>
      <c r="O2530" s="16" t="n">
        <v>37560</v>
      </c>
      <c r="P2530" s="6" t="s">
        <v>12299</v>
      </c>
      <c r="Q2530" s="6" t="s">
        <v>81</v>
      </c>
      <c r="R2530" s="6" t="s">
        <v>6432</v>
      </c>
      <c r="S2530" s="6" t="s">
        <v>10886</v>
      </c>
      <c r="T2530" s="16" t="n">
        <v>37560</v>
      </c>
      <c r="U2530" s="6" t="s">
        <v>13903</v>
      </c>
      <c r="V2530" s="6" t="s">
        <v>81</v>
      </c>
      <c r="W2530" s="6" t="s">
        <v>6432</v>
      </c>
      <c r="X2530" s="6" t="s">
        <v>81</v>
      </c>
      <c r="Y2530" s="21" t="s">
        <v>81</v>
      </c>
      <c r="Z2530" s="6" t="s">
        <v>81</v>
      </c>
      <c r="AA2530" s="6" t="s">
        <v>81</v>
      </c>
      <c r="AB2530" s="6" t="s">
        <v>81</v>
      </c>
      <c r="AC2530" s="6" t="s">
        <v>81</v>
      </c>
      <c r="AD2530" s="21" t="s">
        <v>81</v>
      </c>
      <c r="AE2530" s="6" t="s">
        <v>81</v>
      </c>
      <c r="AF2530" s="6" t="s">
        <v>81</v>
      </c>
      <c r="AG2530" s="6" t="s">
        <v>81</v>
      </c>
      <c r="AH2530" s="6" t="s">
        <v>17065</v>
      </c>
      <c r="AI2530" s="6" t="s">
        <v>81</v>
      </c>
      <c r="AJ2530" s="6" t="s">
        <v>17457</v>
      </c>
      <c r="AK2530" s="6" t="s">
        <v>18377</v>
      </c>
      <c r="AL2530" s="6" t="s">
        <v>18444</v>
      </c>
      <c r="AM2530" s="6" t="s">
        <v>18616</v>
      </c>
      <c r="AN2530" s="6" t="s">
        <v>19660</v>
      </c>
      <c r="AO2530" s="6" t="s">
        <v>19804</v>
      </c>
      <c r="AP2530" s="6" t="s">
        <v>81</v>
      </c>
      <c r="AQ2530" s="6" t="s">
        <v>81</v>
      </c>
      <c r="AR2530" s="6" t="s">
        <v>81</v>
      </c>
      <c r="AS2530" s="6" t="s">
        <v>81</v>
      </c>
      <c r="AT2530" s="6" t="s">
        <v>81</v>
      </c>
      <c r="AU2530" s="6" t="s">
        <v>81</v>
      </c>
      <c r="AV2530" s="6" t="s">
        <v>81</v>
      </c>
      <c r="AW2530" s="6" t="s">
        <v>81</v>
      </c>
      <c r="AX2530" s="6" t="s">
        <v>81</v>
      </c>
      <c r="AY2530" s="6" t="s">
        <v>81</v>
      </c>
      <c r="AZ2530" s="6" t="s">
        <v>81</v>
      </c>
      <c r="BA2530" s="6" t="s">
        <v>23824</v>
      </c>
      <c r="BB2530" s="24" t="n">
        <v>178</v>
      </c>
      <c r="BC2530" s="26"/>
      <c r="BD2530" s="26"/>
      <c r="BE2530" s="26"/>
      <c r="BF2530" s="26"/>
      <c r="BG2530" s="26"/>
      <c r="BH2530" s="26"/>
      <c r="BI2530" s="26"/>
      <c r="BJ2530" s="26"/>
      <c r="BK2530" s="26"/>
      <c r="BL2530" s="26"/>
      <c r="BM2530" s="26"/>
      <c r="BN2530" s="26"/>
      <c r="BO2530" s="26"/>
      <c r="BP2530" s="16" t="n">
        <v>45551</v>
      </c>
      <c r="BQ2530" s="28" t="str">
        <f>HYPERLINK("https://organic.ams.usda.gov/Integrity/Certificate.aspx?cid=45&amp;nopid=9950001088")</f>
        <v>https://organic.ams.usda.gov/Integrity/Certificate.aspx?cid=45&amp;nopid=9950001088</v>
      </c>
    </row>
    <row r="2531">
      <c r="A2531" t="s">
        <v>3</v>
      </c>
      <c r="B2531" s="6" t="s">
        <v>22</v>
      </c>
      <c r="C2531" s="6" t="s">
        <v>69</v>
      </c>
      <c r="D2531" s="6" t="s">
        <v>115</v>
      </c>
      <c r="E2531" s="10" t="s">
        <v>2672</v>
      </c>
      <c r="F2531" s="6" t="s">
        <v>5376</v>
      </c>
      <c r="G2531" s="6" t="s">
        <v>81</v>
      </c>
      <c r="H2531" s="6" t="s">
        <v>8195</v>
      </c>
      <c r="I2531" s="6" t="s">
        <v>9585</v>
      </c>
      <c r="J2531" s="6" t="s">
        <v>10797</v>
      </c>
      <c r="K2531" s="6" t="s">
        <v>10886</v>
      </c>
      <c r="L2531" s="16" t="n">
        <v>44385</v>
      </c>
      <c r="M2531" s="16" t="n">
        <v>45866</v>
      </c>
      <c r="N2531" s="6" t="s">
        <v>10886</v>
      </c>
      <c r="O2531" s="16" t="n">
        <v>44385</v>
      </c>
      <c r="P2531" s="6" t="s">
        <v>12300</v>
      </c>
      <c r="Q2531" s="6" t="s">
        <v>81</v>
      </c>
      <c r="R2531" s="6" t="s">
        <v>8195</v>
      </c>
      <c r="S2531" s="6" t="s">
        <v>81</v>
      </c>
      <c r="T2531" s="21" t="s">
        <v>81</v>
      </c>
      <c r="U2531" s="6" t="s">
        <v>81</v>
      </c>
      <c r="V2531" s="6" t="s">
        <v>81</v>
      </c>
      <c r="W2531" s="6" t="s">
        <v>81</v>
      </c>
      <c r="X2531" s="6" t="s">
        <v>81</v>
      </c>
      <c r="Y2531" s="21" t="s">
        <v>81</v>
      </c>
      <c r="Z2531" s="6" t="s">
        <v>81</v>
      </c>
      <c r="AA2531" s="6" t="s">
        <v>81</v>
      </c>
      <c r="AB2531" s="6" t="s">
        <v>81</v>
      </c>
      <c r="AC2531" s="6" t="s">
        <v>10886</v>
      </c>
      <c r="AD2531" s="16" t="n">
        <v>44385</v>
      </c>
      <c r="AE2531" s="6" t="s">
        <v>14468</v>
      </c>
      <c r="AF2531" s="6" t="s">
        <v>81</v>
      </c>
      <c r="AG2531" s="6" t="s">
        <v>8195</v>
      </c>
      <c r="AH2531" s="6" t="s">
        <v>17066</v>
      </c>
      <c r="AI2531" s="6" t="s">
        <v>17305</v>
      </c>
      <c r="AJ2531" s="6" t="s">
        <v>17276</v>
      </c>
      <c r="AK2531" s="6" t="s">
        <v>18401</v>
      </c>
      <c r="AL2531" s="6" t="s">
        <v>18447</v>
      </c>
      <c r="AM2531" s="6" t="s">
        <v>81</v>
      </c>
      <c r="AN2531" s="6" t="s">
        <v>81</v>
      </c>
      <c r="AO2531" s="6" t="s">
        <v>81</v>
      </c>
      <c r="AP2531" s="6" t="s">
        <v>17066</v>
      </c>
      <c r="AQ2531" s="6" t="s">
        <v>17305</v>
      </c>
      <c r="AR2531" s="6" t="s">
        <v>17276</v>
      </c>
      <c r="AS2531" s="6" t="s">
        <v>18401</v>
      </c>
      <c r="AT2531" s="6" t="s">
        <v>18447</v>
      </c>
      <c r="AU2531" s="6" t="s">
        <v>81</v>
      </c>
      <c r="AV2531" s="6" t="s">
        <v>81</v>
      </c>
      <c r="AW2531" s="6" t="s">
        <v>81</v>
      </c>
      <c r="AX2531" s="6" t="s">
        <v>22406</v>
      </c>
      <c r="AY2531" s="6" t="s">
        <v>23471</v>
      </c>
      <c r="AZ2531" s="6" t="s">
        <v>81</v>
      </c>
      <c r="BA2531" s="6" t="s">
        <v>81</v>
      </c>
      <c r="BB2531" s="24" t="n">
        <v>8619</v>
      </c>
      <c r="BC2531" s="26"/>
      <c r="BD2531" s="26"/>
      <c r="BE2531" s="26"/>
      <c r="BF2531" s="26"/>
      <c r="BG2531" s="26"/>
      <c r="BH2531" s="26"/>
      <c r="BI2531" s="26"/>
      <c r="BJ2531" s="26"/>
      <c r="BK2531" s="26"/>
      <c r="BL2531" s="26"/>
      <c r="BM2531" s="26"/>
      <c r="BN2531" s="26"/>
      <c r="BO2531" s="26" t="s">
        <v>23900</v>
      </c>
      <c r="BP2531" s="16" t="n">
        <v>45700</v>
      </c>
      <c r="BQ2531" s="28" t="str">
        <f>HYPERLINK("https://organic.ams.usda.gov/Integrity/Certificate.aspx?cid=21&amp;nopid=1780882064")</f>
        <v>https://organic.ams.usda.gov/Integrity/Certificate.aspx?cid=21&amp;nopid=1780882064</v>
      </c>
    </row>
    <row r="2532">
      <c r="A2532" t="s">
        <v>3</v>
      </c>
      <c r="B2532" s="6" t="s">
        <v>7</v>
      </c>
      <c r="C2532" s="6" t="s">
        <v>54</v>
      </c>
      <c r="D2532" s="6" t="s">
        <v>100</v>
      </c>
      <c r="E2532" s="10" t="s">
        <v>2673</v>
      </c>
      <c r="F2532" s="6" t="s">
        <v>5377</v>
      </c>
      <c r="G2532" s="6" t="s">
        <v>5869</v>
      </c>
      <c r="H2532" s="6" t="s">
        <v>8196</v>
      </c>
      <c r="I2532" s="6" t="s">
        <v>8562</v>
      </c>
      <c r="J2532" s="6" t="s">
        <v>9894</v>
      </c>
      <c r="K2532" s="6" t="s">
        <v>10886</v>
      </c>
      <c r="L2532" s="16" t="n">
        <v>38490</v>
      </c>
      <c r="M2532" s="16" t="n">
        <v>45716</v>
      </c>
      <c r="N2532" s="6" t="s">
        <v>10886</v>
      </c>
      <c r="O2532" s="16" t="n">
        <v>38490</v>
      </c>
      <c r="P2532" s="6" t="s">
        <v>12301</v>
      </c>
      <c r="Q2532" s="6" t="s">
        <v>81</v>
      </c>
      <c r="R2532" s="6" t="s">
        <v>81</v>
      </c>
      <c r="S2532" s="6" t="s">
        <v>10886</v>
      </c>
      <c r="T2532" s="16" t="n">
        <v>38490</v>
      </c>
      <c r="U2532" s="6" t="s">
        <v>13160</v>
      </c>
      <c r="V2532" s="6" t="s">
        <v>81</v>
      </c>
      <c r="W2532" s="6" t="s">
        <v>81</v>
      </c>
      <c r="X2532" s="6" t="s">
        <v>81</v>
      </c>
      <c r="Y2532" s="21" t="s">
        <v>81</v>
      </c>
      <c r="Z2532" s="6" t="s">
        <v>81</v>
      </c>
      <c r="AA2532" s="6" t="s">
        <v>81</v>
      </c>
      <c r="AB2532" s="6" t="s">
        <v>81</v>
      </c>
      <c r="AC2532" s="6" t="s">
        <v>10886</v>
      </c>
      <c r="AD2532" s="16" t="n">
        <v>44119</v>
      </c>
      <c r="AE2532" s="6" t="s">
        <v>14469</v>
      </c>
      <c r="AF2532" s="6" t="s">
        <v>81</v>
      </c>
      <c r="AG2532" s="6" t="s">
        <v>81</v>
      </c>
      <c r="AH2532" s="6" t="s">
        <v>17067</v>
      </c>
      <c r="AI2532" s="6" t="s">
        <v>81</v>
      </c>
      <c r="AJ2532" s="6" t="s">
        <v>17311</v>
      </c>
      <c r="AK2532" s="6" t="s">
        <v>17712</v>
      </c>
      <c r="AL2532" s="6" t="s">
        <v>18444</v>
      </c>
      <c r="AM2532" s="6" t="s">
        <v>18463</v>
      </c>
      <c r="AN2532" s="6" t="s">
        <v>19634</v>
      </c>
      <c r="AO2532" s="6" t="s">
        <v>19719</v>
      </c>
      <c r="AP2532" s="6" t="s">
        <v>17067</v>
      </c>
      <c r="AQ2532" s="6" t="s">
        <v>81</v>
      </c>
      <c r="AR2532" s="6" t="s">
        <v>17311</v>
      </c>
      <c r="AS2532" s="6" t="s">
        <v>17712</v>
      </c>
      <c r="AT2532" s="6" t="s">
        <v>18444</v>
      </c>
      <c r="AU2532" s="6" t="s">
        <v>18463</v>
      </c>
      <c r="AV2532" s="6" t="s">
        <v>81</v>
      </c>
      <c r="AW2532" s="6" t="s">
        <v>81</v>
      </c>
      <c r="AX2532" s="6" t="s">
        <v>22407</v>
      </c>
      <c r="AY2532" s="6" t="s">
        <v>23472</v>
      </c>
      <c r="AZ2532" s="6" t="s">
        <v>81</v>
      </c>
      <c r="BA2532" s="6" t="s">
        <v>81</v>
      </c>
      <c r="BB2532" s="24" t="n">
        <v>1106</v>
      </c>
      <c r="BC2532" s="26"/>
      <c r="BD2532" s="26"/>
      <c r="BE2532" s="26"/>
      <c r="BF2532" s="26"/>
      <c r="BG2532" s="26"/>
      <c r="BH2532" s="26"/>
      <c r="BI2532" s="26"/>
      <c r="BJ2532" s="26"/>
      <c r="BK2532" s="26"/>
      <c r="BL2532" s="26"/>
      <c r="BM2532" s="26"/>
      <c r="BN2532" s="26"/>
      <c r="BO2532" s="26"/>
      <c r="BP2532" s="16" t="n">
        <v>45595</v>
      </c>
      <c r="BQ2532" s="28" t="str">
        <f>HYPERLINK("https://organic.ams.usda.gov/Integrity/Certificate.aspx?cid=57&amp;nopid=3250200523")</f>
        <v>https://organic.ams.usda.gov/Integrity/Certificate.aspx?cid=57&amp;nopid=3250200523</v>
      </c>
    </row>
    <row r="2533">
      <c r="A2533" t="s">
        <v>3</v>
      </c>
      <c r="B2533" s="6" t="s">
        <v>7</v>
      </c>
      <c r="C2533" s="6" t="s">
        <v>54</v>
      </c>
      <c r="D2533" s="6" t="s">
        <v>100</v>
      </c>
      <c r="E2533" s="10" t="s">
        <v>2674</v>
      </c>
      <c r="F2533" s="6" t="s">
        <v>5378</v>
      </c>
      <c r="G2533" s="6" t="s">
        <v>81</v>
      </c>
      <c r="H2533" s="6" t="s">
        <v>8197</v>
      </c>
      <c r="I2533" s="6" t="s">
        <v>8562</v>
      </c>
      <c r="J2533" s="6" t="s">
        <v>10798</v>
      </c>
      <c r="K2533" s="6" t="s">
        <v>10886</v>
      </c>
      <c r="L2533" s="16" t="n">
        <v>39093</v>
      </c>
      <c r="M2533" s="16" t="n">
        <v>45716</v>
      </c>
      <c r="N2533" s="6" t="s">
        <v>10886</v>
      </c>
      <c r="O2533" s="16" t="n">
        <v>39093</v>
      </c>
      <c r="P2533" s="6" t="s">
        <v>12302</v>
      </c>
      <c r="Q2533" s="6" t="s">
        <v>81</v>
      </c>
      <c r="R2533" s="6" t="s">
        <v>81</v>
      </c>
      <c r="S2533" s="6" t="s">
        <v>10886</v>
      </c>
      <c r="T2533" s="16" t="n">
        <v>39241</v>
      </c>
      <c r="U2533" s="6" t="s">
        <v>13169</v>
      </c>
      <c r="V2533" s="6" t="s">
        <v>81</v>
      </c>
      <c r="W2533" s="6" t="s">
        <v>81</v>
      </c>
      <c r="X2533" s="6" t="s">
        <v>81</v>
      </c>
      <c r="Y2533" s="21" t="s">
        <v>81</v>
      </c>
      <c r="Z2533" s="6" t="s">
        <v>81</v>
      </c>
      <c r="AA2533" s="6" t="s">
        <v>81</v>
      </c>
      <c r="AB2533" s="6" t="s">
        <v>81</v>
      </c>
      <c r="AC2533" s="6" t="s">
        <v>81</v>
      </c>
      <c r="AD2533" s="21" t="s">
        <v>81</v>
      </c>
      <c r="AE2533" s="6" t="s">
        <v>81</v>
      </c>
      <c r="AF2533" s="6" t="s">
        <v>81</v>
      </c>
      <c r="AG2533" s="6" t="s">
        <v>81</v>
      </c>
      <c r="AH2533" s="6" t="s">
        <v>17068</v>
      </c>
      <c r="AI2533" s="6" t="s">
        <v>81</v>
      </c>
      <c r="AJ2533" s="6" t="s">
        <v>17476</v>
      </c>
      <c r="AK2533" s="6" t="s">
        <v>17712</v>
      </c>
      <c r="AL2533" s="6" t="s">
        <v>18444</v>
      </c>
      <c r="AM2533" s="6" t="s">
        <v>18638</v>
      </c>
      <c r="AN2533" s="6" t="s">
        <v>19670</v>
      </c>
      <c r="AO2533" s="6" t="s">
        <v>19782</v>
      </c>
      <c r="AP2533" s="6" t="s">
        <v>17068</v>
      </c>
      <c r="AQ2533" s="6" t="s">
        <v>81</v>
      </c>
      <c r="AR2533" s="6" t="s">
        <v>17476</v>
      </c>
      <c r="AS2533" s="6" t="s">
        <v>17712</v>
      </c>
      <c r="AT2533" s="6" t="s">
        <v>18444</v>
      </c>
      <c r="AU2533" s="6" t="s">
        <v>18638</v>
      </c>
      <c r="AV2533" s="6" t="s">
        <v>81</v>
      </c>
      <c r="AW2533" s="6" t="s">
        <v>81</v>
      </c>
      <c r="AX2533" s="6" t="s">
        <v>22408</v>
      </c>
      <c r="AY2533" s="6" t="s">
        <v>81</v>
      </c>
      <c r="AZ2533" s="6" t="s">
        <v>81</v>
      </c>
      <c r="BA2533" s="6" t="s">
        <v>81</v>
      </c>
      <c r="BB2533" s="24" t="n">
        <v>534</v>
      </c>
      <c r="BC2533" s="26"/>
      <c r="BD2533" s="26"/>
      <c r="BE2533" s="26"/>
      <c r="BF2533" s="26" t="s">
        <v>23900</v>
      </c>
      <c r="BG2533" s="26"/>
      <c r="BH2533" s="26"/>
      <c r="BI2533" s="26"/>
      <c r="BJ2533" s="26"/>
      <c r="BK2533" s="26"/>
      <c r="BL2533" s="26"/>
      <c r="BM2533" s="26"/>
      <c r="BN2533" s="26"/>
      <c r="BO2533" s="26"/>
      <c r="BP2533" s="16" t="n">
        <v>45686</v>
      </c>
      <c r="BQ2533" s="28" t="str">
        <f>HYPERLINK("https://organic.ams.usda.gov/Integrity/Certificate.aspx?cid=57&amp;nopid=3252006113")</f>
        <v>https://organic.ams.usda.gov/Integrity/Certificate.aspx?cid=57&amp;nopid=3252006113</v>
      </c>
    </row>
    <row r="2534">
      <c r="A2534" t="s">
        <v>3</v>
      </c>
      <c r="B2534" s="6" t="s">
        <v>10</v>
      </c>
      <c r="C2534" s="6" t="s">
        <v>57</v>
      </c>
      <c r="D2534" s="6" t="s">
        <v>103</v>
      </c>
      <c r="E2534" s="10" t="s">
        <v>2675</v>
      </c>
      <c r="F2534" s="6" t="s">
        <v>5379</v>
      </c>
      <c r="G2534" s="6" t="s">
        <v>81</v>
      </c>
      <c r="H2534" s="6" t="s">
        <v>8198</v>
      </c>
      <c r="I2534" s="6" t="s">
        <v>8562</v>
      </c>
      <c r="J2534" s="6" t="s">
        <v>10799</v>
      </c>
      <c r="K2534" s="6" t="s">
        <v>10886</v>
      </c>
      <c r="L2534" s="16" t="n">
        <v>40848</v>
      </c>
      <c r="M2534" s="16" t="n">
        <v>45748</v>
      </c>
      <c r="N2534" s="6" t="s">
        <v>10886</v>
      </c>
      <c r="O2534" s="16" t="n">
        <v>40848</v>
      </c>
      <c r="P2534" s="6" t="s">
        <v>12303</v>
      </c>
      <c r="Q2534" s="6" t="s">
        <v>81</v>
      </c>
      <c r="R2534" s="6" t="s">
        <v>13101</v>
      </c>
      <c r="S2534" s="6" t="s">
        <v>10886</v>
      </c>
      <c r="T2534" s="16" t="n">
        <v>40848</v>
      </c>
      <c r="U2534" s="6" t="s">
        <v>13163</v>
      </c>
      <c r="V2534" s="6" t="s">
        <v>81</v>
      </c>
      <c r="W2534" s="6" t="s">
        <v>81</v>
      </c>
      <c r="X2534" s="6" t="s">
        <v>81</v>
      </c>
      <c r="Y2534" s="21" t="s">
        <v>81</v>
      </c>
      <c r="Z2534" s="6" t="s">
        <v>81</v>
      </c>
      <c r="AA2534" s="6" t="s">
        <v>81</v>
      </c>
      <c r="AB2534" s="6" t="s">
        <v>81</v>
      </c>
      <c r="AC2534" s="6" t="s">
        <v>81</v>
      </c>
      <c r="AD2534" s="21" t="s">
        <v>81</v>
      </c>
      <c r="AE2534" s="6" t="s">
        <v>81</v>
      </c>
      <c r="AF2534" s="6" t="s">
        <v>81</v>
      </c>
      <c r="AG2534" s="6" t="s">
        <v>81</v>
      </c>
      <c r="AH2534" s="6" t="s">
        <v>17069</v>
      </c>
      <c r="AI2534" s="6" t="s">
        <v>81</v>
      </c>
      <c r="AJ2534" s="6" t="s">
        <v>17319</v>
      </c>
      <c r="AK2534" s="6" t="s">
        <v>18378</v>
      </c>
      <c r="AL2534" s="6" t="s">
        <v>18444</v>
      </c>
      <c r="AM2534" s="6" t="s">
        <v>18471</v>
      </c>
      <c r="AN2534" s="6" t="s">
        <v>19676</v>
      </c>
      <c r="AO2534" s="6" t="s">
        <v>19784</v>
      </c>
      <c r="AP2534" s="6" t="s">
        <v>17069</v>
      </c>
      <c r="AQ2534" s="6" t="s">
        <v>81</v>
      </c>
      <c r="AR2534" s="6" t="s">
        <v>17319</v>
      </c>
      <c r="AS2534" s="6" t="s">
        <v>18378</v>
      </c>
      <c r="AT2534" s="6" t="s">
        <v>18444</v>
      </c>
      <c r="AU2534" s="6" t="s">
        <v>18471</v>
      </c>
      <c r="AV2534" s="6" t="s">
        <v>81</v>
      </c>
      <c r="AW2534" s="6" t="s">
        <v>81</v>
      </c>
      <c r="AX2534" s="6" t="s">
        <v>22409</v>
      </c>
      <c r="AY2534" s="6" t="s">
        <v>23473</v>
      </c>
      <c r="AZ2534" s="6" t="s">
        <v>81</v>
      </c>
      <c r="BA2534" s="6" t="s">
        <v>81</v>
      </c>
      <c r="BB2534" s="24" t="n">
        <v>272</v>
      </c>
      <c r="BC2534" s="26"/>
      <c r="BD2534" s="26"/>
      <c r="BE2534" s="26"/>
      <c r="BF2534" s="26"/>
      <c r="BG2534" s="26"/>
      <c r="BH2534" s="26"/>
      <c r="BI2534" s="26"/>
      <c r="BJ2534" s="26"/>
      <c r="BK2534" s="26"/>
      <c r="BL2534" s="26"/>
      <c r="BM2534" s="26"/>
      <c r="BN2534" s="26"/>
      <c r="BO2534" s="26"/>
      <c r="BP2534" s="16" t="n">
        <v>45730</v>
      </c>
      <c r="BQ2534" s="28" t="str">
        <f>HYPERLINK("https://organic.ams.usda.gov/Integrity/Certificate.aspx?cid=90&amp;nopid=7170220473")</f>
        <v>https://organic.ams.usda.gov/Integrity/Certificate.aspx?cid=90&amp;nopid=7170220473</v>
      </c>
    </row>
    <row r="2535">
      <c r="A2535" t="s">
        <v>3</v>
      </c>
      <c r="B2535" s="6" t="s">
        <v>7</v>
      </c>
      <c r="C2535" s="6" t="s">
        <v>54</v>
      </c>
      <c r="D2535" s="6" t="s">
        <v>100</v>
      </c>
      <c r="E2535" s="10" t="s">
        <v>2676</v>
      </c>
      <c r="F2535" s="6" t="s">
        <v>5380</v>
      </c>
      <c r="G2535" s="6" t="s">
        <v>81</v>
      </c>
      <c r="H2535" s="6" t="s">
        <v>8199</v>
      </c>
      <c r="I2535" s="6" t="s">
        <v>8562</v>
      </c>
      <c r="J2535" s="6" t="s">
        <v>9910</v>
      </c>
      <c r="K2535" s="6" t="s">
        <v>10886</v>
      </c>
      <c r="L2535" s="16" t="n">
        <v>43382</v>
      </c>
      <c r="M2535" s="16" t="n">
        <v>45716</v>
      </c>
      <c r="N2535" s="6" t="s">
        <v>10886</v>
      </c>
      <c r="O2535" s="16" t="n">
        <v>43382</v>
      </c>
      <c r="P2535" s="6" t="s">
        <v>10910</v>
      </c>
      <c r="Q2535" s="6" t="s">
        <v>81</v>
      </c>
      <c r="R2535" s="6" t="s">
        <v>81</v>
      </c>
      <c r="S2535" s="6" t="s">
        <v>10886</v>
      </c>
      <c r="T2535" s="16" t="n">
        <v>45324</v>
      </c>
      <c r="U2535" s="6" t="s">
        <v>13169</v>
      </c>
      <c r="V2535" s="6" t="s">
        <v>81</v>
      </c>
      <c r="W2535" s="6" t="s">
        <v>81</v>
      </c>
      <c r="X2535" s="6" t="s">
        <v>81</v>
      </c>
      <c r="Y2535" s="21" t="s">
        <v>81</v>
      </c>
      <c r="Z2535" s="6" t="s">
        <v>81</v>
      </c>
      <c r="AA2535" s="6" t="s">
        <v>81</v>
      </c>
      <c r="AB2535" s="6" t="s">
        <v>81</v>
      </c>
      <c r="AC2535" s="6" t="s">
        <v>81</v>
      </c>
      <c r="AD2535" s="21" t="s">
        <v>81</v>
      </c>
      <c r="AE2535" s="6" t="s">
        <v>81</v>
      </c>
      <c r="AF2535" s="6" t="s">
        <v>81</v>
      </c>
      <c r="AG2535" s="6" t="s">
        <v>81</v>
      </c>
      <c r="AH2535" s="6" t="s">
        <v>17070</v>
      </c>
      <c r="AI2535" s="6" t="s">
        <v>81</v>
      </c>
      <c r="AJ2535" s="6" t="s">
        <v>17764</v>
      </c>
      <c r="AK2535" s="6" t="s">
        <v>17712</v>
      </c>
      <c r="AL2535" s="6" t="s">
        <v>18444</v>
      </c>
      <c r="AM2535" s="6" t="s">
        <v>18937</v>
      </c>
      <c r="AN2535" s="6" t="s">
        <v>19669</v>
      </c>
      <c r="AO2535" s="6" t="s">
        <v>19790</v>
      </c>
      <c r="AP2535" s="6" t="s">
        <v>17070</v>
      </c>
      <c r="AQ2535" s="6" t="s">
        <v>81</v>
      </c>
      <c r="AR2535" s="6" t="s">
        <v>17764</v>
      </c>
      <c r="AS2535" s="6" t="s">
        <v>17712</v>
      </c>
      <c r="AT2535" s="6" t="s">
        <v>18444</v>
      </c>
      <c r="AU2535" s="6" t="s">
        <v>18937</v>
      </c>
      <c r="AV2535" s="6" t="s">
        <v>81</v>
      </c>
      <c r="AW2535" s="6" t="s">
        <v>81</v>
      </c>
      <c r="AX2535" s="6" t="s">
        <v>22410</v>
      </c>
      <c r="AY2535" s="6" t="s">
        <v>23474</v>
      </c>
      <c r="AZ2535" s="6" t="s">
        <v>81</v>
      </c>
      <c r="BA2535" s="6" t="s">
        <v>81</v>
      </c>
      <c r="BB2535" s="24" t="n">
        <v>1489</v>
      </c>
      <c r="BC2535" s="26"/>
      <c r="BD2535" s="26"/>
      <c r="BE2535" s="26"/>
      <c r="BF2535" s="26" t="s">
        <v>23900</v>
      </c>
      <c r="BG2535" s="26"/>
      <c r="BH2535" s="26"/>
      <c r="BI2535" s="26"/>
      <c r="BJ2535" s="26"/>
      <c r="BK2535" s="26"/>
      <c r="BL2535" s="26"/>
      <c r="BM2535" s="26"/>
      <c r="BN2535" s="26"/>
      <c r="BO2535" s="26"/>
      <c r="BP2535" s="16" t="n">
        <v>45681</v>
      </c>
      <c r="BQ2535" s="28" t="str">
        <f>HYPERLINK("https://organic.ams.usda.gov/Integrity/Certificate.aspx?cid=57&amp;nopid=3252018070")</f>
        <v>https://organic.ams.usda.gov/Integrity/Certificate.aspx?cid=57&amp;nopid=3252018070</v>
      </c>
    </row>
    <row r="2536">
      <c r="A2536" t="s">
        <v>3</v>
      </c>
      <c r="B2536" s="6" t="s">
        <v>13</v>
      </c>
      <c r="C2536" s="6" t="s">
        <v>60</v>
      </c>
      <c r="D2536" s="6" t="s">
        <v>106</v>
      </c>
      <c r="E2536" s="10" t="s">
        <v>2677</v>
      </c>
      <c r="F2536" s="6" t="s">
        <v>5381</v>
      </c>
      <c r="G2536" s="6" t="s">
        <v>81</v>
      </c>
      <c r="H2536" s="6" t="s">
        <v>8200</v>
      </c>
      <c r="I2536" s="6" t="s">
        <v>8562</v>
      </c>
      <c r="J2536" s="6" t="s">
        <v>10800</v>
      </c>
      <c r="K2536" s="6" t="s">
        <v>10886</v>
      </c>
      <c r="L2536" s="16" t="n">
        <v>41310</v>
      </c>
      <c r="M2536" s="16" t="n">
        <v>46024</v>
      </c>
      <c r="N2536" s="6" t="s">
        <v>10886</v>
      </c>
      <c r="O2536" s="16" t="n">
        <v>41943</v>
      </c>
      <c r="P2536" s="6" t="s">
        <v>12304</v>
      </c>
      <c r="Q2536" s="6" t="s">
        <v>81</v>
      </c>
      <c r="R2536" s="6" t="s">
        <v>13102</v>
      </c>
      <c r="S2536" s="6" t="s">
        <v>10886</v>
      </c>
      <c r="T2536" s="16" t="n">
        <v>41310</v>
      </c>
      <c r="U2536" s="6" t="s">
        <v>13904</v>
      </c>
      <c r="V2536" s="6" t="s">
        <v>81</v>
      </c>
      <c r="W2536" s="6" t="s">
        <v>13102</v>
      </c>
      <c r="X2536" s="6" t="s">
        <v>81</v>
      </c>
      <c r="Y2536" s="21" t="s">
        <v>81</v>
      </c>
      <c r="Z2536" s="6" t="s">
        <v>81</v>
      </c>
      <c r="AA2536" s="6" t="s">
        <v>81</v>
      </c>
      <c r="AB2536" s="6" t="s">
        <v>81</v>
      </c>
      <c r="AC2536" s="6" t="s">
        <v>81</v>
      </c>
      <c r="AD2536" s="21" t="s">
        <v>81</v>
      </c>
      <c r="AE2536" s="6" t="s">
        <v>81</v>
      </c>
      <c r="AF2536" s="6" t="s">
        <v>81</v>
      </c>
      <c r="AG2536" s="6" t="s">
        <v>81</v>
      </c>
      <c r="AH2536" s="6" t="s">
        <v>17071</v>
      </c>
      <c r="AI2536" s="6" t="s">
        <v>81</v>
      </c>
      <c r="AJ2536" s="6" t="s">
        <v>17669</v>
      </c>
      <c r="AK2536" s="6" t="s">
        <v>18384</v>
      </c>
      <c r="AL2536" s="6" t="s">
        <v>18444</v>
      </c>
      <c r="AM2536" s="6" t="s">
        <v>18836</v>
      </c>
      <c r="AN2536" s="6" t="s">
        <v>8053</v>
      </c>
      <c r="AO2536" s="6" t="s">
        <v>19894</v>
      </c>
      <c r="AP2536" s="6" t="s">
        <v>20450</v>
      </c>
      <c r="AQ2536" s="6" t="s">
        <v>81</v>
      </c>
      <c r="AR2536" s="6" t="s">
        <v>17669</v>
      </c>
      <c r="AS2536" s="6" t="s">
        <v>18384</v>
      </c>
      <c r="AT2536" s="6" t="s">
        <v>18444</v>
      </c>
      <c r="AU2536" s="6" t="s">
        <v>18836</v>
      </c>
      <c r="AV2536" s="6" t="s">
        <v>81</v>
      </c>
      <c r="AW2536" s="6" t="s">
        <v>81</v>
      </c>
      <c r="AX2536" s="6" t="s">
        <v>22411</v>
      </c>
      <c r="AY2536" s="6" t="s">
        <v>23475</v>
      </c>
      <c r="AZ2536" s="6" t="s">
        <v>81</v>
      </c>
      <c r="BA2536" s="6" t="s">
        <v>81</v>
      </c>
      <c r="BB2536" s="24" t="n">
        <v>763</v>
      </c>
      <c r="BC2536" s="26"/>
      <c r="BD2536" s="26"/>
      <c r="BE2536" s="26"/>
      <c r="BF2536" s="26" t="s">
        <v>23900</v>
      </c>
      <c r="BG2536" s="26"/>
      <c r="BH2536" s="26"/>
      <c r="BI2536" s="26"/>
      <c r="BJ2536" s="26"/>
      <c r="BK2536" s="26"/>
      <c r="BL2536" s="26"/>
      <c r="BM2536" s="26"/>
      <c r="BN2536" s="26"/>
      <c r="BO2536" s="26"/>
      <c r="BP2536" s="16" t="n">
        <v>45665</v>
      </c>
      <c r="BQ2536" s="28" t="str">
        <f>HYPERLINK("https://organic.ams.usda.gov/Integrity/Certificate.aspx?cid=72&amp;nopid=5870001533")</f>
        <v>https://organic.ams.usda.gov/Integrity/Certificate.aspx?cid=72&amp;nopid=5870001533</v>
      </c>
    </row>
    <row r="2537">
      <c r="A2537" t="s">
        <v>3</v>
      </c>
      <c r="B2537" s="6" t="s">
        <v>29</v>
      </c>
      <c r="C2537" s="6" t="s">
        <v>76</v>
      </c>
      <c r="D2537" s="6" t="s">
        <v>122</v>
      </c>
      <c r="E2537" s="10" t="s">
        <v>2678</v>
      </c>
      <c r="F2537" s="6" t="s">
        <v>5382</v>
      </c>
      <c r="G2537" s="6" t="s">
        <v>81</v>
      </c>
      <c r="H2537" s="6" t="s">
        <v>8201</v>
      </c>
      <c r="I2537" s="6" t="s">
        <v>8562</v>
      </c>
      <c r="J2537" s="6" t="s">
        <v>10801</v>
      </c>
      <c r="K2537" s="6" t="s">
        <v>10886</v>
      </c>
      <c r="L2537" s="16" t="n">
        <v>37532</v>
      </c>
      <c r="M2537" s="16" t="n">
        <v>45505</v>
      </c>
      <c r="N2537" s="6" t="s">
        <v>10886</v>
      </c>
      <c r="O2537" s="16" t="n">
        <v>37532</v>
      </c>
      <c r="P2537" s="6" t="s">
        <v>12305</v>
      </c>
      <c r="Q2537" s="6" t="s">
        <v>81</v>
      </c>
      <c r="R2537" s="6" t="s">
        <v>13103</v>
      </c>
      <c r="S2537" s="6" t="s">
        <v>10886</v>
      </c>
      <c r="T2537" s="16" t="n">
        <v>37532</v>
      </c>
      <c r="U2537" s="6" t="s">
        <v>13222</v>
      </c>
      <c r="V2537" s="6" t="s">
        <v>81</v>
      </c>
      <c r="W2537" s="6" t="s">
        <v>13103</v>
      </c>
      <c r="X2537" s="6" t="s">
        <v>81</v>
      </c>
      <c r="Y2537" s="21" t="s">
        <v>81</v>
      </c>
      <c r="Z2537" s="6" t="s">
        <v>81</v>
      </c>
      <c r="AA2537" s="6" t="s">
        <v>81</v>
      </c>
      <c r="AB2537" s="6" t="s">
        <v>81</v>
      </c>
      <c r="AC2537" s="6" t="s">
        <v>81</v>
      </c>
      <c r="AD2537" s="21" t="s">
        <v>81</v>
      </c>
      <c r="AE2537" s="6" t="s">
        <v>81</v>
      </c>
      <c r="AF2537" s="6" t="s">
        <v>81</v>
      </c>
      <c r="AG2537" s="6" t="s">
        <v>81</v>
      </c>
      <c r="AH2537" s="6" t="s">
        <v>17072</v>
      </c>
      <c r="AI2537" s="6" t="s">
        <v>81</v>
      </c>
      <c r="AJ2537" s="6" t="s">
        <v>18323</v>
      </c>
      <c r="AK2537" s="6" t="s">
        <v>18377</v>
      </c>
      <c r="AL2537" s="6" t="s">
        <v>18444</v>
      </c>
      <c r="AM2537" s="6" t="s">
        <v>19564</v>
      </c>
      <c r="AN2537" s="6" t="s">
        <v>19648</v>
      </c>
      <c r="AO2537" s="6" t="s">
        <v>19889</v>
      </c>
      <c r="AP2537" s="6" t="s">
        <v>81</v>
      </c>
      <c r="AQ2537" s="6" t="s">
        <v>81</v>
      </c>
      <c r="AR2537" s="6" t="s">
        <v>81</v>
      </c>
      <c r="AS2537" s="6" t="s">
        <v>81</v>
      </c>
      <c r="AT2537" s="6" t="s">
        <v>81</v>
      </c>
      <c r="AU2537" s="6" t="s">
        <v>81</v>
      </c>
      <c r="AV2537" s="6" t="s">
        <v>81</v>
      </c>
      <c r="AW2537" s="6" t="s">
        <v>81</v>
      </c>
      <c r="AX2537" s="6" t="s">
        <v>22412</v>
      </c>
      <c r="AY2537" s="6" t="s">
        <v>23476</v>
      </c>
      <c r="AZ2537" s="6" t="s">
        <v>81</v>
      </c>
      <c r="BA2537" s="6" t="s">
        <v>81</v>
      </c>
      <c r="BB2537" s="24" t="n">
        <v>417</v>
      </c>
      <c r="BC2537" s="26"/>
      <c r="BD2537" s="26"/>
      <c r="BE2537" s="26"/>
      <c r="BF2537" s="26" t="s">
        <v>23900</v>
      </c>
      <c r="BG2537" s="26"/>
      <c r="BH2537" s="26"/>
      <c r="BI2537" s="26"/>
      <c r="BJ2537" s="26"/>
      <c r="BK2537" s="26"/>
      <c r="BL2537" s="26"/>
      <c r="BM2537" s="26"/>
      <c r="BN2537" s="26"/>
      <c r="BO2537" s="26"/>
      <c r="BP2537" s="16" t="n">
        <v>45737</v>
      </c>
      <c r="BQ2537" s="28" t="str">
        <f>HYPERLINK("https://organic.ams.usda.gov/Integrity/Certificate.aspx?cid=31&amp;nopid=3920897209")</f>
        <v>https://organic.ams.usda.gov/Integrity/Certificate.aspx?cid=31&amp;nopid=3920897209</v>
      </c>
    </row>
    <row r="2538">
      <c r="A2538" t="s">
        <v>3</v>
      </c>
      <c r="B2538" s="6" t="s">
        <v>10</v>
      </c>
      <c r="C2538" s="6" t="s">
        <v>57</v>
      </c>
      <c r="D2538" s="6" t="s">
        <v>103</v>
      </c>
      <c r="E2538" s="10" t="s">
        <v>2679</v>
      </c>
      <c r="F2538" s="6" t="s">
        <v>5383</v>
      </c>
      <c r="G2538" s="6" t="s">
        <v>81</v>
      </c>
      <c r="H2538" s="6" t="s">
        <v>8202</v>
      </c>
      <c r="I2538" s="6" t="s">
        <v>8562</v>
      </c>
      <c r="J2538" s="6" t="s">
        <v>9760</v>
      </c>
      <c r="K2538" s="6" t="s">
        <v>10886</v>
      </c>
      <c r="L2538" s="16" t="n">
        <v>40756</v>
      </c>
      <c r="M2538" s="16" t="n">
        <v>45748</v>
      </c>
      <c r="N2538" s="6" t="s">
        <v>10886</v>
      </c>
      <c r="O2538" s="16" t="n">
        <v>40756</v>
      </c>
      <c r="P2538" s="6" t="s">
        <v>12306</v>
      </c>
      <c r="Q2538" s="6" t="s">
        <v>81</v>
      </c>
      <c r="R2538" s="6" t="s">
        <v>13104</v>
      </c>
      <c r="S2538" s="6" t="s">
        <v>10886</v>
      </c>
      <c r="T2538" s="16" t="n">
        <v>40756</v>
      </c>
      <c r="U2538" s="6" t="s">
        <v>13163</v>
      </c>
      <c r="V2538" s="6" t="s">
        <v>81</v>
      </c>
      <c r="W2538" s="6" t="s">
        <v>81</v>
      </c>
      <c r="X2538" s="6" t="s">
        <v>81</v>
      </c>
      <c r="Y2538" s="21" t="s">
        <v>81</v>
      </c>
      <c r="Z2538" s="6" t="s">
        <v>81</v>
      </c>
      <c r="AA2538" s="6" t="s">
        <v>81</v>
      </c>
      <c r="AB2538" s="6" t="s">
        <v>81</v>
      </c>
      <c r="AC2538" s="6" t="s">
        <v>81</v>
      </c>
      <c r="AD2538" s="21" t="s">
        <v>81</v>
      </c>
      <c r="AE2538" s="6" t="s">
        <v>81</v>
      </c>
      <c r="AF2538" s="6" t="s">
        <v>81</v>
      </c>
      <c r="AG2538" s="6" t="s">
        <v>81</v>
      </c>
      <c r="AH2538" s="6" t="s">
        <v>17073</v>
      </c>
      <c r="AI2538" s="6" t="s">
        <v>81</v>
      </c>
      <c r="AJ2538" s="6" t="s">
        <v>17319</v>
      </c>
      <c r="AK2538" s="6" t="s">
        <v>18378</v>
      </c>
      <c r="AL2538" s="6" t="s">
        <v>18444</v>
      </c>
      <c r="AM2538" s="6" t="s">
        <v>18471</v>
      </c>
      <c r="AN2538" s="6" t="s">
        <v>81</v>
      </c>
      <c r="AO2538" s="6" t="s">
        <v>81</v>
      </c>
      <c r="AP2538" s="6" t="s">
        <v>17073</v>
      </c>
      <c r="AQ2538" s="6" t="s">
        <v>81</v>
      </c>
      <c r="AR2538" s="6" t="s">
        <v>17319</v>
      </c>
      <c r="AS2538" s="6" t="s">
        <v>18378</v>
      </c>
      <c r="AT2538" s="6" t="s">
        <v>18444</v>
      </c>
      <c r="AU2538" s="6" t="s">
        <v>18471</v>
      </c>
      <c r="AV2538" s="6" t="s">
        <v>81</v>
      </c>
      <c r="AW2538" s="6" t="s">
        <v>81</v>
      </c>
      <c r="AX2538" s="6" t="s">
        <v>22413</v>
      </c>
      <c r="AY2538" s="6" t="s">
        <v>81</v>
      </c>
      <c r="AZ2538" s="6" t="s">
        <v>81</v>
      </c>
      <c r="BA2538" s="6" t="s">
        <v>81</v>
      </c>
      <c r="BB2538" s="24" t="n">
        <v>180</v>
      </c>
      <c r="BC2538" s="26"/>
      <c r="BD2538" s="26"/>
      <c r="BE2538" s="26"/>
      <c r="BF2538" s="26"/>
      <c r="BG2538" s="26"/>
      <c r="BH2538" s="26"/>
      <c r="BI2538" s="26"/>
      <c r="BJ2538" s="26"/>
      <c r="BK2538" s="26"/>
      <c r="BL2538" s="26"/>
      <c r="BM2538" s="26"/>
      <c r="BN2538" s="26"/>
      <c r="BO2538" s="26"/>
      <c r="BP2538" s="16" t="n">
        <v>45730</v>
      </c>
      <c r="BQ2538" s="28" t="str">
        <f>HYPERLINK("https://organic.ams.usda.gov/Integrity/Certificate.aspx?cid=90&amp;nopid=7170240747")</f>
        <v>https://organic.ams.usda.gov/Integrity/Certificate.aspx?cid=90&amp;nopid=7170240747</v>
      </c>
    </row>
    <row r="2539">
      <c r="A2539" t="s">
        <v>3</v>
      </c>
      <c r="B2539" s="6" t="s">
        <v>9</v>
      </c>
      <c r="C2539" s="6" t="s">
        <v>56</v>
      </c>
      <c r="D2539" s="6" t="s">
        <v>102</v>
      </c>
      <c r="E2539" s="10" t="s">
        <v>2680</v>
      </c>
      <c r="F2539" s="6" t="s">
        <v>5384</v>
      </c>
      <c r="G2539" s="6" t="s">
        <v>81</v>
      </c>
      <c r="H2539" s="6" t="s">
        <v>8203</v>
      </c>
      <c r="I2539" s="6" t="s">
        <v>9586</v>
      </c>
      <c r="J2539" s="6" t="s">
        <v>9970</v>
      </c>
      <c r="K2539" s="6" t="s">
        <v>10886</v>
      </c>
      <c r="L2539" s="16" t="n">
        <v>43237</v>
      </c>
      <c r="M2539" s="16" t="n">
        <v>46113</v>
      </c>
      <c r="N2539" s="6" t="s">
        <v>10886</v>
      </c>
      <c r="O2539" s="16" t="n">
        <v>43237</v>
      </c>
      <c r="P2539" s="6" t="s">
        <v>10922</v>
      </c>
      <c r="Q2539" s="6" t="s">
        <v>81</v>
      </c>
      <c r="R2539" s="6" t="s">
        <v>13105</v>
      </c>
      <c r="S2539" s="6" t="s">
        <v>10886</v>
      </c>
      <c r="T2539" s="16" t="n">
        <v>43237</v>
      </c>
      <c r="U2539" s="6" t="s">
        <v>13168</v>
      </c>
      <c r="V2539" s="6" t="s">
        <v>81</v>
      </c>
      <c r="W2539" s="6" t="s">
        <v>13105</v>
      </c>
      <c r="X2539" s="6" t="s">
        <v>81</v>
      </c>
      <c r="Y2539" s="21" t="s">
        <v>81</v>
      </c>
      <c r="Z2539" s="6" t="s">
        <v>81</v>
      </c>
      <c r="AA2539" s="6" t="s">
        <v>81</v>
      </c>
      <c r="AB2539" s="6" t="s">
        <v>81</v>
      </c>
      <c r="AC2539" s="6" t="s">
        <v>81</v>
      </c>
      <c r="AD2539" s="21" t="s">
        <v>81</v>
      </c>
      <c r="AE2539" s="6" t="s">
        <v>81</v>
      </c>
      <c r="AF2539" s="6" t="s">
        <v>81</v>
      </c>
      <c r="AG2539" s="6" t="s">
        <v>81</v>
      </c>
      <c r="AH2539" s="6" t="s">
        <v>17074</v>
      </c>
      <c r="AI2539" s="6" t="s">
        <v>81</v>
      </c>
      <c r="AJ2539" s="6" t="s">
        <v>17350</v>
      </c>
      <c r="AK2539" s="6" t="s">
        <v>18377</v>
      </c>
      <c r="AL2539" s="6" t="s">
        <v>18444</v>
      </c>
      <c r="AM2539" s="6" t="s">
        <v>18918</v>
      </c>
      <c r="AN2539" s="6" t="s">
        <v>19661</v>
      </c>
      <c r="AO2539" s="6" t="s">
        <v>19761</v>
      </c>
      <c r="AP2539" s="6" t="s">
        <v>81</v>
      </c>
      <c r="AQ2539" s="6" t="s">
        <v>81</v>
      </c>
      <c r="AR2539" s="6" t="s">
        <v>81</v>
      </c>
      <c r="AS2539" s="6" t="s">
        <v>81</v>
      </c>
      <c r="AT2539" s="6" t="s">
        <v>81</v>
      </c>
      <c r="AU2539" s="6" t="s">
        <v>81</v>
      </c>
      <c r="AV2539" s="6" t="s">
        <v>81</v>
      </c>
      <c r="AW2539" s="6" t="s">
        <v>81</v>
      </c>
      <c r="AX2539" s="6" t="s">
        <v>22414</v>
      </c>
      <c r="AY2539" s="6" t="s">
        <v>23477</v>
      </c>
      <c r="AZ2539" s="6" t="s">
        <v>81</v>
      </c>
      <c r="BA2539" s="6" t="s">
        <v>81</v>
      </c>
      <c r="BB2539" s="24" t="n">
        <v>169</v>
      </c>
      <c r="BC2539" s="26"/>
      <c r="BD2539" s="26"/>
      <c r="BE2539" s="26"/>
      <c r="BF2539" s="26"/>
      <c r="BG2539" s="26"/>
      <c r="BH2539" s="26"/>
      <c r="BI2539" s="26"/>
      <c r="BJ2539" s="26"/>
      <c r="BK2539" s="26"/>
      <c r="BL2539" s="26"/>
      <c r="BM2539" s="26"/>
      <c r="BN2539" s="26"/>
      <c r="BO2539" s="26"/>
      <c r="BP2539" s="16" t="n">
        <v>45738</v>
      </c>
      <c r="BQ2539" s="28" t="str">
        <f>HYPERLINK("https://organic.ams.usda.gov/Integrity/Certificate.aspx?cid=52&amp;nopid=8431801407")</f>
        <v>https://organic.ams.usda.gov/Integrity/Certificate.aspx?cid=52&amp;nopid=8431801407</v>
      </c>
    </row>
    <row r="2540">
      <c r="A2540" t="s">
        <v>3</v>
      </c>
      <c r="B2540" s="6" t="s">
        <v>17</v>
      </c>
      <c r="C2540" s="6" t="s">
        <v>64</v>
      </c>
      <c r="D2540" s="6" t="s">
        <v>110</v>
      </c>
      <c r="E2540" s="10" t="s">
        <v>2681</v>
      </c>
      <c r="F2540" s="6" t="s">
        <v>5385</v>
      </c>
      <c r="G2540" s="6" t="s">
        <v>81</v>
      </c>
      <c r="H2540" s="6" t="s">
        <v>8204</v>
      </c>
      <c r="I2540" s="6" t="s">
        <v>9587</v>
      </c>
      <c r="J2540" s="6" t="s">
        <v>9959</v>
      </c>
      <c r="K2540" s="6" t="s">
        <v>10886</v>
      </c>
      <c r="L2540" s="16" t="n">
        <v>39828</v>
      </c>
      <c r="M2540" s="16" t="n">
        <v>45762</v>
      </c>
      <c r="N2540" s="6" t="s">
        <v>10886</v>
      </c>
      <c r="O2540" s="16" t="n">
        <v>39828</v>
      </c>
      <c r="P2540" s="6" t="s">
        <v>12307</v>
      </c>
      <c r="Q2540" s="6" t="s">
        <v>81</v>
      </c>
      <c r="R2540" s="6" t="s">
        <v>8204</v>
      </c>
      <c r="S2540" s="6" t="s">
        <v>10886</v>
      </c>
      <c r="T2540" s="16" t="n">
        <v>39828</v>
      </c>
      <c r="U2540" s="6" t="s">
        <v>13905</v>
      </c>
      <c r="V2540" s="6" t="s">
        <v>81</v>
      </c>
      <c r="W2540" s="6" t="s">
        <v>8204</v>
      </c>
      <c r="X2540" s="6" t="s">
        <v>81</v>
      </c>
      <c r="Y2540" s="21" t="s">
        <v>81</v>
      </c>
      <c r="Z2540" s="6" t="s">
        <v>81</v>
      </c>
      <c r="AA2540" s="6" t="s">
        <v>81</v>
      </c>
      <c r="AB2540" s="6" t="s">
        <v>81</v>
      </c>
      <c r="AC2540" s="6" t="s">
        <v>81</v>
      </c>
      <c r="AD2540" s="21" t="s">
        <v>81</v>
      </c>
      <c r="AE2540" s="6" t="s">
        <v>81</v>
      </c>
      <c r="AF2540" s="6" t="s">
        <v>81</v>
      </c>
      <c r="AG2540" s="6" t="s">
        <v>81</v>
      </c>
      <c r="AH2540" s="6" t="s">
        <v>17075</v>
      </c>
      <c r="AI2540" s="6" t="s">
        <v>81</v>
      </c>
      <c r="AJ2540" s="6" t="s">
        <v>17426</v>
      </c>
      <c r="AK2540" s="6" t="s">
        <v>18384</v>
      </c>
      <c r="AL2540" s="6" t="s">
        <v>18444</v>
      </c>
      <c r="AM2540" s="6" t="s">
        <v>18583</v>
      </c>
      <c r="AN2540" s="6" t="s">
        <v>19690</v>
      </c>
      <c r="AO2540" s="6" t="s">
        <v>19852</v>
      </c>
      <c r="AP2540" s="6" t="s">
        <v>17075</v>
      </c>
      <c r="AQ2540" s="6" t="s">
        <v>81</v>
      </c>
      <c r="AR2540" s="6" t="s">
        <v>17426</v>
      </c>
      <c r="AS2540" s="6" t="s">
        <v>18384</v>
      </c>
      <c r="AT2540" s="6" t="s">
        <v>18444</v>
      </c>
      <c r="AU2540" s="6" t="s">
        <v>18583</v>
      </c>
      <c r="AV2540" s="6" t="s">
        <v>81</v>
      </c>
      <c r="AW2540" s="6" t="s">
        <v>81</v>
      </c>
      <c r="AX2540" s="6" t="s">
        <v>81</v>
      </c>
      <c r="AY2540" s="6" t="s">
        <v>81</v>
      </c>
      <c r="AZ2540" s="6" t="s">
        <v>81</v>
      </c>
      <c r="BA2540" s="6" t="s">
        <v>81</v>
      </c>
      <c r="BB2540" s="24" t="n">
        <v>61</v>
      </c>
      <c r="BC2540" s="26"/>
      <c r="BD2540" s="26"/>
      <c r="BE2540" s="26"/>
      <c r="BF2540" s="26" t="s">
        <v>23900</v>
      </c>
      <c r="BG2540" s="26"/>
      <c r="BH2540" s="26"/>
      <c r="BI2540" s="26"/>
      <c r="BJ2540" s="26"/>
      <c r="BK2540" s="26"/>
      <c r="BL2540" s="26"/>
      <c r="BM2540" s="26"/>
      <c r="BN2540" s="26"/>
      <c r="BO2540" s="26"/>
      <c r="BP2540" s="16" t="n">
        <v>45707</v>
      </c>
      <c r="BQ2540" s="28" t="str">
        <f>HYPERLINK("https://organic.ams.usda.gov/Integrity/Certificate.aspx?cid=36&amp;nopid=5400000461")</f>
        <v>https://organic.ams.usda.gov/Integrity/Certificate.aspx?cid=36&amp;nopid=5400000461</v>
      </c>
    </row>
    <row r="2541">
      <c r="A2541" t="s">
        <v>3</v>
      </c>
      <c r="B2541" s="6" t="s">
        <v>24</v>
      </c>
      <c r="C2541" s="6" t="s">
        <v>71</v>
      </c>
      <c r="D2541" s="6" t="s">
        <v>117</v>
      </c>
      <c r="E2541" s="10" t="s">
        <v>2682</v>
      </c>
      <c r="F2541" s="6" t="s">
        <v>5386</v>
      </c>
      <c r="G2541" s="6" t="s">
        <v>81</v>
      </c>
      <c r="H2541" s="6" t="s">
        <v>81</v>
      </c>
      <c r="I2541" s="6" t="s">
        <v>8562</v>
      </c>
      <c r="J2541" s="6" t="s">
        <v>10802</v>
      </c>
      <c r="K2541" s="6" t="s">
        <v>10886</v>
      </c>
      <c r="L2541" s="16" t="n">
        <v>44587</v>
      </c>
      <c r="M2541" s="16" t="n">
        <v>45809</v>
      </c>
      <c r="N2541" s="6" t="s">
        <v>10886</v>
      </c>
      <c r="O2541" s="16" t="n">
        <v>45021</v>
      </c>
      <c r="P2541" s="6" t="s">
        <v>10910</v>
      </c>
      <c r="Q2541" s="6" t="s">
        <v>81</v>
      </c>
      <c r="R2541" s="6" t="s">
        <v>81</v>
      </c>
      <c r="S2541" s="6" t="s">
        <v>10886</v>
      </c>
      <c r="T2541" s="16" t="n">
        <v>43802</v>
      </c>
      <c r="U2541" s="6" t="s">
        <v>13906</v>
      </c>
      <c r="V2541" s="6" t="s">
        <v>81</v>
      </c>
      <c r="W2541" s="6" t="s">
        <v>81</v>
      </c>
      <c r="X2541" s="6" t="s">
        <v>81</v>
      </c>
      <c r="Y2541" s="21" t="s">
        <v>81</v>
      </c>
      <c r="Z2541" s="6" t="s">
        <v>81</v>
      </c>
      <c r="AA2541" s="6" t="s">
        <v>81</v>
      </c>
      <c r="AB2541" s="6" t="s">
        <v>81</v>
      </c>
      <c r="AC2541" s="6" t="s">
        <v>10886</v>
      </c>
      <c r="AD2541" s="16" t="n">
        <v>44587</v>
      </c>
      <c r="AE2541" s="6" t="s">
        <v>14470</v>
      </c>
      <c r="AF2541" s="6" t="s">
        <v>81</v>
      </c>
      <c r="AG2541" s="6" t="s">
        <v>81</v>
      </c>
      <c r="AH2541" s="6" t="s">
        <v>17076</v>
      </c>
      <c r="AI2541" s="6" t="s">
        <v>81</v>
      </c>
      <c r="AJ2541" s="6" t="s">
        <v>8524</v>
      </c>
      <c r="AK2541" s="6" t="s">
        <v>18419</v>
      </c>
      <c r="AL2541" s="6" t="s">
        <v>18444</v>
      </c>
      <c r="AM2541" s="6" t="s">
        <v>19565</v>
      </c>
      <c r="AN2541" s="6" t="s">
        <v>7351</v>
      </c>
      <c r="AO2541" s="6" t="s">
        <v>20067</v>
      </c>
      <c r="AP2541" s="6" t="s">
        <v>17076</v>
      </c>
      <c r="AQ2541" s="6" t="s">
        <v>81</v>
      </c>
      <c r="AR2541" s="6" t="s">
        <v>8524</v>
      </c>
      <c r="AS2541" s="6" t="s">
        <v>18419</v>
      </c>
      <c r="AT2541" s="6" t="s">
        <v>18444</v>
      </c>
      <c r="AU2541" s="6" t="s">
        <v>19565</v>
      </c>
      <c r="AV2541" s="6" t="s">
        <v>81</v>
      </c>
      <c r="AW2541" s="6" t="s">
        <v>81</v>
      </c>
      <c r="AX2541" s="6" t="s">
        <v>81</v>
      </c>
      <c r="AY2541" s="6" t="s">
        <v>23478</v>
      </c>
      <c r="AZ2541" s="6" t="s">
        <v>81</v>
      </c>
      <c r="BA2541" s="6" t="s">
        <v>81</v>
      </c>
      <c r="BB2541" s="24" t="n">
        <v>426</v>
      </c>
      <c r="BC2541" s="26"/>
      <c r="BD2541" s="26"/>
      <c r="BE2541" s="26"/>
      <c r="BF2541" s="26"/>
      <c r="BG2541" s="26"/>
      <c r="BH2541" s="26"/>
      <c r="BI2541" s="26"/>
      <c r="BJ2541" s="26"/>
      <c r="BK2541" s="26"/>
      <c r="BL2541" s="26"/>
      <c r="BM2541" s="26"/>
      <c r="BN2541" s="26"/>
      <c r="BO2541" s="26"/>
      <c r="BP2541" s="16" t="n">
        <v>45628</v>
      </c>
      <c r="BQ2541" s="28" t="str">
        <f>HYPERLINK("https://organic.ams.usda.gov/Integrity/Certificate.aspx?cid=1&amp;nopid=9092129205")</f>
        <v>https://organic.ams.usda.gov/Integrity/Certificate.aspx?cid=1&amp;nopid=9092129205</v>
      </c>
    </row>
    <row r="2542">
      <c r="A2542" t="s">
        <v>3</v>
      </c>
      <c r="B2542" s="6" t="s">
        <v>10</v>
      </c>
      <c r="C2542" s="6" t="s">
        <v>57</v>
      </c>
      <c r="D2542" s="6" t="s">
        <v>103</v>
      </c>
      <c r="E2542" s="10" t="s">
        <v>2683</v>
      </c>
      <c r="F2542" s="6" t="s">
        <v>5387</v>
      </c>
      <c r="G2542" s="6" t="s">
        <v>81</v>
      </c>
      <c r="H2542" s="6" t="s">
        <v>8205</v>
      </c>
      <c r="I2542" s="6" t="s">
        <v>9588</v>
      </c>
      <c r="J2542" s="6" t="s">
        <v>9665</v>
      </c>
      <c r="K2542" s="6" t="s">
        <v>10886</v>
      </c>
      <c r="L2542" s="16" t="n">
        <v>45001</v>
      </c>
      <c r="M2542" s="16" t="n">
        <v>45748</v>
      </c>
      <c r="N2542" s="6" t="s">
        <v>10886</v>
      </c>
      <c r="O2542" s="16" t="n">
        <v>45001</v>
      </c>
      <c r="P2542" s="6" t="s">
        <v>12308</v>
      </c>
      <c r="Q2542" s="6" t="s">
        <v>81</v>
      </c>
      <c r="R2542" s="6" t="s">
        <v>13106</v>
      </c>
      <c r="S2542" s="6" t="s">
        <v>10886</v>
      </c>
      <c r="T2542" s="16" t="n">
        <v>45001</v>
      </c>
      <c r="U2542" s="6" t="s">
        <v>13163</v>
      </c>
      <c r="V2542" s="6" t="s">
        <v>81</v>
      </c>
      <c r="W2542" s="6" t="s">
        <v>81</v>
      </c>
      <c r="X2542" s="6" t="s">
        <v>81</v>
      </c>
      <c r="Y2542" s="21" t="s">
        <v>81</v>
      </c>
      <c r="Z2542" s="6" t="s">
        <v>81</v>
      </c>
      <c r="AA2542" s="6" t="s">
        <v>81</v>
      </c>
      <c r="AB2542" s="6" t="s">
        <v>81</v>
      </c>
      <c r="AC2542" s="6" t="s">
        <v>81</v>
      </c>
      <c r="AD2542" s="21" t="s">
        <v>81</v>
      </c>
      <c r="AE2542" s="6" t="s">
        <v>81</v>
      </c>
      <c r="AF2542" s="6" t="s">
        <v>81</v>
      </c>
      <c r="AG2542" s="6" t="s">
        <v>81</v>
      </c>
      <c r="AH2542" s="6" t="s">
        <v>17077</v>
      </c>
      <c r="AI2542" s="6" t="s">
        <v>81</v>
      </c>
      <c r="AJ2542" s="6" t="s">
        <v>18324</v>
      </c>
      <c r="AK2542" s="6" t="s">
        <v>18378</v>
      </c>
      <c r="AL2542" s="6" t="s">
        <v>18444</v>
      </c>
      <c r="AM2542" s="6" t="s">
        <v>18476</v>
      </c>
      <c r="AN2542" s="6" t="s">
        <v>19640</v>
      </c>
      <c r="AO2542" s="6" t="s">
        <v>19726</v>
      </c>
      <c r="AP2542" s="6" t="s">
        <v>20451</v>
      </c>
      <c r="AQ2542" s="6" t="s">
        <v>81</v>
      </c>
      <c r="AR2542" s="6" t="s">
        <v>17324</v>
      </c>
      <c r="AS2542" s="6" t="s">
        <v>18378</v>
      </c>
      <c r="AT2542" s="6" t="s">
        <v>18444</v>
      </c>
      <c r="AU2542" s="6" t="s">
        <v>18476</v>
      </c>
      <c r="AV2542" s="6" t="s">
        <v>81</v>
      </c>
      <c r="AW2542" s="6" t="s">
        <v>81</v>
      </c>
      <c r="AX2542" s="6" t="s">
        <v>22415</v>
      </c>
      <c r="AY2542" s="6" t="s">
        <v>81</v>
      </c>
      <c r="AZ2542" s="6" t="s">
        <v>81</v>
      </c>
      <c r="BA2542" s="6" t="s">
        <v>81</v>
      </c>
      <c r="BB2542" s="24" t="n">
        <v>89</v>
      </c>
      <c r="BC2542" s="26"/>
      <c r="BD2542" s="26"/>
      <c r="BE2542" s="26"/>
      <c r="BF2542" s="26"/>
      <c r="BG2542" s="26"/>
      <c r="BH2542" s="26"/>
      <c r="BI2542" s="26"/>
      <c r="BJ2542" s="26"/>
      <c r="BK2542" s="26"/>
      <c r="BL2542" s="26"/>
      <c r="BM2542" s="26"/>
      <c r="BN2542" s="26"/>
      <c r="BO2542" s="26"/>
      <c r="BP2542" s="16" t="n">
        <v>45730</v>
      </c>
      <c r="BQ2542" s="28" t="str">
        <f>HYPERLINK("https://organic.ams.usda.gov/Integrity/Certificate.aspx?cid=90&amp;nopid=7170230649")</f>
        <v>https://organic.ams.usda.gov/Integrity/Certificate.aspx?cid=90&amp;nopid=7170230649</v>
      </c>
    </row>
    <row r="2543">
      <c r="A2543" t="s">
        <v>3</v>
      </c>
      <c r="B2543" s="6" t="s">
        <v>12</v>
      </c>
      <c r="C2543" s="6" t="s">
        <v>59</v>
      </c>
      <c r="D2543" s="6" t="s">
        <v>105</v>
      </c>
      <c r="E2543" s="10" t="s">
        <v>2684</v>
      </c>
      <c r="F2543" s="6" t="s">
        <v>5388</v>
      </c>
      <c r="G2543" s="6" t="s">
        <v>81</v>
      </c>
      <c r="H2543" s="6" t="s">
        <v>8206</v>
      </c>
      <c r="I2543" s="6" t="s">
        <v>8477</v>
      </c>
      <c r="J2543" s="6" t="s">
        <v>10032</v>
      </c>
      <c r="K2543" s="6" t="s">
        <v>10886</v>
      </c>
      <c r="L2543" s="16" t="n">
        <v>41603</v>
      </c>
      <c r="M2543" s="16" t="n">
        <v>45717</v>
      </c>
      <c r="N2543" s="6" t="s">
        <v>10886</v>
      </c>
      <c r="O2543" s="16" t="n">
        <v>41603</v>
      </c>
      <c r="P2543" s="6" t="s">
        <v>12309</v>
      </c>
      <c r="Q2543" s="6" t="s">
        <v>81</v>
      </c>
      <c r="R2543" s="6" t="s">
        <v>81</v>
      </c>
      <c r="S2543" s="6" t="s">
        <v>10886</v>
      </c>
      <c r="T2543" s="16" t="n">
        <v>41603</v>
      </c>
      <c r="U2543" s="6" t="s">
        <v>13907</v>
      </c>
      <c r="V2543" s="6" t="s">
        <v>81</v>
      </c>
      <c r="W2543" s="6" t="s">
        <v>81</v>
      </c>
      <c r="X2543" s="6" t="s">
        <v>81</v>
      </c>
      <c r="Y2543" s="21" t="s">
        <v>81</v>
      </c>
      <c r="Z2543" s="6" t="s">
        <v>81</v>
      </c>
      <c r="AA2543" s="6" t="s">
        <v>81</v>
      </c>
      <c r="AB2543" s="6" t="s">
        <v>81</v>
      </c>
      <c r="AC2543" s="6" t="s">
        <v>81</v>
      </c>
      <c r="AD2543" s="21" t="s">
        <v>81</v>
      </c>
      <c r="AE2543" s="6" t="s">
        <v>81</v>
      </c>
      <c r="AF2543" s="6" t="s">
        <v>81</v>
      </c>
      <c r="AG2543" s="6" t="s">
        <v>81</v>
      </c>
      <c r="AH2543" s="6" t="s">
        <v>17078</v>
      </c>
      <c r="AI2543" s="6" t="s">
        <v>81</v>
      </c>
      <c r="AJ2543" s="6" t="s">
        <v>17311</v>
      </c>
      <c r="AK2543" s="6" t="s">
        <v>17712</v>
      </c>
      <c r="AL2543" s="6" t="s">
        <v>18444</v>
      </c>
      <c r="AM2543" s="6" t="s">
        <v>18463</v>
      </c>
      <c r="AN2543" s="6" t="s">
        <v>19634</v>
      </c>
      <c r="AO2543" s="6" t="s">
        <v>19719</v>
      </c>
      <c r="AP2543" s="6" t="s">
        <v>17078</v>
      </c>
      <c r="AQ2543" s="6" t="s">
        <v>81</v>
      </c>
      <c r="AR2543" s="6" t="s">
        <v>17311</v>
      </c>
      <c r="AS2543" s="6" t="s">
        <v>17712</v>
      </c>
      <c r="AT2543" s="6" t="s">
        <v>18444</v>
      </c>
      <c r="AU2543" s="6" t="s">
        <v>18463</v>
      </c>
      <c r="AV2543" s="6" t="s">
        <v>81</v>
      </c>
      <c r="AW2543" s="6" t="s">
        <v>81</v>
      </c>
      <c r="AX2543" s="6" t="s">
        <v>22416</v>
      </c>
      <c r="AY2543" s="6" t="s">
        <v>81</v>
      </c>
      <c r="AZ2543" s="6" t="s">
        <v>81</v>
      </c>
      <c r="BA2543" s="6" t="s">
        <v>81</v>
      </c>
      <c r="BB2543" s="24" t="n">
        <v>63</v>
      </c>
      <c r="BC2543" s="26"/>
      <c r="BD2543" s="26"/>
      <c r="BE2543" s="26"/>
      <c r="BF2543" s="26"/>
      <c r="BG2543" s="26"/>
      <c r="BH2543" s="26"/>
      <c r="BI2543" s="26"/>
      <c r="BJ2543" s="26"/>
      <c r="BK2543" s="26"/>
      <c r="BL2543" s="26"/>
      <c r="BM2543" s="26"/>
      <c r="BN2543" s="26"/>
      <c r="BO2543" s="26"/>
      <c r="BP2543" s="16" t="n">
        <v>45684</v>
      </c>
      <c r="BQ2543" s="28" t="str">
        <f>HYPERLINK("https://organic.ams.usda.gov/Integrity/Certificate.aspx?cid=68&amp;nopid=8210003331")</f>
        <v>https://organic.ams.usda.gov/Integrity/Certificate.aspx?cid=68&amp;nopid=8210003331</v>
      </c>
    </row>
    <row r="2544">
      <c r="A2544" t="s">
        <v>3</v>
      </c>
      <c r="B2544" s="6" t="s">
        <v>7</v>
      </c>
      <c r="C2544" s="6" t="s">
        <v>54</v>
      </c>
      <c r="D2544" s="6" t="s">
        <v>100</v>
      </c>
      <c r="E2544" s="10" t="s">
        <v>2685</v>
      </c>
      <c r="F2544" s="6" t="s">
        <v>5389</v>
      </c>
      <c r="G2544" s="6" t="s">
        <v>81</v>
      </c>
      <c r="H2544" s="6" t="s">
        <v>8207</v>
      </c>
      <c r="I2544" s="6" t="s">
        <v>8562</v>
      </c>
      <c r="J2544" s="6" t="s">
        <v>10803</v>
      </c>
      <c r="K2544" s="6" t="s">
        <v>10886</v>
      </c>
      <c r="L2544" s="16" t="n">
        <v>39016</v>
      </c>
      <c r="M2544" s="16" t="n">
        <v>45716</v>
      </c>
      <c r="N2544" s="6" t="s">
        <v>10886</v>
      </c>
      <c r="O2544" s="16" t="n">
        <v>39016</v>
      </c>
      <c r="P2544" s="6" t="s">
        <v>10910</v>
      </c>
      <c r="Q2544" s="6" t="s">
        <v>81</v>
      </c>
      <c r="R2544" s="6" t="s">
        <v>81</v>
      </c>
      <c r="S2544" s="6" t="s">
        <v>10886</v>
      </c>
      <c r="T2544" s="16" t="n">
        <v>39233</v>
      </c>
      <c r="U2544" s="6" t="s">
        <v>13169</v>
      </c>
      <c r="V2544" s="6" t="s">
        <v>81</v>
      </c>
      <c r="W2544" s="6" t="s">
        <v>81</v>
      </c>
      <c r="X2544" s="6" t="s">
        <v>81</v>
      </c>
      <c r="Y2544" s="21" t="s">
        <v>81</v>
      </c>
      <c r="Z2544" s="6" t="s">
        <v>81</v>
      </c>
      <c r="AA2544" s="6" t="s">
        <v>81</v>
      </c>
      <c r="AB2544" s="6" t="s">
        <v>81</v>
      </c>
      <c r="AC2544" s="6" t="s">
        <v>81</v>
      </c>
      <c r="AD2544" s="21" t="s">
        <v>81</v>
      </c>
      <c r="AE2544" s="6" t="s">
        <v>81</v>
      </c>
      <c r="AF2544" s="6" t="s">
        <v>81</v>
      </c>
      <c r="AG2544" s="6" t="s">
        <v>81</v>
      </c>
      <c r="AH2544" s="6" t="s">
        <v>17079</v>
      </c>
      <c r="AI2544" s="6" t="s">
        <v>81</v>
      </c>
      <c r="AJ2544" s="6" t="s">
        <v>17435</v>
      </c>
      <c r="AK2544" s="6" t="s">
        <v>17712</v>
      </c>
      <c r="AL2544" s="6" t="s">
        <v>18444</v>
      </c>
      <c r="AM2544" s="6" t="s">
        <v>5928</v>
      </c>
      <c r="AN2544" s="6" t="s">
        <v>19651</v>
      </c>
      <c r="AO2544" s="6" t="s">
        <v>19741</v>
      </c>
      <c r="AP2544" s="6" t="s">
        <v>17079</v>
      </c>
      <c r="AQ2544" s="6" t="s">
        <v>81</v>
      </c>
      <c r="AR2544" s="6" t="s">
        <v>17435</v>
      </c>
      <c r="AS2544" s="6" t="s">
        <v>17712</v>
      </c>
      <c r="AT2544" s="6" t="s">
        <v>18444</v>
      </c>
      <c r="AU2544" s="6" t="s">
        <v>5928</v>
      </c>
      <c r="AV2544" s="6" t="s">
        <v>81</v>
      </c>
      <c r="AW2544" s="6" t="s">
        <v>81</v>
      </c>
      <c r="AX2544" s="6" t="s">
        <v>22417</v>
      </c>
      <c r="AY2544" s="6" t="s">
        <v>23479</v>
      </c>
      <c r="AZ2544" s="6" t="s">
        <v>81</v>
      </c>
      <c r="BA2544" s="6" t="s">
        <v>81</v>
      </c>
      <c r="BB2544" s="24" t="n">
        <v>171</v>
      </c>
      <c r="BC2544" s="26"/>
      <c r="BD2544" s="26"/>
      <c r="BE2544" s="26"/>
      <c r="BF2544" s="26" t="s">
        <v>23900</v>
      </c>
      <c r="BG2544" s="26"/>
      <c r="BH2544" s="26"/>
      <c r="BI2544" s="26"/>
      <c r="BJ2544" s="26"/>
      <c r="BK2544" s="26"/>
      <c r="BL2544" s="26"/>
      <c r="BM2544" s="26"/>
      <c r="BN2544" s="26"/>
      <c r="BO2544" s="26"/>
      <c r="BP2544" s="16" t="n">
        <v>45595</v>
      </c>
      <c r="BQ2544" s="28" t="str">
        <f>HYPERLINK("https://organic.ams.usda.gov/Integrity/Certificate.aspx?cid=57&amp;nopid=3252006137")</f>
        <v>https://organic.ams.usda.gov/Integrity/Certificate.aspx?cid=57&amp;nopid=3252006137</v>
      </c>
    </row>
    <row r="2545">
      <c r="A2545" t="s">
        <v>3</v>
      </c>
      <c r="B2545" s="6" t="s">
        <v>8</v>
      </c>
      <c r="C2545" s="6" t="s">
        <v>55</v>
      </c>
      <c r="D2545" s="6" t="s">
        <v>101</v>
      </c>
      <c r="E2545" s="10" t="s">
        <v>2686</v>
      </c>
      <c r="F2545" s="6" t="s">
        <v>5390</v>
      </c>
      <c r="G2545" s="6" t="s">
        <v>81</v>
      </c>
      <c r="H2545" s="6" t="s">
        <v>8208</v>
      </c>
      <c r="I2545" s="6" t="s">
        <v>8477</v>
      </c>
      <c r="J2545" s="6" t="s">
        <v>10804</v>
      </c>
      <c r="K2545" s="6" t="s">
        <v>10886</v>
      </c>
      <c r="L2545" s="16" t="n">
        <v>42593</v>
      </c>
      <c r="M2545" s="16" t="n">
        <v>45689</v>
      </c>
      <c r="N2545" s="6" t="s">
        <v>10886</v>
      </c>
      <c r="O2545" s="16" t="n">
        <v>42593</v>
      </c>
      <c r="P2545" s="6" t="s">
        <v>12310</v>
      </c>
      <c r="Q2545" s="6" t="s">
        <v>81</v>
      </c>
      <c r="R2545" s="6" t="s">
        <v>8208</v>
      </c>
      <c r="S2545" s="6" t="s">
        <v>10886</v>
      </c>
      <c r="T2545" s="16" t="n">
        <v>42593</v>
      </c>
      <c r="U2545" s="6" t="s">
        <v>13908</v>
      </c>
      <c r="V2545" s="6" t="s">
        <v>81</v>
      </c>
      <c r="W2545" s="6" t="s">
        <v>8208</v>
      </c>
      <c r="X2545" s="6" t="s">
        <v>81</v>
      </c>
      <c r="Y2545" s="21" t="s">
        <v>81</v>
      </c>
      <c r="Z2545" s="6" t="s">
        <v>81</v>
      </c>
      <c r="AA2545" s="6" t="s">
        <v>81</v>
      </c>
      <c r="AB2545" s="6" t="s">
        <v>81</v>
      </c>
      <c r="AC2545" s="6" t="s">
        <v>81</v>
      </c>
      <c r="AD2545" s="21" t="s">
        <v>81</v>
      </c>
      <c r="AE2545" s="6" t="s">
        <v>81</v>
      </c>
      <c r="AF2545" s="6" t="s">
        <v>81</v>
      </c>
      <c r="AG2545" s="6" t="s">
        <v>81</v>
      </c>
      <c r="AH2545" s="6" t="s">
        <v>17080</v>
      </c>
      <c r="AI2545" s="6" t="s">
        <v>81</v>
      </c>
      <c r="AJ2545" s="6" t="s">
        <v>17743</v>
      </c>
      <c r="AK2545" s="6" t="s">
        <v>18377</v>
      </c>
      <c r="AL2545" s="6" t="s">
        <v>18444</v>
      </c>
      <c r="AM2545" s="6" t="s">
        <v>19363</v>
      </c>
      <c r="AN2545" s="6" t="s">
        <v>19696</v>
      </c>
      <c r="AO2545" s="6" t="s">
        <v>19907</v>
      </c>
      <c r="AP2545" s="6" t="s">
        <v>81</v>
      </c>
      <c r="AQ2545" s="6" t="s">
        <v>81</v>
      </c>
      <c r="AR2545" s="6" t="s">
        <v>81</v>
      </c>
      <c r="AS2545" s="6" t="s">
        <v>81</v>
      </c>
      <c r="AT2545" s="6" t="s">
        <v>81</v>
      </c>
      <c r="AU2545" s="6" t="s">
        <v>81</v>
      </c>
      <c r="AV2545" s="6" t="s">
        <v>81</v>
      </c>
      <c r="AW2545" s="6" t="s">
        <v>81</v>
      </c>
      <c r="AX2545" s="6" t="s">
        <v>22418</v>
      </c>
      <c r="AY2545" s="6" t="s">
        <v>23480</v>
      </c>
      <c r="AZ2545" s="6" t="s">
        <v>81</v>
      </c>
      <c r="BA2545" s="6" t="s">
        <v>23819</v>
      </c>
      <c r="BB2545" s="24" t="n">
        <v>70</v>
      </c>
      <c r="BC2545" s="26"/>
      <c r="BD2545" s="26"/>
      <c r="BE2545" s="26"/>
      <c r="BF2545" s="26"/>
      <c r="BG2545" s="26"/>
      <c r="BH2545" s="26"/>
      <c r="BI2545" s="26"/>
      <c r="BJ2545" s="26"/>
      <c r="BK2545" s="26"/>
      <c r="BL2545" s="26"/>
      <c r="BM2545" s="26"/>
      <c r="BN2545" s="26"/>
      <c r="BO2545" s="26"/>
      <c r="BP2545" s="16" t="n">
        <v>45680</v>
      </c>
      <c r="BQ2545" s="28" t="str">
        <f>HYPERLINK("https://organic.ams.usda.gov/Integrity/Certificate.aspx?cid=45&amp;nopid=9950008943")</f>
        <v>https://organic.ams.usda.gov/Integrity/Certificate.aspx?cid=45&amp;nopid=9950008943</v>
      </c>
    </row>
    <row r="2546">
      <c r="A2546" t="s">
        <v>3</v>
      </c>
      <c r="B2546" s="6" t="s">
        <v>12</v>
      </c>
      <c r="C2546" s="6" t="s">
        <v>59</v>
      </c>
      <c r="D2546" s="6" t="s">
        <v>105</v>
      </c>
      <c r="E2546" s="10" t="s">
        <v>2687</v>
      </c>
      <c r="F2546" s="6" t="s">
        <v>5391</v>
      </c>
      <c r="G2546" s="6" t="s">
        <v>81</v>
      </c>
      <c r="H2546" s="6" t="s">
        <v>8209</v>
      </c>
      <c r="I2546" s="6" t="s">
        <v>8477</v>
      </c>
      <c r="J2546" s="6" t="s">
        <v>10805</v>
      </c>
      <c r="K2546" s="6" t="s">
        <v>10886</v>
      </c>
      <c r="L2546" s="16" t="n">
        <v>39085</v>
      </c>
      <c r="M2546" s="16" t="n">
        <v>45717</v>
      </c>
      <c r="N2546" s="6" t="s">
        <v>10886</v>
      </c>
      <c r="O2546" s="16" t="n">
        <v>39085</v>
      </c>
      <c r="P2546" s="6" t="s">
        <v>11211</v>
      </c>
      <c r="Q2546" s="6" t="s">
        <v>81</v>
      </c>
      <c r="R2546" s="6" t="s">
        <v>81</v>
      </c>
      <c r="S2546" s="6" t="s">
        <v>10886</v>
      </c>
      <c r="T2546" s="16" t="n">
        <v>39085</v>
      </c>
      <c r="U2546" s="6" t="s">
        <v>13166</v>
      </c>
      <c r="V2546" s="6" t="s">
        <v>81</v>
      </c>
      <c r="W2546" s="6" t="s">
        <v>81</v>
      </c>
      <c r="X2546" s="6" t="s">
        <v>81</v>
      </c>
      <c r="Y2546" s="21" t="s">
        <v>81</v>
      </c>
      <c r="Z2546" s="6" t="s">
        <v>81</v>
      </c>
      <c r="AA2546" s="6" t="s">
        <v>81</v>
      </c>
      <c r="AB2546" s="6" t="s">
        <v>81</v>
      </c>
      <c r="AC2546" s="6" t="s">
        <v>81</v>
      </c>
      <c r="AD2546" s="21" t="s">
        <v>81</v>
      </c>
      <c r="AE2546" s="6" t="s">
        <v>81</v>
      </c>
      <c r="AF2546" s="6" t="s">
        <v>81</v>
      </c>
      <c r="AG2546" s="6" t="s">
        <v>81</v>
      </c>
      <c r="AH2546" s="6" t="s">
        <v>17081</v>
      </c>
      <c r="AI2546" s="6" t="s">
        <v>81</v>
      </c>
      <c r="AJ2546" s="6" t="s">
        <v>18325</v>
      </c>
      <c r="AK2546" s="6" t="s">
        <v>17712</v>
      </c>
      <c r="AL2546" s="6" t="s">
        <v>18444</v>
      </c>
      <c r="AM2546" s="6" t="s">
        <v>19566</v>
      </c>
      <c r="AN2546" s="6" t="s">
        <v>8053</v>
      </c>
      <c r="AO2546" s="6" t="s">
        <v>20005</v>
      </c>
      <c r="AP2546" s="6" t="s">
        <v>17081</v>
      </c>
      <c r="AQ2546" s="6" t="s">
        <v>81</v>
      </c>
      <c r="AR2546" s="6" t="s">
        <v>18325</v>
      </c>
      <c r="AS2546" s="6" t="s">
        <v>17712</v>
      </c>
      <c r="AT2546" s="6" t="s">
        <v>18444</v>
      </c>
      <c r="AU2546" s="6" t="s">
        <v>19566</v>
      </c>
      <c r="AV2546" s="6" t="s">
        <v>81</v>
      </c>
      <c r="AW2546" s="6" t="s">
        <v>81</v>
      </c>
      <c r="AX2546" s="6" t="s">
        <v>22419</v>
      </c>
      <c r="AY2546" s="6" t="s">
        <v>23481</v>
      </c>
      <c r="AZ2546" s="6" t="s">
        <v>81</v>
      </c>
      <c r="BA2546" s="6" t="s">
        <v>81</v>
      </c>
      <c r="BB2546" s="24" t="n">
        <v>167</v>
      </c>
      <c r="BC2546" s="26"/>
      <c r="BD2546" s="26"/>
      <c r="BE2546" s="26"/>
      <c r="BF2546" s="26"/>
      <c r="BG2546" s="26"/>
      <c r="BH2546" s="26"/>
      <c r="BI2546" s="26"/>
      <c r="BJ2546" s="26"/>
      <c r="BK2546" s="26"/>
      <c r="BL2546" s="26"/>
      <c r="BM2546" s="26"/>
      <c r="BN2546" s="26"/>
      <c r="BO2546" s="26"/>
      <c r="BP2546" s="16" t="n">
        <v>45684</v>
      </c>
      <c r="BQ2546" s="28" t="str">
        <f>HYPERLINK("https://organic.ams.usda.gov/Integrity/Certificate.aspx?cid=68&amp;nopid=8210003334")</f>
        <v>https://organic.ams.usda.gov/Integrity/Certificate.aspx?cid=68&amp;nopid=8210003334</v>
      </c>
    </row>
    <row r="2547">
      <c r="A2547" t="s">
        <v>3</v>
      </c>
      <c r="B2547" s="6" t="s">
        <v>9</v>
      </c>
      <c r="C2547" s="6" t="s">
        <v>56</v>
      </c>
      <c r="D2547" s="6" t="s">
        <v>102</v>
      </c>
      <c r="E2547" s="10" t="s">
        <v>2688</v>
      </c>
      <c r="F2547" s="6" t="s">
        <v>5392</v>
      </c>
      <c r="G2547" s="6" t="s">
        <v>81</v>
      </c>
      <c r="H2547" s="6" t="s">
        <v>8210</v>
      </c>
      <c r="I2547" s="6" t="s">
        <v>9589</v>
      </c>
      <c r="J2547" s="6" t="s">
        <v>9742</v>
      </c>
      <c r="K2547" s="6" t="s">
        <v>10886</v>
      </c>
      <c r="L2547" s="16" t="n">
        <v>42277</v>
      </c>
      <c r="M2547" s="16" t="n">
        <v>46113</v>
      </c>
      <c r="N2547" s="6" t="s">
        <v>10886</v>
      </c>
      <c r="O2547" s="16" t="n">
        <v>42277</v>
      </c>
      <c r="P2547" s="6" t="s">
        <v>11052</v>
      </c>
      <c r="Q2547" s="6" t="s">
        <v>81</v>
      </c>
      <c r="R2547" s="6" t="s">
        <v>13107</v>
      </c>
      <c r="S2547" s="6" t="s">
        <v>10886</v>
      </c>
      <c r="T2547" s="16" t="n">
        <v>42277</v>
      </c>
      <c r="U2547" s="6" t="s">
        <v>13909</v>
      </c>
      <c r="V2547" s="6" t="s">
        <v>81</v>
      </c>
      <c r="W2547" s="6" t="s">
        <v>13107</v>
      </c>
      <c r="X2547" s="6" t="s">
        <v>81</v>
      </c>
      <c r="Y2547" s="21" t="s">
        <v>81</v>
      </c>
      <c r="Z2547" s="6" t="s">
        <v>81</v>
      </c>
      <c r="AA2547" s="6" t="s">
        <v>81</v>
      </c>
      <c r="AB2547" s="6" t="s">
        <v>81</v>
      </c>
      <c r="AC2547" s="6" t="s">
        <v>81</v>
      </c>
      <c r="AD2547" s="21" t="s">
        <v>81</v>
      </c>
      <c r="AE2547" s="6" t="s">
        <v>81</v>
      </c>
      <c r="AF2547" s="6" t="s">
        <v>81</v>
      </c>
      <c r="AG2547" s="6" t="s">
        <v>81</v>
      </c>
      <c r="AH2547" s="6" t="s">
        <v>17082</v>
      </c>
      <c r="AI2547" s="6" t="s">
        <v>81</v>
      </c>
      <c r="AJ2547" s="6" t="s">
        <v>17426</v>
      </c>
      <c r="AK2547" s="6" t="s">
        <v>18384</v>
      </c>
      <c r="AL2547" s="6" t="s">
        <v>18444</v>
      </c>
      <c r="AM2547" s="6" t="s">
        <v>18583</v>
      </c>
      <c r="AN2547" s="6" t="s">
        <v>19690</v>
      </c>
      <c r="AO2547" s="6" t="s">
        <v>19852</v>
      </c>
      <c r="AP2547" s="6" t="s">
        <v>81</v>
      </c>
      <c r="AQ2547" s="6" t="s">
        <v>81</v>
      </c>
      <c r="AR2547" s="6" t="s">
        <v>81</v>
      </c>
      <c r="AS2547" s="6" t="s">
        <v>81</v>
      </c>
      <c r="AT2547" s="6" t="s">
        <v>81</v>
      </c>
      <c r="AU2547" s="6" t="s">
        <v>81</v>
      </c>
      <c r="AV2547" s="6" t="s">
        <v>81</v>
      </c>
      <c r="AW2547" s="6" t="s">
        <v>81</v>
      </c>
      <c r="AX2547" s="6" t="s">
        <v>81</v>
      </c>
      <c r="AY2547" s="6" t="s">
        <v>81</v>
      </c>
      <c r="AZ2547" s="6" t="s">
        <v>81</v>
      </c>
      <c r="BA2547" s="6" t="s">
        <v>81</v>
      </c>
      <c r="BB2547" s="24" t="n">
        <v>66</v>
      </c>
      <c r="BC2547" s="26"/>
      <c r="BD2547" s="26"/>
      <c r="BE2547" s="26"/>
      <c r="BF2547" s="26"/>
      <c r="BG2547" s="26"/>
      <c r="BH2547" s="26"/>
      <c r="BI2547" s="26"/>
      <c r="BJ2547" s="26"/>
      <c r="BK2547" s="26"/>
      <c r="BL2547" s="26"/>
      <c r="BM2547" s="26"/>
      <c r="BN2547" s="26"/>
      <c r="BO2547" s="26"/>
      <c r="BP2547" s="16" t="n">
        <v>45738</v>
      </c>
      <c r="BQ2547" s="28" t="str">
        <f>HYPERLINK("https://organic.ams.usda.gov/Integrity/Certificate.aspx?cid=52&amp;nopid=8431501091")</f>
        <v>https://organic.ams.usda.gov/Integrity/Certificate.aspx?cid=52&amp;nopid=8431501091</v>
      </c>
    </row>
    <row r="2548">
      <c r="A2548" t="s">
        <v>3</v>
      </c>
      <c r="B2548" s="6" t="s">
        <v>9</v>
      </c>
      <c r="C2548" s="6" t="s">
        <v>56</v>
      </c>
      <c r="D2548" s="6" t="s">
        <v>102</v>
      </c>
      <c r="E2548" s="10" t="s">
        <v>2689</v>
      </c>
      <c r="F2548" s="6" t="s">
        <v>5393</v>
      </c>
      <c r="G2548" s="6" t="s">
        <v>81</v>
      </c>
      <c r="H2548" s="6" t="s">
        <v>8211</v>
      </c>
      <c r="I2548" s="6" t="s">
        <v>9590</v>
      </c>
      <c r="J2548" s="6" t="s">
        <v>9763</v>
      </c>
      <c r="K2548" s="6" t="s">
        <v>10886</v>
      </c>
      <c r="L2548" s="16" t="n">
        <v>43014</v>
      </c>
      <c r="M2548" s="16" t="n">
        <v>46113</v>
      </c>
      <c r="N2548" s="6" t="s">
        <v>10886</v>
      </c>
      <c r="O2548" s="16" t="n">
        <v>43014</v>
      </c>
      <c r="P2548" s="6" t="s">
        <v>12311</v>
      </c>
      <c r="Q2548" s="6" t="s">
        <v>81</v>
      </c>
      <c r="R2548" s="6" t="s">
        <v>13108</v>
      </c>
      <c r="S2548" s="6" t="s">
        <v>10886</v>
      </c>
      <c r="T2548" s="16" t="n">
        <v>43014</v>
      </c>
      <c r="U2548" s="6" t="s">
        <v>13168</v>
      </c>
      <c r="V2548" s="6" t="s">
        <v>81</v>
      </c>
      <c r="W2548" s="6" t="s">
        <v>13108</v>
      </c>
      <c r="X2548" s="6" t="s">
        <v>81</v>
      </c>
      <c r="Y2548" s="21" t="s">
        <v>81</v>
      </c>
      <c r="Z2548" s="6" t="s">
        <v>81</v>
      </c>
      <c r="AA2548" s="6" t="s">
        <v>81</v>
      </c>
      <c r="AB2548" s="6" t="s">
        <v>81</v>
      </c>
      <c r="AC2548" s="6" t="s">
        <v>81</v>
      </c>
      <c r="AD2548" s="21" t="s">
        <v>81</v>
      </c>
      <c r="AE2548" s="6" t="s">
        <v>81</v>
      </c>
      <c r="AF2548" s="6" t="s">
        <v>81</v>
      </c>
      <c r="AG2548" s="6" t="s">
        <v>81</v>
      </c>
      <c r="AH2548" s="6" t="s">
        <v>17083</v>
      </c>
      <c r="AI2548" s="6" t="s">
        <v>81</v>
      </c>
      <c r="AJ2548" s="6" t="s">
        <v>18326</v>
      </c>
      <c r="AK2548" s="6" t="s">
        <v>18391</v>
      </c>
      <c r="AL2548" s="6" t="s">
        <v>18444</v>
      </c>
      <c r="AM2548" s="6" t="s">
        <v>19567</v>
      </c>
      <c r="AN2548" s="6" t="s">
        <v>19684</v>
      </c>
      <c r="AO2548" s="6" t="s">
        <v>20068</v>
      </c>
      <c r="AP2548" s="6" t="s">
        <v>81</v>
      </c>
      <c r="AQ2548" s="6" t="s">
        <v>81</v>
      </c>
      <c r="AR2548" s="6" t="s">
        <v>81</v>
      </c>
      <c r="AS2548" s="6" t="s">
        <v>81</v>
      </c>
      <c r="AT2548" s="6" t="s">
        <v>81</v>
      </c>
      <c r="AU2548" s="6" t="s">
        <v>81</v>
      </c>
      <c r="AV2548" s="6" t="s">
        <v>81</v>
      </c>
      <c r="AW2548" s="6" t="s">
        <v>81</v>
      </c>
      <c r="AX2548" s="6" t="s">
        <v>22420</v>
      </c>
      <c r="AY2548" s="6" t="s">
        <v>81</v>
      </c>
      <c r="AZ2548" s="6" t="s">
        <v>81</v>
      </c>
      <c r="BA2548" s="6" t="s">
        <v>23837</v>
      </c>
      <c r="BB2548" s="24" t="n">
        <v>285</v>
      </c>
      <c r="BC2548" s="26"/>
      <c r="BD2548" s="26"/>
      <c r="BE2548" s="26"/>
      <c r="BF2548" s="26"/>
      <c r="BG2548" s="26"/>
      <c r="BH2548" s="26"/>
      <c r="BI2548" s="26"/>
      <c r="BJ2548" s="26"/>
      <c r="BK2548" s="26"/>
      <c r="BL2548" s="26"/>
      <c r="BM2548" s="26"/>
      <c r="BN2548" s="26"/>
      <c r="BO2548" s="26"/>
      <c r="BP2548" s="16" t="n">
        <v>45738</v>
      </c>
      <c r="BQ2548" s="28" t="str">
        <f>HYPERLINK("https://organic.ams.usda.gov/Integrity/Certificate.aspx?cid=52&amp;nopid=8431701336")</f>
        <v>https://organic.ams.usda.gov/Integrity/Certificate.aspx?cid=52&amp;nopid=8431701336</v>
      </c>
    </row>
    <row r="2549">
      <c r="A2549" t="s">
        <v>3</v>
      </c>
      <c r="B2549" s="6" t="s">
        <v>8</v>
      </c>
      <c r="C2549" s="6" t="s">
        <v>55</v>
      </c>
      <c r="D2549" s="6" t="s">
        <v>101</v>
      </c>
      <c r="E2549" s="10" t="s">
        <v>2690</v>
      </c>
      <c r="F2549" s="6" t="s">
        <v>5394</v>
      </c>
      <c r="G2549" s="6" t="s">
        <v>81</v>
      </c>
      <c r="H2549" s="6" t="s">
        <v>8212</v>
      </c>
      <c r="I2549" s="6" t="s">
        <v>9565</v>
      </c>
      <c r="J2549" s="6" t="s">
        <v>10806</v>
      </c>
      <c r="K2549" s="6" t="s">
        <v>10886</v>
      </c>
      <c r="L2549" s="16" t="n">
        <v>39790</v>
      </c>
      <c r="M2549" s="16" t="n">
        <v>45748</v>
      </c>
      <c r="N2549" s="6" t="s">
        <v>10886</v>
      </c>
      <c r="O2549" s="16" t="n">
        <v>39790</v>
      </c>
      <c r="P2549" s="6" t="s">
        <v>12312</v>
      </c>
      <c r="Q2549" s="6" t="s">
        <v>81</v>
      </c>
      <c r="R2549" s="6" t="s">
        <v>8212</v>
      </c>
      <c r="S2549" s="6" t="s">
        <v>10886</v>
      </c>
      <c r="T2549" s="16" t="n">
        <v>39790</v>
      </c>
      <c r="U2549" s="6" t="s">
        <v>13286</v>
      </c>
      <c r="V2549" s="6" t="s">
        <v>81</v>
      </c>
      <c r="W2549" s="6" t="s">
        <v>8212</v>
      </c>
      <c r="X2549" s="6" t="s">
        <v>81</v>
      </c>
      <c r="Y2549" s="21" t="s">
        <v>81</v>
      </c>
      <c r="Z2549" s="6" t="s">
        <v>81</v>
      </c>
      <c r="AA2549" s="6" t="s">
        <v>81</v>
      </c>
      <c r="AB2549" s="6" t="s">
        <v>81</v>
      </c>
      <c r="AC2549" s="6" t="s">
        <v>81</v>
      </c>
      <c r="AD2549" s="21" t="s">
        <v>81</v>
      </c>
      <c r="AE2549" s="6" t="s">
        <v>81</v>
      </c>
      <c r="AF2549" s="6" t="s">
        <v>81</v>
      </c>
      <c r="AG2549" s="6" t="s">
        <v>81</v>
      </c>
      <c r="AH2549" s="6" t="s">
        <v>17084</v>
      </c>
      <c r="AI2549" s="6" t="s">
        <v>81</v>
      </c>
      <c r="AJ2549" s="6" t="s">
        <v>17859</v>
      </c>
      <c r="AK2549" s="6" t="s">
        <v>18377</v>
      </c>
      <c r="AL2549" s="6" t="s">
        <v>18444</v>
      </c>
      <c r="AM2549" s="6" t="s">
        <v>19041</v>
      </c>
      <c r="AN2549" s="6" t="s">
        <v>19667</v>
      </c>
      <c r="AO2549" s="6" t="s">
        <v>19967</v>
      </c>
      <c r="AP2549" s="6" t="s">
        <v>81</v>
      </c>
      <c r="AQ2549" s="6" t="s">
        <v>81</v>
      </c>
      <c r="AR2549" s="6" t="s">
        <v>81</v>
      </c>
      <c r="AS2549" s="6" t="s">
        <v>81</v>
      </c>
      <c r="AT2549" s="6" t="s">
        <v>81</v>
      </c>
      <c r="AU2549" s="6" t="s">
        <v>81</v>
      </c>
      <c r="AV2549" s="6" t="s">
        <v>81</v>
      </c>
      <c r="AW2549" s="6" t="s">
        <v>81</v>
      </c>
      <c r="AX2549" s="6" t="s">
        <v>81</v>
      </c>
      <c r="AY2549" s="6" t="s">
        <v>81</v>
      </c>
      <c r="AZ2549" s="6" t="s">
        <v>81</v>
      </c>
      <c r="BA2549" s="6" t="s">
        <v>23819</v>
      </c>
      <c r="BB2549" s="24" t="n">
        <v>631</v>
      </c>
      <c r="BC2549" s="26"/>
      <c r="BD2549" s="26"/>
      <c r="BE2549" s="26"/>
      <c r="BF2549" s="26" t="s">
        <v>23900</v>
      </c>
      <c r="BG2549" s="26"/>
      <c r="BH2549" s="26"/>
      <c r="BI2549" s="26"/>
      <c r="BJ2549" s="26"/>
      <c r="BK2549" s="26"/>
      <c r="BL2549" s="26"/>
      <c r="BM2549" s="26"/>
      <c r="BN2549" s="26"/>
      <c r="BO2549" s="26"/>
      <c r="BP2549" s="16" t="n">
        <v>45495</v>
      </c>
      <c r="BQ2549" s="28" t="str">
        <f>HYPERLINK("https://organic.ams.usda.gov/Integrity/Certificate.aspx?cid=45&amp;nopid=9950003272")</f>
        <v>https://organic.ams.usda.gov/Integrity/Certificate.aspx?cid=45&amp;nopid=9950003272</v>
      </c>
    </row>
    <row r="2550">
      <c r="A2550" t="s">
        <v>3</v>
      </c>
      <c r="B2550" s="6" t="s">
        <v>13</v>
      </c>
      <c r="C2550" s="6" t="s">
        <v>60</v>
      </c>
      <c r="D2550" s="6" t="s">
        <v>106</v>
      </c>
      <c r="E2550" s="10" t="s">
        <v>2691</v>
      </c>
      <c r="F2550" s="6" t="s">
        <v>5395</v>
      </c>
      <c r="G2550" s="6" t="s">
        <v>81</v>
      </c>
      <c r="H2550" s="6" t="s">
        <v>8213</v>
      </c>
      <c r="I2550" s="6" t="s">
        <v>9565</v>
      </c>
      <c r="J2550" s="6" t="s">
        <v>9760</v>
      </c>
      <c r="K2550" s="6" t="s">
        <v>10886</v>
      </c>
      <c r="L2550" s="16" t="n">
        <v>41440</v>
      </c>
      <c r="M2550" s="16" t="n">
        <v>45748</v>
      </c>
      <c r="N2550" s="6" t="s">
        <v>10886</v>
      </c>
      <c r="O2550" s="16" t="n">
        <v>41440</v>
      </c>
      <c r="P2550" s="6" t="s">
        <v>12313</v>
      </c>
      <c r="Q2550" s="6" t="s">
        <v>81</v>
      </c>
      <c r="R2550" s="6" t="s">
        <v>13109</v>
      </c>
      <c r="S2550" s="6" t="s">
        <v>10886</v>
      </c>
      <c r="T2550" s="16" t="n">
        <v>41440</v>
      </c>
      <c r="U2550" s="6" t="s">
        <v>13402</v>
      </c>
      <c r="V2550" s="6" t="s">
        <v>81</v>
      </c>
      <c r="W2550" s="6" t="s">
        <v>13109</v>
      </c>
      <c r="X2550" s="6" t="s">
        <v>81</v>
      </c>
      <c r="Y2550" s="21" t="s">
        <v>81</v>
      </c>
      <c r="Z2550" s="6" t="s">
        <v>81</v>
      </c>
      <c r="AA2550" s="6" t="s">
        <v>81</v>
      </c>
      <c r="AB2550" s="6" t="s">
        <v>81</v>
      </c>
      <c r="AC2550" s="6" t="s">
        <v>81</v>
      </c>
      <c r="AD2550" s="21" t="s">
        <v>81</v>
      </c>
      <c r="AE2550" s="6" t="s">
        <v>81</v>
      </c>
      <c r="AF2550" s="6" t="s">
        <v>81</v>
      </c>
      <c r="AG2550" s="6" t="s">
        <v>81</v>
      </c>
      <c r="AH2550" s="6" t="s">
        <v>17085</v>
      </c>
      <c r="AI2550" s="6" t="s">
        <v>81</v>
      </c>
      <c r="AJ2550" s="6" t="s">
        <v>17603</v>
      </c>
      <c r="AK2550" s="6" t="s">
        <v>18378</v>
      </c>
      <c r="AL2550" s="6" t="s">
        <v>18444</v>
      </c>
      <c r="AM2550" s="6" t="s">
        <v>18769</v>
      </c>
      <c r="AN2550" s="6" t="s">
        <v>19664</v>
      </c>
      <c r="AO2550" s="6" t="s">
        <v>19874</v>
      </c>
      <c r="AP2550" s="6" t="s">
        <v>17085</v>
      </c>
      <c r="AQ2550" s="6" t="s">
        <v>81</v>
      </c>
      <c r="AR2550" s="6" t="s">
        <v>17603</v>
      </c>
      <c r="AS2550" s="6" t="s">
        <v>18378</v>
      </c>
      <c r="AT2550" s="6" t="s">
        <v>18444</v>
      </c>
      <c r="AU2550" s="6" t="s">
        <v>18769</v>
      </c>
      <c r="AV2550" s="6" t="s">
        <v>81</v>
      </c>
      <c r="AW2550" s="6" t="s">
        <v>81</v>
      </c>
      <c r="AX2550" s="6" t="s">
        <v>22421</v>
      </c>
      <c r="AY2550" s="6" t="s">
        <v>81</v>
      </c>
      <c r="AZ2550" s="6" t="s">
        <v>81</v>
      </c>
      <c r="BA2550" s="6" t="s">
        <v>81</v>
      </c>
      <c r="BB2550" s="24" t="n">
        <v>101</v>
      </c>
      <c r="BC2550" s="26"/>
      <c r="BD2550" s="26"/>
      <c r="BE2550" s="26"/>
      <c r="BF2550" s="26" t="s">
        <v>23900</v>
      </c>
      <c r="BG2550" s="26"/>
      <c r="BH2550" s="26"/>
      <c r="BI2550" s="26"/>
      <c r="BJ2550" s="26"/>
      <c r="BK2550" s="26"/>
      <c r="BL2550" s="26"/>
      <c r="BM2550" s="26"/>
      <c r="BN2550" s="26"/>
      <c r="BO2550" s="26"/>
      <c r="BP2550" s="16" t="n">
        <v>45707</v>
      </c>
      <c r="BQ2550" s="28" t="str">
        <f>HYPERLINK("https://organic.ams.usda.gov/Integrity/Certificate.aspx?cid=72&amp;nopid=5870001636")</f>
        <v>https://organic.ams.usda.gov/Integrity/Certificate.aspx?cid=72&amp;nopid=5870001636</v>
      </c>
    </row>
    <row r="2551">
      <c r="A2551" t="s">
        <v>3</v>
      </c>
      <c r="B2551" s="6" t="s">
        <v>10</v>
      </c>
      <c r="C2551" s="6" t="s">
        <v>57</v>
      </c>
      <c r="D2551" s="6" t="s">
        <v>103</v>
      </c>
      <c r="E2551" s="10" t="s">
        <v>2692</v>
      </c>
      <c r="F2551" s="6" t="s">
        <v>5396</v>
      </c>
      <c r="G2551" s="6" t="s">
        <v>81</v>
      </c>
      <c r="H2551" s="6" t="s">
        <v>8214</v>
      </c>
      <c r="I2551" s="6" t="s">
        <v>9565</v>
      </c>
      <c r="J2551" s="6" t="s">
        <v>9666</v>
      </c>
      <c r="K2551" s="6" t="s">
        <v>10886</v>
      </c>
      <c r="L2551" s="16" t="n">
        <v>43587</v>
      </c>
      <c r="M2551" s="16" t="n">
        <v>45748</v>
      </c>
      <c r="N2551" s="6" t="s">
        <v>10886</v>
      </c>
      <c r="O2551" s="16" t="n">
        <v>43587</v>
      </c>
      <c r="P2551" s="6" t="s">
        <v>10910</v>
      </c>
      <c r="Q2551" s="6" t="s">
        <v>81</v>
      </c>
      <c r="R2551" s="6" t="s">
        <v>13110</v>
      </c>
      <c r="S2551" s="6" t="s">
        <v>10886</v>
      </c>
      <c r="T2551" s="16" t="n">
        <v>43587</v>
      </c>
      <c r="U2551" s="6" t="s">
        <v>13163</v>
      </c>
      <c r="V2551" s="6" t="s">
        <v>81</v>
      </c>
      <c r="W2551" s="6" t="s">
        <v>81</v>
      </c>
      <c r="X2551" s="6" t="s">
        <v>81</v>
      </c>
      <c r="Y2551" s="21" t="s">
        <v>81</v>
      </c>
      <c r="Z2551" s="6" t="s">
        <v>81</v>
      </c>
      <c r="AA2551" s="6" t="s">
        <v>81</v>
      </c>
      <c r="AB2551" s="6" t="s">
        <v>81</v>
      </c>
      <c r="AC2551" s="6" t="s">
        <v>81</v>
      </c>
      <c r="AD2551" s="21" t="s">
        <v>81</v>
      </c>
      <c r="AE2551" s="6" t="s">
        <v>81</v>
      </c>
      <c r="AF2551" s="6" t="s">
        <v>81</v>
      </c>
      <c r="AG2551" s="6" t="s">
        <v>81</v>
      </c>
      <c r="AH2551" s="6" t="s">
        <v>17086</v>
      </c>
      <c r="AI2551" s="6" t="s">
        <v>81</v>
      </c>
      <c r="AJ2551" s="6" t="s">
        <v>17980</v>
      </c>
      <c r="AK2551" s="6" t="s">
        <v>18380</v>
      </c>
      <c r="AL2551" s="6" t="s">
        <v>18444</v>
      </c>
      <c r="AM2551" s="6" t="s">
        <v>19168</v>
      </c>
      <c r="AN2551" s="6" t="s">
        <v>19698</v>
      </c>
      <c r="AO2551" s="6" t="s">
        <v>19920</v>
      </c>
      <c r="AP2551" s="6" t="s">
        <v>17086</v>
      </c>
      <c r="AQ2551" s="6" t="s">
        <v>81</v>
      </c>
      <c r="AR2551" s="6" t="s">
        <v>17980</v>
      </c>
      <c r="AS2551" s="6" t="s">
        <v>18380</v>
      </c>
      <c r="AT2551" s="6" t="s">
        <v>18444</v>
      </c>
      <c r="AU2551" s="6" t="s">
        <v>19168</v>
      </c>
      <c r="AV2551" s="6" t="s">
        <v>81</v>
      </c>
      <c r="AW2551" s="6" t="s">
        <v>81</v>
      </c>
      <c r="AX2551" s="6" t="s">
        <v>22422</v>
      </c>
      <c r="AY2551" s="6" t="s">
        <v>81</v>
      </c>
      <c r="AZ2551" s="6" t="s">
        <v>81</v>
      </c>
      <c r="BA2551" s="6" t="s">
        <v>81</v>
      </c>
      <c r="BB2551" s="24" t="n">
        <v>198</v>
      </c>
      <c r="BC2551" s="26"/>
      <c r="BD2551" s="26"/>
      <c r="BE2551" s="26"/>
      <c r="BF2551" s="26"/>
      <c r="BG2551" s="26"/>
      <c r="BH2551" s="26"/>
      <c r="BI2551" s="26"/>
      <c r="BJ2551" s="26"/>
      <c r="BK2551" s="26"/>
      <c r="BL2551" s="26"/>
      <c r="BM2551" s="26"/>
      <c r="BN2551" s="26"/>
      <c r="BO2551" s="26"/>
      <c r="BP2551" s="16" t="n">
        <v>45730</v>
      </c>
      <c r="BQ2551" s="28" t="str">
        <f>HYPERLINK("https://organic.ams.usda.gov/Integrity/Certificate.aspx?cid=90&amp;nopid=7170210355")</f>
        <v>https://organic.ams.usda.gov/Integrity/Certificate.aspx?cid=90&amp;nopid=7170210355</v>
      </c>
    </row>
    <row r="2552">
      <c r="A2552" t="s">
        <v>3</v>
      </c>
      <c r="B2552" s="6" t="s">
        <v>25</v>
      </c>
      <c r="C2552" s="6" t="s">
        <v>72</v>
      </c>
      <c r="D2552" s="6" t="s">
        <v>118</v>
      </c>
      <c r="E2552" s="10" t="s">
        <v>2693</v>
      </c>
      <c r="F2552" s="6" t="s">
        <v>5397</v>
      </c>
      <c r="G2552" s="6" t="s">
        <v>81</v>
      </c>
      <c r="H2552" s="6" t="s">
        <v>8215</v>
      </c>
      <c r="I2552" s="6" t="s">
        <v>8889</v>
      </c>
      <c r="J2552" s="6" t="s">
        <v>10790</v>
      </c>
      <c r="K2552" s="6" t="s">
        <v>10886</v>
      </c>
      <c r="L2552" s="16" t="n">
        <v>45154</v>
      </c>
      <c r="M2552" s="16" t="n">
        <v>46023</v>
      </c>
      <c r="N2552" s="6" t="s">
        <v>81</v>
      </c>
      <c r="O2552" s="21" t="s">
        <v>81</v>
      </c>
      <c r="P2552" s="6" t="s">
        <v>81</v>
      </c>
      <c r="Q2552" s="6" t="s">
        <v>81</v>
      </c>
      <c r="R2552" s="6" t="s">
        <v>81</v>
      </c>
      <c r="S2552" s="6" t="s">
        <v>81</v>
      </c>
      <c r="T2552" s="21" t="s">
        <v>81</v>
      </c>
      <c r="U2552" s="6" t="s">
        <v>81</v>
      </c>
      <c r="V2552" s="6" t="s">
        <v>81</v>
      </c>
      <c r="W2552" s="6" t="s">
        <v>81</v>
      </c>
      <c r="X2552" s="6" t="s">
        <v>81</v>
      </c>
      <c r="Y2552" s="21" t="s">
        <v>81</v>
      </c>
      <c r="Z2552" s="6" t="s">
        <v>81</v>
      </c>
      <c r="AA2552" s="6" t="s">
        <v>81</v>
      </c>
      <c r="AB2552" s="6" t="s">
        <v>81</v>
      </c>
      <c r="AC2552" s="6" t="s">
        <v>10886</v>
      </c>
      <c r="AD2552" s="16" t="n">
        <v>45154</v>
      </c>
      <c r="AE2552" s="6" t="s">
        <v>14471</v>
      </c>
      <c r="AF2552" s="6" t="s">
        <v>81</v>
      </c>
      <c r="AG2552" s="6" t="s">
        <v>81</v>
      </c>
      <c r="AH2552" s="6" t="s">
        <v>17087</v>
      </c>
      <c r="AI2552" s="6" t="s">
        <v>17283</v>
      </c>
      <c r="AJ2552" s="6" t="s">
        <v>18320</v>
      </c>
      <c r="AK2552" s="6" t="s">
        <v>18390</v>
      </c>
      <c r="AL2552" s="6" t="s">
        <v>18444</v>
      </c>
      <c r="AM2552" s="6" t="s">
        <v>19560</v>
      </c>
      <c r="AN2552" s="6" t="s">
        <v>19685</v>
      </c>
      <c r="AO2552" s="6" t="s">
        <v>20066</v>
      </c>
      <c r="AP2552" s="6" t="s">
        <v>17087</v>
      </c>
      <c r="AQ2552" s="6" t="s">
        <v>17283</v>
      </c>
      <c r="AR2552" s="6" t="s">
        <v>18320</v>
      </c>
      <c r="AS2552" s="6" t="s">
        <v>18390</v>
      </c>
      <c r="AT2552" s="6" t="s">
        <v>18444</v>
      </c>
      <c r="AU2552" s="6" t="s">
        <v>19560</v>
      </c>
      <c r="AV2552" s="6" t="s">
        <v>81</v>
      </c>
      <c r="AW2552" s="6" t="s">
        <v>81</v>
      </c>
      <c r="AX2552" s="6" t="s">
        <v>22397</v>
      </c>
      <c r="AY2552" s="6" t="s">
        <v>23464</v>
      </c>
      <c r="AZ2552" s="6" t="s">
        <v>23793</v>
      </c>
      <c r="BA2552" s="6" t="s">
        <v>81</v>
      </c>
      <c r="BB2552" s="6" t="s">
        <v>81</v>
      </c>
      <c r="BC2552" s="26"/>
      <c r="BD2552" s="26"/>
      <c r="BE2552" s="26"/>
      <c r="BF2552" s="26"/>
      <c r="BG2552" s="26"/>
      <c r="BH2552" s="26"/>
      <c r="BI2552" s="26"/>
      <c r="BJ2552" s="26"/>
      <c r="BK2552" s="26"/>
      <c r="BL2552" s="26"/>
      <c r="BM2552" s="26"/>
      <c r="BN2552" s="26"/>
      <c r="BO2552" s="26"/>
      <c r="BP2552" s="16" t="n">
        <v>45667</v>
      </c>
      <c r="BQ2552" s="28" t="str">
        <f>HYPERLINK("https://organic.ams.usda.gov/Integrity/Certificate.aspx?cid=15&amp;nopid=5561007731")</f>
        <v>https://organic.ams.usda.gov/Integrity/Certificate.aspx?cid=15&amp;nopid=5561007731</v>
      </c>
    </row>
    <row r="2553">
      <c r="A2553" t="s">
        <v>3</v>
      </c>
      <c r="B2553" s="6" t="s">
        <v>7</v>
      </c>
      <c r="C2553" s="6" t="s">
        <v>54</v>
      </c>
      <c r="D2553" s="6" t="s">
        <v>100</v>
      </c>
      <c r="E2553" s="10" t="s">
        <v>2694</v>
      </c>
      <c r="F2553" s="6" t="s">
        <v>5398</v>
      </c>
      <c r="G2553" s="6" t="s">
        <v>81</v>
      </c>
      <c r="H2553" s="6" t="s">
        <v>8216</v>
      </c>
      <c r="I2553" s="6" t="s">
        <v>9412</v>
      </c>
      <c r="J2553" s="6" t="s">
        <v>9671</v>
      </c>
      <c r="K2553" s="6" t="s">
        <v>10886</v>
      </c>
      <c r="L2553" s="16" t="n">
        <v>44153</v>
      </c>
      <c r="M2553" s="16" t="n">
        <v>45716</v>
      </c>
      <c r="N2553" s="6" t="s">
        <v>10886</v>
      </c>
      <c r="O2553" s="16" t="n">
        <v>44153</v>
      </c>
      <c r="P2553" s="6" t="s">
        <v>12314</v>
      </c>
      <c r="Q2553" s="6" t="s">
        <v>81</v>
      </c>
      <c r="R2553" s="6" t="s">
        <v>81</v>
      </c>
      <c r="S2553" s="6" t="s">
        <v>10886</v>
      </c>
      <c r="T2553" s="16" t="n">
        <v>44446</v>
      </c>
      <c r="U2553" s="6" t="s">
        <v>13175</v>
      </c>
      <c r="V2553" s="6" t="s">
        <v>81</v>
      </c>
      <c r="W2553" s="6" t="s">
        <v>81</v>
      </c>
      <c r="X2553" s="6" t="s">
        <v>81</v>
      </c>
      <c r="Y2553" s="21" t="s">
        <v>81</v>
      </c>
      <c r="Z2553" s="6" t="s">
        <v>81</v>
      </c>
      <c r="AA2553" s="6" t="s">
        <v>81</v>
      </c>
      <c r="AB2553" s="6" t="s">
        <v>81</v>
      </c>
      <c r="AC2553" s="6" t="s">
        <v>81</v>
      </c>
      <c r="AD2553" s="21" t="s">
        <v>81</v>
      </c>
      <c r="AE2553" s="6" t="s">
        <v>81</v>
      </c>
      <c r="AF2553" s="6" t="s">
        <v>81</v>
      </c>
      <c r="AG2553" s="6" t="s">
        <v>81</v>
      </c>
      <c r="AH2553" s="6" t="s">
        <v>17088</v>
      </c>
      <c r="AI2553" s="6" t="s">
        <v>81</v>
      </c>
      <c r="AJ2553" s="6" t="s">
        <v>17485</v>
      </c>
      <c r="AK2553" s="6" t="s">
        <v>17712</v>
      </c>
      <c r="AL2553" s="6" t="s">
        <v>18444</v>
      </c>
      <c r="AM2553" s="6" t="s">
        <v>18645</v>
      </c>
      <c r="AN2553" s="6" t="s">
        <v>19642</v>
      </c>
      <c r="AO2553" s="6" t="s">
        <v>19728</v>
      </c>
      <c r="AP2553" s="6" t="s">
        <v>17088</v>
      </c>
      <c r="AQ2553" s="6" t="s">
        <v>81</v>
      </c>
      <c r="AR2553" s="6" t="s">
        <v>17485</v>
      </c>
      <c r="AS2553" s="6" t="s">
        <v>17712</v>
      </c>
      <c r="AT2553" s="6" t="s">
        <v>18444</v>
      </c>
      <c r="AU2553" s="6" t="s">
        <v>18645</v>
      </c>
      <c r="AV2553" s="6" t="s">
        <v>81</v>
      </c>
      <c r="AW2553" s="6" t="s">
        <v>81</v>
      </c>
      <c r="AX2553" s="6" t="s">
        <v>20893</v>
      </c>
      <c r="AY2553" s="6" t="s">
        <v>81</v>
      </c>
      <c r="AZ2553" s="6" t="s">
        <v>81</v>
      </c>
      <c r="BA2553" s="6" t="s">
        <v>81</v>
      </c>
      <c r="BB2553" s="24" t="n">
        <v>91</v>
      </c>
      <c r="BC2553" s="26"/>
      <c r="BD2553" s="26"/>
      <c r="BE2553" s="26"/>
      <c r="BF2553" s="26" t="s">
        <v>23900</v>
      </c>
      <c r="BG2553" s="26"/>
      <c r="BH2553" s="26"/>
      <c r="BI2553" s="26"/>
      <c r="BJ2553" s="26"/>
      <c r="BK2553" s="26"/>
      <c r="BL2553" s="26"/>
      <c r="BM2553" s="26"/>
      <c r="BN2553" s="26"/>
      <c r="BO2553" s="26"/>
      <c r="BP2553" s="16" t="n">
        <v>45595</v>
      </c>
      <c r="BQ2553" s="28" t="str">
        <f>HYPERLINK("https://organic.ams.usda.gov/Integrity/Certificate.aspx?cid=57&amp;nopid=3252020100")</f>
        <v>https://organic.ams.usda.gov/Integrity/Certificate.aspx?cid=57&amp;nopid=3252020100</v>
      </c>
    </row>
    <row r="2554">
      <c r="A2554" t="s">
        <v>3</v>
      </c>
      <c r="B2554" s="6" t="s">
        <v>7</v>
      </c>
      <c r="C2554" s="6" t="s">
        <v>54</v>
      </c>
      <c r="D2554" s="6" t="s">
        <v>100</v>
      </c>
      <c r="E2554" s="10" t="s">
        <v>2695</v>
      </c>
      <c r="F2554" s="6" t="s">
        <v>5399</v>
      </c>
      <c r="G2554" s="6" t="s">
        <v>81</v>
      </c>
      <c r="H2554" s="6" t="s">
        <v>8217</v>
      </c>
      <c r="I2554" s="6" t="s">
        <v>9412</v>
      </c>
      <c r="J2554" s="6" t="s">
        <v>9671</v>
      </c>
      <c r="K2554" s="6" t="s">
        <v>10886</v>
      </c>
      <c r="L2554" s="16" t="n">
        <v>44365</v>
      </c>
      <c r="M2554" s="16" t="n">
        <v>45716</v>
      </c>
      <c r="N2554" s="6" t="s">
        <v>10886</v>
      </c>
      <c r="O2554" s="16" t="n">
        <v>44365</v>
      </c>
      <c r="P2554" s="6" t="s">
        <v>12315</v>
      </c>
      <c r="Q2554" s="6" t="s">
        <v>81</v>
      </c>
      <c r="R2554" s="6" t="s">
        <v>81</v>
      </c>
      <c r="S2554" s="6" t="s">
        <v>10886</v>
      </c>
      <c r="T2554" s="16" t="n">
        <v>44365</v>
      </c>
      <c r="U2554" s="6" t="s">
        <v>13169</v>
      </c>
      <c r="V2554" s="6" t="s">
        <v>81</v>
      </c>
      <c r="W2554" s="6" t="s">
        <v>81</v>
      </c>
      <c r="X2554" s="6" t="s">
        <v>81</v>
      </c>
      <c r="Y2554" s="21" t="s">
        <v>81</v>
      </c>
      <c r="Z2554" s="6" t="s">
        <v>81</v>
      </c>
      <c r="AA2554" s="6" t="s">
        <v>81</v>
      </c>
      <c r="AB2554" s="6" t="s">
        <v>81</v>
      </c>
      <c r="AC2554" s="6" t="s">
        <v>81</v>
      </c>
      <c r="AD2554" s="21" t="s">
        <v>81</v>
      </c>
      <c r="AE2554" s="6" t="s">
        <v>81</v>
      </c>
      <c r="AF2554" s="6" t="s">
        <v>81</v>
      </c>
      <c r="AG2554" s="6" t="s">
        <v>81</v>
      </c>
      <c r="AH2554" s="6" t="s">
        <v>17089</v>
      </c>
      <c r="AI2554" s="6" t="s">
        <v>81</v>
      </c>
      <c r="AJ2554" s="6" t="s">
        <v>17490</v>
      </c>
      <c r="AK2554" s="6" t="s">
        <v>17712</v>
      </c>
      <c r="AL2554" s="6" t="s">
        <v>18444</v>
      </c>
      <c r="AM2554" s="6" t="s">
        <v>18650</v>
      </c>
      <c r="AN2554" s="6" t="s">
        <v>19635</v>
      </c>
      <c r="AO2554" s="6" t="s">
        <v>19795</v>
      </c>
      <c r="AP2554" s="6" t="s">
        <v>17089</v>
      </c>
      <c r="AQ2554" s="6" t="s">
        <v>81</v>
      </c>
      <c r="AR2554" s="6" t="s">
        <v>17490</v>
      </c>
      <c r="AS2554" s="6" t="s">
        <v>17712</v>
      </c>
      <c r="AT2554" s="6" t="s">
        <v>18444</v>
      </c>
      <c r="AU2554" s="6" t="s">
        <v>18650</v>
      </c>
      <c r="AV2554" s="6" t="s">
        <v>81</v>
      </c>
      <c r="AW2554" s="6" t="s">
        <v>81</v>
      </c>
      <c r="AX2554" s="6" t="s">
        <v>81</v>
      </c>
      <c r="AY2554" s="6" t="s">
        <v>81</v>
      </c>
      <c r="AZ2554" s="6" t="s">
        <v>81</v>
      </c>
      <c r="BA2554" s="6" t="s">
        <v>81</v>
      </c>
      <c r="BB2554" s="24" t="n">
        <v>116</v>
      </c>
      <c r="BC2554" s="26"/>
      <c r="BD2554" s="26"/>
      <c r="BE2554" s="26"/>
      <c r="BF2554" s="26" t="s">
        <v>23900</v>
      </c>
      <c r="BG2554" s="26"/>
      <c r="BH2554" s="26"/>
      <c r="BI2554" s="26"/>
      <c r="BJ2554" s="26"/>
      <c r="BK2554" s="26"/>
      <c r="BL2554" s="26"/>
      <c r="BM2554" s="26"/>
      <c r="BN2554" s="26"/>
      <c r="BO2554" s="26"/>
      <c r="BP2554" s="16" t="n">
        <v>45672</v>
      </c>
      <c r="BQ2554" s="28" t="str">
        <f>HYPERLINK("https://organic.ams.usda.gov/Integrity/Certificate.aspx?cid=57&amp;nopid=3252021073")</f>
        <v>https://organic.ams.usda.gov/Integrity/Certificate.aspx?cid=57&amp;nopid=3252021073</v>
      </c>
    </row>
    <row r="2555">
      <c r="A2555" t="s">
        <v>3</v>
      </c>
      <c r="B2555" s="6" t="s">
        <v>13</v>
      </c>
      <c r="C2555" s="6" t="s">
        <v>60</v>
      </c>
      <c r="D2555" s="6" t="s">
        <v>106</v>
      </c>
      <c r="E2555" s="10" t="s">
        <v>2696</v>
      </c>
      <c r="F2555" s="6" t="s">
        <v>5400</v>
      </c>
      <c r="G2555" s="6" t="s">
        <v>81</v>
      </c>
      <c r="H2555" s="6" t="s">
        <v>8218</v>
      </c>
      <c r="I2555" s="6" t="s">
        <v>9591</v>
      </c>
      <c r="J2555" s="6" t="s">
        <v>9752</v>
      </c>
      <c r="K2555" s="6" t="s">
        <v>10886</v>
      </c>
      <c r="L2555" s="16" t="n">
        <v>42348</v>
      </c>
      <c r="M2555" s="16" t="n">
        <v>45748</v>
      </c>
      <c r="N2555" s="6" t="s">
        <v>10886</v>
      </c>
      <c r="O2555" s="16" t="n">
        <v>42348</v>
      </c>
      <c r="P2555" s="6" t="s">
        <v>12316</v>
      </c>
      <c r="Q2555" s="6" t="s">
        <v>81</v>
      </c>
      <c r="R2555" s="6" t="s">
        <v>13111</v>
      </c>
      <c r="S2555" s="6" t="s">
        <v>10886</v>
      </c>
      <c r="T2555" s="16" t="n">
        <v>42374</v>
      </c>
      <c r="U2555" s="6" t="s">
        <v>13910</v>
      </c>
      <c r="V2555" s="6" t="s">
        <v>81</v>
      </c>
      <c r="W2555" s="6" t="s">
        <v>13111</v>
      </c>
      <c r="X2555" s="6" t="s">
        <v>81</v>
      </c>
      <c r="Y2555" s="21" t="s">
        <v>81</v>
      </c>
      <c r="Z2555" s="6" t="s">
        <v>81</v>
      </c>
      <c r="AA2555" s="6" t="s">
        <v>81</v>
      </c>
      <c r="AB2555" s="6" t="s">
        <v>81</v>
      </c>
      <c r="AC2555" s="6" t="s">
        <v>81</v>
      </c>
      <c r="AD2555" s="21" t="s">
        <v>81</v>
      </c>
      <c r="AE2555" s="6" t="s">
        <v>81</v>
      </c>
      <c r="AF2555" s="6" t="s">
        <v>81</v>
      </c>
      <c r="AG2555" s="6" t="s">
        <v>81</v>
      </c>
      <c r="AH2555" s="6" t="s">
        <v>17090</v>
      </c>
      <c r="AI2555" s="6" t="s">
        <v>81</v>
      </c>
      <c r="AJ2555" s="6" t="s">
        <v>17857</v>
      </c>
      <c r="AK2555" s="6" t="s">
        <v>17759</v>
      </c>
      <c r="AL2555" s="6" t="s">
        <v>18444</v>
      </c>
      <c r="AM2555" s="6" t="s">
        <v>19079</v>
      </c>
      <c r="AN2555" s="6" t="s">
        <v>19651</v>
      </c>
      <c r="AO2555" s="6" t="s">
        <v>19971</v>
      </c>
      <c r="AP2555" s="6" t="s">
        <v>17090</v>
      </c>
      <c r="AQ2555" s="6" t="s">
        <v>81</v>
      </c>
      <c r="AR2555" s="6" t="s">
        <v>17857</v>
      </c>
      <c r="AS2555" s="6" t="s">
        <v>17759</v>
      </c>
      <c r="AT2555" s="6" t="s">
        <v>18444</v>
      </c>
      <c r="AU2555" s="6" t="s">
        <v>19079</v>
      </c>
      <c r="AV2555" s="6" t="s">
        <v>81</v>
      </c>
      <c r="AW2555" s="6" t="s">
        <v>81</v>
      </c>
      <c r="AX2555" s="6" t="s">
        <v>22423</v>
      </c>
      <c r="AY2555" s="6" t="s">
        <v>81</v>
      </c>
      <c r="AZ2555" s="6" t="s">
        <v>81</v>
      </c>
      <c r="BA2555" s="6" t="s">
        <v>81</v>
      </c>
      <c r="BB2555" s="24" t="n">
        <v>259</v>
      </c>
      <c r="BC2555" s="26"/>
      <c r="BD2555" s="26"/>
      <c r="BE2555" s="26"/>
      <c r="BF2555" s="26" t="s">
        <v>23900</v>
      </c>
      <c r="BG2555" s="26"/>
      <c r="BH2555" s="26"/>
      <c r="BI2555" s="26"/>
      <c r="BJ2555" s="26"/>
      <c r="BK2555" s="26"/>
      <c r="BL2555" s="26"/>
      <c r="BM2555" s="26"/>
      <c r="BN2555" s="26"/>
      <c r="BO2555" s="26"/>
      <c r="BP2555" s="16" t="n">
        <v>45663</v>
      </c>
      <c r="BQ2555" s="28" t="str">
        <f>HYPERLINK("https://organic.ams.usda.gov/Integrity/Certificate.aspx?cid=72&amp;nopid=5870002228")</f>
        <v>https://organic.ams.usda.gov/Integrity/Certificate.aspx?cid=72&amp;nopid=5870002228</v>
      </c>
    </row>
    <row r="2556">
      <c r="A2556" t="s">
        <v>3</v>
      </c>
      <c r="B2556" s="6" t="s">
        <v>17</v>
      </c>
      <c r="C2556" s="6" t="s">
        <v>64</v>
      </c>
      <c r="D2556" s="6" t="s">
        <v>110</v>
      </c>
      <c r="E2556" s="10" t="s">
        <v>2697</v>
      </c>
      <c r="F2556" s="6" t="s">
        <v>5401</v>
      </c>
      <c r="G2556" s="6" t="s">
        <v>81</v>
      </c>
      <c r="H2556" s="6" t="s">
        <v>8219</v>
      </c>
      <c r="I2556" s="6" t="s">
        <v>8616</v>
      </c>
      <c r="J2556" s="6" t="s">
        <v>9665</v>
      </c>
      <c r="K2556" s="6" t="s">
        <v>10886</v>
      </c>
      <c r="L2556" s="16" t="n">
        <v>39080</v>
      </c>
      <c r="M2556" s="16" t="n">
        <v>45762</v>
      </c>
      <c r="N2556" s="6" t="s">
        <v>10886</v>
      </c>
      <c r="O2556" s="16" t="n">
        <v>39080</v>
      </c>
      <c r="P2556" s="6" t="s">
        <v>12317</v>
      </c>
      <c r="Q2556" s="6" t="s">
        <v>81</v>
      </c>
      <c r="R2556" s="6" t="s">
        <v>8219</v>
      </c>
      <c r="S2556" s="6" t="s">
        <v>10886</v>
      </c>
      <c r="T2556" s="16" t="n">
        <v>39080</v>
      </c>
      <c r="U2556" s="6" t="s">
        <v>13911</v>
      </c>
      <c r="V2556" s="6" t="s">
        <v>81</v>
      </c>
      <c r="W2556" s="6" t="s">
        <v>8219</v>
      </c>
      <c r="X2556" s="6" t="s">
        <v>81</v>
      </c>
      <c r="Y2556" s="21" t="s">
        <v>81</v>
      </c>
      <c r="Z2556" s="6" t="s">
        <v>81</v>
      </c>
      <c r="AA2556" s="6" t="s">
        <v>81</v>
      </c>
      <c r="AB2556" s="6" t="s">
        <v>81</v>
      </c>
      <c r="AC2556" s="6" t="s">
        <v>81</v>
      </c>
      <c r="AD2556" s="21" t="s">
        <v>81</v>
      </c>
      <c r="AE2556" s="6" t="s">
        <v>81</v>
      </c>
      <c r="AF2556" s="6" t="s">
        <v>81</v>
      </c>
      <c r="AG2556" s="6" t="s">
        <v>81</v>
      </c>
      <c r="AH2556" s="6" t="s">
        <v>17091</v>
      </c>
      <c r="AI2556" s="6" t="s">
        <v>81</v>
      </c>
      <c r="AJ2556" s="6" t="s">
        <v>17426</v>
      </c>
      <c r="AK2556" s="6" t="s">
        <v>18384</v>
      </c>
      <c r="AL2556" s="6" t="s">
        <v>18444</v>
      </c>
      <c r="AM2556" s="6" t="s">
        <v>18583</v>
      </c>
      <c r="AN2556" s="6" t="s">
        <v>19675</v>
      </c>
      <c r="AO2556" s="6" t="s">
        <v>19721</v>
      </c>
      <c r="AP2556" s="6" t="s">
        <v>17091</v>
      </c>
      <c r="AQ2556" s="6" t="s">
        <v>81</v>
      </c>
      <c r="AR2556" s="6" t="s">
        <v>17426</v>
      </c>
      <c r="AS2556" s="6" t="s">
        <v>18384</v>
      </c>
      <c r="AT2556" s="6" t="s">
        <v>18444</v>
      </c>
      <c r="AU2556" s="6" t="s">
        <v>18583</v>
      </c>
      <c r="AV2556" s="6" t="s">
        <v>81</v>
      </c>
      <c r="AW2556" s="6" t="s">
        <v>81</v>
      </c>
      <c r="AX2556" s="6" t="s">
        <v>81</v>
      </c>
      <c r="AY2556" s="6" t="s">
        <v>81</v>
      </c>
      <c r="AZ2556" s="6" t="s">
        <v>81</v>
      </c>
      <c r="BA2556" s="6" t="s">
        <v>81</v>
      </c>
      <c r="BB2556" s="24" t="n">
        <v>114</v>
      </c>
      <c r="BC2556" s="26"/>
      <c r="BD2556" s="26"/>
      <c r="BE2556" s="26"/>
      <c r="BF2556" s="26" t="s">
        <v>23900</v>
      </c>
      <c r="BG2556" s="26"/>
      <c r="BH2556" s="26"/>
      <c r="BI2556" s="26"/>
      <c r="BJ2556" s="26"/>
      <c r="BK2556" s="26"/>
      <c r="BL2556" s="26"/>
      <c r="BM2556" s="26"/>
      <c r="BN2556" s="26"/>
      <c r="BO2556" s="26"/>
      <c r="BP2556" s="16" t="n">
        <v>45707</v>
      </c>
      <c r="BQ2556" s="28" t="str">
        <f>HYPERLINK("https://organic.ams.usda.gov/Integrity/Certificate.aspx?cid=36&amp;nopid=5400000362")</f>
        <v>https://organic.ams.usda.gov/Integrity/Certificate.aspx?cid=36&amp;nopid=5400000362</v>
      </c>
    </row>
    <row r="2557">
      <c r="A2557" t="s">
        <v>3</v>
      </c>
      <c r="B2557" s="6" t="s">
        <v>24</v>
      </c>
      <c r="C2557" s="6" t="s">
        <v>71</v>
      </c>
      <c r="D2557" s="6" t="s">
        <v>117</v>
      </c>
      <c r="E2557" s="10" t="s">
        <v>2698</v>
      </c>
      <c r="F2557" s="6" t="s">
        <v>5402</v>
      </c>
      <c r="G2557" s="6" t="s">
        <v>81</v>
      </c>
      <c r="H2557" s="6" t="s">
        <v>81</v>
      </c>
      <c r="I2557" s="6" t="s">
        <v>8861</v>
      </c>
      <c r="J2557" s="6" t="s">
        <v>10807</v>
      </c>
      <c r="K2557" s="6" t="s">
        <v>10886</v>
      </c>
      <c r="L2557" s="16" t="n">
        <v>44666</v>
      </c>
      <c r="M2557" s="16" t="n">
        <v>45901</v>
      </c>
      <c r="N2557" s="6" t="s">
        <v>10886</v>
      </c>
      <c r="O2557" s="16" t="n">
        <v>45092</v>
      </c>
      <c r="P2557" s="6" t="s">
        <v>11142</v>
      </c>
      <c r="Q2557" s="6" t="s">
        <v>81</v>
      </c>
      <c r="R2557" s="6" t="s">
        <v>81</v>
      </c>
      <c r="S2557" s="6" t="s">
        <v>10886</v>
      </c>
      <c r="T2557" s="16" t="n">
        <v>44666</v>
      </c>
      <c r="U2557" s="6" t="s">
        <v>13297</v>
      </c>
      <c r="V2557" s="6" t="s">
        <v>81</v>
      </c>
      <c r="W2557" s="6" t="s">
        <v>81</v>
      </c>
      <c r="X2557" s="6" t="s">
        <v>81</v>
      </c>
      <c r="Y2557" s="21" t="s">
        <v>81</v>
      </c>
      <c r="Z2557" s="6" t="s">
        <v>81</v>
      </c>
      <c r="AA2557" s="6" t="s">
        <v>81</v>
      </c>
      <c r="AB2557" s="6" t="s">
        <v>81</v>
      </c>
      <c r="AC2557" s="6" t="s">
        <v>10886</v>
      </c>
      <c r="AD2557" s="16" t="n">
        <v>44666</v>
      </c>
      <c r="AE2557" s="6" t="s">
        <v>14014</v>
      </c>
      <c r="AF2557" s="6" t="s">
        <v>81</v>
      </c>
      <c r="AG2557" s="6" t="s">
        <v>81</v>
      </c>
      <c r="AH2557" s="6" t="s">
        <v>17092</v>
      </c>
      <c r="AI2557" s="6" t="s">
        <v>81</v>
      </c>
      <c r="AJ2557" s="6" t="s">
        <v>17514</v>
      </c>
      <c r="AK2557" s="6" t="s">
        <v>18404</v>
      </c>
      <c r="AL2557" s="6" t="s">
        <v>18444</v>
      </c>
      <c r="AM2557" s="6" t="s">
        <v>18679</v>
      </c>
      <c r="AN2557" s="6" t="s">
        <v>19684</v>
      </c>
      <c r="AO2557" s="6" t="s">
        <v>19829</v>
      </c>
      <c r="AP2557" s="6" t="s">
        <v>17092</v>
      </c>
      <c r="AQ2557" s="6" t="s">
        <v>81</v>
      </c>
      <c r="AR2557" s="6" t="s">
        <v>17514</v>
      </c>
      <c r="AS2557" s="6" t="s">
        <v>18404</v>
      </c>
      <c r="AT2557" s="6" t="s">
        <v>18444</v>
      </c>
      <c r="AU2557" s="6" t="s">
        <v>18679</v>
      </c>
      <c r="AV2557" s="6" t="s">
        <v>81</v>
      </c>
      <c r="AW2557" s="6" t="s">
        <v>81</v>
      </c>
      <c r="AX2557" s="6" t="s">
        <v>81</v>
      </c>
      <c r="AY2557" s="6" t="s">
        <v>23482</v>
      </c>
      <c r="AZ2557" s="6" t="s">
        <v>81</v>
      </c>
      <c r="BA2557" s="6" t="s">
        <v>81</v>
      </c>
      <c r="BB2557" s="24" t="n">
        <v>221</v>
      </c>
      <c r="BC2557" s="26"/>
      <c r="BD2557" s="26"/>
      <c r="BE2557" s="26"/>
      <c r="BF2557" s="26"/>
      <c r="BG2557" s="26"/>
      <c r="BH2557" s="26"/>
      <c r="BI2557" s="26"/>
      <c r="BJ2557" s="26"/>
      <c r="BK2557" s="26"/>
      <c r="BL2557" s="26"/>
      <c r="BM2557" s="26"/>
      <c r="BN2557" s="26"/>
      <c r="BO2557" s="26"/>
      <c r="BP2557" s="16" t="n">
        <v>45628</v>
      </c>
      <c r="BQ2557" s="28" t="str">
        <f>HYPERLINK("https://organic.ams.usda.gov/Integrity/Certificate.aspx?cid=1&amp;nopid=9092201804")</f>
        <v>https://organic.ams.usda.gov/Integrity/Certificate.aspx?cid=1&amp;nopid=9092201804</v>
      </c>
    </row>
    <row r="2558">
      <c r="A2558" t="s">
        <v>3</v>
      </c>
      <c r="B2558" s="6" t="s">
        <v>25</v>
      </c>
      <c r="C2558" s="6" t="s">
        <v>72</v>
      </c>
      <c r="D2558" s="6" t="s">
        <v>118</v>
      </c>
      <c r="E2558" s="10" t="s">
        <v>2699</v>
      </c>
      <c r="F2558" s="6" t="s">
        <v>5403</v>
      </c>
      <c r="G2558" s="6" t="s">
        <v>81</v>
      </c>
      <c r="H2558" s="6" t="s">
        <v>8220</v>
      </c>
      <c r="I2558" s="6" t="s">
        <v>8651</v>
      </c>
      <c r="J2558" s="6" t="s">
        <v>10808</v>
      </c>
      <c r="K2558" s="6" t="s">
        <v>10886</v>
      </c>
      <c r="L2558" s="16" t="n">
        <v>39307</v>
      </c>
      <c r="M2558" s="16" t="n">
        <v>46023</v>
      </c>
      <c r="N2558" s="6" t="s">
        <v>10886</v>
      </c>
      <c r="O2558" s="16" t="n">
        <v>39307</v>
      </c>
      <c r="P2558" s="6" t="s">
        <v>81</v>
      </c>
      <c r="Q2558" s="6" t="s">
        <v>81</v>
      </c>
      <c r="R2558" s="6" t="s">
        <v>81</v>
      </c>
      <c r="S2558" s="6" t="s">
        <v>10886</v>
      </c>
      <c r="T2558" s="16" t="n">
        <v>39307</v>
      </c>
      <c r="U2558" s="6" t="s">
        <v>13912</v>
      </c>
      <c r="V2558" s="6" t="s">
        <v>81</v>
      </c>
      <c r="W2558" s="6" t="s">
        <v>81</v>
      </c>
      <c r="X2558" s="6" t="s">
        <v>81</v>
      </c>
      <c r="Y2558" s="21" t="s">
        <v>81</v>
      </c>
      <c r="Z2558" s="6" t="s">
        <v>81</v>
      </c>
      <c r="AA2558" s="6" t="s">
        <v>81</v>
      </c>
      <c r="AB2558" s="6" t="s">
        <v>81</v>
      </c>
      <c r="AC2558" s="6" t="s">
        <v>10886</v>
      </c>
      <c r="AD2558" s="16" t="n">
        <v>44733</v>
      </c>
      <c r="AE2558" s="6" t="s">
        <v>14472</v>
      </c>
      <c r="AF2558" s="6" t="s">
        <v>81</v>
      </c>
      <c r="AG2558" s="6" t="s">
        <v>81</v>
      </c>
      <c r="AH2558" s="6" t="s">
        <v>17093</v>
      </c>
      <c r="AI2558" s="6" t="s">
        <v>81</v>
      </c>
      <c r="AJ2558" s="6" t="s">
        <v>17506</v>
      </c>
      <c r="AK2558" s="6" t="s">
        <v>18386</v>
      </c>
      <c r="AL2558" s="6" t="s">
        <v>18444</v>
      </c>
      <c r="AM2558" s="6" t="s">
        <v>18667</v>
      </c>
      <c r="AN2558" s="6" t="s">
        <v>19651</v>
      </c>
      <c r="AO2558" s="6" t="s">
        <v>19864</v>
      </c>
      <c r="AP2558" s="6" t="s">
        <v>17093</v>
      </c>
      <c r="AQ2558" s="6" t="s">
        <v>81</v>
      </c>
      <c r="AR2558" s="6" t="s">
        <v>17506</v>
      </c>
      <c r="AS2558" s="6" t="s">
        <v>18386</v>
      </c>
      <c r="AT2558" s="6" t="s">
        <v>18444</v>
      </c>
      <c r="AU2558" s="6" t="s">
        <v>18667</v>
      </c>
      <c r="AV2558" s="6" t="s">
        <v>81</v>
      </c>
      <c r="AW2558" s="6" t="s">
        <v>81</v>
      </c>
      <c r="AX2558" s="6" t="s">
        <v>22424</v>
      </c>
      <c r="AY2558" s="6" t="s">
        <v>23483</v>
      </c>
      <c r="AZ2558" s="6" t="s">
        <v>81</v>
      </c>
      <c r="BA2558" s="6" t="s">
        <v>81</v>
      </c>
      <c r="BB2558" s="24" t="n">
        <v>0</v>
      </c>
      <c r="BC2558" s="26"/>
      <c r="BD2558" s="26"/>
      <c r="BE2558" s="26"/>
      <c r="BF2558" s="26"/>
      <c r="BG2558" s="26"/>
      <c r="BH2558" s="26"/>
      <c r="BI2558" s="26"/>
      <c r="BJ2558" s="26"/>
      <c r="BK2558" s="26"/>
      <c r="BL2558" s="26"/>
      <c r="BM2558" s="26"/>
      <c r="BN2558" s="26"/>
      <c r="BO2558" s="26"/>
      <c r="BP2558" s="16" t="n">
        <v>45667</v>
      </c>
      <c r="BQ2558" s="28" t="str">
        <f>HYPERLINK("https://organic.ams.usda.gov/Integrity/Certificate.aspx?cid=15&amp;nopid=5561001004")</f>
        <v>https://organic.ams.usda.gov/Integrity/Certificate.aspx?cid=15&amp;nopid=5561001004</v>
      </c>
    </row>
    <row r="2559">
      <c r="A2559" t="s">
        <v>3</v>
      </c>
      <c r="B2559" s="6" t="s">
        <v>8</v>
      </c>
      <c r="C2559" s="6" t="s">
        <v>55</v>
      </c>
      <c r="D2559" s="6" t="s">
        <v>101</v>
      </c>
      <c r="E2559" s="10" t="s">
        <v>2700</v>
      </c>
      <c r="F2559" s="6" t="s">
        <v>5404</v>
      </c>
      <c r="G2559" s="6" t="s">
        <v>81</v>
      </c>
      <c r="H2559" s="6" t="s">
        <v>6062</v>
      </c>
      <c r="I2559" s="6" t="s">
        <v>8451</v>
      </c>
      <c r="J2559" s="6" t="s">
        <v>10809</v>
      </c>
      <c r="K2559" s="6" t="s">
        <v>10886</v>
      </c>
      <c r="L2559" s="16" t="n">
        <v>37402</v>
      </c>
      <c r="M2559" s="16" t="n">
        <v>45383</v>
      </c>
      <c r="N2559" s="6" t="s">
        <v>10886</v>
      </c>
      <c r="O2559" s="16" t="n">
        <v>37402</v>
      </c>
      <c r="P2559" s="6" t="s">
        <v>12318</v>
      </c>
      <c r="Q2559" s="6" t="s">
        <v>81</v>
      </c>
      <c r="R2559" s="6" t="s">
        <v>6062</v>
      </c>
      <c r="S2559" s="6" t="s">
        <v>81</v>
      </c>
      <c r="T2559" s="21" t="s">
        <v>81</v>
      </c>
      <c r="U2559" s="6" t="s">
        <v>81</v>
      </c>
      <c r="V2559" s="6" t="s">
        <v>81</v>
      </c>
      <c r="W2559" s="6" t="s">
        <v>81</v>
      </c>
      <c r="X2559" s="6" t="s">
        <v>81</v>
      </c>
      <c r="Y2559" s="21" t="s">
        <v>81</v>
      </c>
      <c r="Z2559" s="6" t="s">
        <v>81</v>
      </c>
      <c r="AA2559" s="6" t="s">
        <v>81</v>
      </c>
      <c r="AB2559" s="6" t="s">
        <v>81</v>
      </c>
      <c r="AC2559" s="6" t="s">
        <v>10886</v>
      </c>
      <c r="AD2559" s="16" t="n">
        <v>37402</v>
      </c>
      <c r="AE2559" s="6" t="s">
        <v>14473</v>
      </c>
      <c r="AF2559" s="6" t="s">
        <v>81</v>
      </c>
      <c r="AG2559" s="6" t="s">
        <v>6062</v>
      </c>
      <c r="AH2559" s="6" t="s">
        <v>17094</v>
      </c>
      <c r="AI2559" s="6" t="s">
        <v>81</v>
      </c>
      <c r="AJ2559" s="6" t="s">
        <v>18327</v>
      </c>
      <c r="AK2559" s="6" t="s">
        <v>18377</v>
      </c>
      <c r="AL2559" s="6" t="s">
        <v>18444</v>
      </c>
      <c r="AM2559" s="6" t="s">
        <v>19568</v>
      </c>
      <c r="AN2559" s="6" t="s">
        <v>19669</v>
      </c>
      <c r="AO2559" s="6" t="s">
        <v>19913</v>
      </c>
      <c r="AP2559" s="6" t="s">
        <v>17094</v>
      </c>
      <c r="AQ2559" s="6" t="s">
        <v>81</v>
      </c>
      <c r="AR2559" s="6" t="s">
        <v>18327</v>
      </c>
      <c r="AS2559" s="6" t="s">
        <v>18377</v>
      </c>
      <c r="AT2559" s="6" t="s">
        <v>18444</v>
      </c>
      <c r="AU2559" s="6" t="s">
        <v>19568</v>
      </c>
      <c r="AV2559" s="6" t="s">
        <v>81</v>
      </c>
      <c r="AW2559" s="6" t="s">
        <v>81</v>
      </c>
      <c r="AX2559" s="6" t="s">
        <v>22425</v>
      </c>
      <c r="AY2559" s="6" t="s">
        <v>23484</v>
      </c>
      <c r="AZ2559" s="6" t="s">
        <v>23796</v>
      </c>
      <c r="BA2559" s="6" t="s">
        <v>23890</v>
      </c>
      <c r="BB2559" s="24" t="n">
        <v>15</v>
      </c>
      <c r="BC2559" s="26"/>
      <c r="BD2559" s="26"/>
      <c r="BE2559" s="26"/>
      <c r="BF2559" s="26"/>
      <c r="BG2559" s="26" t="s">
        <v>23900</v>
      </c>
      <c r="BH2559" s="26"/>
      <c r="BI2559" s="26"/>
      <c r="BJ2559" s="26"/>
      <c r="BK2559" s="26"/>
      <c r="BL2559" s="26"/>
      <c r="BM2559" s="26"/>
      <c r="BN2559" s="26"/>
      <c r="BO2559" s="26"/>
      <c r="BP2559" s="16" t="n">
        <v>45587</v>
      </c>
      <c r="BQ2559" s="28" t="str">
        <f>HYPERLINK("https://organic.ams.usda.gov/Integrity/Certificate.aspx?cid=45&amp;nopid=9950000052")</f>
        <v>https://organic.ams.usda.gov/Integrity/Certificate.aspx?cid=45&amp;nopid=9950000052</v>
      </c>
    </row>
    <row r="2560">
      <c r="A2560" t="s">
        <v>3</v>
      </c>
      <c r="B2560" s="6" t="s">
        <v>8</v>
      </c>
      <c r="C2560" s="6" t="s">
        <v>55</v>
      </c>
      <c r="D2560" s="6" t="s">
        <v>101</v>
      </c>
      <c r="E2560" s="10" t="s">
        <v>2701</v>
      </c>
      <c r="F2560" s="6" t="s">
        <v>5405</v>
      </c>
      <c r="G2560" s="6" t="s">
        <v>81</v>
      </c>
      <c r="H2560" s="6" t="s">
        <v>8221</v>
      </c>
      <c r="I2560" s="6" t="s">
        <v>8706</v>
      </c>
      <c r="J2560" s="6" t="s">
        <v>10810</v>
      </c>
      <c r="K2560" s="6" t="s">
        <v>10886</v>
      </c>
      <c r="L2560" s="16" t="n">
        <v>43598</v>
      </c>
      <c r="M2560" s="16" t="n">
        <v>45689</v>
      </c>
      <c r="N2560" s="6" t="s">
        <v>10886</v>
      </c>
      <c r="O2560" s="16" t="n">
        <v>43598</v>
      </c>
      <c r="P2560" s="6" t="s">
        <v>12319</v>
      </c>
      <c r="Q2560" s="6" t="s">
        <v>81</v>
      </c>
      <c r="R2560" s="6" t="s">
        <v>8221</v>
      </c>
      <c r="S2560" s="6" t="s">
        <v>10886</v>
      </c>
      <c r="T2560" s="16" t="n">
        <v>43598</v>
      </c>
      <c r="U2560" s="6" t="s">
        <v>13242</v>
      </c>
      <c r="V2560" s="6" t="s">
        <v>81</v>
      </c>
      <c r="W2560" s="6" t="s">
        <v>8221</v>
      </c>
      <c r="X2560" s="6" t="s">
        <v>81</v>
      </c>
      <c r="Y2560" s="21" t="s">
        <v>81</v>
      </c>
      <c r="Z2560" s="6" t="s">
        <v>81</v>
      </c>
      <c r="AA2560" s="6" t="s">
        <v>81</v>
      </c>
      <c r="AB2560" s="6" t="s">
        <v>81</v>
      </c>
      <c r="AC2560" s="6" t="s">
        <v>81</v>
      </c>
      <c r="AD2560" s="21" t="s">
        <v>81</v>
      </c>
      <c r="AE2560" s="6" t="s">
        <v>81</v>
      </c>
      <c r="AF2560" s="6" t="s">
        <v>81</v>
      </c>
      <c r="AG2560" s="6" t="s">
        <v>81</v>
      </c>
      <c r="AH2560" s="6" t="s">
        <v>17095</v>
      </c>
      <c r="AI2560" s="6" t="s">
        <v>81</v>
      </c>
      <c r="AJ2560" s="6" t="s">
        <v>18024</v>
      </c>
      <c r="AK2560" s="6" t="s">
        <v>18377</v>
      </c>
      <c r="AL2560" s="6" t="s">
        <v>18444</v>
      </c>
      <c r="AM2560" s="6" t="s">
        <v>19214</v>
      </c>
      <c r="AN2560" s="6" t="s">
        <v>19634</v>
      </c>
      <c r="AO2560" s="6" t="s">
        <v>19764</v>
      </c>
      <c r="AP2560" s="6" t="s">
        <v>81</v>
      </c>
      <c r="AQ2560" s="6" t="s">
        <v>81</v>
      </c>
      <c r="AR2560" s="6" t="s">
        <v>81</v>
      </c>
      <c r="AS2560" s="6" t="s">
        <v>81</v>
      </c>
      <c r="AT2560" s="6" t="s">
        <v>81</v>
      </c>
      <c r="AU2560" s="6" t="s">
        <v>81</v>
      </c>
      <c r="AV2560" s="6" t="s">
        <v>81</v>
      </c>
      <c r="AW2560" s="6" t="s">
        <v>81</v>
      </c>
      <c r="AX2560" s="6" t="s">
        <v>81</v>
      </c>
      <c r="AY2560" s="6" t="s">
        <v>23485</v>
      </c>
      <c r="AZ2560" s="6" t="s">
        <v>81</v>
      </c>
      <c r="BA2560" s="6" t="s">
        <v>23819</v>
      </c>
      <c r="BB2560" s="24" t="n">
        <v>183</v>
      </c>
      <c r="BC2560" s="26"/>
      <c r="BD2560" s="26"/>
      <c r="BE2560" s="26"/>
      <c r="BF2560" s="26" t="s">
        <v>23900</v>
      </c>
      <c r="BG2560" s="26"/>
      <c r="BH2560" s="26"/>
      <c r="BI2560" s="26"/>
      <c r="BJ2560" s="26"/>
      <c r="BK2560" s="26"/>
      <c r="BL2560" s="26"/>
      <c r="BM2560" s="26"/>
      <c r="BN2560" s="26"/>
      <c r="BO2560" s="26"/>
      <c r="BP2560" s="16" t="n">
        <v>45695</v>
      </c>
      <c r="BQ2560" s="28" t="str">
        <f>HYPERLINK("https://organic.ams.usda.gov/Integrity/Certificate.aspx?cid=45&amp;nopid=9950009587")</f>
        <v>https://organic.ams.usda.gov/Integrity/Certificate.aspx?cid=45&amp;nopid=9950009587</v>
      </c>
    </row>
    <row r="2561">
      <c r="A2561" t="s">
        <v>3</v>
      </c>
      <c r="B2561" s="6" t="s">
        <v>7</v>
      </c>
      <c r="C2561" s="6" t="s">
        <v>54</v>
      </c>
      <c r="D2561" s="6" t="s">
        <v>100</v>
      </c>
      <c r="E2561" s="10" t="s">
        <v>2702</v>
      </c>
      <c r="F2561" s="6" t="s">
        <v>5406</v>
      </c>
      <c r="G2561" s="6" t="s">
        <v>81</v>
      </c>
      <c r="H2561" s="6" t="s">
        <v>8222</v>
      </c>
      <c r="I2561" s="6" t="s">
        <v>9138</v>
      </c>
      <c r="J2561" s="6" t="s">
        <v>10811</v>
      </c>
      <c r="K2561" s="6" t="s">
        <v>10886</v>
      </c>
      <c r="L2561" s="16" t="n">
        <v>42548</v>
      </c>
      <c r="M2561" s="16" t="n">
        <v>46037</v>
      </c>
      <c r="N2561" s="6" t="s">
        <v>10886</v>
      </c>
      <c r="O2561" s="16" t="n">
        <v>42548</v>
      </c>
      <c r="P2561" s="6" t="s">
        <v>12320</v>
      </c>
      <c r="Q2561" s="6" t="s">
        <v>81</v>
      </c>
      <c r="R2561" s="6" t="s">
        <v>81</v>
      </c>
      <c r="S2561" s="6" t="s">
        <v>10886</v>
      </c>
      <c r="T2561" s="16" t="n">
        <v>42856</v>
      </c>
      <c r="U2561" s="6" t="s">
        <v>13169</v>
      </c>
      <c r="V2561" s="6" t="s">
        <v>81</v>
      </c>
      <c r="W2561" s="6" t="s">
        <v>81</v>
      </c>
      <c r="X2561" s="6" t="s">
        <v>81</v>
      </c>
      <c r="Y2561" s="21" t="s">
        <v>81</v>
      </c>
      <c r="Z2561" s="6" t="s">
        <v>81</v>
      </c>
      <c r="AA2561" s="6" t="s">
        <v>81</v>
      </c>
      <c r="AB2561" s="6" t="s">
        <v>81</v>
      </c>
      <c r="AC2561" s="6" t="s">
        <v>10886</v>
      </c>
      <c r="AD2561" s="16" t="n">
        <v>44298</v>
      </c>
      <c r="AE2561" s="6" t="s">
        <v>14141</v>
      </c>
      <c r="AF2561" s="6" t="s">
        <v>81</v>
      </c>
      <c r="AG2561" s="6" t="s">
        <v>81</v>
      </c>
      <c r="AH2561" s="6" t="s">
        <v>17096</v>
      </c>
      <c r="AI2561" s="6" t="s">
        <v>81</v>
      </c>
      <c r="AJ2561" s="6" t="s">
        <v>17891</v>
      </c>
      <c r="AK2561" s="6" t="s">
        <v>17712</v>
      </c>
      <c r="AL2561" s="6" t="s">
        <v>18444</v>
      </c>
      <c r="AM2561" s="6" t="s">
        <v>19077</v>
      </c>
      <c r="AN2561" s="6" t="s">
        <v>19651</v>
      </c>
      <c r="AO2561" s="6" t="s">
        <v>19741</v>
      </c>
      <c r="AP2561" s="6" t="s">
        <v>17096</v>
      </c>
      <c r="AQ2561" s="6" t="s">
        <v>81</v>
      </c>
      <c r="AR2561" s="6" t="s">
        <v>17891</v>
      </c>
      <c r="AS2561" s="6" t="s">
        <v>17712</v>
      </c>
      <c r="AT2561" s="6" t="s">
        <v>18444</v>
      </c>
      <c r="AU2561" s="6" t="s">
        <v>19077</v>
      </c>
      <c r="AV2561" s="6" t="s">
        <v>81</v>
      </c>
      <c r="AW2561" s="6" t="s">
        <v>81</v>
      </c>
      <c r="AX2561" s="6" t="s">
        <v>22426</v>
      </c>
      <c r="AY2561" s="6" t="s">
        <v>23486</v>
      </c>
      <c r="AZ2561" s="6" t="s">
        <v>81</v>
      </c>
      <c r="BA2561" s="6" t="s">
        <v>81</v>
      </c>
      <c r="BB2561" s="24" t="n">
        <v>494</v>
      </c>
      <c r="BC2561" s="26"/>
      <c r="BD2561" s="26"/>
      <c r="BE2561" s="26"/>
      <c r="BF2561" s="26"/>
      <c r="BG2561" s="26"/>
      <c r="BH2561" s="26"/>
      <c r="BI2561" s="26"/>
      <c r="BJ2561" s="26"/>
      <c r="BK2561" s="26"/>
      <c r="BL2561" s="26"/>
      <c r="BM2561" s="26"/>
      <c r="BN2561" s="26"/>
      <c r="BO2561" s="26"/>
      <c r="BP2561" s="16" t="n">
        <v>45712</v>
      </c>
      <c r="BQ2561" s="28" t="str">
        <f>HYPERLINK("https://organic.ams.usda.gov/Integrity/Certificate.aspx?cid=57&amp;nopid=3252016072")</f>
        <v>https://organic.ams.usda.gov/Integrity/Certificate.aspx?cid=57&amp;nopid=3252016072</v>
      </c>
    </row>
    <row r="2562">
      <c r="A2562" t="s">
        <v>3</v>
      </c>
      <c r="B2562" s="6" t="s">
        <v>20</v>
      </c>
      <c r="C2562" s="6" t="s">
        <v>67</v>
      </c>
      <c r="D2562" s="6" t="s">
        <v>113</v>
      </c>
      <c r="E2562" s="10" t="s">
        <v>2703</v>
      </c>
      <c r="F2562" s="6" t="s">
        <v>5407</v>
      </c>
      <c r="G2562" s="6" t="s">
        <v>81</v>
      </c>
      <c r="H2562" s="6" t="s">
        <v>8223</v>
      </c>
      <c r="I2562" s="6" t="s">
        <v>9592</v>
      </c>
      <c r="J2562" s="6" t="s">
        <v>9685</v>
      </c>
      <c r="K2562" s="6" t="s">
        <v>10886</v>
      </c>
      <c r="L2562" s="16" t="n">
        <v>45554</v>
      </c>
      <c r="M2562" s="16" t="n">
        <v>45834</v>
      </c>
      <c r="N2562" s="6" t="s">
        <v>81</v>
      </c>
      <c r="O2562" s="21" t="s">
        <v>81</v>
      </c>
      <c r="P2562" s="6" t="s">
        <v>81</v>
      </c>
      <c r="Q2562" s="6" t="s">
        <v>81</v>
      </c>
      <c r="R2562" s="6" t="s">
        <v>81</v>
      </c>
      <c r="S2562" s="6" t="s">
        <v>81</v>
      </c>
      <c r="T2562" s="21" t="s">
        <v>81</v>
      </c>
      <c r="U2562" s="6" t="s">
        <v>81</v>
      </c>
      <c r="V2562" s="6" t="s">
        <v>81</v>
      </c>
      <c r="W2562" s="6" t="s">
        <v>81</v>
      </c>
      <c r="X2562" s="6" t="s">
        <v>81</v>
      </c>
      <c r="Y2562" s="21" t="s">
        <v>81</v>
      </c>
      <c r="Z2562" s="6" t="s">
        <v>81</v>
      </c>
      <c r="AA2562" s="6" t="s">
        <v>81</v>
      </c>
      <c r="AB2562" s="6" t="s">
        <v>81</v>
      </c>
      <c r="AC2562" s="6" t="s">
        <v>10886</v>
      </c>
      <c r="AD2562" s="16" t="n">
        <v>45554</v>
      </c>
      <c r="AE2562" s="6" t="s">
        <v>14474</v>
      </c>
      <c r="AF2562" s="6" t="s">
        <v>81</v>
      </c>
      <c r="AG2562" s="6" t="s">
        <v>14607</v>
      </c>
      <c r="AH2562" s="6" t="s">
        <v>17097</v>
      </c>
      <c r="AI2562" s="6" t="s">
        <v>17306</v>
      </c>
      <c r="AJ2562" s="6" t="s">
        <v>18328</v>
      </c>
      <c r="AK2562" s="6" t="s">
        <v>18385</v>
      </c>
      <c r="AL2562" s="6" t="s">
        <v>18444</v>
      </c>
      <c r="AM2562" s="6" t="s">
        <v>19569</v>
      </c>
      <c r="AN2562" s="6" t="s">
        <v>81</v>
      </c>
      <c r="AO2562" s="6" t="s">
        <v>81</v>
      </c>
      <c r="AP2562" s="6" t="s">
        <v>20452</v>
      </c>
      <c r="AQ2562" s="6" t="s">
        <v>81</v>
      </c>
      <c r="AR2562" s="6" t="s">
        <v>18328</v>
      </c>
      <c r="AS2562" s="6" t="s">
        <v>18385</v>
      </c>
      <c r="AT2562" s="6" t="s">
        <v>18444</v>
      </c>
      <c r="AU2562" s="6" t="s">
        <v>19569</v>
      </c>
      <c r="AV2562" s="6" t="s">
        <v>81</v>
      </c>
      <c r="AW2562" s="6" t="s">
        <v>81</v>
      </c>
      <c r="AX2562" s="6" t="s">
        <v>22427</v>
      </c>
      <c r="AY2562" s="6" t="s">
        <v>23487</v>
      </c>
      <c r="AZ2562" s="6" t="s">
        <v>23797</v>
      </c>
      <c r="BA2562" s="6" t="s">
        <v>81</v>
      </c>
      <c r="BB2562" s="6" t="s">
        <v>81</v>
      </c>
      <c r="BC2562" s="26"/>
      <c r="BD2562" s="26"/>
      <c r="BE2562" s="26"/>
      <c r="BF2562" s="26"/>
      <c r="BG2562" s="26"/>
      <c r="BH2562" s="26" t="s">
        <v>23900</v>
      </c>
      <c r="BI2562" s="26"/>
      <c r="BJ2562" s="26"/>
      <c r="BK2562" s="26"/>
      <c r="BL2562" s="26"/>
      <c r="BM2562" s="26"/>
      <c r="BN2562" s="26"/>
      <c r="BO2562" s="26"/>
      <c r="BP2562" s="16" t="n">
        <v>45737</v>
      </c>
      <c r="BQ2562" s="28" t="str">
        <f>HYPERLINK("https://organic.ams.usda.gov/Integrity/Certificate.aspx?cid=71&amp;nopid=5520813867")</f>
        <v>https://organic.ams.usda.gov/Integrity/Certificate.aspx?cid=71&amp;nopid=5520813867</v>
      </c>
    </row>
    <row r="2563">
      <c r="A2563" t="s">
        <v>3</v>
      </c>
      <c r="B2563" s="6" t="s">
        <v>29</v>
      </c>
      <c r="C2563" s="6" t="s">
        <v>76</v>
      </c>
      <c r="D2563" s="6" t="s">
        <v>122</v>
      </c>
      <c r="E2563" s="10" t="s">
        <v>2704</v>
      </c>
      <c r="F2563" s="6" t="s">
        <v>5408</v>
      </c>
      <c r="G2563" s="6" t="s">
        <v>5870</v>
      </c>
      <c r="H2563" s="6" t="s">
        <v>8224</v>
      </c>
      <c r="I2563" s="6" t="s">
        <v>9593</v>
      </c>
      <c r="J2563" s="6" t="s">
        <v>9672</v>
      </c>
      <c r="K2563" s="6" t="s">
        <v>10886</v>
      </c>
      <c r="L2563" s="16" t="n">
        <v>44186</v>
      </c>
      <c r="M2563" s="16" t="n">
        <v>45505</v>
      </c>
      <c r="N2563" s="6" t="s">
        <v>10886</v>
      </c>
      <c r="O2563" s="16" t="n">
        <v>44186</v>
      </c>
      <c r="P2563" s="6" t="s">
        <v>12321</v>
      </c>
      <c r="Q2563" s="6" t="s">
        <v>81</v>
      </c>
      <c r="R2563" s="6" t="s">
        <v>13112</v>
      </c>
      <c r="S2563" s="6" t="s">
        <v>10886</v>
      </c>
      <c r="T2563" s="16" t="n">
        <v>44186</v>
      </c>
      <c r="U2563" s="6" t="s">
        <v>13913</v>
      </c>
      <c r="V2563" s="6" t="s">
        <v>81</v>
      </c>
      <c r="W2563" s="6" t="s">
        <v>13112</v>
      </c>
      <c r="X2563" s="6" t="s">
        <v>81</v>
      </c>
      <c r="Y2563" s="21" t="s">
        <v>81</v>
      </c>
      <c r="Z2563" s="6" t="s">
        <v>81</v>
      </c>
      <c r="AA2563" s="6" t="s">
        <v>81</v>
      </c>
      <c r="AB2563" s="6" t="s">
        <v>81</v>
      </c>
      <c r="AC2563" s="6" t="s">
        <v>81</v>
      </c>
      <c r="AD2563" s="21" t="s">
        <v>81</v>
      </c>
      <c r="AE2563" s="6" t="s">
        <v>81</v>
      </c>
      <c r="AF2563" s="6" t="s">
        <v>81</v>
      </c>
      <c r="AG2563" s="6" t="s">
        <v>81</v>
      </c>
      <c r="AH2563" s="6" t="s">
        <v>17098</v>
      </c>
      <c r="AI2563" s="6" t="s">
        <v>81</v>
      </c>
      <c r="AJ2563" s="6" t="s">
        <v>17649</v>
      </c>
      <c r="AK2563" s="6" t="s">
        <v>18380</v>
      </c>
      <c r="AL2563" s="6" t="s">
        <v>18444</v>
      </c>
      <c r="AM2563" s="6" t="s">
        <v>18818</v>
      </c>
      <c r="AN2563" s="6" t="s">
        <v>19639</v>
      </c>
      <c r="AO2563" s="6" t="s">
        <v>19725</v>
      </c>
      <c r="AP2563" s="6" t="s">
        <v>81</v>
      </c>
      <c r="AQ2563" s="6" t="s">
        <v>81</v>
      </c>
      <c r="AR2563" s="6" t="s">
        <v>81</v>
      </c>
      <c r="AS2563" s="6" t="s">
        <v>81</v>
      </c>
      <c r="AT2563" s="6" t="s">
        <v>81</v>
      </c>
      <c r="AU2563" s="6" t="s">
        <v>81</v>
      </c>
      <c r="AV2563" s="6" t="s">
        <v>81</v>
      </c>
      <c r="AW2563" s="6" t="s">
        <v>81</v>
      </c>
      <c r="AX2563" s="6" t="s">
        <v>22428</v>
      </c>
      <c r="AY2563" s="6" t="s">
        <v>81</v>
      </c>
      <c r="AZ2563" s="6" t="s">
        <v>81</v>
      </c>
      <c r="BA2563" s="6" t="s">
        <v>81</v>
      </c>
      <c r="BB2563" s="24" t="n">
        <v>60</v>
      </c>
      <c r="BC2563" s="26"/>
      <c r="BD2563" s="26"/>
      <c r="BE2563" s="26"/>
      <c r="BF2563" s="26" t="s">
        <v>23900</v>
      </c>
      <c r="BG2563" s="26"/>
      <c r="BH2563" s="26"/>
      <c r="BI2563" s="26"/>
      <c r="BJ2563" s="26"/>
      <c r="BK2563" s="26"/>
      <c r="BL2563" s="26"/>
      <c r="BM2563" s="26"/>
      <c r="BN2563" s="26"/>
      <c r="BO2563" s="26"/>
      <c r="BP2563" s="16" t="n">
        <v>45737</v>
      </c>
      <c r="BQ2563" s="28" t="str">
        <f>HYPERLINK("https://organic.ams.usda.gov/Integrity/Certificate.aspx?cid=31&amp;nopid=3928972167")</f>
        <v>https://organic.ams.usda.gov/Integrity/Certificate.aspx?cid=31&amp;nopid=3928972167</v>
      </c>
    </row>
    <row r="2564">
      <c r="A2564" t="s">
        <v>3</v>
      </c>
      <c r="B2564" s="6" t="s">
        <v>20</v>
      </c>
      <c r="C2564" s="6" t="s">
        <v>67</v>
      </c>
      <c r="D2564" s="6" t="s">
        <v>113</v>
      </c>
      <c r="E2564" s="10" t="s">
        <v>2705</v>
      </c>
      <c r="F2564" s="6" t="s">
        <v>5409</v>
      </c>
      <c r="G2564" s="6" t="s">
        <v>81</v>
      </c>
      <c r="H2564" s="6" t="s">
        <v>8225</v>
      </c>
      <c r="I2564" s="6" t="s">
        <v>9594</v>
      </c>
      <c r="J2564" s="6" t="s">
        <v>10812</v>
      </c>
      <c r="K2564" s="6" t="s">
        <v>10886</v>
      </c>
      <c r="L2564" s="16" t="n">
        <v>37391</v>
      </c>
      <c r="M2564" s="16" t="n">
        <v>45861</v>
      </c>
      <c r="N2564" s="6" t="s">
        <v>81</v>
      </c>
      <c r="O2564" s="21" t="s">
        <v>81</v>
      </c>
      <c r="P2564" s="6" t="s">
        <v>81</v>
      </c>
      <c r="Q2564" s="6" t="s">
        <v>81</v>
      </c>
      <c r="R2564" s="6" t="s">
        <v>81</v>
      </c>
      <c r="S2564" s="6" t="s">
        <v>81</v>
      </c>
      <c r="T2564" s="21" t="s">
        <v>81</v>
      </c>
      <c r="U2564" s="6" t="s">
        <v>81</v>
      </c>
      <c r="V2564" s="6" t="s">
        <v>81</v>
      </c>
      <c r="W2564" s="6" t="s">
        <v>81</v>
      </c>
      <c r="X2564" s="6" t="s">
        <v>81</v>
      </c>
      <c r="Y2564" s="21" t="s">
        <v>81</v>
      </c>
      <c r="Z2564" s="6" t="s">
        <v>81</v>
      </c>
      <c r="AA2564" s="6" t="s">
        <v>81</v>
      </c>
      <c r="AB2564" s="6" t="s">
        <v>81</v>
      </c>
      <c r="AC2564" s="6" t="s">
        <v>10886</v>
      </c>
      <c r="AD2564" s="16" t="n">
        <v>37391</v>
      </c>
      <c r="AE2564" s="6" t="s">
        <v>14475</v>
      </c>
      <c r="AF2564" s="6" t="s">
        <v>81</v>
      </c>
      <c r="AG2564" s="6" t="s">
        <v>14608</v>
      </c>
      <c r="AH2564" s="6" t="s">
        <v>17099</v>
      </c>
      <c r="AI2564" s="6" t="s">
        <v>81</v>
      </c>
      <c r="AJ2564" s="6" t="s">
        <v>18329</v>
      </c>
      <c r="AK2564" s="6" t="s">
        <v>18386</v>
      </c>
      <c r="AL2564" s="6" t="s">
        <v>18444</v>
      </c>
      <c r="AM2564" s="6" t="s">
        <v>19570</v>
      </c>
      <c r="AN2564" s="6" t="s">
        <v>8233</v>
      </c>
      <c r="AO2564" s="6" t="s">
        <v>19802</v>
      </c>
      <c r="AP2564" s="6" t="s">
        <v>17099</v>
      </c>
      <c r="AQ2564" s="6" t="s">
        <v>81</v>
      </c>
      <c r="AR2564" s="6" t="s">
        <v>18329</v>
      </c>
      <c r="AS2564" s="6" t="s">
        <v>18386</v>
      </c>
      <c r="AT2564" s="6" t="s">
        <v>18444</v>
      </c>
      <c r="AU2564" s="6" t="s">
        <v>19570</v>
      </c>
      <c r="AV2564" s="6" t="s">
        <v>81</v>
      </c>
      <c r="AW2564" s="6" t="s">
        <v>81</v>
      </c>
      <c r="AX2564" s="6" t="s">
        <v>22429</v>
      </c>
      <c r="AY2564" s="6" t="s">
        <v>23488</v>
      </c>
      <c r="AZ2564" s="6" t="s">
        <v>81</v>
      </c>
      <c r="BA2564" s="6" t="s">
        <v>81</v>
      </c>
      <c r="BB2564" s="6" t="s">
        <v>81</v>
      </c>
      <c r="BC2564" s="26"/>
      <c r="BD2564" s="26"/>
      <c r="BE2564" s="26"/>
      <c r="BF2564" s="26"/>
      <c r="BG2564" s="26" t="s">
        <v>23900</v>
      </c>
      <c r="BH2564" s="26"/>
      <c r="BI2564" s="26"/>
      <c r="BJ2564" s="26"/>
      <c r="BK2564" s="26"/>
      <c r="BL2564" s="26" t="s">
        <v>23900</v>
      </c>
      <c r="BM2564" s="26"/>
      <c r="BN2564" s="26"/>
      <c r="BO2564" s="26"/>
      <c r="BP2564" s="16" t="n">
        <v>45737</v>
      </c>
      <c r="BQ2564" s="28" t="str">
        <f>HYPERLINK("https://organic.ams.usda.gov/Integrity/Certificate.aspx?cid=71&amp;nopid=5520031486")</f>
        <v>https://organic.ams.usda.gov/Integrity/Certificate.aspx?cid=71&amp;nopid=5520031486</v>
      </c>
    </row>
    <row r="2565">
      <c r="A2565" t="s">
        <v>3</v>
      </c>
      <c r="B2565" s="6" t="s">
        <v>19</v>
      </c>
      <c r="C2565" s="6" t="s">
        <v>66</v>
      </c>
      <c r="D2565" s="6" t="s">
        <v>112</v>
      </c>
      <c r="E2565" s="10" t="s">
        <v>2706</v>
      </c>
      <c r="F2565" s="6" t="s">
        <v>5410</v>
      </c>
      <c r="G2565" s="6" t="s">
        <v>81</v>
      </c>
      <c r="H2565" s="6" t="s">
        <v>8226</v>
      </c>
      <c r="I2565" s="6" t="s">
        <v>81</v>
      </c>
      <c r="J2565" s="6" t="s">
        <v>10813</v>
      </c>
      <c r="K2565" s="6" t="s">
        <v>10886</v>
      </c>
      <c r="L2565" s="16" t="n">
        <v>44211</v>
      </c>
      <c r="M2565" s="16" t="n">
        <v>46054</v>
      </c>
      <c r="N2565" s="6" t="s">
        <v>10886</v>
      </c>
      <c r="O2565" s="16" t="n">
        <v>44211</v>
      </c>
      <c r="P2565" s="6" t="s">
        <v>12322</v>
      </c>
      <c r="Q2565" s="6" t="s">
        <v>81</v>
      </c>
      <c r="R2565" s="6" t="s">
        <v>81</v>
      </c>
      <c r="S2565" s="6" t="s">
        <v>10886</v>
      </c>
      <c r="T2565" s="16" t="n">
        <v>44211</v>
      </c>
      <c r="U2565" s="6" t="s">
        <v>13751</v>
      </c>
      <c r="V2565" s="6" t="s">
        <v>81</v>
      </c>
      <c r="W2565" s="6" t="s">
        <v>81</v>
      </c>
      <c r="X2565" s="6" t="s">
        <v>81</v>
      </c>
      <c r="Y2565" s="21" t="s">
        <v>81</v>
      </c>
      <c r="Z2565" s="6" t="s">
        <v>81</v>
      </c>
      <c r="AA2565" s="6" t="s">
        <v>81</v>
      </c>
      <c r="AB2565" s="6" t="s">
        <v>81</v>
      </c>
      <c r="AC2565" s="6" t="s">
        <v>10886</v>
      </c>
      <c r="AD2565" s="16" t="n">
        <v>44211</v>
      </c>
      <c r="AE2565" s="6" t="s">
        <v>14066</v>
      </c>
      <c r="AF2565" s="6" t="s">
        <v>81</v>
      </c>
      <c r="AG2565" s="6" t="s">
        <v>81</v>
      </c>
      <c r="AH2565" s="6" t="s">
        <v>17100</v>
      </c>
      <c r="AI2565" s="6" t="s">
        <v>81</v>
      </c>
      <c r="AJ2565" s="6" t="s">
        <v>18330</v>
      </c>
      <c r="AK2565" s="6" t="s">
        <v>18379</v>
      </c>
      <c r="AL2565" s="6" t="s">
        <v>18444</v>
      </c>
      <c r="AM2565" s="6" t="s">
        <v>19571</v>
      </c>
      <c r="AN2565" s="6" t="s">
        <v>19672</v>
      </c>
      <c r="AO2565" s="6" t="s">
        <v>20046</v>
      </c>
      <c r="AP2565" s="6" t="s">
        <v>81</v>
      </c>
      <c r="AQ2565" s="6" t="s">
        <v>81</v>
      </c>
      <c r="AR2565" s="6" t="s">
        <v>81</v>
      </c>
      <c r="AS2565" s="6" t="s">
        <v>81</v>
      </c>
      <c r="AT2565" s="6" t="s">
        <v>81</v>
      </c>
      <c r="AU2565" s="6" t="s">
        <v>81</v>
      </c>
      <c r="AV2565" s="6" t="s">
        <v>81</v>
      </c>
      <c r="AW2565" s="6" t="s">
        <v>81</v>
      </c>
      <c r="AX2565" s="6" t="s">
        <v>22430</v>
      </c>
      <c r="AY2565" s="6" t="s">
        <v>23489</v>
      </c>
      <c r="AZ2565" s="6" t="s">
        <v>81</v>
      </c>
      <c r="BA2565" s="6" t="s">
        <v>81</v>
      </c>
      <c r="BB2565" s="24" t="n">
        <v>114</v>
      </c>
      <c r="BC2565" s="26"/>
      <c r="BD2565" s="26"/>
      <c r="BE2565" s="26"/>
      <c r="BF2565" s="26" t="s">
        <v>23900</v>
      </c>
      <c r="BG2565" s="26"/>
      <c r="BH2565" s="26"/>
      <c r="BI2565" s="26"/>
      <c r="BJ2565" s="26"/>
      <c r="BK2565" s="26"/>
      <c r="BL2565" s="26"/>
      <c r="BM2565" s="26"/>
      <c r="BN2565" s="26"/>
      <c r="BO2565" s="26"/>
      <c r="BP2565" s="16" t="n">
        <v>45691</v>
      </c>
      <c r="BQ2565" s="28" t="str">
        <f>HYPERLINK("https://organic.ams.usda.gov/Integrity/Certificate.aspx?cid=24&amp;nopid=7889032800")</f>
        <v>https://organic.ams.usda.gov/Integrity/Certificate.aspx?cid=24&amp;nopid=7889032800</v>
      </c>
    </row>
    <row r="2566">
      <c r="A2566" t="s">
        <v>3</v>
      </c>
      <c r="B2566" s="6" t="s">
        <v>29</v>
      </c>
      <c r="C2566" s="6" t="s">
        <v>76</v>
      </c>
      <c r="D2566" s="6" t="s">
        <v>122</v>
      </c>
      <c r="E2566" s="10" t="s">
        <v>2707</v>
      </c>
      <c r="F2566" s="6" t="s">
        <v>5411</v>
      </c>
      <c r="G2566" s="6" t="s">
        <v>5871</v>
      </c>
      <c r="H2566" s="6" t="s">
        <v>8227</v>
      </c>
      <c r="I2566" s="6" t="s">
        <v>8690</v>
      </c>
      <c r="J2566" s="6" t="s">
        <v>10814</v>
      </c>
      <c r="K2566" s="6" t="s">
        <v>10886</v>
      </c>
      <c r="L2566" s="16" t="n">
        <v>37813</v>
      </c>
      <c r="M2566" s="16" t="n">
        <v>45870</v>
      </c>
      <c r="N2566" s="6" t="s">
        <v>10886</v>
      </c>
      <c r="O2566" s="16" t="n">
        <v>37813</v>
      </c>
      <c r="P2566" s="6" t="s">
        <v>12323</v>
      </c>
      <c r="Q2566" s="6" t="s">
        <v>81</v>
      </c>
      <c r="R2566" s="6" t="s">
        <v>13113</v>
      </c>
      <c r="S2566" s="6" t="s">
        <v>10886</v>
      </c>
      <c r="T2566" s="16" t="n">
        <v>37813</v>
      </c>
      <c r="U2566" s="6" t="s">
        <v>13366</v>
      </c>
      <c r="V2566" s="6" t="s">
        <v>81</v>
      </c>
      <c r="W2566" s="6" t="s">
        <v>13113</v>
      </c>
      <c r="X2566" s="6" t="s">
        <v>81</v>
      </c>
      <c r="Y2566" s="21" t="s">
        <v>81</v>
      </c>
      <c r="Z2566" s="6" t="s">
        <v>81</v>
      </c>
      <c r="AA2566" s="6" t="s">
        <v>81</v>
      </c>
      <c r="AB2566" s="6" t="s">
        <v>81</v>
      </c>
      <c r="AC2566" s="6" t="s">
        <v>81</v>
      </c>
      <c r="AD2566" s="21" t="s">
        <v>81</v>
      </c>
      <c r="AE2566" s="6" t="s">
        <v>81</v>
      </c>
      <c r="AF2566" s="6" t="s">
        <v>81</v>
      </c>
      <c r="AG2566" s="6" t="s">
        <v>81</v>
      </c>
      <c r="AH2566" s="6" t="s">
        <v>17101</v>
      </c>
      <c r="AI2566" s="6" t="s">
        <v>81</v>
      </c>
      <c r="AJ2566" s="6" t="s">
        <v>17503</v>
      </c>
      <c r="AK2566" s="6" t="s">
        <v>18377</v>
      </c>
      <c r="AL2566" s="6" t="s">
        <v>18444</v>
      </c>
      <c r="AM2566" s="6" t="s">
        <v>18664</v>
      </c>
      <c r="AN2566" s="6" t="s">
        <v>7195</v>
      </c>
      <c r="AO2566" s="6" t="s">
        <v>19737</v>
      </c>
      <c r="AP2566" s="6" t="s">
        <v>81</v>
      </c>
      <c r="AQ2566" s="6" t="s">
        <v>81</v>
      </c>
      <c r="AR2566" s="6" t="s">
        <v>81</v>
      </c>
      <c r="AS2566" s="6" t="s">
        <v>81</v>
      </c>
      <c r="AT2566" s="6" t="s">
        <v>81</v>
      </c>
      <c r="AU2566" s="6" t="s">
        <v>81</v>
      </c>
      <c r="AV2566" s="6" t="s">
        <v>81</v>
      </c>
      <c r="AW2566" s="6" t="s">
        <v>81</v>
      </c>
      <c r="AX2566" s="6" t="s">
        <v>22431</v>
      </c>
      <c r="AY2566" s="6" t="s">
        <v>23490</v>
      </c>
      <c r="AZ2566" s="6" t="s">
        <v>81</v>
      </c>
      <c r="BA2566" s="6" t="s">
        <v>81</v>
      </c>
      <c r="BB2566" s="24" t="n">
        <v>1773</v>
      </c>
      <c r="BC2566" s="26"/>
      <c r="BD2566" s="26"/>
      <c r="BE2566" s="26"/>
      <c r="BF2566" s="26" t="s">
        <v>23900</v>
      </c>
      <c r="BG2566" s="26"/>
      <c r="BH2566" s="26"/>
      <c r="BI2566" s="26"/>
      <c r="BJ2566" s="26"/>
      <c r="BK2566" s="26"/>
      <c r="BL2566" s="26"/>
      <c r="BM2566" s="26"/>
      <c r="BN2566" s="26"/>
      <c r="BO2566" s="26"/>
      <c r="BP2566" s="16" t="n">
        <v>45737</v>
      </c>
      <c r="BQ2566" s="28" t="str">
        <f>HYPERLINK("https://organic.ams.usda.gov/Integrity/Certificate.aspx?cid=31&amp;nopid=3920897268")</f>
        <v>https://organic.ams.usda.gov/Integrity/Certificate.aspx?cid=31&amp;nopid=3920897268</v>
      </c>
    </row>
    <row r="2567">
      <c r="A2567" t="s">
        <v>3</v>
      </c>
      <c r="B2567" s="6" t="s">
        <v>8</v>
      </c>
      <c r="C2567" s="6" t="s">
        <v>55</v>
      </c>
      <c r="D2567" s="6" t="s">
        <v>101</v>
      </c>
      <c r="E2567" s="10" t="s">
        <v>2708</v>
      </c>
      <c r="F2567" s="6" t="s">
        <v>5412</v>
      </c>
      <c r="G2567" s="6" t="s">
        <v>81</v>
      </c>
      <c r="H2567" s="6" t="s">
        <v>8228</v>
      </c>
      <c r="I2567" s="6" t="s">
        <v>9060</v>
      </c>
      <c r="J2567" s="6" t="s">
        <v>10814</v>
      </c>
      <c r="K2567" s="6" t="s">
        <v>10886</v>
      </c>
      <c r="L2567" s="16" t="n">
        <v>37511</v>
      </c>
      <c r="M2567" s="18" t="s">
        <v>81</v>
      </c>
      <c r="N2567" s="6" t="s">
        <v>10886</v>
      </c>
      <c r="O2567" s="16" t="n">
        <v>37511</v>
      </c>
      <c r="P2567" s="6" t="s">
        <v>12324</v>
      </c>
      <c r="Q2567" s="6" t="s">
        <v>81</v>
      </c>
      <c r="R2567" s="6" t="s">
        <v>81</v>
      </c>
      <c r="S2567" s="6" t="s">
        <v>10886</v>
      </c>
      <c r="T2567" s="16" t="n">
        <v>37511</v>
      </c>
      <c r="U2567" s="6" t="s">
        <v>13200</v>
      </c>
      <c r="V2567" s="6" t="s">
        <v>81</v>
      </c>
      <c r="W2567" s="6" t="s">
        <v>81</v>
      </c>
      <c r="X2567" s="6" t="s">
        <v>81</v>
      </c>
      <c r="Y2567" s="21" t="s">
        <v>81</v>
      </c>
      <c r="Z2567" s="6" t="s">
        <v>81</v>
      </c>
      <c r="AA2567" s="6" t="s">
        <v>81</v>
      </c>
      <c r="AB2567" s="6" t="s">
        <v>81</v>
      </c>
      <c r="AC2567" s="6" t="s">
        <v>81</v>
      </c>
      <c r="AD2567" s="21" t="s">
        <v>81</v>
      </c>
      <c r="AE2567" s="6" t="s">
        <v>81</v>
      </c>
      <c r="AF2567" s="6" t="s">
        <v>81</v>
      </c>
      <c r="AG2567" s="6" t="s">
        <v>81</v>
      </c>
      <c r="AH2567" s="6" t="s">
        <v>17102</v>
      </c>
      <c r="AI2567" s="6" t="s">
        <v>81</v>
      </c>
      <c r="AJ2567" s="6" t="s">
        <v>17503</v>
      </c>
      <c r="AK2567" s="6" t="s">
        <v>18377</v>
      </c>
      <c r="AL2567" s="6" t="s">
        <v>18444</v>
      </c>
      <c r="AM2567" s="6" t="s">
        <v>18664</v>
      </c>
      <c r="AN2567" s="6" t="s">
        <v>7195</v>
      </c>
      <c r="AO2567" s="6" t="s">
        <v>19737</v>
      </c>
      <c r="AP2567" s="6" t="s">
        <v>81</v>
      </c>
      <c r="AQ2567" s="6" t="s">
        <v>81</v>
      </c>
      <c r="AR2567" s="6" t="s">
        <v>81</v>
      </c>
      <c r="AS2567" s="6" t="s">
        <v>81</v>
      </c>
      <c r="AT2567" s="6" t="s">
        <v>81</v>
      </c>
      <c r="AU2567" s="6" t="s">
        <v>81</v>
      </c>
      <c r="AV2567" s="6" t="s">
        <v>81</v>
      </c>
      <c r="AW2567" s="6" t="s">
        <v>81</v>
      </c>
      <c r="AX2567" s="6" t="s">
        <v>81</v>
      </c>
      <c r="AY2567" s="6" t="s">
        <v>81</v>
      </c>
      <c r="AZ2567" s="6" t="s">
        <v>81</v>
      </c>
      <c r="BA2567" s="6" t="s">
        <v>81</v>
      </c>
      <c r="BB2567" s="24" t="n">
        <v>264</v>
      </c>
      <c r="BC2567" s="26"/>
      <c r="BD2567" s="26"/>
      <c r="BE2567" s="26"/>
      <c r="BF2567" s="26"/>
      <c r="BG2567" s="26"/>
      <c r="BH2567" s="26"/>
      <c r="BI2567" s="26"/>
      <c r="BJ2567" s="26"/>
      <c r="BK2567" s="26"/>
      <c r="BL2567" s="26"/>
      <c r="BM2567" s="26"/>
      <c r="BN2567" s="26"/>
      <c r="BO2567" s="26"/>
      <c r="BP2567" s="16" t="n">
        <v>45292</v>
      </c>
      <c r="BQ2567" s="28" t="str">
        <f>HYPERLINK("https://organic.ams.usda.gov/Integrity/Certificate.aspx?cid=45&amp;nopid=9950000311")</f>
        <v>https://organic.ams.usda.gov/Integrity/Certificate.aspx?cid=45&amp;nopid=9950000311</v>
      </c>
    </row>
    <row r="2568">
      <c r="A2568" t="s">
        <v>3</v>
      </c>
      <c r="B2568" s="6" t="s">
        <v>8</v>
      </c>
      <c r="C2568" s="6" t="s">
        <v>55</v>
      </c>
      <c r="D2568" s="6" t="s">
        <v>101</v>
      </c>
      <c r="E2568" s="10" t="s">
        <v>2709</v>
      </c>
      <c r="F2568" s="6" t="s">
        <v>5413</v>
      </c>
      <c r="G2568" s="6" t="s">
        <v>81</v>
      </c>
      <c r="H2568" s="6" t="s">
        <v>8229</v>
      </c>
      <c r="I2568" s="6" t="s">
        <v>8690</v>
      </c>
      <c r="J2568" s="6" t="s">
        <v>10815</v>
      </c>
      <c r="K2568" s="6" t="s">
        <v>10886</v>
      </c>
      <c r="L2568" s="16" t="n">
        <v>36425</v>
      </c>
      <c r="M2568" s="16" t="n">
        <v>45748</v>
      </c>
      <c r="N2568" s="6" t="s">
        <v>10886</v>
      </c>
      <c r="O2568" s="16" t="n">
        <v>36425</v>
      </c>
      <c r="P2568" s="6" t="s">
        <v>12325</v>
      </c>
      <c r="Q2568" s="6" t="s">
        <v>81</v>
      </c>
      <c r="R2568" s="6" t="s">
        <v>8229</v>
      </c>
      <c r="S2568" s="6" t="s">
        <v>10886</v>
      </c>
      <c r="T2568" s="16" t="n">
        <v>36425</v>
      </c>
      <c r="U2568" s="6" t="s">
        <v>13914</v>
      </c>
      <c r="V2568" s="6" t="s">
        <v>81</v>
      </c>
      <c r="W2568" s="6" t="s">
        <v>8229</v>
      </c>
      <c r="X2568" s="6" t="s">
        <v>81</v>
      </c>
      <c r="Y2568" s="21" t="s">
        <v>81</v>
      </c>
      <c r="Z2568" s="6" t="s">
        <v>81</v>
      </c>
      <c r="AA2568" s="6" t="s">
        <v>81</v>
      </c>
      <c r="AB2568" s="6" t="s">
        <v>81</v>
      </c>
      <c r="AC2568" s="6" t="s">
        <v>81</v>
      </c>
      <c r="AD2568" s="21" t="s">
        <v>81</v>
      </c>
      <c r="AE2568" s="6" t="s">
        <v>81</v>
      </c>
      <c r="AF2568" s="6" t="s">
        <v>81</v>
      </c>
      <c r="AG2568" s="6" t="s">
        <v>81</v>
      </c>
      <c r="AH2568" s="6" t="s">
        <v>17103</v>
      </c>
      <c r="AI2568" s="6" t="s">
        <v>81</v>
      </c>
      <c r="AJ2568" s="6" t="s">
        <v>17703</v>
      </c>
      <c r="AK2568" s="6" t="s">
        <v>18381</v>
      </c>
      <c r="AL2568" s="6" t="s">
        <v>18444</v>
      </c>
      <c r="AM2568" s="6" t="s">
        <v>18869</v>
      </c>
      <c r="AN2568" s="6" t="s">
        <v>19658</v>
      </c>
      <c r="AO2568" s="6" t="s">
        <v>19752</v>
      </c>
      <c r="AP2568" s="6" t="s">
        <v>81</v>
      </c>
      <c r="AQ2568" s="6" t="s">
        <v>81</v>
      </c>
      <c r="AR2568" s="6" t="s">
        <v>81</v>
      </c>
      <c r="AS2568" s="6" t="s">
        <v>81</v>
      </c>
      <c r="AT2568" s="6" t="s">
        <v>81</v>
      </c>
      <c r="AU2568" s="6" t="s">
        <v>81</v>
      </c>
      <c r="AV2568" s="6" t="s">
        <v>81</v>
      </c>
      <c r="AW2568" s="6" t="s">
        <v>81</v>
      </c>
      <c r="AX2568" s="6" t="s">
        <v>81</v>
      </c>
      <c r="AY2568" s="6" t="s">
        <v>23491</v>
      </c>
      <c r="AZ2568" s="6" t="s">
        <v>81</v>
      </c>
      <c r="BA2568" s="6" t="s">
        <v>23819</v>
      </c>
      <c r="BB2568" s="24" t="n">
        <v>459</v>
      </c>
      <c r="BC2568" s="26"/>
      <c r="BD2568" s="26"/>
      <c r="BE2568" s="26"/>
      <c r="BF2568" s="26" t="s">
        <v>23900</v>
      </c>
      <c r="BG2568" s="26"/>
      <c r="BH2568" s="26"/>
      <c r="BI2568" s="26"/>
      <c r="BJ2568" s="26"/>
      <c r="BK2568" s="26"/>
      <c r="BL2568" s="26"/>
      <c r="BM2568" s="26"/>
      <c r="BN2568" s="26"/>
      <c r="BO2568" s="26"/>
      <c r="BP2568" s="16" t="n">
        <v>45611</v>
      </c>
      <c r="BQ2568" s="28" t="str">
        <f>HYPERLINK("https://organic.ams.usda.gov/Integrity/Certificate.aspx?cid=45&amp;nopid=9950000215")</f>
        <v>https://organic.ams.usda.gov/Integrity/Certificate.aspx?cid=45&amp;nopid=9950000215</v>
      </c>
    </row>
    <row r="2569">
      <c r="A2569" t="s">
        <v>3</v>
      </c>
      <c r="B2569" s="6" t="s">
        <v>20</v>
      </c>
      <c r="C2569" s="6" t="s">
        <v>67</v>
      </c>
      <c r="D2569" s="6" t="s">
        <v>113</v>
      </c>
      <c r="E2569" s="10" t="s">
        <v>2710</v>
      </c>
      <c r="F2569" s="6" t="s">
        <v>5414</v>
      </c>
      <c r="G2569" s="6" t="s">
        <v>81</v>
      </c>
      <c r="H2569" s="6" t="s">
        <v>8230</v>
      </c>
      <c r="I2569" s="6" t="s">
        <v>8690</v>
      </c>
      <c r="J2569" s="6" t="s">
        <v>10816</v>
      </c>
      <c r="K2569" s="6" t="s">
        <v>10886</v>
      </c>
      <c r="L2569" s="16" t="n">
        <v>44937</v>
      </c>
      <c r="M2569" s="16" t="n">
        <v>45825</v>
      </c>
      <c r="N2569" s="6" t="s">
        <v>10886</v>
      </c>
      <c r="O2569" s="16" t="n">
        <v>44937</v>
      </c>
      <c r="P2569" s="6" t="s">
        <v>12326</v>
      </c>
      <c r="Q2569" s="6" t="s">
        <v>81</v>
      </c>
      <c r="R2569" s="6" t="s">
        <v>13114</v>
      </c>
      <c r="S2569" s="6" t="s">
        <v>10886</v>
      </c>
      <c r="T2569" s="16" t="n">
        <v>44937</v>
      </c>
      <c r="U2569" s="6" t="s">
        <v>13228</v>
      </c>
      <c r="V2569" s="6" t="s">
        <v>81</v>
      </c>
      <c r="W2569" s="6" t="s">
        <v>13983</v>
      </c>
      <c r="X2569" s="6" t="s">
        <v>81</v>
      </c>
      <c r="Y2569" s="21" t="s">
        <v>81</v>
      </c>
      <c r="Z2569" s="6" t="s">
        <v>81</v>
      </c>
      <c r="AA2569" s="6" t="s">
        <v>81</v>
      </c>
      <c r="AB2569" s="6" t="s">
        <v>81</v>
      </c>
      <c r="AC2569" s="6" t="s">
        <v>81</v>
      </c>
      <c r="AD2569" s="21" t="s">
        <v>81</v>
      </c>
      <c r="AE2569" s="6" t="s">
        <v>81</v>
      </c>
      <c r="AF2569" s="6" t="s">
        <v>81</v>
      </c>
      <c r="AG2569" s="6" t="s">
        <v>81</v>
      </c>
      <c r="AH2569" s="6" t="s">
        <v>17104</v>
      </c>
      <c r="AI2569" s="6" t="s">
        <v>81</v>
      </c>
      <c r="AJ2569" s="6" t="s">
        <v>17561</v>
      </c>
      <c r="AK2569" s="6" t="s">
        <v>18386</v>
      </c>
      <c r="AL2569" s="6" t="s">
        <v>18444</v>
      </c>
      <c r="AM2569" s="6" t="s">
        <v>18760</v>
      </c>
      <c r="AN2569" s="6" t="s">
        <v>19672</v>
      </c>
      <c r="AO2569" s="6" t="s">
        <v>19787</v>
      </c>
      <c r="AP2569" s="6" t="s">
        <v>17104</v>
      </c>
      <c r="AQ2569" s="6" t="s">
        <v>81</v>
      </c>
      <c r="AR2569" s="6" t="s">
        <v>17561</v>
      </c>
      <c r="AS2569" s="6" t="s">
        <v>18386</v>
      </c>
      <c r="AT2569" s="6" t="s">
        <v>18444</v>
      </c>
      <c r="AU2569" s="6" t="s">
        <v>18760</v>
      </c>
      <c r="AV2569" s="6" t="s">
        <v>81</v>
      </c>
      <c r="AW2569" s="6" t="s">
        <v>81</v>
      </c>
      <c r="AX2569" s="6" t="s">
        <v>22432</v>
      </c>
      <c r="AY2569" s="6" t="s">
        <v>23492</v>
      </c>
      <c r="AZ2569" s="6" t="s">
        <v>81</v>
      </c>
      <c r="BA2569" s="6" t="s">
        <v>81</v>
      </c>
      <c r="BB2569" s="24" t="n">
        <v>1156</v>
      </c>
      <c r="BC2569" s="26"/>
      <c r="BD2569" s="26"/>
      <c r="BE2569" s="26"/>
      <c r="BF2569" s="26" t="s">
        <v>23900</v>
      </c>
      <c r="BG2569" s="26"/>
      <c r="BH2569" s="26"/>
      <c r="BI2569" s="26"/>
      <c r="BJ2569" s="26"/>
      <c r="BK2569" s="26"/>
      <c r="BL2569" s="26"/>
      <c r="BM2569" s="26"/>
      <c r="BN2569" s="26"/>
      <c r="BO2569" s="26"/>
      <c r="BP2569" s="16" t="n">
        <v>45737</v>
      </c>
      <c r="BQ2569" s="28" t="str">
        <f>HYPERLINK("https://organic.ams.usda.gov/Integrity/Certificate.aspx?cid=71&amp;nopid=5520626790")</f>
        <v>https://organic.ams.usda.gov/Integrity/Certificate.aspx?cid=71&amp;nopid=5520626790</v>
      </c>
    </row>
    <row r="2570">
      <c r="A2570" t="s">
        <v>3</v>
      </c>
      <c r="B2570" s="6" t="s">
        <v>7</v>
      </c>
      <c r="C2570" s="6" t="s">
        <v>54</v>
      </c>
      <c r="D2570" s="6" t="s">
        <v>100</v>
      </c>
      <c r="E2570" s="10" t="s">
        <v>2711</v>
      </c>
      <c r="F2570" s="6" t="s">
        <v>5415</v>
      </c>
      <c r="G2570" s="6" t="s">
        <v>81</v>
      </c>
      <c r="H2570" s="6" t="s">
        <v>8231</v>
      </c>
      <c r="I2570" s="6" t="s">
        <v>8690</v>
      </c>
      <c r="J2570" s="6" t="s">
        <v>10817</v>
      </c>
      <c r="K2570" s="6" t="s">
        <v>10886</v>
      </c>
      <c r="L2570" s="16" t="n">
        <v>42671</v>
      </c>
      <c r="M2570" s="16" t="n">
        <v>45716</v>
      </c>
      <c r="N2570" s="6" t="s">
        <v>10886</v>
      </c>
      <c r="O2570" s="16" t="n">
        <v>42671</v>
      </c>
      <c r="P2570" s="6" t="s">
        <v>10910</v>
      </c>
      <c r="Q2570" s="6" t="s">
        <v>81</v>
      </c>
      <c r="R2570" s="6" t="s">
        <v>81</v>
      </c>
      <c r="S2570" s="6" t="s">
        <v>10886</v>
      </c>
      <c r="T2570" s="16" t="n">
        <v>42959</v>
      </c>
      <c r="U2570" s="6" t="s">
        <v>13169</v>
      </c>
      <c r="V2570" s="6" t="s">
        <v>81</v>
      </c>
      <c r="W2570" s="6" t="s">
        <v>81</v>
      </c>
      <c r="X2570" s="6" t="s">
        <v>81</v>
      </c>
      <c r="Y2570" s="21" t="s">
        <v>81</v>
      </c>
      <c r="Z2570" s="6" t="s">
        <v>81</v>
      </c>
      <c r="AA2570" s="6" t="s">
        <v>81</v>
      </c>
      <c r="AB2570" s="6" t="s">
        <v>81</v>
      </c>
      <c r="AC2570" s="6" t="s">
        <v>81</v>
      </c>
      <c r="AD2570" s="21" t="s">
        <v>81</v>
      </c>
      <c r="AE2570" s="6" t="s">
        <v>81</v>
      </c>
      <c r="AF2570" s="6" t="s">
        <v>81</v>
      </c>
      <c r="AG2570" s="6" t="s">
        <v>81</v>
      </c>
      <c r="AH2570" s="6" t="s">
        <v>17105</v>
      </c>
      <c r="AI2570" s="6" t="s">
        <v>81</v>
      </c>
      <c r="AJ2570" s="6" t="s">
        <v>17628</v>
      </c>
      <c r="AK2570" s="6" t="s">
        <v>17712</v>
      </c>
      <c r="AL2570" s="6" t="s">
        <v>18444</v>
      </c>
      <c r="AM2570" s="6" t="s">
        <v>19572</v>
      </c>
      <c r="AN2570" s="6" t="s">
        <v>19670</v>
      </c>
      <c r="AO2570" s="6" t="s">
        <v>19782</v>
      </c>
      <c r="AP2570" s="6" t="s">
        <v>17105</v>
      </c>
      <c r="AQ2570" s="6" t="s">
        <v>81</v>
      </c>
      <c r="AR2570" s="6" t="s">
        <v>17628</v>
      </c>
      <c r="AS2570" s="6" t="s">
        <v>17712</v>
      </c>
      <c r="AT2570" s="6" t="s">
        <v>18444</v>
      </c>
      <c r="AU2570" s="6" t="s">
        <v>19572</v>
      </c>
      <c r="AV2570" s="6" t="s">
        <v>81</v>
      </c>
      <c r="AW2570" s="6" t="s">
        <v>81</v>
      </c>
      <c r="AX2570" s="6" t="s">
        <v>22433</v>
      </c>
      <c r="AY2570" s="6" t="s">
        <v>23493</v>
      </c>
      <c r="AZ2570" s="6" t="s">
        <v>81</v>
      </c>
      <c r="BA2570" s="6" t="s">
        <v>81</v>
      </c>
      <c r="BB2570" s="24" t="n">
        <v>423</v>
      </c>
      <c r="BC2570" s="26"/>
      <c r="BD2570" s="26"/>
      <c r="BE2570" s="26"/>
      <c r="BF2570" s="26"/>
      <c r="BG2570" s="26"/>
      <c r="BH2570" s="26"/>
      <c r="BI2570" s="26"/>
      <c r="BJ2570" s="26"/>
      <c r="BK2570" s="26"/>
      <c r="BL2570" s="26"/>
      <c r="BM2570" s="26"/>
      <c r="BN2570" s="26"/>
      <c r="BO2570" s="26"/>
      <c r="BP2570" s="16" t="n">
        <v>45595</v>
      </c>
      <c r="BQ2570" s="28" t="str">
        <f>HYPERLINK("https://organic.ams.usda.gov/Integrity/Certificate.aspx?cid=57&amp;nopid=3252016176")</f>
        <v>https://organic.ams.usda.gov/Integrity/Certificate.aspx?cid=57&amp;nopid=3252016176</v>
      </c>
    </row>
    <row r="2571">
      <c r="A2571" t="s">
        <v>3</v>
      </c>
      <c r="B2571" s="6" t="s">
        <v>7</v>
      </c>
      <c r="C2571" s="6" t="s">
        <v>54</v>
      </c>
      <c r="D2571" s="6" t="s">
        <v>100</v>
      </c>
      <c r="E2571" s="10" t="s">
        <v>2712</v>
      </c>
      <c r="F2571" s="6" t="s">
        <v>5416</v>
      </c>
      <c r="G2571" s="6" t="s">
        <v>81</v>
      </c>
      <c r="H2571" s="6" t="s">
        <v>8232</v>
      </c>
      <c r="I2571" s="6" t="s">
        <v>8511</v>
      </c>
      <c r="J2571" s="6" t="s">
        <v>9949</v>
      </c>
      <c r="K2571" s="6" t="s">
        <v>10886</v>
      </c>
      <c r="L2571" s="16" t="n">
        <v>42641</v>
      </c>
      <c r="M2571" s="16" t="n">
        <v>45716</v>
      </c>
      <c r="N2571" s="6" t="s">
        <v>10886</v>
      </c>
      <c r="O2571" s="16" t="n">
        <v>42641</v>
      </c>
      <c r="P2571" s="6" t="s">
        <v>12327</v>
      </c>
      <c r="Q2571" s="6" t="s">
        <v>81</v>
      </c>
      <c r="R2571" s="6" t="s">
        <v>81</v>
      </c>
      <c r="S2571" s="6" t="s">
        <v>10886</v>
      </c>
      <c r="T2571" s="16" t="n">
        <v>43101</v>
      </c>
      <c r="U2571" s="6" t="s">
        <v>13552</v>
      </c>
      <c r="V2571" s="6" t="s">
        <v>81</v>
      </c>
      <c r="W2571" s="6" t="s">
        <v>81</v>
      </c>
      <c r="X2571" s="6" t="s">
        <v>81</v>
      </c>
      <c r="Y2571" s="21" t="s">
        <v>81</v>
      </c>
      <c r="Z2571" s="6" t="s">
        <v>81</v>
      </c>
      <c r="AA2571" s="6" t="s">
        <v>81</v>
      </c>
      <c r="AB2571" s="6" t="s">
        <v>81</v>
      </c>
      <c r="AC2571" s="6" t="s">
        <v>81</v>
      </c>
      <c r="AD2571" s="21" t="s">
        <v>81</v>
      </c>
      <c r="AE2571" s="6" t="s">
        <v>81</v>
      </c>
      <c r="AF2571" s="6" t="s">
        <v>81</v>
      </c>
      <c r="AG2571" s="6" t="s">
        <v>81</v>
      </c>
      <c r="AH2571" s="6" t="s">
        <v>17106</v>
      </c>
      <c r="AI2571" s="6" t="s">
        <v>81</v>
      </c>
      <c r="AJ2571" s="6" t="s">
        <v>18161</v>
      </c>
      <c r="AK2571" s="6" t="s">
        <v>17712</v>
      </c>
      <c r="AL2571" s="6" t="s">
        <v>18444</v>
      </c>
      <c r="AM2571" s="6" t="s">
        <v>19366</v>
      </c>
      <c r="AN2571" s="6" t="s">
        <v>19686</v>
      </c>
      <c r="AO2571" s="6" t="s">
        <v>19827</v>
      </c>
      <c r="AP2571" s="6" t="s">
        <v>17106</v>
      </c>
      <c r="AQ2571" s="6" t="s">
        <v>81</v>
      </c>
      <c r="AR2571" s="6" t="s">
        <v>18161</v>
      </c>
      <c r="AS2571" s="6" t="s">
        <v>17712</v>
      </c>
      <c r="AT2571" s="6" t="s">
        <v>18444</v>
      </c>
      <c r="AU2571" s="6" t="s">
        <v>19366</v>
      </c>
      <c r="AV2571" s="6" t="s">
        <v>81</v>
      </c>
      <c r="AW2571" s="6" t="s">
        <v>81</v>
      </c>
      <c r="AX2571" s="6" t="s">
        <v>22434</v>
      </c>
      <c r="AY2571" s="6" t="s">
        <v>23494</v>
      </c>
      <c r="AZ2571" s="6" t="s">
        <v>81</v>
      </c>
      <c r="BA2571" s="6" t="s">
        <v>81</v>
      </c>
      <c r="BB2571" s="24" t="n">
        <v>652</v>
      </c>
      <c r="BC2571" s="26"/>
      <c r="BD2571" s="26"/>
      <c r="BE2571" s="26"/>
      <c r="BF2571" s="26" t="s">
        <v>23900</v>
      </c>
      <c r="BG2571" s="26"/>
      <c r="BH2571" s="26"/>
      <c r="BI2571" s="26"/>
      <c r="BJ2571" s="26"/>
      <c r="BK2571" s="26"/>
      <c r="BL2571" s="26"/>
      <c r="BM2571" s="26"/>
      <c r="BN2571" s="26"/>
      <c r="BO2571" s="26"/>
      <c r="BP2571" s="16" t="n">
        <v>45595</v>
      </c>
      <c r="BQ2571" s="28" t="str">
        <f>HYPERLINK("https://organic.ams.usda.gov/Integrity/Certificate.aspx?cid=57&amp;nopid=3252016116")</f>
        <v>https://organic.ams.usda.gov/Integrity/Certificate.aspx?cid=57&amp;nopid=3252016116</v>
      </c>
    </row>
    <row r="2572">
      <c r="A2572" t="s">
        <v>3</v>
      </c>
      <c r="B2572" s="6" t="s">
        <v>34</v>
      </c>
      <c r="C2572" s="6" t="s">
        <v>81</v>
      </c>
      <c r="D2572" s="6" t="s">
        <v>81</v>
      </c>
      <c r="E2572" s="10" t="s">
        <v>2713</v>
      </c>
      <c r="F2572" s="6" t="s">
        <v>5417</v>
      </c>
      <c r="G2572" s="6" t="s">
        <v>5872</v>
      </c>
      <c r="H2572" s="6" t="s">
        <v>8233</v>
      </c>
      <c r="I2572" s="6" t="s">
        <v>9595</v>
      </c>
      <c r="J2572" s="6" t="s">
        <v>10818</v>
      </c>
      <c r="K2572" s="6" t="s">
        <v>10886</v>
      </c>
      <c r="L2572" s="16" t="n">
        <v>38223</v>
      </c>
      <c r="M2572" s="16" t="n">
        <v>45809</v>
      </c>
      <c r="N2572" s="6" t="s">
        <v>10886</v>
      </c>
      <c r="O2572" s="16" t="n">
        <v>38223</v>
      </c>
      <c r="P2572" s="6" t="s">
        <v>11031</v>
      </c>
      <c r="Q2572" s="6" t="s">
        <v>81</v>
      </c>
      <c r="R2572" s="6" t="s">
        <v>8233</v>
      </c>
      <c r="S2572" s="6" t="s">
        <v>10886</v>
      </c>
      <c r="T2572" s="16" t="n">
        <v>38223</v>
      </c>
      <c r="U2572" s="6" t="s">
        <v>13413</v>
      </c>
      <c r="V2572" s="6" t="s">
        <v>81</v>
      </c>
      <c r="W2572" s="6" t="s">
        <v>8233</v>
      </c>
      <c r="X2572" s="6" t="s">
        <v>81</v>
      </c>
      <c r="Y2572" s="21" t="s">
        <v>81</v>
      </c>
      <c r="Z2572" s="6" t="s">
        <v>81</v>
      </c>
      <c r="AA2572" s="6" t="s">
        <v>81</v>
      </c>
      <c r="AB2572" s="6" t="s">
        <v>81</v>
      </c>
      <c r="AC2572" s="6" t="s">
        <v>81</v>
      </c>
      <c r="AD2572" s="21" t="s">
        <v>81</v>
      </c>
      <c r="AE2572" s="6" t="s">
        <v>81</v>
      </c>
      <c r="AF2572" s="6" t="s">
        <v>81</v>
      </c>
      <c r="AG2572" s="6" t="s">
        <v>81</v>
      </c>
      <c r="AH2572" s="6" t="s">
        <v>17107</v>
      </c>
      <c r="AI2572" s="6" t="s">
        <v>81</v>
      </c>
      <c r="AJ2572" s="6" t="s">
        <v>17561</v>
      </c>
      <c r="AK2572" s="6" t="s">
        <v>18386</v>
      </c>
      <c r="AL2572" s="6" t="s">
        <v>18444</v>
      </c>
      <c r="AM2572" s="6" t="s">
        <v>18760</v>
      </c>
      <c r="AN2572" s="6" t="s">
        <v>81</v>
      </c>
      <c r="AO2572" s="6" t="s">
        <v>81</v>
      </c>
      <c r="AP2572" s="6" t="s">
        <v>81</v>
      </c>
      <c r="AQ2572" s="6" t="s">
        <v>81</v>
      </c>
      <c r="AR2572" s="6" t="s">
        <v>81</v>
      </c>
      <c r="AS2572" s="6" t="s">
        <v>81</v>
      </c>
      <c r="AT2572" s="6" t="s">
        <v>81</v>
      </c>
      <c r="AU2572" s="6" t="s">
        <v>81</v>
      </c>
      <c r="AV2572" s="6" t="s">
        <v>81</v>
      </c>
      <c r="AW2572" s="6" t="s">
        <v>81</v>
      </c>
      <c r="AX2572" s="6" t="s">
        <v>22435</v>
      </c>
      <c r="AY2572" s="6" t="s">
        <v>23495</v>
      </c>
      <c r="AZ2572" s="6" t="s">
        <v>81</v>
      </c>
      <c r="BA2572" s="6" t="s">
        <v>23833</v>
      </c>
      <c r="BB2572" s="24" t="n">
        <v>2122</v>
      </c>
      <c r="BC2572" s="26"/>
      <c r="BD2572" s="26"/>
      <c r="BE2572" s="26"/>
      <c r="BF2572" s="26" t="s">
        <v>23900</v>
      </c>
      <c r="BG2572" s="26"/>
      <c r="BH2572" s="26"/>
      <c r="BI2572" s="26"/>
      <c r="BJ2572" s="26"/>
      <c r="BK2572" s="26"/>
      <c r="BL2572" s="26"/>
      <c r="BM2572" s="26"/>
      <c r="BN2572" s="26"/>
      <c r="BO2572" s="26"/>
      <c r="BP2572" s="16" t="n">
        <v>45629</v>
      </c>
      <c r="BQ2572" s="28" t="str">
        <f>HYPERLINK("")</f>
      </c>
    </row>
    <row r="2573">
      <c r="A2573" t="s">
        <v>3</v>
      </c>
      <c r="B2573" s="6" t="s">
        <v>29</v>
      </c>
      <c r="C2573" s="6" t="s">
        <v>76</v>
      </c>
      <c r="D2573" s="6" t="s">
        <v>122</v>
      </c>
      <c r="E2573" s="10" t="s">
        <v>2714</v>
      </c>
      <c r="F2573" s="6" t="s">
        <v>5418</v>
      </c>
      <c r="G2573" s="6" t="s">
        <v>81</v>
      </c>
      <c r="H2573" s="6" t="s">
        <v>8234</v>
      </c>
      <c r="I2573" s="6" t="s">
        <v>9596</v>
      </c>
      <c r="J2573" s="6" t="s">
        <v>9906</v>
      </c>
      <c r="K2573" s="6" t="s">
        <v>10886</v>
      </c>
      <c r="L2573" s="16" t="n">
        <v>42963</v>
      </c>
      <c r="M2573" s="16" t="n">
        <v>45505</v>
      </c>
      <c r="N2573" s="6" t="s">
        <v>10886</v>
      </c>
      <c r="O2573" s="16" t="n">
        <v>42963</v>
      </c>
      <c r="P2573" s="6" t="s">
        <v>12328</v>
      </c>
      <c r="Q2573" s="6" t="s">
        <v>81</v>
      </c>
      <c r="R2573" s="6" t="s">
        <v>13115</v>
      </c>
      <c r="S2573" s="6" t="s">
        <v>10886</v>
      </c>
      <c r="T2573" s="16" t="n">
        <v>42963</v>
      </c>
      <c r="U2573" s="6" t="s">
        <v>13384</v>
      </c>
      <c r="V2573" s="6" t="s">
        <v>81</v>
      </c>
      <c r="W2573" s="6" t="s">
        <v>13115</v>
      </c>
      <c r="X2573" s="6" t="s">
        <v>81</v>
      </c>
      <c r="Y2573" s="21" t="s">
        <v>81</v>
      </c>
      <c r="Z2573" s="6" t="s">
        <v>81</v>
      </c>
      <c r="AA2573" s="6" t="s">
        <v>81</v>
      </c>
      <c r="AB2573" s="6" t="s">
        <v>81</v>
      </c>
      <c r="AC2573" s="6" t="s">
        <v>81</v>
      </c>
      <c r="AD2573" s="21" t="s">
        <v>81</v>
      </c>
      <c r="AE2573" s="6" t="s">
        <v>81</v>
      </c>
      <c r="AF2573" s="6" t="s">
        <v>81</v>
      </c>
      <c r="AG2573" s="6" t="s">
        <v>81</v>
      </c>
      <c r="AH2573" s="6" t="s">
        <v>17108</v>
      </c>
      <c r="AI2573" s="6" t="s">
        <v>81</v>
      </c>
      <c r="AJ2573" s="6" t="s">
        <v>17973</v>
      </c>
      <c r="AK2573" s="6" t="s">
        <v>17712</v>
      </c>
      <c r="AL2573" s="6" t="s">
        <v>18444</v>
      </c>
      <c r="AM2573" s="6" t="s">
        <v>19160</v>
      </c>
      <c r="AN2573" s="6" t="s">
        <v>19634</v>
      </c>
      <c r="AO2573" s="6" t="s">
        <v>19719</v>
      </c>
      <c r="AP2573" s="6" t="s">
        <v>81</v>
      </c>
      <c r="AQ2573" s="6" t="s">
        <v>81</v>
      </c>
      <c r="AR2573" s="6" t="s">
        <v>81</v>
      </c>
      <c r="AS2573" s="6" t="s">
        <v>81</v>
      </c>
      <c r="AT2573" s="6" t="s">
        <v>81</v>
      </c>
      <c r="AU2573" s="6" t="s">
        <v>81</v>
      </c>
      <c r="AV2573" s="6" t="s">
        <v>81</v>
      </c>
      <c r="AW2573" s="6" t="s">
        <v>81</v>
      </c>
      <c r="AX2573" s="6" t="s">
        <v>22436</v>
      </c>
      <c r="AY2573" s="6" t="s">
        <v>81</v>
      </c>
      <c r="AZ2573" s="6" t="s">
        <v>81</v>
      </c>
      <c r="BA2573" s="6" t="s">
        <v>81</v>
      </c>
      <c r="BB2573" s="24" t="n">
        <v>104</v>
      </c>
      <c r="BC2573" s="26"/>
      <c r="BD2573" s="26"/>
      <c r="BE2573" s="26"/>
      <c r="BF2573" s="26" t="s">
        <v>23900</v>
      </c>
      <c r="BG2573" s="26"/>
      <c r="BH2573" s="26"/>
      <c r="BI2573" s="26"/>
      <c r="BJ2573" s="26"/>
      <c r="BK2573" s="26"/>
      <c r="BL2573" s="26"/>
      <c r="BM2573" s="26"/>
      <c r="BN2573" s="26"/>
      <c r="BO2573" s="26"/>
      <c r="BP2573" s="16" t="n">
        <v>45737</v>
      </c>
      <c r="BQ2573" s="28" t="str">
        <f>HYPERLINK("https://organic.ams.usda.gov/Integrity/Certificate.aspx?cid=31&amp;nopid=3928971823")</f>
        <v>https://organic.ams.usda.gov/Integrity/Certificate.aspx?cid=31&amp;nopid=3928971823</v>
      </c>
    </row>
    <row r="2574">
      <c r="A2574" t="s">
        <v>3</v>
      </c>
      <c r="B2574" s="6" t="s">
        <v>7</v>
      </c>
      <c r="C2574" s="6" t="s">
        <v>54</v>
      </c>
      <c r="D2574" s="6" t="s">
        <v>100</v>
      </c>
      <c r="E2574" s="10" t="s">
        <v>2715</v>
      </c>
      <c r="F2574" s="6" t="s">
        <v>5419</v>
      </c>
      <c r="G2574" s="6" t="s">
        <v>81</v>
      </c>
      <c r="H2574" s="6" t="s">
        <v>8235</v>
      </c>
      <c r="I2574" s="6" t="s">
        <v>8576</v>
      </c>
      <c r="J2574" s="6" t="s">
        <v>10187</v>
      </c>
      <c r="K2574" s="6" t="s">
        <v>10886</v>
      </c>
      <c r="L2574" s="16" t="n">
        <v>43628</v>
      </c>
      <c r="M2574" s="16" t="n">
        <v>45716</v>
      </c>
      <c r="N2574" s="6" t="s">
        <v>10886</v>
      </c>
      <c r="O2574" s="16" t="n">
        <v>43628</v>
      </c>
      <c r="P2574" s="6" t="s">
        <v>12329</v>
      </c>
      <c r="Q2574" s="6" t="s">
        <v>81</v>
      </c>
      <c r="R2574" s="6" t="s">
        <v>81</v>
      </c>
      <c r="S2574" s="6" t="s">
        <v>10886</v>
      </c>
      <c r="T2574" s="16" t="n">
        <v>43628</v>
      </c>
      <c r="U2574" s="6" t="s">
        <v>13915</v>
      </c>
      <c r="V2574" s="6" t="s">
        <v>81</v>
      </c>
      <c r="W2574" s="6" t="s">
        <v>81</v>
      </c>
      <c r="X2574" s="6" t="s">
        <v>81</v>
      </c>
      <c r="Y2574" s="21" t="s">
        <v>81</v>
      </c>
      <c r="Z2574" s="6" t="s">
        <v>81</v>
      </c>
      <c r="AA2574" s="6" t="s">
        <v>81</v>
      </c>
      <c r="AB2574" s="6" t="s">
        <v>81</v>
      </c>
      <c r="AC2574" s="6" t="s">
        <v>81</v>
      </c>
      <c r="AD2574" s="21" t="s">
        <v>81</v>
      </c>
      <c r="AE2574" s="6" t="s">
        <v>81</v>
      </c>
      <c r="AF2574" s="6" t="s">
        <v>81</v>
      </c>
      <c r="AG2574" s="6" t="s">
        <v>81</v>
      </c>
      <c r="AH2574" s="6" t="s">
        <v>17109</v>
      </c>
      <c r="AI2574" s="6" t="s">
        <v>81</v>
      </c>
      <c r="AJ2574" s="6" t="s">
        <v>17815</v>
      </c>
      <c r="AK2574" s="6" t="s">
        <v>17712</v>
      </c>
      <c r="AL2574" s="6" t="s">
        <v>18444</v>
      </c>
      <c r="AM2574" s="6" t="s">
        <v>19558</v>
      </c>
      <c r="AN2574" s="6" t="s">
        <v>19682</v>
      </c>
      <c r="AO2574" s="6" t="s">
        <v>19806</v>
      </c>
      <c r="AP2574" s="6" t="s">
        <v>17109</v>
      </c>
      <c r="AQ2574" s="6" t="s">
        <v>81</v>
      </c>
      <c r="AR2574" s="6" t="s">
        <v>17815</v>
      </c>
      <c r="AS2574" s="6" t="s">
        <v>17712</v>
      </c>
      <c r="AT2574" s="6" t="s">
        <v>18444</v>
      </c>
      <c r="AU2574" s="6" t="s">
        <v>19558</v>
      </c>
      <c r="AV2574" s="6" t="s">
        <v>81</v>
      </c>
      <c r="AW2574" s="6" t="s">
        <v>81</v>
      </c>
      <c r="AX2574" s="6" t="s">
        <v>22437</v>
      </c>
      <c r="AY2574" s="6" t="s">
        <v>23496</v>
      </c>
      <c r="AZ2574" s="6" t="s">
        <v>23798</v>
      </c>
      <c r="BA2574" s="6" t="s">
        <v>81</v>
      </c>
      <c r="BB2574" s="24" t="n">
        <v>214</v>
      </c>
      <c r="BC2574" s="26"/>
      <c r="BD2574" s="26"/>
      <c r="BE2574" s="26"/>
      <c r="BF2574" s="26" t="s">
        <v>23900</v>
      </c>
      <c r="BG2574" s="26"/>
      <c r="BH2574" s="26"/>
      <c r="BI2574" s="26"/>
      <c r="BJ2574" s="26"/>
      <c r="BK2574" s="26"/>
      <c r="BL2574" s="26"/>
      <c r="BM2574" s="26"/>
      <c r="BN2574" s="26"/>
      <c r="BO2574" s="26"/>
      <c r="BP2574" s="16" t="n">
        <v>45686</v>
      </c>
      <c r="BQ2574" s="28" t="str">
        <f>HYPERLINK("https://organic.ams.usda.gov/Integrity/Certificate.aspx?cid=57&amp;nopid=3252018091")</f>
        <v>https://organic.ams.usda.gov/Integrity/Certificate.aspx?cid=57&amp;nopid=3252018091</v>
      </c>
    </row>
    <row r="2575">
      <c r="A2575" t="s">
        <v>3</v>
      </c>
      <c r="B2575" s="6" t="s">
        <v>7</v>
      </c>
      <c r="C2575" s="6" t="s">
        <v>54</v>
      </c>
      <c r="D2575" s="6" t="s">
        <v>100</v>
      </c>
      <c r="E2575" s="10" t="s">
        <v>2716</v>
      </c>
      <c r="F2575" s="6" t="s">
        <v>5420</v>
      </c>
      <c r="G2575" s="6" t="s">
        <v>81</v>
      </c>
      <c r="H2575" s="6" t="s">
        <v>8236</v>
      </c>
      <c r="I2575" s="6" t="s">
        <v>8511</v>
      </c>
      <c r="J2575" s="6" t="s">
        <v>10819</v>
      </c>
      <c r="K2575" s="6" t="s">
        <v>10886</v>
      </c>
      <c r="L2575" s="16" t="n">
        <v>39042</v>
      </c>
      <c r="M2575" s="16" t="n">
        <v>45716</v>
      </c>
      <c r="N2575" s="6" t="s">
        <v>10886</v>
      </c>
      <c r="O2575" s="16" t="n">
        <v>39042</v>
      </c>
      <c r="P2575" s="6" t="s">
        <v>11252</v>
      </c>
      <c r="Q2575" s="6" t="s">
        <v>81</v>
      </c>
      <c r="R2575" s="6" t="s">
        <v>81</v>
      </c>
      <c r="S2575" s="6" t="s">
        <v>10886</v>
      </c>
      <c r="T2575" s="16" t="n">
        <v>39226</v>
      </c>
      <c r="U2575" s="6" t="s">
        <v>13169</v>
      </c>
      <c r="V2575" s="6" t="s">
        <v>81</v>
      </c>
      <c r="W2575" s="6" t="s">
        <v>81</v>
      </c>
      <c r="X2575" s="6" t="s">
        <v>81</v>
      </c>
      <c r="Y2575" s="21" t="s">
        <v>81</v>
      </c>
      <c r="Z2575" s="6" t="s">
        <v>81</v>
      </c>
      <c r="AA2575" s="6" t="s">
        <v>81</v>
      </c>
      <c r="AB2575" s="6" t="s">
        <v>81</v>
      </c>
      <c r="AC2575" s="6" t="s">
        <v>81</v>
      </c>
      <c r="AD2575" s="21" t="s">
        <v>81</v>
      </c>
      <c r="AE2575" s="6" t="s">
        <v>81</v>
      </c>
      <c r="AF2575" s="6" t="s">
        <v>81</v>
      </c>
      <c r="AG2575" s="6" t="s">
        <v>81</v>
      </c>
      <c r="AH2575" s="6" t="s">
        <v>17110</v>
      </c>
      <c r="AI2575" s="6" t="s">
        <v>81</v>
      </c>
      <c r="AJ2575" s="6" t="s">
        <v>17435</v>
      </c>
      <c r="AK2575" s="6" t="s">
        <v>17712</v>
      </c>
      <c r="AL2575" s="6" t="s">
        <v>18444</v>
      </c>
      <c r="AM2575" s="6" t="s">
        <v>5928</v>
      </c>
      <c r="AN2575" s="6" t="s">
        <v>19651</v>
      </c>
      <c r="AO2575" s="6" t="s">
        <v>19741</v>
      </c>
      <c r="AP2575" s="6" t="s">
        <v>17110</v>
      </c>
      <c r="AQ2575" s="6" t="s">
        <v>81</v>
      </c>
      <c r="AR2575" s="6" t="s">
        <v>17435</v>
      </c>
      <c r="AS2575" s="6" t="s">
        <v>17712</v>
      </c>
      <c r="AT2575" s="6" t="s">
        <v>18444</v>
      </c>
      <c r="AU2575" s="6" t="s">
        <v>5928</v>
      </c>
      <c r="AV2575" s="6" t="s">
        <v>81</v>
      </c>
      <c r="AW2575" s="6" t="s">
        <v>81</v>
      </c>
      <c r="AX2575" s="6" t="s">
        <v>22438</v>
      </c>
      <c r="AY2575" s="6" t="s">
        <v>81</v>
      </c>
      <c r="AZ2575" s="6" t="s">
        <v>23799</v>
      </c>
      <c r="BA2575" s="6" t="s">
        <v>81</v>
      </c>
      <c r="BB2575" s="24" t="n">
        <v>1332</v>
      </c>
      <c r="BC2575" s="26"/>
      <c r="BD2575" s="26"/>
      <c r="BE2575" s="26"/>
      <c r="BF2575" s="26" t="s">
        <v>23900</v>
      </c>
      <c r="BG2575" s="26"/>
      <c r="BH2575" s="26"/>
      <c r="BI2575" s="26"/>
      <c r="BJ2575" s="26"/>
      <c r="BK2575" s="26"/>
      <c r="BL2575" s="26"/>
      <c r="BM2575" s="26"/>
      <c r="BN2575" s="26"/>
      <c r="BO2575" s="26"/>
      <c r="BP2575" s="16" t="n">
        <v>45595</v>
      </c>
      <c r="BQ2575" s="28" t="str">
        <f>HYPERLINK("https://organic.ams.usda.gov/Integrity/Certificate.aspx?cid=57&amp;nopid=3252006117")</f>
        <v>https://organic.ams.usda.gov/Integrity/Certificate.aspx?cid=57&amp;nopid=3252006117</v>
      </c>
    </row>
    <row r="2576">
      <c r="A2576" t="s">
        <v>3</v>
      </c>
      <c r="B2576" s="6" t="s">
        <v>34</v>
      </c>
      <c r="C2576" s="6" t="s">
        <v>81</v>
      </c>
      <c r="D2576" s="6" t="s">
        <v>81</v>
      </c>
      <c r="E2576" s="10" t="s">
        <v>2717</v>
      </c>
      <c r="F2576" s="6" t="s">
        <v>5421</v>
      </c>
      <c r="G2576" s="6" t="s">
        <v>5873</v>
      </c>
      <c r="H2576" s="6" t="s">
        <v>8237</v>
      </c>
      <c r="I2576" s="6" t="s">
        <v>8914</v>
      </c>
      <c r="J2576" s="6" t="s">
        <v>10310</v>
      </c>
      <c r="K2576" s="6" t="s">
        <v>10886</v>
      </c>
      <c r="L2576" s="16" t="n">
        <v>40689</v>
      </c>
      <c r="M2576" s="16" t="n">
        <v>45778</v>
      </c>
      <c r="N2576" s="6" t="s">
        <v>10886</v>
      </c>
      <c r="O2576" s="16" t="n">
        <v>40689</v>
      </c>
      <c r="P2576" s="6" t="s">
        <v>11128</v>
      </c>
      <c r="Q2576" s="6" t="s">
        <v>81</v>
      </c>
      <c r="R2576" s="6" t="s">
        <v>8237</v>
      </c>
      <c r="S2576" s="6" t="s">
        <v>10886</v>
      </c>
      <c r="T2576" s="16" t="n">
        <v>40689</v>
      </c>
      <c r="U2576" s="6" t="s">
        <v>13916</v>
      </c>
      <c r="V2576" s="6" t="s">
        <v>81</v>
      </c>
      <c r="W2576" s="6" t="s">
        <v>8237</v>
      </c>
      <c r="X2576" s="6" t="s">
        <v>81</v>
      </c>
      <c r="Y2576" s="21" t="s">
        <v>81</v>
      </c>
      <c r="Z2576" s="6" t="s">
        <v>81</v>
      </c>
      <c r="AA2576" s="6" t="s">
        <v>81</v>
      </c>
      <c r="AB2576" s="6" t="s">
        <v>81</v>
      </c>
      <c r="AC2576" s="6" t="s">
        <v>81</v>
      </c>
      <c r="AD2576" s="21" t="s">
        <v>81</v>
      </c>
      <c r="AE2576" s="6" t="s">
        <v>81</v>
      </c>
      <c r="AF2576" s="6" t="s">
        <v>81</v>
      </c>
      <c r="AG2576" s="6" t="s">
        <v>81</v>
      </c>
      <c r="AH2576" s="6" t="s">
        <v>17111</v>
      </c>
      <c r="AI2576" s="6" t="s">
        <v>81</v>
      </c>
      <c r="AJ2576" s="6" t="s">
        <v>17561</v>
      </c>
      <c r="AK2576" s="6" t="s">
        <v>18386</v>
      </c>
      <c r="AL2576" s="6" t="s">
        <v>18444</v>
      </c>
      <c r="AM2576" s="6" t="s">
        <v>18760</v>
      </c>
      <c r="AN2576" s="6" t="s">
        <v>81</v>
      </c>
      <c r="AO2576" s="6" t="s">
        <v>81</v>
      </c>
      <c r="AP2576" s="6" t="s">
        <v>81</v>
      </c>
      <c r="AQ2576" s="6" t="s">
        <v>81</v>
      </c>
      <c r="AR2576" s="6" t="s">
        <v>81</v>
      </c>
      <c r="AS2576" s="6" t="s">
        <v>81</v>
      </c>
      <c r="AT2576" s="6" t="s">
        <v>81</v>
      </c>
      <c r="AU2576" s="6" t="s">
        <v>81</v>
      </c>
      <c r="AV2576" s="6" t="s">
        <v>81</v>
      </c>
      <c r="AW2576" s="6" t="s">
        <v>81</v>
      </c>
      <c r="AX2576" s="6" t="s">
        <v>22439</v>
      </c>
      <c r="AY2576" s="6" t="s">
        <v>23497</v>
      </c>
      <c r="AZ2576" s="6" t="s">
        <v>81</v>
      </c>
      <c r="BA2576" s="6" t="s">
        <v>23833</v>
      </c>
      <c r="BB2576" s="24" t="n">
        <v>1474</v>
      </c>
      <c r="BC2576" s="26"/>
      <c r="BD2576" s="26"/>
      <c r="BE2576" s="26"/>
      <c r="BF2576" s="26" t="s">
        <v>23900</v>
      </c>
      <c r="BG2576" s="26"/>
      <c r="BH2576" s="26"/>
      <c r="BI2576" s="26"/>
      <c r="BJ2576" s="26"/>
      <c r="BK2576" s="26"/>
      <c r="BL2576" s="26"/>
      <c r="BM2576" s="26"/>
      <c r="BN2576" s="26"/>
      <c r="BO2576" s="26"/>
      <c r="BP2576" s="16" t="n">
        <v>45629</v>
      </c>
      <c r="BQ2576" s="28" t="str">
        <f>HYPERLINK("")</f>
      </c>
    </row>
    <row r="2577">
      <c r="A2577" t="s">
        <v>3</v>
      </c>
      <c r="B2577" s="6" t="s">
        <v>25</v>
      </c>
      <c r="C2577" s="6" t="s">
        <v>72</v>
      </c>
      <c r="D2577" s="6" t="s">
        <v>118</v>
      </c>
      <c r="E2577" s="10" t="s">
        <v>2718</v>
      </c>
      <c r="F2577" s="6" t="s">
        <v>5422</v>
      </c>
      <c r="G2577" s="6" t="s">
        <v>81</v>
      </c>
      <c r="H2577" s="6" t="s">
        <v>8238</v>
      </c>
      <c r="I2577" s="6" t="s">
        <v>9597</v>
      </c>
      <c r="J2577" s="6" t="s">
        <v>10820</v>
      </c>
      <c r="K2577" s="6" t="s">
        <v>10886</v>
      </c>
      <c r="L2577" s="16" t="n">
        <v>39142</v>
      </c>
      <c r="M2577" s="16" t="n">
        <v>46023</v>
      </c>
      <c r="N2577" s="6" t="s">
        <v>10886</v>
      </c>
      <c r="O2577" s="16" t="n">
        <v>39142</v>
      </c>
      <c r="P2577" s="6" t="s">
        <v>10910</v>
      </c>
      <c r="Q2577" s="6" t="s">
        <v>81</v>
      </c>
      <c r="R2577" s="6" t="s">
        <v>81</v>
      </c>
      <c r="S2577" s="6" t="s">
        <v>10886</v>
      </c>
      <c r="T2577" s="16" t="n">
        <v>39142</v>
      </c>
      <c r="U2577" s="6" t="s">
        <v>13917</v>
      </c>
      <c r="V2577" s="6" t="s">
        <v>81</v>
      </c>
      <c r="W2577" s="6" t="s">
        <v>81</v>
      </c>
      <c r="X2577" s="6" t="s">
        <v>81</v>
      </c>
      <c r="Y2577" s="21" t="s">
        <v>81</v>
      </c>
      <c r="Z2577" s="6" t="s">
        <v>81</v>
      </c>
      <c r="AA2577" s="6" t="s">
        <v>81</v>
      </c>
      <c r="AB2577" s="6" t="s">
        <v>81</v>
      </c>
      <c r="AC2577" s="6" t="s">
        <v>10886</v>
      </c>
      <c r="AD2577" s="16" t="n">
        <v>44733</v>
      </c>
      <c r="AE2577" s="6" t="s">
        <v>14081</v>
      </c>
      <c r="AF2577" s="6" t="s">
        <v>81</v>
      </c>
      <c r="AG2577" s="6" t="s">
        <v>81</v>
      </c>
      <c r="AH2577" s="6" t="s">
        <v>17112</v>
      </c>
      <c r="AI2577" s="6" t="s">
        <v>81</v>
      </c>
      <c r="AJ2577" s="6" t="s">
        <v>17901</v>
      </c>
      <c r="AK2577" s="6" t="s">
        <v>18386</v>
      </c>
      <c r="AL2577" s="6" t="s">
        <v>18444</v>
      </c>
      <c r="AM2577" s="6" t="s">
        <v>19573</v>
      </c>
      <c r="AN2577" s="6" t="s">
        <v>19651</v>
      </c>
      <c r="AO2577" s="6" t="s">
        <v>19864</v>
      </c>
      <c r="AP2577" s="6" t="s">
        <v>17112</v>
      </c>
      <c r="AQ2577" s="6" t="s">
        <v>81</v>
      </c>
      <c r="AR2577" s="6" t="s">
        <v>17901</v>
      </c>
      <c r="AS2577" s="6" t="s">
        <v>18386</v>
      </c>
      <c r="AT2577" s="6" t="s">
        <v>18444</v>
      </c>
      <c r="AU2577" s="6" t="s">
        <v>19573</v>
      </c>
      <c r="AV2577" s="6" t="s">
        <v>81</v>
      </c>
      <c r="AW2577" s="6" t="s">
        <v>81</v>
      </c>
      <c r="AX2577" s="6" t="s">
        <v>22440</v>
      </c>
      <c r="AY2577" s="6" t="s">
        <v>23498</v>
      </c>
      <c r="AZ2577" s="6" t="s">
        <v>81</v>
      </c>
      <c r="BA2577" s="6" t="s">
        <v>23827</v>
      </c>
      <c r="BB2577" s="24" t="n">
        <v>165</v>
      </c>
      <c r="BC2577" s="26"/>
      <c r="BD2577" s="26"/>
      <c r="BE2577" s="26"/>
      <c r="BF2577" s="26" t="s">
        <v>23900</v>
      </c>
      <c r="BG2577" s="26"/>
      <c r="BH2577" s="26"/>
      <c r="BI2577" s="26"/>
      <c r="BJ2577" s="26"/>
      <c r="BK2577" s="26"/>
      <c r="BL2577" s="26"/>
      <c r="BM2577" s="26"/>
      <c r="BN2577" s="26"/>
      <c r="BO2577" s="26"/>
      <c r="BP2577" s="16" t="n">
        <v>45720</v>
      </c>
      <c r="BQ2577" s="28" t="str">
        <f>HYPERLINK("https://organic.ams.usda.gov/Integrity/Certificate.aspx?cid=15&amp;nopid=5561000995")</f>
        <v>https://organic.ams.usda.gov/Integrity/Certificate.aspx?cid=15&amp;nopid=5561000995</v>
      </c>
    </row>
    <row r="2578">
      <c r="A2578" t="s">
        <v>3</v>
      </c>
      <c r="B2578" s="6" t="s">
        <v>35</v>
      </c>
      <c r="C2578" s="6" t="s">
        <v>82</v>
      </c>
      <c r="D2578" s="6" t="s">
        <v>127</v>
      </c>
      <c r="E2578" s="10" t="s">
        <v>2719</v>
      </c>
      <c r="F2578" s="6" t="s">
        <v>5423</v>
      </c>
      <c r="G2578" s="6" t="s">
        <v>81</v>
      </c>
      <c r="H2578" s="6" t="s">
        <v>8239</v>
      </c>
      <c r="I2578" s="6" t="s">
        <v>8565</v>
      </c>
      <c r="J2578" s="6" t="s">
        <v>10821</v>
      </c>
      <c r="K2578" s="6" t="s">
        <v>10886</v>
      </c>
      <c r="L2578" s="16" t="n">
        <v>37467</v>
      </c>
      <c r="M2578" s="16" t="n">
        <v>46157</v>
      </c>
      <c r="N2578" s="6" t="s">
        <v>10886</v>
      </c>
      <c r="O2578" s="16" t="n">
        <v>37467</v>
      </c>
      <c r="P2578" s="6" t="s">
        <v>11141</v>
      </c>
      <c r="Q2578" s="6" t="s">
        <v>81</v>
      </c>
      <c r="R2578" s="6" t="s">
        <v>13116</v>
      </c>
      <c r="S2578" s="6" t="s">
        <v>10886</v>
      </c>
      <c r="T2578" s="16" t="n">
        <v>37467</v>
      </c>
      <c r="U2578" s="6" t="s">
        <v>13320</v>
      </c>
      <c r="V2578" s="6" t="s">
        <v>81</v>
      </c>
      <c r="W2578" s="6" t="s">
        <v>13116</v>
      </c>
      <c r="X2578" s="6" t="s">
        <v>81</v>
      </c>
      <c r="Y2578" s="21" t="s">
        <v>81</v>
      </c>
      <c r="Z2578" s="6" t="s">
        <v>81</v>
      </c>
      <c r="AA2578" s="6" t="s">
        <v>81</v>
      </c>
      <c r="AB2578" s="6" t="s">
        <v>81</v>
      </c>
      <c r="AC2578" s="6" t="s">
        <v>81</v>
      </c>
      <c r="AD2578" s="21" t="s">
        <v>81</v>
      </c>
      <c r="AE2578" s="6" t="s">
        <v>81</v>
      </c>
      <c r="AF2578" s="6" t="s">
        <v>81</v>
      </c>
      <c r="AG2578" s="6" t="s">
        <v>81</v>
      </c>
      <c r="AH2578" s="6" t="s">
        <v>17113</v>
      </c>
      <c r="AI2578" s="6" t="s">
        <v>81</v>
      </c>
      <c r="AJ2578" s="6" t="s">
        <v>18281</v>
      </c>
      <c r="AK2578" s="6" t="s">
        <v>18405</v>
      </c>
      <c r="AL2578" s="6" t="s">
        <v>18444</v>
      </c>
      <c r="AM2578" s="6" t="s">
        <v>19508</v>
      </c>
      <c r="AN2578" s="6" t="s">
        <v>19692</v>
      </c>
      <c r="AO2578" s="6" t="s">
        <v>19751</v>
      </c>
      <c r="AP2578" s="6" t="s">
        <v>20453</v>
      </c>
      <c r="AQ2578" s="6" t="s">
        <v>81</v>
      </c>
      <c r="AR2578" s="6" t="s">
        <v>18281</v>
      </c>
      <c r="AS2578" s="6" t="s">
        <v>18405</v>
      </c>
      <c r="AT2578" s="6" t="s">
        <v>18444</v>
      </c>
      <c r="AU2578" s="6" t="s">
        <v>19508</v>
      </c>
      <c r="AV2578" s="6" t="s">
        <v>81</v>
      </c>
      <c r="AW2578" s="6" t="s">
        <v>81</v>
      </c>
      <c r="AX2578" s="6" t="s">
        <v>22441</v>
      </c>
      <c r="AY2578" s="6" t="s">
        <v>23499</v>
      </c>
      <c r="AZ2578" s="6" t="s">
        <v>81</v>
      </c>
      <c r="BA2578" s="6" t="s">
        <v>81</v>
      </c>
      <c r="BB2578" s="24" t="n">
        <v>305</v>
      </c>
      <c r="BC2578" s="26"/>
      <c r="BD2578" s="26"/>
      <c r="BE2578" s="26"/>
      <c r="BF2578" s="26"/>
      <c r="BG2578" s="26"/>
      <c r="BH2578" s="26"/>
      <c r="BI2578" s="26"/>
      <c r="BJ2578" s="26"/>
      <c r="BK2578" s="26"/>
      <c r="BL2578" s="26"/>
      <c r="BM2578" s="26"/>
      <c r="BN2578" s="26"/>
      <c r="BO2578" s="26"/>
      <c r="BP2578" s="16" t="n">
        <v>45736</v>
      </c>
      <c r="BQ2578" s="28" t="str">
        <f>HYPERLINK("https://organic.ams.usda.gov/Integrity/Certificate.aspx?cid=47&amp;nopid=7142070369")</f>
        <v>https://organic.ams.usda.gov/Integrity/Certificate.aspx?cid=47&amp;nopid=7142070369</v>
      </c>
    </row>
    <row r="2579">
      <c r="A2579" t="s">
        <v>3</v>
      </c>
      <c r="B2579" s="6" t="s">
        <v>9</v>
      </c>
      <c r="C2579" s="6" t="s">
        <v>56</v>
      </c>
      <c r="D2579" s="6" t="s">
        <v>102</v>
      </c>
      <c r="E2579" s="10" t="s">
        <v>2720</v>
      </c>
      <c r="F2579" s="6" t="s">
        <v>5424</v>
      </c>
      <c r="G2579" s="6" t="s">
        <v>81</v>
      </c>
      <c r="H2579" s="6" t="s">
        <v>8240</v>
      </c>
      <c r="I2579" s="6" t="s">
        <v>8824</v>
      </c>
      <c r="J2579" s="6" t="s">
        <v>9923</v>
      </c>
      <c r="K2579" s="6" t="s">
        <v>10886</v>
      </c>
      <c r="L2579" s="16" t="n">
        <v>43452</v>
      </c>
      <c r="M2579" s="16" t="n">
        <v>46113</v>
      </c>
      <c r="N2579" s="6" t="s">
        <v>10886</v>
      </c>
      <c r="O2579" s="16" t="n">
        <v>43452</v>
      </c>
      <c r="P2579" s="6" t="s">
        <v>12330</v>
      </c>
      <c r="Q2579" s="6" t="s">
        <v>81</v>
      </c>
      <c r="R2579" s="6" t="s">
        <v>13117</v>
      </c>
      <c r="S2579" s="6" t="s">
        <v>10886</v>
      </c>
      <c r="T2579" s="16" t="n">
        <v>43452</v>
      </c>
      <c r="U2579" s="6" t="s">
        <v>13162</v>
      </c>
      <c r="V2579" s="6" t="s">
        <v>81</v>
      </c>
      <c r="W2579" s="6" t="s">
        <v>13117</v>
      </c>
      <c r="X2579" s="6" t="s">
        <v>81</v>
      </c>
      <c r="Y2579" s="21" t="s">
        <v>81</v>
      </c>
      <c r="Z2579" s="6" t="s">
        <v>81</v>
      </c>
      <c r="AA2579" s="6" t="s">
        <v>81</v>
      </c>
      <c r="AB2579" s="6" t="s">
        <v>81</v>
      </c>
      <c r="AC2579" s="6" t="s">
        <v>81</v>
      </c>
      <c r="AD2579" s="21" t="s">
        <v>81</v>
      </c>
      <c r="AE2579" s="6" t="s">
        <v>81</v>
      </c>
      <c r="AF2579" s="6" t="s">
        <v>81</v>
      </c>
      <c r="AG2579" s="6" t="s">
        <v>81</v>
      </c>
      <c r="AH2579" s="6" t="s">
        <v>17114</v>
      </c>
      <c r="AI2579" s="6" t="s">
        <v>81</v>
      </c>
      <c r="AJ2579" s="6" t="s">
        <v>17636</v>
      </c>
      <c r="AK2579" s="6" t="s">
        <v>18377</v>
      </c>
      <c r="AL2579" s="6" t="s">
        <v>18444</v>
      </c>
      <c r="AM2579" s="6" t="s">
        <v>18805</v>
      </c>
      <c r="AN2579" s="6" t="s">
        <v>7195</v>
      </c>
      <c r="AO2579" s="6" t="s">
        <v>19737</v>
      </c>
      <c r="AP2579" s="6" t="s">
        <v>81</v>
      </c>
      <c r="AQ2579" s="6" t="s">
        <v>81</v>
      </c>
      <c r="AR2579" s="6" t="s">
        <v>81</v>
      </c>
      <c r="AS2579" s="6" t="s">
        <v>81</v>
      </c>
      <c r="AT2579" s="6" t="s">
        <v>81</v>
      </c>
      <c r="AU2579" s="6" t="s">
        <v>81</v>
      </c>
      <c r="AV2579" s="6" t="s">
        <v>81</v>
      </c>
      <c r="AW2579" s="6" t="s">
        <v>81</v>
      </c>
      <c r="AX2579" s="6" t="s">
        <v>81</v>
      </c>
      <c r="AY2579" s="6" t="s">
        <v>81</v>
      </c>
      <c r="AZ2579" s="6" t="s">
        <v>81</v>
      </c>
      <c r="BA2579" s="6" t="s">
        <v>81</v>
      </c>
      <c r="BB2579" s="24" t="n">
        <v>135</v>
      </c>
      <c r="BC2579" s="26"/>
      <c r="BD2579" s="26"/>
      <c r="BE2579" s="26"/>
      <c r="BF2579" s="26"/>
      <c r="BG2579" s="26"/>
      <c r="BH2579" s="26"/>
      <c r="BI2579" s="26"/>
      <c r="BJ2579" s="26"/>
      <c r="BK2579" s="26"/>
      <c r="BL2579" s="26"/>
      <c r="BM2579" s="26"/>
      <c r="BN2579" s="26"/>
      <c r="BO2579" s="26"/>
      <c r="BP2579" s="16" t="n">
        <v>45738</v>
      </c>
      <c r="BQ2579" s="28" t="str">
        <f>HYPERLINK("https://organic.ams.usda.gov/Integrity/Certificate.aspx?cid=52&amp;nopid=8431801572")</f>
        <v>https://organic.ams.usda.gov/Integrity/Certificate.aspx?cid=52&amp;nopid=8431801572</v>
      </c>
    </row>
    <row r="2580">
      <c r="A2580" t="s">
        <v>3</v>
      </c>
      <c r="B2580" s="6" t="s">
        <v>10</v>
      </c>
      <c r="C2580" s="6" t="s">
        <v>57</v>
      </c>
      <c r="D2580" s="6" t="s">
        <v>103</v>
      </c>
      <c r="E2580" s="10" t="s">
        <v>2721</v>
      </c>
      <c r="F2580" s="6" t="s">
        <v>5425</v>
      </c>
      <c r="G2580" s="6" t="s">
        <v>81</v>
      </c>
      <c r="H2580" s="6" t="s">
        <v>8241</v>
      </c>
      <c r="I2580" s="6" t="s">
        <v>9598</v>
      </c>
      <c r="J2580" s="6" t="s">
        <v>9665</v>
      </c>
      <c r="K2580" s="6" t="s">
        <v>10886</v>
      </c>
      <c r="L2580" s="16" t="n">
        <v>44391</v>
      </c>
      <c r="M2580" s="16" t="n">
        <v>45748</v>
      </c>
      <c r="N2580" s="6" t="s">
        <v>10886</v>
      </c>
      <c r="O2580" s="16" t="n">
        <v>44391</v>
      </c>
      <c r="P2580" s="6" t="s">
        <v>11006</v>
      </c>
      <c r="Q2580" s="6" t="s">
        <v>81</v>
      </c>
      <c r="R2580" s="6" t="s">
        <v>13118</v>
      </c>
      <c r="S2580" s="6" t="s">
        <v>10886</v>
      </c>
      <c r="T2580" s="16" t="n">
        <v>44391</v>
      </c>
      <c r="U2580" s="6" t="s">
        <v>13163</v>
      </c>
      <c r="V2580" s="6" t="s">
        <v>81</v>
      </c>
      <c r="W2580" s="6" t="s">
        <v>81</v>
      </c>
      <c r="X2580" s="6" t="s">
        <v>81</v>
      </c>
      <c r="Y2580" s="21" t="s">
        <v>81</v>
      </c>
      <c r="Z2580" s="6" t="s">
        <v>81</v>
      </c>
      <c r="AA2580" s="6" t="s">
        <v>81</v>
      </c>
      <c r="AB2580" s="6" t="s">
        <v>81</v>
      </c>
      <c r="AC2580" s="6" t="s">
        <v>81</v>
      </c>
      <c r="AD2580" s="21" t="s">
        <v>81</v>
      </c>
      <c r="AE2580" s="6" t="s">
        <v>81</v>
      </c>
      <c r="AF2580" s="6" t="s">
        <v>81</v>
      </c>
      <c r="AG2580" s="6" t="s">
        <v>81</v>
      </c>
      <c r="AH2580" s="6" t="s">
        <v>17115</v>
      </c>
      <c r="AI2580" s="6" t="s">
        <v>81</v>
      </c>
      <c r="AJ2580" s="6" t="s">
        <v>17785</v>
      </c>
      <c r="AK2580" s="6" t="s">
        <v>18385</v>
      </c>
      <c r="AL2580" s="6" t="s">
        <v>18444</v>
      </c>
      <c r="AM2580" s="6" t="s">
        <v>18959</v>
      </c>
      <c r="AN2580" s="6" t="s">
        <v>19674</v>
      </c>
      <c r="AO2580" s="6" t="s">
        <v>19789</v>
      </c>
      <c r="AP2580" s="6" t="s">
        <v>17115</v>
      </c>
      <c r="AQ2580" s="6" t="s">
        <v>81</v>
      </c>
      <c r="AR2580" s="6" t="s">
        <v>17785</v>
      </c>
      <c r="AS2580" s="6" t="s">
        <v>18385</v>
      </c>
      <c r="AT2580" s="6" t="s">
        <v>18444</v>
      </c>
      <c r="AU2580" s="6" t="s">
        <v>18959</v>
      </c>
      <c r="AV2580" s="6" t="s">
        <v>81</v>
      </c>
      <c r="AW2580" s="6" t="s">
        <v>81</v>
      </c>
      <c r="AX2580" s="6" t="s">
        <v>22442</v>
      </c>
      <c r="AY2580" s="6" t="s">
        <v>81</v>
      </c>
      <c r="AZ2580" s="6" t="s">
        <v>81</v>
      </c>
      <c r="BA2580" s="6" t="s">
        <v>81</v>
      </c>
      <c r="BB2580" s="24" t="n">
        <v>154</v>
      </c>
      <c r="BC2580" s="26"/>
      <c r="BD2580" s="26"/>
      <c r="BE2580" s="26"/>
      <c r="BF2580" s="26"/>
      <c r="BG2580" s="26"/>
      <c r="BH2580" s="26"/>
      <c r="BI2580" s="26"/>
      <c r="BJ2580" s="26"/>
      <c r="BK2580" s="26"/>
      <c r="BL2580" s="26"/>
      <c r="BM2580" s="26"/>
      <c r="BN2580" s="26"/>
      <c r="BO2580" s="26"/>
      <c r="BP2580" s="16" t="n">
        <v>45730</v>
      </c>
      <c r="BQ2580" s="28" t="str">
        <f>HYPERLINK("https://organic.ams.usda.gov/Integrity/Certificate.aspx?cid=90&amp;nopid=7170210302")</f>
        <v>https://organic.ams.usda.gov/Integrity/Certificate.aspx?cid=90&amp;nopid=7170210302</v>
      </c>
    </row>
    <row r="2581">
      <c r="A2581" t="s">
        <v>3</v>
      </c>
      <c r="B2581" s="6" t="s">
        <v>8</v>
      </c>
      <c r="C2581" s="6" t="s">
        <v>55</v>
      </c>
      <c r="D2581" s="6" t="s">
        <v>101</v>
      </c>
      <c r="E2581" s="10" t="s">
        <v>2722</v>
      </c>
      <c r="F2581" s="6" t="s">
        <v>5426</v>
      </c>
      <c r="G2581" s="6" t="s">
        <v>81</v>
      </c>
      <c r="H2581" s="6" t="s">
        <v>8242</v>
      </c>
      <c r="I2581" s="6" t="s">
        <v>8412</v>
      </c>
      <c r="J2581" s="6" t="s">
        <v>10822</v>
      </c>
      <c r="K2581" s="6" t="s">
        <v>10886</v>
      </c>
      <c r="L2581" s="16" t="n">
        <v>41913</v>
      </c>
      <c r="M2581" s="16" t="n">
        <v>45383</v>
      </c>
      <c r="N2581" s="6" t="s">
        <v>10886</v>
      </c>
      <c r="O2581" s="16" t="n">
        <v>41913</v>
      </c>
      <c r="P2581" s="6" t="s">
        <v>12331</v>
      </c>
      <c r="Q2581" s="6" t="s">
        <v>81</v>
      </c>
      <c r="R2581" s="6" t="s">
        <v>8242</v>
      </c>
      <c r="S2581" s="6" t="s">
        <v>10886</v>
      </c>
      <c r="T2581" s="16" t="n">
        <v>41913</v>
      </c>
      <c r="U2581" s="6" t="s">
        <v>13918</v>
      </c>
      <c r="V2581" s="6" t="s">
        <v>81</v>
      </c>
      <c r="W2581" s="6" t="s">
        <v>8242</v>
      </c>
      <c r="X2581" s="6" t="s">
        <v>81</v>
      </c>
      <c r="Y2581" s="21" t="s">
        <v>81</v>
      </c>
      <c r="Z2581" s="6" t="s">
        <v>81</v>
      </c>
      <c r="AA2581" s="6" t="s">
        <v>81</v>
      </c>
      <c r="AB2581" s="6" t="s">
        <v>81</v>
      </c>
      <c r="AC2581" s="6" t="s">
        <v>81</v>
      </c>
      <c r="AD2581" s="21" t="s">
        <v>81</v>
      </c>
      <c r="AE2581" s="6" t="s">
        <v>81</v>
      </c>
      <c r="AF2581" s="6" t="s">
        <v>81</v>
      </c>
      <c r="AG2581" s="6" t="s">
        <v>81</v>
      </c>
      <c r="AH2581" s="6" t="s">
        <v>15777</v>
      </c>
      <c r="AI2581" s="6" t="s">
        <v>81</v>
      </c>
      <c r="AJ2581" s="6" t="s">
        <v>17928</v>
      </c>
      <c r="AK2581" s="6" t="s">
        <v>18381</v>
      </c>
      <c r="AL2581" s="6" t="s">
        <v>18444</v>
      </c>
      <c r="AM2581" s="6" t="s">
        <v>19574</v>
      </c>
      <c r="AN2581" s="6" t="s">
        <v>7595</v>
      </c>
      <c r="AO2581" s="6" t="s">
        <v>19866</v>
      </c>
      <c r="AP2581" s="6" t="s">
        <v>20454</v>
      </c>
      <c r="AQ2581" s="6" t="s">
        <v>81</v>
      </c>
      <c r="AR2581" s="6" t="s">
        <v>17928</v>
      </c>
      <c r="AS2581" s="6" t="s">
        <v>18381</v>
      </c>
      <c r="AT2581" s="6" t="s">
        <v>18444</v>
      </c>
      <c r="AU2581" s="6" t="s">
        <v>19574</v>
      </c>
      <c r="AV2581" s="6" t="s">
        <v>81</v>
      </c>
      <c r="AW2581" s="6" t="s">
        <v>81</v>
      </c>
      <c r="AX2581" s="6" t="s">
        <v>81</v>
      </c>
      <c r="AY2581" s="6" t="s">
        <v>23500</v>
      </c>
      <c r="AZ2581" s="6" t="s">
        <v>81</v>
      </c>
      <c r="BA2581" s="6" t="s">
        <v>23824</v>
      </c>
      <c r="BB2581" s="24" t="n">
        <v>263</v>
      </c>
      <c r="BC2581" s="26"/>
      <c r="BD2581" s="26"/>
      <c r="BE2581" s="26"/>
      <c r="BF2581" s="26" t="s">
        <v>23900</v>
      </c>
      <c r="BG2581" s="26"/>
      <c r="BH2581" s="26"/>
      <c r="BI2581" s="26"/>
      <c r="BJ2581" s="26"/>
      <c r="BK2581" s="26"/>
      <c r="BL2581" s="26"/>
      <c r="BM2581" s="26"/>
      <c r="BN2581" s="26"/>
      <c r="BO2581" s="26"/>
      <c r="BP2581" s="16" t="n">
        <v>45671</v>
      </c>
      <c r="BQ2581" s="28" t="str">
        <f>HYPERLINK("https://organic.ams.usda.gov/Integrity/Certificate.aspx?cid=45&amp;nopid=9950007802")</f>
        <v>https://organic.ams.usda.gov/Integrity/Certificate.aspx?cid=45&amp;nopid=9950007802</v>
      </c>
    </row>
    <row r="2582">
      <c r="A2582" t="s">
        <v>3</v>
      </c>
      <c r="B2582" s="6" t="s">
        <v>11</v>
      </c>
      <c r="C2582" s="6" t="s">
        <v>58</v>
      </c>
      <c r="D2582" s="6" t="s">
        <v>104</v>
      </c>
      <c r="E2582" s="10" t="s">
        <v>2723</v>
      </c>
      <c r="F2582" s="6" t="s">
        <v>5427</v>
      </c>
      <c r="G2582" s="6" t="s">
        <v>81</v>
      </c>
      <c r="H2582" s="6" t="s">
        <v>81</v>
      </c>
      <c r="I2582" s="6" t="s">
        <v>9599</v>
      </c>
      <c r="J2582" s="6" t="s">
        <v>9671</v>
      </c>
      <c r="K2582" s="6" t="s">
        <v>10886</v>
      </c>
      <c r="L2582" s="16" t="n">
        <v>44783</v>
      </c>
      <c r="M2582" s="16" t="n">
        <v>45383</v>
      </c>
      <c r="N2582" s="6" t="s">
        <v>10886</v>
      </c>
      <c r="O2582" s="16" t="n">
        <v>44783</v>
      </c>
      <c r="P2582" s="6" t="s">
        <v>12332</v>
      </c>
      <c r="Q2582" s="6" t="s">
        <v>81</v>
      </c>
      <c r="R2582" s="6" t="s">
        <v>81</v>
      </c>
      <c r="S2582" s="6" t="s">
        <v>10886</v>
      </c>
      <c r="T2582" s="16" t="n">
        <v>44783</v>
      </c>
      <c r="U2582" s="6" t="s">
        <v>13866</v>
      </c>
      <c r="V2582" s="6" t="s">
        <v>81</v>
      </c>
      <c r="W2582" s="6" t="s">
        <v>81</v>
      </c>
      <c r="X2582" s="6" t="s">
        <v>81</v>
      </c>
      <c r="Y2582" s="21" t="s">
        <v>81</v>
      </c>
      <c r="Z2582" s="6" t="s">
        <v>81</v>
      </c>
      <c r="AA2582" s="6" t="s">
        <v>81</v>
      </c>
      <c r="AB2582" s="6" t="s">
        <v>81</v>
      </c>
      <c r="AC2582" s="6" t="s">
        <v>81</v>
      </c>
      <c r="AD2582" s="21" t="s">
        <v>81</v>
      </c>
      <c r="AE2582" s="6" t="s">
        <v>81</v>
      </c>
      <c r="AF2582" s="6" t="s">
        <v>81</v>
      </c>
      <c r="AG2582" s="6" t="s">
        <v>81</v>
      </c>
      <c r="AH2582" s="6" t="s">
        <v>17116</v>
      </c>
      <c r="AI2582" s="6" t="s">
        <v>81</v>
      </c>
      <c r="AJ2582" s="6" t="s">
        <v>18331</v>
      </c>
      <c r="AK2582" s="6" t="s">
        <v>18377</v>
      </c>
      <c r="AL2582" s="6" t="s">
        <v>18444</v>
      </c>
      <c r="AM2582" s="6" t="s">
        <v>19575</v>
      </c>
      <c r="AN2582" s="6" t="s">
        <v>7595</v>
      </c>
      <c r="AO2582" s="6" t="s">
        <v>19826</v>
      </c>
      <c r="AP2582" s="6" t="s">
        <v>17116</v>
      </c>
      <c r="AQ2582" s="6" t="s">
        <v>81</v>
      </c>
      <c r="AR2582" s="6" t="s">
        <v>18331</v>
      </c>
      <c r="AS2582" s="6" t="s">
        <v>18377</v>
      </c>
      <c r="AT2582" s="6" t="s">
        <v>18444</v>
      </c>
      <c r="AU2582" s="6" t="s">
        <v>19575</v>
      </c>
      <c r="AV2582" s="6" t="s">
        <v>81</v>
      </c>
      <c r="AW2582" s="6" t="s">
        <v>81</v>
      </c>
      <c r="AX2582" s="6" t="s">
        <v>81</v>
      </c>
      <c r="AY2582" s="6" t="s">
        <v>81</v>
      </c>
      <c r="AZ2582" s="6" t="s">
        <v>81</v>
      </c>
      <c r="BA2582" s="6" t="s">
        <v>23825</v>
      </c>
      <c r="BB2582" s="24" t="n">
        <v>195</v>
      </c>
      <c r="BC2582" s="26"/>
      <c r="BD2582" s="26"/>
      <c r="BE2582" s="26"/>
      <c r="BF2582" s="26"/>
      <c r="BG2582" s="26"/>
      <c r="BH2582" s="26"/>
      <c r="BI2582" s="26"/>
      <c r="BJ2582" s="26"/>
      <c r="BK2582" s="26"/>
      <c r="BL2582" s="26"/>
      <c r="BM2582" s="26"/>
      <c r="BN2582" s="26"/>
      <c r="BO2582" s="26"/>
      <c r="BP2582" s="16" t="n">
        <v>45443</v>
      </c>
      <c r="BQ2582" s="28" t="str">
        <f>HYPERLINK("https://organic.ams.usda.gov/Integrity/Certificate.aspx?cid=46&amp;nopid=3672200022")</f>
        <v>https://organic.ams.usda.gov/Integrity/Certificate.aspx?cid=46&amp;nopid=3672200022</v>
      </c>
    </row>
    <row r="2583">
      <c r="A2583" t="s">
        <v>3</v>
      </c>
      <c r="B2583" s="6" t="s">
        <v>7</v>
      </c>
      <c r="C2583" s="6" t="s">
        <v>54</v>
      </c>
      <c r="D2583" s="6" t="s">
        <v>100</v>
      </c>
      <c r="E2583" s="10" t="s">
        <v>2724</v>
      </c>
      <c r="F2583" s="6" t="s">
        <v>5428</v>
      </c>
      <c r="G2583" s="6" t="s">
        <v>81</v>
      </c>
      <c r="H2583" s="6" t="s">
        <v>8243</v>
      </c>
      <c r="I2583" s="6" t="s">
        <v>8677</v>
      </c>
      <c r="J2583" s="6" t="s">
        <v>9753</v>
      </c>
      <c r="K2583" s="6" t="s">
        <v>10886</v>
      </c>
      <c r="L2583" s="16" t="n">
        <v>42674</v>
      </c>
      <c r="M2583" s="16" t="n">
        <v>45716</v>
      </c>
      <c r="N2583" s="6" t="s">
        <v>10886</v>
      </c>
      <c r="O2583" s="16" t="n">
        <v>42674</v>
      </c>
      <c r="P2583" s="6" t="s">
        <v>10910</v>
      </c>
      <c r="Q2583" s="6" t="s">
        <v>81</v>
      </c>
      <c r="R2583" s="6" t="s">
        <v>81</v>
      </c>
      <c r="S2583" s="6" t="s">
        <v>10886</v>
      </c>
      <c r="T2583" s="16" t="n">
        <v>42681</v>
      </c>
      <c r="U2583" s="6" t="s">
        <v>13169</v>
      </c>
      <c r="V2583" s="6" t="s">
        <v>81</v>
      </c>
      <c r="W2583" s="6" t="s">
        <v>81</v>
      </c>
      <c r="X2583" s="6" t="s">
        <v>81</v>
      </c>
      <c r="Y2583" s="21" t="s">
        <v>81</v>
      </c>
      <c r="Z2583" s="6" t="s">
        <v>81</v>
      </c>
      <c r="AA2583" s="6" t="s">
        <v>81</v>
      </c>
      <c r="AB2583" s="6" t="s">
        <v>81</v>
      </c>
      <c r="AC2583" s="6" t="s">
        <v>81</v>
      </c>
      <c r="AD2583" s="21" t="s">
        <v>81</v>
      </c>
      <c r="AE2583" s="6" t="s">
        <v>81</v>
      </c>
      <c r="AF2583" s="6" t="s">
        <v>81</v>
      </c>
      <c r="AG2583" s="6" t="s">
        <v>81</v>
      </c>
      <c r="AH2583" s="6" t="s">
        <v>17117</v>
      </c>
      <c r="AI2583" s="6" t="s">
        <v>81</v>
      </c>
      <c r="AJ2583" s="6" t="s">
        <v>17470</v>
      </c>
      <c r="AK2583" s="6" t="s">
        <v>17712</v>
      </c>
      <c r="AL2583" s="6" t="s">
        <v>18444</v>
      </c>
      <c r="AM2583" s="6" t="s">
        <v>18632</v>
      </c>
      <c r="AN2583" s="6" t="s">
        <v>7895</v>
      </c>
      <c r="AO2583" s="6" t="s">
        <v>19721</v>
      </c>
      <c r="AP2583" s="6" t="s">
        <v>17117</v>
      </c>
      <c r="AQ2583" s="6" t="s">
        <v>81</v>
      </c>
      <c r="AR2583" s="6" t="s">
        <v>17470</v>
      </c>
      <c r="AS2583" s="6" t="s">
        <v>17712</v>
      </c>
      <c r="AT2583" s="6" t="s">
        <v>18444</v>
      </c>
      <c r="AU2583" s="6" t="s">
        <v>18632</v>
      </c>
      <c r="AV2583" s="6" t="s">
        <v>81</v>
      </c>
      <c r="AW2583" s="6" t="s">
        <v>81</v>
      </c>
      <c r="AX2583" s="6" t="s">
        <v>22443</v>
      </c>
      <c r="AY2583" s="6" t="s">
        <v>23501</v>
      </c>
      <c r="AZ2583" s="6" t="s">
        <v>81</v>
      </c>
      <c r="BA2583" s="6" t="s">
        <v>81</v>
      </c>
      <c r="BB2583" s="24" t="n">
        <v>250</v>
      </c>
      <c r="BC2583" s="26"/>
      <c r="BD2583" s="26"/>
      <c r="BE2583" s="26"/>
      <c r="BF2583" s="26"/>
      <c r="BG2583" s="26"/>
      <c r="BH2583" s="26"/>
      <c r="BI2583" s="26"/>
      <c r="BJ2583" s="26"/>
      <c r="BK2583" s="26"/>
      <c r="BL2583" s="26"/>
      <c r="BM2583" s="26"/>
      <c r="BN2583" s="26"/>
      <c r="BO2583" s="26"/>
      <c r="BP2583" s="16" t="n">
        <v>45595</v>
      </c>
      <c r="BQ2583" s="28" t="str">
        <f>HYPERLINK("https://organic.ams.usda.gov/Integrity/Certificate.aspx?cid=57&amp;nopid=3252016159")</f>
        <v>https://organic.ams.usda.gov/Integrity/Certificate.aspx?cid=57&amp;nopid=3252016159</v>
      </c>
    </row>
    <row r="2584">
      <c r="A2584" t="s">
        <v>3</v>
      </c>
      <c r="B2584" s="6" t="s">
        <v>25</v>
      </c>
      <c r="C2584" s="6" t="s">
        <v>72</v>
      </c>
      <c r="D2584" s="6" t="s">
        <v>118</v>
      </c>
      <c r="E2584" s="10" t="s">
        <v>2725</v>
      </c>
      <c r="F2584" s="6" t="s">
        <v>5429</v>
      </c>
      <c r="G2584" s="6" t="s">
        <v>5874</v>
      </c>
      <c r="H2584" s="6" t="s">
        <v>8244</v>
      </c>
      <c r="I2584" s="6" t="s">
        <v>9600</v>
      </c>
      <c r="J2584" s="6" t="s">
        <v>10823</v>
      </c>
      <c r="K2584" s="6" t="s">
        <v>10886</v>
      </c>
      <c r="L2584" s="16" t="n">
        <v>43224</v>
      </c>
      <c r="M2584" s="16" t="n">
        <v>46023</v>
      </c>
      <c r="N2584" s="6" t="s">
        <v>81</v>
      </c>
      <c r="O2584" s="21" t="s">
        <v>81</v>
      </c>
      <c r="P2584" s="6" t="s">
        <v>81</v>
      </c>
      <c r="Q2584" s="6" t="s">
        <v>81</v>
      </c>
      <c r="R2584" s="6" t="s">
        <v>81</v>
      </c>
      <c r="S2584" s="6" t="s">
        <v>81</v>
      </c>
      <c r="T2584" s="21" t="s">
        <v>81</v>
      </c>
      <c r="U2584" s="6" t="s">
        <v>81</v>
      </c>
      <c r="V2584" s="6" t="s">
        <v>81</v>
      </c>
      <c r="W2584" s="6" t="s">
        <v>81</v>
      </c>
      <c r="X2584" s="6" t="s">
        <v>81</v>
      </c>
      <c r="Y2584" s="21" t="s">
        <v>81</v>
      </c>
      <c r="Z2584" s="6" t="s">
        <v>81</v>
      </c>
      <c r="AA2584" s="6" t="s">
        <v>81</v>
      </c>
      <c r="AB2584" s="6" t="s">
        <v>81</v>
      </c>
      <c r="AC2584" s="6" t="s">
        <v>10886</v>
      </c>
      <c r="AD2584" s="16" t="n">
        <v>43224</v>
      </c>
      <c r="AE2584" s="6" t="s">
        <v>14476</v>
      </c>
      <c r="AF2584" s="6" t="s">
        <v>81</v>
      </c>
      <c r="AG2584" s="6" t="s">
        <v>81</v>
      </c>
      <c r="AH2584" s="6" t="s">
        <v>17118</v>
      </c>
      <c r="AI2584" s="6" t="s">
        <v>81</v>
      </c>
      <c r="AJ2584" s="6" t="s">
        <v>18332</v>
      </c>
      <c r="AK2584" s="6" t="s">
        <v>18386</v>
      </c>
      <c r="AL2584" s="6" t="s">
        <v>18444</v>
      </c>
      <c r="AM2584" s="6" t="s">
        <v>19576</v>
      </c>
      <c r="AN2584" s="6" t="s">
        <v>19704</v>
      </c>
      <c r="AO2584" s="6" t="s">
        <v>19928</v>
      </c>
      <c r="AP2584" s="6" t="s">
        <v>20455</v>
      </c>
      <c r="AQ2584" s="6" t="s">
        <v>81</v>
      </c>
      <c r="AR2584" s="6" t="s">
        <v>18332</v>
      </c>
      <c r="AS2584" s="6" t="s">
        <v>18386</v>
      </c>
      <c r="AT2584" s="6" t="s">
        <v>18444</v>
      </c>
      <c r="AU2584" s="6" t="s">
        <v>19576</v>
      </c>
      <c r="AV2584" s="6" t="s">
        <v>81</v>
      </c>
      <c r="AW2584" s="6" t="s">
        <v>81</v>
      </c>
      <c r="AX2584" s="6" t="s">
        <v>22444</v>
      </c>
      <c r="AY2584" s="6" t="s">
        <v>23502</v>
      </c>
      <c r="AZ2584" s="6" t="s">
        <v>81</v>
      </c>
      <c r="BA2584" s="6" t="s">
        <v>23827</v>
      </c>
      <c r="BB2584" s="6" t="s">
        <v>81</v>
      </c>
      <c r="BC2584" s="26"/>
      <c r="BD2584" s="26"/>
      <c r="BE2584" s="26"/>
      <c r="BF2584" s="26"/>
      <c r="BG2584" s="26"/>
      <c r="BH2584" s="26"/>
      <c r="BI2584" s="26"/>
      <c r="BJ2584" s="26"/>
      <c r="BK2584" s="26"/>
      <c r="BL2584" s="26"/>
      <c r="BM2584" s="26"/>
      <c r="BN2584" s="26"/>
      <c r="BO2584" s="26"/>
      <c r="BP2584" s="16" t="n">
        <v>45686</v>
      </c>
      <c r="BQ2584" s="28" t="str">
        <f>HYPERLINK("https://organic.ams.usda.gov/Integrity/Certificate.aspx?cid=15&amp;nopid=5561005252")</f>
        <v>https://organic.ams.usda.gov/Integrity/Certificate.aspx?cid=15&amp;nopid=5561005252</v>
      </c>
    </row>
    <row r="2585">
      <c r="A2585" t="s">
        <v>3</v>
      </c>
      <c r="B2585" s="6" t="s">
        <v>14</v>
      </c>
      <c r="C2585" s="6" t="s">
        <v>61</v>
      </c>
      <c r="D2585" s="6" t="s">
        <v>107</v>
      </c>
      <c r="E2585" s="10" t="s">
        <v>2726</v>
      </c>
      <c r="F2585" s="6" t="s">
        <v>5430</v>
      </c>
      <c r="G2585" s="6" t="s">
        <v>81</v>
      </c>
      <c r="H2585" s="6" t="s">
        <v>8245</v>
      </c>
      <c r="I2585" s="6" t="s">
        <v>8964</v>
      </c>
      <c r="J2585" s="6" t="s">
        <v>10824</v>
      </c>
      <c r="K2585" s="6" t="s">
        <v>10886</v>
      </c>
      <c r="L2585" s="16" t="n">
        <v>45554</v>
      </c>
      <c r="M2585" s="16" t="n">
        <v>45778</v>
      </c>
      <c r="N2585" s="6" t="s">
        <v>81</v>
      </c>
      <c r="O2585" s="21" t="s">
        <v>81</v>
      </c>
      <c r="P2585" s="6" t="s">
        <v>81</v>
      </c>
      <c r="Q2585" s="6" t="s">
        <v>81</v>
      </c>
      <c r="R2585" s="6" t="s">
        <v>81</v>
      </c>
      <c r="S2585" s="6" t="s">
        <v>81</v>
      </c>
      <c r="T2585" s="21" t="s">
        <v>81</v>
      </c>
      <c r="U2585" s="6" t="s">
        <v>81</v>
      </c>
      <c r="V2585" s="6" t="s">
        <v>81</v>
      </c>
      <c r="W2585" s="6" t="s">
        <v>81</v>
      </c>
      <c r="X2585" s="6" t="s">
        <v>81</v>
      </c>
      <c r="Y2585" s="21" t="s">
        <v>81</v>
      </c>
      <c r="Z2585" s="6" t="s">
        <v>81</v>
      </c>
      <c r="AA2585" s="6" t="s">
        <v>81</v>
      </c>
      <c r="AB2585" s="6" t="s">
        <v>81</v>
      </c>
      <c r="AC2585" s="6" t="s">
        <v>10886</v>
      </c>
      <c r="AD2585" s="16" t="n">
        <v>45554</v>
      </c>
      <c r="AE2585" s="6" t="s">
        <v>14477</v>
      </c>
      <c r="AF2585" s="6" t="s">
        <v>81</v>
      </c>
      <c r="AG2585" s="6" t="s">
        <v>81</v>
      </c>
      <c r="AH2585" s="6" t="s">
        <v>17119</v>
      </c>
      <c r="AI2585" s="6" t="s">
        <v>81</v>
      </c>
      <c r="AJ2585" s="6" t="s">
        <v>17334</v>
      </c>
      <c r="AK2585" s="6" t="s">
        <v>18382</v>
      </c>
      <c r="AL2585" s="6" t="s">
        <v>18444</v>
      </c>
      <c r="AM2585" s="6" t="s">
        <v>18488</v>
      </c>
      <c r="AN2585" s="6" t="s">
        <v>81</v>
      </c>
      <c r="AO2585" s="6" t="s">
        <v>81</v>
      </c>
      <c r="AP2585" s="6" t="s">
        <v>17119</v>
      </c>
      <c r="AQ2585" s="6" t="s">
        <v>81</v>
      </c>
      <c r="AR2585" s="6" t="s">
        <v>17334</v>
      </c>
      <c r="AS2585" s="6" t="s">
        <v>18382</v>
      </c>
      <c r="AT2585" s="6" t="s">
        <v>18444</v>
      </c>
      <c r="AU2585" s="6" t="s">
        <v>18488</v>
      </c>
      <c r="AV2585" s="6" t="s">
        <v>81</v>
      </c>
      <c r="AW2585" s="6" t="s">
        <v>81</v>
      </c>
      <c r="AX2585" s="6" t="s">
        <v>22445</v>
      </c>
      <c r="AY2585" s="6" t="s">
        <v>23503</v>
      </c>
      <c r="AZ2585" s="6" t="s">
        <v>81</v>
      </c>
      <c r="BA2585" s="6" t="s">
        <v>81</v>
      </c>
      <c r="BB2585" s="24" t="n">
        <v>0</v>
      </c>
      <c r="BC2585" s="26"/>
      <c r="BD2585" s="26"/>
      <c r="BE2585" s="26"/>
      <c r="BF2585" s="26"/>
      <c r="BG2585" s="26"/>
      <c r="BH2585" s="26" t="s">
        <v>23900</v>
      </c>
      <c r="BI2585" s="26"/>
      <c r="BJ2585" s="26"/>
      <c r="BK2585" s="26"/>
      <c r="BL2585" s="26"/>
      <c r="BM2585" s="26"/>
      <c r="BN2585" s="26"/>
      <c r="BO2585" s="26"/>
      <c r="BP2585" s="16" t="n">
        <v>45664</v>
      </c>
      <c r="BQ2585" s="28" t="str">
        <f>HYPERLINK("https://organic.ams.usda.gov/Integrity/Certificate.aspx?cid=51&amp;nopid=8241000137")</f>
        <v>https://organic.ams.usda.gov/Integrity/Certificate.aspx?cid=51&amp;nopid=8241000137</v>
      </c>
    </row>
    <row r="2586">
      <c r="A2586" t="s">
        <v>3</v>
      </c>
      <c r="B2586" s="6" t="s">
        <v>45</v>
      </c>
      <c r="C2586" s="6" t="s">
        <v>92</v>
      </c>
      <c r="D2586" s="6" t="s">
        <v>137</v>
      </c>
      <c r="E2586" s="10" t="s">
        <v>2727</v>
      </c>
      <c r="F2586" s="6" t="s">
        <v>5431</v>
      </c>
      <c r="G2586" s="6" t="s">
        <v>81</v>
      </c>
      <c r="H2586" s="6" t="s">
        <v>8246</v>
      </c>
      <c r="I2586" s="6" t="s">
        <v>9601</v>
      </c>
      <c r="J2586" s="6" t="s">
        <v>10825</v>
      </c>
      <c r="K2586" s="6" t="s">
        <v>10886</v>
      </c>
      <c r="L2586" s="16" t="n">
        <v>42669</v>
      </c>
      <c r="M2586" s="16" t="n">
        <v>45657</v>
      </c>
      <c r="N2586" s="6" t="s">
        <v>81</v>
      </c>
      <c r="O2586" s="21" t="s">
        <v>81</v>
      </c>
      <c r="P2586" s="6" t="s">
        <v>81</v>
      </c>
      <c r="Q2586" s="6" t="s">
        <v>81</v>
      </c>
      <c r="R2586" s="6" t="s">
        <v>81</v>
      </c>
      <c r="S2586" s="6" t="s">
        <v>81</v>
      </c>
      <c r="T2586" s="21" t="s">
        <v>81</v>
      </c>
      <c r="U2586" s="6" t="s">
        <v>81</v>
      </c>
      <c r="V2586" s="6" t="s">
        <v>81</v>
      </c>
      <c r="W2586" s="6" t="s">
        <v>81</v>
      </c>
      <c r="X2586" s="6" t="s">
        <v>81</v>
      </c>
      <c r="Y2586" s="21" t="s">
        <v>81</v>
      </c>
      <c r="Z2586" s="6" t="s">
        <v>81</v>
      </c>
      <c r="AA2586" s="6" t="s">
        <v>81</v>
      </c>
      <c r="AB2586" s="6" t="s">
        <v>81</v>
      </c>
      <c r="AC2586" s="6" t="s">
        <v>10886</v>
      </c>
      <c r="AD2586" s="16" t="n">
        <v>42669</v>
      </c>
      <c r="AE2586" s="6" t="s">
        <v>14478</v>
      </c>
      <c r="AF2586" s="6" t="s">
        <v>81</v>
      </c>
      <c r="AG2586" s="6" t="s">
        <v>14609</v>
      </c>
      <c r="AH2586" s="6" t="s">
        <v>17120</v>
      </c>
      <c r="AI2586" s="6" t="s">
        <v>81</v>
      </c>
      <c r="AJ2586" s="6" t="s">
        <v>18333</v>
      </c>
      <c r="AK2586" s="6" t="s">
        <v>81</v>
      </c>
      <c r="AL2586" s="6" t="s">
        <v>17856</v>
      </c>
      <c r="AM2586" s="6" t="s">
        <v>19577</v>
      </c>
      <c r="AN2586" s="6" t="s">
        <v>81</v>
      </c>
      <c r="AO2586" s="6" t="s">
        <v>81</v>
      </c>
      <c r="AP2586" s="6" t="s">
        <v>81</v>
      </c>
      <c r="AQ2586" s="6" t="s">
        <v>81</v>
      </c>
      <c r="AR2586" s="6" t="s">
        <v>81</v>
      </c>
      <c r="AS2586" s="6" t="s">
        <v>81</v>
      </c>
      <c r="AT2586" s="6" t="s">
        <v>81</v>
      </c>
      <c r="AU2586" s="6" t="s">
        <v>81</v>
      </c>
      <c r="AV2586" s="6" t="s">
        <v>81</v>
      </c>
      <c r="AW2586" s="6" t="s">
        <v>81</v>
      </c>
      <c r="AX2586" s="6" t="s">
        <v>22446</v>
      </c>
      <c r="AY2586" s="6" t="s">
        <v>23504</v>
      </c>
      <c r="AZ2586" s="6" t="s">
        <v>81</v>
      </c>
      <c r="BA2586" s="6" t="s">
        <v>81</v>
      </c>
      <c r="BB2586" s="6" t="s">
        <v>81</v>
      </c>
      <c r="BC2586" s="26"/>
      <c r="BD2586" s="26"/>
      <c r="BE2586" s="26"/>
      <c r="BF2586" s="26"/>
      <c r="BG2586" s="26"/>
      <c r="BH2586" s="26"/>
      <c r="BI2586" s="26"/>
      <c r="BJ2586" s="26"/>
      <c r="BK2586" s="26"/>
      <c r="BL2586" s="26"/>
      <c r="BM2586" s="26"/>
      <c r="BN2586" s="26"/>
      <c r="BO2586" s="26"/>
      <c r="BP2586" s="16" t="n">
        <v>45439</v>
      </c>
      <c r="BQ2586" s="28" t="str">
        <f>HYPERLINK("https://organic.ams.usda.gov/Integrity/Certificate.aspx?cid=17&amp;nopid=4087184217")</f>
        <v>https://organic.ams.usda.gov/Integrity/Certificate.aspx?cid=17&amp;nopid=4087184217</v>
      </c>
    </row>
    <row r="2587">
      <c r="A2587" t="s">
        <v>3</v>
      </c>
      <c r="B2587" s="6" t="s">
        <v>21</v>
      </c>
      <c r="C2587" s="6" t="s">
        <v>68</v>
      </c>
      <c r="D2587" s="6" t="s">
        <v>114</v>
      </c>
      <c r="E2587" s="10" t="s">
        <v>2728</v>
      </c>
      <c r="F2587" s="6" t="s">
        <v>5432</v>
      </c>
      <c r="G2587" s="6" t="s">
        <v>81</v>
      </c>
      <c r="H2587" s="6" t="s">
        <v>8247</v>
      </c>
      <c r="I2587" s="6" t="s">
        <v>9602</v>
      </c>
      <c r="J2587" s="6" t="s">
        <v>9970</v>
      </c>
      <c r="K2587" s="6" t="s">
        <v>10886</v>
      </c>
      <c r="L2587" s="16" t="n">
        <v>45370</v>
      </c>
      <c r="M2587" s="16" t="n">
        <v>46023</v>
      </c>
      <c r="N2587" s="6" t="s">
        <v>81</v>
      </c>
      <c r="O2587" s="21" t="s">
        <v>81</v>
      </c>
      <c r="P2587" s="6" t="s">
        <v>81</v>
      </c>
      <c r="Q2587" s="6" t="s">
        <v>81</v>
      </c>
      <c r="R2587" s="6" t="s">
        <v>81</v>
      </c>
      <c r="S2587" s="6" t="s">
        <v>81</v>
      </c>
      <c r="T2587" s="21" t="s">
        <v>81</v>
      </c>
      <c r="U2587" s="6" t="s">
        <v>81</v>
      </c>
      <c r="V2587" s="6" t="s">
        <v>81</v>
      </c>
      <c r="W2587" s="6" t="s">
        <v>81</v>
      </c>
      <c r="X2587" s="6" t="s">
        <v>81</v>
      </c>
      <c r="Y2587" s="21" t="s">
        <v>81</v>
      </c>
      <c r="Z2587" s="6" t="s">
        <v>81</v>
      </c>
      <c r="AA2587" s="6" t="s">
        <v>81</v>
      </c>
      <c r="AB2587" s="6" t="s">
        <v>81</v>
      </c>
      <c r="AC2587" s="6" t="s">
        <v>10886</v>
      </c>
      <c r="AD2587" s="16" t="n">
        <v>45370</v>
      </c>
      <c r="AE2587" s="6" t="s">
        <v>14479</v>
      </c>
      <c r="AF2587" s="6" t="s">
        <v>81</v>
      </c>
      <c r="AG2587" s="6" t="s">
        <v>81</v>
      </c>
      <c r="AH2587" s="6" t="s">
        <v>81</v>
      </c>
      <c r="AI2587" s="6" t="s">
        <v>81</v>
      </c>
      <c r="AJ2587" s="6" t="s">
        <v>81</v>
      </c>
      <c r="AK2587" s="6" t="s">
        <v>81</v>
      </c>
      <c r="AL2587" s="6" t="s">
        <v>81</v>
      </c>
      <c r="AM2587" s="6" t="s">
        <v>81</v>
      </c>
      <c r="AN2587" s="6" t="s">
        <v>81</v>
      </c>
      <c r="AO2587" s="6" t="s">
        <v>81</v>
      </c>
      <c r="AP2587" s="6" t="s">
        <v>20456</v>
      </c>
      <c r="AQ2587" s="6" t="s">
        <v>20487</v>
      </c>
      <c r="AR2587" s="6" t="s">
        <v>20585</v>
      </c>
      <c r="AS2587" s="6" t="s">
        <v>18386</v>
      </c>
      <c r="AT2587" s="6" t="s">
        <v>18444</v>
      </c>
      <c r="AU2587" s="6" t="s">
        <v>20711</v>
      </c>
      <c r="AV2587" s="6" t="s">
        <v>81</v>
      </c>
      <c r="AW2587" s="6" t="s">
        <v>81</v>
      </c>
      <c r="AX2587" s="6" t="s">
        <v>22447</v>
      </c>
      <c r="AY2587" s="6" t="s">
        <v>23505</v>
      </c>
      <c r="AZ2587" s="6" t="s">
        <v>81</v>
      </c>
      <c r="BA2587" s="6" t="s">
        <v>81</v>
      </c>
      <c r="BB2587" s="6" t="s">
        <v>81</v>
      </c>
      <c r="BC2587" s="26" t="s">
        <v>23900</v>
      </c>
      <c r="BD2587" s="26"/>
      <c r="BE2587" s="26"/>
      <c r="BF2587" s="26"/>
      <c r="BG2587" s="26"/>
      <c r="BH2587" s="26" t="s">
        <v>23900</v>
      </c>
      <c r="BI2587" s="26"/>
      <c r="BJ2587" s="26"/>
      <c r="BK2587" s="26"/>
      <c r="BL2587" s="26" t="s">
        <v>23900</v>
      </c>
      <c r="BM2587" s="26"/>
      <c r="BN2587" s="26"/>
      <c r="BO2587" s="26"/>
      <c r="BP2587" s="16" t="n">
        <v>45737</v>
      </c>
      <c r="BQ2587" s="28" t="str">
        <f>HYPERLINK("https://organic.ams.usda.gov/Integrity/Certificate.aspx?cid=62&amp;nopid=8150024287")</f>
        <v>https://organic.ams.usda.gov/Integrity/Certificate.aspx?cid=62&amp;nopid=8150024287</v>
      </c>
    </row>
    <row r="2588">
      <c r="A2588" t="s">
        <v>3</v>
      </c>
      <c r="B2588" s="6" t="s">
        <v>12</v>
      </c>
      <c r="C2588" s="6" t="s">
        <v>59</v>
      </c>
      <c r="D2588" s="6" t="s">
        <v>105</v>
      </c>
      <c r="E2588" s="10" t="s">
        <v>2729</v>
      </c>
      <c r="F2588" s="6" t="s">
        <v>5433</v>
      </c>
      <c r="G2588" s="6" t="s">
        <v>81</v>
      </c>
      <c r="H2588" s="6" t="s">
        <v>8248</v>
      </c>
      <c r="I2588" s="6" t="s">
        <v>8626</v>
      </c>
      <c r="J2588" s="6" t="s">
        <v>10649</v>
      </c>
      <c r="K2588" s="6" t="s">
        <v>10886</v>
      </c>
      <c r="L2588" s="16" t="n">
        <v>43217</v>
      </c>
      <c r="M2588" s="16" t="n">
        <v>45717</v>
      </c>
      <c r="N2588" s="6" t="s">
        <v>81</v>
      </c>
      <c r="O2588" s="21" t="s">
        <v>81</v>
      </c>
      <c r="P2588" s="6" t="s">
        <v>81</v>
      </c>
      <c r="Q2588" s="6" t="s">
        <v>81</v>
      </c>
      <c r="R2588" s="6" t="s">
        <v>81</v>
      </c>
      <c r="S2588" s="6" t="s">
        <v>81</v>
      </c>
      <c r="T2588" s="21" t="s">
        <v>81</v>
      </c>
      <c r="U2588" s="6" t="s">
        <v>81</v>
      </c>
      <c r="V2588" s="6" t="s">
        <v>81</v>
      </c>
      <c r="W2588" s="6" t="s">
        <v>81</v>
      </c>
      <c r="X2588" s="6" t="s">
        <v>81</v>
      </c>
      <c r="Y2588" s="21" t="s">
        <v>81</v>
      </c>
      <c r="Z2588" s="6" t="s">
        <v>81</v>
      </c>
      <c r="AA2588" s="6" t="s">
        <v>81</v>
      </c>
      <c r="AB2588" s="6" t="s">
        <v>81</v>
      </c>
      <c r="AC2588" s="6" t="s">
        <v>10886</v>
      </c>
      <c r="AD2588" s="16" t="n">
        <v>43217</v>
      </c>
      <c r="AE2588" s="6" t="s">
        <v>14480</v>
      </c>
      <c r="AF2588" s="6" t="s">
        <v>81</v>
      </c>
      <c r="AG2588" s="6" t="s">
        <v>81</v>
      </c>
      <c r="AH2588" s="6" t="s">
        <v>17121</v>
      </c>
      <c r="AI2588" s="6" t="s">
        <v>81</v>
      </c>
      <c r="AJ2588" s="6" t="s">
        <v>18048</v>
      </c>
      <c r="AK2588" s="6" t="s">
        <v>18380</v>
      </c>
      <c r="AL2588" s="6" t="s">
        <v>18444</v>
      </c>
      <c r="AM2588" s="6" t="s">
        <v>19242</v>
      </c>
      <c r="AN2588" s="6" t="s">
        <v>19674</v>
      </c>
      <c r="AO2588" s="6" t="s">
        <v>20069</v>
      </c>
      <c r="AP2588" s="6" t="s">
        <v>17121</v>
      </c>
      <c r="AQ2588" s="6" t="s">
        <v>81</v>
      </c>
      <c r="AR2588" s="6" t="s">
        <v>18048</v>
      </c>
      <c r="AS2588" s="6" t="s">
        <v>18380</v>
      </c>
      <c r="AT2588" s="6" t="s">
        <v>18444</v>
      </c>
      <c r="AU2588" s="6" t="s">
        <v>19242</v>
      </c>
      <c r="AV2588" s="6" t="s">
        <v>81</v>
      </c>
      <c r="AW2588" s="6" t="s">
        <v>81</v>
      </c>
      <c r="AX2588" s="6" t="s">
        <v>22448</v>
      </c>
      <c r="AY2588" s="6" t="s">
        <v>23506</v>
      </c>
      <c r="AZ2588" s="6" t="s">
        <v>81</v>
      </c>
      <c r="BA2588" s="6" t="s">
        <v>81</v>
      </c>
      <c r="BB2588" s="6" t="s">
        <v>81</v>
      </c>
      <c r="BC2588" s="26"/>
      <c r="BD2588" s="26"/>
      <c r="BE2588" s="26"/>
      <c r="BF2588" s="26"/>
      <c r="BG2588" s="26"/>
      <c r="BH2588" s="26"/>
      <c r="BI2588" s="26"/>
      <c r="BJ2588" s="26"/>
      <c r="BK2588" s="26"/>
      <c r="BL2588" s="26"/>
      <c r="BM2588" s="26"/>
      <c r="BN2588" s="26"/>
      <c r="BO2588" s="26"/>
      <c r="BP2588" s="16" t="n">
        <v>45737</v>
      </c>
      <c r="BQ2588" s="28" t="str">
        <f>HYPERLINK("https://organic.ams.usda.gov/Integrity/Certificate.aspx?cid=68&amp;nopid=8210006126")</f>
        <v>https://organic.ams.usda.gov/Integrity/Certificate.aspx?cid=68&amp;nopid=8210006126</v>
      </c>
    </row>
    <row r="2589">
      <c r="A2589" t="s">
        <v>3</v>
      </c>
      <c r="B2589" s="6" t="s">
        <v>7</v>
      </c>
      <c r="C2589" s="6" t="s">
        <v>54</v>
      </c>
      <c r="D2589" s="6" t="s">
        <v>100</v>
      </c>
      <c r="E2589" s="10" t="s">
        <v>2730</v>
      </c>
      <c r="F2589" s="6" t="s">
        <v>5434</v>
      </c>
      <c r="G2589" s="6" t="s">
        <v>81</v>
      </c>
      <c r="H2589" s="6" t="s">
        <v>8249</v>
      </c>
      <c r="I2589" s="6" t="s">
        <v>8439</v>
      </c>
      <c r="J2589" s="6" t="s">
        <v>10826</v>
      </c>
      <c r="K2589" s="6" t="s">
        <v>10886</v>
      </c>
      <c r="L2589" s="16" t="n">
        <v>38230</v>
      </c>
      <c r="M2589" s="16" t="n">
        <v>45716</v>
      </c>
      <c r="N2589" s="6" t="s">
        <v>10886</v>
      </c>
      <c r="O2589" s="16" t="n">
        <v>38230</v>
      </c>
      <c r="P2589" s="6" t="s">
        <v>10910</v>
      </c>
      <c r="Q2589" s="6" t="s">
        <v>81</v>
      </c>
      <c r="R2589" s="6" t="s">
        <v>81</v>
      </c>
      <c r="S2589" s="6" t="s">
        <v>10886</v>
      </c>
      <c r="T2589" s="16" t="n">
        <v>38230</v>
      </c>
      <c r="U2589" s="6" t="s">
        <v>13919</v>
      </c>
      <c r="V2589" s="6" t="s">
        <v>81</v>
      </c>
      <c r="W2589" s="6" t="s">
        <v>81</v>
      </c>
      <c r="X2589" s="6" t="s">
        <v>81</v>
      </c>
      <c r="Y2589" s="21" t="s">
        <v>81</v>
      </c>
      <c r="Z2589" s="6" t="s">
        <v>81</v>
      </c>
      <c r="AA2589" s="6" t="s">
        <v>81</v>
      </c>
      <c r="AB2589" s="6" t="s">
        <v>81</v>
      </c>
      <c r="AC2589" s="6" t="s">
        <v>81</v>
      </c>
      <c r="AD2589" s="21" t="s">
        <v>81</v>
      </c>
      <c r="AE2589" s="6" t="s">
        <v>81</v>
      </c>
      <c r="AF2589" s="6" t="s">
        <v>81</v>
      </c>
      <c r="AG2589" s="6" t="s">
        <v>81</v>
      </c>
      <c r="AH2589" s="6" t="s">
        <v>17122</v>
      </c>
      <c r="AI2589" s="6" t="s">
        <v>81</v>
      </c>
      <c r="AJ2589" s="6" t="s">
        <v>17891</v>
      </c>
      <c r="AK2589" s="6" t="s">
        <v>17712</v>
      </c>
      <c r="AL2589" s="6" t="s">
        <v>18444</v>
      </c>
      <c r="AM2589" s="6" t="s">
        <v>19077</v>
      </c>
      <c r="AN2589" s="6" t="s">
        <v>19651</v>
      </c>
      <c r="AO2589" s="6" t="s">
        <v>19741</v>
      </c>
      <c r="AP2589" s="6" t="s">
        <v>17122</v>
      </c>
      <c r="AQ2589" s="6" t="s">
        <v>81</v>
      </c>
      <c r="AR2589" s="6" t="s">
        <v>17891</v>
      </c>
      <c r="AS2589" s="6" t="s">
        <v>17712</v>
      </c>
      <c r="AT2589" s="6" t="s">
        <v>18444</v>
      </c>
      <c r="AU2589" s="6" t="s">
        <v>19077</v>
      </c>
      <c r="AV2589" s="6" t="s">
        <v>81</v>
      </c>
      <c r="AW2589" s="6" t="s">
        <v>81</v>
      </c>
      <c r="AX2589" s="6" t="s">
        <v>22449</v>
      </c>
      <c r="AY2589" s="6" t="s">
        <v>81</v>
      </c>
      <c r="AZ2589" s="6" t="s">
        <v>81</v>
      </c>
      <c r="BA2589" s="6" t="s">
        <v>81</v>
      </c>
      <c r="BB2589" s="24" t="n">
        <v>476</v>
      </c>
      <c r="BC2589" s="26"/>
      <c r="BD2589" s="26"/>
      <c r="BE2589" s="26"/>
      <c r="BF2589" s="26"/>
      <c r="BG2589" s="26"/>
      <c r="BH2589" s="26"/>
      <c r="BI2589" s="26"/>
      <c r="BJ2589" s="26"/>
      <c r="BK2589" s="26"/>
      <c r="BL2589" s="26"/>
      <c r="BM2589" s="26"/>
      <c r="BN2589" s="26"/>
      <c r="BO2589" s="26"/>
      <c r="BP2589" s="16" t="n">
        <v>45595</v>
      </c>
      <c r="BQ2589" s="28" t="str">
        <f>HYPERLINK("https://organic.ams.usda.gov/Integrity/Certificate.aspx?cid=57&amp;nopid=3250200436")</f>
        <v>https://organic.ams.usda.gov/Integrity/Certificate.aspx?cid=57&amp;nopid=3250200436</v>
      </c>
    </row>
    <row r="2590">
      <c r="A2590" t="s">
        <v>3</v>
      </c>
      <c r="B2590" s="6" t="s">
        <v>10</v>
      </c>
      <c r="C2590" s="6" t="s">
        <v>57</v>
      </c>
      <c r="D2590" s="6" t="s">
        <v>103</v>
      </c>
      <c r="E2590" s="10" t="s">
        <v>2731</v>
      </c>
      <c r="F2590" s="6" t="s">
        <v>5435</v>
      </c>
      <c r="G2590" s="6" t="s">
        <v>81</v>
      </c>
      <c r="H2590" s="6" t="s">
        <v>8250</v>
      </c>
      <c r="I2590" s="6" t="s">
        <v>8574</v>
      </c>
      <c r="J2590" s="6" t="s">
        <v>10827</v>
      </c>
      <c r="K2590" s="6" t="s">
        <v>10886</v>
      </c>
      <c r="L2590" s="16" t="n">
        <v>45622</v>
      </c>
      <c r="M2590" s="16" t="n">
        <v>45748</v>
      </c>
      <c r="N2590" s="6" t="s">
        <v>10886</v>
      </c>
      <c r="O2590" s="16" t="n">
        <v>45622</v>
      </c>
      <c r="P2590" s="6" t="s">
        <v>11635</v>
      </c>
      <c r="Q2590" s="6" t="s">
        <v>81</v>
      </c>
      <c r="R2590" s="6" t="s">
        <v>13119</v>
      </c>
      <c r="S2590" s="6" t="s">
        <v>10886</v>
      </c>
      <c r="T2590" s="16" t="n">
        <v>45627</v>
      </c>
      <c r="U2590" s="6" t="s">
        <v>13259</v>
      </c>
      <c r="V2590" s="6" t="s">
        <v>81</v>
      </c>
      <c r="W2590" s="6" t="s">
        <v>81</v>
      </c>
      <c r="X2590" s="6" t="s">
        <v>81</v>
      </c>
      <c r="Y2590" s="21" t="s">
        <v>81</v>
      </c>
      <c r="Z2590" s="6" t="s">
        <v>81</v>
      </c>
      <c r="AA2590" s="6" t="s">
        <v>81</v>
      </c>
      <c r="AB2590" s="6" t="s">
        <v>81</v>
      </c>
      <c r="AC2590" s="6" t="s">
        <v>81</v>
      </c>
      <c r="AD2590" s="21" t="s">
        <v>81</v>
      </c>
      <c r="AE2590" s="6" t="s">
        <v>81</v>
      </c>
      <c r="AF2590" s="6" t="s">
        <v>81</v>
      </c>
      <c r="AG2590" s="6" t="s">
        <v>81</v>
      </c>
      <c r="AH2590" s="6" t="s">
        <v>17123</v>
      </c>
      <c r="AI2590" s="6" t="s">
        <v>81</v>
      </c>
      <c r="AJ2590" s="6" t="s">
        <v>18334</v>
      </c>
      <c r="AK2590" s="6" t="s">
        <v>18391</v>
      </c>
      <c r="AL2590" s="6" t="s">
        <v>18444</v>
      </c>
      <c r="AM2590" s="6" t="s">
        <v>19578</v>
      </c>
      <c r="AN2590" s="6" t="s">
        <v>19643</v>
      </c>
      <c r="AO2590" s="6" t="s">
        <v>20070</v>
      </c>
      <c r="AP2590" s="6" t="s">
        <v>17123</v>
      </c>
      <c r="AQ2590" s="6" t="s">
        <v>81</v>
      </c>
      <c r="AR2590" s="6" t="s">
        <v>18334</v>
      </c>
      <c r="AS2590" s="6" t="s">
        <v>18391</v>
      </c>
      <c r="AT2590" s="6" t="s">
        <v>18444</v>
      </c>
      <c r="AU2590" s="6" t="s">
        <v>19578</v>
      </c>
      <c r="AV2590" s="6" t="s">
        <v>81</v>
      </c>
      <c r="AW2590" s="6" t="s">
        <v>81</v>
      </c>
      <c r="AX2590" s="6" t="s">
        <v>22450</v>
      </c>
      <c r="AY2590" s="6" t="s">
        <v>23507</v>
      </c>
      <c r="AZ2590" s="6" t="s">
        <v>81</v>
      </c>
      <c r="BA2590" s="6" t="s">
        <v>81</v>
      </c>
      <c r="BB2590" s="24" t="n">
        <v>195</v>
      </c>
      <c r="BC2590" s="26"/>
      <c r="BD2590" s="26"/>
      <c r="BE2590" s="26"/>
      <c r="BF2590" s="26"/>
      <c r="BG2590" s="26"/>
      <c r="BH2590" s="26"/>
      <c r="BI2590" s="26"/>
      <c r="BJ2590" s="26"/>
      <c r="BK2590" s="26"/>
      <c r="BL2590" s="26"/>
      <c r="BM2590" s="26"/>
      <c r="BN2590" s="26"/>
      <c r="BO2590" s="26"/>
      <c r="BP2590" s="16" t="n">
        <v>45730</v>
      </c>
      <c r="BQ2590" s="28" t="str">
        <f>HYPERLINK("https://organic.ams.usda.gov/Integrity/Certificate.aspx?cid=90&amp;nopid=7170020204")</f>
        <v>https://organic.ams.usda.gov/Integrity/Certificate.aspx?cid=90&amp;nopid=7170020204</v>
      </c>
    </row>
    <row r="2591">
      <c r="A2591" t="s">
        <v>3</v>
      </c>
      <c r="B2591" s="6" t="s">
        <v>15</v>
      </c>
      <c r="C2591" s="6" t="s">
        <v>62</v>
      </c>
      <c r="D2591" s="6" t="s">
        <v>108</v>
      </c>
      <c r="E2591" s="10" t="s">
        <v>2732</v>
      </c>
      <c r="F2591" s="6" t="s">
        <v>5436</v>
      </c>
      <c r="G2591" s="6" t="s">
        <v>5875</v>
      </c>
      <c r="H2591" s="6" t="s">
        <v>8251</v>
      </c>
      <c r="I2591" s="6" t="s">
        <v>9603</v>
      </c>
      <c r="J2591" s="6" t="s">
        <v>9679</v>
      </c>
      <c r="K2591" s="6" t="s">
        <v>10886</v>
      </c>
      <c r="L2591" s="16" t="n">
        <v>44393</v>
      </c>
      <c r="M2591" s="16" t="n">
        <v>45901</v>
      </c>
      <c r="N2591" s="6" t="s">
        <v>81</v>
      </c>
      <c r="O2591" s="21" t="s">
        <v>81</v>
      </c>
      <c r="P2591" s="6" t="s">
        <v>81</v>
      </c>
      <c r="Q2591" s="6" t="s">
        <v>81</v>
      </c>
      <c r="R2591" s="6" t="s">
        <v>81</v>
      </c>
      <c r="S2591" s="6" t="s">
        <v>81</v>
      </c>
      <c r="T2591" s="21" t="s">
        <v>81</v>
      </c>
      <c r="U2591" s="6" t="s">
        <v>81</v>
      </c>
      <c r="V2591" s="6" t="s">
        <v>81</v>
      </c>
      <c r="W2591" s="6" t="s">
        <v>81</v>
      </c>
      <c r="X2591" s="6" t="s">
        <v>81</v>
      </c>
      <c r="Y2591" s="21" t="s">
        <v>81</v>
      </c>
      <c r="Z2591" s="6" t="s">
        <v>81</v>
      </c>
      <c r="AA2591" s="6" t="s">
        <v>81</v>
      </c>
      <c r="AB2591" s="6" t="s">
        <v>81</v>
      </c>
      <c r="AC2591" s="6" t="s">
        <v>10886</v>
      </c>
      <c r="AD2591" s="16" t="n">
        <v>44393</v>
      </c>
      <c r="AE2591" s="6" t="s">
        <v>14481</v>
      </c>
      <c r="AF2591" s="6" t="s">
        <v>81</v>
      </c>
      <c r="AG2591" s="6" t="s">
        <v>81</v>
      </c>
      <c r="AH2591" s="6" t="s">
        <v>17124</v>
      </c>
      <c r="AI2591" s="6" t="s">
        <v>81</v>
      </c>
      <c r="AJ2591" s="6" t="s">
        <v>17583</v>
      </c>
      <c r="AK2591" s="6" t="s">
        <v>18379</v>
      </c>
      <c r="AL2591" s="6" t="s">
        <v>18444</v>
      </c>
      <c r="AM2591" s="6" t="s">
        <v>18746</v>
      </c>
      <c r="AN2591" s="6" t="s">
        <v>6842</v>
      </c>
      <c r="AO2591" s="6" t="s">
        <v>19781</v>
      </c>
      <c r="AP2591" s="6" t="s">
        <v>17124</v>
      </c>
      <c r="AQ2591" s="6" t="s">
        <v>81</v>
      </c>
      <c r="AR2591" s="6" t="s">
        <v>17583</v>
      </c>
      <c r="AS2591" s="6" t="s">
        <v>18379</v>
      </c>
      <c r="AT2591" s="6" t="s">
        <v>18444</v>
      </c>
      <c r="AU2591" s="6" t="s">
        <v>18746</v>
      </c>
      <c r="AV2591" s="6" t="s">
        <v>81</v>
      </c>
      <c r="AW2591" s="6" t="s">
        <v>81</v>
      </c>
      <c r="AX2591" s="6" t="s">
        <v>22451</v>
      </c>
      <c r="AY2591" s="6" t="s">
        <v>23508</v>
      </c>
      <c r="AZ2591" s="6" t="s">
        <v>81</v>
      </c>
      <c r="BA2591" s="6" t="s">
        <v>81</v>
      </c>
      <c r="BB2591" s="6" t="s">
        <v>81</v>
      </c>
      <c r="BC2591" s="26"/>
      <c r="BD2591" s="26"/>
      <c r="BE2591" s="26"/>
      <c r="BF2591" s="26"/>
      <c r="BG2591" s="26"/>
      <c r="BH2591" s="26"/>
      <c r="BI2591" s="26"/>
      <c r="BJ2591" s="26"/>
      <c r="BK2591" s="26"/>
      <c r="BL2591" s="26"/>
      <c r="BM2591" s="26"/>
      <c r="BN2591" s="26"/>
      <c r="BO2591" s="26"/>
      <c r="BP2591" s="16" t="n">
        <v>45737</v>
      </c>
      <c r="BQ2591" s="28" t="str">
        <f>HYPERLINK("https://organic.ams.usda.gov/Integrity/Certificate.aspx?cid=58&amp;nopid=1600003559")</f>
        <v>https://organic.ams.usda.gov/Integrity/Certificate.aspx?cid=58&amp;nopid=1600003559</v>
      </c>
    </row>
    <row r="2592">
      <c r="A2592" t="s">
        <v>3</v>
      </c>
      <c r="B2592" s="6" t="s">
        <v>29</v>
      </c>
      <c r="C2592" s="6" t="s">
        <v>76</v>
      </c>
      <c r="D2592" s="6" t="s">
        <v>122</v>
      </c>
      <c r="E2592" s="10" t="s">
        <v>2733</v>
      </c>
      <c r="F2592" s="6" t="s">
        <v>5437</v>
      </c>
      <c r="G2592" s="6" t="s">
        <v>81</v>
      </c>
      <c r="H2592" s="6" t="s">
        <v>8252</v>
      </c>
      <c r="I2592" s="6" t="s">
        <v>8574</v>
      </c>
      <c r="J2592" s="6" t="s">
        <v>9847</v>
      </c>
      <c r="K2592" s="6" t="s">
        <v>10886</v>
      </c>
      <c r="L2592" s="16" t="n">
        <v>39314</v>
      </c>
      <c r="M2592" s="16" t="n">
        <v>45870</v>
      </c>
      <c r="N2592" s="6" t="s">
        <v>10886</v>
      </c>
      <c r="O2592" s="16" t="n">
        <v>39314</v>
      </c>
      <c r="P2592" s="6" t="s">
        <v>10910</v>
      </c>
      <c r="Q2592" s="6" t="s">
        <v>81</v>
      </c>
      <c r="R2592" s="6" t="s">
        <v>13120</v>
      </c>
      <c r="S2592" s="6" t="s">
        <v>10886</v>
      </c>
      <c r="T2592" s="16" t="n">
        <v>39314</v>
      </c>
      <c r="U2592" s="6" t="s">
        <v>13212</v>
      </c>
      <c r="V2592" s="6" t="s">
        <v>81</v>
      </c>
      <c r="W2592" s="6" t="s">
        <v>13120</v>
      </c>
      <c r="X2592" s="6" t="s">
        <v>81</v>
      </c>
      <c r="Y2592" s="21" t="s">
        <v>81</v>
      </c>
      <c r="Z2592" s="6" t="s">
        <v>81</v>
      </c>
      <c r="AA2592" s="6" t="s">
        <v>81</v>
      </c>
      <c r="AB2592" s="6" t="s">
        <v>81</v>
      </c>
      <c r="AC2592" s="6" t="s">
        <v>81</v>
      </c>
      <c r="AD2592" s="21" t="s">
        <v>81</v>
      </c>
      <c r="AE2592" s="6" t="s">
        <v>81</v>
      </c>
      <c r="AF2592" s="6" t="s">
        <v>81</v>
      </c>
      <c r="AG2592" s="6" t="s">
        <v>81</v>
      </c>
      <c r="AH2592" s="6" t="s">
        <v>17125</v>
      </c>
      <c r="AI2592" s="6" t="s">
        <v>81</v>
      </c>
      <c r="AJ2592" s="6" t="s">
        <v>17873</v>
      </c>
      <c r="AK2592" s="6" t="s">
        <v>17712</v>
      </c>
      <c r="AL2592" s="6" t="s">
        <v>18444</v>
      </c>
      <c r="AM2592" s="6" t="s">
        <v>19056</v>
      </c>
      <c r="AN2592" s="6" t="s">
        <v>19652</v>
      </c>
      <c r="AO2592" s="6" t="s">
        <v>19742</v>
      </c>
      <c r="AP2592" s="6" t="s">
        <v>81</v>
      </c>
      <c r="AQ2592" s="6" t="s">
        <v>81</v>
      </c>
      <c r="AR2592" s="6" t="s">
        <v>81</v>
      </c>
      <c r="AS2592" s="6" t="s">
        <v>81</v>
      </c>
      <c r="AT2592" s="6" t="s">
        <v>81</v>
      </c>
      <c r="AU2592" s="6" t="s">
        <v>81</v>
      </c>
      <c r="AV2592" s="6" t="s">
        <v>81</v>
      </c>
      <c r="AW2592" s="6" t="s">
        <v>81</v>
      </c>
      <c r="AX2592" s="6" t="s">
        <v>22452</v>
      </c>
      <c r="AY2592" s="6" t="s">
        <v>23509</v>
      </c>
      <c r="AZ2592" s="6" t="s">
        <v>81</v>
      </c>
      <c r="BA2592" s="6" t="s">
        <v>81</v>
      </c>
      <c r="BB2592" s="24" t="n">
        <v>356</v>
      </c>
      <c r="BC2592" s="26"/>
      <c r="BD2592" s="26"/>
      <c r="BE2592" s="26"/>
      <c r="BF2592" s="26" t="s">
        <v>23900</v>
      </c>
      <c r="BG2592" s="26"/>
      <c r="BH2592" s="26"/>
      <c r="BI2592" s="26"/>
      <c r="BJ2592" s="26"/>
      <c r="BK2592" s="26"/>
      <c r="BL2592" s="26"/>
      <c r="BM2592" s="26"/>
      <c r="BN2592" s="26"/>
      <c r="BO2592" s="26"/>
      <c r="BP2592" s="16" t="n">
        <v>45737</v>
      </c>
      <c r="BQ2592" s="28" t="str">
        <f>HYPERLINK("https://organic.ams.usda.gov/Integrity/Certificate.aspx?cid=31&amp;nopid=3920897694")</f>
        <v>https://organic.ams.usda.gov/Integrity/Certificate.aspx?cid=31&amp;nopid=3920897694</v>
      </c>
    </row>
    <row r="2593">
      <c r="A2593" t="s">
        <v>3</v>
      </c>
      <c r="B2593" s="6" t="s">
        <v>7</v>
      </c>
      <c r="C2593" s="6" t="s">
        <v>54</v>
      </c>
      <c r="D2593" s="6" t="s">
        <v>100</v>
      </c>
      <c r="E2593" s="10" t="s">
        <v>2734</v>
      </c>
      <c r="F2593" s="6" t="s">
        <v>5438</v>
      </c>
      <c r="G2593" s="6" t="s">
        <v>81</v>
      </c>
      <c r="H2593" s="6" t="s">
        <v>8253</v>
      </c>
      <c r="I2593" s="6" t="s">
        <v>9604</v>
      </c>
      <c r="J2593" s="6" t="s">
        <v>10828</v>
      </c>
      <c r="K2593" s="6" t="s">
        <v>10886</v>
      </c>
      <c r="L2593" s="16" t="n">
        <v>37812</v>
      </c>
      <c r="M2593" s="16" t="n">
        <v>45716</v>
      </c>
      <c r="N2593" s="6" t="s">
        <v>10886</v>
      </c>
      <c r="O2593" s="16" t="n">
        <v>37812</v>
      </c>
      <c r="P2593" s="6" t="s">
        <v>12333</v>
      </c>
      <c r="Q2593" s="6" t="s">
        <v>81</v>
      </c>
      <c r="R2593" s="6" t="s">
        <v>81</v>
      </c>
      <c r="S2593" s="6" t="s">
        <v>10886</v>
      </c>
      <c r="T2593" s="16" t="n">
        <v>37812</v>
      </c>
      <c r="U2593" s="6" t="s">
        <v>13160</v>
      </c>
      <c r="V2593" s="6" t="s">
        <v>81</v>
      </c>
      <c r="W2593" s="6" t="s">
        <v>81</v>
      </c>
      <c r="X2593" s="6" t="s">
        <v>81</v>
      </c>
      <c r="Y2593" s="21" t="s">
        <v>81</v>
      </c>
      <c r="Z2593" s="6" t="s">
        <v>81</v>
      </c>
      <c r="AA2593" s="6" t="s">
        <v>81</v>
      </c>
      <c r="AB2593" s="6" t="s">
        <v>81</v>
      </c>
      <c r="AC2593" s="6" t="s">
        <v>81</v>
      </c>
      <c r="AD2593" s="21" t="s">
        <v>81</v>
      </c>
      <c r="AE2593" s="6" t="s">
        <v>81</v>
      </c>
      <c r="AF2593" s="6" t="s">
        <v>81</v>
      </c>
      <c r="AG2593" s="6" t="s">
        <v>81</v>
      </c>
      <c r="AH2593" s="6" t="s">
        <v>17126</v>
      </c>
      <c r="AI2593" s="6" t="s">
        <v>81</v>
      </c>
      <c r="AJ2593" s="6" t="s">
        <v>17526</v>
      </c>
      <c r="AK2593" s="6" t="s">
        <v>17712</v>
      </c>
      <c r="AL2593" s="6" t="s">
        <v>18444</v>
      </c>
      <c r="AM2593" s="6" t="s">
        <v>18499</v>
      </c>
      <c r="AN2593" s="6" t="s">
        <v>19651</v>
      </c>
      <c r="AO2593" s="6" t="s">
        <v>19741</v>
      </c>
      <c r="AP2593" s="6" t="s">
        <v>17126</v>
      </c>
      <c r="AQ2593" s="6" t="s">
        <v>81</v>
      </c>
      <c r="AR2593" s="6" t="s">
        <v>17526</v>
      </c>
      <c r="AS2593" s="6" t="s">
        <v>17712</v>
      </c>
      <c r="AT2593" s="6" t="s">
        <v>18444</v>
      </c>
      <c r="AU2593" s="6" t="s">
        <v>20712</v>
      </c>
      <c r="AV2593" s="6" t="s">
        <v>81</v>
      </c>
      <c r="AW2593" s="6" t="s">
        <v>81</v>
      </c>
      <c r="AX2593" s="6" t="s">
        <v>22453</v>
      </c>
      <c r="AY2593" s="6" t="s">
        <v>23510</v>
      </c>
      <c r="AZ2593" s="6" t="s">
        <v>23800</v>
      </c>
      <c r="BA2593" s="6" t="s">
        <v>81</v>
      </c>
      <c r="BB2593" s="24" t="n">
        <v>873</v>
      </c>
      <c r="BC2593" s="26"/>
      <c r="BD2593" s="26"/>
      <c r="BE2593" s="26"/>
      <c r="BF2593" s="26" t="s">
        <v>23900</v>
      </c>
      <c r="BG2593" s="26"/>
      <c r="BH2593" s="26"/>
      <c r="BI2593" s="26"/>
      <c r="BJ2593" s="26"/>
      <c r="BK2593" s="26"/>
      <c r="BL2593" s="26"/>
      <c r="BM2593" s="26"/>
      <c r="BN2593" s="26"/>
      <c r="BO2593" s="26"/>
      <c r="BP2593" s="16" t="n">
        <v>45595</v>
      </c>
      <c r="BQ2593" s="28" t="str">
        <f>HYPERLINK("https://organic.ams.usda.gov/Integrity/Certificate.aspx?cid=57&amp;nopid=3250200343")</f>
        <v>https://organic.ams.usda.gov/Integrity/Certificate.aspx?cid=57&amp;nopid=3250200343</v>
      </c>
    </row>
    <row r="2594">
      <c r="A2594" t="s">
        <v>3</v>
      </c>
      <c r="B2594" s="6" t="s">
        <v>8</v>
      </c>
      <c r="C2594" s="6" t="s">
        <v>55</v>
      </c>
      <c r="D2594" s="6" t="s">
        <v>101</v>
      </c>
      <c r="E2594" s="10" t="s">
        <v>2735</v>
      </c>
      <c r="F2594" s="6" t="s">
        <v>5439</v>
      </c>
      <c r="G2594" s="6" t="s">
        <v>81</v>
      </c>
      <c r="H2594" s="6" t="s">
        <v>8254</v>
      </c>
      <c r="I2594" s="6" t="s">
        <v>9070</v>
      </c>
      <c r="J2594" s="6" t="s">
        <v>8574</v>
      </c>
      <c r="K2594" s="6" t="s">
        <v>10886</v>
      </c>
      <c r="L2594" s="16" t="n">
        <v>36447</v>
      </c>
      <c r="M2594" s="16" t="n">
        <v>46054</v>
      </c>
      <c r="N2594" s="6" t="s">
        <v>10886</v>
      </c>
      <c r="O2594" s="16" t="n">
        <v>36447</v>
      </c>
      <c r="P2594" s="6" t="s">
        <v>12334</v>
      </c>
      <c r="Q2594" s="6" t="s">
        <v>81</v>
      </c>
      <c r="R2594" s="6" t="s">
        <v>8254</v>
      </c>
      <c r="S2594" s="6" t="s">
        <v>10886</v>
      </c>
      <c r="T2594" s="16" t="n">
        <v>36447</v>
      </c>
      <c r="U2594" s="6" t="s">
        <v>13920</v>
      </c>
      <c r="V2594" s="6" t="s">
        <v>81</v>
      </c>
      <c r="W2594" s="6" t="s">
        <v>8254</v>
      </c>
      <c r="X2594" s="6" t="s">
        <v>81</v>
      </c>
      <c r="Y2594" s="21" t="s">
        <v>81</v>
      </c>
      <c r="Z2594" s="6" t="s">
        <v>81</v>
      </c>
      <c r="AA2594" s="6" t="s">
        <v>81</v>
      </c>
      <c r="AB2594" s="6" t="s">
        <v>81</v>
      </c>
      <c r="AC2594" s="6" t="s">
        <v>81</v>
      </c>
      <c r="AD2594" s="21" t="s">
        <v>81</v>
      </c>
      <c r="AE2594" s="6" t="s">
        <v>81</v>
      </c>
      <c r="AF2594" s="6" t="s">
        <v>81</v>
      </c>
      <c r="AG2594" s="6" t="s">
        <v>81</v>
      </c>
      <c r="AH2594" s="6" t="s">
        <v>17127</v>
      </c>
      <c r="AI2594" s="6" t="s">
        <v>81</v>
      </c>
      <c r="AJ2594" s="6" t="s">
        <v>18335</v>
      </c>
      <c r="AK2594" s="6" t="s">
        <v>18377</v>
      </c>
      <c r="AL2594" s="6" t="s">
        <v>18444</v>
      </c>
      <c r="AM2594" s="6" t="s">
        <v>19579</v>
      </c>
      <c r="AN2594" s="6" t="s">
        <v>7195</v>
      </c>
      <c r="AO2594" s="6" t="s">
        <v>19737</v>
      </c>
      <c r="AP2594" s="6" t="s">
        <v>20457</v>
      </c>
      <c r="AQ2594" s="6" t="s">
        <v>81</v>
      </c>
      <c r="AR2594" s="6" t="s">
        <v>18335</v>
      </c>
      <c r="AS2594" s="6" t="s">
        <v>18377</v>
      </c>
      <c r="AT2594" s="6" t="s">
        <v>18444</v>
      </c>
      <c r="AU2594" s="6" t="s">
        <v>19579</v>
      </c>
      <c r="AV2594" s="6" t="s">
        <v>81</v>
      </c>
      <c r="AW2594" s="6" t="s">
        <v>81</v>
      </c>
      <c r="AX2594" s="6" t="s">
        <v>81</v>
      </c>
      <c r="AY2594" s="6" t="s">
        <v>23511</v>
      </c>
      <c r="AZ2594" s="6" t="s">
        <v>81</v>
      </c>
      <c r="BA2594" s="6" t="s">
        <v>23819</v>
      </c>
      <c r="BB2594" s="24" t="n">
        <v>137</v>
      </c>
      <c r="BC2594" s="26"/>
      <c r="BD2594" s="26"/>
      <c r="BE2594" s="26"/>
      <c r="BF2594" s="26"/>
      <c r="BG2594" s="26"/>
      <c r="BH2594" s="26"/>
      <c r="BI2594" s="26"/>
      <c r="BJ2594" s="26"/>
      <c r="BK2594" s="26"/>
      <c r="BL2594" s="26"/>
      <c r="BM2594" s="26"/>
      <c r="BN2594" s="26"/>
      <c r="BO2594" s="26"/>
      <c r="BP2594" s="16" t="n">
        <v>45687</v>
      </c>
      <c r="BQ2594" s="28" t="str">
        <f>HYPERLINK("https://organic.ams.usda.gov/Integrity/Certificate.aspx?cid=45&amp;nopid=9950000244")</f>
        <v>https://organic.ams.usda.gov/Integrity/Certificate.aspx?cid=45&amp;nopid=9950000244</v>
      </c>
    </row>
    <row r="2595">
      <c r="A2595" t="s">
        <v>3</v>
      </c>
      <c r="B2595" s="6" t="s">
        <v>35</v>
      </c>
      <c r="C2595" s="6" t="s">
        <v>82</v>
      </c>
      <c r="D2595" s="6" t="s">
        <v>127</v>
      </c>
      <c r="E2595" s="10" t="s">
        <v>2736</v>
      </c>
      <c r="F2595" s="6" t="s">
        <v>5440</v>
      </c>
      <c r="G2595" s="6" t="s">
        <v>81</v>
      </c>
      <c r="H2595" s="6" t="s">
        <v>8255</v>
      </c>
      <c r="I2595" s="6" t="s">
        <v>8987</v>
      </c>
      <c r="J2595" s="6" t="s">
        <v>10829</v>
      </c>
      <c r="K2595" s="6" t="s">
        <v>10886</v>
      </c>
      <c r="L2595" s="16" t="n">
        <v>37514</v>
      </c>
      <c r="M2595" s="16" t="n">
        <v>45762</v>
      </c>
      <c r="N2595" s="6" t="s">
        <v>10886</v>
      </c>
      <c r="O2595" s="16" t="n">
        <v>37514</v>
      </c>
      <c r="P2595" s="6" t="s">
        <v>12335</v>
      </c>
      <c r="Q2595" s="6" t="s">
        <v>81</v>
      </c>
      <c r="R2595" s="6" t="s">
        <v>13121</v>
      </c>
      <c r="S2595" s="6" t="s">
        <v>10886</v>
      </c>
      <c r="T2595" s="16" t="n">
        <v>37514</v>
      </c>
      <c r="U2595" s="6" t="s">
        <v>13834</v>
      </c>
      <c r="V2595" s="6" t="s">
        <v>81</v>
      </c>
      <c r="W2595" s="6" t="s">
        <v>13121</v>
      </c>
      <c r="X2595" s="6" t="s">
        <v>81</v>
      </c>
      <c r="Y2595" s="21" t="s">
        <v>81</v>
      </c>
      <c r="Z2595" s="6" t="s">
        <v>81</v>
      </c>
      <c r="AA2595" s="6" t="s">
        <v>81</v>
      </c>
      <c r="AB2595" s="6" t="s">
        <v>81</v>
      </c>
      <c r="AC2595" s="6" t="s">
        <v>81</v>
      </c>
      <c r="AD2595" s="21" t="s">
        <v>81</v>
      </c>
      <c r="AE2595" s="6" t="s">
        <v>81</v>
      </c>
      <c r="AF2595" s="6" t="s">
        <v>81</v>
      </c>
      <c r="AG2595" s="6" t="s">
        <v>81</v>
      </c>
      <c r="AH2595" s="6" t="s">
        <v>17128</v>
      </c>
      <c r="AI2595" s="6" t="s">
        <v>81</v>
      </c>
      <c r="AJ2595" s="6" t="s">
        <v>18336</v>
      </c>
      <c r="AK2595" s="6" t="s">
        <v>18405</v>
      </c>
      <c r="AL2595" s="6" t="s">
        <v>18444</v>
      </c>
      <c r="AM2595" s="6" t="s">
        <v>19580</v>
      </c>
      <c r="AN2595" s="6" t="s">
        <v>19683</v>
      </c>
      <c r="AO2595" s="6" t="s">
        <v>20017</v>
      </c>
      <c r="AP2595" s="6" t="s">
        <v>17128</v>
      </c>
      <c r="AQ2595" s="6" t="s">
        <v>81</v>
      </c>
      <c r="AR2595" s="6" t="s">
        <v>18336</v>
      </c>
      <c r="AS2595" s="6" t="s">
        <v>18405</v>
      </c>
      <c r="AT2595" s="6" t="s">
        <v>18444</v>
      </c>
      <c r="AU2595" s="6" t="s">
        <v>19580</v>
      </c>
      <c r="AV2595" s="6" t="s">
        <v>81</v>
      </c>
      <c r="AW2595" s="6" t="s">
        <v>81</v>
      </c>
      <c r="AX2595" s="6" t="s">
        <v>22454</v>
      </c>
      <c r="AY2595" s="6" t="s">
        <v>81</v>
      </c>
      <c r="AZ2595" s="6" t="s">
        <v>81</v>
      </c>
      <c r="BA2595" s="6" t="s">
        <v>81</v>
      </c>
      <c r="BB2595" s="24" t="n">
        <v>249</v>
      </c>
      <c r="BC2595" s="26"/>
      <c r="BD2595" s="26"/>
      <c r="BE2595" s="26"/>
      <c r="BF2595" s="26"/>
      <c r="BG2595" s="26"/>
      <c r="BH2595" s="26"/>
      <c r="BI2595" s="26"/>
      <c r="BJ2595" s="26"/>
      <c r="BK2595" s="26"/>
      <c r="BL2595" s="26"/>
      <c r="BM2595" s="26"/>
      <c r="BN2595" s="26"/>
      <c r="BO2595" s="26"/>
      <c r="BP2595" s="16" t="n">
        <v>45734</v>
      </c>
      <c r="BQ2595" s="28" t="str">
        <f>HYPERLINK("https://organic.ams.usda.gov/Integrity/Certificate.aspx?cid=47&amp;nopid=7142070046")</f>
        <v>https://organic.ams.usda.gov/Integrity/Certificate.aspx?cid=47&amp;nopid=7142070046</v>
      </c>
    </row>
    <row r="2596">
      <c r="A2596" t="s">
        <v>3</v>
      </c>
      <c r="B2596" s="6" t="s">
        <v>12</v>
      </c>
      <c r="C2596" s="6" t="s">
        <v>59</v>
      </c>
      <c r="D2596" s="6" t="s">
        <v>105</v>
      </c>
      <c r="E2596" s="10" t="s">
        <v>2737</v>
      </c>
      <c r="F2596" s="6" t="s">
        <v>5441</v>
      </c>
      <c r="G2596" s="6" t="s">
        <v>81</v>
      </c>
      <c r="H2596" s="6" t="s">
        <v>8256</v>
      </c>
      <c r="I2596" s="6" t="s">
        <v>9605</v>
      </c>
      <c r="J2596" s="6" t="s">
        <v>10830</v>
      </c>
      <c r="K2596" s="6" t="s">
        <v>10886</v>
      </c>
      <c r="L2596" s="16" t="n">
        <v>43399</v>
      </c>
      <c r="M2596" s="16" t="n">
        <v>46082</v>
      </c>
      <c r="N2596" s="6" t="s">
        <v>10886</v>
      </c>
      <c r="O2596" s="16" t="n">
        <v>43399</v>
      </c>
      <c r="P2596" s="6" t="s">
        <v>10910</v>
      </c>
      <c r="Q2596" s="6" t="s">
        <v>81</v>
      </c>
      <c r="R2596" s="6" t="s">
        <v>81</v>
      </c>
      <c r="S2596" s="6" t="s">
        <v>10886</v>
      </c>
      <c r="T2596" s="16" t="n">
        <v>43399</v>
      </c>
      <c r="U2596" s="6" t="s">
        <v>13262</v>
      </c>
      <c r="V2596" s="6" t="s">
        <v>81</v>
      </c>
      <c r="W2596" s="6" t="s">
        <v>81</v>
      </c>
      <c r="X2596" s="6" t="s">
        <v>81</v>
      </c>
      <c r="Y2596" s="21" t="s">
        <v>81</v>
      </c>
      <c r="Z2596" s="6" t="s">
        <v>81</v>
      </c>
      <c r="AA2596" s="6" t="s">
        <v>81</v>
      </c>
      <c r="AB2596" s="6" t="s">
        <v>81</v>
      </c>
      <c r="AC2596" s="6" t="s">
        <v>81</v>
      </c>
      <c r="AD2596" s="21" t="s">
        <v>81</v>
      </c>
      <c r="AE2596" s="6" t="s">
        <v>81</v>
      </c>
      <c r="AF2596" s="6" t="s">
        <v>81</v>
      </c>
      <c r="AG2596" s="6" t="s">
        <v>81</v>
      </c>
      <c r="AH2596" s="6" t="s">
        <v>17129</v>
      </c>
      <c r="AI2596" s="6" t="s">
        <v>81</v>
      </c>
      <c r="AJ2596" s="6" t="s">
        <v>17453</v>
      </c>
      <c r="AK2596" s="6" t="s">
        <v>17712</v>
      </c>
      <c r="AL2596" s="6" t="s">
        <v>18444</v>
      </c>
      <c r="AM2596" s="6" t="s">
        <v>18612</v>
      </c>
      <c r="AN2596" s="6" t="s">
        <v>19670</v>
      </c>
      <c r="AO2596" s="6" t="s">
        <v>19782</v>
      </c>
      <c r="AP2596" s="6" t="s">
        <v>17129</v>
      </c>
      <c r="AQ2596" s="6" t="s">
        <v>81</v>
      </c>
      <c r="AR2596" s="6" t="s">
        <v>17453</v>
      </c>
      <c r="AS2596" s="6" t="s">
        <v>17712</v>
      </c>
      <c r="AT2596" s="6" t="s">
        <v>18444</v>
      </c>
      <c r="AU2596" s="6" t="s">
        <v>18612</v>
      </c>
      <c r="AV2596" s="6" t="s">
        <v>81</v>
      </c>
      <c r="AW2596" s="6" t="s">
        <v>81</v>
      </c>
      <c r="AX2596" s="6" t="s">
        <v>22455</v>
      </c>
      <c r="AY2596" s="6" t="s">
        <v>23512</v>
      </c>
      <c r="AZ2596" s="6" t="s">
        <v>81</v>
      </c>
      <c r="BA2596" s="6" t="s">
        <v>81</v>
      </c>
      <c r="BB2596" s="24" t="n">
        <v>726</v>
      </c>
      <c r="BC2596" s="26"/>
      <c r="BD2596" s="26"/>
      <c r="BE2596" s="26"/>
      <c r="BF2596" s="26" t="s">
        <v>23900</v>
      </c>
      <c r="BG2596" s="26"/>
      <c r="BH2596" s="26"/>
      <c r="BI2596" s="26"/>
      <c r="BJ2596" s="26"/>
      <c r="BK2596" s="26"/>
      <c r="BL2596" s="26"/>
      <c r="BM2596" s="26"/>
      <c r="BN2596" s="26"/>
      <c r="BO2596" s="26"/>
      <c r="BP2596" s="16" t="n">
        <v>45735</v>
      </c>
      <c r="BQ2596" s="28" t="str">
        <f>HYPERLINK("https://organic.ams.usda.gov/Integrity/Certificate.aspx?cid=68&amp;nopid=8210006533")</f>
        <v>https://organic.ams.usda.gov/Integrity/Certificate.aspx?cid=68&amp;nopid=8210006533</v>
      </c>
    </row>
    <row r="2597">
      <c r="A2597" t="s">
        <v>3</v>
      </c>
      <c r="B2597" s="6" t="s">
        <v>8</v>
      </c>
      <c r="C2597" s="6" t="s">
        <v>55</v>
      </c>
      <c r="D2597" s="6" t="s">
        <v>101</v>
      </c>
      <c r="E2597" s="10" t="s">
        <v>2738</v>
      </c>
      <c r="F2597" s="6" t="s">
        <v>5442</v>
      </c>
      <c r="G2597" s="6" t="s">
        <v>81</v>
      </c>
      <c r="H2597" s="6" t="s">
        <v>8257</v>
      </c>
      <c r="I2597" s="6" t="s">
        <v>8517</v>
      </c>
      <c r="J2597" s="6" t="s">
        <v>10831</v>
      </c>
      <c r="K2597" s="6" t="s">
        <v>10886</v>
      </c>
      <c r="L2597" s="16" t="n">
        <v>39773</v>
      </c>
      <c r="M2597" s="16" t="n">
        <v>45383</v>
      </c>
      <c r="N2597" s="6" t="s">
        <v>10886</v>
      </c>
      <c r="O2597" s="16" t="n">
        <v>39773</v>
      </c>
      <c r="P2597" s="6" t="s">
        <v>12336</v>
      </c>
      <c r="Q2597" s="6" t="s">
        <v>81</v>
      </c>
      <c r="R2597" s="6" t="s">
        <v>8257</v>
      </c>
      <c r="S2597" s="6" t="s">
        <v>10886</v>
      </c>
      <c r="T2597" s="16" t="n">
        <v>39773</v>
      </c>
      <c r="U2597" s="6" t="s">
        <v>13179</v>
      </c>
      <c r="V2597" s="6" t="s">
        <v>81</v>
      </c>
      <c r="W2597" s="6" t="s">
        <v>8257</v>
      </c>
      <c r="X2597" s="6" t="s">
        <v>81</v>
      </c>
      <c r="Y2597" s="21" t="s">
        <v>81</v>
      </c>
      <c r="Z2597" s="6" t="s">
        <v>81</v>
      </c>
      <c r="AA2597" s="6" t="s">
        <v>81</v>
      </c>
      <c r="AB2597" s="6" t="s">
        <v>81</v>
      </c>
      <c r="AC2597" s="6" t="s">
        <v>81</v>
      </c>
      <c r="AD2597" s="21" t="s">
        <v>81</v>
      </c>
      <c r="AE2597" s="6" t="s">
        <v>81</v>
      </c>
      <c r="AF2597" s="6" t="s">
        <v>81</v>
      </c>
      <c r="AG2597" s="6" t="s">
        <v>81</v>
      </c>
      <c r="AH2597" s="6" t="s">
        <v>17130</v>
      </c>
      <c r="AI2597" s="6" t="s">
        <v>81</v>
      </c>
      <c r="AJ2597" s="6" t="s">
        <v>17756</v>
      </c>
      <c r="AK2597" s="6" t="s">
        <v>18377</v>
      </c>
      <c r="AL2597" s="6" t="s">
        <v>18444</v>
      </c>
      <c r="AM2597" s="6" t="s">
        <v>18986</v>
      </c>
      <c r="AN2597" s="6" t="s">
        <v>19682</v>
      </c>
      <c r="AO2597" s="6" t="s">
        <v>19806</v>
      </c>
      <c r="AP2597" s="6" t="s">
        <v>81</v>
      </c>
      <c r="AQ2597" s="6" t="s">
        <v>81</v>
      </c>
      <c r="AR2597" s="6" t="s">
        <v>81</v>
      </c>
      <c r="AS2597" s="6" t="s">
        <v>81</v>
      </c>
      <c r="AT2597" s="6" t="s">
        <v>81</v>
      </c>
      <c r="AU2597" s="6" t="s">
        <v>81</v>
      </c>
      <c r="AV2597" s="6" t="s">
        <v>81</v>
      </c>
      <c r="AW2597" s="6" t="s">
        <v>81</v>
      </c>
      <c r="AX2597" s="6" t="s">
        <v>81</v>
      </c>
      <c r="AY2597" s="6" t="s">
        <v>23513</v>
      </c>
      <c r="AZ2597" s="6" t="s">
        <v>81</v>
      </c>
      <c r="BA2597" s="6" t="s">
        <v>23819</v>
      </c>
      <c r="BB2597" s="24" t="n">
        <v>187</v>
      </c>
      <c r="BC2597" s="26"/>
      <c r="BD2597" s="26"/>
      <c r="BE2597" s="26"/>
      <c r="BF2597" s="26" t="s">
        <v>23900</v>
      </c>
      <c r="BG2597" s="26"/>
      <c r="BH2597" s="26"/>
      <c r="BI2597" s="26"/>
      <c r="BJ2597" s="26"/>
      <c r="BK2597" s="26"/>
      <c r="BL2597" s="26"/>
      <c r="BM2597" s="26"/>
      <c r="BN2597" s="26"/>
      <c r="BO2597" s="26"/>
      <c r="BP2597" s="16" t="n">
        <v>45421</v>
      </c>
      <c r="BQ2597" s="28" t="str">
        <f>HYPERLINK("https://organic.ams.usda.gov/Integrity/Certificate.aspx?cid=45&amp;nopid=9950003270")</f>
        <v>https://organic.ams.usda.gov/Integrity/Certificate.aspx?cid=45&amp;nopid=9950003270</v>
      </c>
    </row>
    <row r="2598">
      <c r="A2598" t="s">
        <v>3</v>
      </c>
      <c r="B2598" s="6" t="s">
        <v>7</v>
      </c>
      <c r="C2598" s="6" t="s">
        <v>54</v>
      </c>
      <c r="D2598" s="6" t="s">
        <v>100</v>
      </c>
      <c r="E2598" s="10" t="s">
        <v>2739</v>
      </c>
      <c r="F2598" s="6" t="s">
        <v>5443</v>
      </c>
      <c r="G2598" s="6" t="s">
        <v>81</v>
      </c>
      <c r="H2598" s="6" t="s">
        <v>8258</v>
      </c>
      <c r="I2598" s="6" t="s">
        <v>9606</v>
      </c>
      <c r="J2598" s="6" t="s">
        <v>10555</v>
      </c>
      <c r="K2598" s="6" t="s">
        <v>10886</v>
      </c>
      <c r="L2598" s="16" t="n">
        <v>39157</v>
      </c>
      <c r="M2598" s="16" t="n">
        <v>45716</v>
      </c>
      <c r="N2598" s="6" t="s">
        <v>10886</v>
      </c>
      <c r="O2598" s="16" t="n">
        <v>39157</v>
      </c>
      <c r="P2598" s="6" t="s">
        <v>12337</v>
      </c>
      <c r="Q2598" s="6" t="s">
        <v>81</v>
      </c>
      <c r="R2598" s="6" t="s">
        <v>81</v>
      </c>
      <c r="S2598" s="6" t="s">
        <v>10886</v>
      </c>
      <c r="T2598" s="16" t="n">
        <v>39213</v>
      </c>
      <c r="U2598" s="6" t="s">
        <v>13169</v>
      </c>
      <c r="V2598" s="6" t="s">
        <v>81</v>
      </c>
      <c r="W2598" s="6" t="s">
        <v>81</v>
      </c>
      <c r="X2598" s="6" t="s">
        <v>81</v>
      </c>
      <c r="Y2598" s="21" t="s">
        <v>81</v>
      </c>
      <c r="Z2598" s="6" t="s">
        <v>81</v>
      </c>
      <c r="AA2598" s="6" t="s">
        <v>81</v>
      </c>
      <c r="AB2598" s="6" t="s">
        <v>81</v>
      </c>
      <c r="AC2598" s="6" t="s">
        <v>81</v>
      </c>
      <c r="AD2598" s="21" t="s">
        <v>81</v>
      </c>
      <c r="AE2598" s="6" t="s">
        <v>81</v>
      </c>
      <c r="AF2598" s="6" t="s">
        <v>81</v>
      </c>
      <c r="AG2598" s="6" t="s">
        <v>81</v>
      </c>
      <c r="AH2598" s="6" t="s">
        <v>17131</v>
      </c>
      <c r="AI2598" s="6" t="s">
        <v>81</v>
      </c>
      <c r="AJ2598" s="6" t="s">
        <v>17526</v>
      </c>
      <c r="AK2598" s="6" t="s">
        <v>17712</v>
      </c>
      <c r="AL2598" s="6" t="s">
        <v>18444</v>
      </c>
      <c r="AM2598" s="6" t="s">
        <v>18499</v>
      </c>
      <c r="AN2598" s="6" t="s">
        <v>19651</v>
      </c>
      <c r="AO2598" s="6" t="s">
        <v>19741</v>
      </c>
      <c r="AP2598" s="6" t="s">
        <v>17131</v>
      </c>
      <c r="AQ2598" s="6" t="s">
        <v>81</v>
      </c>
      <c r="AR2598" s="6" t="s">
        <v>17526</v>
      </c>
      <c r="AS2598" s="6" t="s">
        <v>17712</v>
      </c>
      <c r="AT2598" s="6" t="s">
        <v>18444</v>
      </c>
      <c r="AU2598" s="6" t="s">
        <v>18499</v>
      </c>
      <c r="AV2598" s="6" t="s">
        <v>81</v>
      </c>
      <c r="AW2598" s="6" t="s">
        <v>81</v>
      </c>
      <c r="AX2598" s="6" t="s">
        <v>22456</v>
      </c>
      <c r="AY2598" s="6" t="s">
        <v>23514</v>
      </c>
      <c r="AZ2598" s="6" t="s">
        <v>23801</v>
      </c>
      <c r="BA2598" s="6" t="s">
        <v>81</v>
      </c>
      <c r="BB2598" s="24" t="n">
        <v>215</v>
      </c>
      <c r="BC2598" s="26"/>
      <c r="BD2598" s="26"/>
      <c r="BE2598" s="26"/>
      <c r="BF2598" s="26" t="s">
        <v>23900</v>
      </c>
      <c r="BG2598" s="26"/>
      <c r="BH2598" s="26"/>
      <c r="BI2598" s="26"/>
      <c r="BJ2598" s="26"/>
      <c r="BK2598" s="26"/>
      <c r="BL2598" s="26"/>
      <c r="BM2598" s="26"/>
      <c r="BN2598" s="26"/>
      <c r="BO2598" s="26"/>
      <c r="BP2598" s="16" t="n">
        <v>45595</v>
      </c>
      <c r="BQ2598" s="28" t="str">
        <f>HYPERLINK("https://organic.ams.usda.gov/Integrity/Certificate.aspx?cid=57&amp;nopid=3252006105")</f>
        <v>https://organic.ams.usda.gov/Integrity/Certificate.aspx?cid=57&amp;nopid=3252006105</v>
      </c>
    </row>
    <row r="2599">
      <c r="A2599" t="s">
        <v>3</v>
      </c>
      <c r="B2599" s="6" t="s">
        <v>9</v>
      </c>
      <c r="C2599" s="6" t="s">
        <v>56</v>
      </c>
      <c r="D2599" s="6" t="s">
        <v>102</v>
      </c>
      <c r="E2599" s="10" t="s">
        <v>2740</v>
      </c>
      <c r="F2599" s="6" t="s">
        <v>5444</v>
      </c>
      <c r="G2599" s="6" t="s">
        <v>81</v>
      </c>
      <c r="H2599" s="6" t="s">
        <v>8259</v>
      </c>
      <c r="I2599" s="6" t="s">
        <v>81</v>
      </c>
      <c r="J2599" s="6" t="s">
        <v>81</v>
      </c>
      <c r="K2599" s="6" t="s">
        <v>10886</v>
      </c>
      <c r="L2599" s="16" t="n">
        <v>41088</v>
      </c>
      <c r="M2599" s="16" t="n">
        <v>45748</v>
      </c>
      <c r="N2599" s="6" t="s">
        <v>10886</v>
      </c>
      <c r="O2599" s="16" t="n">
        <v>41088</v>
      </c>
      <c r="P2599" s="6" t="s">
        <v>11845</v>
      </c>
      <c r="Q2599" s="6" t="s">
        <v>81</v>
      </c>
      <c r="R2599" s="6" t="s">
        <v>13122</v>
      </c>
      <c r="S2599" s="6" t="s">
        <v>10886</v>
      </c>
      <c r="T2599" s="16" t="n">
        <v>41088</v>
      </c>
      <c r="U2599" s="6" t="s">
        <v>13168</v>
      </c>
      <c r="V2599" s="6" t="s">
        <v>81</v>
      </c>
      <c r="W2599" s="6" t="s">
        <v>13122</v>
      </c>
      <c r="X2599" s="6" t="s">
        <v>81</v>
      </c>
      <c r="Y2599" s="21" t="s">
        <v>81</v>
      </c>
      <c r="Z2599" s="6" t="s">
        <v>81</v>
      </c>
      <c r="AA2599" s="6" t="s">
        <v>81</v>
      </c>
      <c r="AB2599" s="6" t="s">
        <v>81</v>
      </c>
      <c r="AC2599" s="6" t="s">
        <v>81</v>
      </c>
      <c r="AD2599" s="21" t="s">
        <v>81</v>
      </c>
      <c r="AE2599" s="6" t="s">
        <v>81</v>
      </c>
      <c r="AF2599" s="6" t="s">
        <v>81</v>
      </c>
      <c r="AG2599" s="6" t="s">
        <v>81</v>
      </c>
      <c r="AH2599" s="6" t="s">
        <v>17132</v>
      </c>
      <c r="AI2599" s="6" t="s">
        <v>81</v>
      </c>
      <c r="AJ2599" s="6" t="s">
        <v>17859</v>
      </c>
      <c r="AK2599" s="6" t="s">
        <v>18377</v>
      </c>
      <c r="AL2599" s="6" t="s">
        <v>18444</v>
      </c>
      <c r="AM2599" s="6" t="s">
        <v>19041</v>
      </c>
      <c r="AN2599" s="6" t="s">
        <v>19667</v>
      </c>
      <c r="AO2599" s="6" t="s">
        <v>19967</v>
      </c>
      <c r="AP2599" s="6" t="s">
        <v>81</v>
      </c>
      <c r="AQ2599" s="6" t="s">
        <v>81</v>
      </c>
      <c r="AR2599" s="6" t="s">
        <v>81</v>
      </c>
      <c r="AS2599" s="6" t="s">
        <v>81</v>
      </c>
      <c r="AT2599" s="6" t="s">
        <v>81</v>
      </c>
      <c r="AU2599" s="6" t="s">
        <v>81</v>
      </c>
      <c r="AV2599" s="6" t="s">
        <v>81</v>
      </c>
      <c r="AW2599" s="6" t="s">
        <v>81</v>
      </c>
      <c r="AX2599" s="6" t="s">
        <v>22457</v>
      </c>
      <c r="AY2599" s="6" t="s">
        <v>23515</v>
      </c>
      <c r="AZ2599" s="6" t="s">
        <v>81</v>
      </c>
      <c r="BA2599" s="6" t="s">
        <v>23837</v>
      </c>
      <c r="BB2599" s="24" t="n">
        <v>1078</v>
      </c>
      <c r="BC2599" s="26"/>
      <c r="BD2599" s="26"/>
      <c r="BE2599" s="26"/>
      <c r="BF2599" s="26"/>
      <c r="BG2599" s="26"/>
      <c r="BH2599" s="26"/>
      <c r="BI2599" s="26"/>
      <c r="BJ2599" s="26"/>
      <c r="BK2599" s="26"/>
      <c r="BL2599" s="26"/>
      <c r="BM2599" s="26"/>
      <c r="BN2599" s="26"/>
      <c r="BO2599" s="26"/>
      <c r="BP2599" s="16" t="n">
        <v>45738</v>
      </c>
      <c r="BQ2599" s="28" t="str">
        <f>HYPERLINK("https://organic.ams.usda.gov/Integrity/Certificate.aspx?cid=52&amp;nopid=8431200324")</f>
        <v>https://organic.ams.usda.gov/Integrity/Certificate.aspx?cid=52&amp;nopid=8431200324</v>
      </c>
    </row>
    <row r="2600">
      <c r="A2600" t="s">
        <v>3</v>
      </c>
      <c r="B2600" s="6" t="s">
        <v>8</v>
      </c>
      <c r="C2600" s="6" t="s">
        <v>55</v>
      </c>
      <c r="D2600" s="6" t="s">
        <v>101</v>
      </c>
      <c r="E2600" s="10" t="s">
        <v>2741</v>
      </c>
      <c r="F2600" s="6" t="s">
        <v>5445</v>
      </c>
      <c r="G2600" s="6" t="s">
        <v>81</v>
      </c>
      <c r="H2600" s="6" t="s">
        <v>8260</v>
      </c>
      <c r="I2600" s="6" t="s">
        <v>8513</v>
      </c>
      <c r="J2600" s="6" t="s">
        <v>9671</v>
      </c>
      <c r="K2600" s="6" t="s">
        <v>10886</v>
      </c>
      <c r="L2600" s="16" t="n">
        <v>40814</v>
      </c>
      <c r="M2600" s="16" t="n">
        <v>45689</v>
      </c>
      <c r="N2600" s="6" t="s">
        <v>10886</v>
      </c>
      <c r="O2600" s="16" t="n">
        <v>40814</v>
      </c>
      <c r="P2600" s="6" t="s">
        <v>12338</v>
      </c>
      <c r="Q2600" s="6" t="s">
        <v>81</v>
      </c>
      <c r="R2600" s="6" t="s">
        <v>8260</v>
      </c>
      <c r="S2600" s="6" t="s">
        <v>10886</v>
      </c>
      <c r="T2600" s="16" t="n">
        <v>40814</v>
      </c>
      <c r="U2600" s="6" t="s">
        <v>13179</v>
      </c>
      <c r="V2600" s="6" t="s">
        <v>81</v>
      </c>
      <c r="W2600" s="6" t="s">
        <v>8260</v>
      </c>
      <c r="X2600" s="6" t="s">
        <v>81</v>
      </c>
      <c r="Y2600" s="21" t="s">
        <v>81</v>
      </c>
      <c r="Z2600" s="6" t="s">
        <v>81</v>
      </c>
      <c r="AA2600" s="6" t="s">
        <v>81</v>
      </c>
      <c r="AB2600" s="6" t="s">
        <v>81</v>
      </c>
      <c r="AC2600" s="6" t="s">
        <v>81</v>
      </c>
      <c r="AD2600" s="21" t="s">
        <v>81</v>
      </c>
      <c r="AE2600" s="6" t="s">
        <v>81</v>
      </c>
      <c r="AF2600" s="6" t="s">
        <v>81</v>
      </c>
      <c r="AG2600" s="6" t="s">
        <v>81</v>
      </c>
      <c r="AH2600" s="6" t="s">
        <v>17133</v>
      </c>
      <c r="AI2600" s="6" t="s">
        <v>81</v>
      </c>
      <c r="AJ2600" s="6" t="s">
        <v>17317</v>
      </c>
      <c r="AK2600" s="6" t="s">
        <v>18380</v>
      </c>
      <c r="AL2600" s="6" t="s">
        <v>18444</v>
      </c>
      <c r="AM2600" s="6" t="s">
        <v>18469</v>
      </c>
      <c r="AN2600" s="6" t="s">
        <v>19639</v>
      </c>
      <c r="AO2600" s="6" t="s">
        <v>19725</v>
      </c>
      <c r="AP2600" s="6" t="s">
        <v>81</v>
      </c>
      <c r="AQ2600" s="6" t="s">
        <v>81</v>
      </c>
      <c r="AR2600" s="6" t="s">
        <v>81</v>
      </c>
      <c r="AS2600" s="6" t="s">
        <v>81</v>
      </c>
      <c r="AT2600" s="6" t="s">
        <v>81</v>
      </c>
      <c r="AU2600" s="6" t="s">
        <v>81</v>
      </c>
      <c r="AV2600" s="6" t="s">
        <v>81</v>
      </c>
      <c r="AW2600" s="6" t="s">
        <v>81</v>
      </c>
      <c r="AX2600" s="6" t="s">
        <v>81</v>
      </c>
      <c r="AY2600" s="6" t="s">
        <v>81</v>
      </c>
      <c r="AZ2600" s="6" t="s">
        <v>81</v>
      </c>
      <c r="BA2600" s="6" t="s">
        <v>23819</v>
      </c>
      <c r="BB2600" s="24" t="n">
        <v>68</v>
      </c>
      <c r="BC2600" s="26"/>
      <c r="BD2600" s="26"/>
      <c r="BE2600" s="26"/>
      <c r="BF2600" s="26" t="s">
        <v>23900</v>
      </c>
      <c r="BG2600" s="26"/>
      <c r="BH2600" s="26"/>
      <c r="BI2600" s="26"/>
      <c r="BJ2600" s="26"/>
      <c r="BK2600" s="26"/>
      <c r="BL2600" s="26"/>
      <c r="BM2600" s="26"/>
      <c r="BN2600" s="26"/>
      <c r="BO2600" s="26"/>
      <c r="BP2600" s="16" t="n">
        <v>45734</v>
      </c>
      <c r="BQ2600" s="28" t="str">
        <f>HYPERLINK("https://organic.ams.usda.gov/Integrity/Certificate.aspx?cid=45&amp;nopid=9950004459")</f>
        <v>https://organic.ams.usda.gov/Integrity/Certificate.aspx?cid=45&amp;nopid=9950004459</v>
      </c>
    </row>
    <row r="2601">
      <c r="A2601" t="s">
        <v>3</v>
      </c>
      <c r="B2601" s="6" t="s">
        <v>14</v>
      </c>
      <c r="C2601" s="6" t="s">
        <v>61</v>
      </c>
      <c r="D2601" s="6" t="s">
        <v>107</v>
      </c>
      <c r="E2601" s="10" t="s">
        <v>2742</v>
      </c>
      <c r="F2601" s="6" t="s">
        <v>5446</v>
      </c>
      <c r="G2601" s="6" t="s">
        <v>81</v>
      </c>
      <c r="H2601" s="6" t="s">
        <v>8261</v>
      </c>
      <c r="I2601" s="6" t="s">
        <v>9607</v>
      </c>
      <c r="J2601" s="6" t="s">
        <v>10832</v>
      </c>
      <c r="K2601" s="6" t="s">
        <v>10886</v>
      </c>
      <c r="L2601" s="16" t="n">
        <v>45532</v>
      </c>
      <c r="M2601" s="16" t="n">
        <v>45778</v>
      </c>
      <c r="N2601" s="6" t="s">
        <v>81</v>
      </c>
      <c r="O2601" s="21" t="s">
        <v>81</v>
      </c>
      <c r="P2601" s="6" t="s">
        <v>81</v>
      </c>
      <c r="Q2601" s="6" t="s">
        <v>81</v>
      </c>
      <c r="R2601" s="6" t="s">
        <v>81</v>
      </c>
      <c r="S2601" s="6" t="s">
        <v>81</v>
      </c>
      <c r="T2601" s="21" t="s">
        <v>81</v>
      </c>
      <c r="U2601" s="6" t="s">
        <v>81</v>
      </c>
      <c r="V2601" s="6" t="s">
        <v>81</v>
      </c>
      <c r="W2601" s="6" t="s">
        <v>81</v>
      </c>
      <c r="X2601" s="6" t="s">
        <v>81</v>
      </c>
      <c r="Y2601" s="21" t="s">
        <v>81</v>
      </c>
      <c r="Z2601" s="6" t="s">
        <v>81</v>
      </c>
      <c r="AA2601" s="6" t="s">
        <v>81</v>
      </c>
      <c r="AB2601" s="6" t="s">
        <v>81</v>
      </c>
      <c r="AC2601" s="6" t="s">
        <v>10886</v>
      </c>
      <c r="AD2601" s="16" t="n">
        <v>45532</v>
      </c>
      <c r="AE2601" s="6" t="s">
        <v>14482</v>
      </c>
      <c r="AF2601" s="6" t="s">
        <v>81</v>
      </c>
      <c r="AG2601" s="6" t="s">
        <v>81</v>
      </c>
      <c r="AH2601" s="6" t="s">
        <v>17134</v>
      </c>
      <c r="AI2601" s="6" t="s">
        <v>17307</v>
      </c>
      <c r="AJ2601" s="6" t="s">
        <v>18337</v>
      </c>
      <c r="AK2601" s="6" t="s">
        <v>18382</v>
      </c>
      <c r="AL2601" s="6" t="s">
        <v>18444</v>
      </c>
      <c r="AM2601" s="6" t="s">
        <v>19581</v>
      </c>
      <c r="AN2601" s="6" t="s">
        <v>81</v>
      </c>
      <c r="AO2601" s="6" t="s">
        <v>81</v>
      </c>
      <c r="AP2601" s="6" t="s">
        <v>20458</v>
      </c>
      <c r="AQ2601" s="6" t="s">
        <v>20488</v>
      </c>
      <c r="AR2601" s="6" t="s">
        <v>20586</v>
      </c>
      <c r="AS2601" s="6" t="s">
        <v>18382</v>
      </c>
      <c r="AT2601" s="6" t="s">
        <v>18444</v>
      </c>
      <c r="AU2601" s="6" t="s">
        <v>20713</v>
      </c>
      <c r="AV2601" s="6" t="s">
        <v>81</v>
      </c>
      <c r="AW2601" s="6" t="s">
        <v>81</v>
      </c>
      <c r="AX2601" s="6" t="s">
        <v>22458</v>
      </c>
      <c r="AY2601" s="6" t="s">
        <v>23516</v>
      </c>
      <c r="AZ2601" s="6" t="s">
        <v>81</v>
      </c>
      <c r="BA2601" s="6" t="s">
        <v>81</v>
      </c>
      <c r="BB2601" s="24" t="n">
        <v>0</v>
      </c>
      <c r="BC2601" s="26"/>
      <c r="BD2601" s="26"/>
      <c r="BE2601" s="26"/>
      <c r="BF2601" s="26"/>
      <c r="BG2601" s="26"/>
      <c r="BH2601" s="26" t="s">
        <v>23900</v>
      </c>
      <c r="BI2601" s="26"/>
      <c r="BJ2601" s="26"/>
      <c r="BK2601" s="26"/>
      <c r="BL2601" s="26"/>
      <c r="BM2601" s="26"/>
      <c r="BN2601" s="26"/>
      <c r="BO2601" s="26"/>
      <c r="BP2601" s="16" t="n">
        <v>45664</v>
      </c>
      <c r="BQ2601" s="28" t="str">
        <f>HYPERLINK("https://organic.ams.usda.gov/Integrity/Certificate.aspx?cid=51&amp;nopid=8241000096")</f>
        <v>https://organic.ams.usda.gov/Integrity/Certificate.aspx?cid=51&amp;nopid=8241000096</v>
      </c>
    </row>
    <row r="2602">
      <c r="A2602" t="s">
        <v>3</v>
      </c>
      <c r="B2602" s="6" t="s">
        <v>12</v>
      </c>
      <c r="C2602" s="6" t="s">
        <v>59</v>
      </c>
      <c r="D2602" s="6" t="s">
        <v>105</v>
      </c>
      <c r="E2602" s="10" t="s">
        <v>2743</v>
      </c>
      <c r="F2602" s="6" t="s">
        <v>5447</v>
      </c>
      <c r="G2602" s="6" t="s">
        <v>81</v>
      </c>
      <c r="H2602" s="6" t="s">
        <v>8262</v>
      </c>
      <c r="I2602" s="6" t="s">
        <v>9608</v>
      </c>
      <c r="J2602" s="6" t="s">
        <v>10833</v>
      </c>
      <c r="K2602" s="6" t="s">
        <v>10886</v>
      </c>
      <c r="L2602" s="16" t="n">
        <v>45538</v>
      </c>
      <c r="M2602" s="16" t="n">
        <v>45717</v>
      </c>
      <c r="N2602" s="6" t="s">
        <v>81</v>
      </c>
      <c r="O2602" s="21" t="s">
        <v>81</v>
      </c>
      <c r="P2602" s="6" t="s">
        <v>81</v>
      </c>
      <c r="Q2602" s="6" t="s">
        <v>81</v>
      </c>
      <c r="R2602" s="6" t="s">
        <v>81</v>
      </c>
      <c r="S2602" s="6" t="s">
        <v>81</v>
      </c>
      <c r="T2602" s="21" t="s">
        <v>81</v>
      </c>
      <c r="U2602" s="6" t="s">
        <v>81</v>
      </c>
      <c r="V2602" s="6" t="s">
        <v>81</v>
      </c>
      <c r="W2602" s="6" t="s">
        <v>81</v>
      </c>
      <c r="X2602" s="6" t="s">
        <v>81</v>
      </c>
      <c r="Y2602" s="21" t="s">
        <v>81</v>
      </c>
      <c r="Z2602" s="6" t="s">
        <v>81</v>
      </c>
      <c r="AA2602" s="6" t="s">
        <v>81</v>
      </c>
      <c r="AB2602" s="6" t="s">
        <v>81</v>
      </c>
      <c r="AC2602" s="6" t="s">
        <v>10886</v>
      </c>
      <c r="AD2602" s="16" t="n">
        <v>45538</v>
      </c>
      <c r="AE2602" s="6" t="s">
        <v>14483</v>
      </c>
      <c r="AF2602" s="6" t="s">
        <v>81</v>
      </c>
      <c r="AG2602" s="6" t="s">
        <v>81</v>
      </c>
      <c r="AH2602" s="6" t="s">
        <v>17135</v>
      </c>
      <c r="AI2602" s="6" t="s">
        <v>81</v>
      </c>
      <c r="AJ2602" s="6" t="s">
        <v>18104</v>
      </c>
      <c r="AK2602" s="6" t="s">
        <v>18386</v>
      </c>
      <c r="AL2602" s="6" t="s">
        <v>18444</v>
      </c>
      <c r="AM2602" s="6" t="s">
        <v>19582</v>
      </c>
      <c r="AN2602" s="6" t="s">
        <v>81</v>
      </c>
      <c r="AO2602" s="6" t="s">
        <v>81</v>
      </c>
      <c r="AP2602" s="6" t="s">
        <v>20459</v>
      </c>
      <c r="AQ2602" s="6" t="s">
        <v>20489</v>
      </c>
      <c r="AR2602" s="6" t="s">
        <v>18104</v>
      </c>
      <c r="AS2602" s="6" t="s">
        <v>18386</v>
      </c>
      <c r="AT2602" s="6" t="s">
        <v>18444</v>
      </c>
      <c r="AU2602" s="6" t="s">
        <v>19582</v>
      </c>
      <c r="AV2602" s="6" t="s">
        <v>81</v>
      </c>
      <c r="AW2602" s="6" t="s">
        <v>81</v>
      </c>
      <c r="AX2602" s="6" t="s">
        <v>22459</v>
      </c>
      <c r="AY2602" s="6" t="s">
        <v>23517</v>
      </c>
      <c r="AZ2602" s="6" t="s">
        <v>81</v>
      </c>
      <c r="BA2602" s="6" t="s">
        <v>81</v>
      </c>
      <c r="BB2602" s="6" t="s">
        <v>81</v>
      </c>
      <c r="BC2602" s="26"/>
      <c r="BD2602" s="26"/>
      <c r="BE2602" s="26"/>
      <c r="BF2602" s="26"/>
      <c r="BG2602" s="26"/>
      <c r="BH2602" s="26"/>
      <c r="BI2602" s="26"/>
      <c r="BJ2602" s="26"/>
      <c r="BK2602" s="26"/>
      <c r="BL2602" s="26"/>
      <c r="BM2602" s="26"/>
      <c r="BN2602" s="26"/>
      <c r="BO2602" s="26"/>
      <c r="BP2602" s="16" t="n">
        <v>45712</v>
      </c>
      <c r="BQ2602" s="28" t="str">
        <f>HYPERLINK("https://organic.ams.usda.gov/Integrity/Certificate.aspx?cid=68&amp;nopid=8210009089")</f>
        <v>https://organic.ams.usda.gov/Integrity/Certificate.aspx?cid=68&amp;nopid=8210009089</v>
      </c>
    </row>
    <row r="2603">
      <c r="A2603" t="s">
        <v>3</v>
      </c>
      <c r="B2603" s="6" t="s">
        <v>7</v>
      </c>
      <c r="C2603" s="6" t="s">
        <v>54</v>
      </c>
      <c r="D2603" s="6" t="s">
        <v>100</v>
      </c>
      <c r="E2603" s="10" t="s">
        <v>2744</v>
      </c>
      <c r="F2603" s="6" t="s">
        <v>5448</v>
      </c>
      <c r="G2603" s="6" t="s">
        <v>81</v>
      </c>
      <c r="H2603" s="6" t="s">
        <v>7814</v>
      </c>
      <c r="I2603" s="6" t="s">
        <v>8439</v>
      </c>
      <c r="J2603" s="6" t="s">
        <v>9753</v>
      </c>
      <c r="K2603" s="6" t="s">
        <v>10886</v>
      </c>
      <c r="L2603" s="16" t="n">
        <v>45540</v>
      </c>
      <c r="M2603" s="16" t="n">
        <v>45716</v>
      </c>
      <c r="N2603" s="6" t="s">
        <v>10886</v>
      </c>
      <c r="O2603" s="16" t="n">
        <v>45540</v>
      </c>
      <c r="P2603" s="6" t="s">
        <v>10925</v>
      </c>
      <c r="Q2603" s="6" t="s">
        <v>81</v>
      </c>
      <c r="R2603" s="6" t="s">
        <v>81</v>
      </c>
      <c r="S2603" s="6" t="s">
        <v>10886</v>
      </c>
      <c r="T2603" s="16" t="n">
        <v>45540</v>
      </c>
      <c r="U2603" s="6" t="s">
        <v>13169</v>
      </c>
      <c r="V2603" s="6" t="s">
        <v>81</v>
      </c>
      <c r="W2603" s="6" t="s">
        <v>81</v>
      </c>
      <c r="X2603" s="6" t="s">
        <v>81</v>
      </c>
      <c r="Y2603" s="21" t="s">
        <v>81</v>
      </c>
      <c r="Z2603" s="6" t="s">
        <v>81</v>
      </c>
      <c r="AA2603" s="6" t="s">
        <v>81</v>
      </c>
      <c r="AB2603" s="6" t="s">
        <v>81</v>
      </c>
      <c r="AC2603" s="6" t="s">
        <v>81</v>
      </c>
      <c r="AD2603" s="21" t="s">
        <v>81</v>
      </c>
      <c r="AE2603" s="6" t="s">
        <v>81</v>
      </c>
      <c r="AF2603" s="6" t="s">
        <v>81</v>
      </c>
      <c r="AG2603" s="6" t="s">
        <v>81</v>
      </c>
      <c r="AH2603" s="6" t="s">
        <v>17136</v>
      </c>
      <c r="AI2603" s="6" t="s">
        <v>81</v>
      </c>
      <c r="AJ2603" s="6" t="s">
        <v>18246</v>
      </c>
      <c r="AK2603" s="6" t="s">
        <v>17712</v>
      </c>
      <c r="AL2603" s="6" t="s">
        <v>18444</v>
      </c>
      <c r="AM2603" s="6" t="s">
        <v>19583</v>
      </c>
      <c r="AN2603" s="6" t="s">
        <v>81</v>
      </c>
      <c r="AO2603" s="6" t="s">
        <v>81</v>
      </c>
      <c r="AP2603" s="6" t="s">
        <v>17136</v>
      </c>
      <c r="AQ2603" s="6" t="s">
        <v>81</v>
      </c>
      <c r="AR2603" s="6" t="s">
        <v>18246</v>
      </c>
      <c r="AS2603" s="6" t="s">
        <v>17712</v>
      </c>
      <c r="AT2603" s="6" t="s">
        <v>18444</v>
      </c>
      <c r="AU2603" s="6" t="s">
        <v>19583</v>
      </c>
      <c r="AV2603" s="6" t="s">
        <v>81</v>
      </c>
      <c r="AW2603" s="6" t="s">
        <v>81</v>
      </c>
      <c r="AX2603" s="6" t="s">
        <v>22460</v>
      </c>
      <c r="AY2603" s="6" t="s">
        <v>23518</v>
      </c>
      <c r="AZ2603" s="6" t="s">
        <v>81</v>
      </c>
      <c r="BA2603" s="6" t="s">
        <v>81</v>
      </c>
      <c r="BB2603" s="24" t="n">
        <v>388</v>
      </c>
      <c r="BC2603" s="26"/>
      <c r="BD2603" s="26"/>
      <c r="BE2603" s="26"/>
      <c r="BF2603" s="26" t="s">
        <v>23900</v>
      </c>
      <c r="BG2603" s="26"/>
      <c r="BH2603" s="26"/>
      <c r="BI2603" s="26"/>
      <c r="BJ2603" s="26"/>
      <c r="BK2603" s="26"/>
      <c r="BL2603" s="26"/>
      <c r="BM2603" s="26"/>
      <c r="BN2603" s="26"/>
      <c r="BO2603" s="26"/>
      <c r="BP2603" s="16" t="n">
        <v>45595</v>
      </c>
      <c r="BQ2603" s="28" t="str">
        <f>HYPERLINK("https://organic.ams.usda.gov/Integrity/Certificate.aspx?cid=57&amp;nopid=3252024043")</f>
        <v>https://organic.ams.usda.gov/Integrity/Certificate.aspx?cid=57&amp;nopid=3252024043</v>
      </c>
    </row>
    <row r="2604">
      <c r="A2604" t="s">
        <v>3</v>
      </c>
      <c r="B2604" s="6" t="s">
        <v>7</v>
      </c>
      <c r="C2604" s="6" t="s">
        <v>54</v>
      </c>
      <c r="D2604" s="6" t="s">
        <v>100</v>
      </c>
      <c r="E2604" s="10" t="s">
        <v>2745</v>
      </c>
      <c r="F2604" s="6" t="s">
        <v>5449</v>
      </c>
      <c r="G2604" s="6" t="s">
        <v>81</v>
      </c>
      <c r="H2604" s="6" t="s">
        <v>8263</v>
      </c>
      <c r="I2604" s="6" t="s">
        <v>9609</v>
      </c>
      <c r="J2604" s="6" t="s">
        <v>9669</v>
      </c>
      <c r="K2604" s="6" t="s">
        <v>10886</v>
      </c>
      <c r="L2604" s="16" t="n">
        <v>42303</v>
      </c>
      <c r="M2604" s="16" t="n">
        <v>45716</v>
      </c>
      <c r="N2604" s="6" t="s">
        <v>10886</v>
      </c>
      <c r="O2604" s="16" t="n">
        <v>42303</v>
      </c>
      <c r="P2604" s="6" t="s">
        <v>11017</v>
      </c>
      <c r="Q2604" s="6" t="s">
        <v>81</v>
      </c>
      <c r="R2604" s="6" t="s">
        <v>81</v>
      </c>
      <c r="S2604" s="6" t="s">
        <v>10886</v>
      </c>
      <c r="T2604" s="16" t="n">
        <v>42328</v>
      </c>
      <c r="U2604" s="6" t="s">
        <v>13169</v>
      </c>
      <c r="V2604" s="6" t="s">
        <v>81</v>
      </c>
      <c r="W2604" s="6" t="s">
        <v>81</v>
      </c>
      <c r="X2604" s="6" t="s">
        <v>81</v>
      </c>
      <c r="Y2604" s="21" t="s">
        <v>81</v>
      </c>
      <c r="Z2604" s="6" t="s">
        <v>81</v>
      </c>
      <c r="AA2604" s="6" t="s">
        <v>81</v>
      </c>
      <c r="AB2604" s="6" t="s">
        <v>81</v>
      </c>
      <c r="AC2604" s="6" t="s">
        <v>81</v>
      </c>
      <c r="AD2604" s="21" t="s">
        <v>81</v>
      </c>
      <c r="AE2604" s="6" t="s">
        <v>81</v>
      </c>
      <c r="AF2604" s="6" t="s">
        <v>81</v>
      </c>
      <c r="AG2604" s="6" t="s">
        <v>81</v>
      </c>
      <c r="AH2604" s="6" t="s">
        <v>17137</v>
      </c>
      <c r="AI2604" s="6" t="s">
        <v>81</v>
      </c>
      <c r="AJ2604" s="6" t="s">
        <v>17750</v>
      </c>
      <c r="AK2604" s="6" t="s">
        <v>17712</v>
      </c>
      <c r="AL2604" s="6" t="s">
        <v>18444</v>
      </c>
      <c r="AM2604" s="6" t="s">
        <v>18919</v>
      </c>
      <c r="AN2604" s="6" t="s">
        <v>19646</v>
      </c>
      <c r="AO2604" s="6" t="s">
        <v>19729</v>
      </c>
      <c r="AP2604" s="6" t="s">
        <v>17137</v>
      </c>
      <c r="AQ2604" s="6" t="s">
        <v>81</v>
      </c>
      <c r="AR2604" s="6" t="s">
        <v>17750</v>
      </c>
      <c r="AS2604" s="6" t="s">
        <v>17712</v>
      </c>
      <c r="AT2604" s="6" t="s">
        <v>18444</v>
      </c>
      <c r="AU2604" s="6" t="s">
        <v>18919</v>
      </c>
      <c r="AV2604" s="6" t="s">
        <v>81</v>
      </c>
      <c r="AW2604" s="6" t="s">
        <v>81</v>
      </c>
      <c r="AX2604" s="6" t="s">
        <v>81</v>
      </c>
      <c r="AY2604" s="6" t="s">
        <v>81</v>
      </c>
      <c r="AZ2604" s="6" t="s">
        <v>81</v>
      </c>
      <c r="BA2604" s="6" t="s">
        <v>81</v>
      </c>
      <c r="BB2604" s="24" t="n">
        <v>97</v>
      </c>
      <c r="BC2604" s="26"/>
      <c r="BD2604" s="26"/>
      <c r="BE2604" s="26"/>
      <c r="BF2604" s="26" t="s">
        <v>23900</v>
      </c>
      <c r="BG2604" s="26"/>
      <c r="BH2604" s="26"/>
      <c r="BI2604" s="26"/>
      <c r="BJ2604" s="26"/>
      <c r="BK2604" s="26"/>
      <c r="BL2604" s="26"/>
      <c r="BM2604" s="26"/>
      <c r="BN2604" s="26"/>
      <c r="BO2604" s="26"/>
      <c r="BP2604" s="16" t="n">
        <v>45595</v>
      </c>
      <c r="BQ2604" s="28" t="str">
        <f>HYPERLINK("https://organic.ams.usda.gov/Integrity/Certificate.aspx?cid=57&amp;nopid=3252015113")</f>
        <v>https://organic.ams.usda.gov/Integrity/Certificate.aspx?cid=57&amp;nopid=3252015113</v>
      </c>
    </row>
    <row r="2605">
      <c r="A2605" t="s">
        <v>3</v>
      </c>
      <c r="B2605" s="6" t="s">
        <v>12</v>
      </c>
      <c r="C2605" s="6" t="s">
        <v>59</v>
      </c>
      <c r="D2605" s="6" t="s">
        <v>105</v>
      </c>
      <c r="E2605" s="10" t="s">
        <v>2746</v>
      </c>
      <c r="F2605" s="6" t="s">
        <v>5450</v>
      </c>
      <c r="G2605" s="6" t="s">
        <v>81</v>
      </c>
      <c r="H2605" s="6" t="s">
        <v>8264</v>
      </c>
      <c r="I2605" s="6" t="s">
        <v>9609</v>
      </c>
      <c r="J2605" s="6" t="s">
        <v>9800</v>
      </c>
      <c r="K2605" s="6" t="s">
        <v>10886</v>
      </c>
      <c r="L2605" s="16" t="n">
        <v>40057</v>
      </c>
      <c r="M2605" s="16" t="n">
        <v>45717</v>
      </c>
      <c r="N2605" s="6" t="s">
        <v>10886</v>
      </c>
      <c r="O2605" s="16" t="n">
        <v>40057</v>
      </c>
      <c r="P2605" s="6" t="s">
        <v>11986</v>
      </c>
      <c r="Q2605" s="6" t="s">
        <v>81</v>
      </c>
      <c r="R2605" s="6" t="s">
        <v>81</v>
      </c>
      <c r="S2605" s="6" t="s">
        <v>10886</v>
      </c>
      <c r="T2605" s="16" t="n">
        <v>40057</v>
      </c>
      <c r="U2605" s="6" t="s">
        <v>13166</v>
      </c>
      <c r="V2605" s="6" t="s">
        <v>81</v>
      </c>
      <c r="W2605" s="6" t="s">
        <v>81</v>
      </c>
      <c r="X2605" s="6" t="s">
        <v>81</v>
      </c>
      <c r="Y2605" s="21" t="s">
        <v>81</v>
      </c>
      <c r="Z2605" s="6" t="s">
        <v>81</v>
      </c>
      <c r="AA2605" s="6" t="s">
        <v>81</v>
      </c>
      <c r="AB2605" s="6" t="s">
        <v>81</v>
      </c>
      <c r="AC2605" s="6" t="s">
        <v>81</v>
      </c>
      <c r="AD2605" s="21" t="s">
        <v>81</v>
      </c>
      <c r="AE2605" s="6" t="s">
        <v>81</v>
      </c>
      <c r="AF2605" s="6" t="s">
        <v>81</v>
      </c>
      <c r="AG2605" s="6" t="s">
        <v>81</v>
      </c>
      <c r="AH2605" s="6" t="s">
        <v>17138</v>
      </c>
      <c r="AI2605" s="6" t="s">
        <v>81</v>
      </c>
      <c r="AJ2605" s="6" t="s">
        <v>17481</v>
      </c>
      <c r="AK2605" s="6" t="s">
        <v>18380</v>
      </c>
      <c r="AL2605" s="6" t="s">
        <v>18444</v>
      </c>
      <c r="AM2605" s="6" t="s">
        <v>18643</v>
      </c>
      <c r="AN2605" s="6" t="s">
        <v>19686</v>
      </c>
      <c r="AO2605" s="6" t="s">
        <v>19817</v>
      </c>
      <c r="AP2605" s="6" t="s">
        <v>17138</v>
      </c>
      <c r="AQ2605" s="6" t="s">
        <v>81</v>
      </c>
      <c r="AR2605" s="6" t="s">
        <v>17481</v>
      </c>
      <c r="AS2605" s="6" t="s">
        <v>18380</v>
      </c>
      <c r="AT2605" s="6" t="s">
        <v>18444</v>
      </c>
      <c r="AU2605" s="6" t="s">
        <v>18643</v>
      </c>
      <c r="AV2605" s="6" t="s">
        <v>81</v>
      </c>
      <c r="AW2605" s="6" t="s">
        <v>81</v>
      </c>
      <c r="AX2605" s="6" t="s">
        <v>22461</v>
      </c>
      <c r="AY2605" s="6" t="s">
        <v>81</v>
      </c>
      <c r="AZ2605" s="6" t="s">
        <v>81</v>
      </c>
      <c r="BA2605" s="6" t="s">
        <v>81</v>
      </c>
      <c r="BB2605" s="24" t="n">
        <v>78</v>
      </c>
      <c r="BC2605" s="26"/>
      <c r="BD2605" s="26"/>
      <c r="BE2605" s="26"/>
      <c r="BF2605" s="26"/>
      <c r="BG2605" s="26"/>
      <c r="BH2605" s="26"/>
      <c r="BI2605" s="26"/>
      <c r="BJ2605" s="26"/>
      <c r="BK2605" s="26"/>
      <c r="BL2605" s="26"/>
      <c r="BM2605" s="26"/>
      <c r="BN2605" s="26"/>
      <c r="BO2605" s="26"/>
      <c r="BP2605" s="16" t="n">
        <v>45684</v>
      </c>
      <c r="BQ2605" s="28" t="str">
        <f>HYPERLINK("https://organic.ams.usda.gov/Integrity/Certificate.aspx?cid=68&amp;nopid=8210003346")</f>
        <v>https://organic.ams.usda.gov/Integrity/Certificate.aspx?cid=68&amp;nopid=8210003346</v>
      </c>
    </row>
    <row r="2606">
      <c r="A2606" t="s">
        <v>3</v>
      </c>
      <c r="B2606" s="6" t="s">
        <v>7</v>
      </c>
      <c r="C2606" s="6" t="s">
        <v>54</v>
      </c>
      <c r="D2606" s="6" t="s">
        <v>100</v>
      </c>
      <c r="E2606" s="10" t="s">
        <v>2747</v>
      </c>
      <c r="F2606" s="6" t="s">
        <v>5451</v>
      </c>
      <c r="G2606" s="6" t="s">
        <v>81</v>
      </c>
      <c r="H2606" s="6" t="s">
        <v>8265</v>
      </c>
      <c r="I2606" s="6" t="s">
        <v>9610</v>
      </c>
      <c r="J2606" s="6" t="s">
        <v>9669</v>
      </c>
      <c r="K2606" s="6" t="s">
        <v>10886</v>
      </c>
      <c r="L2606" s="16" t="n">
        <v>42633</v>
      </c>
      <c r="M2606" s="16" t="n">
        <v>45716</v>
      </c>
      <c r="N2606" s="6" t="s">
        <v>10886</v>
      </c>
      <c r="O2606" s="16" t="n">
        <v>42633</v>
      </c>
      <c r="P2606" s="6" t="s">
        <v>12339</v>
      </c>
      <c r="Q2606" s="6" t="s">
        <v>81</v>
      </c>
      <c r="R2606" s="6" t="s">
        <v>81</v>
      </c>
      <c r="S2606" s="6" t="s">
        <v>10886</v>
      </c>
      <c r="T2606" s="16" t="n">
        <v>43221</v>
      </c>
      <c r="U2606" s="6" t="s">
        <v>13169</v>
      </c>
      <c r="V2606" s="6" t="s">
        <v>81</v>
      </c>
      <c r="W2606" s="6" t="s">
        <v>81</v>
      </c>
      <c r="X2606" s="6" t="s">
        <v>81</v>
      </c>
      <c r="Y2606" s="21" t="s">
        <v>81</v>
      </c>
      <c r="Z2606" s="6" t="s">
        <v>81</v>
      </c>
      <c r="AA2606" s="6" t="s">
        <v>81</v>
      </c>
      <c r="AB2606" s="6" t="s">
        <v>81</v>
      </c>
      <c r="AC2606" s="6" t="s">
        <v>81</v>
      </c>
      <c r="AD2606" s="21" t="s">
        <v>81</v>
      </c>
      <c r="AE2606" s="6" t="s">
        <v>81</v>
      </c>
      <c r="AF2606" s="6" t="s">
        <v>81</v>
      </c>
      <c r="AG2606" s="6" t="s">
        <v>81</v>
      </c>
      <c r="AH2606" s="6" t="s">
        <v>17139</v>
      </c>
      <c r="AI2606" s="6" t="s">
        <v>81</v>
      </c>
      <c r="AJ2606" s="6" t="s">
        <v>17410</v>
      </c>
      <c r="AK2606" s="6" t="s">
        <v>17712</v>
      </c>
      <c r="AL2606" s="6" t="s">
        <v>18444</v>
      </c>
      <c r="AM2606" s="6" t="s">
        <v>18566</v>
      </c>
      <c r="AN2606" s="6" t="s">
        <v>19670</v>
      </c>
      <c r="AO2606" s="6" t="s">
        <v>19782</v>
      </c>
      <c r="AP2606" s="6" t="s">
        <v>17139</v>
      </c>
      <c r="AQ2606" s="6" t="s">
        <v>81</v>
      </c>
      <c r="AR2606" s="6" t="s">
        <v>17410</v>
      </c>
      <c r="AS2606" s="6" t="s">
        <v>17712</v>
      </c>
      <c r="AT2606" s="6" t="s">
        <v>18444</v>
      </c>
      <c r="AU2606" s="6" t="s">
        <v>18566</v>
      </c>
      <c r="AV2606" s="6" t="s">
        <v>81</v>
      </c>
      <c r="AW2606" s="6" t="s">
        <v>81</v>
      </c>
      <c r="AX2606" s="6" t="s">
        <v>81</v>
      </c>
      <c r="AY2606" s="6" t="s">
        <v>81</v>
      </c>
      <c r="AZ2606" s="6" t="s">
        <v>81</v>
      </c>
      <c r="BA2606" s="6" t="s">
        <v>81</v>
      </c>
      <c r="BB2606" s="24" t="n">
        <v>86</v>
      </c>
      <c r="BC2606" s="26"/>
      <c r="BD2606" s="26"/>
      <c r="BE2606" s="26"/>
      <c r="BF2606" s="26"/>
      <c r="BG2606" s="26"/>
      <c r="BH2606" s="26"/>
      <c r="BI2606" s="26"/>
      <c r="BJ2606" s="26"/>
      <c r="BK2606" s="26"/>
      <c r="BL2606" s="26"/>
      <c r="BM2606" s="26"/>
      <c r="BN2606" s="26"/>
      <c r="BO2606" s="26"/>
      <c r="BP2606" s="16" t="n">
        <v>45595</v>
      </c>
      <c r="BQ2606" s="28" t="str">
        <f>HYPERLINK("https://organic.ams.usda.gov/Integrity/Certificate.aspx?cid=57&amp;nopid=3252016034")</f>
        <v>https://organic.ams.usda.gov/Integrity/Certificate.aspx?cid=57&amp;nopid=3252016034</v>
      </c>
    </row>
    <row r="2607">
      <c r="A2607" t="s">
        <v>3</v>
      </c>
      <c r="B2607" s="6" t="s">
        <v>10</v>
      </c>
      <c r="C2607" s="6" t="s">
        <v>57</v>
      </c>
      <c r="D2607" s="6" t="s">
        <v>103</v>
      </c>
      <c r="E2607" s="10" t="s">
        <v>2748</v>
      </c>
      <c r="F2607" s="6" t="s">
        <v>5452</v>
      </c>
      <c r="G2607" s="6" t="s">
        <v>81</v>
      </c>
      <c r="H2607" s="6" t="s">
        <v>8266</v>
      </c>
      <c r="I2607" s="6" t="s">
        <v>9611</v>
      </c>
      <c r="J2607" s="6" t="s">
        <v>9665</v>
      </c>
      <c r="K2607" s="6" t="s">
        <v>10886</v>
      </c>
      <c r="L2607" s="16" t="n">
        <v>43222</v>
      </c>
      <c r="M2607" s="16" t="n">
        <v>45748</v>
      </c>
      <c r="N2607" s="6" t="s">
        <v>10886</v>
      </c>
      <c r="O2607" s="16" t="n">
        <v>43222</v>
      </c>
      <c r="P2607" s="6" t="s">
        <v>11005</v>
      </c>
      <c r="Q2607" s="6" t="s">
        <v>81</v>
      </c>
      <c r="R2607" s="6" t="s">
        <v>13123</v>
      </c>
      <c r="S2607" s="6" t="s">
        <v>10886</v>
      </c>
      <c r="T2607" s="16" t="n">
        <v>43222</v>
      </c>
      <c r="U2607" s="6" t="s">
        <v>13163</v>
      </c>
      <c r="V2607" s="6" t="s">
        <v>81</v>
      </c>
      <c r="W2607" s="6" t="s">
        <v>81</v>
      </c>
      <c r="X2607" s="6" t="s">
        <v>81</v>
      </c>
      <c r="Y2607" s="21" t="s">
        <v>81</v>
      </c>
      <c r="Z2607" s="6" t="s">
        <v>81</v>
      </c>
      <c r="AA2607" s="6" t="s">
        <v>81</v>
      </c>
      <c r="AB2607" s="6" t="s">
        <v>81</v>
      </c>
      <c r="AC2607" s="6" t="s">
        <v>81</v>
      </c>
      <c r="AD2607" s="21" t="s">
        <v>81</v>
      </c>
      <c r="AE2607" s="6" t="s">
        <v>81</v>
      </c>
      <c r="AF2607" s="6" t="s">
        <v>81</v>
      </c>
      <c r="AG2607" s="6" t="s">
        <v>81</v>
      </c>
      <c r="AH2607" s="6" t="s">
        <v>17140</v>
      </c>
      <c r="AI2607" s="6" t="s">
        <v>81</v>
      </c>
      <c r="AJ2607" s="6" t="s">
        <v>17579</v>
      </c>
      <c r="AK2607" s="6" t="s">
        <v>18391</v>
      </c>
      <c r="AL2607" s="6" t="s">
        <v>18444</v>
      </c>
      <c r="AM2607" s="6" t="s">
        <v>18743</v>
      </c>
      <c r="AN2607" s="6" t="s">
        <v>6139</v>
      </c>
      <c r="AO2607" s="6" t="s">
        <v>19970</v>
      </c>
      <c r="AP2607" s="6" t="s">
        <v>17140</v>
      </c>
      <c r="AQ2607" s="6" t="s">
        <v>81</v>
      </c>
      <c r="AR2607" s="6" t="s">
        <v>17579</v>
      </c>
      <c r="AS2607" s="6" t="s">
        <v>18391</v>
      </c>
      <c r="AT2607" s="6" t="s">
        <v>18444</v>
      </c>
      <c r="AU2607" s="6" t="s">
        <v>18743</v>
      </c>
      <c r="AV2607" s="6" t="s">
        <v>81</v>
      </c>
      <c r="AW2607" s="6" t="s">
        <v>81</v>
      </c>
      <c r="AX2607" s="6" t="s">
        <v>22462</v>
      </c>
      <c r="AY2607" s="6" t="s">
        <v>81</v>
      </c>
      <c r="AZ2607" s="6" t="s">
        <v>81</v>
      </c>
      <c r="BA2607" s="6" t="s">
        <v>81</v>
      </c>
      <c r="BB2607" s="24" t="n">
        <v>137</v>
      </c>
      <c r="BC2607" s="26"/>
      <c r="BD2607" s="26"/>
      <c r="BE2607" s="26"/>
      <c r="BF2607" s="26"/>
      <c r="BG2607" s="26"/>
      <c r="BH2607" s="26"/>
      <c r="BI2607" s="26"/>
      <c r="BJ2607" s="26"/>
      <c r="BK2607" s="26"/>
      <c r="BL2607" s="26"/>
      <c r="BM2607" s="26"/>
      <c r="BN2607" s="26"/>
      <c r="BO2607" s="26"/>
      <c r="BP2607" s="16" t="n">
        <v>45730</v>
      </c>
      <c r="BQ2607" s="28" t="str">
        <f>HYPERLINK("https://organic.ams.usda.gov/Integrity/Certificate.aspx?cid=90&amp;nopid=7170230659")</f>
        <v>https://organic.ams.usda.gov/Integrity/Certificate.aspx?cid=90&amp;nopid=7170230659</v>
      </c>
    </row>
    <row r="2608">
      <c r="A2608" t="s">
        <v>3</v>
      </c>
      <c r="B2608" s="6" t="s">
        <v>8</v>
      </c>
      <c r="C2608" s="6" t="s">
        <v>55</v>
      </c>
      <c r="D2608" s="6" t="s">
        <v>101</v>
      </c>
      <c r="E2608" s="10" t="s">
        <v>2749</v>
      </c>
      <c r="F2608" s="6" t="s">
        <v>5453</v>
      </c>
      <c r="G2608" s="6" t="s">
        <v>5876</v>
      </c>
      <c r="H2608" s="6" t="s">
        <v>8267</v>
      </c>
      <c r="I2608" s="6" t="s">
        <v>8513</v>
      </c>
      <c r="J2608" s="6" t="s">
        <v>10495</v>
      </c>
      <c r="K2608" s="6" t="s">
        <v>10886</v>
      </c>
      <c r="L2608" s="16" t="n">
        <v>39561</v>
      </c>
      <c r="M2608" s="16" t="n">
        <v>45748</v>
      </c>
      <c r="N2608" s="6" t="s">
        <v>10886</v>
      </c>
      <c r="O2608" s="16" t="n">
        <v>39561</v>
      </c>
      <c r="P2608" s="6" t="s">
        <v>12340</v>
      </c>
      <c r="Q2608" s="6" t="s">
        <v>81</v>
      </c>
      <c r="R2608" s="6" t="s">
        <v>8267</v>
      </c>
      <c r="S2608" s="6" t="s">
        <v>10886</v>
      </c>
      <c r="T2608" s="16" t="n">
        <v>39561</v>
      </c>
      <c r="U2608" s="6" t="s">
        <v>13921</v>
      </c>
      <c r="V2608" s="6" t="s">
        <v>81</v>
      </c>
      <c r="W2608" s="6" t="s">
        <v>8267</v>
      </c>
      <c r="X2608" s="6" t="s">
        <v>81</v>
      </c>
      <c r="Y2608" s="21" t="s">
        <v>81</v>
      </c>
      <c r="Z2608" s="6" t="s">
        <v>81</v>
      </c>
      <c r="AA2608" s="6" t="s">
        <v>81</v>
      </c>
      <c r="AB2608" s="6" t="s">
        <v>81</v>
      </c>
      <c r="AC2608" s="6" t="s">
        <v>81</v>
      </c>
      <c r="AD2608" s="21" t="s">
        <v>81</v>
      </c>
      <c r="AE2608" s="6" t="s">
        <v>81</v>
      </c>
      <c r="AF2608" s="6" t="s">
        <v>81</v>
      </c>
      <c r="AG2608" s="6" t="s">
        <v>81</v>
      </c>
      <c r="AH2608" s="6" t="s">
        <v>17141</v>
      </c>
      <c r="AI2608" s="6" t="s">
        <v>81</v>
      </c>
      <c r="AJ2608" s="6" t="s">
        <v>17629</v>
      </c>
      <c r="AK2608" s="6" t="s">
        <v>18377</v>
      </c>
      <c r="AL2608" s="6" t="s">
        <v>18444</v>
      </c>
      <c r="AM2608" s="6" t="s">
        <v>18797</v>
      </c>
      <c r="AN2608" s="6" t="s">
        <v>19652</v>
      </c>
      <c r="AO2608" s="6" t="s">
        <v>19772</v>
      </c>
      <c r="AP2608" s="6" t="s">
        <v>81</v>
      </c>
      <c r="AQ2608" s="6" t="s">
        <v>81</v>
      </c>
      <c r="AR2608" s="6" t="s">
        <v>81</v>
      </c>
      <c r="AS2608" s="6" t="s">
        <v>81</v>
      </c>
      <c r="AT2608" s="6" t="s">
        <v>81</v>
      </c>
      <c r="AU2608" s="6" t="s">
        <v>81</v>
      </c>
      <c r="AV2608" s="6" t="s">
        <v>81</v>
      </c>
      <c r="AW2608" s="6" t="s">
        <v>81</v>
      </c>
      <c r="AX2608" s="6" t="s">
        <v>81</v>
      </c>
      <c r="AY2608" s="6" t="s">
        <v>23519</v>
      </c>
      <c r="AZ2608" s="6" t="s">
        <v>81</v>
      </c>
      <c r="BA2608" s="6" t="s">
        <v>23824</v>
      </c>
      <c r="BB2608" s="24" t="n">
        <v>527</v>
      </c>
      <c r="BC2608" s="26"/>
      <c r="BD2608" s="26"/>
      <c r="BE2608" s="26"/>
      <c r="BF2608" s="26" t="s">
        <v>23900</v>
      </c>
      <c r="BG2608" s="26"/>
      <c r="BH2608" s="26"/>
      <c r="BI2608" s="26"/>
      <c r="BJ2608" s="26"/>
      <c r="BK2608" s="26"/>
      <c r="BL2608" s="26"/>
      <c r="BM2608" s="26"/>
      <c r="BN2608" s="26"/>
      <c r="BO2608" s="26"/>
      <c r="BP2608" s="16" t="n">
        <v>45646</v>
      </c>
      <c r="BQ2608" s="28" t="str">
        <f>HYPERLINK("https://organic.ams.usda.gov/Integrity/Certificate.aspx?cid=45&amp;nopid=9950002915")</f>
        <v>https://organic.ams.usda.gov/Integrity/Certificate.aspx?cid=45&amp;nopid=9950002915</v>
      </c>
    </row>
    <row r="2609">
      <c r="A2609" t="s">
        <v>3</v>
      </c>
      <c r="B2609" s="6" t="s">
        <v>10</v>
      </c>
      <c r="C2609" s="6" t="s">
        <v>57</v>
      </c>
      <c r="D2609" s="6" t="s">
        <v>103</v>
      </c>
      <c r="E2609" s="10" t="s">
        <v>2750</v>
      </c>
      <c r="F2609" s="6" t="s">
        <v>5454</v>
      </c>
      <c r="G2609" s="6" t="s">
        <v>81</v>
      </c>
      <c r="H2609" s="6" t="s">
        <v>8268</v>
      </c>
      <c r="I2609" s="6" t="s">
        <v>9136</v>
      </c>
      <c r="J2609" s="6" t="s">
        <v>9742</v>
      </c>
      <c r="K2609" s="6" t="s">
        <v>10886</v>
      </c>
      <c r="L2609" s="16" t="n">
        <v>43376</v>
      </c>
      <c r="M2609" s="16" t="n">
        <v>45748</v>
      </c>
      <c r="N2609" s="6" t="s">
        <v>10886</v>
      </c>
      <c r="O2609" s="16" t="n">
        <v>43376</v>
      </c>
      <c r="P2609" s="6" t="s">
        <v>12341</v>
      </c>
      <c r="Q2609" s="6" t="s">
        <v>81</v>
      </c>
      <c r="R2609" s="6" t="s">
        <v>13124</v>
      </c>
      <c r="S2609" s="6" t="s">
        <v>10886</v>
      </c>
      <c r="T2609" s="16" t="n">
        <v>43922</v>
      </c>
      <c r="U2609" s="6" t="s">
        <v>13163</v>
      </c>
      <c r="V2609" s="6" t="s">
        <v>81</v>
      </c>
      <c r="W2609" s="6" t="s">
        <v>81</v>
      </c>
      <c r="X2609" s="6" t="s">
        <v>81</v>
      </c>
      <c r="Y2609" s="21" t="s">
        <v>81</v>
      </c>
      <c r="Z2609" s="6" t="s">
        <v>81</v>
      </c>
      <c r="AA2609" s="6" t="s">
        <v>81</v>
      </c>
      <c r="AB2609" s="6" t="s">
        <v>81</v>
      </c>
      <c r="AC2609" s="6" t="s">
        <v>81</v>
      </c>
      <c r="AD2609" s="21" t="s">
        <v>81</v>
      </c>
      <c r="AE2609" s="6" t="s">
        <v>81</v>
      </c>
      <c r="AF2609" s="6" t="s">
        <v>81</v>
      </c>
      <c r="AG2609" s="6" t="s">
        <v>81</v>
      </c>
      <c r="AH2609" s="6" t="s">
        <v>17142</v>
      </c>
      <c r="AI2609" s="6" t="s">
        <v>81</v>
      </c>
      <c r="AJ2609" s="6" t="s">
        <v>17635</v>
      </c>
      <c r="AK2609" s="6" t="s">
        <v>18379</v>
      </c>
      <c r="AL2609" s="6" t="s">
        <v>18444</v>
      </c>
      <c r="AM2609" s="6" t="s">
        <v>18804</v>
      </c>
      <c r="AN2609" s="6" t="s">
        <v>19637</v>
      </c>
      <c r="AO2609" s="6" t="s">
        <v>19723</v>
      </c>
      <c r="AP2609" s="6" t="s">
        <v>17142</v>
      </c>
      <c r="AQ2609" s="6" t="s">
        <v>81</v>
      </c>
      <c r="AR2609" s="6" t="s">
        <v>17635</v>
      </c>
      <c r="AS2609" s="6" t="s">
        <v>18379</v>
      </c>
      <c r="AT2609" s="6" t="s">
        <v>18444</v>
      </c>
      <c r="AU2609" s="6" t="s">
        <v>18804</v>
      </c>
      <c r="AV2609" s="6" t="s">
        <v>81</v>
      </c>
      <c r="AW2609" s="6" t="s">
        <v>81</v>
      </c>
      <c r="AX2609" s="6" t="s">
        <v>22463</v>
      </c>
      <c r="AY2609" s="6" t="s">
        <v>81</v>
      </c>
      <c r="AZ2609" s="6" t="s">
        <v>81</v>
      </c>
      <c r="BA2609" s="6" t="s">
        <v>23891</v>
      </c>
      <c r="BB2609" s="24" t="n">
        <v>155</v>
      </c>
      <c r="BC2609" s="26"/>
      <c r="BD2609" s="26"/>
      <c r="BE2609" s="26"/>
      <c r="BF2609" s="26"/>
      <c r="BG2609" s="26"/>
      <c r="BH2609" s="26"/>
      <c r="BI2609" s="26"/>
      <c r="BJ2609" s="26"/>
      <c r="BK2609" s="26"/>
      <c r="BL2609" s="26"/>
      <c r="BM2609" s="26"/>
      <c r="BN2609" s="26"/>
      <c r="BO2609" s="26"/>
      <c r="BP2609" s="16" t="n">
        <v>45730</v>
      </c>
      <c r="BQ2609" s="28" t="str">
        <f>HYPERLINK("https://organic.ams.usda.gov/Integrity/Certificate.aspx?cid=90&amp;nopid=7170019002")</f>
        <v>https://organic.ams.usda.gov/Integrity/Certificate.aspx?cid=90&amp;nopid=7170019002</v>
      </c>
    </row>
    <row r="2610">
      <c r="A2610" t="s">
        <v>3</v>
      </c>
      <c r="B2610" s="6" t="s">
        <v>25</v>
      </c>
      <c r="C2610" s="6" t="s">
        <v>72</v>
      </c>
      <c r="D2610" s="6" t="s">
        <v>118</v>
      </c>
      <c r="E2610" s="10" t="s">
        <v>2751</v>
      </c>
      <c r="F2610" s="6" t="s">
        <v>5455</v>
      </c>
      <c r="G2610" s="6" t="s">
        <v>81</v>
      </c>
      <c r="H2610" s="6" t="s">
        <v>8269</v>
      </c>
      <c r="I2610" s="6" t="s">
        <v>9612</v>
      </c>
      <c r="J2610" s="6" t="s">
        <v>10834</v>
      </c>
      <c r="K2610" s="6" t="s">
        <v>10886</v>
      </c>
      <c r="L2610" s="16" t="n">
        <v>44138</v>
      </c>
      <c r="M2610" s="16" t="n">
        <v>46023</v>
      </c>
      <c r="N2610" s="6" t="s">
        <v>81</v>
      </c>
      <c r="O2610" s="21" t="s">
        <v>81</v>
      </c>
      <c r="P2610" s="6" t="s">
        <v>81</v>
      </c>
      <c r="Q2610" s="6" t="s">
        <v>81</v>
      </c>
      <c r="R2610" s="6" t="s">
        <v>81</v>
      </c>
      <c r="S2610" s="6" t="s">
        <v>81</v>
      </c>
      <c r="T2610" s="21" t="s">
        <v>81</v>
      </c>
      <c r="U2610" s="6" t="s">
        <v>81</v>
      </c>
      <c r="V2610" s="6" t="s">
        <v>81</v>
      </c>
      <c r="W2610" s="6" t="s">
        <v>81</v>
      </c>
      <c r="X2610" s="6" t="s">
        <v>81</v>
      </c>
      <c r="Y2610" s="21" t="s">
        <v>81</v>
      </c>
      <c r="Z2610" s="6" t="s">
        <v>81</v>
      </c>
      <c r="AA2610" s="6" t="s">
        <v>81</v>
      </c>
      <c r="AB2610" s="6" t="s">
        <v>81</v>
      </c>
      <c r="AC2610" s="6" t="s">
        <v>10886</v>
      </c>
      <c r="AD2610" s="16" t="n">
        <v>44138</v>
      </c>
      <c r="AE2610" s="6" t="s">
        <v>14484</v>
      </c>
      <c r="AF2610" s="6" t="s">
        <v>81</v>
      </c>
      <c r="AG2610" s="6" t="s">
        <v>81</v>
      </c>
      <c r="AH2610" s="6" t="s">
        <v>17143</v>
      </c>
      <c r="AI2610" s="6" t="s">
        <v>81</v>
      </c>
      <c r="AJ2610" s="6" t="s">
        <v>17447</v>
      </c>
      <c r="AK2610" s="6" t="s">
        <v>18386</v>
      </c>
      <c r="AL2610" s="6" t="s">
        <v>18444</v>
      </c>
      <c r="AM2610" s="6" t="s">
        <v>18605</v>
      </c>
      <c r="AN2610" s="6" t="s">
        <v>19642</v>
      </c>
      <c r="AO2610" s="6" t="s">
        <v>19798</v>
      </c>
      <c r="AP2610" s="6" t="s">
        <v>17143</v>
      </c>
      <c r="AQ2610" s="6" t="s">
        <v>81</v>
      </c>
      <c r="AR2610" s="6" t="s">
        <v>17447</v>
      </c>
      <c r="AS2610" s="6" t="s">
        <v>18386</v>
      </c>
      <c r="AT2610" s="6" t="s">
        <v>18444</v>
      </c>
      <c r="AU2610" s="6" t="s">
        <v>18605</v>
      </c>
      <c r="AV2610" s="6" t="s">
        <v>81</v>
      </c>
      <c r="AW2610" s="6" t="s">
        <v>81</v>
      </c>
      <c r="AX2610" s="6" t="s">
        <v>22464</v>
      </c>
      <c r="AY2610" s="6" t="s">
        <v>23520</v>
      </c>
      <c r="AZ2610" s="6" t="s">
        <v>23802</v>
      </c>
      <c r="BA2610" s="6" t="s">
        <v>23892</v>
      </c>
      <c r="BB2610" s="6" t="s">
        <v>81</v>
      </c>
      <c r="BC2610" s="26"/>
      <c r="BD2610" s="26"/>
      <c r="BE2610" s="26"/>
      <c r="BF2610" s="26"/>
      <c r="BG2610" s="26"/>
      <c r="BH2610" s="26"/>
      <c r="BI2610" s="26"/>
      <c r="BJ2610" s="26"/>
      <c r="BK2610" s="26"/>
      <c r="BL2610" s="26"/>
      <c r="BM2610" s="26"/>
      <c r="BN2610" s="26"/>
      <c r="BO2610" s="26"/>
      <c r="BP2610" s="16" t="n">
        <v>45707</v>
      </c>
      <c r="BQ2610" s="28" t="str">
        <f>HYPERLINK("https://organic.ams.usda.gov/Integrity/Certificate.aspx?cid=15&amp;nopid=5561006579")</f>
        <v>https://organic.ams.usda.gov/Integrity/Certificate.aspx?cid=15&amp;nopid=5561006579</v>
      </c>
    </row>
    <row r="2611">
      <c r="A2611" t="s">
        <v>3</v>
      </c>
      <c r="B2611" s="6" t="s">
        <v>8</v>
      </c>
      <c r="C2611" s="6" t="s">
        <v>55</v>
      </c>
      <c r="D2611" s="6" t="s">
        <v>101</v>
      </c>
      <c r="E2611" s="10" t="s">
        <v>2752</v>
      </c>
      <c r="F2611" s="6" t="s">
        <v>5456</v>
      </c>
      <c r="G2611" s="6" t="s">
        <v>81</v>
      </c>
      <c r="H2611" s="6" t="s">
        <v>8270</v>
      </c>
      <c r="I2611" s="6" t="s">
        <v>9613</v>
      </c>
      <c r="J2611" s="6" t="s">
        <v>9759</v>
      </c>
      <c r="K2611" s="6" t="s">
        <v>10886</v>
      </c>
      <c r="L2611" s="16" t="n">
        <v>42667</v>
      </c>
      <c r="M2611" s="16" t="n">
        <v>45689</v>
      </c>
      <c r="N2611" s="6" t="s">
        <v>10886</v>
      </c>
      <c r="O2611" s="16" t="n">
        <v>42667</v>
      </c>
      <c r="P2611" s="6" t="s">
        <v>12342</v>
      </c>
      <c r="Q2611" s="6" t="s">
        <v>81</v>
      </c>
      <c r="R2611" s="6" t="s">
        <v>8270</v>
      </c>
      <c r="S2611" s="6" t="s">
        <v>10886</v>
      </c>
      <c r="T2611" s="16" t="n">
        <v>42667</v>
      </c>
      <c r="U2611" s="6" t="s">
        <v>13922</v>
      </c>
      <c r="V2611" s="6" t="s">
        <v>81</v>
      </c>
      <c r="W2611" s="6" t="s">
        <v>8270</v>
      </c>
      <c r="X2611" s="6" t="s">
        <v>81</v>
      </c>
      <c r="Y2611" s="21" t="s">
        <v>81</v>
      </c>
      <c r="Z2611" s="6" t="s">
        <v>81</v>
      </c>
      <c r="AA2611" s="6" t="s">
        <v>81</v>
      </c>
      <c r="AB2611" s="6" t="s">
        <v>81</v>
      </c>
      <c r="AC2611" s="6" t="s">
        <v>81</v>
      </c>
      <c r="AD2611" s="21" t="s">
        <v>81</v>
      </c>
      <c r="AE2611" s="6" t="s">
        <v>81</v>
      </c>
      <c r="AF2611" s="6" t="s">
        <v>81</v>
      </c>
      <c r="AG2611" s="6" t="s">
        <v>81</v>
      </c>
      <c r="AH2611" s="6" t="s">
        <v>17144</v>
      </c>
      <c r="AI2611" s="6" t="s">
        <v>81</v>
      </c>
      <c r="AJ2611" s="6" t="s">
        <v>17530</v>
      </c>
      <c r="AK2611" s="6" t="s">
        <v>18377</v>
      </c>
      <c r="AL2611" s="6" t="s">
        <v>18444</v>
      </c>
      <c r="AM2611" s="6" t="s">
        <v>6414</v>
      </c>
      <c r="AN2611" s="6" t="s">
        <v>19646</v>
      </c>
      <c r="AO2611" s="6" t="s">
        <v>19733</v>
      </c>
      <c r="AP2611" s="6" t="s">
        <v>81</v>
      </c>
      <c r="AQ2611" s="6" t="s">
        <v>81</v>
      </c>
      <c r="AR2611" s="6" t="s">
        <v>81</v>
      </c>
      <c r="AS2611" s="6" t="s">
        <v>81</v>
      </c>
      <c r="AT2611" s="6" t="s">
        <v>81</v>
      </c>
      <c r="AU2611" s="6" t="s">
        <v>81</v>
      </c>
      <c r="AV2611" s="6" t="s">
        <v>81</v>
      </c>
      <c r="AW2611" s="6" t="s">
        <v>81</v>
      </c>
      <c r="AX2611" s="6" t="s">
        <v>81</v>
      </c>
      <c r="AY2611" s="6" t="s">
        <v>81</v>
      </c>
      <c r="AZ2611" s="6" t="s">
        <v>81</v>
      </c>
      <c r="BA2611" s="6" t="s">
        <v>23819</v>
      </c>
      <c r="BB2611" s="24" t="n">
        <v>172</v>
      </c>
      <c r="BC2611" s="26"/>
      <c r="BD2611" s="26"/>
      <c r="BE2611" s="26"/>
      <c r="BF2611" s="26" t="s">
        <v>23900</v>
      </c>
      <c r="BG2611" s="26"/>
      <c r="BH2611" s="26"/>
      <c r="BI2611" s="26"/>
      <c r="BJ2611" s="26"/>
      <c r="BK2611" s="26"/>
      <c r="BL2611" s="26"/>
      <c r="BM2611" s="26"/>
      <c r="BN2611" s="26"/>
      <c r="BO2611" s="26"/>
      <c r="BP2611" s="16" t="n">
        <v>45727</v>
      </c>
      <c r="BQ2611" s="28" t="str">
        <f>HYPERLINK("https://organic.ams.usda.gov/Integrity/Certificate.aspx?cid=45&amp;nopid=9950009347")</f>
        <v>https://organic.ams.usda.gov/Integrity/Certificate.aspx?cid=45&amp;nopid=9950009347</v>
      </c>
    </row>
    <row r="2612">
      <c r="A2612" t="s">
        <v>3</v>
      </c>
      <c r="B2612" s="6" t="s">
        <v>25</v>
      </c>
      <c r="C2612" s="6" t="s">
        <v>72</v>
      </c>
      <c r="D2612" s="6" t="s">
        <v>118</v>
      </c>
      <c r="E2612" s="10" t="s">
        <v>2753</v>
      </c>
      <c r="F2612" s="6" t="s">
        <v>5457</v>
      </c>
      <c r="G2612" s="6" t="s">
        <v>81</v>
      </c>
      <c r="H2612" s="6" t="s">
        <v>8271</v>
      </c>
      <c r="I2612" s="6" t="s">
        <v>9388</v>
      </c>
      <c r="J2612" s="6" t="s">
        <v>10310</v>
      </c>
      <c r="K2612" s="6" t="s">
        <v>10886</v>
      </c>
      <c r="L2612" s="16" t="n">
        <v>45076</v>
      </c>
      <c r="M2612" s="16" t="n">
        <v>46023</v>
      </c>
      <c r="N2612" s="6" t="s">
        <v>10886</v>
      </c>
      <c r="O2612" s="16" t="n">
        <v>45076</v>
      </c>
      <c r="P2612" s="6" t="s">
        <v>12343</v>
      </c>
      <c r="Q2612" s="6" t="s">
        <v>81</v>
      </c>
      <c r="R2612" s="6" t="s">
        <v>81</v>
      </c>
      <c r="S2612" s="6" t="s">
        <v>10886</v>
      </c>
      <c r="T2612" s="16" t="n">
        <v>45076</v>
      </c>
      <c r="U2612" s="6" t="s">
        <v>13923</v>
      </c>
      <c r="V2612" s="6" t="s">
        <v>81</v>
      </c>
      <c r="W2612" s="6" t="s">
        <v>81</v>
      </c>
      <c r="X2612" s="6" t="s">
        <v>81</v>
      </c>
      <c r="Y2612" s="21" t="s">
        <v>81</v>
      </c>
      <c r="Z2612" s="6" t="s">
        <v>81</v>
      </c>
      <c r="AA2612" s="6" t="s">
        <v>81</v>
      </c>
      <c r="AB2612" s="6" t="s">
        <v>81</v>
      </c>
      <c r="AC2612" s="6" t="s">
        <v>10886</v>
      </c>
      <c r="AD2612" s="16" t="n">
        <v>45076</v>
      </c>
      <c r="AE2612" s="6" t="s">
        <v>14081</v>
      </c>
      <c r="AF2612" s="6" t="s">
        <v>81</v>
      </c>
      <c r="AG2612" s="6" t="s">
        <v>81</v>
      </c>
      <c r="AH2612" s="6" t="s">
        <v>17145</v>
      </c>
      <c r="AI2612" s="6" t="s">
        <v>81</v>
      </c>
      <c r="AJ2612" s="6" t="s">
        <v>17561</v>
      </c>
      <c r="AK2612" s="6" t="s">
        <v>18386</v>
      </c>
      <c r="AL2612" s="6" t="s">
        <v>18444</v>
      </c>
      <c r="AM2612" s="6" t="s">
        <v>18760</v>
      </c>
      <c r="AN2612" s="6" t="s">
        <v>19672</v>
      </c>
      <c r="AO2612" s="6" t="s">
        <v>19787</v>
      </c>
      <c r="AP2612" s="6" t="s">
        <v>17145</v>
      </c>
      <c r="AQ2612" s="6" t="s">
        <v>81</v>
      </c>
      <c r="AR2612" s="6" t="s">
        <v>17561</v>
      </c>
      <c r="AS2612" s="6" t="s">
        <v>18386</v>
      </c>
      <c r="AT2612" s="6" t="s">
        <v>18444</v>
      </c>
      <c r="AU2612" s="6" t="s">
        <v>18760</v>
      </c>
      <c r="AV2612" s="6" t="s">
        <v>81</v>
      </c>
      <c r="AW2612" s="6" t="s">
        <v>81</v>
      </c>
      <c r="AX2612" s="6" t="s">
        <v>22465</v>
      </c>
      <c r="AY2612" s="6" t="s">
        <v>23521</v>
      </c>
      <c r="AZ2612" s="6" t="s">
        <v>81</v>
      </c>
      <c r="BA2612" s="6" t="s">
        <v>23827</v>
      </c>
      <c r="BB2612" s="24" t="n">
        <v>2380</v>
      </c>
      <c r="BC2612" s="26"/>
      <c r="BD2612" s="26"/>
      <c r="BE2612" s="26"/>
      <c r="BF2612" s="26"/>
      <c r="BG2612" s="26"/>
      <c r="BH2612" s="26"/>
      <c r="BI2612" s="26"/>
      <c r="BJ2612" s="26"/>
      <c r="BK2612" s="26"/>
      <c r="BL2612" s="26"/>
      <c r="BM2612" s="26"/>
      <c r="BN2612" s="26"/>
      <c r="BO2612" s="26"/>
      <c r="BP2612" s="16" t="n">
        <v>45702</v>
      </c>
      <c r="BQ2612" s="28" t="str">
        <f>HYPERLINK("https://organic.ams.usda.gov/Integrity/Certificate.aspx?cid=15&amp;nopid=5561007735")</f>
        <v>https://organic.ams.usda.gov/Integrity/Certificate.aspx?cid=15&amp;nopid=5561007735</v>
      </c>
    </row>
    <row r="2613">
      <c r="A2613" t="s">
        <v>3</v>
      </c>
      <c r="B2613" s="6" t="s">
        <v>8</v>
      </c>
      <c r="C2613" s="6" t="s">
        <v>55</v>
      </c>
      <c r="D2613" s="6" t="s">
        <v>101</v>
      </c>
      <c r="E2613" s="10" t="s">
        <v>2754</v>
      </c>
      <c r="F2613" s="6" t="s">
        <v>5458</v>
      </c>
      <c r="G2613" s="6" t="s">
        <v>81</v>
      </c>
      <c r="H2613" s="6" t="s">
        <v>8272</v>
      </c>
      <c r="I2613" s="6" t="s">
        <v>8707</v>
      </c>
      <c r="J2613" s="6" t="s">
        <v>10835</v>
      </c>
      <c r="K2613" s="6" t="s">
        <v>10886</v>
      </c>
      <c r="L2613" s="16" t="n">
        <v>39209</v>
      </c>
      <c r="M2613" s="16" t="n">
        <v>45748</v>
      </c>
      <c r="N2613" s="6" t="s">
        <v>10886</v>
      </c>
      <c r="O2613" s="16" t="n">
        <v>39209</v>
      </c>
      <c r="P2613" s="6" t="s">
        <v>12344</v>
      </c>
      <c r="Q2613" s="6" t="s">
        <v>81</v>
      </c>
      <c r="R2613" s="6" t="s">
        <v>8272</v>
      </c>
      <c r="S2613" s="6" t="s">
        <v>10886</v>
      </c>
      <c r="T2613" s="16" t="n">
        <v>39209</v>
      </c>
      <c r="U2613" s="6" t="s">
        <v>13924</v>
      </c>
      <c r="V2613" s="6" t="s">
        <v>81</v>
      </c>
      <c r="W2613" s="6" t="s">
        <v>8272</v>
      </c>
      <c r="X2613" s="6" t="s">
        <v>81</v>
      </c>
      <c r="Y2613" s="21" t="s">
        <v>81</v>
      </c>
      <c r="Z2613" s="6" t="s">
        <v>81</v>
      </c>
      <c r="AA2613" s="6" t="s">
        <v>81</v>
      </c>
      <c r="AB2613" s="6" t="s">
        <v>81</v>
      </c>
      <c r="AC2613" s="6" t="s">
        <v>81</v>
      </c>
      <c r="AD2613" s="21" t="s">
        <v>81</v>
      </c>
      <c r="AE2613" s="6" t="s">
        <v>81</v>
      </c>
      <c r="AF2613" s="6" t="s">
        <v>81</v>
      </c>
      <c r="AG2613" s="6" t="s">
        <v>81</v>
      </c>
      <c r="AH2613" s="6" t="s">
        <v>17146</v>
      </c>
      <c r="AI2613" s="6" t="s">
        <v>81</v>
      </c>
      <c r="AJ2613" s="6" t="s">
        <v>18338</v>
      </c>
      <c r="AK2613" s="6" t="s">
        <v>18381</v>
      </c>
      <c r="AL2613" s="6" t="s">
        <v>18444</v>
      </c>
      <c r="AM2613" s="6" t="s">
        <v>19584</v>
      </c>
      <c r="AN2613" s="6" t="s">
        <v>7859</v>
      </c>
      <c r="AO2613" s="6" t="s">
        <v>20035</v>
      </c>
      <c r="AP2613" s="6" t="s">
        <v>81</v>
      </c>
      <c r="AQ2613" s="6" t="s">
        <v>81</v>
      </c>
      <c r="AR2613" s="6" t="s">
        <v>81</v>
      </c>
      <c r="AS2613" s="6" t="s">
        <v>81</v>
      </c>
      <c r="AT2613" s="6" t="s">
        <v>81</v>
      </c>
      <c r="AU2613" s="6" t="s">
        <v>81</v>
      </c>
      <c r="AV2613" s="6" t="s">
        <v>81</v>
      </c>
      <c r="AW2613" s="6" t="s">
        <v>81</v>
      </c>
      <c r="AX2613" s="6" t="s">
        <v>81</v>
      </c>
      <c r="AY2613" s="6" t="s">
        <v>23522</v>
      </c>
      <c r="AZ2613" s="6" t="s">
        <v>81</v>
      </c>
      <c r="BA2613" s="6" t="s">
        <v>23819</v>
      </c>
      <c r="BB2613" s="24" t="n">
        <v>486</v>
      </c>
      <c r="BC2613" s="26"/>
      <c r="BD2613" s="26"/>
      <c r="BE2613" s="26"/>
      <c r="BF2613" s="26" t="s">
        <v>23900</v>
      </c>
      <c r="BG2613" s="26"/>
      <c r="BH2613" s="26"/>
      <c r="BI2613" s="26"/>
      <c r="BJ2613" s="26"/>
      <c r="BK2613" s="26"/>
      <c r="BL2613" s="26"/>
      <c r="BM2613" s="26"/>
      <c r="BN2613" s="26"/>
      <c r="BO2613" s="26"/>
      <c r="BP2613" s="16" t="n">
        <v>45552</v>
      </c>
      <c r="BQ2613" s="28" t="str">
        <f>HYPERLINK("https://organic.ams.usda.gov/Integrity/Certificate.aspx?cid=45&amp;nopid=9950002406")</f>
        <v>https://organic.ams.usda.gov/Integrity/Certificate.aspx?cid=45&amp;nopid=9950002406</v>
      </c>
    </row>
    <row r="2614">
      <c r="A2614" t="s">
        <v>3</v>
      </c>
      <c r="B2614" s="6" t="s">
        <v>8</v>
      </c>
      <c r="C2614" s="6" t="s">
        <v>55</v>
      </c>
      <c r="D2614" s="6" t="s">
        <v>101</v>
      </c>
      <c r="E2614" s="10" t="s">
        <v>2755</v>
      </c>
      <c r="F2614" s="6" t="s">
        <v>5459</v>
      </c>
      <c r="G2614" s="6" t="s">
        <v>81</v>
      </c>
      <c r="H2614" s="6" t="s">
        <v>8273</v>
      </c>
      <c r="I2614" s="6" t="s">
        <v>8385</v>
      </c>
      <c r="J2614" s="6" t="s">
        <v>10836</v>
      </c>
      <c r="K2614" s="6" t="s">
        <v>10886</v>
      </c>
      <c r="L2614" s="16" t="n">
        <v>40851</v>
      </c>
      <c r="M2614" s="16" t="n">
        <v>45748</v>
      </c>
      <c r="N2614" s="6" t="s">
        <v>10886</v>
      </c>
      <c r="O2614" s="16" t="n">
        <v>40851</v>
      </c>
      <c r="P2614" s="6" t="s">
        <v>12345</v>
      </c>
      <c r="Q2614" s="6" t="s">
        <v>81</v>
      </c>
      <c r="R2614" s="6" t="s">
        <v>8273</v>
      </c>
      <c r="S2614" s="6" t="s">
        <v>10886</v>
      </c>
      <c r="T2614" s="16" t="n">
        <v>40851</v>
      </c>
      <c r="U2614" s="6" t="s">
        <v>13179</v>
      </c>
      <c r="V2614" s="6" t="s">
        <v>81</v>
      </c>
      <c r="W2614" s="6" t="s">
        <v>8273</v>
      </c>
      <c r="X2614" s="6" t="s">
        <v>81</v>
      </c>
      <c r="Y2614" s="21" t="s">
        <v>81</v>
      </c>
      <c r="Z2614" s="6" t="s">
        <v>81</v>
      </c>
      <c r="AA2614" s="6" t="s">
        <v>81</v>
      </c>
      <c r="AB2614" s="6" t="s">
        <v>81</v>
      </c>
      <c r="AC2614" s="6" t="s">
        <v>81</v>
      </c>
      <c r="AD2614" s="21" t="s">
        <v>81</v>
      </c>
      <c r="AE2614" s="6" t="s">
        <v>81</v>
      </c>
      <c r="AF2614" s="6" t="s">
        <v>81</v>
      </c>
      <c r="AG2614" s="6" t="s">
        <v>81</v>
      </c>
      <c r="AH2614" s="6" t="s">
        <v>17147</v>
      </c>
      <c r="AI2614" s="6" t="s">
        <v>81</v>
      </c>
      <c r="AJ2614" s="6" t="s">
        <v>17705</v>
      </c>
      <c r="AK2614" s="6" t="s">
        <v>18377</v>
      </c>
      <c r="AL2614" s="6" t="s">
        <v>18444</v>
      </c>
      <c r="AM2614" s="6" t="s">
        <v>18871</v>
      </c>
      <c r="AN2614" s="6" t="s">
        <v>19651</v>
      </c>
      <c r="AO2614" s="6" t="s">
        <v>19747</v>
      </c>
      <c r="AP2614" s="6" t="s">
        <v>81</v>
      </c>
      <c r="AQ2614" s="6" t="s">
        <v>81</v>
      </c>
      <c r="AR2614" s="6" t="s">
        <v>81</v>
      </c>
      <c r="AS2614" s="6" t="s">
        <v>81</v>
      </c>
      <c r="AT2614" s="6" t="s">
        <v>81</v>
      </c>
      <c r="AU2614" s="6" t="s">
        <v>81</v>
      </c>
      <c r="AV2614" s="6" t="s">
        <v>81</v>
      </c>
      <c r="AW2614" s="6" t="s">
        <v>81</v>
      </c>
      <c r="AX2614" s="6" t="s">
        <v>81</v>
      </c>
      <c r="AY2614" s="6" t="s">
        <v>23523</v>
      </c>
      <c r="AZ2614" s="6" t="s">
        <v>81</v>
      </c>
      <c r="BA2614" s="6" t="s">
        <v>23819</v>
      </c>
      <c r="BB2614" s="24" t="n">
        <v>228</v>
      </c>
      <c r="BC2614" s="26"/>
      <c r="BD2614" s="26"/>
      <c r="BE2614" s="26"/>
      <c r="BF2614" s="26" t="s">
        <v>23900</v>
      </c>
      <c r="BG2614" s="26"/>
      <c r="BH2614" s="26"/>
      <c r="BI2614" s="26"/>
      <c r="BJ2614" s="26"/>
      <c r="BK2614" s="26"/>
      <c r="BL2614" s="26"/>
      <c r="BM2614" s="26"/>
      <c r="BN2614" s="26"/>
      <c r="BO2614" s="26"/>
      <c r="BP2614" s="16" t="n">
        <v>45644</v>
      </c>
      <c r="BQ2614" s="28" t="str">
        <f>HYPERLINK("https://organic.ams.usda.gov/Integrity/Certificate.aspx?cid=45&amp;nopid=9950004580")</f>
        <v>https://organic.ams.usda.gov/Integrity/Certificate.aspx?cid=45&amp;nopid=9950004580</v>
      </c>
    </row>
    <row r="2615">
      <c r="A2615" t="s">
        <v>3</v>
      </c>
      <c r="B2615" s="6" t="s">
        <v>8</v>
      </c>
      <c r="C2615" s="6" t="s">
        <v>55</v>
      </c>
      <c r="D2615" s="6" t="s">
        <v>101</v>
      </c>
      <c r="E2615" s="10" t="s">
        <v>2756</v>
      </c>
      <c r="F2615" s="6" t="s">
        <v>5460</v>
      </c>
      <c r="G2615" s="6" t="s">
        <v>81</v>
      </c>
      <c r="H2615" s="6" t="s">
        <v>8274</v>
      </c>
      <c r="I2615" s="6" t="s">
        <v>8391</v>
      </c>
      <c r="J2615" s="6" t="s">
        <v>10837</v>
      </c>
      <c r="K2615" s="6" t="s">
        <v>10886</v>
      </c>
      <c r="L2615" s="16" t="n">
        <v>38992</v>
      </c>
      <c r="M2615" s="16" t="n">
        <v>45689</v>
      </c>
      <c r="N2615" s="6" t="s">
        <v>10886</v>
      </c>
      <c r="O2615" s="16" t="n">
        <v>38992</v>
      </c>
      <c r="P2615" s="6" t="s">
        <v>12346</v>
      </c>
      <c r="Q2615" s="6" t="s">
        <v>81</v>
      </c>
      <c r="R2615" s="6" t="s">
        <v>8274</v>
      </c>
      <c r="S2615" s="6" t="s">
        <v>10886</v>
      </c>
      <c r="T2615" s="16" t="n">
        <v>38992</v>
      </c>
      <c r="U2615" s="6" t="s">
        <v>13925</v>
      </c>
      <c r="V2615" s="6" t="s">
        <v>81</v>
      </c>
      <c r="W2615" s="6" t="s">
        <v>8274</v>
      </c>
      <c r="X2615" s="6" t="s">
        <v>81</v>
      </c>
      <c r="Y2615" s="21" t="s">
        <v>81</v>
      </c>
      <c r="Z2615" s="6" t="s">
        <v>81</v>
      </c>
      <c r="AA2615" s="6" t="s">
        <v>81</v>
      </c>
      <c r="AB2615" s="6" t="s">
        <v>81</v>
      </c>
      <c r="AC2615" s="6" t="s">
        <v>81</v>
      </c>
      <c r="AD2615" s="21" t="s">
        <v>81</v>
      </c>
      <c r="AE2615" s="6" t="s">
        <v>81</v>
      </c>
      <c r="AF2615" s="6" t="s">
        <v>81</v>
      </c>
      <c r="AG2615" s="6" t="s">
        <v>81</v>
      </c>
      <c r="AH2615" s="6" t="s">
        <v>17148</v>
      </c>
      <c r="AI2615" s="6" t="s">
        <v>81</v>
      </c>
      <c r="AJ2615" s="6" t="s">
        <v>18339</v>
      </c>
      <c r="AK2615" s="6" t="s">
        <v>18377</v>
      </c>
      <c r="AL2615" s="6" t="s">
        <v>18444</v>
      </c>
      <c r="AM2615" s="6" t="s">
        <v>19585</v>
      </c>
      <c r="AN2615" s="6" t="s">
        <v>19636</v>
      </c>
      <c r="AO2615" s="6" t="s">
        <v>19783</v>
      </c>
      <c r="AP2615" s="6" t="s">
        <v>81</v>
      </c>
      <c r="AQ2615" s="6" t="s">
        <v>81</v>
      </c>
      <c r="AR2615" s="6" t="s">
        <v>81</v>
      </c>
      <c r="AS2615" s="6" t="s">
        <v>81</v>
      </c>
      <c r="AT2615" s="6" t="s">
        <v>81</v>
      </c>
      <c r="AU2615" s="6" t="s">
        <v>81</v>
      </c>
      <c r="AV2615" s="6" t="s">
        <v>81</v>
      </c>
      <c r="AW2615" s="6" t="s">
        <v>81</v>
      </c>
      <c r="AX2615" s="6" t="s">
        <v>81</v>
      </c>
      <c r="AY2615" s="6" t="s">
        <v>23524</v>
      </c>
      <c r="AZ2615" s="6" t="s">
        <v>81</v>
      </c>
      <c r="BA2615" s="6" t="s">
        <v>23819</v>
      </c>
      <c r="BB2615" s="24" t="n">
        <v>250</v>
      </c>
      <c r="BC2615" s="26"/>
      <c r="BD2615" s="26"/>
      <c r="BE2615" s="26"/>
      <c r="BF2615" s="26"/>
      <c r="BG2615" s="26"/>
      <c r="BH2615" s="26"/>
      <c r="BI2615" s="26"/>
      <c r="BJ2615" s="26"/>
      <c r="BK2615" s="26"/>
      <c r="BL2615" s="26"/>
      <c r="BM2615" s="26"/>
      <c r="BN2615" s="26"/>
      <c r="BO2615" s="26"/>
      <c r="BP2615" s="16" t="n">
        <v>45723</v>
      </c>
      <c r="BQ2615" s="28" t="str">
        <f>HYPERLINK("https://organic.ams.usda.gov/Integrity/Certificate.aspx?cid=45&amp;nopid=9950002340")</f>
        <v>https://organic.ams.usda.gov/Integrity/Certificate.aspx?cid=45&amp;nopid=9950002340</v>
      </c>
    </row>
    <row r="2616">
      <c r="A2616" t="s">
        <v>3</v>
      </c>
      <c r="B2616" s="6" t="s">
        <v>18</v>
      </c>
      <c r="C2616" s="6" t="s">
        <v>65</v>
      </c>
      <c r="D2616" s="6" t="s">
        <v>111</v>
      </c>
      <c r="E2616" s="10" t="s">
        <v>2757</v>
      </c>
      <c r="F2616" s="6" t="s">
        <v>5461</v>
      </c>
      <c r="G2616" s="6" t="s">
        <v>81</v>
      </c>
      <c r="H2616" s="6" t="s">
        <v>2757</v>
      </c>
      <c r="I2616" s="6" t="s">
        <v>9614</v>
      </c>
      <c r="J2616" s="6" t="s">
        <v>10838</v>
      </c>
      <c r="K2616" s="6" t="s">
        <v>10886</v>
      </c>
      <c r="L2616" s="16" t="n">
        <v>42356</v>
      </c>
      <c r="M2616" s="16" t="n">
        <v>45703</v>
      </c>
      <c r="N2616" s="6" t="s">
        <v>10886</v>
      </c>
      <c r="O2616" s="16" t="n">
        <v>42346</v>
      </c>
      <c r="P2616" s="6" t="s">
        <v>12347</v>
      </c>
      <c r="Q2616" s="6" t="s">
        <v>81</v>
      </c>
      <c r="R2616" s="6" t="s">
        <v>5461</v>
      </c>
      <c r="S2616" s="6" t="s">
        <v>10886</v>
      </c>
      <c r="T2616" s="16" t="n">
        <v>42346</v>
      </c>
      <c r="U2616" s="6" t="s">
        <v>13926</v>
      </c>
      <c r="V2616" s="6" t="s">
        <v>81</v>
      </c>
      <c r="W2616" s="6" t="s">
        <v>5461</v>
      </c>
      <c r="X2616" s="6" t="s">
        <v>81</v>
      </c>
      <c r="Y2616" s="21" t="s">
        <v>81</v>
      </c>
      <c r="Z2616" s="6" t="s">
        <v>81</v>
      </c>
      <c r="AA2616" s="6" t="s">
        <v>81</v>
      </c>
      <c r="AB2616" s="6" t="s">
        <v>81</v>
      </c>
      <c r="AC2616" s="6" t="s">
        <v>81</v>
      </c>
      <c r="AD2616" s="21" t="s">
        <v>81</v>
      </c>
      <c r="AE2616" s="6" t="s">
        <v>81</v>
      </c>
      <c r="AF2616" s="6" t="s">
        <v>81</v>
      </c>
      <c r="AG2616" s="6" t="s">
        <v>81</v>
      </c>
      <c r="AH2616" s="6" t="s">
        <v>17149</v>
      </c>
      <c r="AI2616" s="6" t="s">
        <v>81</v>
      </c>
      <c r="AJ2616" s="6" t="s">
        <v>10429</v>
      </c>
      <c r="AK2616" s="6" t="s">
        <v>18405</v>
      </c>
      <c r="AL2616" s="6" t="s">
        <v>18444</v>
      </c>
      <c r="AM2616" s="6" t="s">
        <v>19586</v>
      </c>
      <c r="AN2616" s="6" t="s">
        <v>19655</v>
      </c>
      <c r="AO2616" s="6" t="s">
        <v>19851</v>
      </c>
      <c r="AP2616" s="6" t="s">
        <v>17149</v>
      </c>
      <c r="AQ2616" s="6" t="s">
        <v>81</v>
      </c>
      <c r="AR2616" s="6" t="s">
        <v>10429</v>
      </c>
      <c r="AS2616" s="6" t="s">
        <v>18405</v>
      </c>
      <c r="AT2616" s="6" t="s">
        <v>18444</v>
      </c>
      <c r="AU2616" s="6" t="s">
        <v>19586</v>
      </c>
      <c r="AV2616" s="6" t="s">
        <v>81</v>
      </c>
      <c r="AW2616" s="6" t="s">
        <v>81</v>
      </c>
      <c r="AX2616" s="6" t="s">
        <v>22466</v>
      </c>
      <c r="AY2616" s="6" t="s">
        <v>23525</v>
      </c>
      <c r="AZ2616" s="6" t="s">
        <v>23803</v>
      </c>
      <c r="BA2616" s="6" t="s">
        <v>81</v>
      </c>
      <c r="BB2616" s="24" t="n">
        <v>357</v>
      </c>
      <c r="BC2616" s="26"/>
      <c r="BD2616" s="26"/>
      <c r="BE2616" s="26"/>
      <c r="BF2616" s="26" t="s">
        <v>23900</v>
      </c>
      <c r="BG2616" s="26"/>
      <c r="BH2616" s="26"/>
      <c r="BI2616" s="26"/>
      <c r="BJ2616" s="26"/>
      <c r="BK2616" s="26"/>
      <c r="BL2616" s="26"/>
      <c r="BM2616" s="26"/>
      <c r="BN2616" s="26"/>
      <c r="BO2616" s="26"/>
      <c r="BP2616" s="16" t="n">
        <v>45643</v>
      </c>
      <c r="BQ2616" s="28" t="str">
        <f>HYPERLINK("https://organic.ams.usda.gov/Integrity/Certificate.aspx?cid=8&amp;nopid=2201519600")</f>
        <v>https://organic.ams.usda.gov/Integrity/Certificate.aspx?cid=8&amp;nopid=2201519600</v>
      </c>
    </row>
    <row r="2617">
      <c r="A2617" t="s">
        <v>3</v>
      </c>
      <c r="B2617" s="6" t="s">
        <v>8</v>
      </c>
      <c r="C2617" s="6" t="s">
        <v>55</v>
      </c>
      <c r="D2617" s="6" t="s">
        <v>101</v>
      </c>
      <c r="E2617" s="10" t="s">
        <v>2758</v>
      </c>
      <c r="F2617" s="6" t="s">
        <v>5462</v>
      </c>
      <c r="G2617" s="6" t="s">
        <v>81</v>
      </c>
      <c r="H2617" s="6" t="s">
        <v>8275</v>
      </c>
      <c r="I2617" s="6" t="s">
        <v>8937</v>
      </c>
      <c r="J2617" s="6" t="s">
        <v>9665</v>
      </c>
      <c r="K2617" s="6" t="s">
        <v>10886</v>
      </c>
      <c r="L2617" s="16" t="n">
        <v>42580</v>
      </c>
      <c r="M2617" s="16" t="n">
        <v>45748</v>
      </c>
      <c r="N2617" s="6" t="s">
        <v>10886</v>
      </c>
      <c r="O2617" s="16" t="n">
        <v>42580</v>
      </c>
      <c r="P2617" s="6" t="s">
        <v>12348</v>
      </c>
      <c r="Q2617" s="6" t="s">
        <v>81</v>
      </c>
      <c r="R2617" s="6" t="s">
        <v>8275</v>
      </c>
      <c r="S2617" s="6" t="s">
        <v>10886</v>
      </c>
      <c r="T2617" s="16" t="n">
        <v>42580</v>
      </c>
      <c r="U2617" s="6" t="s">
        <v>13927</v>
      </c>
      <c r="V2617" s="6" t="s">
        <v>81</v>
      </c>
      <c r="W2617" s="6" t="s">
        <v>8275</v>
      </c>
      <c r="X2617" s="6" t="s">
        <v>81</v>
      </c>
      <c r="Y2617" s="21" t="s">
        <v>81</v>
      </c>
      <c r="Z2617" s="6" t="s">
        <v>81</v>
      </c>
      <c r="AA2617" s="6" t="s">
        <v>81</v>
      </c>
      <c r="AB2617" s="6" t="s">
        <v>81</v>
      </c>
      <c r="AC2617" s="6" t="s">
        <v>81</v>
      </c>
      <c r="AD2617" s="21" t="s">
        <v>81</v>
      </c>
      <c r="AE2617" s="6" t="s">
        <v>81</v>
      </c>
      <c r="AF2617" s="6" t="s">
        <v>81</v>
      </c>
      <c r="AG2617" s="6" t="s">
        <v>81</v>
      </c>
      <c r="AH2617" s="6" t="s">
        <v>17150</v>
      </c>
      <c r="AI2617" s="6" t="s">
        <v>81</v>
      </c>
      <c r="AJ2617" s="6" t="s">
        <v>17818</v>
      </c>
      <c r="AK2617" s="6" t="s">
        <v>18377</v>
      </c>
      <c r="AL2617" s="6" t="s">
        <v>18444</v>
      </c>
      <c r="AM2617" s="6" t="s">
        <v>18997</v>
      </c>
      <c r="AN2617" s="6" t="s">
        <v>6332</v>
      </c>
      <c r="AO2617" s="6" t="s">
        <v>19885</v>
      </c>
      <c r="AP2617" s="6" t="s">
        <v>81</v>
      </c>
      <c r="AQ2617" s="6" t="s">
        <v>81</v>
      </c>
      <c r="AR2617" s="6" t="s">
        <v>81</v>
      </c>
      <c r="AS2617" s="6" t="s">
        <v>81</v>
      </c>
      <c r="AT2617" s="6" t="s">
        <v>81</v>
      </c>
      <c r="AU2617" s="6" t="s">
        <v>81</v>
      </c>
      <c r="AV2617" s="6" t="s">
        <v>81</v>
      </c>
      <c r="AW2617" s="6" t="s">
        <v>81</v>
      </c>
      <c r="AX2617" s="6" t="s">
        <v>81</v>
      </c>
      <c r="AY2617" s="6" t="s">
        <v>23526</v>
      </c>
      <c r="AZ2617" s="6" t="s">
        <v>81</v>
      </c>
      <c r="BA2617" s="6" t="s">
        <v>23824</v>
      </c>
      <c r="BB2617" s="24" t="n">
        <v>342</v>
      </c>
      <c r="BC2617" s="26"/>
      <c r="BD2617" s="26"/>
      <c r="BE2617" s="26"/>
      <c r="BF2617" s="26" t="s">
        <v>23900</v>
      </c>
      <c r="BG2617" s="26"/>
      <c r="BH2617" s="26"/>
      <c r="BI2617" s="26"/>
      <c r="BJ2617" s="26"/>
      <c r="BK2617" s="26"/>
      <c r="BL2617" s="26"/>
      <c r="BM2617" s="26"/>
      <c r="BN2617" s="26"/>
      <c r="BO2617" s="26"/>
      <c r="BP2617" s="16" t="n">
        <v>45645</v>
      </c>
      <c r="BQ2617" s="28" t="str">
        <f>HYPERLINK("https://organic.ams.usda.gov/Integrity/Certificate.aspx?cid=45&amp;nopid=9950008912")</f>
        <v>https://organic.ams.usda.gov/Integrity/Certificate.aspx?cid=45&amp;nopid=9950008912</v>
      </c>
    </row>
    <row r="2618">
      <c r="A2618" t="s">
        <v>3</v>
      </c>
      <c r="B2618" s="6" t="s">
        <v>29</v>
      </c>
      <c r="C2618" s="6" t="s">
        <v>76</v>
      </c>
      <c r="D2618" s="6" t="s">
        <v>122</v>
      </c>
      <c r="E2618" s="10" t="s">
        <v>2759</v>
      </c>
      <c r="F2618" s="6" t="s">
        <v>5463</v>
      </c>
      <c r="G2618" s="6" t="s">
        <v>5877</v>
      </c>
      <c r="H2618" s="6" t="s">
        <v>8276</v>
      </c>
      <c r="I2618" s="6" t="s">
        <v>8437</v>
      </c>
      <c r="J2618" s="6" t="s">
        <v>9677</v>
      </c>
      <c r="K2618" s="6" t="s">
        <v>10886</v>
      </c>
      <c r="L2618" s="16" t="n">
        <v>41834</v>
      </c>
      <c r="M2618" s="16" t="n">
        <v>45505</v>
      </c>
      <c r="N2618" s="6" t="s">
        <v>10886</v>
      </c>
      <c r="O2618" s="16" t="n">
        <v>41804</v>
      </c>
      <c r="P2618" s="6" t="s">
        <v>12349</v>
      </c>
      <c r="Q2618" s="6" t="s">
        <v>81</v>
      </c>
      <c r="R2618" s="6" t="s">
        <v>13125</v>
      </c>
      <c r="S2618" s="6" t="s">
        <v>10886</v>
      </c>
      <c r="T2618" s="16" t="n">
        <v>41804</v>
      </c>
      <c r="U2618" s="6" t="s">
        <v>13928</v>
      </c>
      <c r="V2618" s="6" t="s">
        <v>81</v>
      </c>
      <c r="W2618" s="6" t="s">
        <v>13125</v>
      </c>
      <c r="X2618" s="6" t="s">
        <v>81</v>
      </c>
      <c r="Y2618" s="21" t="s">
        <v>81</v>
      </c>
      <c r="Z2618" s="6" t="s">
        <v>81</v>
      </c>
      <c r="AA2618" s="6" t="s">
        <v>81</v>
      </c>
      <c r="AB2618" s="6" t="s">
        <v>81</v>
      </c>
      <c r="AC2618" s="6" t="s">
        <v>81</v>
      </c>
      <c r="AD2618" s="21" t="s">
        <v>81</v>
      </c>
      <c r="AE2618" s="6" t="s">
        <v>81</v>
      </c>
      <c r="AF2618" s="6" t="s">
        <v>81</v>
      </c>
      <c r="AG2618" s="6" t="s">
        <v>81</v>
      </c>
      <c r="AH2618" s="6" t="s">
        <v>17151</v>
      </c>
      <c r="AI2618" s="6" t="s">
        <v>81</v>
      </c>
      <c r="AJ2618" s="6" t="s">
        <v>17411</v>
      </c>
      <c r="AK2618" s="6" t="s">
        <v>18380</v>
      </c>
      <c r="AL2618" s="6" t="s">
        <v>18444</v>
      </c>
      <c r="AM2618" s="6" t="s">
        <v>18567</v>
      </c>
      <c r="AN2618" s="6" t="s">
        <v>19639</v>
      </c>
      <c r="AO2618" s="6" t="s">
        <v>19725</v>
      </c>
      <c r="AP2618" s="6" t="s">
        <v>81</v>
      </c>
      <c r="AQ2618" s="6" t="s">
        <v>81</v>
      </c>
      <c r="AR2618" s="6" t="s">
        <v>81</v>
      </c>
      <c r="AS2618" s="6" t="s">
        <v>81</v>
      </c>
      <c r="AT2618" s="6" t="s">
        <v>81</v>
      </c>
      <c r="AU2618" s="6" t="s">
        <v>81</v>
      </c>
      <c r="AV2618" s="6" t="s">
        <v>81</v>
      </c>
      <c r="AW2618" s="6" t="s">
        <v>81</v>
      </c>
      <c r="AX2618" s="6" t="s">
        <v>22467</v>
      </c>
      <c r="AY2618" s="6" t="s">
        <v>81</v>
      </c>
      <c r="AZ2618" s="6" t="s">
        <v>81</v>
      </c>
      <c r="BA2618" s="6" t="s">
        <v>81</v>
      </c>
      <c r="BB2618" s="24" t="n">
        <v>76</v>
      </c>
      <c r="BC2618" s="26"/>
      <c r="BD2618" s="26"/>
      <c r="BE2618" s="26"/>
      <c r="BF2618" s="26" t="s">
        <v>23900</v>
      </c>
      <c r="BG2618" s="26"/>
      <c r="BH2618" s="26"/>
      <c r="BI2618" s="26"/>
      <c r="BJ2618" s="26"/>
      <c r="BK2618" s="26"/>
      <c r="BL2618" s="26"/>
      <c r="BM2618" s="26"/>
      <c r="BN2618" s="26"/>
      <c r="BO2618" s="26"/>
      <c r="BP2618" s="16" t="n">
        <v>45737</v>
      </c>
      <c r="BQ2618" s="28" t="str">
        <f>HYPERLINK("https://organic.ams.usda.gov/Integrity/Certificate.aspx?cid=31&amp;nopid=3928971391")</f>
        <v>https://organic.ams.usda.gov/Integrity/Certificate.aspx?cid=31&amp;nopid=3928971391</v>
      </c>
    </row>
    <row r="2619">
      <c r="A2619" t="s">
        <v>3</v>
      </c>
      <c r="B2619" s="6" t="s">
        <v>25</v>
      </c>
      <c r="C2619" s="6" t="s">
        <v>72</v>
      </c>
      <c r="D2619" s="6" t="s">
        <v>118</v>
      </c>
      <c r="E2619" s="10" t="s">
        <v>2760</v>
      </c>
      <c r="F2619" s="6" t="s">
        <v>5464</v>
      </c>
      <c r="G2619" s="6" t="s">
        <v>81</v>
      </c>
      <c r="H2619" s="6" t="s">
        <v>8277</v>
      </c>
      <c r="I2619" s="6" t="s">
        <v>8478</v>
      </c>
      <c r="J2619" s="6" t="s">
        <v>10839</v>
      </c>
      <c r="K2619" s="6" t="s">
        <v>10886</v>
      </c>
      <c r="L2619" s="16" t="n">
        <v>37518</v>
      </c>
      <c r="M2619" s="16" t="n">
        <v>46023</v>
      </c>
      <c r="N2619" s="6" t="s">
        <v>81</v>
      </c>
      <c r="O2619" s="21" t="s">
        <v>81</v>
      </c>
      <c r="P2619" s="6" t="s">
        <v>81</v>
      </c>
      <c r="Q2619" s="6" t="s">
        <v>81</v>
      </c>
      <c r="R2619" s="6" t="s">
        <v>81</v>
      </c>
      <c r="S2619" s="6" t="s">
        <v>81</v>
      </c>
      <c r="T2619" s="21" t="s">
        <v>81</v>
      </c>
      <c r="U2619" s="6" t="s">
        <v>81</v>
      </c>
      <c r="V2619" s="6" t="s">
        <v>81</v>
      </c>
      <c r="W2619" s="6" t="s">
        <v>81</v>
      </c>
      <c r="X2619" s="6" t="s">
        <v>81</v>
      </c>
      <c r="Y2619" s="21" t="s">
        <v>81</v>
      </c>
      <c r="Z2619" s="6" t="s">
        <v>81</v>
      </c>
      <c r="AA2619" s="6" t="s">
        <v>81</v>
      </c>
      <c r="AB2619" s="6" t="s">
        <v>81</v>
      </c>
      <c r="AC2619" s="6" t="s">
        <v>10886</v>
      </c>
      <c r="AD2619" s="16" t="n">
        <v>37518</v>
      </c>
      <c r="AE2619" s="6" t="s">
        <v>14485</v>
      </c>
      <c r="AF2619" s="6" t="s">
        <v>81</v>
      </c>
      <c r="AG2619" s="6" t="s">
        <v>81</v>
      </c>
      <c r="AH2619" s="6" t="s">
        <v>17152</v>
      </c>
      <c r="AI2619" s="6" t="s">
        <v>81</v>
      </c>
      <c r="AJ2619" s="6" t="s">
        <v>17632</v>
      </c>
      <c r="AK2619" s="6" t="s">
        <v>18386</v>
      </c>
      <c r="AL2619" s="6" t="s">
        <v>18444</v>
      </c>
      <c r="AM2619" s="6" t="s">
        <v>19587</v>
      </c>
      <c r="AN2619" s="6" t="s">
        <v>19640</v>
      </c>
      <c r="AO2619" s="6" t="s">
        <v>20071</v>
      </c>
      <c r="AP2619" s="6" t="s">
        <v>17152</v>
      </c>
      <c r="AQ2619" s="6" t="s">
        <v>81</v>
      </c>
      <c r="AR2619" s="6" t="s">
        <v>17632</v>
      </c>
      <c r="AS2619" s="6" t="s">
        <v>18386</v>
      </c>
      <c r="AT2619" s="6" t="s">
        <v>18444</v>
      </c>
      <c r="AU2619" s="6" t="s">
        <v>19587</v>
      </c>
      <c r="AV2619" s="6" t="s">
        <v>81</v>
      </c>
      <c r="AW2619" s="6" t="s">
        <v>81</v>
      </c>
      <c r="AX2619" s="6" t="s">
        <v>22468</v>
      </c>
      <c r="AY2619" s="6" t="s">
        <v>23527</v>
      </c>
      <c r="AZ2619" s="6" t="s">
        <v>23804</v>
      </c>
      <c r="BA2619" s="6" t="s">
        <v>23893</v>
      </c>
      <c r="BB2619" s="6" t="s">
        <v>81</v>
      </c>
      <c r="BC2619" s="26"/>
      <c r="BD2619" s="26"/>
      <c r="BE2619" s="26"/>
      <c r="BF2619" s="26"/>
      <c r="BG2619" s="26"/>
      <c r="BH2619" s="26"/>
      <c r="BI2619" s="26"/>
      <c r="BJ2619" s="26"/>
      <c r="BK2619" s="26"/>
      <c r="BL2619" s="26"/>
      <c r="BM2619" s="26"/>
      <c r="BN2619" s="26"/>
      <c r="BO2619" s="26"/>
      <c r="BP2619" s="16" t="n">
        <v>45667</v>
      </c>
      <c r="BQ2619" s="28" t="str">
        <f>HYPERLINK("https://organic.ams.usda.gov/Integrity/Certificate.aspx?cid=15&amp;nopid=5561002206")</f>
        <v>https://organic.ams.usda.gov/Integrity/Certificate.aspx?cid=15&amp;nopid=5561002206</v>
      </c>
    </row>
    <row r="2620">
      <c r="A2620" t="s">
        <v>3</v>
      </c>
      <c r="B2620" s="6" t="s">
        <v>8</v>
      </c>
      <c r="C2620" s="6" t="s">
        <v>55</v>
      </c>
      <c r="D2620" s="6" t="s">
        <v>101</v>
      </c>
      <c r="E2620" s="10" t="s">
        <v>2761</v>
      </c>
      <c r="F2620" s="6" t="s">
        <v>5465</v>
      </c>
      <c r="G2620" s="6" t="s">
        <v>81</v>
      </c>
      <c r="H2620" s="6" t="s">
        <v>8278</v>
      </c>
      <c r="I2620" s="6" t="s">
        <v>9615</v>
      </c>
      <c r="J2620" s="6" t="s">
        <v>9665</v>
      </c>
      <c r="K2620" s="6" t="s">
        <v>10886</v>
      </c>
      <c r="L2620" s="16" t="n">
        <v>42347</v>
      </c>
      <c r="M2620" s="18" t="s">
        <v>81</v>
      </c>
      <c r="N2620" s="6" t="s">
        <v>10886</v>
      </c>
      <c r="O2620" s="16" t="n">
        <v>42347</v>
      </c>
      <c r="P2620" s="6" t="s">
        <v>12350</v>
      </c>
      <c r="Q2620" s="6" t="s">
        <v>81</v>
      </c>
      <c r="R2620" s="6" t="s">
        <v>81</v>
      </c>
      <c r="S2620" s="6" t="s">
        <v>10886</v>
      </c>
      <c r="T2620" s="16" t="n">
        <v>42347</v>
      </c>
      <c r="U2620" s="6" t="s">
        <v>13229</v>
      </c>
      <c r="V2620" s="6" t="s">
        <v>81</v>
      </c>
      <c r="W2620" s="6" t="s">
        <v>81</v>
      </c>
      <c r="X2620" s="6" t="s">
        <v>81</v>
      </c>
      <c r="Y2620" s="21" t="s">
        <v>81</v>
      </c>
      <c r="Z2620" s="6" t="s">
        <v>81</v>
      </c>
      <c r="AA2620" s="6" t="s">
        <v>81</v>
      </c>
      <c r="AB2620" s="6" t="s">
        <v>81</v>
      </c>
      <c r="AC2620" s="6" t="s">
        <v>81</v>
      </c>
      <c r="AD2620" s="21" t="s">
        <v>81</v>
      </c>
      <c r="AE2620" s="6" t="s">
        <v>81</v>
      </c>
      <c r="AF2620" s="6" t="s">
        <v>81</v>
      </c>
      <c r="AG2620" s="6" t="s">
        <v>81</v>
      </c>
      <c r="AH2620" s="6" t="s">
        <v>17153</v>
      </c>
      <c r="AI2620" s="6" t="s">
        <v>81</v>
      </c>
      <c r="AJ2620" s="6" t="s">
        <v>17315</v>
      </c>
      <c r="AK2620" s="6" t="s">
        <v>18379</v>
      </c>
      <c r="AL2620" s="6" t="s">
        <v>18444</v>
      </c>
      <c r="AM2620" s="6" t="s">
        <v>18467</v>
      </c>
      <c r="AN2620" s="6" t="s">
        <v>19637</v>
      </c>
      <c r="AO2620" s="6" t="s">
        <v>19723</v>
      </c>
      <c r="AP2620" s="6" t="s">
        <v>81</v>
      </c>
      <c r="AQ2620" s="6" t="s">
        <v>81</v>
      </c>
      <c r="AR2620" s="6" t="s">
        <v>81</v>
      </c>
      <c r="AS2620" s="6" t="s">
        <v>81</v>
      </c>
      <c r="AT2620" s="6" t="s">
        <v>81</v>
      </c>
      <c r="AU2620" s="6" t="s">
        <v>81</v>
      </c>
      <c r="AV2620" s="6" t="s">
        <v>81</v>
      </c>
      <c r="AW2620" s="6" t="s">
        <v>81</v>
      </c>
      <c r="AX2620" s="6" t="s">
        <v>81</v>
      </c>
      <c r="AY2620" s="6" t="s">
        <v>81</v>
      </c>
      <c r="AZ2620" s="6" t="s">
        <v>81</v>
      </c>
      <c r="BA2620" s="6" t="s">
        <v>81</v>
      </c>
      <c r="BB2620" s="24" t="n">
        <v>80</v>
      </c>
      <c r="BC2620" s="26"/>
      <c r="BD2620" s="26"/>
      <c r="BE2620" s="26"/>
      <c r="BF2620" s="26"/>
      <c r="BG2620" s="26"/>
      <c r="BH2620" s="26"/>
      <c r="BI2620" s="26"/>
      <c r="BJ2620" s="26"/>
      <c r="BK2620" s="26"/>
      <c r="BL2620" s="26"/>
      <c r="BM2620" s="26"/>
      <c r="BN2620" s="26"/>
      <c r="BO2620" s="26"/>
      <c r="BP2620" s="16" t="n">
        <v>45292</v>
      </c>
      <c r="BQ2620" s="28" t="str">
        <f>HYPERLINK("https://organic.ams.usda.gov/Integrity/Certificate.aspx?cid=45&amp;nopid=9950008742")</f>
        <v>https://organic.ams.usda.gov/Integrity/Certificate.aspx?cid=45&amp;nopid=9950008742</v>
      </c>
    </row>
    <row r="2621">
      <c r="A2621" t="s">
        <v>3</v>
      </c>
      <c r="B2621" s="6" t="s">
        <v>13</v>
      </c>
      <c r="C2621" s="6" t="s">
        <v>60</v>
      </c>
      <c r="D2621" s="6" t="s">
        <v>106</v>
      </c>
      <c r="E2621" s="10" t="s">
        <v>2762</v>
      </c>
      <c r="F2621" s="6" t="s">
        <v>5466</v>
      </c>
      <c r="G2621" s="6" t="s">
        <v>81</v>
      </c>
      <c r="H2621" s="6" t="s">
        <v>8279</v>
      </c>
      <c r="I2621" s="6" t="s">
        <v>8814</v>
      </c>
      <c r="J2621" s="6" t="s">
        <v>9827</v>
      </c>
      <c r="K2621" s="6" t="s">
        <v>10886</v>
      </c>
      <c r="L2621" s="16" t="n">
        <v>42782</v>
      </c>
      <c r="M2621" s="16" t="n">
        <v>45992</v>
      </c>
      <c r="N2621" s="6" t="s">
        <v>10886</v>
      </c>
      <c r="O2621" s="16" t="n">
        <v>42782</v>
      </c>
      <c r="P2621" s="6" t="s">
        <v>12351</v>
      </c>
      <c r="Q2621" s="6" t="s">
        <v>81</v>
      </c>
      <c r="R2621" s="6" t="s">
        <v>13126</v>
      </c>
      <c r="S2621" s="6" t="s">
        <v>10886</v>
      </c>
      <c r="T2621" s="16" t="n">
        <v>42979</v>
      </c>
      <c r="U2621" s="6" t="s">
        <v>13878</v>
      </c>
      <c r="V2621" s="6" t="s">
        <v>81</v>
      </c>
      <c r="W2621" s="6" t="s">
        <v>13126</v>
      </c>
      <c r="X2621" s="6" t="s">
        <v>81</v>
      </c>
      <c r="Y2621" s="21" t="s">
        <v>81</v>
      </c>
      <c r="Z2621" s="6" t="s">
        <v>81</v>
      </c>
      <c r="AA2621" s="6" t="s">
        <v>81</v>
      </c>
      <c r="AB2621" s="6" t="s">
        <v>81</v>
      </c>
      <c r="AC2621" s="6" t="s">
        <v>81</v>
      </c>
      <c r="AD2621" s="21" t="s">
        <v>81</v>
      </c>
      <c r="AE2621" s="6" t="s">
        <v>81</v>
      </c>
      <c r="AF2621" s="6" t="s">
        <v>81</v>
      </c>
      <c r="AG2621" s="6" t="s">
        <v>81</v>
      </c>
      <c r="AH2621" s="6" t="s">
        <v>17154</v>
      </c>
      <c r="AI2621" s="6" t="s">
        <v>81</v>
      </c>
      <c r="AJ2621" s="6" t="s">
        <v>17448</v>
      </c>
      <c r="AK2621" s="6" t="s">
        <v>18379</v>
      </c>
      <c r="AL2621" s="6" t="s">
        <v>18444</v>
      </c>
      <c r="AM2621" s="6" t="s">
        <v>18606</v>
      </c>
      <c r="AN2621" s="6" t="s">
        <v>19642</v>
      </c>
      <c r="AO2621" s="6" t="s">
        <v>19799</v>
      </c>
      <c r="AP2621" s="6" t="s">
        <v>17154</v>
      </c>
      <c r="AQ2621" s="6" t="s">
        <v>81</v>
      </c>
      <c r="AR2621" s="6" t="s">
        <v>17448</v>
      </c>
      <c r="AS2621" s="6" t="s">
        <v>18379</v>
      </c>
      <c r="AT2621" s="6" t="s">
        <v>18444</v>
      </c>
      <c r="AU2621" s="6" t="s">
        <v>18606</v>
      </c>
      <c r="AV2621" s="6" t="s">
        <v>81</v>
      </c>
      <c r="AW2621" s="6" t="s">
        <v>81</v>
      </c>
      <c r="AX2621" s="6" t="s">
        <v>22469</v>
      </c>
      <c r="AY2621" s="6" t="s">
        <v>81</v>
      </c>
      <c r="AZ2621" s="6" t="s">
        <v>81</v>
      </c>
      <c r="BA2621" s="6" t="s">
        <v>81</v>
      </c>
      <c r="BB2621" s="24" t="n">
        <v>86</v>
      </c>
      <c r="BC2621" s="26"/>
      <c r="BD2621" s="26"/>
      <c r="BE2621" s="26"/>
      <c r="BF2621" s="26" t="s">
        <v>23900</v>
      </c>
      <c r="BG2621" s="26"/>
      <c r="BH2621" s="26"/>
      <c r="BI2621" s="26"/>
      <c r="BJ2621" s="26"/>
      <c r="BK2621" s="26"/>
      <c r="BL2621" s="26"/>
      <c r="BM2621" s="26"/>
      <c r="BN2621" s="26"/>
      <c r="BO2621" s="26"/>
      <c r="BP2621" s="16" t="n">
        <v>45663</v>
      </c>
      <c r="BQ2621" s="28" t="str">
        <f>HYPERLINK("https://organic.ams.usda.gov/Integrity/Certificate.aspx?cid=72&amp;nopid=5870002630")</f>
        <v>https://organic.ams.usda.gov/Integrity/Certificate.aspx?cid=72&amp;nopid=5870002630</v>
      </c>
    </row>
    <row r="2622">
      <c r="A2622" t="s">
        <v>3</v>
      </c>
      <c r="B2622" s="6" t="s">
        <v>10</v>
      </c>
      <c r="C2622" s="6" t="s">
        <v>57</v>
      </c>
      <c r="D2622" s="6" t="s">
        <v>103</v>
      </c>
      <c r="E2622" s="10" t="s">
        <v>2763</v>
      </c>
      <c r="F2622" s="6" t="s">
        <v>5467</v>
      </c>
      <c r="G2622" s="6" t="s">
        <v>81</v>
      </c>
      <c r="H2622" s="6" t="s">
        <v>8280</v>
      </c>
      <c r="I2622" s="6" t="s">
        <v>8814</v>
      </c>
      <c r="J2622" s="6" t="s">
        <v>9669</v>
      </c>
      <c r="K2622" s="6" t="s">
        <v>10886</v>
      </c>
      <c r="L2622" s="16" t="n">
        <v>43789</v>
      </c>
      <c r="M2622" s="16" t="n">
        <v>45748</v>
      </c>
      <c r="N2622" s="6" t="s">
        <v>10886</v>
      </c>
      <c r="O2622" s="16" t="n">
        <v>43789</v>
      </c>
      <c r="P2622" s="6" t="s">
        <v>12352</v>
      </c>
      <c r="Q2622" s="6" t="s">
        <v>81</v>
      </c>
      <c r="R2622" s="6" t="s">
        <v>13127</v>
      </c>
      <c r="S2622" s="6" t="s">
        <v>10886</v>
      </c>
      <c r="T2622" s="16" t="n">
        <v>43789</v>
      </c>
      <c r="U2622" s="6" t="s">
        <v>13377</v>
      </c>
      <c r="V2622" s="6" t="s">
        <v>81</v>
      </c>
      <c r="W2622" s="6" t="s">
        <v>81</v>
      </c>
      <c r="X2622" s="6" t="s">
        <v>81</v>
      </c>
      <c r="Y2622" s="21" t="s">
        <v>81</v>
      </c>
      <c r="Z2622" s="6" t="s">
        <v>81</v>
      </c>
      <c r="AA2622" s="6" t="s">
        <v>81</v>
      </c>
      <c r="AB2622" s="6" t="s">
        <v>81</v>
      </c>
      <c r="AC2622" s="6" t="s">
        <v>81</v>
      </c>
      <c r="AD2622" s="21" t="s">
        <v>81</v>
      </c>
      <c r="AE2622" s="6" t="s">
        <v>81</v>
      </c>
      <c r="AF2622" s="6" t="s">
        <v>81</v>
      </c>
      <c r="AG2622" s="6" t="s">
        <v>81</v>
      </c>
      <c r="AH2622" s="6" t="s">
        <v>17155</v>
      </c>
      <c r="AI2622" s="6" t="s">
        <v>81</v>
      </c>
      <c r="AJ2622" s="6" t="s">
        <v>17319</v>
      </c>
      <c r="AK2622" s="6" t="s">
        <v>18378</v>
      </c>
      <c r="AL2622" s="6" t="s">
        <v>18444</v>
      </c>
      <c r="AM2622" s="6" t="s">
        <v>18471</v>
      </c>
      <c r="AN2622" s="6" t="s">
        <v>19676</v>
      </c>
      <c r="AO2622" s="6" t="s">
        <v>19784</v>
      </c>
      <c r="AP2622" s="6" t="s">
        <v>17155</v>
      </c>
      <c r="AQ2622" s="6" t="s">
        <v>81</v>
      </c>
      <c r="AR2622" s="6" t="s">
        <v>17319</v>
      </c>
      <c r="AS2622" s="6" t="s">
        <v>18378</v>
      </c>
      <c r="AT2622" s="6" t="s">
        <v>18444</v>
      </c>
      <c r="AU2622" s="6" t="s">
        <v>18471</v>
      </c>
      <c r="AV2622" s="6" t="s">
        <v>81</v>
      </c>
      <c r="AW2622" s="6" t="s">
        <v>81</v>
      </c>
      <c r="AX2622" s="6" t="s">
        <v>22470</v>
      </c>
      <c r="AY2622" s="6" t="s">
        <v>81</v>
      </c>
      <c r="AZ2622" s="6" t="s">
        <v>81</v>
      </c>
      <c r="BA2622" s="6" t="s">
        <v>81</v>
      </c>
      <c r="BB2622" s="24" t="n">
        <v>117</v>
      </c>
      <c r="BC2622" s="26"/>
      <c r="BD2622" s="26"/>
      <c r="BE2622" s="26"/>
      <c r="BF2622" s="26"/>
      <c r="BG2622" s="26"/>
      <c r="BH2622" s="26"/>
      <c r="BI2622" s="26"/>
      <c r="BJ2622" s="26"/>
      <c r="BK2622" s="26"/>
      <c r="BL2622" s="26"/>
      <c r="BM2622" s="26"/>
      <c r="BN2622" s="26"/>
      <c r="BO2622" s="26"/>
      <c r="BP2622" s="16" t="n">
        <v>45730</v>
      </c>
      <c r="BQ2622" s="28" t="str">
        <f>HYPERLINK("https://organic.ams.usda.gov/Integrity/Certificate.aspx?cid=90&amp;nopid=7170019059")</f>
        <v>https://organic.ams.usda.gov/Integrity/Certificate.aspx?cid=90&amp;nopid=7170019059</v>
      </c>
    </row>
    <row r="2623">
      <c r="A2623" t="s">
        <v>3</v>
      </c>
      <c r="B2623" s="6" t="s">
        <v>10</v>
      </c>
      <c r="C2623" s="6" t="s">
        <v>57</v>
      </c>
      <c r="D2623" s="6" t="s">
        <v>103</v>
      </c>
      <c r="E2623" s="10" t="s">
        <v>2764</v>
      </c>
      <c r="F2623" s="6" t="s">
        <v>5468</v>
      </c>
      <c r="G2623" s="6" t="s">
        <v>81</v>
      </c>
      <c r="H2623" s="6" t="s">
        <v>8281</v>
      </c>
      <c r="I2623" s="6" t="s">
        <v>9460</v>
      </c>
      <c r="J2623" s="6" t="s">
        <v>9665</v>
      </c>
      <c r="K2623" s="6" t="s">
        <v>10886</v>
      </c>
      <c r="L2623" s="16" t="n">
        <v>40515</v>
      </c>
      <c r="M2623" s="16" t="n">
        <v>45748</v>
      </c>
      <c r="N2623" s="6" t="s">
        <v>10886</v>
      </c>
      <c r="O2623" s="16" t="n">
        <v>44635</v>
      </c>
      <c r="P2623" s="6" t="s">
        <v>11036</v>
      </c>
      <c r="Q2623" s="6" t="s">
        <v>81</v>
      </c>
      <c r="R2623" s="6" t="s">
        <v>13128</v>
      </c>
      <c r="S2623" s="6" t="s">
        <v>10886</v>
      </c>
      <c r="T2623" s="16" t="n">
        <v>44635</v>
      </c>
      <c r="U2623" s="6" t="s">
        <v>13163</v>
      </c>
      <c r="V2623" s="6" t="s">
        <v>81</v>
      </c>
      <c r="W2623" s="6" t="s">
        <v>81</v>
      </c>
      <c r="X2623" s="6" t="s">
        <v>81</v>
      </c>
      <c r="Y2623" s="21" t="s">
        <v>81</v>
      </c>
      <c r="Z2623" s="6" t="s">
        <v>81</v>
      </c>
      <c r="AA2623" s="6" t="s">
        <v>81</v>
      </c>
      <c r="AB2623" s="6" t="s">
        <v>81</v>
      </c>
      <c r="AC2623" s="6" t="s">
        <v>81</v>
      </c>
      <c r="AD2623" s="21" t="s">
        <v>81</v>
      </c>
      <c r="AE2623" s="6" t="s">
        <v>81</v>
      </c>
      <c r="AF2623" s="6" t="s">
        <v>81</v>
      </c>
      <c r="AG2623" s="6" t="s">
        <v>81</v>
      </c>
      <c r="AH2623" s="6" t="s">
        <v>17156</v>
      </c>
      <c r="AI2623" s="6" t="s">
        <v>81</v>
      </c>
      <c r="AJ2623" s="6" t="s">
        <v>17392</v>
      </c>
      <c r="AK2623" s="6" t="s">
        <v>18379</v>
      </c>
      <c r="AL2623" s="6" t="s">
        <v>18444</v>
      </c>
      <c r="AM2623" s="6" t="s">
        <v>19588</v>
      </c>
      <c r="AN2623" s="6" t="s">
        <v>19637</v>
      </c>
      <c r="AO2623" s="6" t="s">
        <v>19723</v>
      </c>
      <c r="AP2623" s="6" t="s">
        <v>17156</v>
      </c>
      <c r="AQ2623" s="6" t="s">
        <v>81</v>
      </c>
      <c r="AR2623" s="6" t="s">
        <v>17392</v>
      </c>
      <c r="AS2623" s="6" t="s">
        <v>18379</v>
      </c>
      <c r="AT2623" s="6" t="s">
        <v>18444</v>
      </c>
      <c r="AU2623" s="6" t="s">
        <v>19588</v>
      </c>
      <c r="AV2623" s="6" t="s">
        <v>81</v>
      </c>
      <c r="AW2623" s="6" t="s">
        <v>81</v>
      </c>
      <c r="AX2623" s="6" t="s">
        <v>22471</v>
      </c>
      <c r="AY2623" s="6" t="s">
        <v>81</v>
      </c>
      <c r="AZ2623" s="6" t="s">
        <v>81</v>
      </c>
      <c r="BA2623" s="6" t="s">
        <v>81</v>
      </c>
      <c r="BB2623" s="24" t="n">
        <v>126</v>
      </c>
      <c r="BC2623" s="26"/>
      <c r="BD2623" s="26"/>
      <c r="BE2623" s="26"/>
      <c r="BF2623" s="26"/>
      <c r="BG2623" s="26"/>
      <c r="BH2623" s="26"/>
      <c r="BI2623" s="26"/>
      <c r="BJ2623" s="26"/>
      <c r="BK2623" s="26"/>
      <c r="BL2623" s="26"/>
      <c r="BM2623" s="26"/>
      <c r="BN2623" s="26"/>
      <c r="BO2623" s="26"/>
      <c r="BP2623" s="16" t="n">
        <v>45730</v>
      </c>
      <c r="BQ2623" s="28" t="str">
        <f>HYPERLINK("https://organic.ams.usda.gov/Integrity/Certificate.aspx?cid=90&amp;nopid=7170220463")</f>
        <v>https://organic.ams.usda.gov/Integrity/Certificate.aspx?cid=90&amp;nopid=7170220463</v>
      </c>
    </row>
    <row r="2624">
      <c r="A2624" t="s">
        <v>3</v>
      </c>
      <c r="B2624" s="6" t="s">
        <v>8</v>
      </c>
      <c r="C2624" s="6" t="s">
        <v>55</v>
      </c>
      <c r="D2624" s="6" t="s">
        <v>101</v>
      </c>
      <c r="E2624" s="10" t="s">
        <v>2765</v>
      </c>
      <c r="F2624" s="6" t="s">
        <v>5469</v>
      </c>
      <c r="G2624" s="6" t="s">
        <v>81</v>
      </c>
      <c r="H2624" s="6" t="s">
        <v>8282</v>
      </c>
      <c r="I2624" s="6" t="s">
        <v>8814</v>
      </c>
      <c r="J2624" s="6" t="s">
        <v>9741</v>
      </c>
      <c r="K2624" s="6" t="s">
        <v>10886</v>
      </c>
      <c r="L2624" s="16" t="n">
        <v>42290</v>
      </c>
      <c r="M2624" s="16" t="n">
        <v>45689</v>
      </c>
      <c r="N2624" s="6" t="s">
        <v>10886</v>
      </c>
      <c r="O2624" s="16" t="n">
        <v>42290</v>
      </c>
      <c r="P2624" s="6" t="s">
        <v>12353</v>
      </c>
      <c r="Q2624" s="6" t="s">
        <v>81</v>
      </c>
      <c r="R2624" s="6" t="s">
        <v>8282</v>
      </c>
      <c r="S2624" s="6" t="s">
        <v>10886</v>
      </c>
      <c r="T2624" s="16" t="n">
        <v>42663</v>
      </c>
      <c r="U2624" s="6" t="s">
        <v>13501</v>
      </c>
      <c r="V2624" s="6" t="s">
        <v>81</v>
      </c>
      <c r="W2624" s="6" t="s">
        <v>8282</v>
      </c>
      <c r="X2624" s="6" t="s">
        <v>81</v>
      </c>
      <c r="Y2624" s="21" t="s">
        <v>81</v>
      </c>
      <c r="Z2624" s="6" t="s">
        <v>81</v>
      </c>
      <c r="AA2624" s="6" t="s">
        <v>81</v>
      </c>
      <c r="AB2624" s="6" t="s">
        <v>81</v>
      </c>
      <c r="AC2624" s="6" t="s">
        <v>81</v>
      </c>
      <c r="AD2624" s="21" t="s">
        <v>81</v>
      </c>
      <c r="AE2624" s="6" t="s">
        <v>81</v>
      </c>
      <c r="AF2624" s="6" t="s">
        <v>81</v>
      </c>
      <c r="AG2624" s="6" t="s">
        <v>81</v>
      </c>
      <c r="AH2624" s="6" t="s">
        <v>17157</v>
      </c>
      <c r="AI2624" s="6" t="s">
        <v>81</v>
      </c>
      <c r="AJ2624" s="6" t="s">
        <v>17749</v>
      </c>
      <c r="AK2624" s="6" t="s">
        <v>18377</v>
      </c>
      <c r="AL2624" s="6" t="s">
        <v>18444</v>
      </c>
      <c r="AM2624" s="6" t="s">
        <v>18917</v>
      </c>
      <c r="AN2624" s="6" t="s">
        <v>19634</v>
      </c>
      <c r="AO2624" s="6" t="s">
        <v>19764</v>
      </c>
      <c r="AP2624" s="6" t="s">
        <v>81</v>
      </c>
      <c r="AQ2624" s="6" t="s">
        <v>81</v>
      </c>
      <c r="AR2624" s="6" t="s">
        <v>81</v>
      </c>
      <c r="AS2624" s="6" t="s">
        <v>81</v>
      </c>
      <c r="AT2624" s="6" t="s">
        <v>81</v>
      </c>
      <c r="AU2624" s="6" t="s">
        <v>81</v>
      </c>
      <c r="AV2624" s="6" t="s">
        <v>81</v>
      </c>
      <c r="AW2624" s="6" t="s">
        <v>81</v>
      </c>
      <c r="AX2624" s="6" t="s">
        <v>81</v>
      </c>
      <c r="AY2624" s="6" t="s">
        <v>81</v>
      </c>
      <c r="AZ2624" s="6" t="s">
        <v>81</v>
      </c>
      <c r="BA2624" s="6" t="s">
        <v>23819</v>
      </c>
      <c r="BB2624" s="24" t="n">
        <v>59</v>
      </c>
      <c r="BC2624" s="26"/>
      <c r="BD2624" s="26"/>
      <c r="BE2624" s="26"/>
      <c r="BF2624" s="26"/>
      <c r="BG2624" s="26"/>
      <c r="BH2624" s="26"/>
      <c r="BI2624" s="26"/>
      <c r="BJ2624" s="26"/>
      <c r="BK2624" s="26"/>
      <c r="BL2624" s="26"/>
      <c r="BM2624" s="26"/>
      <c r="BN2624" s="26"/>
      <c r="BO2624" s="26"/>
      <c r="BP2624" s="16" t="n">
        <v>45680</v>
      </c>
      <c r="BQ2624" s="28" t="str">
        <f>HYPERLINK("https://organic.ams.usda.gov/Integrity/Certificate.aspx?cid=45&amp;nopid=9950008811")</f>
        <v>https://organic.ams.usda.gov/Integrity/Certificate.aspx?cid=45&amp;nopid=9950008811</v>
      </c>
    </row>
    <row r="2625">
      <c r="A2625" t="s">
        <v>3</v>
      </c>
      <c r="B2625" s="6" t="s">
        <v>11</v>
      </c>
      <c r="C2625" s="6" t="s">
        <v>58</v>
      </c>
      <c r="D2625" s="6" t="s">
        <v>104</v>
      </c>
      <c r="E2625" s="10" t="s">
        <v>2766</v>
      </c>
      <c r="F2625" s="6" t="s">
        <v>5470</v>
      </c>
      <c r="G2625" s="6" t="s">
        <v>81</v>
      </c>
      <c r="H2625" s="6" t="s">
        <v>81</v>
      </c>
      <c r="I2625" s="6" t="s">
        <v>9616</v>
      </c>
      <c r="J2625" s="6" t="s">
        <v>9728</v>
      </c>
      <c r="K2625" s="6" t="s">
        <v>10886</v>
      </c>
      <c r="L2625" s="16" t="n">
        <v>43371</v>
      </c>
      <c r="M2625" s="16" t="n">
        <v>45383</v>
      </c>
      <c r="N2625" s="6" t="s">
        <v>10886</v>
      </c>
      <c r="O2625" s="16" t="n">
        <v>43371</v>
      </c>
      <c r="P2625" s="6" t="s">
        <v>12354</v>
      </c>
      <c r="Q2625" s="6" t="s">
        <v>81</v>
      </c>
      <c r="R2625" s="6" t="s">
        <v>81</v>
      </c>
      <c r="S2625" s="6" t="s">
        <v>10886</v>
      </c>
      <c r="T2625" s="16" t="n">
        <v>44036</v>
      </c>
      <c r="U2625" s="6" t="s">
        <v>13929</v>
      </c>
      <c r="V2625" s="6" t="s">
        <v>81</v>
      </c>
      <c r="W2625" s="6" t="s">
        <v>81</v>
      </c>
      <c r="X2625" s="6" t="s">
        <v>81</v>
      </c>
      <c r="Y2625" s="21" t="s">
        <v>81</v>
      </c>
      <c r="Z2625" s="6" t="s">
        <v>81</v>
      </c>
      <c r="AA2625" s="6" t="s">
        <v>81</v>
      </c>
      <c r="AB2625" s="6" t="s">
        <v>81</v>
      </c>
      <c r="AC2625" s="6" t="s">
        <v>81</v>
      </c>
      <c r="AD2625" s="21" t="s">
        <v>81</v>
      </c>
      <c r="AE2625" s="6" t="s">
        <v>81</v>
      </c>
      <c r="AF2625" s="6" t="s">
        <v>81</v>
      </c>
      <c r="AG2625" s="6" t="s">
        <v>81</v>
      </c>
      <c r="AH2625" s="6" t="s">
        <v>17158</v>
      </c>
      <c r="AI2625" s="6" t="s">
        <v>81</v>
      </c>
      <c r="AJ2625" s="6" t="s">
        <v>8524</v>
      </c>
      <c r="AK2625" s="6" t="s">
        <v>18377</v>
      </c>
      <c r="AL2625" s="6" t="s">
        <v>18444</v>
      </c>
      <c r="AM2625" s="6" t="s">
        <v>18544</v>
      </c>
      <c r="AN2625" s="6" t="s">
        <v>19666</v>
      </c>
      <c r="AO2625" s="6" t="s">
        <v>19771</v>
      </c>
      <c r="AP2625" s="6" t="s">
        <v>17158</v>
      </c>
      <c r="AQ2625" s="6" t="s">
        <v>81</v>
      </c>
      <c r="AR2625" s="6" t="s">
        <v>8524</v>
      </c>
      <c r="AS2625" s="6" t="s">
        <v>18377</v>
      </c>
      <c r="AT2625" s="6" t="s">
        <v>18444</v>
      </c>
      <c r="AU2625" s="6" t="s">
        <v>18544</v>
      </c>
      <c r="AV2625" s="6" t="s">
        <v>81</v>
      </c>
      <c r="AW2625" s="6" t="s">
        <v>81</v>
      </c>
      <c r="AX2625" s="6" t="s">
        <v>22472</v>
      </c>
      <c r="AY2625" s="6" t="s">
        <v>81</v>
      </c>
      <c r="AZ2625" s="6" t="s">
        <v>81</v>
      </c>
      <c r="BA2625" s="6" t="s">
        <v>23820</v>
      </c>
      <c r="BB2625" s="24" t="n">
        <v>116</v>
      </c>
      <c r="BC2625" s="26"/>
      <c r="BD2625" s="26"/>
      <c r="BE2625" s="26"/>
      <c r="BF2625" s="26"/>
      <c r="BG2625" s="26"/>
      <c r="BH2625" s="26"/>
      <c r="BI2625" s="26"/>
      <c r="BJ2625" s="26"/>
      <c r="BK2625" s="26"/>
      <c r="BL2625" s="26"/>
      <c r="BM2625" s="26"/>
      <c r="BN2625" s="26"/>
      <c r="BO2625" s="26"/>
      <c r="BP2625" s="16" t="n">
        <v>45443</v>
      </c>
      <c r="BQ2625" s="28" t="str">
        <f>HYPERLINK("https://organic.ams.usda.gov/Integrity/Certificate.aspx?cid=46&amp;nopid=3671800080")</f>
        <v>https://organic.ams.usda.gov/Integrity/Certificate.aspx?cid=46&amp;nopid=3671800080</v>
      </c>
    </row>
    <row r="2626">
      <c r="A2626" t="s">
        <v>3</v>
      </c>
      <c r="B2626" s="6" t="s">
        <v>7</v>
      </c>
      <c r="C2626" s="6" t="s">
        <v>54</v>
      </c>
      <c r="D2626" s="6" t="s">
        <v>100</v>
      </c>
      <c r="E2626" s="10" t="s">
        <v>2767</v>
      </c>
      <c r="F2626" s="6" t="s">
        <v>5471</v>
      </c>
      <c r="G2626" s="6" t="s">
        <v>81</v>
      </c>
      <c r="H2626" s="6" t="s">
        <v>8283</v>
      </c>
      <c r="I2626" s="6" t="s">
        <v>8814</v>
      </c>
      <c r="J2626" s="6" t="s">
        <v>9936</v>
      </c>
      <c r="K2626" s="6" t="s">
        <v>10886</v>
      </c>
      <c r="L2626" s="16" t="n">
        <v>44368</v>
      </c>
      <c r="M2626" s="16" t="n">
        <v>45716</v>
      </c>
      <c r="N2626" s="6" t="s">
        <v>10886</v>
      </c>
      <c r="O2626" s="16" t="n">
        <v>44368</v>
      </c>
      <c r="P2626" s="6" t="s">
        <v>10910</v>
      </c>
      <c r="Q2626" s="6" t="s">
        <v>81</v>
      </c>
      <c r="R2626" s="6" t="s">
        <v>81</v>
      </c>
      <c r="S2626" s="6" t="s">
        <v>10886</v>
      </c>
      <c r="T2626" s="16" t="n">
        <v>44368</v>
      </c>
      <c r="U2626" s="6" t="s">
        <v>13169</v>
      </c>
      <c r="V2626" s="6" t="s">
        <v>81</v>
      </c>
      <c r="W2626" s="6" t="s">
        <v>81</v>
      </c>
      <c r="X2626" s="6" t="s">
        <v>81</v>
      </c>
      <c r="Y2626" s="21" t="s">
        <v>81</v>
      </c>
      <c r="Z2626" s="6" t="s">
        <v>81</v>
      </c>
      <c r="AA2626" s="6" t="s">
        <v>81</v>
      </c>
      <c r="AB2626" s="6" t="s">
        <v>81</v>
      </c>
      <c r="AC2626" s="6" t="s">
        <v>81</v>
      </c>
      <c r="AD2626" s="21" t="s">
        <v>81</v>
      </c>
      <c r="AE2626" s="6" t="s">
        <v>81</v>
      </c>
      <c r="AF2626" s="6" t="s">
        <v>81</v>
      </c>
      <c r="AG2626" s="6" t="s">
        <v>81</v>
      </c>
      <c r="AH2626" s="6" t="s">
        <v>17159</v>
      </c>
      <c r="AI2626" s="6" t="s">
        <v>81</v>
      </c>
      <c r="AJ2626" s="6" t="s">
        <v>17789</v>
      </c>
      <c r="AK2626" s="6" t="s">
        <v>17712</v>
      </c>
      <c r="AL2626" s="6" t="s">
        <v>18444</v>
      </c>
      <c r="AM2626" s="6" t="s">
        <v>18966</v>
      </c>
      <c r="AN2626" s="6" t="s">
        <v>7450</v>
      </c>
      <c r="AO2626" s="6" t="s">
        <v>19897</v>
      </c>
      <c r="AP2626" s="6" t="s">
        <v>17159</v>
      </c>
      <c r="AQ2626" s="6" t="s">
        <v>81</v>
      </c>
      <c r="AR2626" s="6" t="s">
        <v>17789</v>
      </c>
      <c r="AS2626" s="6" t="s">
        <v>17712</v>
      </c>
      <c r="AT2626" s="6" t="s">
        <v>18444</v>
      </c>
      <c r="AU2626" s="6" t="s">
        <v>18966</v>
      </c>
      <c r="AV2626" s="6" t="s">
        <v>81</v>
      </c>
      <c r="AW2626" s="6" t="s">
        <v>81</v>
      </c>
      <c r="AX2626" s="6" t="s">
        <v>22473</v>
      </c>
      <c r="AY2626" s="6" t="s">
        <v>81</v>
      </c>
      <c r="AZ2626" s="6" t="s">
        <v>81</v>
      </c>
      <c r="BA2626" s="6" t="s">
        <v>81</v>
      </c>
      <c r="BB2626" s="24" t="n">
        <v>266</v>
      </c>
      <c r="BC2626" s="26"/>
      <c r="BD2626" s="26"/>
      <c r="BE2626" s="26"/>
      <c r="BF2626" s="26" t="s">
        <v>23900</v>
      </c>
      <c r="BG2626" s="26"/>
      <c r="BH2626" s="26"/>
      <c r="BI2626" s="26"/>
      <c r="BJ2626" s="26"/>
      <c r="BK2626" s="26"/>
      <c r="BL2626" s="26"/>
      <c r="BM2626" s="26"/>
      <c r="BN2626" s="26"/>
      <c r="BO2626" s="26"/>
      <c r="BP2626" s="16" t="n">
        <v>45595</v>
      </c>
      <c r="BQ2626" s="28" t="str">
        <f>HYPERLINK("https://organic.ams.usda.gov/Integrity/Certificate.aspx?cid=57&amp;nopid=3252021075")</f>
        <v>https://organic.ams.usda.gov/Integrity/Certificate.aspx?cid=57&amp;nopid=3252021075</v>
      </c>
    </row>
    <row r="2627">
      <c r="A2627" t="s">
        <v>3</v>
      </c>
      <c r="B2627" s="6" t="s">
        <v>7</v>
      </c>
      <c r="C2627" s="6" t="s">
        <v>54</v>
      </c>
      <c r="D2627" s="6" t="s">
        <v>100</v>
      </c>
      <c r="E2627" s="10" t="s">
        <v>2768</v>
      </c>
      <c r="F2627" s="6" t="s">
        <v>5472</v>
      </c>
      <c r="G2627" s="6" t="s">
        <v>81</v>
      </c>
      <c r="H2627" s="6" t="s">
        <v>8284</v>
      </c>
      <c r="I2627" s="6" t="s">
        <v>9617</v>
      </c>
      <c r="J2627" s="6" t="s">
        <v>9233</v>
      </c>
      <c r="K2627" s="6" t="s">
        <v>10886</v>
      </c>
      <c r="L2627" s="16" t="n">
        <v>41135</v>
      </c>
      <c r="M2627" s="16" t="n">
        <v>45716</v>
      </c>
      <c r="N2627" s="6" t="s">
        <v>10886</v>
      </c>
      <c r="O2627" s="16" t="n">
        <v>41135</v>
      </c>
      <c r="P2627" s="6" t="s">
        <v>12355</v>
      </c>
      <c r="Q2627" s="6" t="s">
        <v>81</v>
      </c>
      <c r="R2627" s="6" t="s">
        <v>81</v>
      </c>
      <c r="S2627" s="6" t="s">
        <v>10886</v>
      </c>
      <c r="T2627" s="16" t="n">
        <v>41380</v>
      </c>
      <c r="U2627" s="6" t="s">
        <v>13169</v>
      </c>
      <c r="V2627" s="6" t="s">
        <v>81</v>
      </c>
      <c r="W2627" s="6" t="s">
        <v>81</v>
      </c>
      <c r="X2627" s="6" t="s">
        <v>81</v>
      </c>
      <c r="Y2627" s="21" t="s">
        <v>81</v>
      </c>
      <c r="Z2627" s="6" t="s">
        <v>81</v>
      </c>
      <c r="AA2627" s="6" t="s">
        <v>81</v>
      </c>
      <c r="AB2627" s="6" t="s">
        <v>81</v>
      </c>
      <c r="AC2627" s="6" t="s">
        <v>81</v>
      </c>
      <c r="AD2627" s="21" t="s">
        <v>81</v>
      </c>
      <c r="AE2627" s="6" t="s">
        <v>81</v>
      </c>
      <c r="AF2627" s="6" t="s">
        <v>81</v>
      </c>
      <c r="AG2627" s="6" t="s">
        <v>81</v>
      </c>
      <c r="AH2627" s="6" t="s">
        <v>17160</v>
      </c>
      <c r="AI2627" s="6" t="s">
        <v>81</v>
      </c>
      <c r="AJ2627" s="6" t="s">
        <v>17848</v>
      </c>
      <c r="AK2627" s="6" t="s">
        <v>17712</v>
      </c>
      <c r="AL2627" s="6" t="s">
        <v>18444</v>
      </c>
      <c r="AM2627" s="6" t="s">
        <v>19030</v>
      </c>
      <c r="AN2627" s="6" t="s">
        <v>19661</v>
      </c>
      <c r="AO2627" s="6" t="s">
        <v>19841</v>
      </c>
      <c r="AP2627" s="6" t="s">
        <v>17160</v>
      </c>
      <c r="AQ2627" s="6" t="s">
        <v>81</v>
      </c>
      <c r="AR2627" s="6" t="s">
        <v>17848</v>
      </c>
      <c r="AS2627" s="6" t="s">
        <v>17712</v>
      </c>
      <c r="AT2627" s="6" t="s">
        <v>18444</v>
      </c>
      <c r="AU2627" s="6" t="s">
        <v>19030</v>
      </c>
      <c r="AV2627" s="6" t="s">
        <v>81</v>
      </c>
      <c r="AW2627" s="6" t="s">
        <v>81</v>
      </c>
      <c r="AX2627" s="6" t="s">
        <v>22474</v>
      </c>
      <c r="AY2627" s="6" t="s">
        <v>81</v>
      </c>
      <c r="AZ2627" s="6" t="s">
        <v>81</v>
      </c>
      <c r="BA2627" s="6" t="s">
        <v>81</v>
      </c>
      <c r="BB2627" s="24" t="n">
        <v>143</v>
      </c>
      <c r="BC2627" s="26"/>
      <c r="BD2627" s="26"/>
      <c r="BE2627" s="26"/>
      <c r="BF2627" s="26" t="s">
        <v>23900</v>
      </c>
      <c r="BG2627" s="26"/>
      <c r="BH2627" s="26"/>
      <c r="BI2627" s="26"/>
      <c r="BJ2627" s="26"/>
      <c r="BK2627" s="26"/>
      <c r="BL2627" s="26"/>
      <c r="BM2627" s="26"/>
      <c r="BN2627" s="26"/>
      <c r="BO2627" s="26"/>
      <c r="BP2627" s="16" t="n">
        <v>45721</v>
      </c>
      <c r="BQ2627" s="28" t="str">
        <f>HYPERLINK("https://organic.ams.usda.gov/Integrity/Certificate.aspx?cid=57&amp;nopid=3252012039")</f>
        <v>https://organic.ams.usda.gov/Integrity/Certificate.aspx?cid=57&amp;nopid=3252012039</v>
      </c>
    </row>
    <row r="2628">
      <c r="A2628" t="s">
        <v>3</v>
      </c>
      <c r="B2628" s="6" t="s">
        <v>9</v>
      </c>
      <c r="C2628" s="6" t="s">
        <v>56</v>
      </c>
      <c r="D2628" s="6" t="s">
        <v>102</v>
      </c>
      <c r="E2628" s="10" t="s">
        <v>2769</v>
      </c>
      <c r="F2628" s="6" t="s">
        <v>5473</v>
      </c>
      <c r="G2628" s="6" t="s">
        <v>81</v>
      </c>
      <c r="H2628" s="6" t="s">
        <v>8285</v>
      </c>
      <c r="I2628" s="6" t="s">
        <v>8814</v>
      </c>
      <c r="J2628" s="6" t="s">
        <v>9734</v>
      </c>
      <c r="K2628" s="6" t="s">
        <v>10886</v>
      </c>
      <c r="L2628" s="16" t="n">
        <v>42135</v>
      </c>
      <c r="M2628" s="16" t="n">
        <v>46113</v>
      </c>
      <c r="N2628" s="6" t="s">
        <v>10886</v>
      </c>
      <c r="O2628" s="16" t="n">
        <v>42135</v>
      </c>
      <c r="P2628" s="6" t="s">
        <v>10922</v>
      </c>
      <c r="Q2628" s="6" t="s">
        <v>81</v>
      </c>
      <c r="R2628" s="6" t="s">
        <v>13129</v>
      </c>
      <c r="S2628" s="6" t="s">
        <v>10886</v>
      </c>
      <c r="T2628" s="16" t="n">
        <v>42135</v>
      </c>
      <c r="U2628" s="6" t="s">
        <v>13168</v>
      </c>
      <c r="V2628" s="6" t="s">
        <v>81</v>
      </c>
      <c r="W2628" s="6" t="s">
        <v>13129</v>
      </c>
      <c r="X2628" s="6" t="s">
        <v>81</v>
      </c>
      <c r="Y2628" s="21" t="s">
        <v>81</v>
      </c>
      <c r="Z2628" s="6" t="s">
        <v>81</v>
      </c>
      <c r="AA2628" s="6" t="s">
        <v>81</v>
      </c>
      <c r="AB2628" s="6" t="s">
        <v>81</v>
      </c>
      <c r="AC2628" s="6" t="s">
        <v>81</v>
      </c>
      <c r="AD2628" s="21" t="s">
        <v>81</v>
      </c>
      <c r="AE2628" s="6" t="s">
        <v>81</v>
      </c>
      <c r="AF2628" s="6" t="s">
        <v>81</v>
      </c>
      <c r="AG2628" s="6" t="s">
        <v>81</v>
      </c>
      <c r="AH2628" s="6" t="s">
        <v>17161</v>
      </c>
      <c r="AI2628" s="6" t="s">
        <v>81</v>
      </c>
      <c r="AJ2628" s="6" t="s">
        <v>17315</v>
      </c>
      <c r="AK2628" s="6" t="s">
        <v>18379</v>
      </c>
      <c r="AL2628" s="6" t="s">
        <v>18444</v>
      </c>
      <c r="AM2628" s="6" t="s">
        <v>18467</v>
      </c>
      <c r="AN2628" s="6" t="s">
        <v>19637</v>
      </c>
      <c r="AO2628" s="6" t="s">
        <v>19723</v>
      </c>
      <c r="AP2628" s="6" t="s">
        <v>81</v>
      </c>
      <c r="AQ2628" s="6" t="s">
        <v>81</v>
      </c>
      <c r="AR2628" s="6" t="s">
        <v>81</v>
      </c>
      <c r="AS2628" s="6" t="s">
        <v>81</v>
      </c>
      <c r="AT2628" s="6" t="s">
        <v>81</v>
      </c>
      <c r="AU2628" s="6" t="s">
        <v>81</v>
      </c>
      <c r="AV2628" s="6" t="s">
        <v>81</v>
      </c>
      <c r="AW2628" s="6" t="s">
        <v>81</v>
      </c>
      <c r="AX2628" s="6" t="s">
        <v>22475</v>
      </c>
      <c r="AY2628" s="6" t="s">
        <v>81</v>
      </c>
      <c r="AZ2628" s="6" t="s">
        <v>81</v>
      </c>
      <c r="BA2628" s="6" t="s">
        <v>81</v>
      </c>
      <c r="BB2628" s="24" t="n">
        <v>134</v>
      </c>
      <c r="BC2628" s="26"/>
      <c r="BD2628" s="26"/>
      <c r="BE2628" s="26"/>
      <c r="BF2628" s="26"/>
      <c r="BG2628" s="26"/>
      <c r="BH2628" s="26"/>
      <c r="BI2628" s="26"/>
      <c r="BJ2628" s="26"/>
      <c r="BK2628" s="26"/>
      <c r="BL2628" s="26"/>
      <c r="BM2628" s="26"/>
      <c r="BN2628" s="26"/>
      <c r="BO2628" s="26"/>
      <c r="BP2628" s="16" t="n">
        <v>45738</v>
      </c>
      <c r="BQ2628" s="28" t="str">
        <f>HYPERLINK("https://organic.ams.usda.gov/Integrity/Certificate.aspx?cid=52&amp;nopid=8431500945")</f>
        <v>https://organic.ams.usda.gov/Integrity/Certificate.aspx?cid=52&amp;nopid=8431500945</v>
      </c>
    </row>
    <row r="2629">
      <c r="A2629" t="s">
        <v>3</v>
      </c>
      <c r="B2629" s="6" t="s">
        <v>8</v>
      </c>
      <c r="C2629" s="6" t="s">
        <v>55</v>
      </c>
      <c r="D2629" s="6" t="s">
        <v>101</v>
      </c>
      <c r="E2629" s="10" t="s">
        <v>2770</v>
      </c>
      <c r="F2629" s="6" t="s">
        <v>5474</v>
      </c>
      <c r="G2629" s="6" t="s">
        <v>81</v>
      </c>
      <c r="H2629" s="6" t="s">
        <v>8286</v>
      </c>
      <c r="I2629" s="6" t="s">
        <v>8814</v>
      </c>
      <c r="J2629" s="6" t="s">
        <v>9666</v>
      </c>
      <c r="K2629" s="6" t="s">
        <v>10886</v>
      </c>
      <c r="L2629" s="16" t="n">
        <v>42213</v>
      </c>
      <c r="M2629" s="16" t="n">
        <v>45748</v>
      </c>
      <c r="N2629" s="6" t="s">
        <v>10886</v>
      </c>
      <c r="O2629" s="16" t="n">
        <v>42213</v>
      </c>
      <c r="P2629" s="6" t="s">
        <v>12356</v>
      </c>
      <c r="Q2629" s="6" t="s">
        <v>81</v>
      </c>
      <c r="R2629" s="6" t="s">
        <v>8286</v>
      </c>
      <c r="S2629" s="6" t="s">
        <v>10886</v>
      </c>
      <c r="T2629" s="16" t="n">
        <v>42213</v>
      </c>
      <c r="U2629" s="6" t="s">
        <v>13501</v>
      </c>
      <c r="V2629" s="6" t="s">
        <v>81</v>
      </c>
      <c r="W2629" s="6" t="s">
        <v>8286</v>
      </c>
      <c r="X2629" s="6" t="s">
        <v>81</v>
      </c>
      <c r="Y2629" s="21" t="s">
        <v>81</v>
      </c>
      <c r="Z2629" s="6" t="s">
        <v>81</v>
      </c>
      <c r="AA2629" s="6" t="s">
        <v>81</v>
      </c>
      <c r="AB2629" s="6" t="s">
        <v>81</v>
      </c>
      <c r="AC2629" s="6" t="s">
        <v>81</v>
      </c>
      <c r="AD2629" s="21" t="s">
        <v>81</v>
      </c>
      <c r="AE2629" s="6" t="s">
        <v>81</v>
      </c>
      <c r="AF2629" s="6" t="s">
        <v>81</v>
      </c>
      <c r="AG2629" s="6" t="s">
        <v>81</v>
      </c>
      <c r="AH2629" s="6" t="s">
        <v>17162</v>
      </c>
      <c r="AI2629" s="6" t="s">
        <v>81</v>
      </c>
      <c r="AJ2629" s="6" t="s">
        <v>18340</v>
      </c>
      <c r="AK2629" s="6" t="s">
        <v>18391</v>
      </c>
      <c r="AL2629" s="6" t="s">
        <v>18444</v>
      </c>
      <c r="AM2629" s="6" t="s">
        <v>19589</v>
      </c>
      <c r="AN2629" s="6" t="s">
        <v>19692</v>
      </c>
      <c r="AO2629" s="6" t="s">
        <v>20072</v>
      </c>
      <c r="AP2629" s="6" t="s">
        <v>81</v>
      </c>
      <c r="AQ2629" s="6" t="s">
        <v>81</v>
      </c>
      <c r="AR2629" s="6" t="s">
        <v>81</v>
      </c>
      <c r="AS2629" s="6" t="s">
        <v>81</v>
      </c>
      <c r="AT2629" s="6" t="s">
        <v>81</v>
      </c>
      <c r="AU2629" s="6" t="s">
        <v>81</v>
      </c>
      <c r="AV2629" s="6" t="s">
        <v>81</v>
      </c>
      <c r="AW2629" s="6" t="s">
        <v>81</v>
      </c>
      <c r="AX2629" s="6" t="s">
        <v>81</v>
      </c>
      <c r="AY2629" s="6" t="s">
        <v>81</v>
      </c>
      <c r="AZ2629" s="6" t="s">
        <v>81</v>
      </c>
      <c r="BA2629" s="6" t="s">
        <v>23894</v>
      </c>
      <c r="BB2629" s="24" t="n">
        <v>206</v>
      </c>
      <c r="BC2629" s="26"/>
      <c r="BD2629" s="26"/>
      <c r="BE2629" s="26"/>
      <c r="BF2629" s="26"/>
      <c r="BG2629" s="26"/>
      <c r="BH2629" s="26"/>
      <c r="BI2629" s="26"/>
      <c r="BJ2629" s="26"/>
      <c r="BK2629" s="26"/>
      <c r="BL2629" s="26"/>
      <c r="BM2629" s="26"/>
      <c r="BN2629" s="26"/>
      <c r="BO2629" s="26"/>
      <c r="BP2629" s="16" t="n">
        <v>45590</v>
      </c>
      <c r="BQ2629" s="28" t="str">
        <f>HYPERLINK("https://organic.ams.usda.gov/Integrity/Certificate.aspx?cid=45&amp;nopid=9950008598")</f>
        <v>https://organic.ams.usda.gov/Integrity/Certificate.aspx?cid=45&amp;nopid=9950008598</v>
      </c>
    </row>
    <row r="2630">
      <c r="A2630" t="s">
        <v>3</v>
      </c>
      <c r="B2630" s="6" t="s">
        <v>8</v>
      </c>
      <c r="C2630" s="6" t="s">
        <v>55</v>
      </c>
      <c r="D2630" s="6" t="s">
        <v>101</v>
      </c>
      <c r="E2630" s="10" t="s">
        <v>2771</v>
      </c>
      <c r="F2630" s="6" t="s">
        <v>5475</v>
      </c>
      <c r="G2630" s="6" t="s">
        <v>81</v>
      </c>
      <c r="H2630" s="6" t="s">
        <v>6263</v>
      </c>
      <c r="I2630" s="6" t="s">
        <v>8713</v>
      </c>
      <c r="J2630" s="6" t="s">
        <v>10840</v>
      </c>
      <c r="K2630" s="6" t="s">
        <v>10886</v>
      </c>
      <c r="L2630" s="16" t="n">
        <v>36714</v>
      </c>
      <c r="M2630" s="16" t="n">
        <v>45748</v>
      </c>
      <c r="N2630" s="6" t="s">
        <v>10886</v>
      </c>
      <c r="O2630" s="16" t="n">
        <v>36714</v>
      </c>
      <c r="P2630" s="6" t="s">
        <v>12357</v>
      </c>
      <c r="Q2630" s="6" t="s">
        <v>81</v>
      </c>
      <c r="R2630" s="6" t="s">
        <v>6263</v>
      </c>
      <c r="S2630" s="6" t="s">
        <v>10886</v>
      </c>
      <c r="T2630" s="16" t="n">
        <v>36714</v>
      </c>
      <c r="U2630" s="6" t="s">
        <v>13930</v>
      </c>
      <c r="V2630" s="6" t="s">
        <v>81</v>
      </c>
      <c r="W2630" s="6" t="s">
        <v>6263</v>
      </c>
      <c r="X2630" s="6" t="s">
        <v>81</v>
      </c>
      <c r="Y2630" s="21" t="s">
        <v>81</v>
      </c>
      <c r="Z2630" s="6" t="s">
        <v>81</v>
      </c>
      <c r="AA2630" s="6" t="s">
        <v>81</v>
      </c>
      <c r="AB2630" s="6" t="s">
        <v>81</v>
      </c>
      <c r="AC2630" s="6" t="s">
        <v>81</v>
      </c>
      <c r="AD2630" s="21" t="s">
        <v>81</v>
      </c>
      <c r="AE2630" s="6" t="s">
        <v>81</v>
      </c>
      <c r="AF2630" s="6" t="s">
        <v>81</v>
      </c>
      <c r="AG2630" s="6" t="s">
        <v>81</v>
      </c>
      <c r="AH2630" s="6" t="s">
        <v>17163</v>
      </c>
      <c r="AI2630" s="6" t="s">
        <v>81</v>
      </c>
      <c r="AJ2630" s="6" t="s">
        <v>18341</v>
      </c>
      <c r="AK2630" s="6" t="s">
        <v>18377</v>
      </c>
      <c r="AL2630" s="6" t="s">
        <v>18444</v>
      </c>
      <c r="AM2630" s="6" t="s">
        <v>19590</v>
      </c>
      <c r="AN2630" s="6" t="s">
        <v>19654</v>
      </c>
      <c r="AO2630" s="6" t="s">
        <v>19824</v>
      </c>
      <c r="AP2630" s="6" t="s">
        <v>81</v>
      </c>
      <c r="AQ2630" s="6" t="s">
        <v>81</v>
      </c>
      <c r="AR2630" s="6" t="s">
        <v>81</v>
      </c>
      <c r="AS2630" s="6" t="s">
        <v>81</v>
      </c>
      <c r="AT2630" s="6" t="s">
        <v>81</v>
      </c>
      <c r="AU2630" s="6" t="s">
        <v>81</v>
      </c>
      <c r="AV2630" s="6" t="s">
        <v>81</v>
      </c>
      <c r="AW2630" s="6" t="s">
        <v>81</v>
      </c>
      <c r="AX2630" s="6" t="s">
        <v>81</v>
      </c>
      <c r="AY2630" s="6" t="s">
        <v>23528</v>
      </c>
      <c r="AZ2630" s="6" t="s">
        <v>81</v>
      </c>
      <c r="BA2630" s="6" t="s">
        <v>23819</v>
      </c>
      <c r="BB2630" s="24" t="n">
        <v>336</v>
      </c>
      <c r="BC2630" s="26"/>
      <c r="BD2630" s="26"/>
      <c r="BE2630" s="26"/>
      <c r="BF2630" s="26" t="s">
        <v>23900</v>
      </c>
      <c r="BG2630" s="26"/>
      <c r="BH2630" s="26"/>
      <c r="BI2630" s="26"/>
      <c r="BJ2630" s="26"/>
      <c r="BK2630" s="26"/>
      <c r="BL2630" s="26"/>
      <c r="BM2630" s="26"/>
      <c r="BN2630" s="26"/>
      <c r="BO2630" s="26"/>
      <c r="BP2630" s="16" t="n">
        <v>45555</v>
      </c>
      <c r="BQ2630" s="28" t="str">
        <f>HYPERLINK("https://organic.ams.usda.gov/Integrity/Certificate.aspx?cid=45&amp;nopid=9950000048")</f>
        <v>https://organic.ams.usda.gov/Integrity/Certificate.aspx?cid=45&amp;nopid=9950000048</v>
      </c>
    </row>
    <row r="2631">
      <c r="A2631" t="s">
        <v>3</v>
      </c>
      <c r="B2631" s="6" t="s">
        <v>22</v>
      </c>
      <c r="C2631" s="6" t="s">
        <v>69</v>
      </c>
      <c r="D2631" s="6" t="s">
        <v>115</v>
      </c>
      <c r="E2631" s="10" t="s">
        <v>2772</v>
      </c>
      <c r="F2631" s="6" t="s">
        <v>5476</v>
      </c>
      <c r="G2631" s="6" t="s">
        <v>81</v>
      </c>
      <c r="H2631" s="6" t="s">
        <v>8287</v>
      </c>
      <c r="I2631" s="6" t="s">
        <v>9618</v>
      </c>
      <c r="J2631" s="6" t="s">
        <v>10841</v>
      </c>
      <c r="K2631" s="6" t="s">
        <v>10886</v>
      </c>
      <c r="L2631" s="16" t="n">
        <v>42703</v>
      </c>
      <c r="M2631" s="16" t="n">
        <v>45966</v>
      </c>
      <c r="N2631" s="6" t="s">
        <v>10886</v>
      </c>
      <c r="O2631" s="16" t="n">
        <v>42703</v>
      </c>
      <c r="P2631" s="6" t="s">
        <v>12358</v>
      </c>
      <c r="Q2631" s="6" t="s">
        <v>81</v>
      </c>
      <c r="R2631" s="6" t="s">
        <v>81</v>
      </c>
      <c r="S2631" s="6" t="s">
        <v>81</v>
      </c>
      <c r="T2631" s="21" t="s">
        <v>81</v>
      </c>
      <c r="U2631" s="6" t="s">
        <v>81</v>
      </c>
      <c r="V2631" s="6" t="s">
        <v>81</v>
      </c>
      <c r="W2631" s="6" t="s">
        <v>81</v>
      </c>
      <c r="X2631" s="6" t="s">
        <v>81</v>
      </c>
      <c r="Y2631" s="21" t="s">
        <v>81</v>
      </c>
      <c r="Z2631" s="6" t="s">
        <v>81</v>
      </c>
      <c r="AA2631" s="6" t="s">
        <v>81</v>
      </c>
      <c r="AB2631" s="6" t="s">
        <v>81</v>
      </c>
      <c r="AC2631" s="6" t="s">
        <v>10886</v>
      </c>
      <c r="AD2631" s="16" t="n">
        <v>42703</v>
      </c>
      <c r="AE2631" s="6" t="s">
        <v>14486</v>
      </c>
      <c r="AF2631" s="6" t="s">
        <v>81</v>
      </c>
      <c r="AG2631" s="6" t="s">
        <v>81</v>
      </c>
      <c r="AH2631" s="6" t="s">
        <v>17164</v>
      </c>
      <c r="AI2631" s="6" t="s">
        <v>81</v>
      </c>
      <c r="AJ2631" s="6" t="s">
        <v>18342</v>
      </c>
      <c r="AK2631" s="6" t="s">
        <v>18442</v>
      </c>
      <c r="AL2631" s="6" t="s">
        <v>18447</v>
      </c>
      <c r="AM2631" s="6" t="s">
        <v>81</v>
      </c>
      <c r="AN2631" s="6" t="s">
        <v>81</v>
      </c>
      <c r="AO2631" s="6" t="s">
        <v>81</v>
      </c>
      <c r="AP2631" s="6" t="s">
        <v>20460</v>
      </c>
      <c r="AQ2631" s="6" t="s">
        <v>81</v>
      </c>
      <c r="AR2631" s="6" t="s">
        <v>20587</v>
      </c>
      <c r="AS2631" s="6" t="s">
        <v>18442</v>
      </c>
      <c r="AT2631" s="6" t="s">
        <v>18447</v>
      </c>
      <c r="AU2631" s="6" t="s">
        <v>81</v>
      </c>
      <c r="AV2631" s="6" t="s">
        <v>81</v>
      </c>
      <c r="AW2631" s="6" t="s">
        <v>81</v>
      </c>
      <c r="AX2631" s="6" t="s">
        <v>22476</v>
      </c>
      <c r="AY2631" s="6" t="s">
        <v>23529</v>
      </c>
      <c r="AZ2631" s="6" t="s">
        <v>81</v>
      </c>
      <c r="BA2631" s="6" t="s">
        <v>81</v>
      </c>
      <c r="BB2631" s="24" t="n">
        <v>377</v>
      </c>
      <c r="BC2631" s="26"/>
      <c r="BD2631" s="26"/>
      <c r="BE2631" s="26"/>
      <c r="BF2631" s="26"/>
      <c r="BG2631" s="26"/>
      <c r="BH2631" s="26"/>
      <c r="BI2631" s="26"/>
      <c r="BJ2631" s="26"/>
      <c r="BK2631" s="26"/>
      <c r="BL2631" s="26"/>
      <c r="BM2631" s="26"/>
      <c r="BN2631" s="26"/>
      <c r="BO2631" s="26"/>
      <c r="BP2631" s="16" t="n">
        <v>45730</v>
      </c>
      <c r="BQ2631" s="28" t="str">
        <f>HYPERLINK("https://organic.ams.usda.gov/Integrity/Certificate.aspx?cid=21&amp;nopid=1780848450")</f>
        <v>https://organic.ams.usda.gov/Integrity/Certificate.aspx?cid=21&amp;nopid=1780848450</v>
      </c>
    </row>
    <row r="2632">
      <c r="A2632" t="s">
        <v>3</v>
      </c>
      <c r="B2632" s="6" t="s">
        <v>8</v>
      </c>
      <c r="C2632" s="6" t="s">
        <v>55</v>
      </c>
      <c r="D2632" s="6" t="s">
        <v>101</v>
      </c>
      <c r="E2632" s="10" t="s">
        <v>2773</v>
      </c>
      <c r="F2632" s="6" t="s">
        <v>5477</v>
      </c>
      <c r="G2632" s="6" t="s">
        <v>81</v>
      </c>
      <c r="H2632" s="6" t="s">
        <v>8288</v>
      </c>
      <c r="I2632" s="6" t="s">
        <v>9619</v>
      </c>
      <c r="J2632" s="6" t="s">
        <v>10842</v>
      </c>
      <c r="K2632" s="6" t="s">
        <v>10886</v>
      </c>
      <c r="L2632" s="16" t="n">
        <v>40106</v>
      </c>
      <c r="M2632" s="16" t="n">
        <v>45383</v>
      </c>
      <c r="N2632" s="6" t="s">
        <v>10886</v>
      </c>
      <c r="O2632" s="16" t="n">
        <v>40106</v>
      </c>
      <c r="P2632" s="6" t="s">
        <v>12359</v>
      </c>
      <c r="Q2632" s="6" t="s">
        <v>81</v>
      </c>
      <c r="R2632" s="6" t="s">
        <v>8288</v>
      </c>
      <c r="S2632" s="6" t="s">
        <v>10886</v>
      </c>
      <c r="T2632" s="16" t="n">
        <v>40106</v>
      </c>
      <c r="U2632" s="6" t="s">
        <v>13221</v>
      </c>
      <c r="V2632" s="6" t="s">
        <v>81</v>
      </c>
      <c r="W2632" s="6" t="s">
        <v>8288</v>
      </c>
      <c r="X2632" s="6" t="s">
        <v>81</v>
      </c>
      <c r="Y2632" s="21" t="s">
        <v>81</v>
      </c>
      <c r="Z2632" s="6" t="s">
        <v>81</v>
      </c>
      <c r="AA2632" s="6" t="s">
        <v>81</v>
      </c>
      <c r="AB2632" s="6" t="s">
        <v>81</v>
      </c>
      <c r="AC2632" s="6" t="s">
        <v>81</v>
      </c>
      <c r="AD2632" s="21" t="s">
        <v>81</v>
      </c>
      <c r="AE2632" s="6" t="s">
        <v>81</v>
      </c>
      <c r="AF2632" s="6" t="s">
        <v>81</v>
      </c>
      <c r="AG2632" s="6" t="s">
        <v>81</v>
      </c>
      <c r="AH2632" s="6" t="s">
        <v>17165</v>
      </c>
      <c r="AI2632" s="6" t="s">
        <v>81</v>
      </c>
      <c r="AJ2632" s="6" t="s">
        <v>18343</v>
      </c>
      <c r="AK2632" s="6" t="s">
        <v>18377</v>
      </c>
      <c r="AL2632" s="6" t="s">
        <v>18444</v>
      </c>
      <c r="AM2632" s="6" t="s">
        <v>19591</v>
      </c>
      <c r="AN2632" s="6" t="s">
        <v>19673</v>
      </c>
      <c r="AO2632" s="6" t="s">
        <v>19891</v>
      </c>
      <c r="AP2632" s="6" t="s">
        <v>81</v>
      </c>
      <c r="AQ2632" s="6" t="s">
        <v>81</v>
      </c>
      <c r="AR2632" s="6" t="s">
        <v>81</v>
      </c>
      <c r="AS2632" s="6" t="s">
        <v>81</v>
      </c>
      <c r="AT2632" s="6" t="s">
        <v>81</v>
      </c>
      <c r="AU2632" s="6" t="s">
        <v>81</v>
      </c>
      <c r="AV2632" s="6" t="s">
        <v>81</v>
      </c>
      <c r="AW2632" s="6" t="s">
        <v>81</v>
      </c>
      <c r="AX2632" s="6" t="s">
        <v>81</v>
      </c>
      <c r="AY2632" s="6" t="s">
        <v>81</v>
      </c>
      <c r="AZ2632" s="6" t="s">
        <v>81</v>
      </c>
      <c r="BA2632" s="6" t="s">
        <v>23824</v>
      </c>
      <c r="BB2632" s="24" t="n">
        <v>441</v>
      </c>
      <c r="BC2632" s="26"/>
      <c r="BD2632" s="26"/>
      <c r="BE2632" s="26"/>
      <c r="BF2632" s="26" t="s">
        <v>23900</v>
      </c>
      <c r="BG2632" s="26"/>
      <c r="BH2632" s="26"/>
      <c r="BI2632" s="26"/>
      <c r="BJ2632" s="26"/>
      <c r="BK2632" s="26"/>
      <c r="BL2632" s="26"/>
      <c r="BM2632" s="26"/>
      <c r="BN2632" s="26"/>
      <c r="BO2632" s="26"/>
      <c r="BP2632" s="16" t="n">
        <v>45481</v>
      </c>
      <c r="BQ2632" s="28" t="str">
        <f>HYPERLINK("https://organic.ams.usda.gov/Integrity/Certificate.aspx?cid=45&amp;nopid=9950003593")</f>
        <v>https://organic.ams.usda.gov/Integrity/Certificate.aspx?cid=45&amp;nopid=9950003593</v>
      </c>
    </row>
    <row r="2633">
      <c r="A2633" t="s">
        <v>3</v>
      </c>
      <c r="B2633" s="6" t="s">
        <v>7</v>
      </c>
      <c r="C2633" s="6" t="s">
        <v>54</v>
      </c>
      <c r="D2633" s="6" t="s">
        <v>100</v>
      </c>
      <c r="E2633" s="10" t="s">
        <v>2774</v>
      </c>
      <c r="F2633" s="6" t="s">
        <v>5478</v>
      </c>
      <c r="G2633" s="6" t="s">
        <v>81</v>
      </c>
      <c r="H2633" s="6" t="s">
        <v>8289</v>
      </c>
      <c r="I2633" s="6" t="s">
        <v>9620</v>
      </c>
      <c r="J2633" s="6" t="s">
        <v>10843</v>
      </c>
      <c r="K2633" s="6" t="s">
        <v>10886</v>
      </c>
      <c r="L2633" s="16" t="n">
        <v>42998</v>
      </c>
      <c r="M2633" s="16" t="n">
        <v>45716</v>
      </c>
      <c r="N2633" s="6" t="s">
        <v>10886</v>
      </c>
      <c r="O2633" s="16" t="n">
        <v>42998</v>
      </c>
      <c r="P2633" s="6" t="s">
        <v>10910</v>
      </c>
      <c r="Q2633" s="6" t="s">
        <v>81</v>
      </c>
      <c r="R2633" s="6" t="s">
        <v>81</v>
      </c>
      <c r="S2633" s="6" t="s">
        <v>10886</v>
      </c>
      <c r="T2633" s="16" t="n">
        <v>43221</v>
      </c>
      <c r="U2633" s="6" t="s">
        <v>13931</v>
      </c>
      <c r="V2633" s="6" t="s">
        <v>81</v>
      </c>
      <c r="W2633" s="6" t="s">
        <v>81</v>
      </c>
      <c r="X2633" s="6" t="s">
        <v>81</v>
      </c>
      <c r="Y2633" s="21" t="s">
        <v>81</v>
      </c>
      <c r="Z2633" s="6" t="s">
        <v>81</v>
      </c>
      <c r="AA2633" s="6" t="s">
        <v>81</v>
      </c>
      <c r="AB2633" s="6" t="s">
        <v>81</v>
      </c>
      <c r="AC2633" s="6" t="s">
        <v>81</v>
      </c>
      <c r="AD2633" s="21" t="s">
        <v>81</v>
      </c>
      <c r="AE2633" s="6" t="s">
        <v>81</v>
      </c>
      <c r="AF2633" s="6" t="s">
        <v>81</v>
      </c>
      <c r="AG2633" s="6" t="s">
        <v>81</v>
      </c>
      <c r="AH2633" s="6" t="s">
        <v>17166</v>
      </c>
      <c r="AI2633" s="6" t="s">
        <v>81</v>
      </c>
      <c r="AJ2633" s="6" t="s">
        <v>18121</v>
      </c>
      <c r="AK2633" s="6" t="s">
        <v>17712</v>
      </c>
      <c r="AL2633" s="6" t="s">
        <v>18444</v>
      </c>
      <c r="AM2633" s="6" t="s">
        <v>19592</v>
      </c>
      <c r="AN2633" s="6" t="s">
        <v>19640</v>
      </c>
      <c r="AO2633" s="6" t="s">
        <v>20073</v>
      </c>
      <c r="AP2633" s="6" t="s">
        <v>17166</v>
      </c>
      <c r="AQ2633" s="6" t="s">
        <v>81</v>
      </c>
      <c r="AR2633" s="6" t="s">
        <v>18121</v>
      </c>
      <c r="AS2633" s="6" t="s">
        <v>17712</v>
      </c>
      <c r="AT2633" s="6" t="s">
        <v>18444</v>
      </c>
      <c r="AU2633" s="6" t="s">
        <v>19592</v>
      </c>
      <c r="AV2633" s="6" t="s">
        <v>81</v>
      </c>
      <c r="AW2633" s="6" t="s">
        <v>81</v>
      </c>
      <c r="AX2633" s="6" t="s">
        <v>22477</v>
      </c>
      <c r="AY2633" s="6" t="s">
        <v>23530</v>
      </c>
      <c r="AZ2633" s="6" t="s">
        <v>81</v>
      </c>
      <c r="BA2633" s="6" t="s">
        <v>81</v>
      </c>
      <c r="BB2633" s="24" t="n">
        <v>108</v>
      </c>
      <c r="BC2633" s="26"/>
      <c r="BD2633" s="26"/>
      <c r="BE2633" s="26"/>
      <c r="BF2633" s="26"/>
      <c r="BG2633" s="26"/>
      <c r="BH2633" s="26"/>
      <c r="BI2633" s="26"/>
      <c r="BJ2633" s="26"/>
      <c r="BK2633" s="26"/>
      <c r="BL2633" s="26"/>
      <c r="BM2633" s="26"/>
      <c r="BN2633" s="26"/>
      <c r="BO2633" s="26"/>
      <c r="BP2633" s="16" t="n">
        <v>45595</v>
      </c>
      <c r="BQ2633" s="28" t="str">
        <f>HYPERLINK("https://organic.ams.usda.gov/Integrity/Certificate.aspx?cid=57&amp;nopid=3252017112")</f>
        <v>https://organic.ams.usda.gov/Integrity/Certificate.aspx?cid=57&amp;nopid=3252017112</v>
      </c>
    </row>
    <row r="2634">
      <c r="A2634" t="s">
        <v>3</v>
      </c>
      <c r="B2634" s="6" t="s">
        <v>36</v>
      </c>
      <c r="C2634" s="6" t="s">
        <v>83</v>
      </c>
      <c r="D2634" s="6" t="s">
        <v>128</v>
      </c>
      <c r="E2634" s="10" t="s">
        <v>2775</v>
      </c>
      <c r="F2634" s="6" t="s">
        <v>5479</v>
      </c>
      <c r="G2634" s="6" t="s">
        <v>81</v>
      </c>
      <c r="H2634" s="6" t="s">
        <v>8290</v>
      </c>
      <c r="I2634" s="6" t="s">
        <v>8478</v>
      </c>
      <c r="J2634" s="6" t="s">
        <v>10844</v>
      </c>
      <c r="K2634" s="6" t="s">
        <v>10886</v>
      </c>
      <c r="L2634" s="16" t="n">
        <v>45048</v>
      </c>
      <c r="M2634" s="16" t="n">
        <v>45808</v>
      </c>
      <c r="N2634" s="6" t="s">
        <v>81</v>
      </c>
      <c r="O2634" s="21" t="s">
        <v>81</v>
      </c>
      <c r="P2634" s="6" t="s">
        <v>81</v>
      </c>
      <c r="Q2634" s="6" t="s">
        <v>81</v>
      </c>
      <c r="R2634" s="6" t="s">
        <v>81</v>
      </c>
      <c r="S2634" s="6" t="s">
        <v>81</v>
      </c>
      <c r="T2634" s="21" t="s">
        <v>81</v>
      </c>
      <c r="U2634" s="6" t="s">
        <v>81</v>
      </c>
      <c r="V2634" s="6" t="s">
        <v>81</v>
      </c>
      <c r="W2634" s="6" t="s">
        <v>81</v>
      </c>
      <c r="X2634" s="6" t="s">
        <v>81</v>
      </c>
      <c r="Y2634" s="21" t="s">
        <v>81</v>
      </c>
      <c r="Z2634" s="6" t="s">
        <v>81</v>
      </c>
      <c r="AA2634" s="6" t="s">
        <v>81</v>
      </c>
      <c r="AB2634" s="6" t="s">
        <v>81</v>
      </c>
      <c r="AC2634" s="6" t="s">
        <v>10886</v>
      </c>
      <c r="AD2634" s="16" t="n">
        <v>45048</v>
      </c>
      <c r="AE2634" s="6" t="s">
        <v>14487</v>
      </c>
      <c r="AF2634" s="6" t="s">
        <v>81</v>
      </c>
      <c r="AG2634" s="6" t="s">
        <v>5479</v>
      </c>
      <c r="AH2634" s="6" t="s">
        <v>17167</v>
      </c>
      <c r="AI2634" s="6" t="s">
        <v>81</v>
      </c>
      <c r="AJ2634" s="6" t="s">
        <v>18344</v>
      </c>
      <c r="AK2634" s="6" t="s">
        <v>18395</v>
      </c>
      <c r="AL2634" s="6" t="s">
        <v>18444</v>
      </c>
      <c r="AM2634" s="6" t="s">
        <v>19593</v>
      </c>
      <c r="AN2634" s="6" t="s">
        <v>19650</v>
      </c>
      <c r="AO2634" s="6" t="s">
        <v>20074</v>
      </c>
      <c r="AP2634" s="6" t="s">
        <v>81</v>
      </c>
      <c r="AQ2634" s="6" t="s">
        <v>81</v>
      </c>
      <c r="AR2634" s="6" t="s">
        <v>81</v>
      </c>
      <c r="AS2634" s="6" t="s">
        <v>81</v>
      </c>
      <c r="AT2634" s="6" t="s">
        <v>81</v>
      </c>
      <c r="AU2634" s="6" t="s">
        <v>81</v>
      </c>
      <c r="AV2634" s="6" t="s">
        <v>81</v>
      </c>
      <c r="AW2634" s="6" t="s">
        <v>81</v>
      </c>
      <c r="AX2634" s="6" t="s">
        <v>22478</v>
      </c>
      <c r="AY2634" s="6" t="s">
        <v>23531</v>
      </c>
      <c r="AZ2634" s="6" t="s">
        <v>81</v>
      </c>
      <c r="BA2634" s="6" t="s">
        <v>81</v>
      </c>
      <c r="BB2634" s="6" t="s">
        <v>81</v>
      </c>
      <c r="BC2634" s="26"/>
      <c r="BD2634" s="26"/>
      <c r="BE2634" s="26"/>
      <c r="BF2634" s="26"/>
      <c r="BG2634" s="26"/>
      <c r="BH2634" s="26"/>
      <c r="BI2634" s="26"/>
      <c r="BJ2634" s="26"/>
      <c r="BK2634" s="26"/>
      <c r="BL2634" s="26"/>
      <c r="BM2634" s="26"/>
      <c r="BN2634" s="26"/>
      <c r="BO2634" s="26"/>
      <c r="BP2634" s="16" t="n">
        <v>45434</v>
      </c>
      <c r="BQ2634" s="28" t="str">
        <f>HYPERLINK("https://organic.ams.usda.gov/Integrity/Certificate.aspx?cid=77&amp;nopid=3510904692")</f>
        <v>https://organic.ams.usda.gov/Integrity/Certificate.aspx?cid=77&amp;nopid=3510904692</v>
      </c>
    </row>
    <row r="2635">
      <c r="A2635" t="s">
        <v>3</v>
      </c>
      <c r="B2635" s="6" t="s">
        <v>16</v>
      </c>
      <c r="C2635" s="6" t="s">
        <v>63</v>
      </c>
      <c r="D2635" s="6" t="s">
        <v>109</v>
      </c>
      <c r="E2635" s="10" t="s">
        <v>2776</v>
      </c>
      <c r="F2635" s="6" t="s">
        <v>5480</v>
      </c>
      <c r="G2635" s="6" t="s">
        <v>5878</v>
      </c>
      <c r="H2635" s="6" t="s">
        <v>8291</v>
      </c>
      <c r="I2635" s="6" t="s">
        <v>8907</v>
      </c>
      <c r="J2635" s="6" t="s">
        <v>10845</v>
      </c>
      <c r="K2635" s="6" t="s">
        <v>10886</v>
      </c>
      <c r="L2635" s="16" t="n">
        <v>39128</v>
      </c>
      <c r="M2635" s="16" t="n">
        <v>45731</v>
      </c>
      <c r="N2635" s="6" t="s">
        <v>10886</v>
      </c>
      <c r="O2635" s="16" t="n">
        <v>39128</v>
      </c>
      <c r="P2635" s="6" t="s">
        <v>11564</v>
      </c>
      <c r="Q2635" s="6" t="s">
        <v>81</v>
      </c>
      <c r="R2635" s="6" t="s">
        <v>81</v>
      </c>
      <c r="S2635" s="6" t="s">
        <v>10886</v>
      </c>
      <c r="T2635" s="16" t="n">
        <v>39128</v>
      </c>
      <c r="U2635" s="6" t="s">
        <v>13281</v>
      </c>
      <c r="V2635" s="6" t="s">
        <v>81</v>
      </c>
      <c r="W2635" s="6" t="s">
        <v>81</v>
      </c>
      <c r="X2635" s="6" t="s">
        <v>81</v>
      </c>
      <c r="Y2635" s="21" t="s">
        <v>81</v>
      </c>
      <c r="Z2635" s="6" t="s">
        <v>81</v>
      </c>
      <c r="AA2635" s="6" t="s">
        <v>81</v>
      </c>
      <c r="AB2635" s="6" t="s">
        <v>81</v>
      </c>
      <c r="AC2635" s="6" t="s">
        <v>10886</v>
      </c>
      <c r="AD2635" s="16" t="n">
        <v>39128</v>
      </c>
      <c r="AE2635" s="6" t="s">
        <v>81</v>
      </c>
      <c r="AF2635" s="6" t="s">
        <v>81</v>
      </c>
      <c r="AG2635" s="6" t="s">
        <v>81</v>
      </c>
      <c r="AH2635" s="6" t="s">
        <v>17168</v>
      </c>
      <c r="AI2635" s="6" t="s">
        <v>81</v>
      </c>
      <c r="AJ2635" s="6" t="s">
        <v>18345</v>
      </c>
      <c r="AK2635" s="6" t="s">
        <v>18383</v>
      </c>
      <c r="AL2635" s="6" t="s">
        <v>18444</v>
      </c>
      <c r="AM2635" s="6" t="s">
        <v>19594</v>
      </c>
      <c r="AN2635" s="6" t="s">
        <v>19651</v>
      </c>
      <c r="AO2635" s="6" t="s">
        <v>19721</v>
      </c>
      <c r="AP2635" s="6" t="s">
        <v>81</v>
      </c>
      <c r="AQ2635" s="6" t="s">
        <v>81</v>
      </c>
      <c r="AR2635" s="6" t="s">
        <v>81</v>
      </c>
      <c r="AS2635" s="6" t="s">
        <v>81</v>
      </c>
      <c r="AT2635" s="6" t="s">
        <v>81</v>
      </c>
      <c r="AU2635" s="6" t="s">
        <v>81</v>
      </c>
      <c r="AV2635" s="6" t="s">
        <v>81</v>
      </c>
      <c r="AW2635" s="6" t="s">
        <v>81</v>
      </c>
      <c r="AX2635" s="6" t="s">
        <v>22479</v>
      </c>
      <c r="AY2635" s="6" t="s">
        <v>81</v>
      </c>
      <c r="AZ2635" s="6" t="s">
        <v>23805</v>
      </c>
      <c r="BA2635" s="6" t="s">
        <v>81</v>
      </c>
      <c r="BB2635" s="24" t="n">
        <v>236</v>
      </c>
      <c r="BC2635" s="26"/>
      <c r="BD2635" s="26"/>
      <c r="BE2635" s="26"/>
      <c r="BF2635" s="26"/>
      <c r="BG2635" s="26"/>
      <c r="BH2635" s="26"/>
      <c r="BI2635" s="26"/>
      <c r="BJ2635" s="26"/>
      <c r="BK2635" s="26"/>
      <c r="BL2635" s="26"/>
      <c r="BM2635" s="26"/>
      <c r="BN2635" s="26"/>
      <c r="BO2635" s="26"/>
      <c r="BP2635" s="16" t="n">
        <v>45701</v>
      </c>
      <c r="BQ2635" s="28" t="str">
        <f>HYPERLINK("https://organic.ams.usda.gov/Integrity/Certificate.aspx?cid=81&amp;nopid=4210007010")</f>
        <v>https://organic.ams.usda.gov/Integrity/Certificate.aspx?cid=81&amp;nopid=4210007010</v>
      </c>
    </row>
    <row r="2636">
      <c r="A2636" t="s">
        <v>3</v>
      </c>
      <c r="B2636" s="6" t="s">
        <v>8</v>
      </c>
      <c r="C2636" s="6" t="s">
        <v>55</v>
      </c>
      <c r="D2636" s="6" t="s">
        <v>101</v>
      </c>
      <c r="E2636" s="10" t="s">
        <v>2777</v>
      </c>
      <c r="F2636" s="6" t="s">
        <v>5481</v>
      </c>
      <c r="G2636" s="6" t="s">
        <v>81</v>
      </c>
      <c r="H2636" s="6" t="s">
        <v>6539</v>
      </c>
      <c r="I2636" s="6" t="s">
        <v>8569</v>
      </c>
      <c r="J2636" s="6" t="s">
        <v>10846</v>
      </c>
      <c r="K2636" s="6" t="s">
        <v>10886</v>
      </c>
      <c r="L2636" s="16" t="n">
        <v>37483</v>
      </c>
      <c r="M2636" s="16" t="n">
        <v>45383</v>
      </c>
      <c r="N2636" s="6" t="s">
        <v>10886</v>
      </c>
      <c r="O2636" s="16" t="n">
        <v>37483</v>
      </c>
      <c r="P2636" s="6" t="s">
        <v>12360</v>
      </c>
      <c r="Q2636" s="6" t="s">
        <v>81</v>
      </c>
      <c r="R2636" s="6" t="s">
        <v>6539</v>
      </c>
      <c r="S2636" s="6" t="s">
        <v>10886</v>
      </c>
      <c r="T2636" s="16" t="n">
        <v>37483</v>
      </c>
      <c r="U2636" s="6" t="s">
        <v>13932</v>
      </c>
      <c r="V2636" s="6" t="s">
        <v>81</v>
      </c>
      <c r="W2636" s="6" t="s">
        <v>6539</v>
      </c>
      <c r="X2636" s="6" t="s">
        <v>81</v>
      </c>
      <c r="Y2636" s="21" t="s">
        <v>81</v>
      </c>
      <c r="Z2636" s="6" t="s">
        <v>81</v>
      </c>
      <c r="AA2636" s="6" t="s">
        <v>81</v>
      </c>
      <c r="AB2636" s="6" t="s">
        <v>81</v>
      </c>
      <c r="AC2636" s="6" t="s">
        <v>81</v>
      </c>
      <c r="AD2636" s="21" t="s">
        <v>81</v>
      </c>
      <c r="AE2636" s="6" t="s">
        <v>81</v>
      </c>
      <c r="AF2636" s="6" t="s">
        <v>81</v>
      </c>
      <c r="AG2636" s="6" t="s">
        <v>81</v>
      </c>
      <c r="AH2636" s="6" t="s">
        <v>17169</v>
      </c>
      <c r="AI2636" s="6" t="s">
        <v>81</v>
      </c>
      <c r="AJ2636" s="6" t="s">
        <v>17629</v>
      </c>
      <c r="AK2636" s="6" t="s">
        <v>18377</v>
      </c>
      <c r="AL2636" s="6" t="s">
        <v>18444</v>
      </c>
      <c r="AM2636" s="6" t="s">
        <v>18797</v>
      </c>
      <c r="AN2636" s="6" t="s">
        <v>19652</v>
      </c>
      <c r="AO2636" s="6" t="s">
        <v>19772</v>
      </c>
      <c r="AP2636" s="6" t="s">
        <v>81</v>
      </c>
      <c r="AQ2636" s="6" t="s">
        <v>81</v>
      </c>
      <c r="AR2636" s="6" t="s">
        <v>81</v>
      </c>
      <c r="AS2636" s="6" t="s">
        <v>81</v>
      </c>
      <c r="AT2636" s="6" t="s">
        <v>81</v>
      </c>
      <c r="AU2636" s="6" t="s">
        <v>81</v>
      </c>
      <c r="AV2636" s="6" t="s">
        <v>81</v>
      </c>
      <c r="AW2636" s="6" t="s">
        <v>81</v>
      </c>
      <c r="AX2636" s="6" t="s">
        <v>81</v>
      </c>
      <c r="AY2636" s="6" t="s">
        <v>23532</v>
      </c>
      <c r="AZ2636" s="6" t="s">
        <v>81</v>
      </c>
      <c r="BA2636" s="6" t="s">
        <v>23824</v>
      </c>
      <c r="BB2636" s="24" t="n">
        <v>459</v>
      </c>
      <c r="BC2636" s="26"/>
      <c r="BD2636" s="26"/>
      <c r="BE2636" s="26"/>
      <c r="BF2636" s="26" t="s">
        <v>23900</v>
      </c>
      <c r="BG2636" s="26"/>
      <c r="BH2636" s="26"/>
      <c r="BI2636" s="26"/>
      <c r="BJ2636" s="26"/>
      <c r="BK2636" s="26"/>
      <c r="BL2636" s="26"/>
      <c r="BM2636" s="26"/>
      <c r="BN2636" s="26"/>
      <c r="BO2636" s="26"/>
      <c r="BP2636" s="16" t="n">
        <v>45516</v>
      </c>
      <c r="BQ2636" s="28" t="str">
        <f>HYPERLINK("https://organic.ams.usda.gov/Integrity/Certificate.aspx?cid=45&amp;nopid=9950001026")</f>
        <v>https://organic.ams.usda.gov/Integrity/Certificate.aspx?cid=45&amp;nopid=9950001026</v>
      </c>
    </row>
    <row r="2637">
      <c r="A2637" t="s">
        <v>3</v>
      </c>
      <c r="B2637" s="6" t="s">
        <v>7</v>
      </c>
      <c r="C2637" s="6" t="s">
        <v>54</v>
      </c>
      <c r="D2637" s="6" t="s">
        <v>100</v>
      </c>
      <c r="E2637" s="10" t="s">
        <v>2778</v>
      </c>
      <c r="F2637" s="6" t="s">
        <v>5482</v>
      </c>
      <c r="G2637" s="6" t="s">
        <v>81</v>
      </c>
      <c r="H2637" s="6" t="s">
        <v>8292</v>
      </c>
      <c r="I2637" s="6" t="s">
        <v>9621</v>
      </c>
      <c r="J2637" s="6" t="s">
        <v>9669</v>
      </c>
      <c r="K2637" s="6" t="s">
        <v>10886</v>
      </c>
      <c r="L2637" s="16" t="n">
        <v>45463</v>
      </c>
      <c r="M2637" s="16" t="n">
        <v>45716</v>
      </c>
      <c r="N2637" s="6" t="s">
        <v>10886</v>
      </c>
      <c r="O2637" s="16" t="n">
        <v>45463</v>
      </c>
      <c r="P2637" s="6" t="s">
        <v>10925</v>
      </c>
      <c r="Q2637" s="6" t="s">
        <v>81</v>
      </c>
      <c r="R2637" s="6" t="s">
        <v>81</v>
      </c>
      <c r="S2637" s="6" t="s">
        <v>10886</v>
      </c>
      <c r="T2637" s="16" t="n">
        <v>45503</v>
      </c>
      <c r="U2637" s="6" t="s">
        <v>13169</v>
      </c>
      <c r="V2637" s="6" t="s">
        <v>81</v>
      </c>
      <c r="W2637" s="6" t="s">
        <v>81</v>
      </c>
      <c r="X2637" s="6" t="s">
        <v>81</v>
      </c>
      <c r="Y2637" s="21" t="s">
        <v>81</v>
      </c>
      <c r="Z2637" s="6" t="s">
        <v>81</v>
      </c>
      <c r="AA2637" s="6" t="s">
        <v>81</v>
      </c>
      <c r="AB2637" s="6" t="s">
        <v>81</v>
      </c>
      <c r="AC2637" s="6" t="s">
        <v>81</v>
      </c>
      <c r="AD2637" s="21" t="s">
        <v>81</v>
      </c>
      <c r="AE2637" s="6" t="s">
        <v>81</v>
      </c>
      <c r="AF2637" s="6" t="s">
        <v>81</v>
      </c>
      <c r="AG2637" s="6" t="s">
        <v>81</v>
      </c>
      <c r="AH2637" s="6" t="s">
        <v>17170</v>
      </c>
      <c r="AI2637" s="6" t="s">
        <v>81</v>
      </c>
      <c r="AJ2637" s="6" t="s">
        <v>17657</v>
      </c>
      <c r="AK2637" s="6" t="s">
        <v>17712</v>
      </c>
      <c r="AL2637" s="6" t="s">
        <v>18444</v>
      </c>
      <c r="AM2637" s="6" t="s">
        <v>18825</v>
      </c>
      <c r="AN2637" s="6" t="s">
        <v>81</v>
      </c>
      <c r="AO2637" s="6" t="s">
        <v>81</v>
      </c>
      <c r="AP2637" s="6" t="s">
        <v>17170</v>
      </c>
      <c r="AQ2637" s="6" t="s">
        <v>81</v>
      </c>
      <c r="AR2637" s="6" t="s">
        <v>17657</v>
      </c>
      <c r="AS2637" s="6" t="s">
        <v>17712</v>
      </c>
      <c r="AT2637" s="6" t="s">
        <v>18444</v>
      </c>
      <c r="AU2637" s="6" t="s">
        <v>18825</v>
      </c>
      <c r="AV2637" s="6" t="s">
        <v>81</v>
      </c>
      <c r="AW2637" s="6" t="s">
        <v>81</v>
      </c>
      <c r="AX2637" s="6" t="s">
        <v>81</v>
      </c>
      <c r="AY2637" s="6" t="s">
        <v>81</v>
      </c>
      <c r="AZ2637" s="6" t="s">
        <v>81</v>
      </c>
      <c r="BA2637" s="6" t="s">
        <v>81</v>
      </c>
      <c r="BB2637" s="24" t="n">
        <v>42</v>
      </c>
      <c r="BC2637" s="26"/>
      <c r="BD2637" s="26"/>
      <c r="BE2637" s="26"/>
      <c r="BF2637" s="26" t="s">
        <v>23900</v>
      </c>
      <c r="BG2637" s="26"/>
      <c r="BH2637" s="26"/>
      <c r="BI2637" s="26"/>
      <c r="BJ2637" s="26"/>
      <c r="BK2637" s="26"/>
      <c r="BL2637" s="26"/>
      <c r="BM2637" s="26"/>
      <c r="BN2637" s="26"/>
      <c r="BO2637" s="26"/>
      <c r="BP2637" s="16" t="n">
        <v>45646</v>
      </c>
      <c r="BQ2637" s="28" t="str">
        <f>HYPERLINK("https://organic.ams.usda.gov/Integrity/Certificate.aspx?cid=57&amp;nopid=3252022057")</f>
        <v>https://organic.ams.usda.gov/Integrity/Certificate.aspx?cid=57&amp;nopid=3252022057</v>
      </c>
    </row>
    <row r="2638">
      <c r="A2638" t="s">
        <v>3</v>
      </c>
      <c r="B2638" s="6" t="s">
        <v>7</v>
      </c>
      <c r="C2638" s="6" t="s">
        <v>54</v>
      </c>
      <c r="D2638" s="6" t="s">
        <v>100</v>
      </c>
      <c r="E2638" s="10" t="s">
        <v>2779</v>
      </c>
      <c r="F2638" s="6" t="s">
        <v>5483</v>
      </c>
      <c r="G2638" s="6" t="s">
        <v>81</v>
      </c>
      <c r="H2638" s="6" t="s">
        <v>8293</v>
      </c>
      <c r="I2638" s="6" t="s">
        <v>9621</v>
      </c>
      <c r="J2638" s="6" t="s">
        <v>9142</v>
      </c>
      <c r="K2638" s="6" t="s">
        <v>10886</v>
      </c>
      <c r="L2638" s="16" t="n">
        <v>45621</v>
      </c>
      <c r="M2638" s="16" t="n">
        <v>45716</v>
      </c>
      <c r="N2638" s="6" t="s">
        <v>10886</v>
      </c>
      <c r="O2638" s="16" t="n">
        <v>45621</v>
      </c>
      <c r="P2638" s="6" t="s">
        <v>11015</v>
      </c>
      <c r="Q2638" s="6" t="s">
        <v>81</v>
      </c>
      <c r="R2638" s="6" t="s">
        <v>81</v>
      </c>
      <c r="S2638" s="6" t="s">
        <v>10886</v>
      </c>
      <c r="T2638" s="16" t="n">
        <v>45621</v>
      </c>
      <c r="U2638" s="6" t="s">
        <v>13169</v>
      </c>
      <c r="V2638" s="6" t="s">
        <v>81</v>
      </c>
      <c r="W2638" s="6" t="s">
        <v>81</v>
      </c>
      <c r="X2638" s="6" t="s">
        <v>81</v>
      </c>
      <c r="Y2638" s="21" t="s">
        <v>81</v>
      </c>
      <c r="Z2638" s="6" t="s">
        <v>81</v>
      </c>
      <c r="AA2638" s="6" t="s">
        <v>81</v>
      </c>
      <c r="AB2638" s="6" t="s">
        <v>81</v>
      </c>
      <c r="AC2638" s="6" t="s">
        <v>81</v>
      </c>
      <c r="AD2638" s="21" t="s">
        <v>81</v>
      </c>
      <c r="AE2638" s="6" t="s">
        <v>81</v>
      </c>
      <c r="AF2638" s="6" t="s">
        <v>81</v>
      </c>
      <c r="AG2638" s="6" t="s">
        <v>81</v>
      </c>
      <c r="AH2638" s="6" t="s">
        <v>17171</v>
      </c>
      <c r="AI2638" s="6" t="s">
        <v>81</v>
      </c>
      <c r="AJ2638" s="6" t="s">
        <v>17410</v>
      </c>
      <c r="AK2638" s="6" t="s">
        <v>17712</v>
      </c>
      <c r="AL2638" s="6" t="s">
        <v>18444</v>
      </c>
      <c r="AM2638" s="6" t="s">
        <v>18566</v>
      </c>
      <c r="AN2638" s="6" t="s">
        <v>81</v>
      </c>
      <c r="AO2638" s="6" t="s">
        <v>81</v>
      </c>
      <c r="AP2638" s="6" t="s">
        <v>17171</v>
      </c>
      <c r="AQ2638" s="6" t="s">
        <v>81</v>
      </c>
      <c r="AR2638" s="6" t="s">
        <v>17410</v>
      </c>
      <c r="AS2638" s="6" t="s">
        <v>17712</v>
      </c>
      <c r="AT2638" s="6" t="s">
        <v>18444</v>
      </c>
      <c r="AU2638" s="6" t="s">
        <v>18566</v>
      </c>
      <c r="AV2638" s="6" t="s">
        <v>81</v>
      </c>
      <c r="AW2638" s="6" t="s">
        <v>81</v>
      </c>
      <c r="AX2638" s="6" t="s">
        <v>81</v>
      </c>
      <c r="AY2638" s="6" t="s">
        <v>81</v>
      </c>
      <c r="AZ2638" s="6" t="s">
        <v>81</v>
      </c>
      <c r="BA2638" s="6" t="s">
        <v>81</v>
      </c>
      <c r="BB2638" s="24" t="n">
        <v>68</v>
      </c>
      <c r="BC2638" s="26"/>
      <c r="BD2638" s="26"/>
      <c r="BE2638" s="26"/>
      <c r="BF2638" s="26" t="s">
        <v>23900</v>
      </c>
      <c r="BG2638" s="26"/>
      <c r="BH2638" s="26"/>
      <c r="BI2638" s="26"/>
      <c r="BJ2638" s="26"/>
      <c r="BK2638" s="26"/>
      <c r="BL2638" s="26"/>
      <c r="BM2638" s="26"/>
      <c r="BN2638" s="26"/>
      <c r="BO2638" s="26"/>
      <c r="BP2638" s="16" t="n">
        <v>45623</v>
      </c>
      <c r="BQ2638" s="28" t="str">
        <f>HYPERLINK("https://organic.ams.usda.gov/Integrity/Certificate.aspx?cid=57&amp;nopid=3252024022")</f>
        <v>https://organic.ams.usda.gov/Integrity/Certificate.aspx?cid=57&amp;nopid=3252024022</v>
      </c>
    </row>
    <row r="2639">
      <c r="A2639" t="s">
        <v>3</v>
      </c>
      <c r="B2639" s="6" t="s">
        <v>8</v>
      </c>
      <c r="C2639" s="6" t="s">
        <v>55</v>
      </c>
      <c r="D2639" s="6" t="s">
        <v>101</v>
      </c>
      <c r="E2639" s="10" t="s">
        <v>2780</v>
      </c>
      <c r="F2639" s="6" t="s">
        <v>5484</v>
      </c>
      <c r="G2639" s="6" t="s">
        <v>81</v>
      </c>
      <c r="H2639" s="6" t="s">
        <v>8294</v>
      </c>
      <c r="I2639" s="6" t="s">
        <v>8513</v>
      </c>
      <c r="J2639" s="6" t="s">
        <v>9666</v>
      </c>
      <c r="K2639" s="6" t="s">
        <v>10886</v>
      </c>
      <c r="L2639" s="16" t="n">
        <v>42612</v>
      </c>
      <c r="M2639" s="16" t="n">
        <v>45748</v>
      </c>
      <c r="N2639" s="6" t="s">
        <v>10886</v>
      </c>
      <c r="O2639" s="16" t="n">
        <v>42612</v>
      </c>
      <c r="P2639" s="6" t="s">
        <v>12361</v>
      </c>
      <c r="Q2639" s="6" t="s">
        <v>81</v>
      </c>
      <c r="R2639" s="6" t="s">
        <v>8294</v>
      </c>
      <c r="S2639" s="6" t="s">
        <v>10886</v>
      </c>
      <c r="T2639" s="16" t="n">
        <v>42612</v>
      </c>
      <c r="U2639" s="6" t="s">
        <v>13933</v>
      </c>
      <c r="V2639" s="6" t="s">
        <v>81</v>
      </c>
      <c r="W2639" s="6" t="s">
        <v>8294</v>
      </c>
      <c r="X2639" s="6" t="s">
        <v>81</v>
      </c>
      <c r="Y2639" s="21" t="s">
        <v>81</v>
      </c>
      <c r="Z2639" s="6" t="s">
        <v>81</v>
      </c>
      <c r="AA2639" s="6" t="s">
        <v>81</v>
      </c>
      <c r="AB2639" s="6" t="s">
        <v>81</v>
      </c>
      <c r="AC2639" s="6" t="s">
        <v>81</v>
      </c>
      <c r="AD2639" s="21" t="s">
        <v>81</v>
      </c>
      <c r="AE2639" s="6" t="s">
        <v>81</v>
      </c>
      <c r="AF2639" s="6" t="s">
        <v>81</v>
      </c>
      <c r="AG2639" s="6" t="s">
        <v>81</v>
      </c>
      <c r="AH2639" s="6" t="s">
        <v>17172</v>
      </c>
      <c r="AI2639" s="6" t="s">
        <v>81</v>
      </c>
      <c r="AJ2639" s="6" t="s">
        <v>17324</v>
      </c>
      <c r="AK2639" s="6" t="s">
        <v>18378</v>
      </c>
      <c r="AL2639" s="6" t="s">
        <v>18444</v>
      </c>
      <c r="AM2639" s="6" t="s">
        <v>18476</v>
      </c>
      <c r="AN2639" s="6" t="s">
        <v>19647</v>
      </c>
      <c r="AO2639" s="6" t="s">
        <v>19734</v>
      </c>
      <c r="AP2639" s="6" t="s">
        <v>81</v>
      </c>
      <c r="AQ2639" s="6" t="s">
        <v>81</v>
      </c>
      <c r="AR2639" s="6" t="s">
        <v>81</v>
      </c>
      <c r="AS2639" s="6" t="s">
        <v>81</v>
      </c>
      <c r="AT2639" s="6" t="s">
        <v>81</v>
      </c>
      <c r="AU2639" s="6" t="s">
        <v>81</v>
      </c>
      <c r="AV2639" s="6" t="s">
        <v>81</v>
      </c>
      <c r="AW2639" s="6" t="s">
        <v>81</v>
      </c>
      <c r="AX2639" s="6" t="s">
        <v>81</v>
      </c>
      <c r="AY2639" s="6" t="s">
        <v>81</v>
      </c>
      <c r="AZ2639" s="6" t="s">
        <v>81</v>
      </c>
      <c r="BA2639" s="6" t="s">
        <v>23824</v>
      </c>
      <c r="BB2639" s="24" t="n">
        <v>125</v>
      </c>
      <c r="BC2639" s="26"/>
      <c r="BD2639" s="26"/>
      <c r="BE2639" s="26"/>
      <c r="BF2639" s="26" t="s">
        <v>23900</v>
      </c>
      <c r="BG2639" s="26"/>
      <c r="BH2639" s="26"/>
      <c r="BI2639" s="26"/>
      <c r="BJ2639" s="26"/>
      <c r="BK2639" s="26"/>
      <c r="BL2639" s="26"/>
      <c r="BM2639" s="26"/>
      <c r="BN2639" s="26"/>
      <c r="BO2639" s="26"/>
      <c r="BP2639" s="16" t="n">
        <v>45576</v>
      </c>
      <c r="BQ2639" s="28" t="str">
        <f>HYPERLINK("https://organic.ams.usda.gov/Integrity/Certificate.aspx?cid=45&amp;nopid=9950006106")</f>
        <v>https://organic.ams.usda.gov/Integrity/Certificate.aspx?cid=45&amp;nopid=9950006106</v>
      </c>
    </row>
    <row r="2640">
      <c r="A2640" t="s">
        <v>3</v>
      </c>
      <c r="B2640" s="6" t="s">
        <v>8</v>
      </c>
      <c r="C2640" s="6" t="s">
        <v>55</v>
      </c>
      <c r="D2640" s="6" t="s">
        <v>101</v>
      </c>
      <c r="E2640" s="10" t="s">
        <v>2781</v>
      </c>
      <c r="F2640" s="6" t="s">
        <v>5485</v>
      </c>
      <c r="G2640" s="6" t="s">
        <v>5879</v>
      </c>
      <c r="H2640" s="6" t="s">
        <v>8295</v>
      </c>
      <c r="I2640" s="6" t="s">
        <v>8586</v>
      </c>
      <c r="J2640" s="6" t="s">
        <v>8414</v>
      </c>
      <c r="K2640" s="6" t="s">
        <v>10886</v>
      </c>
      <c r="L2640" s="16" t="n">
        <v>41542</v>
      </c>
      <c r="M2640" s="18" t="s">
        <v>81</v>
      </c>
      <c r="N2640" s="6" t="s">
        <v>10886</v>
      </c>
      <c r="O2640" s="16" t="n">
        <v>41542</v>
      </c>
      <c r="P2640" s="6" t="s">
        <v>12362</v>
      </c>
      <c r="Q2640" s="6" t="s">
        <v>81</v>
      </c>
      <c r="R2640" s="6" t="s">
        <v>81</v>
      </c>
      <c r="S2640" s="6" t="s">
        <v>10886</v>
      </c>
      <c r="T2640" s="16" t="n">
        <v>41542</v>
      </c>
      <c r="U2640" s="6" t="s">
        <v>13229</v>
      </c>
      <c r="V2640" s="6" t="s">
        <v>81</v>
      </c>
      <c r="W2640" s="6" t="s">
        <v>81</v>
      </c>
      <c r="X2640" s="6" t="s">
        <v>81</v>
      </c>
      <c r="Y2640" s="21" t="s">
        <v>81</v>
      </c>
      <c r="Z2640" s="6" t="s">
        <v>81</v>
      </c>
      <c r="AA2640" s="6" t="s">
        <v>81</v>
      </c>
      <c r="AB2640" s="6" t="s">
        <v>81</v>
      </c>
      <c r="AC2640" s="6" t="s">
        <v>81</v>
      </c>
      <c r="AD2640" s="21" t="s">
        <v>81</v>
      </c>
      <c r="AE2640" s="6" t="s">
        <v>81</v>
      </c>
      <c r="AF2640" s="6" t="s">
        <v>81</v>
      </c>
      <c r="AG2640" s="6" t="s">
        <v>81</v>
      </c>
      <c r="AH2640" s="6" t="s">
        <v>17173</v>
      </c>
      <c r="AI2640" s="6" t="s">
        <v>81</v>
      </c>
      <c r="AJ2640" s="6" t="s">
        <v>18346</v>
      </c>
      <c r="AK2640" s="6" t="s">
        <v>18381</v>
      </c>
      <c r="AL2640" s="6" t="s">
        <v>18444</v>
      </c>
      <c r="AM2640" s="6" t="s">
        <v>19595</v>
      </c>
      <c r="AN2640" s="6" t="s">
        <v>6842</v>
      </c>
      <c r="AO2640" s="6" t="s">
        <v>20075</v>
      </c>
      <c r="AP2640" s="6" t="s">
        <v>81</v>
      </c>
      <c r="AQ2640" s="6" t="s">
        <v>81</v>
      </c>
      <c r="AR2640" s="6" t="s">
        <v>81</v>
      </c>
      <c r="AS2640" s="6" t="s">
        <v>81</v>
      </c>
      <c r="AT2640" s="6" t="s">
        <v>81</v>
      </c>
      <c r="AU2640" s="6" t="s">
        <v>81</v>
      </c>
      <c r="AV2640" s="6" t="s">
        <v>81</v>
      </c>
      <c r="AW2640" s="6" t="s">
        <v>81</v>
      </c>
      <c r="AX2640" s="6" t="s">
        <v>81</v>
      </c>
      <c r="AY2640" s="6" t="s">
        <v>81</v>
      </c>
      <c r="AZ2640" s="6" t="s">
        <v>23806</v>
      </c>
      <c r="BA2640" s="6" t="s">
        <v>81</v>
      </c>
      <c r="BB2640" s="24" t="n">
        <v>418</v>
      </c>
      <c r="BC2640" s="26"/>
      <c r="BD2640" s="26"/>
      <c r="BE2640" s="26"/>
      <c r="BF2640" s="26"/>
      <c r="BG2640" s="26"/>
      <c r="BH2640" s="26"/>
      <c r="BI2640" s="26"/>
      <c r="BJ2640" s="26"/>
      <c r="BK2640" s="26"/>
      <c r="BL2640" s="26"/>
      <c r="BM2640" s="26"/>
      <c r="BN2640" s="26"/>
      <c r="BO2640" s="26"/>
      <c r="BP2640" s="16" t="n">
        <v>45292</v>
      </c>
      <c r="BQ2640" s="28" t="str">
        <f>HYPERLINK("https://organic.ams.usda.gov/Integrity/Certificate.aspx?cid=45&amp;nopid=9950005118")</f>
        <v>https://organic.ams.usda.gov/Integrity/Certificate.aspx?cid=45&amp;nopid=9950005118</v>
      </c>
    </row>
    <row r="2641">
      <c r="A2641" t="s">
        <v>3</v>
      </c>
      <c r="B2641" s="6" t="s">
        <v>11</v>
      </c>
      <c r="C2641" s="6" t="s">
        <v>58</v>
      </c>
      <c r="D2641" s="6" t="s">
        <v>104</v>
      </c>
      <c r="E2641" s="10" t="s">
        <v>2782</v>
      </c>
      <c r="F2641" s="6" t="s">
        <v>5486</v>
      </c>
      <c r="G2641" s="6" t="s">
        <v>5880</v>
      </c>
      <c r="H2641" s="6" t="s">
        <v>81</v>
      </c>
      <c r="I2641" s="6" t="s">
        <v>9622</v>
      </c>
      <c r="J2641" s="6" t="s">
        <v>9665</v>
      </c>
      <c r="K2641" s="6" t="s">
        <v>10886</v>
      </c>
      <c r="L2641" s="16" t="n">
        <v>43466</v>
      </c>
      <c r="M2641" s="16" t="n">
        <v>45383</v>
      </c>
      <c r="N2641" s="6" t="s">
        <v>10886</v>
      </c>
      <c r="O2641" s="16" t="n">
        <v>43466</v>
      </c>
      <c r="P2641" s="6" t="s">
        <v>12363</v>
      </c>
      <c r="Q2641" s="6" t="s">
        <v>81</v>
      </c>
      <c r="R2641" s="6" t="s">
        <v>81</v>
      </c>
      <c r="S2641" s="6" t="s">
        <v>10886</v>
      </c>
      <c r="T2641" s="16" t="n">
        <v>43466</v>
      </c>
      <c r="U2641" s="6" t="s">
        <v>13388</v>
      </c>
      <c r="V2641" s="6" t="s">
        <v>81</v>
      </c>
      <c r="W2641" s="6" t="s">
        <v>81</v>
      </c>
      <c r="X2641" s="6" t="s">
        <v>81</v>
      </c>
      <c r="Y2641" s="21" t="s">
        <v>81</v>
      </c>
      <c r="Z2641" s="6" t="s">
        <v>81</v>
      </c>
      <c r="AA2641" s="6" t="s">
        <v>81</v>
      </c>
      <c r="AB2641" s="6" t="s">
        <v>81</v>
      </c>
      <c r="AC2641" s="6" t="s">
        <v>81</v>
      </c>
      <c r="AD2641" s="21" t="s">
        <v>81</v>
      </c>
      <c r="AE2641" s="6" t="s">
        <v>81</v>
      </c>
      <c r="AF2641" s="6" t="s">
        <v>81</v>
      </c>
      <c r="AG2641" s="6" t="s">
        <v>81</v>
      </c>
      <c r="AH2641" s="6" t="s">
        <v>17174</v>
      </c>
      <c r="AI2641" s="6" t="s">
        <v>81</v>
      </c>
      <c r="AJ2641" s="6" t="s">
        <v>17373</v>
      </c>
      <c r="AK2641" s="6" t="s">
        <v>18377</v>
      </c>
      <c r="AL2641" s="6" t="s">
        <v>18444</v>
      </c>
      <c r="AM2641" s="6" t="s">
        <v>18546</v>
      </c>
      <c r="AN2641" s="6" t="s">
        <v>19652</v>
      </c>
      <c r="AO2641" s="6" t="s">
        <v>19772</v>
      </c>
      <c r="AP2641" s="6" t="s">
        <v>17174</v>
      </c>
      <c r="AQ2641" s="6" t="s">
        <v>81</v>
      </c>
      <c r="AR2641" s="6" t="s">
        <v>17373</v>
      </c>
      <c r="AS2641" s="6" t="s">
        <v>18377</v>
      </c>
      <c r="AT2641" s="6" t="s">
        <v>18444</v>
      </c>
      <c r="AU2641" s="6" t="s">
        <v>18546</v>
      </c>
      <c r="AV2641" s="6" t="s">
        <v>81</v>
      </c>
      <c r="AW2641" s="6" t="s">
        <v>81</v>
      </c>
      <c r="AX2641" s="6" t="s">
        <v>81</v>
      </c>
      <c r="AY2641" s="6" t="s">
        <v>81</v>
      </c>
      <c r="AZ2641" s="6" t="s">
        <v>81</v>
      </c>
      <c r="BA2641" s="6" t="s">
        <v>81</v>
      </c>
      <c r="BB2641" s="24" t="n">
        <v>94</v>
      </c>
      <c r="BC2641" s="26"/>
      <c r="BD2641" s="26"/>
      <c r="BE2641" s="26"/>
      <c r="BF2641" s="26"/>
      <c r="BG2641" s="26"/>
      <c r="BH2641" s="26"/>
      <c r="BI2641" s="26"/>
      <c r="BJ2641" s="26"/>
      <c r="BK2641" s="26"/>
      <c r="BL2641" s="26"/>
      <c r="BM2641" s="26"/>
      <c r="BN2641" s="26"/>
      <c r="BO2641" s="26"/>
      <c r="BP2641" s="16" t="n">
        <v>45547</v>
      </c>
      <c r="BQ2641" s="28" t="str">
        <f>HYPERLINK("https://organic.ams.usda.gov/Integrity/Certificate.aspx?cid=46&amp;nopid=3671800110")</f>
        <v>https://organic.ams.usda.gov/Integrity/Certificate.aspx?cid=46&amp;nopid=3671800110</v>
      </c>
    </row>
    <row r="2642">
      <c r="A2642" t="s">
        <v>3</v>
      </c>
      <c r="B2642" s="6" t="s">
        <v>47</v>
      </c>
      <c r="C2642" s="6" t="s">
        <v>94</v>
      </c>
      <c r="D2642" s="6" t="s">
        <v>139</v>
      </c>
      <c r="E2642" s="10" t="s">
        <v>2783</v>
      </c>
      <c r="F2642" s="6" t="s">
        <v>5487</v>
      </c>
      <c r="G2642" s="6" t="s">
        <v>81</v>
      </c>
      <c r="H2642" s="6" t="s">
        <v>8296</v>
      </c>
      <c r="I2642" s="6" t="s">
        <v>9623</v>
      </c>
      <c r="J2642" s="6" t="s">
        <v>10847</v>
      </c>
      <c r="K2642" s="6" t="s">
        <v>10886</v>
      </c>
      <c r="L2642" s="16" t="n">
        <v>44992</v>
      </c>
      <c r="M2642" s="16" t="n">
        <v>45717</v>
      </c>
      <c r="N2642" s="6" t="s">
        <v>10886</v>
      </c>
      <c r="O2642" s="16" t="n">
        <v>44992</v>
      </c>
      <c r="P2642" s="6" t="s">
        <v>12364</v>
      </c>
      <c r="Q2642" s="6" t="s">
        <v>81</v>
      </c>
      <c r="R2642" s="6" t="s">
        <v>81</v>
      </c>
      <c r="S2642" s="6" t="s">
        <v>10886</v>
      </c>
      <c r="T2642" s="16" t="n">
        <v>44992</v>
      </c>
      <c r="U2642" s="6" t="s">
        <v>13934</v>
      </c>
      <c r="V2642" s="6" t="s">
        <v>81</v>
      </c>
      <c r="W2642" s="6" t="s">
        <v>81</v>
      </c>
      <c r="X2642" s="6" t="s">
        <v>81</v>
      </c>
      <c r="Y2642" s="21" t="s">
        <v>81</v>
      </c>
      <c r="Z2642" s="6" t="s">
        <v>81</v>
      </c>
      <c r="AA2642" s="6" t="s">
        <v>81</v>
      </c>
      <c r="AB2642" s="6" t="s">
        <v>81</v>
      </c>
      <c r="AC2642" s="6" t="s">
        <v>81</v>
      </c>
      <c r="AD2642" s="21" t="s">
        <v>81</v>
      </c>
      <c r="AE2642" s="6" t="s">
        <v>81</v>
      </c>
      <c r="AF2642" s="6" t="s">
        <v>81</v>
      </c>
      <c r="AG2642" s="6" t="s">
        <v>81</v>
      </c>
      <c r="AH2642" s="6" t="s">
        <v>17175</v>
      </c>
      <c r="AI2642" s="6" t="s">
        <v>81</v>
      </c>
      <c r="AJ2642" s="6" t="s">
        <v>18347</v>
      </c>
      <c r="AK2642" s="6" t="s">
        <v>18386</v>
      </c>
      <c r="AL2642" s="6" t="s">
        <v>18444</v>
      </c>
      <c r="AM2642" s="6" t="s">
        <v>19596</v>
      </c>
      <c r="AN2642" s="6" t="s">
        <v>19642</v>
      </c>
      <c r="AO2642" s="6" t="s">
        <v>19798</v>
      </c>
      <c r="AP2642" s="6" t="s">
        <v>81</v>
      </c>
      <c r="AQ2642" s="6" t="s">
        <v>81</v>
      </c>
      <c r="AR2642" s="6" t="s">
        <v>81</v>
      </c>
      <c r="AS2642" s="6" t="s">
        <v>81</v>
      </c>
      <c r="AT2642" s="6" t="s">
        <v>81</v>
      </c>
      <c r="AU2642" s="6" t="s">
        <v>81</v>
      </c>
      <c r="AV2642" s="6" t="s">
        <v>81</v>
      </c>
      <c r="AW2642" s="6" t="s">
        <v>81</v>
      </c>
      <c r="AX2642" s="6" t="s">
        <v>81</v>
      </c>
      <c r="AY2642" s="6" t="s">
        <v>23533</v>
      </c>
      <c r="AZ2642" s="6" t="s">
        <v>81</v>
      </c>
      <c r="BA2642" s="6" t="s">
        <v>23895</v>
      </c>
      <c r="BB2642" s="24" t="n">
        <v>455</v>
      </c>
      <c r="BC2642" s="26"/>
      <c r="BD2642" s="26"/>
      <c r="BE2642" s="26"/>
      <c r="BF2642" s="26"/>
      <c r="BG2642" s="26"/>
      <c r="BH2642" s="26"/>
      <c r="BI2642" s="26"/>
      <c r="BJ2642" s="26"/>
      <c r="BK2642" s="26"/>
      <c r="BL2642" s="26"/>
      <c r="BM2642" s="26"/>
      <c r="BN2642" s="26"/>
      <c r="BO2642" s="26"/>
      <c r="BP2642" s="16" t="n">
        <v>45643</v>
      </c>
      <c r="BQ2642" s="28" t="str">
        <f>HYPERLINK("https://organic.ams.usda.gov/Integrity/Certificate.aspx?cid=60&amp;nopid=2580005532")</f>
        <v>https://organic.ams.usda.gov/Integrity/Certificate.aspx?cid=60&amp;nopid=2580005532</v>
      </c>
    </row>
    <row r="2643">
      <c r="A2643" t="s">
        <v>3</v>
      </c>
      <c r="B2643" s="6" t="s">
        <v>9</v>
      </c>
      <c r="C2643" s="6" t="s">
        <v>56</v>
      </c>
      <c r="D2643" s="6" t="s">
        <v>102</v>
      </c>
      <c r="E2643" s="10" t="s">
        <v>2784</v>
      </c>
      <c r="F2643" s="6" t="s">
        <v>5488</v>
      </c>
      <c r="G2643" s="6" t="s">
        <v>81</v>
      </c>
      <c r="H2643" s="6" t="s">
        <v>8297</v>
      </c>
      <c r="I2643" s="6" t="s">
        <v>81</v>
      </c>
      <c r="J2643" s="6" t="s">
        <v>81</v>
      </c>
      <c r="K2643" s="6" t="s">
        <v>10886</v>
      </c>
      <c r="L2643" s="16" t="n">
        <v>39631</v>
      </c>
      <c r="M2643" s="16" t="n">
        <v>45748</v>
      </c>
      <c r="N2643" s="6" t="s">
        <v>10886</v>
      </c>
      <c r="O2643" s="16" t="n">
        <v>39631</v>
      </c>
      <c r="P2643" s="6" t="s">
        <v>11637</v>
      </c>
      <c r="Q2643" s="6" t="s">
        <v>81</v>
      </c>
      <c r="R2643" s="6" t="s">
        <v>13130</v>
      </c>
      <c r="S2643" s="6" t="s">
        <v>10886</v>
      </c>
      <c r="T2643" s="16" t="n">
        <v>39631</v>
      </c>
      <c r="U2643" s="6" t="s">
        <v>13162</v>
      </c>
      <c r="V2643" s="6" t="s">
        <v>81</v>
      </c>
      <c r="W2643" s="6" t="s">
        <v>13130</v>
      </c>
      <c r="X2643" s="6" t="s">
        <v>81</v>
      </c>
      <c r="Y2643" s="21" t="s">
        <v>81</v>
      </c>
      <c r="Z2643" s="6" t="s">
        <v>81</v>
      </c>
      <c r="AA2643" s="6" t="s">
        <v>81</v>
      </c>
      <c r="AB2643" s="6" t="s">
        <v>81</v>
      </c>
      <c r="AC2643" s="6" t="s">
        <v>81</v>
      </c>
      <c r="AD2643" s="21" t="s">
        <v>81</v>
      </c>
      <c r="AE2643" s="6" t="s">
        <v>81</v>
      </c>
      <c r="AF2643" s="6" t="s">
        <v>81</v>
      </c>
      <c r="AG2643" s="6" t="s">
        <v>81</v>
      </c>
      <c r="AH2643" s="6" t="s">
        <v>17176</v>
      </c>
      <c r="AI2643" s="6" t="s">
        <v>81</v>
      </c>
      <c r="AJ2643" s="6" t="s">
        <v>18121</v>
      </c>
      <c r="AK2643" s="6" t="s">
        <v>18377</v>
      </c>
      <c r="AL2643" s="6" t="s">
        <v>18444</v>
      </c>
      <c r="AM2643" s="6" t="s">
        <v>19597</v>
      </c>
      <c r="AN2643" s="6" t="s">
        <v>7895</v>
      </c>
      <c r="AO2643" s="6" t="s">
        <v>19773</v>
      </c>
      <c r="AP2643" s="6" t="s">
        <v>81</v>
      </c>
      <c r="AQ2643" s="6" t="s">
        <v>81</v>
      </c>
      <c r="AR2643" s="6" t="s">
        <v>81</v>
      </c>
      <c r="AS2643" s="6" t="s">
        <v>81</v>
      </c>
      <c r="AT2643" s="6" t="s">
        <v>81</v>
      </c>
      <c r="AU2643" s="6" t="s">
        <v>81</v>
      </c>
      <c r="AV2643" s="6" t="s">
        <v>81</v>
      </c>
      <c r="AW2643" s="6" t="s">
        <v>81</v>
      </c>
      <c r="AX2643" s="6" t="s">
        <v>22480</v>
      </c>
      <c r="AY2643" s="6" t="s">
        <v>81</v>
      </c>
      <c r="AZ2643" s="6" t="s">
        <v>81</v>
      </c>
      <c r="BA2643" s="6" t="s">
        <v>81</v>
      </c>
      <c r="BB2643" s="24" t="n">
        <v>577</v>
      </c>
      <c r="BC2643" s="26"/>
      <c r="BD2643" s="26"/>
      <c r="BE2643" s="26"/>
      <c r="BF2643" s="26"/>
      <c r="BG2643" s="26"/>
      <c r="BH2643" s="26"/>
      <c r="BI2643" s="26"/>
      <c r="BJ2643" s="26"/>
      <c r="BK2643" s="26"/>
      <c r="BL2643" s="26"/>
      <c r="BM2643" s="26"/>
      <c r="BN2643" s="26"/>
      <c r="BO2643" s="26"/>
      <c r="BP2643" s="16" t="n">
        <v>45738</v>
      </c>
      <c r="BQ2643" s="28" t="str">
        <f>HYPERLINK("https://organic.ams.usda.gov/Integrity/Certificate.aspx?cid=52&amp;nopid=8430800064")</f>
        <v>https://organic.ams.usda.gov/Integrity/Certificate.aspx?cid=52&amp;nopid=8430800064</v>
      </c>
    </row>
    <row r="2644">
      <c r="A2644" t="s">
        <v>3</v>
      </c>
      <c r="B2644" s="6" t="s">
        <v>7</v>
      </c>
      <c r="C2644" s="6" t="s">
        <v>54</v>
      </c>
      <c r="D2644" s="6" t="s">
        <v>100</v>
      </c>
      <c r="E2644" s="10" t="s">
        <v>2785</v>
      </c>
      <c r="F2644" s="6" t="s">
        <v>5489</v>
      </c>
      <c r="G2644" s="6" t="s">
        <v>81</v>
      </c>
      <c r="H2644" s="6" t="s">
        <v>8298</v>
      </c>
      <c r="I2644" s="6" t="s">
        <v>8520</v>
      </c>
      <c r="J2644" s="6" t="s">
        <v>10848</v>
      </c>
      <c r="K2644" s="6" t="s">
        <v>10886</v>
      </c>
      <c r="L2644" s="16" t="n">
        <v>37551</v>
      </c>
      <c r="M2644" s="16" t="n">
        <v>45716</v>
      </c>
      <c r="N2644" s="6" t="s">
        <v>10886</v>
      </c>
      <c r="O2644" s="16" t="n">
        <v>37551</v>
      </c>
      <c r="P2644" s="6" t="s">
        <v>10910</v>
      </c>
      <c r="Q2644" s="6" t="s">
        <v>81</v>
      </c>
      <c r="R2644" s="6" t="s">
        <v>81</v>
      </c>
      <c r="S2644" s="6" t="s">
        <v>10886</v>
      </c>
      <c r="T2644" s="16" t="n">
        <v>37551</v>
      </c>
      <c r="U2644" s="6" t="s">
        <v>13935</v>
      </c>
      <c r="V2644" s="6" t="s">
        <v>81</v>
      </c>
      <c r="W2644" s="6" t="s">
        <v>81</v>
      </c>
      <c r="X2644" s="6" t="s">
        <v>81</v>
      </c>
      <c r="Y2644" s="21" t="s">
        <v>81</v>
      </c>
      <c r="Z2644" s="6" t="s">
        <v>81</v>
      </c>
      <c r="AA2644" s="6" t="s">
        <v>81</v>
      </c>
      <c r="AB2644" s="6" t="s">
        <v>81</v>
      </c>
      <c r="AC2644" s="6" t="s">
        <v>81</v>
      </c>
      <c r="AD2644" s="21" t="s">
        <v>81</v>
      </c>
      <c r="AE2644" s="6" t="s">
        <v>81</v>
      </c>
      <c r="AF2644" s="6" t="s">
        <v>81</v>
      </c>
      <c r="AG2644" s="6" t="s">
        <v>81</v>
      </c>
      <c r="AH2644" s="6" t="s">
        <v>17177</v>
      </c>
      <c r="AI2644" s="6" t="s">
        <v>81</v>
      </c>
      <c r="AJ2644" s="6" t="s">
        <v>18348</v>
      </c>
      <c r="AK2644" s="6" t="s">
        <v>17712</v>
      </c>
      <c r="AL2644" s="6" t="s">
        <v>18444</v>
      </c>
      <c r="AM2644" s="6" t="s">
        <v>19598</v>
      </c>
      <c r="AN2644" s="6" t="s">
        <v>19645</v>
      </c>
      <c r="AO2644" s="6" t="s">
        <v>19770</v>
      </c>
      <c r="AP2644" s="6" t="s">
        <v>17177</v>
      </c>
      <c r="AQ2644" s="6" t="s">
        <v>81</v>
      </c>
      <c r="AR2644" s="6" t="s">
        <v>18348</v>
      </c>
      <c r="AS2644" s="6" t="s">
        <v>17712</v>
      </c>
      <c r="AT2644" s="6" t="s">
        <v>18444</v>
      </c>
      <c r="AU2644" s="6" t="s">
        <v>19598</v>
      </c>
      <c r="AV2644" s="6" t="s">
        <v>81</v>
      </c>
      <c r="AW2644" s="6" t="s">
        <v>81</v>
      </c>
      <c r="AX2644" s="6" t="s">
        <v>22481</v>
      </c>
      <c r="AY2644" s="6" t="s">
        <v>81</v>
      </c>
      <c r="AZ2644" s="6" t="s">
        <v>81</v>
      </c>
      <c r="BA2644" s="6" t="s">
        <v>81</v>
      </c>
      <c r="BB2644" s="24" t="n">
        <v>73</v>
      </c>
      <c r="BC2644" s="26"/>
      <c r="BD2644" s="26"/>
      <c r="BE2644" s="26"/>
      <c r="BF2644" s="26"/>
      <c r="BG2644" s="26"/>
      <c r="BH2644" s="26"/>
      <c r="BI2644" s="26"/>
      <c r="BJ2644" s="26"/>
      <c r="BK2644" s="26"/>
      <c r="BL2644" s="26"/>
      <c r="BM2644" s="26"/>
      <c r="BN2644" s="26"/>
      <c r="BO2644" s="26"/>
      <c r="BP2644" s="16" t="n">
        <v>45595</v>
      </c>
      <c r="BQ2644" s="28" t="str">
        <f>HYPERLINK("https://organic.ams.usda.gov/Integrity/Certificate.aspx?cid=57&amp;nopid=3250950040")</f>
        <v>https://organic.ams.usda.gov/Integrity/Certificate.aspx?cid=57&amp;nopid=3250950040</v>
      </c>
    </row>
    <row r="2645">
      <c r="A2645" t="s">
        <v>3</v>
      </c>
      <c r="B2645" s="6" t="s">
        <v>34</v>
      </c>
      <c r="C2645" s="6" t="s">
        <v>81</v>
      </c>
      <c r="D2645" s="6" t="s">
        <v>81</v>
      </c>
      <c r="E2645" s="10" t="s">
        <v>2786</v>
      </c>
      <c r="F2645" s="6" t="s">
        <v>5490</v>
      </c>
      <c r="G2645" s="6" t="s">
        <v>5881</v>
      </c>
      <c r="H2645" s="6" t="s">
        <v>8299</v>
      </c>
      <c r="I2645" s="6" t="s">
        <v>9572</v>
      </c>
      <c r="J2645" s="6" t="s">
        <v>10849</v>
      </c>
      <c r="K2645" s="6" t="s">
        <v>10886</v>
      </c>
      <c r="L2645" s="16" t="n">
        <v>39878</v>
      </c>
      <c r="M2645" s="16" t="n">
        <v>45875</v>
      </c>
      <c r="N2645" s="6" t="s">
        <v>81</v>
      </c>
      <c r="O2645" s="21" t="s">
        <v>81</v>
      </c>
      <c r="P2645" s="6" t="s">
        <v>81</v>
      </c>
      <c r="Q2645" s="6" t="s">
        <v>81</v>
      </c>
      <c r="R2645" s="6" t="s">
        <v>81</v>
      </c>
      <c r="S2645" s="6" t="s">
        <v>81</v>
      </c>
      <c r="T2645" s="21" t="s">
        <v>81</v>
      </c>
      <c r="U2645" s="6" t="s">
        <v>81</v>
      </c>
      <c r="V2645" s="6" t="s">
        <v>81</v>
      </c>
      <c r="W2645" s="6" t="s">
        <v>81</v>
      </c>
      <c r="X2645" s="6" t="s">
        <v>81</v>
      </c>
      <c r="Y2645" s="21" t="s">
        <v>81</v>
      </c>
      <c r="Z2645" s="6" t="s">
        <v>81</v>
      </c>
      <c r="AA2645" s="6" t="s">
        <v>81</v>
      </c>
      <c r="AB2645" s="6" t="s">
        <v>81</v>
      </c>
      <c r="AC2645" s="6" t="s">
        <v>10886</v>
      </c>
      <c r="AD2645" s="16" t="n">
        <v>39878</v>
      </c>
      <c r="AE2645" s="6" t="s">
        <v>14488</v>
      </c>
      <c r="AF2645" s="6" t="s">
        <v>81</v>
      </c>
      <c r="AG2645" s="6" t="s">
        <v>14610</v>
      </c>
      <c r="AH2645" s="6" t="s">
        <v>17178</v>
      </c>
      <c r="AI2645" s="6" t="s">
        <v>81</v>
      </c>
      <c r="AJ2645" s="6" t="s">
        <v>18349</v>
      </c>
      <c r="AK2645" s="6" t="s">
        <v>18386</v>
      </c>
      <c r="AL2645" s="6" t="s">
        <v>18444</v>
      </c>
      <c r="AM2645" s="6" t="s">
        <v>19599</v>
      </c>
      <c r="AN2645" s="6" t="s">
        <v>81</v>
      </c>
      <c r="AO2645" s="6" t="s">
        <v>81</v>
      </c>
      <c r="AP2645" s="6" t="s">
        <v>17178</v>
      </c>
      <c r="AQ2645" s="6" t="s">
        <v>81</v>
      </c>
      <c r="AR2645" s="6" t="s">
        <v>18349</v>
      </c>
      <c r="AS2645" s="6" t="s">
        <v>18386</v>
      </c>
      <c r="AT2645" s="6" t="s">
        <v>18444</v>
      </c>
      <c r="AU2645" s="6" t="s">
        <v>19599</v>
      </c>
      <c r="AV2645" s="6" t="s">
        <v>81</v>
      </c>
      <c r="AW2645" s="6" t="s">
        <v>81</v>
      </c>
      <c r="AX2645" s="6" t="s">
        <v>22482</v>
      </c>
      <c r="AY2645" s="6" t="s">
        <v>23534</v>
      </c>
      <c r="AZ2645" s="6" t="s">
        <v>23807</v>
      </c>
      <c r="BA2645" s="6" t="s">
        <v>23848</v>
      </c>
      <c r="BB2645" s="6" t="s">
        <v>81</v>
      </c>
      <c r="BC2645" s="26"/>
      <c r="BD2645" s="26"/>
      <c r="BE2645" s="26"/>
      <c r="BF2645" s="26"/>
      <c r="BG2645" s="26"/>
      <c r="BH2645" s="26"/>
      <c r="BI2645" s="26"/>
      <c r="BJ2645" s="26"/>
      <c r="BK2645" s="26"/>
      <c r="BL2645" s="26"/>
      <c r="BM2645" s="26"/>
      <c r="BN2645" s="26"/>
      <c r="BO2645" s="26"/>
      <c r="BP2645" s="16" t="n">
        <v>45733</v>
      </c>
      <c r="BQ2645" s="28" t="str">
        <f>HYPERLINK("")</f>
      </c>
    </row>
    <row r="2646">
      <c r="A2646" t="s">
        <v>3</v>
      </c>
      <c r="B2646" s="6" t="s">
        <v>8</v>
      </c>
      <c r="C2646" s="6" t="s">
        <v>55</v>
      </c>
      <c r="D2646" s="6" t="s">
        <v>101</v>
      </c>
      <c r="E2646" s="10" t="s">
        <v>2787</v>
      </c>
      <c r="F2646" s="6" t="s">
        <v>5491</v>
      </c>
      <c r="G2646" s="6" t="s">
        <v>81</v>
      </c>
      <c r="H2646" s="6" t="s">
        <v>8300</v>
      </c>
      <c r="I2646" s="6" t="s">
        <v>9279</v>
      </c>
      <c r="J2646" s="6" t="s">
        <v>10006</v>
      </c>
      <c r="K2646" s="6" t="s">
        <v>10886</v>
      </c>
      <c r="L2646" s="16" t="n">
        <v>39162</v>
      </c>
      <c r="M2646" s="18" t="s">
        <v>81</v>
      </c>
      <c r="N2646" s="6" t="s">
        <v>10886</v>
      </c>
      <c r="O2646" s="16" t="n">
        <v>39162</v>
      </c>
      <c r="P2646" s="6" t="s">
        <v>12365</v>
      </c>
      <c r="Q2646" s="6" t="s">
        <v>81</v>
      </c>
      <c r="R2646" s="6" t="s">
        <v>81</v>
      </c>
      <c r="S2646" s="6" t="s">
        <v>10886</v>
      </c>
      <c r="T2646" s="16" t="n">
        <v>39162</v>
      </c>
      <c r="U2646" s="6" t="s">
        <v>13936</v>
      </c>
      <c r="V2646" s="6" t="s">
        <v>81</v>
      </c>
      <c r="W2646" s="6" t="s">
        <v>81</v>
      </c>
      <c r="X2646" s="6" t="s">
        <v>81</v>
      </c>
      <c r="Y2646" s="21" t="s">
        <v>81</v>
      </c>
      <c r="Z2646" s="6" t="s">
        <v>81</v>
      </c>
      <c r="AA2646" s="6" t="s">
        <v>81</v>
      </c>
      <c r="AB2646" s="6" t="s">
        <v>81</v>
      </c>
      <c r="AC2646" s="6" t="s">
        <v>81</v>
      </c>
      <c r="AD2646" s="21" t="s">
        <v>81</v>
      </c>
      <c r="AE2646" s="6" t="s">
        <v>81</v>
      </c>
      <c r="AF2646" s="6" t="s">
        <v>81</v>
      </c>
      <c r="AG2646" s="6" t="s">
        <v>81</v>
      </c>
      <c r="AH2646" s="6" t="s">
        <v>17179</v>
      </c>
      <c r="AI2646" s="6" t="s">
        <v>81</v>
      </c>
      <c r="AJ2646" s="6" t="s">
        <v>17985</v>
      </c>
      <c r="AK2646" s="6" t="s">
        <v>18377</v>
      </c>
      <c r="AL2646" s="6" t="s">
        <v>18444</v>
      </c>
      <c r="AM2646" s="6" t="s">
        <v>19175</v>
      </c>
      <c r="AN2646" s="6" t="s">
        <v>19683</v>
      </c>
      <c r="AO2646" s="6" t="s">
        <v>19837</v>
      </c>
      <c r="AP2646" s="6" t="s">
        <v>81</v>
      </c>
      <c r="AQ2646" s="6" t="s">
        <v>81</v>
      </c>
      <c r="AR2646" s="6" t="s">
        <v>81</v>
      </c>
      <c r="AS2646" s="6" t="s">
        <v>81</v>
      </c>
      <c r="AT2646" s="6" t="s">
        <v>81</v>
      </c>
      <c r="AU2646" s="6" t="s">
        <v>81</v>
      </c>
      <c r="AV2646" s="6" t="s">
        <v>81</v>
      </c>
      <c r="AW2646" s="6" t="s">
        <v>81</v>
      </c>
      <c r="AX2646" s="6" t="s">
        <v>81</v>
      </c>
      <c r="AY2646" s="6" t="s">
        <v>81</v>
      </c>
      <c r="AZ2646" s="6" t="s">
        <v>81</v>
      </c>
      <c r="BA2646" s="6" t="s">
        <v>81</v>
      </c>
      <c r="BB2646" s="24" t="n">
        <v>572</v>
      </c>
      <c r="BC2646" s="26"/>
      <c r="BD2646" s="26"/>
      <c r="BE2646" s="26"/>
      <c r="BF2646" s="26"/>
      <c r="BG2646" s="26"/>
      <c r="BH2646" s="26"/>
      <c r="BI2646" s="26"/>
      <c r="BJ2646" s="26"/>
      <c r="BK2646" s="26"/>
      <c r="BL2646" s="26"/>
      <c r="BM2646" s="26"/>
      <c r="BN2646" s="26"/>
      <c r="BO2646" s="26"/>
      <c r="BP2646" s="16" t="n">
        <v>45292</v>
      </c>
      <c r="BQ2646" s="28" t="str">
        <f>HYPERLINK("https://organic.ams.usda.gov/Integrity/Certificate.aspx?cid=45&amp;nopid=9950002506")</f>
        <v>https://organic.ams.usda.gov/Integrity/Certificate.aspx?cid=45&amp;nopid=9950002506</v>
      </c>
    </row>
    <row r="2647">
      <c r="A2647" t="s">
        <v>3</v>
      </c>
      <c r="B2647" s="6" t="s">
        <v>30</v>
      </c>
      <c r="C2647" s="6" t="s">
        <v>77</v>
      </c>
      <c r="D2647" s="6" t="s">
        <v>123</v>
      </c>
      <c r="E2647" s="10" t="s">
        <v>2788</v>
      </c>
      <c r="F2647" s="6" t="s">
        <v>5492</v>
      </c>
      <c r="G2647" s="6" t="s">
        <v>81</v>
      </c>
      <c r="H2647" s="6" t="s">
        <v>8301</v>
      </c>
      <c r="I2647" s="6" t="s">
        <v>9624</v>
      </c>
      <c r="J2647" s="6" t="s">
        <v>10587</v>
      </c>
      <c r="K2647" s="6" t="s">
        <v>10886</v>
      </c>
      <c r="L2647" s="16" t="n">
        <v>38878</v>
      </c>
      <c r="M2647" s="16" t="n">
        <v>45747</v>
      </c>
      <c r="N2647" s="6" t="s">
        <v>10886</v>
      </c>
      <c r="O2647" s="16" t="n">
        <v>38878</v>
      </c>
      <c r="P2647" s="6" t="s">
        <v>10922</v>
      </c>
      <c r="Q2647" s="6" t="s">
        <v>81</v>
      </c>
      <c r="R2647" s="6" t="s">
        <v>8301</v>
      </c>
      <c r="S2647" s="6" t="s">
        <v>10886</v>
      </c>
      <c r="T2647" s="16" t="n">
        <v>38878</v>
      </c>
      <c r="U2647" s="6" t="s">
        <v>13937</v>
      </c>
      <c r="V2647" s="6" t="s">
        <v>81</v>
      </c>
      <c r="W2647" s="6" t="s">
        <v>8301</v>
      </c>
      <c r="X2647" s="6" t="s">
        <v>81</v>
      </c>
      <c r="Y2647" s="21" t="s">
        <v>81</v>
      </c>
      <c r="Z2647" s="6" t="s">
        <v>81</v>
      </c>
      <c r="AA2647" s="6" t="s">
        <v>81</v>
      </c>
      <c r="AB2647" s="6" t="s">
        <v>81</v>
      </c>
      <c r="AC2647" s="6" t="s">
        <v>81</v>
      </c>
      <c r="AD2647" s="21" t="s">
        <v>81</v>
      </c>
      <c r="AE2647" s="6" t="s">
        <v>81</v>
      </c>
      <c r="AF2647" s="6" t="s">
        <v>81</v>
      </c>
      <c r="AG2647" s="6" t="s">
        <v>81</v>
      </c>
      <c r="AH2647" s="6" t="s">
        <v>17180</v>
      </c>
      <c r="AI2647" s="6" t="s">
        <v>81</v>
      </c>
      <c r="AJ2647" s="6" t="s">
        <v>17453</v>
      </c>
      <c r="AK2647" s="6" t="s">
        <v>17712</v>
      </c>
      <c r="AL2647" s="6" t="s">
        <v>18444</v>
      </c>
      <c r="AM2647" s="6" t="s">
        <v>18612</v>
      </c>
      <c r="AN2647" s="6" t="s">
        <v>19670</v>
      </c>
      <c r="AO2647" s="6" t="s">
        <v>19782</v>
      </c>
      <c r="AP2647" s="6" t="s">
        <v>17180</v>
      </c>
      <c r="AQ2647" s="6" t="s">
        <v>81</v>
      </c>
      <c r="AR2647" s="6" t="s">
        <v>17453</v>
      </c>
      <c r="AS2647" s="6" t="s">
        <v>17712</v>
      </c>
      <c r="AT2647" s="6" t="s">
        <v>18444</v>
      </c>
      <c r="AU2647" s="6" t="s">
        <v>18612</v>
      </c>
      <c r="AV2647" s="6" t="s">
        <v>81</v>
      </c>
      <c r="AW2647" s="6" t="s">
        <v>81</v>
      </c>
      <c r="AX2647" s="6" t="s">
        <v>22483</v>
      </c>
      <c r="AY2647" s="6" t="s">
        <v>81</v>
      </c>
      <c r="AZ2647" s="6" t="s">
        <v>81</v>
      </c>
      <c r="BA2647" s="6" t="s">
        <v>81</v>
      </c>
      <c r="BB2647" s="24" t="n">
        <v>602</v>
      </c>
      <c r="BC2647" s="26"/>
      <c r="BD2647" s="26"/>
      <c r="BE2647" s="26"/>
      <c r="BF2647" s="26"/>
      <c r="BG2647" s="26"/>
      <c r="BH2647" s="26"/>
      <c r="BI2647" s="26"/>
      <c r="BJ2647" s="26"/>
      <c r="BK2647" s="26"/>
      <c r="BL2647" s="26"/>
      <c r="BM2647" s="26"/>
      <c r="BN2647" s="26"/>
      <c r="BO2647" s="26"/>
      <c r="BP2647" s="16" t="n">
        <v>45551</v>
      </c>
      <c r="BQ2647" s="28" t="str">
        <f>HYPERLINK("https://organic.ams.usda.gov/Integrity/Certificate.aspx?cid=70&amp;nopid=6430612890")</f>
        <v>https://organic.ams.usda.gov/Integrity/Certificate.aspx?cid=70&amp;nopid=6430612890</v>
      </c>
    </row>
    <row r="2648">
      <c r="A2648" t="s">
        <v>3</v>
      </c>
      <c r="B2648" s="6" t="s">
        <v>9</v>
      </c>
      <c r="C2648" s="6" t="s">
        <v>56</v>
      </c>
      <c r="D2648" s="6" t="s">
        <v>102</v>
      </c>
      <c r="E2648" s="10" t="s">
        <v>2789</v>
      </c>
      <c r="F2648" s="6" t="s">
        <v>5493</v>
      </c>
      <c r="G2648" s="6" t="s">
        <v>81</v>
      </c>
      <c r="H2648" s="6" t="s">
        <v>8302</v>
      </c>
      <c r="I2648" s="6" t="s">
        <v>9303</v>
      </c>
      <c r="J2648" s="6" t="s">
        <v>9675</v>
      </c>
      <c r="K2648" s="6" t="s">
        <v>10886</v>
      </c>
      <c r="L2648" s="16" t="n">
        <v>42200</v>
      </c>
      <c r="M2648" s="16" t="n">
        <v>45748</v>
      </c>
      <c r="N2648" s="6" t="s">
        <v>10886</v>
      </c>
      <c r="O2648" s="16" t="n">
        <v>42200</v>
      </c>
      <c r="P2648" s="6" t="s">
        <v>10939</v>
      </c>
      <c r="Q2648" s="6" t="s">
        <v>81</v>
      </c>
      <c r="R2648" s="6" t="s">
        <v>13131</v>
      </c>
      <c r="S2648" s="6" t="s">
        <v>10886</v>
      </c>
      <c r="T2648" s="16" t="n">
        <v>42200</v>
      </c>
      <c r="U2648" s="6" t="s">
        <v>13176</v>
      </c>
      <c r="V2648" s="6" t="s">
        <v>81</v>
      </c>
      <c r="W2648" s="6" t="s">
        <v>13131</v>
      </c>
      <c r="X2648" s="6" t="s">
        <v>81</v>
      </c>
      <c r="Y2648" s="21" t="s">
        <v>81</v>
      </c>
      <c r="Z2648" s="6" t="s">
        <v>81</v>
      </c>
      <c r="AA2648" s="6" t="s">
        <v>81</v>
      </c>
      <c r="AB2648" s="6" t="s">
        <v>81</v>
      </c>
      <c r="AC2648" s="6" t="s">
        <v>81</v>
      </c>
      <c r="AD2648" s="21" t="s">
        <v>81</v>
      </c>
      <c r="AE2648" s="6" t="s">
        <v>81</v>
      </c>
      <c r="AF2648" s="6" t="s">
        <v>81</v>
      </c>
      <c r="AG2648" s="6" t="s">
        <v>81</v>
      </c>
      <c r="AH2648" s="6" t="s">
        <v>17181</v>
      </c>
      <c r="AI2648" s="6" t="s">
        <v>81</v>
      </c>
      <c r="AJ2648" s="6" t="s">
        <v>18350</v>
      </c>
      <c r="AK2648" s="6" t="s">
        <v>18378</v>
      </c>
      <c r="AL2648" s="6" t="s">
        <v>18444</v>
      </c>
      <c r="AM2648" s="6" t="s">
        <v>19600</v>
      </c>
      <c r="AN2648" s="6" t="s">
        <v>19676</v>
      </c>
      <c r="AO2648" s="6" t="s">
        <v>19784</v>
      </c>
      <c r="AP2648" s="6" t="s">
        <v>81</v>
      </c>
      <c r="AQ2648" s="6" t="s">
        <v>81</v>
      </c>
      <c r="AR2648" s="6" t="s">
        <v>81</v>
      </c>
      <c r="AS2648" s="6" t="s">
        <v>81</v>
      </c>
      <c r="AT2648" s="6" t="s">
        <v>81</v>
      </c>
      <c r="AU2648" s="6" t="s">
        <v>81</v>
      </c>
      <c r="AV2648" s="6" t="s">
        <v>81</v>
      </c>
      <c r="AW2648" s="6" t="s">
        <v>81</v>
      </c>
      <c r="AX2648" s="6" t="s">
        <v>22484</v>
      </c>
      <c r="AY2648" s="6" t="s">
        <v>81</v>
      </c>
      <c r="AZ2648" s="6" t="s">
        <v>81</v>
      </c>
      <c r="BA2648" s="6" t="s">
        <v>81</v>
      </c>
      <c r="BB2648" s="24" t="n">
        <v>114</v>
      </c>
      <c r="BC2648" s="26"/>
      <c r="BD2648" s="26"/>
      <c r="BE2648" s="26"/>
      <c r="BF2648" s="26"/>
      <c r="BG2648" s="26"/>
      <c r="BH2648" s="26"/>
      <c r="BI2648" s="26"/>
      <c r="BJ2648" s="26"/>
      <c r="BK2648" s="26"/>
      <c r="BL2648" s="26"/>
      <c r="BM2648" s="26"/>
      <c r="BN2648" s="26"/>
      <c r="BO2648" s="26"/>
      <c r="BP2648" s="16" t="n">
        <v>45738</v>
      </c>
      <c r="BQ2648" s="28" t="str">
        <f>HYPERLINK("https://organic.ams.usda.gov/Integrity/Certificate.aspx?cid=52&amp;nopid=8431500999")</f>
        <v>https://organic.ams.usda.gov/Integrity/Certificate.aspx?cid=52&amp;nopid=8431500999</v>
      </c>
    </row>
    <row r="2649">
      <c r="A2649" t="s">
        <v>3</v>
      </c>
      <c r="B2649" s="6" t="s">
        <v>10</v>
      </c>
      <c r="C2649" s="6" t="s">
        <v>57</v>
      </c>
      <c r="D2649" s="6" t="s">
        <v>103</v>
      </c>
      <c r="E2649" s="10" t="s">
        <v>2790</v>
      </c>
      <c r="F2649" s="6" t="s">
        <v>5494</v>
      </c>
      <c r="G2649" s="6" t="s">
        <v>81</v>
      </c>
      <c r="H2649" s="6" t="s">
        <v>8303</v>
      </c>
      <c r="I2649" s="6" t="s">
        <v>9625</v>
      </c>
      <c r="J2649" s="6" t="s">
        <v>9742</v>
      </c>
      <c r="K2649" s="6" t="s">
        <v>10886</v>
      </c>
      <c r="L2649" s="16" t="n">
        <v>41874</v>
      </c>
      <c r="M2649" s="16" t="n">
        <v>45748</v>
      </c>
      <c r="N2649" s="6" t="s">
        <v>10886</v>
      </c>
      <c r="O2649" s="16" t="n">
        <v>44635</v>
      </c>
      <c r="P2649" s="6" t="s">
        <v>10925</v>
      </c>
      <c r="Q2649" s="6" t="s">
        <v>81</v>
      </c>
      <c r="R2649" s="6" t="s">
        <v>13132</v>
      </c>
      <c r="S2649" s="6" t="s">
        <v>10886</v>
      </c>
      <c r="T2649" s="16" t="n">
        <v>44635</v>
      </c>
      <c r="U2649" s="6" t="s">
        <v>13163</v>
      </c>
      <c r="V2649" s="6" t="s">
        <v>81</v>
      </c>
      <c r="W2649" s="6" t="s">
        <v>81</v>
      </c>
      <c r="X2649" s="6" t="s">
        <v>81</v>
      </c>
      <c r="Y2649" s="21" t="s">
        <v>81</v>
      </c>
      <c r="Z2649" s="6" t="s">
        <v>81</v>
      </c>
      <c r="AA2649" s="6" t="s">
        <v>81</v>
      </c>
      <c r="AB2649" s="6" t="s">
        <v>81</v>
      </c>
      <c r="AC2649" s="6" t="s">
        <v>81</v>
      </c>
      <c r="AD2649" s="21" t="s">
        <v>81</v>
      </c>
      <c r="AE2649" s="6" t="s">
        <v>81</v>
      </c>
      <c r="AF2649" s="6" t="s">
        <v>81</v>
      </c>
      <c r="AG2649" s="6" t="s">
        <v>81</v>
      </c>
      <c r="AH2649" s="6" t="s">
        <v>17182</v>
      </c>
      <c r="AI2649" s="6" t="s">
        <v>81</v>
      </c>
      <c r="AJ2649" s="6" t="s">
        <v>17392</v>
      </c>
      <c r="AK2649" s="6" t="s">
        <v>18379</v>
      </c>
      <c r="AL2649" s="6" t="s">
        <v>18444</v>
      </c>
      <c r="AM2649" s="6" t="s">
        <v>18548</v>
      </c>
      <c r="AN2649" s="6" t="s">
        <v>19637</v>
      </c>
      <c r="AO2649" s="6" t="s">
        <v>19723</v>
      </c>
      <c r="AP2649" s="6" t="s">
        <v>17182</v>
      </c>
      <c r="AQ2649" s="6" t="s">
        <v>81</v>
      </c>
      <c r="AR2649" s="6" t="s">
        <v>17392</v>
      </c>
      <c r="AS2649" s="6" t="s">
        <v>18379</v>
      </c>
      <c r="AT2649" s="6" t="s">
        <v>18444</v>
      </c>
      <c r="AU2649" s="6" t="s">
        <v>18548</v>
      </c>
      <c r="AV2649" s="6" t="s">
        <v>81</v>
      </c>
      <c r="AW2649" s="6" t="s">
        <v>81</v>
      </c>
      <c r="AX2649" s="6" t="s">
        <v>22485</v>
      </c>
      <c r="AY2649" s="6" t="s">
        <v>81</v>
      </c>
      <c r="AZ2649" s="6" t="s">
        <v>81</v>
      </c>
      <c r="BA2649" s="6" t="s">
        <v>81</v>
      </c>
      <c r="BB2649" s="24" t="n">
        <v>86</v>
      </c>
      <c r="BC2649" s="26"/>
      <c r="BD2649" s="26"/>
      <c r="BE2649" s="26"/>
      <c r="BF2649" s="26"/>
      <c r="BG2649" s="26"/>
      <c r="BH2649" s="26"/>
      <c r="BI2649" s="26"/>
      <c r="BJ2649" s="26"/>
      <c r="BK2649" s="26"/>
      <c r="BL2649" s="26"/>
      <c r="BM2649" s="26"/>
      <c r="BN2649" s="26"/>
      <c r="BO2649" s="26"/>
      <c r="BP2649" s="16" t="n">
        <v>45730</v>
      </c>
      <c r="BQ2649" s="28" t="str">
        <f>HYPERLINK("https://organic.ams.usda.gov/Integrity/Certificate.aspx?cid=90&amp;nopid=7170220475")</f>
        <v>https://organic.ams.usda.gov/Integrity/Certificate.aspx?cid=90&amp;nopid=7170220475</v>
      </c>
    </row>
    <row r="2650">
      <c r="A2650" t="s">
        <v>3</v>
      </c>
      <c r="B2650" s="6" t="s">
        <v>7</v>
      </c>
      <c r="C2650" s="6" t="s">
        <v>54</v>
      </c>
      <c r="D2650" s="6" t="s">
        <v>100</v>
      </c>
      <c r="E2650" s="10" t="s">
        <v>2791</v>
      </c>
      <c r="F2650" s="6" t="s">
        <v>5495</v>
      </c>
      <c r="G2650" s="6" t="s">
        <v>81</v>
      </c>
      <c r="H2650" s="6" t="s">
        <v>8304</v>
      </c>
      <c r="I2650" s="6" t="s">
        <v>9626</v>
      </c>
      <c r="J2650" s="6" t="s">
        <v>9759</v>
      </c>
      <c r="K2650" s="6" t="s">
        <v>10886</v>
      </c>
      <c r="L2650" s="16" t="n">
        <v>43630</v>
      </c>
      <c r="M2650" s="16" t="n">
        <v>45716</v>
      </c>
      <c r="N2650" s="6" t="s">
        <v>10886</v>
      </c>
      <c r="O2650" s="16" t="n">
        <v>43630</v>
      </c>
      <c r="P2650" s="6" t="s">
        <v>12366</v>
      </c>
      <c r="Q2650" s="6" t="s">
        <v>81</v>
      </c>
      <c r="R2650" s="6" t="s">
        <v>81</v>
      </c>
      <c r="S2650" s="6" t="s">
        <v>10886</v>
      </c>
      <c r="T2650" s="16" t="n">
        <v>43726</v>
      </c>
      <c r="U2650" s="6" t="s">
        <v>13169</v>
      </c>
      <c r="V2650" s="6" t="s">
        <v>81</v>
      </c>
      <c r="W2650" s="6" t="s">
        <v>81</v>
      </c>
      <c r="X2650" s="6" t="s">
        <v>81</v>
      </c>
      <c r="Y2650" s="21" t="s">
        <v>81</v>
      </c>
      <c r="Z2650" s="6" t="s">
        <v>81</v>
      </c>
      <c r="AA2650" s="6" t="s">
        <v>81</v>
      </c>
      <c r="AB2650" s="6" t="s">
        <v>81</v>
      </c>
      <c r="AC2650" s="6" t="s">
        <v>81</v>
      </c>
      <c r="AD2650" s="21" t="s">
        <v>81</v>
      </c>
      <c r="AE2650" s="6" t="s">
        <v>81</v>
      </c>
      <c r="AF2650" s="6" t="s">
        <v>81</v>
      </c>
      <c r="AG2650" s="6" t="s">
        <v>81</v>
      </c>
      <c r="AH2650" s="6" t="s">
        <v>17183</v>
      </c>
      <c r="AI2650" s="6" t="s">
        <v>81</v>
      </c>
      <c r="AJ2650" s="6" t="s">
        <v>17973</v>
      </c>
      <c r="AK2650" s="6" t="s">
        <v>17712</v>
      </c>
      <c r="AL2650" s="6" t="s">
        <v>18444</v>
      </c>
      <c r="AM2650" s="6" t="s">
        <v>19160</v>
      </c>
      <c r="AN2650" s="6" t="s">
        <v>19634</v>
      </c>
      <c r="AO2650" s="6" t="s">
        <v>19719</v>
      </c>
      <c r="AP2650" s="6" t="s">
        <v>17183</v>
      </c>
      <c r="AQ2650" s="6" t="s">
        <v>81</v>
      </c>
      <c r="AR2650" s="6" t="s">
        <v>17973</v>
      </c>
      <c r="AS2650" s="6" t="s">
        <v>17712</v>
      </c>
      <c r="AT2650" s="6" t="s">
        <v>18444</v>
      </c>
      <c r="AU2650" s="6" t="s">
        <v>19160</v>
      </c>
      <c r="AV2650" s="6" t="s">
        <v>81</v>
      </c>
      <c r="AW2650" s="6" t="s">
        <v>81</v>
      </c>
      <c r="AX2650" s="6" t="s">
        <v>22486</v>
      </c>
      <c r="AY2650" s="6" t="s">
        <v>81</v>
      </c>
      <c r="AZ2650" s="6" t="s">
        <v>81</v>
      </c>
      <c r="BA2650" s="6" t="s">
        <v>81</v>
      </c>
      <c r="BB2650" s="24" t="n">
        <v>156</v>
      </c>
      <c r="BC2650" s="26"/>
      <c r="BD2650" s="26"/>
      <c r="BE2650" s="26"/>
      <c r="BF2650" s="26" t="s">
        <v>23900</v>
      </c>
      <c r="BG2650" s="26"/>
      <c r="BH2650" s="26"/>
      <c r="BI2650" s="26"/>
      <c r="BJ2650" s="26"/>
      <c r="BK2650" s="26"/>
      <c r="BL2650" s="26"/>
      <c r="BM2650" s="26"/>
      <c r="BN2650" s="26"/>
      <c r="BO2650" s="26"/>
      <c r="BP2650" s="16" t="n">
        <v>45667</v>
      </c>
      <c r="BQ2650" s="28" t="str">
        <f>HYPERLINK("https://organic.ams.usda.gov/Integrity/Certificate.aspx?cid=57&amp;nopid=3252019009")</f>
        <v>https://organic.ams.usda.gov/Integrity/Certificate.aspx?cid=57&amp;nopid=3252019009</v>
      </c>
    </row>
    <row r="2651">
      <c r="A2651" t="s">
        <v>3</v>
      </c>
      <c r="B2651" s="6" t="s">
        <v>10</v>
      </c>
      <c r="C2651" s="6" t="s">
        <v>57</v>
      </c>
      <c r="D2651" s="6" t="s">
        <v>103</v>
      </c>
      <c r="E2651" s="10" t="s">
        <v>2792</v>
      </c>
      <c r="F2651" s="6" t="s">
        <v>5496</v>
      </c>
      <c r="G2651" s="6" t="s">
        <v>81</v>
      </c>
      <c r="H2651" s="6" t="s">
        <v>8305</v>
      </c>
      <c r="I2651" s="6" t="s">
        <v>9627</v>
      </c>
      <c r="J2651" s="6" t="s">
        <v>9698</v>
      </c>
      <c r="K2651" s="6" t="s">
        <v>10886</v>
      </c>
      <c r="L2651" s="16" t="n">
        <v>42317</v>
      </c>
      <c r="M2651" s="16" t="n">
        <v>45748</v>
      </c>
      <c r="N2651" s="6" t="s">
        <v>10886</v>
      </c>
      <c r="O2651" s="16" t="n">
        <v>42317</v>
      </c>
      <c r="P2651" s="6" t="s">
        <v>12367</v>
      </c>
      <c r="Q2651" s="6" t="s">
        <v>81</v>
      </c>
      <c r="R2651" s="6" t="s">
        <v>13133</v>
      </c>
      <c r="S2651" s="6" t="s">
        <v>10886</v>
      </c>
      <c r="T2651" s="16" t="n">
        <v>42317</v>
      </c>
      <c r="U2651" s="6" t="s">
        <v>13163</v>
      </c>
      <c r="V2651" s="6" t="s">
        <v>81</v>
      </c>
      <c r="W2651" s="6" t="s">
        <v>81</v>
      </c>
      <c r="X2651" s="6" t="s">
        <v>81</v>
      </c>
      <c r="Y2651" s="21" t="s">
        <v>81</v>
      </c>
      <c r="Z2651" s="6" t="s">
        <v>81</v>
      </c>
      <c r="AA2651" s="6" t="s">
        <v>81</v>
      </c>
      <c r="AB2651" s="6" t="s">
        <v>81</v>
      </c>
      <c r="AC2651" s="6" t="s">
        <v>81</v>
      </c>
      <c r="AD2651" s="21" t="s">
        <v>81</v>
      </c>
      <c r="AE2651" s="6" t="s">
        <v>81</v>
      </c>
      <c r="AF2651" s="6" t="s">
        <v>81</v>
      </c>
      <c r="AG2651" s="6" t="s">
        <v>81</v>
      </c>
      <c r="AH2651" s="6" t="s">
        <v>17184</v>
      </c>
      <c r="AI2651" s="6" t="s">
        <v>81</v>
      </c>
      <c r="AJ2651" s="6" t="s">
        <v>17635</v>
      </c>
      <c r="AK2651" s="6" t="s">
        <v>18379</v>
      </c>
      <c r="AL2651" s="6" t="s">
        <v>18444</v>
      </c>
      <c r="AM2651" s="6" t="s">
        <v>18804</v>
      </c>
      <c r="AN2651" s="6" t="s">
        <v>19637</v>
      </c>
      <c r="AO2651" s="6" t="s">
        <v>19723</v>
      </c>
      <c r="AP2651" s="6" t="s">
        <v>17184</v>
      </c>
      <c r="AQ2651" s="6" t="s">
        <v>81</v>
      </c>
      <c r="AR2651" s="6" t="s">
        <v>17635</v>
      </c>
      <c r="AS2651" s="6" t="s">
        <v>18379</v>
      </c>
      <c r="AT2651" s="6" t="s">
        <v>18444</v>
      </c>
      <c r="AU2651" s="6" t="s">
        <v>18804</v>
      </c>
      <c r="AV2651" s="6" t="s">
        <v>81</v>
      </c>
      <c r="AW2651" s="6" t="s">
        <v>81</v>
      </c>
      <c r="AX2651" s="6" t="s">
        <v>21524</v>
      </c>
      <c r="AY2651" s="6" t="s">
        <v>81</v>
      </c>
      <c r="AZ2651" s="6" t="s">
        <v>81</v>
      </c>
      <c r="BA2651" s="6" t="s">
        <v>81</v>
      </c>
      <c r="BB2651" s="24" t="n">
        <v>110</v>
      </c>
      <c r="BC2651" s="26"/>
      <c r="BD2651" s="26"/>
      <c r="BE2651" s="26"/>
      <c r="BF2651" s="26"/>
      <c r="BG2651" s="26"/>
      <c r="BH2651" s="26"/>
      <c r="BI2651" s="26"/>
      <c r="BJ2651" s="26"/>
      <c r="BK2651" s="26"/>
      <c r="BL2651" s="26"/>
      <c r="BM2651" s="26"/>
      <c r="BN2651" s="26"/>
      <c r="BO2651" s="26"/>
      <c r="BP2651" s="16" t="n">
        <v>45730</v>
      </c>
      <c r="BQ2651" s="28" t="str">
        <f>HYPERLINK("https://organic.ams.usda.gov/Integrity/Certificate.aspx?cid=90&amp;nopid=7170020069")</f>
        <v>https://organic.ams.usda.gov/Integrity/Certificate.aspx?cid=90&amp;nopid=7170020069</v>
      </c>
    </row>
    <row r="2652">
      <c r="A2652" t="s">
        <v>3</v>
      </c>
      <c r="B2652" s="6" t="s">
        <v>9</v>
      </c>
      <c r="C2652" s="6" t="s">
        <v>56</v>
      </c>
      <c r="D2652" s="6" t="s">
        <v>102</v>
      </c>
      <c r="E2652" s="10" t="s">
        <v>2793</v>
      </c>
      <c r="F2652" s="6" t="s">
        <v>5497</v>
      </c>
      <c r="G2652" s="6" t="s">
        <v>81</v>
      </c>
      <c r="H2652" s="6" t="s">
        <v>8306</v>
      </c>
      <c r="I2652" s="6" t="s">
        <v>9628</v>
      </c>
      <c r="J2652" s="6" t="s">
        <v>9665</v>
      </c>
      <c r="K2652" s="6" t="s">
        <v>10886</v>
      </c>
      <c r="L2652" s="16" t="n">
        <v>43699</v>
      </c>
      <c r="M2652" s="16" t="n">
        <v>45748</v>
      </c>
      <c r="N2652" s="6" t="s">
        <v>10886</v>
      </c>
      <c r="O2652" s="16" t="n">
        <v>43699</v>
      </c>
      <c r="P2652" s="6" t="s">
        <v>12231</v>
      </c>
      <c r="Q2652" s="6" t="s">
        <v>81</v>
      </c>
      <c r="R2652" s="6" t="s">
        <v>13134</v>
      </c>
      <c r="S2652" s="6" t="s">
        <v>10886</v>
      </c>
      <c r="T2652" s="16" t="n">
        <v>43699</v>
      </c>
      <c r="U2652" s="6" t="s">
        <v>13168</v>
      </c>
      <c r="V2652" s="6" t="s">
        <v>81</v>
      </c>
      <c r="W2652" s="6" t="s">
        <v>13134</v>
      </c>
      <c r="X2652" s="6" t="s">
        <v>81</v>
      </c>
      <c r="Y2652" s="21" t="s">
        <v>81</v>
      </c>
      <c r="Z2652" s="6" t="s">
        <v>81</v>
      </c>
      <c r="AA2652" s="6" t="s">
        <v>81</v>
      </c>
      <c r="AB2652" s="6" t="s">
        <v>81</v>
      </c>
      <c r="AC2652" s="6" t="s">
        <v>81</v>
      </c>
      <c r="AD2652" s="21" t="s">
        <v>81</v>
      </c>
      <c r="AE2652" s="6" t="s">
        <v>81</v>
      </c>
      <c r="AF2652" s="6" t="s">
        <v>81</v>
      </c>
      <c r="AG2652" s="6" t="s">
        <v>81</v>
      </c>
      <c r="AH2652" s="6" t="s">
        <v>17185</v>
      </c>
      <c r="AI2652" s="6" t="s">
        <v>81</v>
      </c>
      <c r="AJ2652" s="6" t="s">
        <v>17392</v>
      </c>
      <c r="AK2652" s="6" t="s">
        <v>18379</v>
      </c>
      <c r="AL2652" s="6" t="s">
        <v>18444</v>
      </c>
      <c r="AM2652" s="6" t="s">
        <v>18548</v>
      </c>
      <c r="AN2652" s="6" t="s">
        <v>19637</v>
      </c>
      <c r="AO2652" s="6" t="s">
        <v>19723</v>
      </c>
      <c r="AP2652" s="6" t="s">
        <v>81</v>
      </c>
      <c r="AQ2652" s="6" t="s">
        <v>81</v>
      </c>
      <c r="AR2652" s="6" t="s">
        <v>81</v>
      </c>
      <c r="AS2652" s="6" t="s">
        <v>81</v>
      </c>
      <c r="AT2652" s="6" t="s">
        <v>81</v>
      </c>
      <c r="AU2652" s="6" t="s">
        <v>81</v>
      </c>
      <c r="AV2652" s="6" t="s">
        <v>81</v>
      </c>
      <c r="AW2652" s="6" t="s">
        <v>81</v>
      </c>
      <c r="AX2652" s="6" t="s">
        <v>22487</v>
      </c>
      <c r="AY2652" s="6" t="s">
        <v>81</v>
      </c>
      <c r="AZ2652" s="6" t="s">
        <v>81</v>
      </c>
      <c r="BA2652" s="6" t="s">
        <v>81</v>
      </c>
      <c r="BB2652" s="24" t="n">
        <v>148</v>
      </c>
      <c r="BC2652" s="26"/>
      <c r="BD2652" s="26"/>
      <c r="BE2652" s="26"/>
      <c r="BF2652" s="26"/>
      <c r="BG2652" s="26"/>
      <c r="BH2652" s="26"/>
      <c r="BI2652" s="26"/>
      <c r="BJ2652" s="26"/>
      <c r="BK2652" s="26"/>
      <c r="BL2652" s="26"/>
      <c r="BM2652" s="26"/>
      <c r="BN2652" s="26"/>
      <c r="BO2652" s="26"/>
      <c r="BP2652" s="16" t="n">
        <v>45738</v>
      </c>
      <c r="BQ2652" s="28" t="str">
        <f>HYPERLINK("https://organic.ams.usda.gov/Integrity/Certificate.aspx?cid=52&amp;nopid=8431901665")</f>
        <v>https://organic.ams.usda.gov/Integrity/Certificate.aspx?cid=52&amp;nopid=8431901665</v>
      </c>
    </row>
    <row r="2653">
      <c r="A2653" t="s">
        <v>3</v>
      </c>
      <c r="B2653" s="6" t="s">
        <v>35</v>
      </c>
      <c r="C2653" s="6" t="s">
        <v>82</v>
      </c>
      <c r="D2653" s="6" t="s">
        <v>127</v>
      </c>
      <c r="E2653" s="10" t="s">
        <v>2794</v>
      </c>
      <c r="F2653" s="6" t="s">
        <v>5498</v>
      </c>
      <c r="G2653" s="6" t="s">
        <v>81</v>
      </c>
      <c r="H2653" s="6" t="s">
        <v>8307</v>
      </c>
      <c r="I2653" s="6" t="s">
        <v>9629</v>
      </c>
      <c r="J2653" s="6" t="s">
        <v>10616</v>
      </c>
      <c r="K2653" s="6" t="s">
        <v>10886</v>
      </c>
      <c r="L2653" s="16" t="n">
        <v>37880</v>
      </c>
      <c r="M2653" s="16" t="n">
        <v>45798</v>
      </c>
      <c r="N2653" s="6" t="s">
        <v>10886</v>
      </c>
      <c r="O2653" s="16" t="n">
        <v>37880</v>
      </c>
      <c r="P2653" s="6" t="s">
        <v>11161</v>
      </c>
      <c r="Q2653" s="6" t="s">
        <v>81</v>
      </c>
      <c r="R2653" s="6" t="s">
        <v>13135</v>
      </c>
      <c r="S2653" s="6" t="s">
        <v>10886</v>
      </c>
      <c r="T2653" s="16" t="n">
        <v>37880</v>
      </c>
      <c r="U2653" s="6" t="s">
        <v>13938</v>
      </c>
      <c r="V2653" s="6" t="s">
        <v>81</v>
      </c>
      <c r="W2653" s="6" t="s">
        <v>13135</v>
      </c>
      <c r="X2653" s="6" t="s">
        <v>81</v>
      </c>
      <c r="Y2653" s="21" t="s">
        <v>81</v>
      </c>
      <c r="Z2653" s="6" t="s">
        <v>81</v>
      </c>
      <c r="AA2653" s="6" t="s">
        <v>81</v>
      </c>
      <c r="AB2653" s="6" t="s">
        <v>81</v>
      </c>
      <c r="AC2653" s="6" t="s">
        <v>81</v>
      </c>
      <c r="AD2653" s="21" t="s">
        <v>81</v>
      </c>
      <c r="AE2653" s="6" t="s">
        <v>81</v>
      </c>
      <c r="AF2653" s="6" t="s">
        <v>81</v>
      </c>
      <c r="AG2653" s="6" t="s">
        <v>81</v>
      </c>
      <c r="AH2653" s="6" t="s">
        <v>17186</v>
      </c>
      <c r="AI2653" s="6" t="s">
        <v>81</v>
      </c>
      <c r="AJ2653" s="6" t="s">
        <v>18351</v>
      </c>
      <c r="AK2653" s="6" t="s">
        <v>18405</v>
      </c>
      <c r="AL2653" s="6" t="s">
        <v>18444</v>
      </c>
      <c r="AM2653" s="6" t="s">
        <v>19601</v>
      </c>
      <c r="AN2653" s="6" t="s">
        <v>19683</v>
      </c>
      <c r="AO2653" s="6" t="s">
        <v>20017</v>
      </c>
      <c r="AP2653" s="6" t="s">
        <v>20461</v>
      </c>
      <c r="AQ2653" s="6" t="s">
        <v>81</v>
      </c>
      <c r="AR2653" s="6" t="s">
        <v>18351</v>
      </c>
      <c r="AS2653" s="6" t="s">
        <v>18405</v>
      </c>
      <c r="AT2653" s="6" t="s">
        <v>18444</v>
      </c>
      <c r="AU2653" s="6" t="s">
        <v>19601</v>
      </c>
      <c r="AV2653" s="6" t="s">
        <v>81</v>
      </c>
      <c r="AW2653" s="6" t="s">
        <v>81</v>
      </c>
      <c r="AX2653" s="6" t="s">
        <v>22488</v>
      </c>
      <c r="AY2653" s="6" t="s">
        <v>23535</v>
      </c>
      <c r="AZ2653" s="6" t="s">
        <v>81</v>
      </c>
      <c r="BA2653" s="6" t="s">
        <v>81</v>
      </c>
      <c r="BB2653" s="24" t="n">
        <v>200</v>
      </c>
      <c r="BC2653" s="26"/>
      <c r="BD2653" s="26"/>
      <c r="BE2653" s="26"/>
      <c r="BF2653" s="26"/>
      <c r="BG2653" s="26"/>
      <c r="BH2653" s="26"/>
      <c r="BI2653" s="26"/>
      <c r="BJ2653" s="26"/>
      <c r="BK2653" s="26"/>
      <c r="BL2653" s="26"/>
      <c r="BM2653" s="26"/>
      <c r="BN2653" s="26"/>
      <c r="BO2653" s="26"/>
      <c r="BP2653" s="16" t="n">
        <v>45701</v>
      </c>
      <c r="BQ2653" s="28" t="str">
        <f>HYPERLINK("https://organic.ams.usda.gov/Integrity/Certificate.aspx?cid=47&amp;nopid=7142071384")</f>
        <v>https://organic.ams.usda.gov/Integrity/Certificate.aspx?cid=47&amp;nopid=7142071384</v>
      </c>
    </row>
    <row r="2654">
      <c r="A2654" t="s">
        <v>3</v>
      </c>
      <c r="B2654" s="6" t="s">
        <v>35</v>
      </c>
      <c r="C2654" s="6" t="s">
        <v>82</v>
      </c>
      <c r="D2654" s="6" t="s">
        <v>127</v>
      </c>
      <c r="E2654" s="10" t="s">
        <v>2795</v>
      </c>
      <c r="F2654" s="6" t="s">
        <v>5499</v>
      </c>
      <c r="G2654" s="6" t="s">
        <v>81</v>
      </c>
      <c r="H2654" s="6" t="s">
        <v>8308</v>
      </c>
      <c r="I2654" s="6" t="s">
        <v>9252</v>
      </c>
      <c r="J2654" s="6" t="s">
        <v>10850</v>
      </c>
      <c r="K2654" s="6" t="s">
        <v>10886</v>
      </c>
      <c r="L2654" s="16" t="n">
        <v>41894</v>
      </c>
      <c r="M2654" s="16" t="n">
        <v>45762</v>
      </c>
      <c r="N2654" s="6" t="s">
        <v>10886</v>
      </c>
      <c r="O2654" s="16" t="n">
        <v>41894</v>
      </c>
      <c r="P2654" s="6" t="s">
        <v>12368</v>
      </c>
      <c r="Q2654" s="6" t="s">
        <v>81</v>
      </c>
      <c r="R2654" s="6" t="s">
        <v>6818</v>
      </c>
      <c r="S2654" s="6" t="s">
        <v>10886</v>
      </c>
      <c r="T2654" s="16" t="n">
        <v>41894</v>
      </c>
      <c r="U2654" s="6" t="s">
        <v>13939</v>
      </c>
      <c r="V2654" s="6" t="s">
        <v>81</v>
      </c>
      <c r="W2654" s="6" t="s">
        <v>6818</v>
      </c>
      <c r="X2654" s="6" t="s">
        <v>81</v>
      </c>
      <c r="Y2654" s="21" t="s">
        <v>81</v>
      </c>
      <c r="Z2654" s="6" t="s">
        <v>81</v>
      </c>
      <c r="AA2654" s="6" t="s">
        <v>81</v>
      </c>
      <c r="AB2654" s="6" t="s">
        <v>81</v>
      </c>
      <c r="AC2654" s="6" t="s">
        <v>81</v>
      </c>
      <c r="AD2654" s="21" t="s">
        <v>81</v>
      </c>
      <c r="AE2654" s="6" t="s">
        <v>81</v>
      </c>
      <c r="AF2654" s="6" t="s">
        <v>81</v>
      </c>
      <c r="AG2654" s="6" t="s">
        <v>81</v>
      </c>
      <c r="AH2654" s="6" t="s">
        <v>17187</v>
      </c>
      <c r="AI2654" s="6" t="s">
        <v>81</v>
      </c>
      <c r="AJ2654" s="6" t="s">
        <v>18292</v>
      </c>
      <c r="AK2654" s="6" t="s">
        <v>18405</v>
      </c>
      <c r="AL2654" s="6" t="s">
        <v>18444</v>
      </c>
      <c r="AM2654" s="6" t="s">
        <v>19520</v>
      </c>
      <c r="AN2654" s="6" t="s">
        <v>19692</v>
      </c>
      <c r="AO2654" s="6" t="s">
        <v>19751</v>
      </c>
      <c r="AP2654" s="6" t="s">
        <v>17187</v>
      </c>
      <c r="AQ2654" s="6" t="s">
        <v>81</v>
      </c>
      <c r="AR2654" s="6" t="s">
        <v>18292</v>
      </c>
      <c r="AS2654" s="6" t="s">
        <v>18405</v>
      </c>
      <c r="AT2654" s="6" t="s">
        <v>18444</v>
      </c>
      <c r="AU2654" s="6" t="s">
        <v>19520</v>
      </c>
      <c r="AV2654" s="6" t="s">
        <v>81</v>
      </c>
      <c r="AW2654" s="6" t="s">
        <v>81</v>
      </c>
      <c r="AX2654" s="6" t="s">
        <v>22489</v>
      </c>
      <c r="AY2654" s="6" t="s">
        <v>23536</v>
      </c>
      <c r="AZ2654" s="6" t="s">
        <v>81</v>
      </c>
      <c r="BA2654" s="6" t="s">
        <v>81</v>
      </c>
      <c r="BB2654" s="24" t="n">
        <v>212</v>
      </c>
      <c r="BC2654" s="26"/>
      <c r="BD2654" s="26"/>
      <c r="BE2654" s="26"/>
      <c r="BF2654" s="26"/>
      <c r="BG2654" s="26"/>
      <c r="BH2654" s="26"/>
      <c r="BI2654" s="26"/>
      <c r="BJ2654" s="26"/>
      <c r="BK2654" s="26"/>
      <c r="BL2654" s="26"/>
      <c r="BM2654" s="26"/>
      <c r="BN2654" s="26"/>
      <c r="BO2654" s="26"/>
      <c r="BP2654" s="16" t="n">
        <v>45708</v>
      </c>
      <c r="BQ2654" s="28" t="str">
        <f>HYPERLINK("https://organic.ams.usda.gov/Integrity/Certificate.aspx?cid=47&amp;nopid=7142074381")</f>
        <v>https://organic.ams.usda.gov/Integrity/Certificate.aspx?cid=47&amp;nopid=7142074381</v>
      </c>
    </row>
    <row r="2655">
      <c r="A2655" t="s">
        <v>3</v>
      </c>
      <c r="B2655" s="6" t="s">
        <v>9</v>
      </c>
      <c r="C2655" s="6" t="s">
        <v>56</v>
      </c>
      <c r="D2655" s="6" t="s">
        <v>102</v>
      </c>
      <c r="E2655" s="10" t="s">
        <v>2796</v>
      </c>
      <c r="F2655" s="6" t="s">
        <v>5500</v>
      </c>
      <c r="G2655" s="6" t="s">
        <v>81</v>
      </c>
      <c r="H2655" s="6" t="s">
        <v>8309</v>
      </c>
      <c r="I2655" s="6" t="s">
        <v>81</v>
      </c>
      <c r="J2655" s="6" t="s">
        <v>81</v>
      </c>
      <c r="K2655" s="6" t="s">
        <v>10886</v>
      </c>
      <c r="L2655" s="16" t="n">
        <v>43672</v>
      </c>
      <c r="M2655" s="16" t="n">
        <v>45748</v>
      </c>
      <c r="N2655" s="6" t="s">
        <v>10886</v>
      </c>
      <c r="O2655" s="16" t="n">
        <v>43672</v>
      </c>
      <c r="P2655" s="6" t="s">
        <v>12369</v>
      </c>
      <c r="Q2655" s="6" t="s">
        <v>81</v>
      </c>
      <c r="R2655" s="6" t="s">
        <v>13136</v>
      </c>
      <c r="S2655" s="6" t="s">
        <v>10886</v>
      </c>
      <c r="T2655" s="16" t="n">
        <v>43672</v>
      </c>
      <c r="U2655" s="6" t="s">
        <v>13162</v>
      </c>
      <c r="V2655" s="6" t="s">
        <v>81</v>
      </c>
      <c r="W2655" s="6" t="s">
        <v>13136</v>
      </c>
      <c r="X2655" s="6" t="s">
        <v>81</v>
      </c>
      <c r="Y2655" s="21" t="s">
        <v>81</v>
      </c>
      <c r="Z2655" s="6" t="s">
        <v>81</v>
      </c>
      <c r="AA2655" s="6" t="s">
        <v>81</v>
      </c>
      <c r="AB2655" s="6" t="s">
        <v>81</v>
      </c>
      <c r="AC2655" s="6" t="s">
        <v>81</v>
      </c>
      <c r="AD2655" s="21" t="s">
        <v>81</v>
      </c>
      <c r="AE2655" s="6" t="s">
        <v>81</v>
      </c>
      <c r="AF2655" s="6" t="s">
        <v>81</v>
      </c>
      <c r="AG2655" s="6" t="s">
        <v>81</v>
      </c>
      <c r="AH2655" s="6" t="s">
        <v>17188</v>
      </c>
      <c r="AI2655" s="6" t="s">
        <v>81</v>
      </c>
      <c r="AJ2655" s="6" t="s">
        <v>18352</v>
      </c>
      <c r="AK2655" s="6" t="s">
        <v>18377</v>
      </c>
      <c r="AL2655" s="6" t="s">
        <v>18444</v>
      </c>
      <c r="AM2655" s="6" t="s">
        <v>19602</v>
      </c>
      <c r="AN2655" s="6" t="s">
        <v>19651</v>
      </c>
      <c r="AO2655" s="6" t="s">
        <v>19747</v>
      </c>
      <c r="AP2655" s="6" t="s">
        <v>81</v>
      </c>
      <c r="AQ2655" s="6" t="s">
        <v>81</v>
      </c>
      <c r="AR2655" s="6" t="s">
        <v>81</v>
      </c>
      <c r="AS2655" s="6" t="s">
        <v>81</v>
      </c>
      <c r="AT2655" s="6" t="s">
        <v>81</v>
      </c>
      <c r="AU2655" s="6" t="s">
        <v>81</v>
      </c>
      <c r="AV2655" s="6" t="s">
        <v>81</v>
      </c>
      <c r="AW2655" s="6" t="s">
        <v>81</v>
      </c>
      <c r="AX2655" s="6" t="s">
        <v>22490</v>
      </c>
      <c r="AY2655" s="6" t="s">
        <v>23537</v>
      </c>
      <c r="AZ2655" s="6" t="s">
        <v>81</v>
      </c>
      <c r="BA2655" s="6" t="s">
        <v>81</v>
      </c>
      <c r="BB2655" s="24" t="n">
        <v>792</v>
      </c>
      <c r="BC2655" s="26"/>
      <c r="BD2655" s="26"/>
      <c r="BE2655" s="26"/>
      <c r="BF2655" s="26"/>
      <c r="BG2655" s="26"/>
      <c r="BH2655" s="26"/>
      <c r="BI2655" s="26"/>
      <c r="BJ2655" s="26"/>
      <c r="BK2655" s="26"/>
      <c r="BL2655" s="26"/>
      <c r="BM2655" s="26"/>
      <c r="BN2655" s="26"/>
      <c r="BO2655" s="26"/>
      <c r="BP2655" s="16" t="n">
        <v>45738</v>
      </c>
      <c r="BQ2655" s="28" t="str">
        <f>HYPERLINK("https://organic.ams.usda.gov/Integrity/Certificate.aspx?cid=52&amp;nopid=8431901646")</f>
        <v>https://organic.ams.usda.gov/Integrity/Certificate.aspx?cid=52&amp;nopid=8431901646</v>
      </c>
    </row>
    <row r="2656">
      <c r="A2656" t="s">
        <v>3</v>
      </c>
      <c r="B2656" s="6" t="s">
        <v>8</v>
      </c>
      <c r="C2656" s="6" t="s">
        <v>55</v>
      </c>
      <c r="D2656" s="6" t="s">
        <v>101</v>
      </c>
      <c r="E2656" s="10" t="s">
        <v>2797</v>
      </c>
      <c r="F2656" s="6" t="s">
        <v>5501</v>
      </c>
      <c r="G2656" s="6" t="s">
        <v>81</v>
      </c>
      <c r="H2656" s="6" t="s">
        <v>8310</v>
      </c>
      <c r="I2656" s="6" t="s">
        <v>9385</v>
      </c>
      <c r="J2656" s="6" t="s">
        <v>9842</v>
      </c>
      <c r="K2656" s="6" t="s">
        <v>10886</v>
      </c>
      <c r="L2656" s="16" t="n">
        <v>36733</v>
      </c>
      <c r="M2656" s="16" t="n">
        <v>45748</v>
      </c>
      <c r="N2656" s="6" t="s">
        <v>10886</v>
      </c>
      <c r="O2656" s="16" t="n">
        <v>36733</v>
      </c>
      <c r="P2656" s="6" t="s">
        <v>12370</v>
      </c>
      <c r="Q2656" s="6" t="s">
        <v>81</v>
      </c>
      <c r="R2656" s="6" t="s">
        <v>8310</v>
      </c>
      <c r="S2656" s="6" t="s">
        <v>10886</v>
      </c>
      <c r="T2656" s="16" t="n">
        <v>36733</v>
      </c>
      <c r="U2656" s="6" t="s">
        <v>13161</v>
      </c>
      <c r="V2656" s="6" t="s">
        <v>81</v>
      </c>
      <c r="W2656" s="6" t="s">
        <v>8310</v>
      </c>
      <c r="X2656" s="6" t="s">
        <v>81</v>
      </c>
      <c r="Y2656" s="21" t="s">
        <v>81</v>
      </c>
      <c r="Z2656" s="6" t="s">
        <v>81</v>
      </c>
      <c r="AA2656" s="6" t="s">
        <v>81</v>
      </c>
      <c r="AB2656" s="6" t="s">
        <v>81</v>
      </c>
      <c r="AC2656" s="6" t="s">
        <v>81</v>
      </c>
      <c r="AD2656" s="21" t="s">
        <v>81</v>
      </c>
      <c r="AE2656" s="6" t="s">
        <v>81</v>
      </c>
      <c r="AF2656" s="6" t="s">
        <v>81</v>
      </c>
      <c r="AG2656" s="6" t="s">
        <v>81</v>
      </c>
      <c r="AH2656" s="6" t="s">
        <v>17189</v>
      </c>
      <c r="AI2656" s="6" t="s">
        <v>81</v>
      </c>
      <c r="AJ2656" s="6" t="s">
        <v>17503</v>
      </c>
      <c r="AK2656" s="6" t="s">
        <v>18377</v>
      </c>
      <c r="AL2656" s="6" t="s">
        <v>18444</v>
      </c>
      <c r="AM2656" s="6" t="s">
        <v>18664</v>
      </c>
      <c r="AN2656" s="6" t="s">
        <v>19643</v>
      </c>
      <c r="AO2656" s="6" t="s">
        <v>19730</v>
      </c>
      <c r="AP2656" s="6" t="s">
        <v>81</v>
      </c>
      <c r="AQ2656" s="6" t="s">
        <v>81</v>
      </c>
      <c r="AR2656" s="6" t="s">
        <v>81</v>
      </c>
      <c r="AS2656" s="6" t="s">
        <v>81</v>
      </c>
      <c r="AT2656" s="6" t="s">
        <v>81</v>
      </c>
      <c r="AU2656" s="6" t="s">
        <v>81</v>
      </c>
      <c r="AV2656" s="6" t="s">
        <v>81</v>
      </c>
      <c r="AW2656" s="6" t="s">
        <v>81</v>
      </c>
      <c r="AX2656" s="6" t="s">
        <v>81</v>
      </c>
      <c r="AY2656" s="6" t="s">
        <v>23538</v>
      </c>
      <c r="AZ2656" s="6" t="s">
        <v>81</v>
      </c>
      <c r="BA2656" s="6" t="s">
        <v>23819</v>
      </c>
      <c r="BB2656" s="24" t="n">
        <v>1394</v>
      </c>
      <c r="BC2656" s="26"/>
      <c r="BD2656" s="26"/>
      <c r="BE2656" s="26"/>
      <c r="BF2656" s="26"/>
      <c r="BG2656" s="26"/>
      <c r="BH2656" s="26"/>
      <c r="BI2656" s="26"/>
      <c r="BJ2656" s="26"/>
      <c r="BK2656" s="26"/>
      <c r="BL2656" s="26"/>
      <c r="BM2656" s="26"/>
      <c r="BN2656" s="26"/>
      <c r="BO2656" s="26"/>
      <c r="BP2656" s="16" t="n">
        <v>45645</v>
      </c>
      <c r="BQ2656" s="28" t="str">
        <f>HYPERLINK("https://organic.ams.usda.gov/Integrity/Certificate.aspx?cid=45&amp;nopid=9950000328")</f>
        <v>https://organic.ams.usda.gov/Integrity/Certificate.aspx?cid=45&amp;nopid=9950000328</v>
      </c>
    </row>
    <row r="2657">
      <c r="A2657" t="s">
        <v>3</v>
      </c>
      <c r="B2657" s="6" t="s">
        <v>29</v>
      </c>
      <c r="C2657" s="6" t="s">
        <v>76</v>
      </c>
      <c r="D2657" s="6" t="s">
        <v>122</v>
      </c>
      <c r="E2657" s="10" t="s">
        <v>2798</v>
      </c>
      <c r="F2657" s="6" t="s">
        <v>5502</v>
      </c>
      <c r="G2657" s="6" t="s">
        <v>81</v>
      </c>
      <c r="H2657" s="6" t="s">
        <v>8311</v>
      </c>
      <c r="I2657" s="6" t="s">
        <v>9630</v>
      </c>
      <c r="J2657" s="6" t="s">
        <v>9759</v>
      </c>
      <c r="K2657" s="6" t="s">
        <v>10886</v>
      </c>
      <c r="L2657" s="16" t="n">
        <v>40049</v>
      </c>
      <c r="M2657" s="16" t="n">
        <v>45505</v>
      </c>
      <c r="N2657" s="6" t="s">
        <v>10886</v>
      </c>
      <c r="O2657" s="16" t="n">
        <v>40049</v>
      </c>
      <c r="P2657" s="6" t="s">
        <v>12371</v>
      </c>
      <c r="Q2657" s="6" t="s">
        <v>81</v>
      </c>
      <c r="R2657" s="6" t="s">
        <v>13137</v>
      </c>
      <c r="S2657" s="6" t="s">
        <v>10886</v>
      </c>
      <c r="T2657" s="16" t="n">
        <v>40049</v>
      </c>
      <c r="U2657" s="6" t="s">
        <v>13940</v>
      </c>
      <c r="V2657" s="6" t="s">
        <v>81</v>
      </c>
      <c r="W2657" s="6" t="s">
        <v>13137</v>
      </c>
      <c r="X2657" s="6" t="s">
        <v>81</v>
      </c>
      <c r="Y2657" s="21" t="s">
        <v>81</v>
      </c>
      <c r="Z2657" s="6" t="s">
        <v>81</v>
      </c>
      <c r="AA2657" s="6" t="s">
        <v>81</v>
      </c>
      <c r="AB2657" s="6" t="s">
        <v>81</v>
      </c>
      <c r="AC2657" s="6" t="s">
        <v>81</v>
      </c>
      <c r="AD2657" s="21" t="s">
        <v>81</v>
      </c>
      <c r="AE2657" s="6" t="s">
        <v>81</v>
      </c>
      <c r="AF2657" s="6" t="s">
        <v>81</v>
      </c>
      <c r="AG2657" s="6" t="s">
        <v>81</v>
      </c>
      <c r="AH2657" s="6" t="s">
        <v>17190</v>
      </c>
      <c r="AI2657" s="6" t="s">
        <v>81</v>
      </c>
      <c r="AJ2657" s="6" t="s">
        <v>17973</v>
      </c>
      <c r="AK2657" s="6" t="s">
        <v>17712</v>
      </c>
      <c r="AL2657" s="6" t="s">
        <v>18444</v>
      </c>
      <c r="AM2657" s="6" t="s">
        <v>19160</v>
      </c>
      <c r="AN2657" s="6" t="s">
        <v>19634</v>
      </c>
      <c r="AO2657" s="6" t="s">
        <v>19719</v>
      </c>
      <c r="AP2657" s="6" t="s">
        <v>81</v>
      </c>
      <c r="AQ2657" s="6" t="s">
        <v>81</v>
      </c>
      <c r="AR2657" s="6" t="s">
        <v>81</v>
      </c>
      <c r="AS2657" s="6" t="s">
        <v>81</v>
      </c>
      <c r="AT2657" s="6" t="s">
        <v>81</v>
      </c>
      <c r="AU2657" s="6" t="s">
        <v>81</v>
      </c>
      <c r="AV2657" s="6" t="s">
        <v>81</v>
      </c>
      <c r="AW2657" s="6" t="s">
        <v>81</v>
      </c>
      <c r="AX2657" s="6" t="s">
        <v>22491</v>
      </c>
      <c r="AY2657" s="6" t="s">
        <v>81</v>
      </c>
      <c r="AZ2657" s="6" t="s">
        <v>81</v>
      </c>
      <c r="BA2657" s="6" t="s">
        <v>81</v>
      </c>
      <c r="BB2657" s="24" t="n">
        <v>189</v>
      </c>
      <c r="BC2657" s="26"/>
      <c r="BD2657" s="26"/>
      <c r="BE2657" s="26"/>
      <c r="BF2657" s="26" t="s">
        <v>23900</v>
      </c>
      <c r="BG2657" s="26"/>
      <c r="BH2657" s="26"/>
      <c r="BI2657" s="26"/>
      <c r="BJ2657" s="26"/>
      <c r="BK2657" s="26"/>
      <c r="BL2657" s="26"/>
      <c r="BM2657" s="26"/>
      <c r="BN2657" s="26"/>
      <c r="BO2657" s="26"/>
      <c r="BP2657" s="16" t="n">
        <v>45737</v>
      </c>
      <c r="BQ2657" s="28" t="str">
        <f>HYPERLINK("https://organic.ams.usda.gov/Integrity/Certificate.aspx?cid=31&amp;nopid=3920897863")</f>
        <v>https://organic.ams.usda.gov/Integrity/Certificate.aspx?cid=31&amp;nopid=3920897863</v>
      </c>
    </row>
    <row r="2658">
      <c r="A2658" t="s">
        <v>3</v>
      </c>
      <c r="B2658" s="6" t="s">
        <v>12</v>
      </c>
      <c r="C2658" s="6" t="s">
        <v>59</v>
      </c>
      <c r="D2658" s="6" t="s">
        <v>105</v>
      </c>
      <c r="E2658" s="10" t="s">
        <v>2799</v>
      </c>
      <c r="F2658" s="6" t="s">
        <v>5503</v>
      </c>
      <c r="G2658" s="6" t="s">
        <v>81</v>
      </c>
      <c r="H2658" s="6" t="s">
        <v>8312</v>
      </c>
      <c r="I2658" s="6" t="s">
        <v>9631</v>
      </c>
      <c r="J2658" s="6" t="s">
        <v>9664</v>
      </c>
      <c r="K2658" s="6" t="s">
        <v>10886</v>
      </c>
      <c r="L2658" s="16" t="n">
        <v>42278</v>
      </c>
      <c r="M2658" s="16" t="n">
        <v>46082</v>
      </c>
      <c r="N2658" s="6" t="s">
        <v>10886</v>
      </c>
      <c r="O2658" s="16" t="n">
        <v>42278</v>
      </c>
      <c r="P2658" s="6" t="s">
        <v>12372</v>
      </c>
      <c r="Q2658" s="6" t="s">
        <v>81</v>
      </c>
      <c r="R2658" s="6" t="s">
        <v>81</v>
      </c>
      <c r="S2658" s="6" t="s">
        <v>10886</v>
      </c>
      <c r="T2658" s="16" t="n">
        <v>42278</v>
      </c>
      <c r="U2658" s="6" t="s">
        <v>13262</v>
      </c>
      <c r="V2658" s="6" t="s">
        <v>81</v>
      </c>
      <c r="W2658" s="6" t="s">
        <v>81</v>
      </c>
      <c r="X2658" s="6" t="s">
        <v>81</v>
      </c>
      <c r="Y2658" s="21" t="s">
        <v>81</v>
      </c>
      <c r="Z2658" s="6" t="s">
        <v>81</v>
      </c>
      <c r="AA2658" s="6" t="s">
        <v>81</v>
      </c>
      <c r="AB2658" s="6" t="s">
        <v>81</v>
      </c>
      <c r="AC2658" s="6" t="s">
        <v>81</v>
      </c>
      <c r="AD2658" s="21" t="s">
        <v>81</v>
      </c>
      <c r="AE2658" s="6" t="s">
        <v>81</v>
      </c>
      <c r="AF2658" s="6" t="s">
        <v>81</v>
      </c>
      <c r="AG2658" s="6" t="s">
        <v>81</v>
      </c>
      <c r="AH2658" s="6" t="s">
        <v>17191</v>
      </c>
      <c r="AI2658" s="6" t="s">
        <v>81</v>
      </c>
      <c r="AJ2658" s="6" t="s">
        <v>18353</v>
      </c>
      <c r="AK2658" s="6" t="s">
        <v>18380</v>
      </c>
      <c r="AL2658" s="6" t="s">
        <v>18444</v>
      </c>
      <c r="AM2658" s="6" t="s">
        <v>19603</v>
      </c>
      <c r="AN2658" s="6" t="s">
        <v>19642</v>
      </c>
      <c r="AO2658" s="6" t="s">
        <v>20058</v>
      </c>
      <c r="AP2658" s="6" t="s">
        <v>17191</v>
      </c>
      <c r="AQ2658" s="6" t="s">
        <v>81</v>
      </c>
      <c r="AR2658" s="6" t="s">
        <v>18353</v>
      </c>
      <c r="AS2658" s="6" t="s">
        <v>18380</v>
      </c>
      <c r="AT2658" s="6" t="s">
        <v>18444</v>
      </c>
      <c r="AU2658" s="6" t="s">
        <v>19603</v>
      </c>
      <c r="AV2658" s="6" t="s">
        <v>81</v>
      </c>
      <c r="AW2658" s="6" t="s">
        <v>81</v>
      </c>
      <c r="AX2658" s="6" t="s">
        <v>22492</v>
      </c>
      <c r="AY2658" s="6" t="s">
        <v>81</v>
      </c>
      <c r="AZ2658" s="6" t="s">
        <v>81</v>
      </c>
      <c r="BA2658" s="6" t="s">
        <v>81</v>
      </c>
      <c r="BB2658" s="24" t="n">
        <v>136</v>
      </c>
      <c r="BC2658" s="26"/>
      <c r="BD2658" s="26"/>
      <c r="BE2658" s="26"/>
      <c r="BF2658" s="26" t="s">
        <v>23900</v>
      </c>
      <c r="BG2658" s="26"/>
      <c r="BH2658" s="26"/>
      <c r="BI2658" s="26"/>
      <c r="BJ2658" s="26"/>
      <c r="BK2658" s="26"/>
      <c r="BL2658" s="26"/>
      <c r="BM2658" s="26"/>
      <c r="BN2658" s="26"/>
      <c r="BO2658" s="26"/>
      <c r="BP2658" s="16" t="n">
        <v>45734</v>
      </c>
      <c r="BQ2658" s="28" t="str">
        <f>HYPERLINK("https://organic.ams.usda.gov/Integrity/Certificate.aspx?cid=68&amp;nopid=8210003472")</f>
        <v>https://organic.ams.usda.gov/Integrity/Certificate.aspx?cid=68&amp;nopid=8210003472</v>
      </c>
    </row>
    <row r="2659">
      <c r="A2659" t="s">
        <v>3</v>
      </c>
      <c r="B2659" s="6" t="s">
        <v>8</v>
      </c>
      <c r="C2659" s="6" t="s">
        <v>55</v>
      </c>
      <c r="D2659" s="6" t="s">
        <v>101</v>
      </c>
      <c r="E2659" s="10" t="s">
        <v>2800</v>
      </c>
      <c r="F2659" s="6" t="s">
        <v>5504</v>
      </c>
      <c r="G2659" s="6" t="s">
        <v>5882</v>
      </c>
      <c r="H2659" s="6" t="s">
        <v>5937</v>
      </c>
      <c r="I2659" s="6" t="s">
        <v>8521</v>
      </c>
      <c r="J2659" s="6" t="s">
        <v>10851</v>
      </c>
      <c r="K2659" s="6" t="s">
        <v>10886</v>
      </c>
      <c r="L2659" s="16" t="n">
        <v>40213</v>
      </c>
      <c r="M2659" s="16" t="n">
        <v>45383</v>
      </c>
      <c r="N2659" s="6" t="s">
        <v>10886</v>
      </c>
      <c r="O2659" s="16" t="n">
        <v>40213</v>
      </c>
      <c r="P2659" s="6" t="s">
        <v>12373</v>
      </c>
      <c r="Q2659" s="6" t="s">
        <v>81</v>
      </c>
      <c r="R2659" s="6" t="s">
        <v>5937</v>
      </c>
      <c r="S2659" s="6" t="s">
        <v>10886</v>
      </c>
      <c r="T2659" s="16" t="n">
        <v>40213</v>
      </c>
      <c r="U2659" s="6" t="s">
        <v>13941</v>
      </c>
      <c r="V2659" s="6" t="s">
        <v>81</v>
      </c>
      <c r="W2659" s="6" t="s">
        <v>5937</v>
      </c>
      <c r="X2659" s="6" t="s">
        <v>81</v>
      </c>
      <c r="Y2659" s="21" t="s">
        <v>81</v>
      </c>
      <c r="Z2659" s="6" t="s">
        <v>81</v>
      </c>
      <c r="AA2659" s="6" t="s">
        <v>81</v>
      </c>
      <c r="AB2659" s="6" t="s">
        <v>81</v>
      </c>
      <c r="AC2659" s="6" t="s">
        <v>81</v>
      </c>
      <c r="AD2659" s="21" t="s">
        <v>81</v>
      </c>
      <c r="AE2659" s="6" t="s">
        <v>81</v>
      </c>
      <c r="AF2659" s="6" t="s">
        <v>81</v>
      </c>
      <c r="AG2659" s="6" t="s">
        <v>81</v>
      </c>
      <c r="AH2659" s="6" t="s">
        <v>17192</v>
      </c>
      <c r="AI2659" s="6" t="s">
        <v>81</v>
      </c>
      <c r="AJ2659" s="6" t="s">
        <v>17389</v>
      </c>
      <c r="AK2659" s="6" t="s">
        <v>18381</v>
      </c>
      <c r="AL2659" s="6" t="s">
        <v>18444</v>
      </c>
      <c r="AM2659" s="6" t="s">
        <v>19604</v>
      </c>
      <c r="AN2659" s="6" t="s">
        <v>6102</v>
      </c>
      <c r="AO2659" s="6" t="s">
        <v>20076</v>
      </c>
      <c r="AP2659" s="6" t="s">
        <v>81</v>
      </c>
      <c r="AQ2659" s="6" t="s">
        <v>81</v>
      </c>
      <c r="AR2659" s="6" t="s">
        <v>81</v>
      </c>
      <c r="AS2659" s="6" t="s">
        <v>81</v>
      </c>
      <c r="AT2659" s="6" t="s">
        <v>81</v>
      </c>
      <c r="AU2659" s="6" t="s">
        <v>81</v>
      </c>
      <c r="AV2659" s="6" t="s">
        <v>81</v>
      </c>
      <c r="AW2659" s="6" t="s">
        <v>81</v>
      </c>
      <c r="AX2659" s="6" t="s">
        <v>81</v>
      </c>
      <c r="AY2659" s="6" t="s">
        <v>23539</v>
      </c>
      <c r="AZ2659" s="6" t="s">
        <v>23808</v>
      </c>
      <c r="BA2659" s="6" t="s">
        <v>23824</v>
      </c>
      <c r="BB2659" s="24" t="n">
        <v>706</v>
      </c>
      <c r="BC2659" s="26"/>
      <c r="BD2659" s="26"/>
      <c r="BE2659" s="26"/>
      <c r="BF2659" s="26" t="s">
        <v>23900</v>
      </c>
      <c r="BG2659" s="26"/>
      <c r="BH2659" s="26"/>
      <c r="BI2659" s="26"/>
      <c r="BJ2659" s="26"/>
      <c r="BK2659" s="26"/>
      <c r="BL2659" s="26"/>
      <c r="BM2659" s="26"/>
      <c r="BN2659" s="26"/>
      <c r="BO2659" s="26"/>
      <c r="BP2659" s="16" t="n">
        <v>45483</v>
      </c>
      <c r="BQ2659" s="28" t="str">
        <f>HYPERLINK("https://organic.ams.usda.gov/Integrity/Certificate.aspx?cid=45&amp;nopid=9950003429")</f>
        <v>https://organic.ams.usda.gov/Integrity/Certificate.aspx?cid=45&amp;nopid=9950003429</v>
      </c>
    </row>
    <row r="2660">
      <c r="A2660" t="s">
        <v>3</v>
      </c>
      <c r="B2660" s="6" t="s">
        <v>8</v>
      </c>
      <c r="C2660" s="6" t="s">
        <v>55</v>
      </c>
      <c r="D2660" s="6" t="s">
        <v>101</v>
      </c>
      <c r="E2660" s="10" t="s">
        <v>2801</v>
      </c>
      <c r="F2660" s="6" t="s">
        <v>5505</v>
      </c>
      <c r="G2660" s="6" t="s">
        <v>5883</v>
      </c>
      <c r="H2660" s="6" t="s">
        <v>8313</v>
      </c>
      <c r="I2660" s="6" t="s">
        <v>9252</v>
      </c>
      <c r="J2660" s="6" t="s">
        <v>9749</v>
      </c>
      <c r="K2660" s="6" t="s">
        <v>10886</v>
      </c>
      <c r="L2660" s="16" t="n">
        <v>41569</v>
      </c>
      <c r="M2660" s="16" t="n">
        <v>45383</v>
      </c>
      <c r="N2660" s="6" t="s">
        <v>10886</v>
      </c>
      <c r="O2660" s="16" t="n">
        <v>41569</v>
      </c>
      <c r="P2660" s="6" t="s">
        <v>12374</v>
      </c>
      <c r="Q2660" s="6" t="s">
        <v>81</v>
      </c>
      <c r="R2660" s="6" t="s">
        <v>8313</v>
      </c>
      <c r="S2660" s="6" t="s">
        <v>10886</v>
      </c>
      <c r="T2660" s="16" t="n">
        <v>41569</v>
      </c>
      <c r="U2660" s="6" t="s">
        <v>13265</v>
      </c>
      <c r="V2660" s="6" t="s">
        <v>81</v>
      </c>
      <c r="W2660" s="6" t="s">
        <v>8313</v>
      </c>
      <c r="X2660" s="6" t="s">
        <v>81</v>
      </c>
      <c r="Y2660" s="21" t="s">
        <v>81</v>
      </c>
      <c r="Z2660" s="6" t="s">
        <v>81</v>
      </c>
      <c r="AA2660" s="6" t="s">
        <v>81</v>
      </c>
      <c r="AB2660" s="6" t="s">
        <v>81</v>
      </c>
      <c r="AC2660" s="6" t="s">
        <v>81</v>
      </c>
      <c r="AD2660" s="21" t="s">
        <v>81</v>
      </c>
      <c r="AE2660" s="6" t="s">
        <v>81</v>
      </c>
      <c r="AF2660" s="6" t="s">
        <v>81</v>
      </c>
      <c r="AG2660" s="6" t="s">
        <v>81</v>
      </c>
      <c r="AH2660" s="6" t="s">
        <v>17193</v>
      </c>
      <c r="AI2660" s="6" t="s">
        <v>81</v>
      </c>
      <c r="AJ2660" s="6" t="s">
        <v>17536</v>
      </c>
      <c r="AK2660" s="6" t="s">
        <v>18377</v>
      </c>
      <c r="AL2660" s="6" t="s">
        <v>18444</v>
      </c>
      <c r="AM2660" s="6" t="s">
        <v>18700</v>
      </c>
      <c r="AN2660" s="6" t="s">
        <v>6842</v>
      </c>
      <c r="AO2660" s="6" t="s">
        <v>19788</v>
      </c>
      <c r="AP2660" s="6" t="s">
        <v>20462</v>
      </c>
      <c r="AQ2660" s="6" t="s">
        <v>81</v>
      </c>
      <c r="AR2660" s="6" t="s">
        <v>17536</v>
      </c>
      <c r="AS2660" s="6" t="s">
        <v>18377</v>
      </c>
      <c r="AT2660" s="6" t="s">
        <v>18444</v>
      </c>
      <c r="AU2660" s="6" t="s">
        <v>18700</v>
      </c>
      <c r="AV2660" s="6" t="s">
        <v>81</v>
      </c>
      <c r="AW2660" s="6" t="s">
        <v>81</v>
      </c>
      <c r="AX2660" s="6" t="s">
        <v>81</v>
      </c>
      <c r="AY2660" s="6" t="s">
        <v>23540</v>
      </c>
      <c r="AZ2660" s="6" t="s">
        <v>81</v>
      </c>
      <c r="BA2660" s="6" t="s">
        <v>23824</v>
      </c>
      <c r="BB2660" s="24" t="n">
        <v>430</v>
      </c>
      <c r="BC2660" s="26"/>
      <c r="BD2660" s="26"/>
      <c r="BE2660" s="26"/>
      <c r="BF2660" s="26" t="s">
        <v>23900</v>
      </c>
      <c r="BG2660" s="26"/>
      <c r="BH2660" s="26"/>
      <c r="BI2660" s="26"/>
      <c r="BJ2660" s="26"/>
      <c r="BK2660" s="26"/>
      <c r="BL2660" s="26"/>
      <c r="BM2660" s="26"/>
      <c r="BN2660" s="26"/>
      <c r="BO2660" s="26"/>
      <c r="BP2660" s="16" t="n">
        <v>45470</v>
      </c>
      <c r="BQ2660" s="28" t="str">
        <f>HYPERLINK("https://organic.ams.usda.gov/Integrity/Certificate.aspx?cid=45&amp;nopid=9950005134")</f>
        <v>https://organic.ams.usda.gov/Integrity/Certificate.aspx?cid=45&amp;nopid=9950005134</v>
      </c>
    </row>
    <row r="2661">
      <c r="A2661" t="s">
        <v>3</v>
      </c>
      <c r="B2661" s="6" t="s">
        <v>8</v>
      </c>
      <c r="C2661" s="6" t="s">
        <v>55</v>
      </c>
      <c r="D2661" s="6" t="s">
        <v>101</v>
      </c>
      <c r="E2661" s="10" t="s">
        <v>2802</v>
      </c>
      <c r="F2661" s="6" t="s">
        <v>5506</v>
      </c>
      <c r="G2661" s="6" t="s">
        <v>5884</v>
      </c>
      <c r="H2661" s="6" t="s">
        <v>8314</v>
      </c>
      <c r="I2661" s="6" t="s">
        <v>8439</v>
      </c>
      <c r="J2661" s="6" t="s">
        <v>10852</v>
      </c>
      <c r="K2661" s="6" t="s">
        <v>10886</v>
      </c>
      <c r="L2661" s="16" t="n">
        <v>38544</v>
      </c>
      <c r="M2661" s="16" t="n">
        <v>45689</v>
      </c>
      <c r="N2661" s="6" t="s">
        <v>81</v>
      </c>
      <c r="O2661" s="21" t="s">
        <v>81</v>
      </c>
      <c r="P2661" s="6" t="s">
        <v>81</v>
      </c>
      <c r="Q2661" s="6" t="s">
        <v>81</v>
      </c>
      <c r="R2661" s="6" t="s">
        <v>81</v>
      </c>
      <c r="S2661" s="6" t="s">
        <v>81</v>
      </c>
      <c r="T2661" s="21" t="s">
        <v>81</v>
      </c>
      <c r="U2661" s="6" t="s">
        <v>81</v>
      </c>
      <c r="V2661" s="6" t="s">
        <v>81</v>
      </c>
      <c r="W2661" s="6" t="s">
        <v>81</v>
      </c>
      <c r="X2661" s="6" t="s">
        <v>81</v>
      </c>
      <c r="Y2661" s="21" t="s">
        <v>81</v>
      </c>
      <c r="Z2661" s="6" t="s">
        <v>81</v>
      </c>
      <c r="AA2661" s="6" t="s">
        <v>81</v>
      </c>
      <c r="AB2661" s="6" t="s">
        <v>81</v>
      </c>
      <c r="AC2661" s="6" t="s">
        <v>10886</v>
      </c>
      <c r="AD2661" s="16" t="n">
        <v>38544</v>
      </c>
      <c r="AE2661" s="6" t="s">
        <v>14489</v>
      </c>
      <c r="AF2661" s="6" t="s">
        <v>81</v>
      </c>
      <c r="AG2661" s="6" t="s">
        <v>8314</v>
      </c>
      <c r="AH2661" s="6" t="s">
        <v>17194</v>
      </c>
      <c r="AI2661" s="6" t="s">
        <v>81</v>
      </c>
      <c r="AJ2661" s="6" t="s">
        <v>17427</v>
      </c>
      <c r="AK2661" s="6" t="s">
        <v>18377</v>
      </c>
      <c r="AL2661" s="6" t="s">
        <v>18444</v>
      </c>
      <c r="AM2661" s="6" t="s">
        <v>18584</v>
      </c>
      <c r="AN2661" s="6" t="s">
        <v>19634</v>
      </c>
      <c r="AO2661" s="6" t="s">
        <v>19764</v>
      </c>
      <c r="AP2661" s="6" t="s">
        <v>20463</v>
      </c>
      <c r="AQ2661" s="6" t="s">
        <v>81</v>
      </c>
      <c r="AR2661" s="6" t="s">
        <v>17427</v>
      </c>
      <c r="AS2661" s="6" t="s">
        <v>18377</v>
      </c>
      <c r="AT2661" s="6" t="s">
        <v>18444</v>
      </c>
      <c r="AU2661" s="6" t="s">
        <v>18584</v>
      </c>
      <c r="AV2661" s="6" t="s">
        <v>81</v>
      </c>
      <c r="AW2661" s="6" t="s">
        <v>81</v>
      </c>
      <c r="AX2661" s="6" t="s">
        <v>22493</v>
      </c>
      <c r="AY2661" s="6" t="s">
        <v>23541</v>
      </c>
      <c r="AZ2661" s="6" t="s">
        <v>23809</v>
      </c>
      <c r="BA2661" s="6" t="s">
        <v>23824</v>
      </c>
      <c r="BB2661" s="24" t="n">
        <v>0</v>
      </c>
      <c r="BC2661" s="26" t="s">
        <v>23900</v>
      </c>
      <c r="BD2661" s="26"/>
      <c r="BE2661" s="26"/>
      <c r="BF2661" s="26"/>
      <c r="BG2661" s="26" t="s">
        <v>23900</v>
      </c>
      <c r="BH2661" s="26"/>
      <c r="BI2661" s="26"/>
      <c r="BJ2661" s="26"/>
      <c r="BK2661" s="26"/>
      <c r="BL2661" s="26" t="s">
        <v>23900</v>
      </c>
      <c r="BM2661" s="26"/>
      <c r="BN2661" s="26"/>
      <c r="BO2661" s="26"/>
      <c r="BP2661" s="16" t="n">
        <v>45714</v>
      </c>
      <c r="BQ2661" s="28" t="str">
        <f>HYPERLINK("https://organic.ams.usda.gov/Integrity/Certificate.aspx?cid=45&amp;nopid=9950001809")</f>
        <v>https://organic.ams.usda.gov/Integrity/Certificate.aspx?cid=45&amp;nopid=9950001809</v>
      </c>
    </row>
    <row r="2662">
      <c r="A2662" t="s">
        <v>3</v>
      </c>
      <c r="B2662" s="6" t="s">
        <v>8</v>
      </c>
      <c r="C2662" s="6" t="s">
        <v>55</v>
      </c>
      <c r="D2662" s="6" t="s">
        <v>101</v>
      </c>
      <c r="E2662" s="10" t="s">
        <v>2803</v>
      </c>
      <c r="F2662" s="6" t="s">
        <v>5507</v>
      </c>
      <c r="G2662" s="6" t="s">
        <v>81</v>
      </c>
      <c r="H2662" s="6" t="s">
        <v>8315</v>
      </c>
      <c r="I2662" s="6" t="s">
        <v>8693</v>
      </c>
      <c r="J2662" s="6" t="s">
        <v>10853</v>
      </c>
      <c r="K2662" s="6" t="s">
        <v>10886</v>
      </c>
      <c r="L2662" s="16" t="n">
        <v>38315</v>
      </c>
      <c r="M2662" s="16" t="n">
        <v>45383</v>
      </c>
      <c r="N2662" s="6" t="s">
        <v>10886</v>
      </c>
      <c r="O2662" s="16" t="n">
        <v>38315</v>
      </c>
      <c r="P2662" s="6" t="s">
        <v>12375</v>
      </c>
      <c r="Q2662" s="6" t="s">
        <v>81</v>
      </c>
      <c r="R2662" s="6" t="s">
        <v>8315</v>
      </c>
      <c r="S2662" s="6" t="s">
        <v>10886</v>
      </c>
      <c r="T2662" s="16" t="n">
        <v>38315</v>
      </c>
      <c r="U2662" s="6" t="s">
        <v>13942</v>
      </c>
      <c r="V2662" s="6" t="s">
        <v>81</v>
      </c>
      <c r="W2662" s="6" t="s">
        <v>8315</v>
      </c>
      <c r="X2662" s="6" t="s">
        <v>81</v>
      </c>
      <c r="Y2662" s="21" t="s">
        <v>81</v>
      </c>
      <c r="Z2662" s="6" t="s">
        <v>81</v>
      </c>
      <c r="AA2662" s="6" t="s">
        <v>81</v>
      </c>
      <c r="AB2662" s="6" t="s">
        <v>81</v>
      </c>
      <c r="AC2662" s="6" t="s">
        <v>81</v>
      </c>
      <c r="AD2662" s="21" t="s">
        <v>81</v>
      </c>
      <c r="AE2662" s="6" t="s">
        <v>81</v>
      </c>
      <c r="AF2662" s="6" t="s">
        <v>81</v>
      </c>
      <c r="AG2662" s="6" t="s">
        <v>81</v>
      </c>
      <c r="AH2662" s="6" t="s">
        <v>17195</v>
      </c>
      <c r="AI2662" s="6" t="s">
        <v>81</v>
      </c>
      <c r="AJ2662" s="6" t="s">
        <v>18246</v>
      </c>
      <c r="AK2662" s="6" t="s">
        <v>18377</v>
      </c>
      <c r="AL2662" s="6" t="s">
        <v>18444</v>
      </c>
      <c r="AM2662" s="6" t="s">
        <v>19465</v>
      </c>
      <c r="AN2662" s="6" t="s">
        <v>19648</v>
      </c>
      <c r="AO2662" s="6" t="s">
        <v>19889</v>
      </c>
      <c r="AP2662" s="6" t="s">
        <v>81</v>
      </c>
      <c r="AQ2662" s="6" t="s">
        <v>81</v>
      </c>
      <c r="AR2662" s="6" t="s">
        <v>81</v>
      </c>
      <c r="AS2662" s="6" t="s">
        <v>81</v>
      </c>
      <c r="AT2662" s="6" t="s">
        <v>81</v>
      </c>
      <c r="AU2662" s="6" t="s">
        <v>81</v>
      </c>
      <c r="AV2662" s="6" t="s">
        <v>81</v>
      </c>
      <c r="AW2662" s="6" t="s">
        <v>81</v>
      </c>
      <c r="AX2662" s="6" t="s">
        <v>81</v>
      </c>
      <c r="AY2662" s="6" t="s">
        <v>81</v>
      </c>
      <c r="AZ2662" s="6" t="s">
        <v>81</v>
      </c>
      <c r="BA2662" s="6" t="s">
        <v>23819</v>
      </c>
      <c r="BB2662" s="24" t="n">
        <v>256</v>
      </c>
      <c r="BC2662" s="26"/>
      <c r="BD2662" s="26"/>
      <c r="BE2662" s="26"/>
      <c r="BF2662" s="26" t="s">
        <v>23900</v>
      </c>
      <c r="BG2662" s="26"/>
      <c r="BH2662" s="26"/>
      <c r="BI2662" s="26"/>
      <c r="BJ2662" s="26"/>
      <c r="BK2662" s="26"/>
      <c r="BL2662" s="26"/>
      <c r="BM2662" s="26"/>
      <c r="BN2662" s="26"/>
      <c r="BO2662" s="26"/>
      <c r="BP2662" s="16" t="n">
        <v>45386</v>
      </c>
      <c r="BQ2662" s="28" t="str">
        <f>HYPERLINK("https://organic.ams.usda.gov/Integrity/Certificate.aspx?cid=45&amp;nopid=9950001717")</f>
        <v>https://organic.ams.usda.gov/Integrity/Certificate.aspx?cid=45&amp;nopid=9950001717</v>
      </c>
    </row>
    <row r="2663">
      <c r="A2663" t="s">
        <v>3</v>
      </c>
      <c r="B2663" s="6" t="s">
        <v>17</v>
      </c>
      <c r="C2663" s="6" t="s">
        <v>64</v>
      </c>
      <c r="D2663" s="6" t="s">
        <v>110</v>
      </c>
      <c r="E2663" s="10" t="s">
        <v>2804</v>
      </c>
      <c r="F2663" s="6" t="s">
        <v>5508</v>
      </c>
      <c r="G2663" s="6" t="s">
        <v>81</v>
      </c>
      <c r="H2663" s="6" t="s">
        <v>8316</v>
      </c>
      <c r="I2663" s="6" t="s">
        <v>9632</v>
      </c>
      <c r="J2663" s="6" t="s">
        <v>10854</v>
      </c>
      <c r="K2663" s="6" t="s">
        <v>10886</v>
      </c>
      <c r="L2663" s="16" t="n">
        <v>40749</v>
      </c>
      <c r="M2663" s="16" t="n">
        <v>46068</v>
      </c>
      <c r="N2663" s="6" t="s">
        <v>81</v>
      </c>
      <c r="O2663" s="21" t="s">
        <v>81</v>
      </c>
      <c r="P2663" s="6" t="s">
        <v>81</v>
      </c>
      <c r="Q2663" s="6" t="s">
        <v>81</v>
      </c>
      <c r="R2663" s="6" t="s">
        <v>81</v>
      </c>
      <c r="S2663" s="6" t="s">
        <v>81</v>
      </c>
      <c r="T2663" s="21" t="s">
        <v>81</v>
      </c>
      <c r="U2663" s="6" t="s">
        <v>81</v>
      </c>
      <c r="V2663" s="6" t="s">
        <v>81</v>
      </c>
      <c r="W2663" s="6" t="s">
        <v>81</v>
      </c>
      <c r="X2663" s="6" t="s">
        <v>81</v>
      </c>
      <c r="Y2663" s="21" t="s">
        <v>81</v>
      </c>
      <c r="Z2663" s="6" t="s">
        <v>81</v>
      </c>
      <c r="AA2663" s="6" t="s">
        <v>81</v>
      </c>
      <c r="AB2663" s="6" t="s">
        <v>81</v>
      </c>
      <c r="AC2663" s="6" t="s">
        <v>10886</v>
      </c>
      <c r="AD2663" s="16" t="n">
        <v>40749</v>
      </c>
      <c r="AE2663" s="6" t="s">
        <v>14490</v>
      </c>
      <c r="AF2663" s="6" t="s">
        <v>81</v>
      </c>
      <c r="AG2663" s="6" t="s">
        <v>8316</v>
      </c>
      <c r="AH2663" s="6" t="s">
        <v>17196</v>
      </c>
      <c r="AI2663" s="6" t="s">
        <v>81</v>
      </c>
      <c r="AJ2663" s="6" t="s">
        <v>18354</v>
      </c>
      <c r="AK2663" s="6" t="s">
        <v>18403</v>
      </c>
      <c r="AL2663" s="6" t="s">
        <v>18444</v>
      </c>
      <c r="AM2663" s="6" t="s">
        <v>19605</v>
      </c>
      <c r="AN2663" s="6" t="s">
        <v>8229</v>
      </c>
      <c r="AO2663" s="6" t="s">
        <v>20077</v>
      </c>
      <c r="AP2663" s="6" t="s">
        <v>20464</v>
      </c>
      <c r="AQ2663" s="6" t="s">
        <v>81</v>
      </c>
      <c r="AR2663" s="6" t="s">
        <v>18354</v>
      </c>
      <c r="AS2663" s="6" t="s">
        <v>18403</v>
      </c>
      <c r="AT2663" s="6" t="s">
        <v>18444</v>
      </c>
      <c r="AU2663" s="6" t="s">
        <v>19605</v>
      </c>
      <c r="AV2663" s="6" t="s">
        <v>8229</v>
      </c>
      <c r="AW2663" s="6" t="s">
        <v>20077</v>
      </c>
      <c r="AX2663" s="6" t="s">
        <v>22494</v>
      </c>
      <c r="AY2663" s="6" t="s">
        <v>81</v>
      </c>
      <c r="AZ2663" s="6" t="s">
        <v>81</v>
      </c>
      <c r="BA2663" s="6" t="s">
        <v>81</v>
      </c>
      <c r="BB2663" s="6" t="s">
        <v>81</v>
      </c>
      <c r="BC2663" s="26"/>
      <c r="BD2663" s="26"/>
      <c r="BE2663" s="26"/>
      <c r="BF2663" s="26"/>
      <c r="BG2663" s="26" t="s">
        <v>23900</v>
      </c>
      <c r="BH2663" s="26"/>
      <c r="BI2663" s="26"/>
      <c r="BJ2663" s="26"/>
      <c r="BK2663" s="26"/>
      <c r="BL2663" s="26"/>
      <c r="BM2663" s="26"/>
      <c r="BN2663" s="26"/>
      <c r="BO2663" s="26"/>
      <c r="BP2663" s="16" t="n">
        <v>45728</v>
      </c>
      <c r="BQ2663" s="28" t="str">
        <f>HYPERLINK("https://organic.ams.usda.gov/Integrity/Certificate.aspx?cid=36&amp;nopid=5400000559")</f>
        <v>https://organic.ams.usda.gov/Integrity/Certificate.aspx?cid=36&amp;nopid=5400000559</v>
      </c>
    </row>
    <row r="2664">
      <c r="A2664" t="s">
        <v>3</v>
      </c>
      <c r="B2664" s="6" t="s">
        <v>23</v>
      </c>
      <c r="C2664" s="6" t="s">
        <v>70</v>
      </c>
      <c r="D2664" s="6" t="s">
        <v>116</v>
      </c>
      <c r="E2664" s="10" t="s">
        <v>2805</v>
      </c>
      <c r="F2664" s="6" t="s">
        <v>5509</v>
      </c>
      <c r="G2664" s="6" t="s">
        <v>81</v>
      </c>
      <c r="H2664" s="6" t="s">
        <v>8317</v>
      </c>
      <c r="I2664" s="6" t="s">
        <v>8955</v>
      </c>
      <c r="J2664" s="6" t="s">
        <v>10148</v>
      </c>
      <c r="K2664" s="6" t="s">
        <v>10886</v>
      </c>
      <c r="L2664" s="16" t="n">
        <v>43578</v>
      </c>
      <c r="M2664" s="16" t="n">
        <v>45770</v>
      </c>
      <c r="N2664" s="6" t="s">
        <v>81</v>
      </c>
      <c r="O2664" s="21" t="s">
        <v>81</v>
      </c>
      <c r="P2664" s="6" t="s">
        <v>81</v>
      </c>
      <c r="Q2664" s="6" t="s">
        <v>81</v>
      </c>
      <c r="R2664" s="6" t="s">
        <v>81</v>
      </c>
      <c r="S2664" s="6" t="s">
        <v>81</v>
      </c>
      <c r="T2664" s="21" t="s">
        <v>81</v>
      </c>
      <c r="U2664" s="6" t="s">
        <v>81</v>
      </c>
      <c r="V2664" s="6" t="s">
        <v>81</v>
      </c>
      <c r="W2664" s="6" t="s">
        <v>81</v>
      </c>
      <c r="X2664" s="6" t="s">
        <v>81</v>
      </c>
      <c r="Y2664" s="21" t="s">
        <v>81</v>
      </c>
      <c r="Z2664" s="6" t="s">
        <v>81</v>
      </c>
      <c r="AA2664" s="6" t="s">
        <v>81</v>
      </c>
      <c r="AB2664" s="6" t="s">
        <v>81</v>
      </c>
      <c r="AC2664" s="6" t="s">
        <v>10886</v>
      </c>
      <c r="AD2664" s="16" t="n">
        <v>43578</v>
      </c>
      <c r="AE2664" s="6" t="s">
        <v>14491</v>
      </c>
      <c r="AF2664" s="6" t="s">
        <v>81</v>
      </c>
      <c r="AG2664" s="6" t="s">
        <v>81</v>
      </c>
      <c r="AH2664" s="6" t="s">
        <v>81</v>
      </c>
      <c r="AI2664" s="6" t="s">
        <v>81</v>
      </c>
      <c r="AJ2664" s="6" t="s">
        <v>81</v>
      </c>
      <c r="AK2664" s="6" t="s">
        <v>81</v>
      </c>
      <c r="AL2664" s="6" t="s">
        <v>81</v>
      </c>
      <c r="AM2664" s="6" t="s">
        <v>81</v>
      </c>
      <c r="AN2664" s="6" t="s">
        <v>81</v>
      </c>
      <c r="AO2664" s="6" t="s">
        <v>81</v>
      </c>
      <c r="AP2664" s="6" t="s">
        <v>20328</v>
      </c>
      <c r="AQ2664" s="6" t="s">
        <v>81</v>
      </c>
      <c r="AR2664" s="6" t="s">
        <v>17506</v>
      </c>
      <c r="AS2664" s="6" t="s">
        <v>18386</v>
      </c>
      <c r="AT2664" s="6" t="s">
        <v>18444</v>
      </c>
      <c r="AU2664" s="6" t="s">
        <v>18667</v>
      </c>
      <c r="AV2664" s="6" t="s">
        <v>19651</v>
      </c>
      <c r="AW2664" s="6" t="s">
        <v>19864</v>
      </c>
      <c r="AX2664" s="6" t="s">
        <v>22495</v>
      </c>
      <c r="AY2664" s="6" t="s">
        <v>23542</v>
      </c>
      <c r="AZ2664" s="6" t="s">
        <v>81</v>
      </c>
      <c r="BA2664" s="6" t="s">
        <v>81</v>
      </c>
      <c r="BB2664" s="6" t="s">
        <v>81</v>
      </c>
      <c r="BC2664" s="26"/>
      <c r="BD2664" s="26"/>
      <c r="BE2664" s="26"/>
      <c r="BF2664" s="26"/>
      <c r="BG2664" s="26"/>
      <c r="BH2664" s="26"/>
      <c r="BI2664" s="26"/>
      <c r="BJ2664" s="26"/>
      <c r="BK2664" s="26"/>
      <c r="BL2664" s="26"/>
      <c r="BM2664" s="26"/>
      <c r="BN2664" s="26"/>
      <c r="BO2664" s="26"/>
      <c r="BP2664" s="16" t="n">
        <v>45425</v>
      </c>
      <c r="BQ2664" s="28" t="str">
        <f>HYPERLINK("https://organic.ams.usda.gov/Integrity/Certificate.aspx?cid=63&amp;nopid=6220008063")</f>
        <v>https://organic.ams.usda.gov/Integrity/Certificate.aspx?cid=63&amp;nopid=6220008063</v>
      </c>
    </row>
    <row r="2665">
      <c r="A2665" t="s">
        <v>3</v>
      </c>
      <c r="B2665" s="6" t="s">
        <v>20</v>
      </c>
      <c r="C2665" s="6" t="s">
        <v>67</v>
      </c>
      <c r="D2665" s="6" t="s">
        <v>113</v>
      </c>
      <c r="E2665" s="10" t="s">
        <v>2806</v>
      </c>
      <c r="F2665" s="6" t="s">
        <v>5510</v>
      </c>
      <c r="G2665" s="6" t="s">
        <v>81</v>
      </c>
      <c r="H2665" s="6" t="s">
        <v>8318</v>
      </c>
      <c r="I2665" s="6" t="s">
        <v>9033</v>
      </c>
      <c r="J2665" s="6" t="s">
        <v>9320</v>
      </c>
      <c r="K2665" s="6" t="s">
        <v>10886</v>
      </c>
      <c r="L2665" s="16" t="n">
        <v>38534</v>
      </c>
      <c r="M2665" s="16" t="n">
        <v>45652</v>
      </c>
      <c r="N2665" s="6" t="s">
        <v>81</v>
      </c>
      <c r="O2665" s="21" t="s">
        <v>81</v>
      </c>
      <c r="P2665" s="6" t="s">
        <v>81</v>
      </c>
      <c r="Q2665" s="6" t="s">
        <v>81</v>
      </c>
      <c r="R2665" s="6" t="s">
        <v>81</v>
      </c>
      <c r="S2665" s="6" t="s">
        <v>81</v>
      </c>
      <c r="T2665" s="21" t="s">
        <v>81</v>
      </c>
      <c r="U2665" s="6" t="s">
        <v>81</v>
      </c>
      <c r="V2665" s="6" t="s">
        <v>81</v>
      </c>
      <c r="W2665" s="6" t="s">
        <v>81</v>
      </c>
      <c r="X2665" s="6" t="s">
        <v>81</v>
      </c>
      <c r="Y2665" s="21" t="s">
        <v>81</v>
      </c>
      <c r="Z2665" s="6" t="s">
        <v>81</v>
      </c>
      <c r="AA2665" s="6" t="s">
        <v>81</v>
      </c>
      <c r="AB2665" s="6" t="s">
        <v>81</v>
      </c>
      <c r="AC2665" s="6" t="s">
        <v>10886</v>
      </c>
      <c r="AD2665" s="16" t="n">
        <v>38534</v>
      </c>
      <c r="AE2665" s="6" t="s">
        <v>14492</v>
      </c>
      <c r="AF2665" s="6" t="s">
        <v>81</v>
      </c>
      <c r="AG2665" s="6" t="s">
        <v>14611</v>
      </c>
      <c r="AH2665" s="6" t="s">
        <v>17197</v>
      </c>
      <c r="AI2665" s="6" t="s">
        <v>81</v>
      </c>
      <c r="AJ2665" s="6" t="s">
        <v>18355</v>
      </c>
      <c r="AK2665" s="6" t="s">
        <v>18402</v>
      </c>
      <c r="AL2665" s="6" t="s">
        <v>18444</v>
      </c>
      <c r="AM2665" s="6" t="s">
        <v>19606</v>
      </c>
      <c r="AN2665" s="6" t="s">
        <v>19682</v>
      </c>
      <c r="AO2665" s="6" t="s">
        <v>20078</v>
      </c>
      <c r="AP2665" s="6" t="s">
        <v>17197</v>
      </c>
      <c r="AQ2665" s="6" t="s">
        <v>81</v>
      </c>
      <c r="AR2665" s="6" t="s">
        <v>18355</v>
      </c>
      <c r="AS2665" s="6" t="s">
        <v>18402</v>
      </c>
      <c r="AT2665" s="6" t="s">
        <v>18444</v>
      </c>
      <c r="AU2665" s="6" t="s">
        <v>19606</v>
      </c>
      <c r="AV2665" s="6" t="s">
        <v>81</v>
      </c>
      <c r="AW2665" s="6" t="s">
        <v>81</v>
      </c>
      <c r="AX2665" s="6" t="s">
        <v>22496</v>
      </c>
      <c r="AY2665" s="6" t="s">
        <v>81</v>
      </c>
      <c r="AZ2665" s="6" t="s">
        <v>81</v>
      </c>
      <c r="BA2665" s="6" t="s">
        <v>81</v>
      </c>
      <c r="BB2665" s="6" t="s">
        <v>81</v>
      </c>
      <c r="BC2665" s="26"/>
      <c r="BD2665" s="26"/>
      <c r="BE2665" s="26"/>
      <c r="BF2665" s="26"/>
      <c r="BG2665" s="26"/>
      <c r="BH2665" s="26"/>
      <c r="BI2665" s="26"/>
      <c r="BJ2665" s="26"/>
      <c r="BK2665" s="26"/>
      <c r="BL2665" s="26"/>
      <c r="BM2665" s="26"/>
      <c r="BN2665" s="26"/>
      <c r="BO2665" s="26"/>
      <c r="BP2665" s="16" t="n">
        <v>45739</v>
      </c>
      <c r="BQ2665" s="28" t="str">
        <f>HYPERLINK("https://organic.ams.usda.gov/Integrity/Certificate.aspx?cid=71&amp;nopid=5520029751")</f>
        <v>https://organic.ams.usda.gov/Integrity/Certificate.aspx?cid=71&amp;nopid=5520029751</v>
      </c>
    </row>
    <row r="2666">
      <c r="A2666" t="s">
        <v>3</v>
      </c>
      <c r="B2666" s="6" t="s">
        <v>20</v>
      </c>
      <c r="C2666" s="6" t="s">
        <v>67</v>
      </c>
      <c r="D2666" s="6" t="s">
        <v>113</v>
      </c>
      <c r="E2666" s="10" t="s">
        <v>2807</v>
      </c>
      <c r="F2666" s="6" t="s">
        <v>5511</v>
      </c>
      <c r="G2666" s="6" t="s">
        <v>81</v>
      </c>
      <c r="H2666" s="6" t="s">
        <v>8319</v>
      </c>
      <c r="I2666" s="6" t="s">
        <v>9633</v>
      </c>
      <c r="J2666" s="6" t="s">
        <v>10510</v>
      </c>
      <c r="K2666" s="6" t="s">
        <v>10886</v>
      </c>
      <c r="L2666" s="16" t="n">
        <v>37560</v>
      </c>
      <c r="M2666" s="16" t="n">
        <v>45847</v>
      </c>
      <c r="N2666" s="6" t="s">
        <v>81</v>
      </c>
      <c r="O2666" s="21" t="s">
        <v>81</v>
      </c>
      <c r="P2666" s="6" t="s">
        <v>81</v>
      </c>
      <c r="Q2666" s="6" t="s">
        <v>81</v>
      </c>
      <c r="R2666" s="6" t="s">
        <v>81</v>
      </c>
      <c r="S2666" s="6" t="s">
        <v>81</v>
      </c>
      <c r="T2666" s="21" t="s">
        <v>81</v>
      </c>
      <c r="U2666" s="6" t="s">
        <v>81</v>
      </c>
      <c r="V2666" s="6" t="s">
        <v>81</v>
      </c>
      <c r="W2666" s="6" t="s">
        <v>81</v>
      </c>
      <c r="X2666" s="6" t="s">
        <v>81</v>
      </c>
      <c r="Y2666" s="21" t="s">
        <v>81</v>
      </c>
      <c r="Z2666" s="6" t="s">
        <v>81</v>
      </c>
      <c r="AA2666" s="6" t="s">
        <v>81</v>
      </c>
      <c r="AB2666" s="6" t="s">
        <v>81</v>
      </c>
      <c r="AC2666" s="6" t="s">
        <v>10886</v>
      </c>
      <c r="AD2666" s="16" t="n">
        <v>37560</v>
      </c>
      <c r="AE2666" s="6" t="s">
        <v>14493</v>
      </c>
      <c r="AF2666" s="6" t="s">
        <v>14505</v>
      </c>
      <c r="AG2666" s="6" t="s">
        <v>14612</v>
      </c>
      <c r="AH2666" s="6" t="s">
        <v>17198</v>
      </c>
      <c r="AI2666" s="6" t="s">
        <v>81</v>
      </c>
      <c r="AJ2666" s="6" t="s">
        <v>8503</v>
      </c>
      <c r="AK2666" s="6" t="s">
        <v>18395</v>
      </c>
      <c r="AL2666" s="6" t="s">
        <v>18444</v>
      </c>
      <c r="AM2666" s="6" t="s">
        <v>19607</v>
      </c>
      <c r="AN2666" s="6" t="s">
        <v>19699</v>
      </c>
      <c r="AO2666" s="6" t="s">
        <v>19879</v>
      </c>
      <c r="AP2666" s="6" t="s">
        <v>17198</v>
      </c>
      <c r="AQ2666" s="6" t="s">
        <v>81</v>
      </c>
      <c r="AR2666" s="6" t="s">
        <v>8503</v>
      </c>
      <c r="AS2666" s="6" t="s">
        <v>18395</v>
      </c>
      <c r="AT2666" s="6" t="s">
        <v>18444</v>
      </c>
      <c r="AU2666" s="6" t="s">
        <v>19607</v>
      </c>
      <c r="AV2666" s="6" t="s">
        <v>81</v>
      </c>
      <c r="AW2666" s="6" t="s">
        <v>81</v>
      </c>
      <c r="AX2666" s="6" t="s">
        <v>22497</v>
      </c>
      <c r="AY2666" s="6" t="s">
        <v>23543</v>
      </c>
      <c r="AZ2666" s="6" t="s">
        <v>81</v>
      </c>
      <c r="BA2666" s="6" t="s">
        <v>81</v>
      </c>
      <c r="BB2666" s="6" t="s">
        <v>81</v>
      </c>
      <c r="BC2666" s="26"/>
      <c r="BD2666" s="26"/>
      <c r="BE2666" s="26"/>
      <c r="BF2666" s="26"/>
      <c r="BG2666" s="26"/>
      <c r="BH2666" s="26"/>
      <c r="BI2666" s="26"/>
      <c r="BJ2666" s="26"/>
      <c r="BK2666" s="26"/>
      <c r="BL2666" s="26" t="s">
        <v>23900</v>
      </c>
      <c r="BM2666" s="26"/>
      <c r="BN2666" s="26"/>
      <c r="BO2666" s="26"/>
      <c r="BP2666" s="16" t="n">
        <v>45737</v>
      </c>
      <c r="BQ2666" s="28" t="str">
        <f>HYPERLINK("https://organic.ams.usda.gov/Integrity/Certificate.aspx?cid=71&amp;nopid=5520030121")</f>
        <v>https://organic.ams.usda.gov/Integrity/Certificate.aspx?cid=71&amp;nopid=5520030121</v>
      </c>
    </row>
    <row r="2667">
      <c r="A2667" t="s">
        <v>3</v>
      </c>
      <c r="B2667" s="6" t="s">
        <v>7</v>
      </c>
      <c r="C2667" s="6" t="s">
        <v>54</v>
      </c>
      <c r="D2667" s="6" t="s">
        <v>100</v>
      </c>
      <c r="E2667" s="10" t="s">
        <v>2808</v>
      </c>
      <c r="F2667" s="6" t="s">
        <v>5512</v>
      </c>
      <c r="G2667" s="6" t="s">
        <v>81</v>
      </c>
      <c r="H2667" s="6" t="s">
        <v>8320</v>
      </c>
      <c r="I2667" s="6" t="s">
        <v>8801</v>
      </c>
      <c r="J2667" s="6" t="s">
        <v>10855</v>
      </c>
      <c r="K2667" s="6" t="s">
        <v>10886</v>
      </c>
      <c r="L2667" s="16" t="n">
        <v>40721</v>
      </c>
      <c r="M2667" s="16" t="n">
        <v>45716</v>
      </c>
      <c r="N2667" s="6" t="s">
        <v>10886</v>
      </c>
      <c r="O2667" s="16" t="n">
        <v>40718</v>
      </c>
      <c r="P2667" s="6" t="s">
        <v>12376</v>
      </c>
      <c r="Q2667" s="6" t="s">
        <v>81</v>
      </c>
      <c r="R2667" s="6" t="s">
        <v>81</v>
      </c>
      <c r="S2667" s="6" t="s">
        <v>10886</v>
      </c>
      <c r="T2667" s="16" t="n">
        <v>40721</v>
      </c>
      <c r="U2667" s="6" t="s">
        <v>13169</v>
      </c>
      <c r="V2667" s="6" t="s">
        <v>81</v>
      </c>
      <c r="W2667" s="6" t="s">
        <v>81</v>
      </c>
      <c r="X2667" s="6" t="s">
        <v>81</v>
      </c>
      <c r="Y2667" s="21" t="s">
        <v>81</v>
      </c>
      <c r="Z2667" s="6" t="s">
        <v>81</v>
      </c>
      <c r="AA2667" s="6" t="s">
        <v>81</v>
      </c>
      <c r="AB2667" s="6" t="s">
        <v>81</v>
      </c>
      <c r="AC2667" s="6" t="s">
        <v>81</v>
      </c>
      <c r="AD2667" s="21" t="s">
        <v>81</v>
      </c>
      <c r="AE2667" s="6" t="s">
        <v>81</v>
      </c>
      <c r="AF2667" s="6" t="s">
        <v>81</v>
      </c>
      <c r="AG2667" s="6" t="s">
        <v>81</v>
      </c>
      <c r="AH2667" s="6" t="s">
        <v>17199</v>
      </c>
      <c r="AI2667" s="6" t="s">
        <v>81</v>
      </c>
      <c r="AJ2667" s="6" t="s">
        <v>10663</v>
      </c>
      <c r="AK2667" s="6" t="s">
        <v>17712</v>
      </c>
      <c r="AL2667" s="6" t="s">
        <v>18444</v>
      </c>
      <c r="AM2667" s="6" t="s">
        <v>19608</v>
      </c>
      <c r="AN2667" s="6" t="s">
        <v>19693</v>
      </c>
      <c r="AO2667" s="6" t="s">
        <v>19858</v>
      </c>
      <c r="AP2667" s="6" t="s">
        <v>17199</v>
      </c>
      <c r="AQ2667" s="6" t="s">
        <v>81</v>
      </c>
      <c r="AR2667" s="6" t="s">
        <v>10663</v>
      </c>
      <c r="AS2667" s="6" t="s">
        <v>17712</v>
      </c>
      <c r="AT2667" s="6" t="s">
        <v>18444</v>
      </c>
      <c r="AU2667" s="6" t="s">
        <v>19608</v>
      </c>
      <c r="AV2667" s="6" t="s">
        <v>81</v>
      </c>
      <c r="AW2667" s="6" t="s">
        <v>81</v>
      </c>
      <c r="AX2667" s="6" t="s">
        <v>22498</v>
      </c>
      <c r="AY2667" s="6" t="s">
        <v>23544</v>
      </c>
      <c r="AZ2667" s="6" t="s">
        <v>81</v>
      </c>
      <c r="BA2667" s="6" t="s">
        <v>81</v>
      </c>
      <c r="BB2667" s="24" t="n">
        <v>408</v>
      </c>
      <c r="BC2667" s="26"/>
      <c r="BD2667" s="26"/>
      <c r="BE2667" s="26"/>
      <c r="BF2667" s="26"/>
      <c r="BG2667" s="26"/>
      <c r="BH2667" s="26"/>
      <c r="BI2667" s="26"/>
      <c r="BJ2667" s="26"/>
      <c r="BK2667" s="26"/>
      <c r="BL2667" s="26"/>
      <c r="BM2667" s="26"/>
      <c r="BN2667" s="26"/>
      <c r="BO2667" s="26"/>
      <c r="BP2667" s="16" t="n">
        <v>45595</v>
      </c>
      <c r="BQ2667" s="28" t="str">
        <f>HYPERLINK("https://organic.ams.usda.gov/Integrity/Certificate.aspx?cid=57&amp;nopid=3252011027")</f>
        <v>https://organic.ams.usda.gov/Integrity/Certificate.aspx?cid=57&amp;nopid=3252011027</v>
      </c>
    </row>
    <row r="2668">
      <c r="A2668" t="s">
        <v>3</v>
      </c>
      <c r="B2668" s="6" t="s">
        <v>7</v>
      </c>
      <c r="C2668" s="6" t="s">
        <v>54</v>
      </c>
      <c r="D2668" s="6" t="s">
        <v>100</v>
      </c>
      <c r="E2668" s="10" t="s">
        <v>2809</v>
      </c>
      <c r="F2668" s="6" t="s">
        <v>5513</v>
      </c>
      <c r="G2668" s="6" t="s">
        <v>81</v>
      </c>
      <c r="H2668" s="6" t="s">
        <v>8321</v>
      </c>
      <c r="I2668" s="6" t="s">
        <v>9405</v>
      </c>
      <c r="J2668" s="6" t="s">
        <v>9665</v>
      </c>
      <c r="K2668" s="6" t="s">
        <v>10886</v>
      </c>
      <c r="L2668" s="16" t="n">
        <v>40355</v>
      </c>
      <c r="M2668" s="16" t="n">
        <v>45716</v>
      </c>
      <c r="N2668" s="6" t="s">
        <v>10886</v>
      </c>
      <c r="O2668" s="16" t="n">
        <v>40355</v>
      </c>
      <c r="P2668" s="6" t="s">
        <v>12377</v>
      </c>
      <c r="Q2668" s="6" t="s">
        <v>81</v>
      </c>
      <c r="R2668" s="6" t="s">
        <v>81</v>
      </c>
      <c r="S2668" s="6" t="s">
        <v>10886</v>
      </c>
      <c r="T2668" s="16" t="n">
        <v>40355</v>
      </c>
      <c r="U2668" s="6" t="s">
        <v>13160</v>
      </c>
      <c r="V2668" s="6" t="s">
        <v>81</v>
      </c>
      <c r="W2668" s="6" t="s">
        <v>81</v>
      </c>
      <c r="X2668" s="6" t="s">
        <v>81</v>
      </c>
      <c r="Y2668" s="21" t="s">
        <v>81</v>
      </c>
      <c r="Z2668" s="6" t="s">
        <v>81</v>
      </c>
      <c r="AA2668" s="6" t="s">
        <v>81</v>
      </c>
      <c r="AB2668" s="6" t="s">
        <v>81</v>
      </c>
      <c r="AC2668" s="6" t="s">
        <v>81</v>
      </c>
      <c r="AD2668" s="21" t="s">
        <v>81</v>
      </c>
      <c r="AE2668" s="6" t="s">
        <v>81</v>
      </c>
      <c r="AF2668" s="6" t="s">
        <v>81</v>
      </c>
      <c r="AG2668" s="6" t="s">
        <v>81</v>
      </c>
      <c r="AH2668" s="6" t="s">
        <v>17200</v>
      </c>
      <c r="AI2668" s="6" t="s">
        <v>81</v>
      </c>
      <c r="AJ2668" s="6" t="s">
        <v>17341</v>
      </c>
      <c r="AK2668" s="6" t="s">
        <v>17712</v>
      </c>
      <c r="AL2668" s="6" t="s">
        <v>18444</v>
      </c>
      <c r="AM2668" s="6" t="s">
        <v>18495</v>
      </c>
      <c r="AN2668" s="6" t="s">
        <v>19649</v>
      </c>
      <c r="AO2668" s="6" t="s">
        <v>19738</v>
      </c>
      <c r="AP2668" s="6" t="s">
        <v>17200</v>
      </c>
      <c r="AQ2668" s="6" t="s">
        <v>81</v>
      </c>
      <c r="AR2668" s="6" t="s">
        <v>17341</v>
      </c>
      <c r="AS2668" s="6" t="s">
        <v>17712</v>
      </c>
      <c r="AT2668" s="6" t="s">
        <v>18444</v>
      </c>
      <c r="AU2668" s="6" t="s">
        <v>18495</v>
      </c>
      <c r="AV2668" s="6" t="s">
        <v>81</v>
      </c>
      <c r="AW2668" s="6" t="s">
        <v>81</v>
      </c>
      <c r="AX2668" s="6" t="s">
        <v>22499</v>
      </c>
      <c r="AY2668" s="6" t="s">
        <v>81</v>
      </c>
      <c r="AZ2668" s="6" t="s">
        <v>81</v>
      </c>
      <c r="BA2668" s="6" t="s">
        <v>81</v>
      </c>
      <c r="BB2668" s="24" t="n">
        <v>192</v>
      </c>
      <c r="BC2668" s="26"/>
      <c r="BD2668" s="26"/>
      <c r="BE2668" s="26"/>
      <c r="BF2668" s="26"/>
      <c r="BG2668" s="26"/>
      <c r="BH2668" s="26"/>
      <c r="BI2668" s="26"/>
      <c r="BJ2668" s="26"/>
      <c r="BK2668" s="26"/>
      <c r="BL2668" s="26"/>
      <c r="BM2668" s="26"/>
      <c r="BN2668" s="26"/>
      <c r="BO2668" s="26"/>
      <c r="BP2668" s="16" t="n">
        <v>45595</v>
      </c>
      <c r="BQ2668" s="28" t="str">
        <f>HYPERLINK("https://organic.ams.usda.gov/Integrity/Certificate.aspx?cid=57&amp;nopid=3252010039")</f>
        <v>https://organic.ams.usda.gov/Integrity/Certificate.aspx?cid=57&amp;nopid=3252010039</v>
      </c>
    </row>
    <row r="2669">
      <c r="A2669" t="s">
        <v>3</v>
      </c>
      <c r="B2669" s="6" t="s">
        <v>29</v>
      </c>
      <c r="C2669" s="6" t="s">
        <v>76</v>
      </c>
      <c r="D2669" s="6" t="s">
        <v>122</v>
      </c>
      <c r="E2669" s="10" t="s">
        <v>2810</v>
      </c>
      <c r="F2669" s="6" t="s">
        <v>5514</v>
      </c>
      <c r="G2669" s="6" t="s">
        <v>81</v>
      </c>
      <c r="H2669" s="6" t="s">
        <v>8322</v>
      </c>
      <c r="I2669" s="6" t="s">
        <v>9634</v>
      </c>
      <c r="J2669" s="6" t="s">
        <v>10856</v>
      </c>
      <c r="K2669" s="6" t="s">
        <v>10886</v>
      </c>
      <c r="L2669" s="16" t="n">
        <v>37811</v>
      </c>
      <c r="M2669" s="16" t="n">
        <v>45870</v>
      </c>
      <c r="N2669" s="6" t="s">
        <v>10886</v>
      </c>
      <c r="O2669" s="16" t="n">
        <v>37811</v>
      </c>
      <c r="P2669" s="6" t="s">
        <v>12378</v>
      </c>
      <c r="Q2669" s="6" t="s">
        <v>81</v>
      </c>
      <c r="R2669" s="6" t="s">
        <v>13138</v>
      </c>
      <c r="S2669" s="6" t="s">
        <v>10886</v>
      </c>
      <c r="T2669" s="16" t="n">
        <v>37811</v>
      </c>
      <c r="U2669" s="6" t="s">
        <v>13222</v>
      </c>
      <c r="V2669" s="6" t="s">
        <v>81</v>
      </c>
      <c r="W2669" s="6" t="s">
        <v>13138</v>
      </c>
      <c r="X2669" s="6" t="s">
        <v>81</v>
      </c>
      <c r="Y2669" s="21" t="s">
        <v>81</v>
      </c>
      <c r="Z2669" s="6" t="s">
        <v>81</v>
      </c>
      <c r="AA2669" s="6" t="s">
        <v>81</v>
      </c>
      <c r="AB2669" s="6" t="s">
        <v>81</v>
      </c>
      <c r="AC2669" s="6" t="s">
        <v>81</v>
      </c>
      <c r="AD2669" s="21" t="s">
        <v>81</v>
      </c>
      <c r="AE2669" s="6" t="s">
        <v>81</v>
      </c>
      <c r="AF2669" s="6" t="s">
        <v>81</v>
      </c>
      <c r="AG2669" s="6" t="s">
        <v>81</v>
      </c>
      <c r="AH2669" s="6" t="s">
        <v>17201</v>
      </c>
      <c r="AI2669" s="6" t="s">
        <v>81</v>
      </c>
      <c r="AJ2669" s="6" t="s">
        <v>18250</v>
      </c>
      <c r="AK2669" s="6" t="s">
        <v>18377</v>
      </c>
      <c r="AL2669" s="6" t="s">
        <v>18444</v>
      </c>
      <c r="AM2669" s="6" t="s">
        <v>19471</v>
      </c>
      <c r="AN2669" s="6" t="s">
        <v>19660</v>
      </c>
      <c r="AO2669" s="6" t="s">
        <v>19804</v>
      </c>
      <c r="AP2669" s="6" t="s">
        <v>81</v>
      </c>
      <c r="AQ2669" s="6" t="s">
        <v>81</v>
      </c>
      <c r="AR2669" s="6" t="s">
        <v>81</v>
      </c>
      <c r="AS2669" s="6" t="s">
        <v>81</v>
      </c>
      <c r="AT2669" s="6" t="s">
        <v>81</v>
      </c>
      <c r="AU2669" s="6" t="s">
        <v>81</v>
      </c>
      <c r="AV2669" s="6" t="s">
        <v>81</v>
      </c>
      <c r="AW2669" s="6" t="s">
        <v>81</v>
      </c>
      <c r="AX2669" s="6" t="s">
        <v>22500</v>
      </c>
      <c r="AY2669" s="6" t="s">
        <v>23545</v>
      </c>
      <c r="AZ2669" s="6" t="s">
        <v>81</v>
      </c>
      <c r="BA2669" s="6" t="s">
        <v>81</v>
      </c>
      <c r="BB2669" s="24" t="n">
        <v>465</v>
      </c>
      <c r="BC2669" s="26"/>
      <c r="BD2669" s="26"/>
      <c r="BE2669" s="26"/>
      <c r="BF2669" s="26" t="s">
        <v>23900</v>
      </c>
      <c r="BG2669" s="26"/>
      <c r="BH2669" s="26"/>
      <c r="BI2669" s="26"/>
      <c r="BJ2669" s="26"/>
      <c r="BK2669" s="26"/>
      <c r="BL2669" s="26"/>
      <c r="BM2669" s="26"/>
      <c r="BN2669" s="26"/>
      <c r="BO2669" s="26"/>
      <c r="BP2669" s="16" t="n">
        <v>45737</v>
      </c>
      <c r="BQ2669" s="28" t="str">
        <f>HYPERLINK("https://organic.ams.usda.gov/Integrity/Certificate.aspx?cid=31&amp;nopid=3920897261")</f>
        <v>https://organic.ams.usda.gov/Integrity/Certificate.aspx?cid=31&amp;nopid=3920897261</v>
      </c>
    </row>
    <row r="2670">
      <c r="A2670" t="s">
        <v>3</v>
      </c>
      <c r="B2670" s="6" t="s">
        <v>11</v>
      </c>
      <c r="C2670" s="6" t="s">
        <v>58</v>
      </c>
      <c r="D2670" s="6" t="s">
        <v>104</v>
      </c>
      <c r="E2670" s="10" t="s">
        <v>2811</v>
      </c>
      <c r="F2670" s="6" t="s">
        <v>5515</v>
      </c>
      <c r="G2670" s="6" t="s">
        <v>81</v>
      </c>
      <c r="H2670" s="6" t="s">
        <v>81</v>
      </c>
      <c r="I2670" s="6" t="s">
        <v>9445</v>
      </c>
      <c r="J2670" s="6" t="s">
        <v>9669</v>
      </c>
      <c r="K2670" s="6" t="s">
        <v>10886</v>
      </c>
      <c r="L2670" s="16" t="n">
        <v>43678</v>
      </c>
      <c r="M2670" s="16" t="n">
        <v>45383</v>
      </c>
      <c r="N2670" s="6" t="s">
        <v>10886</v>
      </c>
      <c r="O2670" s="16" t="n">
        <v>43678</v>
      </c>
      <c r="P2670" s="6" t="s">
        <v>12379</v>
      </c>
      <c r="Q2670" s="6" t="s">
        <v>81</v>
      </c>
      <c r="R2670" s="6" t="s">
        <v>81</v>
      </c>
      <c r="S2670" s="6" t="s">
        <v>10886</v>
      </c>
      <c r="T2670" s="16" t="n">
        <v>43678</v>
      </c>
      <c r="U2670" s="6" t="s">
        <v>13943</v>
      </c>
      <c r="V2670" s="6" t="s">
        <v>81</v>
      </c>
      <c r="W2670" s="6" t="s">
        <v>81</v>
      </c>
      <c r="X2670" s="6" t="s">
        <v>81</v>
      </c>
      <c r="Y2670" s="21" t="s">
        <v>81</v>
      </c>
      <c r="Z2670" s="6" t="s">
        <v>81</v>
      </c>
      <c r="AA2670" s="6" t="s">
        <v>81</v>
      </c>
      <c r="AB2670" s="6" t="s">
        <v>81</v>
      </c>
      <c r="AC2670" s="6" t="s">
        <v>81</v>
      </c>
      <c r="AD2670" s="21" t="s">
        <v>81</v>
      </c>
      <c r="AE2670" s="6" t="s">
        <v>81</v>
      </c>
      <c r="AF2670" s="6" t="s">
        <v>81</v>
      </c>
      <c r="AG2670" s="6" t="s">
        <v>81</v>
      </c>
      <c r="AH2670" s="6" t="s">
        <v>17202</v>
      </c>
      <c r="AI2670" s="6" t="s">
        <v>81</v>
      </c>
      <c r="AJ2670" s="6" t="s">
        <v>17377</v>
      </c>
      <c r="AK2670" s="6" t="s">
        <v>18377</v>
      </c>
      <c r="AL2670" s="6" t="s">
        <v>18444</v>
      </c>
      <c r="AM2670" s="6" t="s">
        <v>18530</v>
      </c>
      <c r="AN2670" s="6" t="s">
        <v>19634</v>
      </c>
      <c r="AO2670" s="6" t="s">
        <v>19764</v>
      </c>
      <c r="AP2670" s="6" t="s">
        <v>17202</v>
      </c>
      <c r="AQ2670" s="6" t="s">
        <v>81</v>
      </c>
      <c r="AR2670" s="6" t="s">
        <v>17377</v>
      </c>
      <c r="AS2670" s="6" t="s">
        <v>18377</v>
      </c>
      <c r="AT2670" s="6" t="s">
        <v>18444</v>
      </c>
      <c r="AU2670" s="6" t="s">
        <v>18530</v>
      </c>
      <c r="AV2670" s="6" t="s">
        <v>81</v>
      </c>
      <c r="AW2670" s="6" t="s">
        <v>81</v>
      </c>
      <c r="AX2670" s="6" t="s">
        <v>81</v>
      </c>
      <c r="AY2670" s="6" t="s">
        <v>81</v>
      </c>
      <c r="AZ2670" s="6" t="s">
        <v>81</v>
      </c>
      <c r="BA2670" s="6" t="s">
        <v>23820</v>
      </c>
      <c r="BB2670" s="24" t="n">
        <v>93</v>
      </c>
      <c r="BC2670" s="26"/>
      <c r="BD2670" s="26"/>
      <c r="BE2670" s="26"/>
      <c r="BF2670" s="26"/>
      <c r="BG2670" s="26"/>
      <c r="BH2670" s="26"/>
      <c r="BI2670" s="26"/>
      <c r="BJ2670" s="26"/>
      <c r="BK2670" s="26"/>
      <c r="BL2670" s="26"/>
      <c r="BM2670" s="26"/>
      <c r="BN2670" s="26"/>
      <c r="BO2670" s="26"/>
      <c r="BP2670" s="16" t="n">
        <v>45447</v>
      </c>
      <c r="BQ2670" s="28" t="str">
        <f>HYPERLINK("https://organic.ams.usda.gov/Integrity/Certificate.aspx?cid=46&amp;nopid=3671900046")</f>
        <v>https://organic.ams.usda.gov/Integrity/Certificate.aspx?cid=46&amp;nopid=3671900046</v>
      </c>
    </row>
    <row r="2671">
      <c r="A2671" t="s">
        <v>3</v>
      </c>
      <c r="B2671" s="6" t="s">
        <v>11</v>
      </c>
      <c r="C2671" s="6" t="s">
        <v>58</v>
      </c>
      <c r="D2671" s="6" t="s">
        <v>104</v>
      </c>
      <c r="E2671" s="10" t="s">
        <v>2812</v>
      </c>
      <c r="F2671" s="6" t="s">
        <v>5516</v>
      </c>
      <c r="G2671" s="6" t="s">
        <v>81</v>
      </c>
      <c r="H2671" s="6" t="s">
        <v>81</v>
      </c>
      <c r="I2671" s="6" t="s">
        <v>9635</v>
      </c>
      <c r="J2671" s="6" t="s">
        <v>9742</v>
      </c>
      <c r="K2671" s="6" t="s">
        <v>10886</v>
      </c>
      <c r="L2671" s="16" t="n">
        <v>45372</v>
      </c>
      <c r="M2671" s="16" t="n">
        <v>45748</v>
      </c>
      <c r="N2671" s="6" t="s">
        <v>10886</v>
      </c>
      <c r="O2671" s="16" t="n">
        <v>45372</v>
      </c>
      <c r="P2671" s="6" t="s">
        <v>12380</v>
      </c>
      <c r="Q2671" s="6" t="s">
        <v>81</v>
      </c>
      <c r="R2671" s="6" t="s">
        <v>81</v>
      </c>
      <c r="S2671" s="6" t="s">
        <v>10886</v>
      </c>
      <c r="T2671" s="16" t="n">
        <v>45372</v>
      </c>
      <c r="U2671" s="6" t="s">
        <v>13944</v>
      </c>
      <c r="V2671" s="6" t="s">
        <v>81</v>
      </c>
      <c r="W2671" s="6" t="s">
        <v>81</v>
      </c>
      <c r="X2671" s="6" t="s">
        <v>81</v>
      </c>
      <c r="Y2671" s="21" t="s">
        <v>81</v>
      </c>
      <c r="Z2671" s="6" t="s">
        <v>81</v>
      </c>
      <c r="AA2671" s="6" t="s">
        <v>81</v>
      </c>
      <c r="AB2671" s="6" t="s">
        <v>81</v>
      </c>
      <c r="AC2671" s="6" t="s">
        <v>81</v>
      </c>
      <c r="AD2671" s="21" t="s">
        <v>81</v>
      </c>
      <c r="AE2671" s="6" t="s">
        <v>81</v>
      </c>
      <c r="AF2671" s="6" t="s">
        <v>81</v>
      </c>
      <c r="AG2671" s="6" t="s">
        <v>81</v>
      </c>
      <c r="AH2671" s="6" t="s">
        <v>17203</v>
      </c>
      <c r="AI2671" s="6" t="s">
        <v>81</v>
      </c>
      <c r="AJ2671" s="6" t="s">
        <v>17749</v>
      </c>
      <c r="AK2671" s="6" t="s">
        <v>18377</v>
      </c>
      <c r="AL2671" s="6" t="s">
        <v>18444</v>
      </c>
      <c r="AM2671" s="6" t="s">
        <v>18917</v>
      </c>
      <c r="AN2671" s="6" t="s">
        <v>81</v>
      </c>
      <c r="AO2671" s="6" t="s">
        <v>81</v>
      </c>
      <c r="AP2671" s="6" t="s">
        <v>17203</v>
      </c>
      <c r="AQ2671" s="6" t="s">
        <v>81</v>
      </c>
      <c r="AR2671" s="6" t="s">
        <v>17749</v>
      </c>
      <c r="AS2671" s="6" t="s">
        <v>18377</v>
      </c>
      <c r="AT2671" s="6" t="s">
        <v>18444</v>
      </c>
      <c r="AU2671" s="6" t="s">
        <v>18917</v>
      </c>
      <c r="AV2671" s="6" t="s">
        <v>81</v>
      </c>
      <c r="AW2671" s="6" t="s">
        <v>81</v>
      </c>
      <c r="AX2671" s="6" t="s">
        <v>81</v>
      </c>
      <c r="AY2671" s="6" t="s">
        <v>81</v>
      </c>
      <c r="AZ2671" s="6" t="s">
        <v>81</v>
      </c>
      <c r="BA2671" s="6" t="s">
        <v>23820</v>
      </c>
      <c r="BB2671" s="24" t="n">
        <v>84</v>
      </c>
      <c r="BC2671" s="26"/>
      <c r="BD2671" s="26"/>
      <c r="BE2671" s="26"/>
      <c r="BF2671" s="26"/>
      <c r="BG2671" s="26"/>
      <c r="BH2671" s="26"/>
      <c r="BI2671" s="26"/>
      <c r="BJ2671" s="26"/>
      <c r="BK2671" s="26"/>
      <c r="BL2671" s="26"/>
      <c r="BM2671" s="26"/>
      <c r="BN2671" s="26"/>
      <c r="BO2671" s="26"/>
      <c r="BP2671" s="16" t="n">
        <v>45376</v>
      </c>
      <c r="BQ2671" s="28" t="str">
        <f>HYPERLINK("https://organic.ams.usda.gov/Integrity/Certificate.aspx?cid=46&amp;nopid=3672400009")</f>
        <v>https://organic.ams.usda.gov/Integrity/Certificate.aspx?cid=46&amp;nopid=3672400009</v>
      </c>
    </row>
    <row r="2672">
      <c r="A2672" t="s">
        <v>3</v>
      </c>
      <c r="B2672" s="6" t="s">
        <v>7</v>
      </c>
      <c r="C2672" s="6" t="s">
        <v>54</v>
      </c>
      <c r="D2672" s="6" t="s">
        <v>100</v>
      </c>
      <c r="E2672" s="10" t="s">
        <v>2813</v>
      </c>
      <c r="F2672" s="6" t="s">
        <v>5517</v>
      </c>
      <c r="G2672" s="6" t="s">
        <v>81</v>
      </c>
      <c r="H2672" s="6" t="s">
        <v>8323</v>
      </c>
      <c r="I2672" s="6" t="s">
        <v>9175</v>
      </c>
      <c r="J2672" s="6" t="s">
        <v>10857</v>
      </c>
      <c r="K2672" s="6" t="s">
        <v>10886</v>
      </c>
      <c r="L2672" s="16" t="n">
        <v>39048</v>
      </c>
      <c r="M2672" s="16" t="n">
        <v>45716</v>
      </c>
      <c r="N2672" s="6" t="s">
        <v>10886</v>
      </c>
      <c r="O2672" s="16" t="n">
        <v>39048</v>
      </c>
      <c r="P2672" s="6" t="s">
        <v>12381</v>
      </c>
      <c r="Q2672" s="6" t="s">
        <v>81</v>
      </c>
      <c r="R2672" s="6" t="s">
        <v>81</v>
      </c>
      <c r="S2672" s="6" t="s">
        <v>10886</v>
      </c>
      <c r="T2672" s="16" t="n">
        <v>39196</v>
      </c>
      <c r="U2672" s="6" t="s">
        <v>13475</v>
      </c>
      <c r="V2672" s="6" t="s">
        <v>81</v>
      </c>
      <c r="W2672" s="6" t="s">
        <v>81</v>
      </c>
      <c r="X2672" s="6" t="s">
        <v>81</v>
      </c>
      <c r="Y2672" s="21" t="s">
        <v>81</v>
      </c>
      <c r="Z2672" s="6" t="s">
        <v>81</v>
      </c>
      <c r="AA2672" s="6" t="s">
        <v>81</v>
      </c>
      <c r="AB2672" s="6" t="s">
        <v>81</v>
      </c>
      <c r="AC2672" s="6" t="s">
        <v>81</v>
      </c>
      <c r="AD2672" s="21" t="s">
        <v>81</v>
      </c>
      <c r="AE2672" s="6" t="s">
        <v>81</v>
      </c>
      <c r="AF2672" s="6" t="s">
        <v>81</v>
      </c>
      <c r="AG2672" s="6" t="s">
        <v>81</v>
      </c>
      <c r="AH2672" s="6" t="s">
        <v>17204</v>
      </c>
      <c r="AI2672" s="6" t="s">
        <v>81</v>
      </c>
      <c r="AJ2672" s="6" t="s">
        <v>18356</v>
      </c>
      <c r="AK2672" s="6" t="s">
        <v>17712</v>
      </c>
      <c r="AL2672" s="6" t="s">
        <v>18444</v>
      </c>
      <c r="AM2672" s="6" t="s">
        <v>19609</v>
      </c>
      <c r="AN2672" s="6" t="s">
        <v>19662</v>
      </c>
      <c r="AO2672" s="6" t="s">
        <v>19762</v>
      </c>
      <c r="AP2672" s="6" t="s">
        <v>17204</v>
      </c>
      <c r="AQ2672" s="6" t="s">
        <v>81</v>
      </c>
      <c r="AR2672" s="6" t="s">
        <v>18356</v>
      </c>
      <c r="AS2672" s="6" t="s">
        <v>17712</v>
      </c>
      <c r="AT2672" s="6" t="s">
        <v>18444</v>
      </c>
      <c r="AU2672" s="6" t="s">
        <v>19609</v>
      </c>
      <c r="AV2672" s="6" t="s">
        <v>81</v>
      </c>
      <c r="AW2672" s="6" t="s">
        <v>81</v>
      </c>
      <c r="AX2672" s="6" t="s">
        <v>22501</v>
      </c>
      <c r="AY2672" s="6" t="s">
        <v>81</v>
      </c>
      <c r="AZ2672" s="6" t="s">
        <v>81</v>
      </c>
      <c r="BA2672" s="6" t="s">
        <v>81</v>
      </c>
      <c r="BB2672" s="24" t="n">
        <v>472</v>
      </c>
      <c r="BC2672" s="26"/>
      <c r="BD2672" s="26"/>
      <c r="BE2672" s="26"/>
      <c r="BF2672" s="26" t="s">
        <v>23900</v>
      </c>
      <c r="BG2672" s="26"/>
      <c r="BH2672" s="26"/>
      <c r="BI2672" s="26"/>
      <c r="BJ2672" s="26"/>
      <c r="BK2672" s="26"/>
      <c r="BL2672" s="26"/>
      <c r="BM2672" s="26"/>
      <c r="BN2672" s="26"/>
      <c r="BO2672" s="26"/>
      <c r="BP2672" s="16" t="n">
        <v>45595</v>
      </c>
      <c r="BQ2672" s="28" t="str">
        <f>HYPERLINK("https://organic.ams.usda.gov/Integrity/Certificate.aspx?cid=57&amp;nopid=3250200696")</f>
        <v>https://organic.ams.usda.gov/Integrity/Certificate.aspx?cid=57&amp;nopid=3250200696</v>
      </c>
    </row>
    <row r="2673">
      <c r="A2673" t="s">
        <v>3</v>
      </c>
      <c r="B2673" s="6" t="s">
        <v>7</v>
      </c>
      <c r="C2673" s="6" t="s">
        <v>54</v>
      </c>
      <c r="D2673" s="6" t="s">
        <v>100</v>
      </c>
      <c r="E2673" s="10" t="s">
        <v>2814</v>
      </c>
      <c r="F2673" s="6" t="s">
        <v>5518</v>
      </c>
      <c r="G2673" s="6" t="s">
        <v>81</v>
      </c>
      <c r="H2673" s="6" t="s">
        <v>8324</v>
      </c>
      <c r="I2673" s="6" t="s">
        <v>9636</v>
      </c>
      <c r="J2673" s="6" t="s">
        <v>10858</v>
      </c>
      <c r="K2673" s="6" t="s">
        <v>10886</v>
      </c>
      <c r="L2673" s="16" t="n">
        <v>42193</v>
      </c>
      <c r="M2673" s="16" t="n">
        <v>45716</v>
      </c>
      <c r="N2673" s="6" t="s">
        <v>10886</v>
      </c>
      <c r="O2673" s="16" t="n">
        <v>42193</v>
      </c>
      <c r="P2673" s="6" t="s">
        <v>10944</v>
      </c>
      <c r="Q2673" s="6" t="s">
        <v>81</v>
      </c>
      <c r="R2673" s="6" t="s">
        <v>81</v>
      </c>
      <c r="S2673" s="6" t="s">
        <v>10886</v>
      </c>
      <c r="T2673" s="16" t="n">
        <v>42317</v>
      </c>
      <c r="U2673" s="6" t="s">
        <v>13284</v>
      </c>
      <c r="V2673" s="6" t="s">
        <v>81</v>
      </c>
      <c r="W2673" s="6" t="s">
        <v>81</v>
      </c>
      <c r="X2673" s="6" t="s">
        <v>81</v>
      </c>
      <c r="Y2673" s="21" t="s">
        <v>81</v>
      </c>
      <c r="Z2673" s="6" t="s">
        <v>81</v>
      </c>
      <c r="AA2673" s="6" t="s">
        <v>81</v>
      </c>
      <c r="AB2673" s="6" t="s">
        <v>81</v>
      </c>
      <c r="AC2673" s="6" t="s">
        <v>81</v>
      </c>
      <c r="AD2673" s="21" t="s">
        <v>81</v>
      </c>
      <c r="AE2673" s="6" t="s">
        <v>81</v>
      </c>
      <c r="AF2673" s="6" t="s">
        <v>81</v>
      </c>
      <c r="AG2673" s="6" t="s">
        <v>81</v>
      </c>
      <c r="AH2673" s="6" t="s">
        <v>17205</v>
      </c>
      <c r="AI2673" s="6" t="s">
        <v>81</v>
      </c>
      <c r="AJ2673" s="6" t="s">
        <v>17936</v>
      </c>
      <c r="AK2673" s="6" t="s">
        <v>17712</v>
      </c>
      <c r="AL2673" s="6" t="s">
        <v>18444</v>
      </c>
      <c r="AM2673" s="6" t="s">
        <v>19125</v>
      </c>
      <c r="AN2673" s="6" t="s">
        <v>19670</v>
      </c>
      <c r="AO2673" s="6" t="s">
        <v>19782</v>
      </c>
      <c r="AP2673" s="6" t="s">
        <v>20465</v>
      </c>
      <c r="AQ2673" s="6" t="s">
        <v>81</v>
      </c>
      <c r="AR2673" s="6" t="s">
        <v>20588</v>
      </c>
      <c r="AS2673" s="6" t="s">
        <v>18428</v>
      </c>
      <c r="AT2673" s="6" t="s">
        <v>18444</v>
      </c>
      <c r="AU2673" s="6" t="s">
        <v>20714</v>
      </c>
      <c r="AV2673" s="6" t="s">
        <v>81</v>
      </c>
      <c r="AW2673" s="6" t="s">
        <v>81</v>
      </c>
      <c r="AX2673" s="6" t="s">
        <v>22502</v>
      </c>
      <c r="AY2673" s="6" t="s">
        <v>23546</v>
      </c>
      <c r="AZ2673" s="6" t="s">
        <v>81</v>
      </c>
      <c r="BA2673" s="6" t="s">
        <v>81</v>
      </c>
      <c r="BB2673" s="24" t="n">
        <v>100</v>
      </c>
      <c r="BC2673" s="26"/>
      <c r="BD2673" s="26"/>
      <c r="BE2673" s="26"/>
      <c r="BF2673" s="26" t="s">
        <v>23900</v>
      </c>
      <c r="BG2673" s="26"/>
      <c r="BH2673" s="26"/>
      <c r="BI2673" s="26"/>
      <c r="BJ2673" s="26"/>
      <c r="BK2673" s="26"/>
      <c r="BL2673" s="26"/>
      <c r="BM2673" s="26"/>
      <c r="BN2673" s="26"/>
      <c r="BO2673" s="26"/>
      <c r="BP2673" s="16" t="n">
        <v>45595</v>
      </c>
      <c r="BQ2673" s="28" t="str">
        <f>HYPERLINK("https://organic.ams.usda.gov/Integrity/Certificate.aspx?cid=57&amp;nopid=3252015038")</f>
        <v>https://organic.ams.usda.gov/Integrity/Certificate.aspx?cid=57&amp;nopid=3252015038</v>
      </c>
    </row>
    <row r="2674">
      <c r="A2674" t="s">
        <v>3</v>
      </c>
      <c r="B2674" s="6" t="s">
        <v>36</v>
      </c>
      <c r="C2674" s="6" t="s">
        <v>83</v>
      </c>
      <c r="D2674" s="6" t="s">
        <v>128</v>
      </c>
      <c r="E2674" s="10" t="s">
        <v>2815</v>
      </c>
      <c r="F2674" s="6" t="s">
        <v>5519</v>
      </c>
      <c r="G2674" s="6" t="s">
        <v>81</v>
      </c>
      <c r="H2674" s="6" t="s">
        <v>8325</v>
      </c>
      <c r="I2674" s="6" t="s">
        <v>8419</v>
      </c>
      <c r="J2674" s="6" t="s">
        <v>9812</v>
      </c>
      <c r="K2674" s="6" t="s">
        <v>10886</v>
      </c>
      <c r="L2674" s="16" t="n">
        <v>37622</v>
      </c>
      <c r="M2674" s="16" t="n">
        <v>45900</v>
      </c>
      <c r="N2674" s="6" t="s">
        <v>81</v>
      </c>
      <c r="O2674" s="21" t="s">
        <v>81</v>
      </c>
      <c r="P2674" s="6" t="s">
        <v>81</v>
      </c>
      <c r="Q2674" s="6" t="s">
        <v>81</v>
      </c>
      <c r="R2674" s="6" t="s">
        <v>81</v>
      </c>
      <c r="S2674" s="6" t="s">
        <v>81</v>
      </c>
      <c r="T2674" s="21" t="s">
        <v>81</v>
      </c>
      <c r="U2674" s="6" t="s">
        <v>81</v>
      </c>
      <c r="V2674" s="6" t="s">
        <v>81</v>
      </c>
      <c r="W2674" s="6" t="s">
        <v>81</v>
      </c>
      <c r="X2674" s="6" t="s">
        <v>81</v>
      </c>
      <c r="Y2674" s="21" t="s">
        <v>81</v>
      </c>
      <c r="Z2674" s="6" t="s">
        <v>81</v>
      </c>
      <c r="AA2674" s="6" t="s">
        <v>81</v>
      </c>
      <c r="AB2674" s="6" t="s">
        <v>81</v>
      </c>
      <c r="AC2674" s="6" t="s">
        <v>10886</v>
      </c>
      <c r="AD2674" s="16" t="n">
        <v>37622</v>
      </c>
      <c r="AE2674" s="6" t="s">
        <v>14494</v>
      </c>
      <c r="AF2674" s="6" t="s">
        <v>81</v>
      </c>
      <c r="AG2674" s="6" t="s">
        <v>8325</v>
      </c>
      <c r="AH2674" s="6" t="s">
        <v>17206</v>
      </c>
      <c r="AI2674" s="6" t="s">
        <v>81</v>
      </c>
      <c r="AJ2674" s="6" t="s">
        <v>18357</v>
      </c>
      <c r="AK2674" s="6" t="s">
        <v>18395</v>
      </c>
      <c r="AL2674" s="6" t="s">
        <v>18444</v>
      </c>
      <c r="AM2674" s="6" t="s">
        <v>19610</v>
      </c>
      <c r="AN2674" s="6" t="s">
        <v>19699</v>
      </c>
      <c r="AO2674" s="6" t="s">
        <v>19879</v>
      </c>
      <c r="AP2674" s="6" t="s">
        <v>17206</v>
      </c>
      <c r="AQ2674" s="6" t="s">
        <v>81</v>
      </c>
      <c r="AR2674" s="6" t="s">
        <v>18357</v>
      </c>
      <c r="AS2674" s="6" t="s">
        <v>18395</v>
      </c>
      <c r="AT2674" s="6" t="s">
        <v>18444</v>
      </c>
      <c r="AU2674" s="6" t="s">
        <v>19610</v>
      </c>
      <c r="AV2674" s="6" t="s">
        <v>19699</v>
      </c>
      <c r="AW2674" s="6" t="s">
        <v>19879</v>
      </c>
      <c r="AX2674" s="6" t="s">
        <v>22503</v>
      </c>
      <c r="AY2674" s="6" t="s">
        <v>23547</v>
      </c>
      <c r="AZ2674" s="6" t="s">
        <v>23810</v>
      </c>
      <c r="BA2674" s="6" t="s">
        <v>81</v>
      </c>
      <c r="BB2674" s="6" t="s">
        <v>81</v>
      </c>
      <c r="BC2674" s="26"/>
      <c r="BD2674" s="26"/>
      <c r="BE2674" s="26"/>
      <c r="BF2674" s="26"/>
      <c r="BG2674" s="26"/>
      <c r="BH2674" s="26"/>
      <c r="BI2674" s="26"/>
      <c r="BJ2674" s="26"/>
      <c r="BK2674" s="26"/>
      <c r="BL2674" s="26"/>
      <c r="BM2674" s="26"/>
      <c r="BN2674" s="26"/>
      <c r="BO2674" s="26"/>
      <c r="BP2674" s="16" t="n">
        <v>45568</v>
      </c>
      <c r="BQ2674" s="28" t="str">
        <f>HYPERLINK("https://organic.ams.usda.gov/Integrity/Certificate.aspx?cid=77&amp;nopid=3510287124")</f>
        <v>https://organic.ams.usda.gov/Integrity/Certificate.aspx?cid=77&amp;nopid=3510287124</v>
      </c>
    </row>
    <row r="2675">
      <c r="A2675" t="s">
        <v>3</v>
      </c>
      <c r="B2675" s="6" t="s">
        <v>35</v>
      </c>
      <c r="C2675" s="6" t="s">
        <v>82</v>
      </c>
      <c r="D2675" s="6" t="s">
        <v>127</v>
      </c>
      <c r="E2675" s="10" t="s">
        <v>2816</v>
      </c>
      <c r="F2675" s="6" t="s">
        <v>5520</v>
      </c>
      <c r="G2675" s="6" t="s">
        <v>81</v>
      </c>
      <c r="H2675" s="6" t="s">
        <v>8326</v>
      </c>
      <c r="I2675" s="6" t="s">
        <v>9637</v>
      </c>
      <c r="J2675" s="6" t="s">
        <v>10859</v>
      </c>
      <c r="K2675" s="6" t="s">
        <v>10886</v>
      </c>
      <c r="L2675" s="16" t="n">
        <v>37557</v>
      </c>
      <c r="M2675" s="16" t="n">
        <v>45762</v>
      </c>
      <c r="N2675" s="6" t="s">
        <v>10886</v>
      </c>
      <c r="O2675" s="16" t="n">
        <v>37557</v>
      </c>
      <c r="P2675" s="6" t="s">
        <v>12382</v>
      </c>
      <c r="Q2675" s="6" t="s">
        <v>81</v>
      </c>
      <c r="R2675" s="6" t="s">
        <v>13139</v>
      </c>
      <c r="S2675" s="6" t="s">
        <v>10886</v>
      </c>
      <c r="T2675" s="16" t="n">
        <v>37557</v>
      </c>
      <c r="U2675" s="6" t="s">
        <v>13945</v>
      </c>
      <c r="V2675" s="6" t="s">
        <v>81</v>
      </c>
      <c r="W2675" s="6" t="s">
        <v>13139</v>
      </c>
      <c r="X2675" s="6" t="s">
        <v>81</v>
      </c>
      <c r="Y2675" s="21" t="s">
        <v>81</v>
      </c>
      <c r="Z2675" s="6" t="s">
        <v>81</v>
      </c>
      <c r="AA2675" s="6" t="s">
        <v>81</v>
      </c>
      <c r="AB2675" s="6" t="s">
        <v>81</v>
      </c>
      <c r="AC2675" s="6" t="s">
        <v>10886</v>
      </c>
      <c r="AD2675" s="16" t="n">
        <v>37557</v>
      </c>
      <c r="AE2675" s="6" t="s">
        <v>14495</v>
      </c>
      <c r="AF2675" s="6" t="s">
        <v>81</v>
      </c>
      <c r="AG2675" s="6" t="s">
        <v>13139</v>
      </c>
      <c r="AH2675" s="6" t="s">
        <v>17207</v>
      </c>
      <c r="AI2675" s="6" t="s">
        <v>81</v>
      </c>
      <c r="AJ2675" s="6" t="s">
        <v>17358</v>
      </c>
      <c r="AK2675" s="6" t="s">
        <v>18405</v>
      </c>
      <c r="AL2675" s="6" t="s">
        <v>18444</v>
      </c>
      <c r="AM2675" s="6" t="s">
        <v>19611</v>
      </c>
      <c r="AN2675" s="6" t="s">
        <v>19648</v>
      </c>
      <c r="AO2675" s="6" t="s">
        <v>19927</v>
      </c>
      <c r="AP2675" s="6" t="s">
        <v>17207</v>
      </c>
      <c r="AQ2675" s="6" t="s">
        <v>81</v>
      </c>
      <c r="AR2675" s="6" t="s">
        <v>17358</v>
      </c>
      <c r="AS2675" s="6" t="s">
        <v>18405</v>
      </c>
      <c r="AT2675" s="6" t="s">
        <v>18444</v>
      </c>
      <c r="AU2675" s="6" t="s">
        <v>19611</v>
      </c>
      <c r="AV2675" s="6" t="s">
        <v>81</v>
      </c>
      <c r="AW2675" s="6" t="s">
        <v>81</v>
      </c>
      <c r="AX2675" s="6" t="s">
        <v>22504</v>
      </c>
      <c r="AY2675" s="6" t="s">
        <v>23548</v>
      </c>
      <c r="AZ2675" s="6" t="s">
        <v>81</v>
      </c>
      <c r="BA2675" s="6" t="s">
        <v>81</v>
      </c>
      <c r="BB2675" s="24" t="n">
        <v>166</v>
      </c>
      <c r="BC2675" s="26"/>
      <c r="BD2675" s="26"/>
      <c r="BE2675" s="26"/>
      <c r="BF2675" s="26"/>
      <c r="BG2675" s="26"/>
      <c r="BH2675" s="26"/>
      <c r="BI2675" s="26"/>
      <c r="BJ2675" s="26"/>
      <c r="BK2675" s="26"/>
      <c r="BL2675" s="26"/>
      <c r="BM2675" s="26"/>
      <c r="BN2675" s="26"/>
      <c r="BO2675" s="26"/>
      <c r="BP2675" s="16" t="n">
        <v>45693</v>
      </c>
      <c r="BQ2675" s="28" t="str">
        <f>HYPERLINK("https://organic.ams.usda.gov/Integrity/Certificate.aspx?cid=47&amp;nopid=7142070807")</f>
        <v>https://organic.ams.usda.gov/Integrity/Certificate.aspx?cid=47&amp;nopid=7142070807</v>
      </c>
    </row>
    <row r="2676">
      <c r="A2676" t="s">
        <v>3</v>
      </c>
      <c r="B2676" s="6" t="s">
        <v>10</v>
      </c>
      <c r="C2676" s="6" t="s">
        <v>57</v>
      </c>
      <c r="D2676" s="6" t="s">
        <v>103</v>
      </c>
      <c r="E2676" s="10" t="s">
        <v>2817</v>
      </c>
      <c r="F2676" s="6" t="s">
        <v>5521</v>
      </c>
      <c r="G2676" s="6" t="s">
        <v>81</v>
      </c>
      <c r="H2676" s="6" t="s">
        <v>8327</v>
      </c>
      <c r="I2676" s="6" t="s">
        <v>9638</v>
      </c>
      <c r="J2676" s="6" t="s">
        <v>10024</v>
      </c>
      <c r="K2676" s="6" t="s">
        <v>10886</v>
      </c>
      <c r="L2676" s="16" t="n">
        <v>41513</v>
      </c>
      <c r="M2676" s="16" t="n">
        <v>45748</v>
      </c>
      <c r="N2676" s="6" t="s">
        <v>10886</v>
      </c>
      <c r="O2676" s="16" t="n">
        <v>41513</v>
      </c>
      <c r="P2676" s="6" t="s">
        <v>12383</v>
      </c>
      <c r="Q2676" s="6" t="s">
        <v>81</v>
      </c>
      <c r="R2676" s="6" t="s">
        <v>13140</v>
      </c>
      <c r="S2676" s="6" t="s">
        <v>10886</v>
      </c>
      <c r="T2676" s="16" t="n">
        <v>41513</v>
      </c>
      <c r="U2676" s="6" t="s">
        <v>13163</v>
      </c>
      <c r="V2676" s="6" t="s">
        <v>81</v>
      </c>
      <c r="W2676" s="6" t="s">
        <v>81</v>
      </c>
      <c r="X2676" s="6" t="s">
        <v>81</v>
      </c>
      <c r="Y2676" s="21" t="s">
        <v>81</v>
      </c>
      <c r="Z2676" s="6" t="s">
        <v>81</v>
      </c>
      <c r="AA2676" s="6" t="s">
        <v>81</v>
      </c>
      <c r="AB2676" s="6" t="s">
        <v>81</v>
      </c>
      <c r="AC2676" s="6" t="s">
        <v>81</v>
      </c>
      <c r="AD2676" s="21" t="s">
        <v>81</v>
      </c>
      <c r="AE2676" s="6" t="s">
        <v>81</v>
      </c>
      <c r="AF2676" s="6" t="s">
        <v>81</v>
      </c>
      <c r="AG2676" s="6" t="s">
        <v>81</v>
      </c>
      <c r="AH2676" s="6" t="s">
        <v>17208</v>
      </c>
      <c r="AI2676" s="6" t="s">
        <v>81</v>
      </c>
      <c r="AJ2676" s="6" t="s">
        <v>17392</v>
      </c>
      <c r="AK2676" s="6" t="s">
        <v>18379</v>
      </c>
      <c r="AL2676" s="6" t="s">
        <v>18444</v>
      </c>
      <c r="AM2676" s="6" t="s">
        <v>18548</v>
      </c>
      <c r="AN2676" s="6" t="s">
        <v>19637</v>
      </c>
      <c r="AO2676" s="6" t="s">
        <v>19723</v>
      </c>
      <c r="AP2676" s="6" t="s">
        <v>17208</v>
      </c>
      <c r="AQ2676" s="6" t="s">
        <v>81</v>
      </c>
      <c r="AR2676" s="6" t="s">
        <v>17392</v>
      </c>
      <c r="AS2676" s="6" t="s">
        <v>18379</v>
      </c>
      <c r="AT2676" s="6" t="s">
        <v>18444</v>
      </c>
      <c r="AU2676" s="6" t="s">
        <v>18548</v>
      </c>
      <c r="AV2676" s="6" t="s">
        <v>81</v>
      </c>
      <c r="AW2676" s="6" t="s">
        <v>81</v>
      </c>
      <c r="AX2676" s="6" t="s">
        <v>22505</v>
      </c>
      <c r="AY2676" s="6" t="s">
        <v>81</v>
      </c>
      <c r="AZ2676" s="6" t="s">
        <v>81</v>
      </c>
      <c r="BA2676" s="6" t="s">
        <v>81</v>
      </c>
      <c r="BB2676" s="24" t="n">
        <v>111</v>
      </c>
      <c r="BC2676" s="26"/>
      <c r="BD2676" s="26"/>
      <c r="BE2676" s="26"/>
      <c r="BF2676" s="26"/>
      <c r="BG2676" s="26"/>
      <c r="BH2676" s="26"/>
      <c r="BI2676" s="26"/>
      <c r="BJ2676" s="26"/>
      <c r="BK2676" s="26"/>
      <c r="BL2676" s="26"/>
      <c r="BM2676" s="26"/>
      <c r="BN2676" s="26"/>
      <c r="BO2676" s="26"/>
      <c r="BP2676" s="16" t="n">
        <v>45730</v>
      </c>
      <c r="BQ2676" s="28" t="str">
        <f>HYPERLINK("https://organic.ams.usda.gov/Integrity/Certificate.aspx?cid=90&amp;nopid=7170210332")</f>
        <v>https://organic.ams.usda.gov/Integrity/Certificate.aspx?cid=90&amp;nopid=7170210332</v>
      </c>
    </row>
    <row r="2677">
      <c r="A2677" t="s">
        <v>3</v>
      </c>
      <c r="B2677" s="6" t="s">
        <v>16</v>
      </c>
      <c r="C2677" s="6" t="s">
        <v>63</v>
      </c>
      <c r="D2677" s="6" t="s">
        <v>109</v>
      </c>
      <c r="E2677" s="10" t="s">
        <v>2818</v>
      </c>
      <c r="F2677" s="6" t="s">
        <v>5522</v>
      </c>
      <c r="G2677" s="6" t="s">
        <v>81</v>
      </c>
      <c r="H2677" s="6" t="s">
        <v>8328</v>
      </c>
      <c r="I2677" s="6" t="s">
        <v>8568</v>
      </c>
      <c r="J2677" s="6" t="s">
        <v>9638</v>
      </c>
      <c r="K2677" s="6" t="s">
        <v>10886</v>
      </c>
      <c r="L2677" s="16" t="n">
        <v>39241</v>
      </c>
      <c r="M2677" s="16" t="n">
        <v>45731</v>
      </c>
      <c r="N2677" s="6" t="s">
        <v>10886</v>
      </c>
      <c r="O2677" s="16" t="n">
        <v>39241</v>
      </c>
      <c r="P2677" s="6" t="s">
        <v>11544</v>
      </c>
      <c r="Q2677" s="6" t="s">
        <v>81</v>
      </c>
      <c r="R2677" s="6" t="s">
        <v>81</v>
      </c>
      <c r="S2677" s="6" t="s">
        <v>10886</v>
      </c>
      <c r="T2677" s="16" t="n">
        <v>39241</v>
      </c>
      <c r="U2677" s="6" t="s">
        <v>13789</v>
      </c>
      <c r="V2677" s="6" t="s">
        <v>81</v>
      </c>
      <c r="W2677" s="6" t="s">
        <v>81</v>
      </c>
      <c r="X2677" s="6" t="s">
        <v>81</v>
      </c>
      <c r="Y2677" s="21" t="s">
        <v>81</v>
      </c>
      <c r="Z2677" s="6" t="s">
        <v>81</v>
      </c>
      <c r="AA2677" s="6" t="s">
        <v>81</v>
      </c>
      <c r="AB2677" s="6" t="s">
        <v>81</v>
      </c>
      <c r="AC2677" s="6" t="s">
        <v>10886</v>
      </c>
      <c r="AD2677" s="16" t="n">
        <v>39241</v>
      </c>
      <c r="AE2677" s="6" t="s">
        <v>81</v>
      </c>
      <c r="AF2677" s="6" t="s">
        <v>81</v>
      </c>
      <c r="AG2677" s="6" t="s">
        <v>81</v>
      </c>
      <c r="AH2677" s="6" t="s">
        <v>17209</v>
      </c>
      <c r="AI2677" s="6" t="s">
        <v>81</v>
      </c>
      <c r="AJ2677" s="6" t="s">
        <v>18209</v>
      </c>
      <c r="AK2677" s="6" t="s">
        <v>18383</v>
      </c>
      <c r="AL2677" s="6" t="s">
        <v>18444</v>
      </c>
      <c r="AM2677" s="6" t="s">
        <v>18798</v>
      </c>
      <c r="AN2677" s="6" t="s">
        <v>19655</v>
      </c>
      <c r="AO2677" s="6" t="s">
        <v>19886</v>
      </c>
      <c r="AP2677" s="6" t="s">
        <v>81</v>
      </c>
      <c r="AQ2677" s="6" t="s">
        <v>81</v>
      </c>
      <c r="AR2677" s="6" t="s">
        <v>81</v>
      </c>
      <c r="AS2677" s="6" t="s">
        <v>81</v>
      </c>
      <c r="AT2677" s="6" t="s">
        <v>81</v>
      </c>
      <c r="AU2677" s="6" t="s">
        <v>81</v>
      </c>
      <c r="AV2677" s="6" t="s">
        <v>81</v>
      </c>
      <c r="AW2677" s="6" t="s">
        <v>81</v>
      </c>
      <c r="AX2677" s="6" t="s">
        <v>22506</v>
      </c>
      <c r="AY2677" s="6" t="s">
        <v>81</v>
      </c>
      <c r="AZ2677" s="6" t="s">
        <v>81</v>
      </c>
      <c r="BA2677" s="6" t="s">
        <v>81</v>
      </c>
      <c r="BB2677" s="24" t="n">
        <v>601</v>
      </c>
      <c r="BC2677" s="26"/>
      <c r="BD2677" s="26"/>
      <c r="BE2677" s="26"/>
      <c r="BF2677" s="26"/>
      <c r="BG2677" s="26"/>
      <c r="BH2677" s="26"/>
      <c r="BI2677" s="26"/>
      <c r="BJ2677" s="26"/>
      <c r="BK2677" s="26"/>
      <c r="BL2677" s="26"/>
      <c r="BM2677" s="26"/>
      <c r="BN2677" s="26"/>
      <c r="BO2677" s="26"/>
      <c r="BP2677" s="16" t="n">
        <v>45701</v>
      </c>
      <c r="BQ2677" s="28" t="str">
        <f>HYPERLINK("https://organic.ams.usda.gov/Integrity/Certificate.aspx?cid=81&amp;nopid=4210007083")</f>
        <v>https://organic.ams.usda.gov/Integrity/Certificate.aspx?cid=81&amp;nopid=4210007083</v>
      </c>
    </row>
    <row r="2678">
      <c r="A2678" t="s">
        <v>3</v>
      </c>
      <c r="B2678" s="6" t="s">
        <v>9</v>
      </c>
      <c r="C2678" s="6" t="s">
        <v>56</v>
      </c>
      <c r="D2678" s="6" t="s">
        <v>102</v>
      </c>
      <c r="E2678" s="10" t="s">
        <v>2819</v>
      </c>
      <c r="F2678" s="6" t="s">
        <v>5523</v>
      </c>
      <c r="G2678" s="6" t="s">
        <v>81</v>
      </c>
      <c r="H2678" s="6" t="s">
        <v>8329</v>
      </c>
      <c r="I2678" s="6" t="s">
        <v>9638</v>
      </c>
      <c r="J2678" s="6" t="s">
        <v>9665</v>
      </c>
      <c r="K2678" s="6" t="s">
        <v>10886</v>
      </c>
      <c r="L2678" s="16" t="n">
        <v>44477</v>
      </c>
      <c r="M2678" s="16" t="n">
        <v>45748</v>
      </c>
      <c r="N2678" s="6" t="s">
        <v>10886</v>
      </c>
      <c r="O2678" s="16" t="n">
        <v>44477</v>
      </c>
      <c r="P2678" s="6" t="s">
        <v>12384</v>
      </c>
      <c r="Q2678" s="6" t="s">
        <v>81</v>
      </c>
      <c r="R2678" s="6" t="s">
        <v>13141</v>
      </c>
      <c r="S2678" s="6" t="s">
        <v>10886</v>
      </c>
      <c r="T2678" s="16" t="n">
        <v>44477</v>
      </c>
      <c r="U2678" s="6" t="s">
        <v>13168</v>
      </c>
      <c r="V2678" s="6" t="s">
        <v>81</v>
      </c>
      <c r="W2678" s="6" t="s">
        <v>13141</v>
      </c>
      <c r="X2678" s="6" t="s">
        <v>81</v>
      </c>
      <c r="Y2678" s="21" t="s">
        <v>81</v>
      </c>
      <c r="Z2678" s="6" t="s">
        <v>81</v>
      </c>
      <c r="AA2678" s="6" t="s">
        <v>81</v>
      </c>
      <c r="AB2678" s="6" t="s">
        <v>81</v>
      </c>
      <c r="AC2678" s="6" t="s">
        <v>81</v>
      </c>
      <c r="AD2678" s="21" t="s">
        <v>81</v>
      </c>
      <c r="AE2678" s="6" t="s">
        <v>81</v>
      </c>
      <c r="AF2678" s="6" t="s">
        <v>81</v>
      </c>
      <c r="AG2678" s="6" t="s">
        <v>81</v>
      </c>
      <c r="AH2678" s="6" t="s">
        <v>17210</v>
      </c>
      <c r="AI2678" s="6" t="s">
        <v>81</v>
      </c>
      <c r="AJ2678" s="6" t="s">
        <v>18145</v>
      </c>
      <c r="AK2678" s="6" t="s">
        <v>18379</v>
      </c>
      <c r="AL2678" s="6" t="s">
        <v>18444</v>
      </c>
      <c r="AM2678" s="6" t="s">
        <v>19347</v>
      </c>
      <c r="AN2678" s="6" t="s">
        <v>19678</v>
      </c>
      <c r="AO2678" s="6" t="s">
        <v>19994</v>
      </c>
      <c r="AP2678" s="6" t="s">
        <v>81</v>
      </c>
      <c r="AQ2678" s="6" t="s">
        <v>81</v>
      </c>
      <c r="AR2678" s="6" t="s">
        <v>81</v>
      </c>
      <c r="AS2678" s="6" t="s">
        <v>81</v>
      </c>
      <c r="AT2678" s="6" t="s">
        <v>81</v>
      </c>
      <c r="AU2678" s="6" t="s">
        <v>81</v>
      </c>
      <c r="AV2678" s="6" t="s">
        <v>81</v>
      </c>
      <c r="AW2678" s="6" t="s">
        <v>81</v>
      </c>
      <c r="AX2678" s="6" t="s">
        <v>22507</v>
      </c>
      <c r="AY2678" s="6" t="s">
        <v>81</v>
      </c>
      <c r="AZ2678" s="6" t="s">
        <v>81</v>
      </c>
      <c r="BA2678" s="6" t="s">
        <v>81</v>
      </c>
      <c r="BB2678" s="24" t="n">
        <v>120</v>
      </c>
      <c r="BC2678" s="26"/>
      <c r="BD2678" s="26"/>
      <c r="BE2678" s="26"/>
      <c r="BF2678" s="26"/>
      <c r="BG2678" s="26"/>
      <c r="BH2678" s="26"/>
      <c r="BI2678" s="26"/>
      <c r="BJ2678" s="26"/>
      <c r="BK2678" s="26"/>
      <c r="BL2678" s="26"/>
      <c r="BM2678" s="26"/>
      <c r="BN2678" s="26"/>
      <c r="BO2678" s="26"/>
      <c r="BP2678" s="16" t="n">
        <v>45738</v>
      </c>
      <c r="BQ2678" s="28" t="str">
        <f>HYPERLINK("https://organic.ams.usda.gov/Integrity/Certificate.aspx?cid=52&amp;nopid=8432101989")</f>
        <v>https://organic.ams.usda.gov/Integrity/Certificate.aspx?cid=52&amp;nopid=8432101989</v>
      </c>
    </row>
    <row r="2679">
      <c r="A2679" t="s">
        <v>3</v>
      </c>
      <c r="B2679" s="6" t="s">
        <v>18</v>
      </c>
      <c r="C2679" s="6" t="s">
        <v>65</v>
      </c>
      <c r="D2679" s="6" t="s">
        <v>111</v>
      </c>
      <c r="E2679" s="10" t="s">
        <v>2820</v>
      </c>
      <c r="F2679" s="6" t="s">
        <v>5524</v>
      </c>
      <c r="G2679" s="6" t="s">
        <v>81</v>
      </c>
      <c r="H2679" s="6" t="s">
        <v>2820</v>
      </c>
      <c r="I2679" s="6" t="s">
        <v>9303</v>
      </c>
      <c r="J2679" s="6" t="s">
        <v>9750</v>
      </c>
      <c r="K2679" s="6" t="s">
        <v>10886</v>
      </c>
      <c r="L2679" s="16" t="n">
        <v>45349</v>
      </c>
      <c r="M2679" s="16" t="n">
        <v>45703</v>
      </c>
      <c r="N2679" s="6" t="s">
        <v>10886</v>
      </c>
      <c r="O2679" s="16" t="n">
        <v>45349</v>
      </c>
      <c r="P2679" s="6" t="s">
        <v>12385</v>
      </c>
      <c r="Q2679" s="6" t="s">
        <v>81</v>
      </c>
      <c r="R2679" s="6" t="s">
        <v>5524</v>
      </c>
      <c r="S2679" s="6" t="s">
        <v>10886</v>
      </c>
      <c r="T2679" s="16" t="n">
        <v>45349</v>
      </c>
      <c r="U2679" s="6" t="s">
        <v>13946</v>
      </c>
      <c r="V2679" s="6" t="s">
        <v>81</v>
      </c>
      <c r="W2679" s="6" t="s">
        <v>5524</v>
      </c>
      <c r="X2679" s="6" t="s">
        <v>81</v>
      </c>
      <c r="Y2679" s="21" t="s">
        <v>81</v>
      </c>
      <c r="Z2679" s="6" t="s">
        <v>81</v>
      </c>
      <c r="AA2679" s="6" t="s">
        <v>81</v>
      </c>
      <c r="AB2679" s="6" t="s">
        <v>81</v>
      </c>
      <c r="AC2679" s="6" t="s">
        <v>81</v>
      </c>
      <c r="AD2679" s="21" t="s">
        <v>81</v>
      </c>
      <c r="AE2679" s="6" t="s">
        <v>81</v>
      </c>
      <c r="AF2679" s="6" t="s">
        <v>81</v>
      </c>
      <c r="AG2679" s="6" t="s">
        <v>81</v>
      </c>
      <c r="AH2679" s="6" t="s">
        <v>17211</v>
      </c>
      <c r="AI2679" s="6" t="s">
        <v>81</v>
      </c>
      <c r="AJ2679" s="6" t="s">
        <v>17595</v>
      </c>
      <c r="AK2679" s="6" t="s">
        <v>17712</v>
      </c>
      <c r="AL2679" s="6" t="s">
        <v>18444</v>
      </c>
      <c r="AM2679" s="6" t="s">
        <v>18761</v>
      </c>
      <c r="AN2679" s="6" t="s">
        <v>81</v>
      </c>
      <c r="AO2679" s="6" t="s">
        <v>81</v>
      </c>
      <c r="AP2679" s="6" t="s">
        <v>17211</v>
      </c>
      <c r="AQ2679" s="6" t="s">
        <v>81</v>
      </c>
      <c r="AR2679" s="6" t="s">
        <v>17595</v>
      </c>
      <c r="AS2679" s="6" t="s">
        <v>17712</v>
      </c>
      <c r="AT2679" s="6" t="s">
        <v>18444</v>
      </c>
      <c r="AU2679" s="6" t="s">
        <v>18761</v>
      </c>
      <c r="AV2679" s="6" t="s">
        <v>81</v>
      </c>
      <c r="AW2679" s="6" t="s">
        <v>81</v>
      </c>
      <c r="AX2679" s="6" t="s">
        <v>22508</v>
      </c>
      <c r="AY2679" s="6" t="s">
        <v>81</v>
      </c>
      <c r="AZ2679" s="6" t="s">
        <v>81</v>
      </c>
      <c r="BA2679" s="6" t="s">
        <v>81</v>
      </c>
      <c r="BB2679" s="24" t="n">
        <v>211</v>
      </c>
      <c r="BC2679" s="26"/>
      <c r="BD2679" s="26"/>
      <c r="BE2679" s="26"/>
      <c r="BF2679" s="26" t="s">
        <v>23900</v>
      </c>
      <c r="BG2679" s="26"/>
      <c r="BH2679" s="26"/>
      <c r="BI2679" s="26"/>
      <c r="BJ2679" s="26"/>
      <c r="BK2679" s="26"/>
      <c r="BL2679" s="26"/>
      <c r="BM2679" s="26"/>
      <c r="BN2679" s="26"/>
      <c r="BO2679" s="26"/>
      <c r="BP2679" s="16" t="n">
        <v>45429</v>
      </c>
      <c r="BQ2679" s="28" t="str">
        <f>HYPERLINK("https://organic.ams.usda.gov/Integrity/Certificate.aspx?cid=8&amp;nopid=2202403300")</f>
        <v>https://organic.ams.usda.gov/Integrity/Certificate.aspx?cid=8&amp;nopid=2202403300</v>
      </c>
    </row>
    <row r="2680">
      <c r="A2680" t="s">
        <v>3</v>
      </c>
      <c r="B2680" s="6" t="s">
        <v>16</v>
      </c>
      <c r="C2680" s="6" t="s">
        <v>63</v>
      </c>
      <c r="D2680" s="6" t="s">
        <v>109</v>
      </c>
      <c r="E2680" s="10" t="s">
        <v>2821</v>
      </c>
      <c r="F2680" s="6" t="s">
        <v>5525</v>
      </c>
      <c r="G2680" s="6" t="s">
        <v>81</v>
      </c>
      <c r="H2680" s="6" t="s">
        <v>8330</v>
      </c>
      <c r="I2680" s="6" t="s">
        <v>8419</v>
      </c>
      <c r="J2680" s="6" t="s">
        <v>10860</v>
      </c>
      <c r="K2680" s="6" t="s">
        <v>10886</v>
      </c>
      <c r="L2680" s="16" t="n">
        <v>44693</v>
      </c>
      <c r="M2680" s="16" t="n">
        <v>45731</v>
      </c>
      <c r="N2680" s="6" t="s">
        <v>10886</v>
      </c>
      <c r="O2680" s="16" t="n">
        <v>44693</v>
      </c>
      <c r="P2680" s="6" t="s">
        <v>12080</v>
      </c>
      <c r="Q2680" s="6" t="s">
        <v>81</v>
      </c>
      <c r="R2680" s="6" t="s">
        <v>81</v>
      </c>
      <c r="S2680" s="6" t="s">
        <v>10886</v>
      </c>
      <c r="T2680" s="16" t="n">
        <v>44693</v>
      </c>
      <c r="U2680" s="6" t="s">
        <v>13947</v>
      </c>
      <c r="V2680" s="6" t="s">
        <v>81</v>
      </c>
      <c r="W2680" s="6" t="s">
        <v>81</v>
      </c>
      <c r="X2680" s="6" t="s">
        <v>81</v>
      </c>
      <c r="Y2680" s="21" t="s">
        <v>81</v>
      </c>
      <c r="Z2680" s="6" t="s">
        <v>81</v>
      </c>
      <c r="AA2680" s="6" t="s">
        <v>81</v>
      </c>
      <c r="AB2680" s="6" t="s">
        <v>81</v>
      </c>
      <c r="AC2680" s="6" t="s">
        <v>10886</v>
      </c>
      <c r="AD2680" s="16" t="n">
        <v>45449</v>
      </c>
      <c r="AE2680" s="6" t="s">
        <v>14496</v>
      </c>
      <c r="AF2680" s="6" t="s">
        <v>81</v>
      </c>
      <c r="AG2680" s="6" t="s">
        <v>81</v>
      </c>
      <c r="AH2680" s="6" t="s">
        <v>17212</v>
      </c>
      <c r="AI2680" s="6" t="s">
        <v>81</v>
      </c>
      <c r="AJ2680" s="6" t="s">
        <v>17887</v>
      </c>
      <c r="AK2680" s="6" t="s">
        <v>18383</v>
      </c>
      <c r="AL2680" s="6" t="s">
        <v>18444</v>
      </c>
      <c r="AM2680" s="6" t="s">
        <v>19073</v>
      </c>
      <c r="AN2680" s="6" t="s">
        <v>19653</v>
      </c>
      <c r="AO2680" s="6" t="s">
        <v>19928</v>
      </c>
      <c r="AP2680" s="6" t="s">
        <v>81</v>
      </c>
      <c r="AQ2680" s="6" t="s">
        <v>81</v>
      </c>
      <c r="AR2680" s="6" t="s">
        <v>81</v>
      </c>
      <c r="AS2680" s="6" t="s">
        <v>81</v>
      </c>
      <c r="AT2680" s="6" t="s">
        <v>81</v>
      </c>
      <c r="AU2680" s="6" t="s">
        <v>81</v>
      </c>
      <c r="AV2680" s="6" t="s">
        <v>81</v>
      </c>
      <c r="AW2680" s="6" t="s">
        <v>81</v>
      </c>
      <c r="AX2680" s="6" t="s">
        <v>22509</v>
      </c>
      <c r="AY2680" s="6" t="s">
        <v>81</v>
      </c>
      <c r="AZ2680" s="6" t="s">
        <v>23811</v>
      </c>
      <c r="BA2680" s="6" t="s">
        <v>81</v>
      </c>
      <c r="BB2680" s="24" t="n">
        <v>99</v>
      </c>
      <c r="BC2680" s="26"/>
      <c r="BD2680" s="26"/>
      <c r="BE2680" s="26"/>
      <c r="BF2680" s="26"/>
      <c r="BG2680" s="26"/>
      <c r="BH2680" s="26"/>
      <c r="BI2680" s="26"/>
      <c r="BJ2680" s="26"/>
      <c r="BK2680" s="26"/>
      <c r="BL2680" s="26"/>
      <c r="BM2680" s="26"/>
      <c r="BN2680" s="26"/>
      <c r="BO2680" s="26"/>
      <c r="BP2680" s="16" t="n">
        <v>45701</v>
      </c>
      <c r="BQ2680" s="28" t="str">
        <f>HYPERLINK("https://organic.ams.usda.gov/Integrity/Certificate.aspx?cid=81&amp;nopid=4212022017")</f>
        <v>https://organic.ams.usda.gov/Integrity/Certificate.aspx?cid=81&amp;nopid=4212022017</v>
      </c>
    </row>
    <row r="2681">
      <c r="A2681" t="s">
        <v>3</v>
      </c>
      <c r="B2681" s="6" t="s">
        <v>8</v>
      </c>
      <c r="C2681" s="6" t="s">
        <v>55</v>
      </c>
      <c r="D2681" s="6" t="s">
        <v>101</v>
      </c>
      <c r="E2681" s="10" t="s">
        <v>2822</v>
      </c>
      <c r="F2681" s="6" t="s">
        <v>5526</v>
      </c>
      <c r="G2681" s="6" t="s">
        <v>81</v>
      </c>
      <c r="H2681" s="6" t="s">
        <v>8331</v>
      </c>
      <c r="I2681" s="6" t="s">
        <v>8384</v>
      </c>
      <c r="J2681" s="6" t="s">
        <v>10861</v>
      </c>
      <c r="K2681" s="6" t="s">
        <v>10886</v>
      </c>
      <c r="L2681" s="16" t="n">
        <v>40805</v>
      </c>
      <c r="M2681" s="18" t="s">
        <v>81</v>
      </c>
      <c r="N2681" s="6" t="s">
        <v>10886</v>
      </c>
      <c r="O2681" s="16" t="n">
        <v>40805</v>
      </c>
      <c r="P2681" s="6" t="s">
        <v>12386</v>
      </c>
      <c r="Q2681" s="6" t="s">
        <v>81</v>
      </c>
      <c r="R2681" s="6" t="s">
        <v>81</v>
      </c>
      <c r="S2681" s="6" t="s">
        <v>10886</v>
      </c>
      <c r="T2681" s="16" t="n">
        <v>40805</v>
      </c>
      <c r="U2681" s="6" t="s">
        <v>13848</v>
      </c>
      <c r="V2681" s="6" t="s">
        <v>81</v>
      </c>
      <c r="W2681" s="6" t="s">
        <v>81</v>
      </c>
      <c r="X2681" s="6" t="s">
        <v>81</v>
      </c>
      <c r="Y2681" s="21" t="s">
        <v>81</v>
      </c>
      <c r="Z2681" s="6" t="s">
        <v>81</v>
      </c>
      <c r="AA2681" s="6" t="s">
        <v>81</v>
      </c>
      <c r="AB2681" s="6" t="s">
        <v>81</v>
      </c>
      <c r="AC2681" s="6" t="s">
        <v>81</v>
      </c>
      <c r="AD2681" s="21" t="s">
        <v>81</v>
      </c>
      <c r="AE2681" s="6" t="s">
        <v>81</v>
      </c>
      <c r="AF2681" s="6" t="s">
        <v>81</v>
      </c>
      <c r="AG2681" s="6" t="s">
        <v>81</v>
      </c>
      <c r="AH2681" s="6" t="s">
        <v>17213</v>
      </c>
      <c r="AI2681" s="6" t="s">
        <v>81</v>
      </c>
      <c r="AJ2681" s="6" t="s">
        <v>17678</v>
      </c>
      <c r="AK2681" s="6" t="s">
        <v>18377</v>
      </c>
      <c r="AL2681" s="6" t="s">
        <v>18444</v>
      </c>
      <c r="AM2681" s="6" t="s">
        <v>18844</v>
      </c>
      <c r="AN2681" s="6" t="s">
        <v>19665</v>
      </c>
      <c r="AO2681" s="6" t="s">
        <v>19898</v>
      </c>
      <c r="AP2681" s="6" t="s">
        <v>81</v>
      </c>
      <c r="AQ2681" s="6" t="s">
        <v>81</v>
      </c>
      <c r="AR2681" s="6" t="s">
        <v>81</v>
      </c>
      <c r="AS2681" s="6" t="s">
        <v>81</v>
      </c>
      <c r="AT2681" s="6" t="s">
        <v>81</v>
      </c>
      <c r="AU2681" s="6" t="s">
        <v>81</v>
      </c>
      <c r="AV2681" s="6" t="s">
        <v>81</v>
      </c>
      <c r="AW2681" s="6" t="s">
        <v>81</v>
      </c>
      <c r="AX2681" s="6" t="s">
        <v>81</v>
      </c>
      <c r="AY2681" s="6" t="s">
        <v>81</v>
      </c>
      <c r="AZ2681" s="6" t="s">
        <v>81</v>
      </c>
      <c r="BA2681" s="6" t="s">
        <v>81</v>
      </c>
      <c r="BB2681" s="24" t="n">
        <v>371</v>
      </c>
      <c r="BC2681" s="26"/>
      <c r="BD2681" s="26"/>
      <c r="BE2681" s="26"/>
      <c r="BF2681" s="26"/>
      <c r="BG2681" s="26"/>
      <c r="BH2681" s="26"/>
      <c r="BI2681" s="26"/>
      <c r="BJ2681" s="26"/>
      <c r="BK2681" s="26"/>
      <c r="BL2681" s="26"/>
      <c r="BM2681" s="26"/>
      <c r="BN2681" s="26"/>
      <c r="BO2681" s="26"/>
      <c r="BP2681" s="16" t="n">
        <v>45292</v>
      </c>
      <c r="BQ2681" s="28" t="str">
        <f>HYPERLINK("https://organic.ams.usda.gov/Integrity/Certificate.aspx?cid=45&amp;nopid=9950004498")</f>
        <v>https://organic.ams.usda.gov/Integrity/Certificate.aspx?cid=45&amp;nopid=9950004498</v>
      </c>
    </row>
    <row r="2682">
      <c r="A2682" t="s">
        <v>3</v>
      </c>
      <c r="B2682" s="6" t="s">
        <v>30</v>
      </c>
      <c r="C2682" s="6" t="s">
        <v>77</v>
      </c>
      <c r="D2682" s="6" t="s">
        <v>123</v>
      </c>
      <c r="E2682" s="10" t="s">
        <v>2823</v>
      </c>
      <c r="F2682" s="6" t="s">
        <v>5527</v>
      </c>
      <c r="G2682" s="6" t="s">
        <v>81</v>
      </c>
      <c r="H2682" s="6" t="s">
        <v>8332</v>
      </c>
      <c r="I2682" s="6" t="s">
        <v>9639</v>
      </c>
      <c r="J2682" s="6" t="s">
        <v>10862</v>
      </c>
      <c r="K2682" s="6" t="s">
        <v>10886</v>
      </c>
      <c r="L2682" s="16" t="n">
        <v>41922</v>
      </c>
      <c r="M2682" s="16" t="n">
        <v>45747</v>
      </c>
      <c r="N2682" s="6" t="s">
        <v>10886</v>
      </c>
      <c r="O2682" s="16" t="n">
        <v>41922</v>
      </c>
      <c r="P2682" s="6" t="s">
        <v>10922</v>
      </c>
      <c r="Q2682" s="6" t="s">
        <v>81</v>
      </c>
      <c r="R2682" s="6" t="s">
        <v>8332</v>
      </c>
      <c r="S2682" s="6" t="s">
        <v>10886</v>
      </c>
      <c r="T2682" s="16" t="n">
        <v>41922</v>
      </c>
      <c r="U2682" s="6" t="s">
        <v>13571</v>
      </c>
      <c r="V2682" s="6" t="s">
        <v>81</v>
      </c>
      <c r="W2682" s="6" t="s">
        <v>8332</v>
      </c>
      <c r="X2682" s="6" t="s">
        <v>81</v>
      </c>
      <c r="Y2682" s="21" t="s">
        <v>81</v>
      </c>
      <c r="Z2682" s="6" t="s">
        <v>81</v>
      </c>
      <c r="AA2682" s="6" t="s">
        <v>81</v>
      </c>
      <c r="AB2682" s="6" t="s">
        <v>81</v>
      </c>
      <c r="AC2682" s="6" t="s">
        <v>81</v>
      </c>
      <c r="AD2682" s="21" t="s">
        <v>81</v>
      </c>
      <c r="AE2682" s="6" t="s">
        <v>81</v>
      </c>
      <c r="AF2682" s="6" t="s">
        <v>81</v>
      </c>
      <c r="AG2682" s="6" t="s">
        <v>81</v>
      </c>
      <c r="AH2682" s="6" t="s">
        <v>17214</v>
      </c>
      <c r="AI2682" s="6" t="s">
        <v>81</v>
      </c>
      <c r="AJ2682" s="6" t="s">
        <v>17854</v>
      </c>
      <c r="AK2682" s="6" t="s">
        <v>18405</v>
      </c>
      <c r="AL2682" s="6" t="s">
        <v>18444</v>
      </c>
      <c r="AM2682" s="6" t="s">
        <v>19036</v>
      </c>
      <c r="AN2682" s="6" t="s">
        <v>19692</v>
      </c>
      <c r="AO2682" s="6" t="s">
        <v>19751</v>
      </c>
      <c r="AP2682" s="6" t="s">
        <v>17214</v>
      </c>
      <c r="AQ2682" s="6" t="s">
        <v>81</v>
      </c>
      <c r="AR2682" s="6" t="s">
        <v>17854</v>
      </c>
      <c r="AS2682" s="6" t="s">
        <v>18405</v>
      </c>
      <c r="AT2682" s="6" t="s">
        <v>18444</v>
      </c>
      <c r="AU2682" s="6" t="s">
        <v>19036</v>
      </c>
      <c r="AV2682" s="6" t="s">
        <v>81</v>
      </c>
      <c r="AW2682" s="6" t="s">
        <v>81</v>
      </c>
      <c r="AX2682" s="6" t="s">
        <v>22510</v>
      </c>
      <c r="AY2682" s="6" t="s">
        <v>23549</v>
      </c>
      <c r="AZ2682" s="6" t="s">
        <v>81</v>
      </c>
      <c r="BA2682" s="6" t="s">
        <v>81</v>
      </c>
      <c r="BB2682" s="24" t="n">
        <v>217</v>
      </c>
      <c r="BC2682" s="26"/>
      <c r="BD2682" s="26"/>
      <c r="BE2682" s="26"/>
      <c r="BF2682" s="26"/>
      <c r="BG2682" s="26"/>
      <c r="BH2682" s="26"/>
      <c r="BI2682" s="26"/>
      <c r="BJ2682" s="26"/>
      <c r="BK2682" s="26"/>
      <c r="BL2682" s="26"/>
      <c r="BM2682" s="26"/>
      <c r="BN2682" s="26"/>
      <c r="BO2682" s="26"/>
      <c r="BP2682" s="16" t="n">
        <v>45586</v>
      </c>
      <c r="BQ2682" s="28" t="str">
        <f>HYPERLINK("https://organic.ams.usda.gov/Integrity/Certificate.aspx?cid=70&amp;nopid=6431471000")</f>
        <v>https://organic.ams.usda.gov/Integrity/Certificate.aspx?cid=70&amp;nopid=6431471000</v>
      </c>
    </row>
    <row r="2683">
      <c r="A2683" t="s">
        <v>3</v>
      </c>
      <c r="B2683" s="6" t="s">
        <v>11</v>
      </c>
      <c r="C2683" s="6" t="s">
        <v>58</v>
      </c>
      <c r="D2683" s="6" t="s">
        <v>104</v>
      </c>
      <c r="E2683" s="10" t="s">
        <v>2824</v>
      </c>
      <c r="F2683" s="6" t="s">
        <v>5528</v>
      </c>
      <c r="G2683" s="6" t="s">
        <v>5885</v>
      </c>
      <c r="H2683" s="6" t="s">
        <v>81</v>
      </c>
      <c r="I2683" s="6" t="s">
        <v>9640</v>
      </c>
      <c r="J2683" s="6" t="s">
        <v>10863</v>
      </c>
      <c r="K2683" s="6" t="s">
        <v>10886</v>
      </c>
      <c r="L2683" s="16" t="n">
        <v>42249</v>
      </c>
      <c r="M2683" s="16" t="n">
        <v>45383</v>
      </c>
      <c r="N2683" s="6" t="s">
        <v>10886</v>
      </c>
      <c r="O2683" s="16" t="n">
        <v>42249</v>
      </c>
      <c r="P2683" s="6" t="s">
        <v>12387</v>
      </c>
      <c r="Q2683" s="6" t="s">
        <v>81</v>
      </c>
      <c r="R2683" s="6" t="s">
        <v>81</v>
      </c>
      <c r="S2683" s="6" t="s">
        <v>10886</v>
      </c>
      <c r="T2683" s="16" t="n">
        <v>42566</v>
      </c>
      <c r="U2683" s="6" t="s">
        <v>13540</v>
      </c>
      <c r="V2683" s="6" t="s">
        <v>81</v>
      </c>
      <c r="W2683" s="6" t="s">
        <v>81</v>
      </c>
      <c r="X2683" s="6" t="s">
        <v>81</v>
      </c>
      <c r="Y2683" s="21" t="s">
        <v>81</v>
      </c>
      <c r="Z2683" s="6" t="s">
        <v>81</v>
      </c>
      <c r="AA2683" s="6" t="s">
        <v>81</v>
      </c>
      <c r="AB2683" s="6" t="s">
        <v>81</v>
      </c>
      <c r="AC2683" s="6" t="s">
        <v>81</v>
      </c>
      <c r="AD2683" s="21" t="s">
        <v>81</v>
      </c>
      <c r="AE2683" s="6" t="s">
        <v>81</v>
      </c>
      <c r="AF2683" s="6" t="s">
        <v>81</v>
      </c>
      <c r="AG2683" s="6" t="s">
        <v>81</v>
      </c>
      <c r="AH2683" s="6" t="s">
        <v>17215</v>
      </c>
      <c r="AI2683" s="6" t="s">
        <v>81</v>
      </c>
      <c r="AJ2683" s="6" t="s">
        <v>18041</v>
      </c>
      <c r="AK2683" s="6" t="s">
        <v>18381</v>
      </c>
      <c r="AL2683" s="6" t="s">
        <v>18444</v>
      </c>
      <c r="AM2683" s="6" t="s">
        <v>19612</v>
      </c>
      <c r="AN2683" s="6" t="s">
        <v>19658</v>
      </c>
      <c r="AO2683" s="6" t="s">
        <v>19752</v>
      </c>
      <c r="AP2683" s="6" t="s">
        <v>17215</v>
      </c>
      <c r="AQ2683" s="6" t="s">
        <v>81</v>
      </c>
      <c r="AR2683" s="6" t="s">
        <v>18041</v>
      </c>
      <c r="AS2683" s="6" t="s">
        <v>18381</v>
      </c>
      <c r="AT2683" s="6" t="s">
        <v>18444</v>
      </c>
      <c r="AU2683" s="6" t="s">
        <v>19612</v>
      </c>
      <c r="AV2683" s="6" t="s">
        <v>81</v>
      </c>
      <c r="AW2683" s="6" t="s">
        <v>81</v>
      </c>
      <c r="AX2683" s="6" t="s">
        <v>81</v>
      </c>
      <c r="AY2683" s="6" t="s">
        <v>81</v>
      </c>
      <c r="AZ2683" s="6" t="s">
        <v>81</v>
      </c>
      <c r="BA2683" s="6" t="s">
        <v>23825</v>
      </c>
      <c r="BB2683" s="24" t="n">
        <v>157</v>
      </c>
      <c r="BC2683" s="26"/>
      <c r="BD2683" s="26"/>
      <c r="BE2683" s="26"/>
      <c r="BF2683" s="26"/>
      <c r="BG2683" s="26"/>
      <c r="BH2683" s="26"/>
      <c r="BI2683" s="26"/>
      <c r="BJ2683" s="26"/>
      <c r="BK2683" s="26"/>
      <c r="BL2683" s="26"/>
      <c r="BM2683" s="26"/>
      <c r="BN2683" s="26"/>
      <c r="BO2683" s="26"/>
      <c r="BP2683" s="16" t="n">
        <v>45544</v>
      </c>
      <c r="BQ2683" s="28" t="str">
        <f>HYPERLINK("https://organic.ams.usda.gov/Integrity/Certificate.aspx?cid=46&amp;nopid=3671500050")</f>
        <v>https://organic.ams.usda.gov/Integrity/Certificate.aspx?cid=46&amp;nopid=3671500050</v>
      </c>
    </row>
    <row r="2684">
      <c r="A2684" t="s">
        <v>3</v>
      </c>
      <c r="B2684" s="6" t="s">
        <v>12</v>
      </c>
      <c r="C2684" s="6" t="s">
        <v>59</v>
      </c>
      <c r="D2684" s="6" t="s">
        <v>105</v>
      </c>
      <c r="E2684" s="10" t="s">
        <v>2825</v>
      </c>
      <c r="F2684" s="6" t="s">
        <v>5529</v>
      </c>
      <c r="G2684" s="6" t="s">
        <v>81</v>
      </c>
      <c r="H2684" s="6" t="s">
        <v>8333</v>
      </c>
      <c r="I2684" s="6" t="s">
        <v>8800</v>
      </c>
      <c r="J2684" s="6" t="s">
        <v>9933</v>
      </c>
      <c r="K2684" s="6" t="s">
        <v>10886</v>
      </c>
      <c r="L2684" s="16" t="n">
        <v>42636</v>
      </c>
      <c r="M2684" s="16" t="n">
        <v>45717</v>
      </c>
      <c r="N2684" s="6" t="s">
        <v>10886</v>
      </c>
      <c r="O2684" s="16" t="n">
        <v>42636</v>
      </c>
      <c r="P2684" s="6" t="s">
        <v>12388</v>
      </c>
      <c r="Q2684" s="6" t="s">
        <v>81</v>
      </c>
      <c r="R2684" s="6" t="s">
        <v>81</v>
      </c>
      <c r="S2684" s="6" t="s">
        <v>10886</v>
      </c>
      <c r="T2684" s="16" t="n">
        <v>42636</v>
      </c>
      <c r="U2684" s="6" t="s">
        <v>13187</v>
      </c>
      <c r="V2684" s="6" t="s">
        <v>81</v>
      </c>
      <c r="W2684" s="6" t="s">
        <v>81</v>
      </c>
      <c r="X2684" s="6" t="s">
        <v>81</v>
      </c>
      <c r="Y2684" s="21" t="s">
        <v>81</v>
      </c>
      <c r="Z2684" s="6" t="s">
        <v>81</v>
      </c>
      <c r="AA2684" s="6" t="s">
        <v>81</v>
      </c>
      <c r="AB2684" s="6" t="s">
        <v>81</v>
      </c>
      <c r="AC2684" s="6" t="s">
        <v>81</v>
      </c>
      <c r="AD2684" s="21" t="s">
        <v>81</v>
      </c>
      <c r="AE2684" s="6" t="s">
        <v>81</v>
      </c>
      <c r="AF2684" s="6" t="s">
        <v>81</v>
      </c>
      <c r="AG2684" s="6" t="s">
        <v>81</v>
      </c>
      <c r="AH2684" s="6" t="s">
        <v>17216</v>
      </c>
      <c r="AI2684" s="6" t="s">
        <v>81</v>
      </c>
      <c r="AJ2684" s="6" t="s">
        <v>18358</v>
      </c>
      <c r="AK2684" s="6" t="s">
        <v>18380</v>
      </c>
      <c r="AL2684" s="6" t="s">
        <v>18444</v>
      </c>
      <c r="AM2684" s="6" t="s">
        <v>19613</v>
      </c>
      <c r="AN2684" s="6" t="s">
        <v>19684</v>
      </c>
      <c r="AO2684" s="6" t="s">
        <v>19897</v>
      </c>
      <c r="AP2684" s="6" t="s">
        <v>17216</v>
      </c>
      <c r="AQ2684" s="6" t="s">
        <v>81</v>
      </c>
      <c r="AR2684" s="6" t="s">
        <v>18358</v>
      </c>
      <c r="AS2684" s="6" t="s">
        <v>18380</v>
      </c>
      <c r="AT2684" s="6" t="s">
        <v>18444</v>
      </c>
      <c r="AU2684" s="6" t="s">
        <v>19613</v>
      </c>
      <c r="AV2684" s="6" t="s">
        <v>81</v>
      </c>
      <c r="AW2684" s="6" t="s">
        <v>81</v>
      </c>
      <c r="AX2684" s="6" t="s">
        <v>22511</v>
      </c>
      <c r="AY2684" s="6" t="s">
        <v>23550</v>
      </c>
      <c r="AZ2684" s="6" t="s">
        <v>81</v>
      </c>
      <c r="BA2684" s="6" t="s">
        <v>81</v>
      </c>
      <c r="BB2684" s="24" t="n">
        <v>240</v>
      </c>
      <c r="BC2684" s="26"/>
      <c r="BD2684" s="26"/>
      <c r="BE2684" s="26"/>
      <c r="BF2684" s="26"/>
      <c r="BG2684" s="26"/>
      <c r="BH2684" s="26"/>
      <c r="BI2684" s="26"/>
      <c r="BJ2684" s="26"/>
      <c r="BK2684" s="26"/>
      <c r="BL2684" s="26"/>
      <c r="BM2684" s="26"/>
      <c r="BN2684" s="26"/>
      <c r="BO2684" s="26"/>
      <c r="BP2684" s="16" t="n">
        <v>45697</v>
      </c>
      <c r="BQ2684" s="28" t="str">
        <f>HYPERLINK("https://organic.ams.usda.gov/Integrity/Certificate.aspx?cid=68&amp;nopid=8210004125")</f>
        <v>https://organic.ams.usda.gov/Integrity/Certificate.aspx?cid=68&amp;nopid=8210004125</v>
      </c>
    </row>
    <row r="2685">
      <c r="A2685" t="s">
        <v>3</v>
      </c>
      <c r="B2685" s="6" t="s">
        <v>11</v>
      </c>
      <c r="C2685" s="6" t="s">
        <v>58</v>
      </c>
      <c r="D2685" s="6" t="s">
        <v>104</v>
      </c>
      <c r="E2685" s="10" t="s">
        <v>2826</v>
      </c>
      <c r="F2685" s="6" t="s">
        <v>5530</v>
      </c>
      <c r="G2685" s="6" t="s">
        <v>81</v>
      </c>
      <c r="H2685" s="6" t="s">
        <v>81</v>
      </c>
      <c r="I2685" s="6" t="s">
        <v>9641</v>
      </c>
      <c r="J2685" s="6" t="s">
        <v>9755</v>
      </c>
      <c r="K2685" s="6" t="s">
        <v>10886</v>
      </c>
      <c r="L2685" s="16" t="n">
        <v>45086</v>
      </c>
      <c r="M2685" s="16" t="n">
        <v>45748</v>
      </c>
      <c r="N2685" s="6" t="s">
        <v>10886</v>
      </c>
      <c r="O2685" s="16" t="n">
        <v>45086</v>
      </c>
      <c r="P2685" s="6" t="s">
        <v>12389</v>
      </c>
      <c r="Q2685" s="6" t="s">
        <v>81</v>
      </c>
      <c r="R2685" s="6" t="s">
        <v>81</v>
      </c>
      <c r="S2685" s="6" t="s">
        <v>10886</v>
      </c>
      <c r="T2685" s="16" t="n">
        <v>45086</v>
      </c>
      <c r="U2685" s="6" t="s">
        <v>13948</v>
      </c>
      <c r="V2685" s="6" t="s">
        <v>81</v>
      </c>
      <c r="W2685" s="6" t="s">
        <v>81</v>
      </c>
      <c r="X2685" s="6" t="s">
        <v>81</v>
      </c>
      <c r="Y2685" s="21" t="s">
        <v>81</v>
      </c>
      <c r="Z2685" s="6" t="s">
        <v>81</v>
      </c>
      <c r="AA2685" s="6" t="s">
        <v>81</v>
      </c>
      <c r="AB2685" s="6" t="s">
        <v>81</v>
      </c>
      <c r="AC2685" s="6" t="s">
        <v>81</v>
      </c>
      <c r="AD2685" s="21" t="s">
        <v>81</v>
      </c>
      <c r="AE2685" s="6" t="s">
        <v>81</v>
      </c>
      <c r="AF2685" s="6" t="s">
        <v>81</v>
      </c>
      <c r="AG2685" s="6" t="s">
        <v>81</v>
      </c>
      <c r="AH2685" s="6" t="s">
        <v>17217</v>
      </c>
      <c r="AI2685" s="6" t="s">
        <v>81</v>
      </c>
      <c r="AJ2685" s="6" t="s">
        <v>17484</v>
      </c>
      <c r="AK2685" s="6" t="s">
        <v>18377</v>
      </c>
      <c r="AL2685" s="6" t="s">
        <v>18444</v>
      </c>
      <c r="AM2685" s="6" t="s">
        <v>18644</v>
      </c>
      <c r="AN2685" s="6" t="s">
        <v>19687</v>
      </c>
      <c r="AO2685" s="6" t="s">
        <v>19919</v>
      </c>
      <c r="AP2685" s="6" t="s">
        <v>81</v>
      </c>
      <c r="AQ2685" s="6" t="s">
        <v>81</v>
      </c>
      <c r="AR2685" s="6" t="s">
        <v>81</v>
      </c>
      <c r="AS2685" s="6" t="s">
        <v>81</v>
      </c>
      <c r="AT2685" s="6" t="s">
        <v>81</v>
      </c>
      <c r="AU2685" s="6" t="s">
        <v>81</v>
      </c>
      <c r="AV2685" s="6" t="s">
        <v>81</v>
      </c>
      <c r="AW2685" s="6" t="s">
        <v>81</v>
      </c>
      <c r="AX2685" s="6" t="s">
        <v>81</v>
      </c>
      <c r="AY2685" s="6" t="s">
        <v>81</v>
      </c>
      <c r="AZ2685" s="6" t="s">
        <v>81</v>
      </c>
      <c r="BA2685" s="6" t="s">
        <v>23820</v>
      </c>
      <c r="BB2685" s="24" t="n">
        <v>87</v>
      </c>
      <c r="BC2685" s="26"/>
      <c r="BD2685" s="26"/>
      <c r="BE2685" s="26"/>
      <c r="BF2685" s="26"/>
      <c r="BG2685" s="26"/>
      <c r="BH2685" s="26"/>
      <c r="BI2685" s="26"/>
      <c r="BJ2685" s="26"/>
      <c r="BK2685" s="26"/>
      <c r="BL2685" s="26"/>
      <c r="BM2685" s="26"/>
      <c r="BN2685" s="26"/>
      <c r="BO2685" s="26"/>
      <c r="BP2685" s="16" t="n">
        <v>45644</v>
      </c>
      <c r="BQ2685" s="28" t="str">
        <f>HYPERLINK("https://organic.ams.usda.gov/Integrity/Certificate.aspx?cid=46&amp;nopid=3672300030")</f>
        <v>https://organic.ams.usda.gov/Integrity/Certificate.aspx?cid=46&amp;nopid=3672300030</v>
      </c>
    </row>
    <row r="2686">
      <c r="A2686" t="s">
        <v>3</v>
      </c>
      <c r="B2686" s="6" t="s">
        <v>7</v>
      </c>
      <c r="C2686" s="6" t="s">
        <v>54</v>
      </c>
      <c r="D2686" s="6" t="s">
        <v>100</v>
      </c>
      <c r="E2686" s="10" t="s">
        <v>2827</v>
      </c>
      <c r="F2686" s="6" t="s">
        <v>5531</v>
      </c>
      <c r="G2686" s="6" t="s">
        <v>81</v>
      </c>
      <c r="H2686" s="6" t="s">
        <v>8334</v>
      </c>
      <c r="I2686" s="6" t="s">
        <v>8800</v>
      </c>
      <c r="J2686" s="6" t="s">
        <v>10864</v>
      </c>
      <c r="K2686" s="6" t="s">
        <v>10886</v>
      </c>
      <c r="L2686" s="16" t="n">
        <v>39015</v>
      </c>
      <c r="M2686" s="16" t="n">
        <v>45716</v>
      </c>
      <c r="N2686" s="6" t="s">
        <v>10886</v>
      </c>
      <c r="O2686" s="16" t="n">
        <v>39015</v>
      </c>
      <c r="P2686" s="6" t="s">
        <v>12390</v>
      </c>
      <c r="Q2686" s="6" t="s">
        <v>81</v>
      </c>
      <c r="R2686" s="6" t="s">
        <v>81</v>
      </c>
      <c r="S2686" s="6" t="s">
        <v>10886</v>
      </c>
      <c r="T2686" s="16" t="n">
        <v>42430</v>
      </c>
      <c r="U2686" s="6" t="s">
        <v>13284</v>
      </c>
      <c r="V2686" s="6" t="s">
        <v>81</v>
      </c>
      <c r="W2686" s="6" t="s">
        <v>81</v>
      </c>
      <c r="X2686" s="6" t="s">
        <v>81</v>
      </c>
      <c r="Y2686" s="21" t="s">
        <v>81</v>
      </c>
      <c r="Z2686" s="6" t="s">
        <v>81</v>
      </c>
      <c r="AA2686" s="6" t="s">
        <v>81</v>
      </c>
      <c r="AB2686" s="6" t="s">
        <v>81</v>
      </c>
      <c r="AC2686" s="6" t="s">
        <v>81</v>
      </c>
      <c r="AD2686" s="21" t="s">
        <v>81</v>
      </c>
      <c r="AE2686" s="6" t="s">
        <v>81</v>
      </c>
      <c r="AF2686" s="6" t="s">
        <v>81</v>
      </c>
      <c r="AG2686" s="6" t="s">
        <v>81</v>
      </c>
      <c r="AH2686" s="6" t="s">
        <v>17218</v>
      </c>
      <c r="AI2686" s="6" t="s">
        <v>81</v>
      </c>
      <c r="AJ2686" s="6" t="s">
        <v>17897</v>
      </c>
      <c r="AK2686" s="6" t="s">
        <v>17712</v>
      </c>
      <c r="AL2686" s="6" t="s">
        <v>18444</v>
      </c>
      <c r="AM2686" s="6" t="s">
        <v>19084</v>
      </c>
      <c r="AN2686" s="6" t="s">
        <v>19653</v>
      </c>
      <c r="AO2686" s="6" t="s">
        <v>19744</v>
      </c>
      <c r="AP2686" s="6" t="s">
        <v>17218</v>
      </c>
      <c r="AQ2686" s="6" t="s">
        <v>81</v>
      </c>
      <c r="AR2686" s="6" t="s">
        <v>17897</v>
      </c>
      <c r="AS2686" s="6" t="s">
        <v>17712</v>
      </c>
      <c r="AT2686" s="6" t="s">
        <v>18444</v>
      </c>
      <c r="AU2686" s="6" t="s">
        <v>19084</v>
      </c>
      <c r="AV2686" s="6" t="s">
        <v>81</v>
      </c>
      <c r="AW2686" s="6" t="s">
        <v>81</v>
      </c>
      <c r="AX2686" s="6" t="s">
        <v>22512</v>
      </c>
      <c r="AY2686" s="6" t="s">
        <v>23551</v>
      </c>
      <c r="AZ2686" s="6" t="s">
        <v>81</v>
      </c>
      <c r="BA2686" s="6" t="s">
        <v>81</v>
      </c>
      <c r="BB2686" s="24" t="n">
        <v>448</v>
      </c>
      <c r="BC2686" s="26"/>
      <c r="BD2686" s="26"/>
      <c r="BE2686" s="26"/>
      <c r="BF2686" s="26" t="s">
        <v>23900</v>
      </c>
      <c r="BG2686" s="26"/>
      <c r="BH2686" s="26"/>
      <c r="BI2686" s="26"/>
      <c r="BJ2686" s="26"/>
      <c r="BK2686" s="26"/>
      <c r="BL2686" s="26"/>
      <c r="BM2686" s="26"/>
      <c r="BN2686" s="26"/>
      <c r="BO2686" s="26"/>
      <c r="BP2686" s="16" t="n">
        <v>45700</v>
      </c>
      <c r="BQ2686" s="28" t="str">
        <f>HYPERLINK("https://organic.ams.usda.gov/Integrity/Certificate.aspx?cid=57&amp;nopid=3252006173")</f>
        <v>https://organic.ams.usda.gov/Integrity/Certificate.aspx?cid=57&amp;nopid=3252006173</v>
      </c>
    </row>
    <row r="2687">
      <c r="A2687" t="s">
        <v>3</v>
      </c>
      <c r="B2687" s="6" t="s">
        <v>7</v>
      </c>
      <c r="C2687" s="6" t="s">
        <v>54</v>
      </c>
      <c r="D2687" s="6" t="s">
        <v>100</v>
      </c>
      <c r="E2687" s="10" t="s">
        <v>2828</v>
      </c>
      <c r="F2687" s="6" t="s">
        <v>5532</v>
      </c>
      <c r="G2687" s="6" t="s">
        <v>81</v>
      </c>
      <c r="H2687" s="6" t="s">
        <v>8335</v>
      </c>
      <c r="I2687" s="6" t="s">
        <v>8800</v>
      </c>
      <c r="J2687" s="6" t="s">
        <v>9727</v>
      </c>
      <c r="K2687" s="6" t="s">
        <v>10886</v>
      </c>
      <c r="L2687" s="16" t="n">
        <v>45142</v>
      </c>
      <c r="M2687" s="16" t="n">
        <v>45716</v>
      </c>
      <c r="N2687" s="6" t="s">
        <v>10886</v>
      </c>
      <c r="O2687" s="16" t="n">
        <v>45142</v>
      </c>
      <c r="P2687" s="6" t="s">
        <v>10910</v>
      </c>
      <c r="Q2687" s="6" t="s">
        <v>81</v>
      </c>
      <c r="R2687" s="6" t="s">
        <v>81</v>
      </c>
      <c r="S2687" s="6" t="s">
        <v>10886</v>
      </c>
      <c r="T2687" s="16" t="n">
        <v>45142</v>
      </c>
      <c r="U2687" s="6" t="s">
        <v>13169</v>
      </c>
      <c r="V2687" s="6" t="s">
        <v>81</v>
      </c>
      <c r="W2687" s="6" t="s">
        <v>81</v>
      </c>
      <c r="X2687" s="6" t="s">
        <v>81</v>
      </c>
      <c r="Y2687" s="21" t="s">
        <v>81</v>
      </c>
      <c r="Z2687" s="6" t="s">
        <v>81</v>
      </c>
      <c r="AA2687" s="6" t="s">
        <v>81</v>
      </c>
      <c r="AB2687" s="6" t="s">
        <v>81</v>
      </c>
      <c r="AC2687" s="6" t="s">
        <v>81</v>
      </c>
      <c r="AD2687" s="21" t="s">
        <v>81</v>
      </c>
      <c r="AE2687" s="6" t="s">
        <v>81</v>
      </c>
      <c r="AF2687" s="6" t="s">
        <v>81</v>
      </c>
      <c r="AG2687" s="6" t="s">
        <v>81</v>
      </c>
      <c r="AH2687" s="6" t="s">
        <v>17219</v>
      </c>
      <c r="AI2687" s="6" t="s">
        <v>81</v>
      </c>
      <c r="AJ2687" s="6" t="s">
        <v>17717</v>
      </c>
      <c r="AK2687" s="6" t="s">
        <v>17712</v>
      </c>
      <c r="AL2687" s="6" t="s">
        <v>18444</v>
      </c>
      <c r="AM2687" s="6" t="s">
        <v>18884</v>
      </c>
      <c r="AN2687" s="6" t="s">
        <v>81</v>
      </c>
      <c r="AO2687" s="6" t="s">
        <v>81</v>
      </c>
      <c r="AP2687" s="6" t="s">
        <v>17219</v>
      </c>
      <c r="AQ2687" s="6" t="s">
        <v>81</v>
      </c>
      <c r="AR2687" s="6" t="s">
        <v>17717</v>
      </c>
      <c r="AS2687" s="6" t="s">
        <v>17712</v>
      </c>
      <c r="AT2687" s="6" t="s">
        <v>18444</v>
      </c>
      <c r="AU2687" s="6" t="s">
        <v>18884</v>
      </c>
      <c r="AV2687" s="6" t="s">
        <v>81</v>
      </c>
      <c r="AW2687" s="6" t="s">
        <v>81</v>
      </c>
      <c r="AX2687" s="6" t="s">
        <v>22513</v>
      </c>
      <c r="AY2687" s="6" t="s">
        <v>81</v>
      </c>
      <c r="AZ2687" s="6" t="s">
        <v>81</v>
      </c>
      <c r="BA2687" s="6" t="s">
        <v>81</v>
      </c>
      <c r="BB2687" s="24" t="n">
        <v>88</v>
      </c>
      <c r="BC2687" s="26"/>
      <c r="BD2687" s="26"/>
      <c r="BE2687" s="26"/>
      <c r="BF2687" s="26" t="s">
        <v>23900</v>
      </c>
      <c r="BG2687" s="26"/>
      <c r="BH2687" s="26"/>
      <c r="BI2687" s="26"/>
      <c r="BJ2687" s="26"/>
      <c r="BK2687" s="26"/>
      <c r="BL2687" s="26"/>
      <c r="BM2687" s="26"/>
      <c r="BN2687" s="26"/>
      <c r="BO2687" s="26"/>
      <c r="BP2687" s="16" t="n">
        <v>45595</v>
      </c>
      <c r="BQ2687" s="28" t="str">
        <f>HYPERLINK("https://organic.ams.usda.gov/Integrity/Certificate.aspx?cid=57&amp;nopid=3252023051")</f>
        <v>https://organic.ams.usda.gov/Integrity/Certificate.aspx?cid=57&amp;nopid=3252023051</v>
      </c>
    </row>
    <row r="2688">
      <c r="A2688" t="s">
        <v>3</v>
      </c>
      <c r="B2688" s="6" t="s">
        <v>7</v>
      </c>
      <c r="C2688" s="6" t="s">
        <v>54</v>
      </c>
      <c r="D2688" s="6" t="s">
        <v>100</v>
      </c>
      <c r="E2688" s="10" t="s">
        <v>2829</v>
      </c>
      <c r="F2688" s="6" t="s">
        <v>5532</v>
      </c>
      <c r="G2688" s="6" t="s">
        <v>81</v>
      </c>
      <c r="H2688" s="6" t="s">
        <v>8336</v>
      </c>
      <c r="I2688" s="6" t="s">
        <v>8800</v>
      </c>
      <c r="J2688" s="6" t="s">
        <v>9727</v>
      </c>
      <c r="K2688" s="6" t="s">
        <v>10886</v>
      </c>
      <c r="L2688" s="16" t="n">
        <v>45083</v>
      </c>
      <c r="M2688" s="16" t="n">
        <v>45716</v>
      </c>
      <c r="N2688" s="6" t="s">
        <v>10886</v>
      </c>
      <c r="O2688" s="16" t="n">
        <v>45083</v>
      </c>
      <c r="P2688" s="6" t="s">
        <v>12391</v>
      </c>
      <c r="Q2688" s="6" t="s">
        <v>81</v>
      </c>
      <c r="R2688" s="6" t="s">
        <v>81</v>
      </c>
      <c r="S2688" s="6" t="s">
        <v>10886</v>
      </c>
      <c r="T2688" s="16" t="n">
        <v>45083</v>
      </c>
      <c r="U2688" s="6" t="s">
        <v>13169</v>
      </c>
      <c r="V2688" s="6" t="s">
        <v>81</v>
      </c>
      <c r="W2688" s="6" t="s">
        <v>81</v>
      </c>
      <c r="X2688" s="6" t="s">
        <v>81</v>
      </c>
      <c r="Y2688" s="21" t="s">
        <v>81</v>
      </c>
      <c r="Z2688" s="6" t="s">
        <v>81</v>
      </c>
      <c r="AA2688" s="6" t="s">
        <v>81</v>
      </c>
      <c r="AB2688" s="6" t="s">
        <v>81</v>
      </c>
      <c r="AC2688" s="6" t="s">
        <v>81</v>
      </c>
      <c r="AD2688" s="21" t="s">
        <v>81</v>
      </c>
      <c r="AE2688" s="6" t="s">
        <v>81</v>
      </c>
      <c r="AF2688" s="6" t="s">
        <v>81</v>
      </c>
      <c r="AG2688" s="6" t="s">
        <v>81</v>
      </c>
      <c r="AH2688" s="6" t="s">
        <v>17220</v>
      </c>
      <c r="AI2688" s="6" t="s">
        <v>81</v>
      </c>
      <c r="AJ2688" s="6" t="s">
        <v>17406</v>
      </c>
      <c r="AK2688" s="6" t="s">
        <v>17712</v>
      </c>
      <c r="AL2688" s="6" t="s">
        <v>18444</v>
      </c>
      <c r="AM2688" s="6" t="s">
        <v>18562</v>
      </c>
      <c r="AN2688" s="6" t="s">
        <v>81</v>
      </c>
      <c r="AO2688" s="6" t="s">
        <v>81</v>
      </c>
      <c r="AP2688" s="6" t="s">
        <v>17220</v>
      </c>
      <c r="AQ2688" s="6" t="s">
        <v>81</v>
      </c>
      <c r="AR2688" s="6" t="s">
        <v>17406</v>
      </c>
      <c r="AS2688" s="6" t="s">
        <v>17712</v>
      </c>
      <c r="AT2688" s="6" t="s">
        <v>18444</v>
      </c>
      <c r="AU2688" s="6" t="s">
        <v>18562</v>
      </c>
      <c r="AV2688" s="6" t="s">
        <v>81</v>
      </c>
      <c r="AW2688" s="6" t="s">
        <v>81</v>
      </c>
      <c r="AX2688" s="6" t="s">
        <v>81</v>
      </c>
      <c r="AY2688" s="6" t="s">
        <v>81</v>
      </c>
      <c r="AZ2688" s="6" t="s">
        <v>81</v>
      </c>
      <c r="BA2688" s="6" t="s">
        <v>81</v>
      </c>
      <c r="BB2688" s="24" t="n">
        <v>64</v>
      </c>
      <c r="BC2688" s="26"/>
      <c r="BD2688" s="26"/>
      <c r="BE2688" s="26"/>
      <c r="BF2688" s="26" t="s">
        <v>23900</v>
      </c>
      <c r="BG2688" s="26"/>
      <c r="BH2688" s="26"/>
      <c r="BI2688" s="26"/>
      <c r="BJ2688" s="26"/>
      <c r="BK2688" s="26"/>
      <c r="BL2688" s="26"/>
      <c r="BM2688" s="26"/>
      <c r="BN2688" s="26"/>
      <c r="BO2688" s="26"/>
      <c r="BP2688" s="16" t="n">
        <v>45595</v>
      </c>
      <c r="BQ2688" s="28" t="str">
        <f>HYPERLINK("https://organic.ams.usda.gov/Integrity/Certificate.aspx?cid=57&amp;nopid=3252023049")</f>
        <v>https://organic.ams.usda.gov/Integrity/Certificate.aspx?cid=57&amp;nopid=3252023049</v>
      </c>
    </row>
    <row r="2689">
      <c r="A2689" t="s">
        <v>3</v>
      </c>
      <c r="B2689" s="6" t="s">
        <v>13</v>
      </c>
      <c r="C2689" s="6" t="s">
        <v>60</v>
      </c>
      <c r="D2689" s="6" t="s">
        <v>106</v>
      </c>
      <c r="E2689" s="10" t="s">
        <v>2830</v>
      </c>
      <c r="F2689" s="6" t="s">
        <v>5533</v>
      </c>
      <c r="G2689" s="6" t="s">
        <v>81</v>
      </c>
      <c r="H2689" s="6" t="s">
        <v>8337</v>
      </c>
      <c r="I2689" s="6" t="s">
        <v>9642</v>
      </c>
      <c r="J2689" s="6" t="s">
        <v>9666</v>
      </c>
      <c r="K2689" s="6" t="s">
        <v>10886</v>
      </c>
      <c r="L2689" s="16" t="n">
        <v>45511</v>
      </c>
      <c r="M2689" s="16" t="n">
        <v>45748</v>
      </c>
      <c r="N2689" s="6" t="s">
        <v>10886</v>
      </c>
      <c r="O2689" s="16" t="n">
        <v>45511</v>
      </c>
      <c r="P2689" s="6" t="s">
        <v>11252</v>
      </c>
      <c r="Q2689" s="6" t="s">
        <v>81</v>
      </c>
      <c r="R2689" s="6" t="s">
        <v>13142</v>
      </c>
      <c r="S2689" s="6" t="s">
        <v>10886</v>
      </c>
      <c r="T2689" s="16" t="n">
        <v>45511</v>
      </c>
      <c r="U2689" s="6" t="s">
        <v>13949</v>
      </c>
      <c r="V2689" s="6" t="s">
        <v>81</v>
      </c>
      <c r="W2689" s="6" t="s">
        <v>13142</v>
      </c>
      <c r="X2689" s="6" t="s">
        <v>81</v>
      </c>
      <c r="Y2689" s="21" t="s">
        <v>81</v>
      </c>
      <c r="Z2689" s="6" t="s">
        <v>81</v>
      </c>
      <c r="AA2689" s="6" t="s">
        <v>81</v>
      </c>
      <c r="AB2689" s="6" t="s">
        <v>81</v>
      </c>
      <c r="AC2689" s="6" t="s">
        <v>81</v>
      </c>
      <c r="AD2689" s="21" t="s">
        <v>81</v>
      </c>
      <c r="AE2689" s="6" t="s">
        <v>81</v>
      </c>
      <c r="AF2689" s="6" t="s">
        <v>81</v>
      </c>
      <c r="AG2689" s="6" t="s">
        <v>81</v>
      </c>
      <c r="AH2689" s="6" t="s">
        <v>17221</v>
      </c>
      <c r="AI2689" s="6" t="s">
        <v>81</v>
      </c>
      <c r="AJ2689" s="6" t="s">
        <v>10457</v>
      </c>
      <c r="AK2689" s="6" t="s">
        <v>18378</v>
      </c>
      <c r="AL2689" s="6" t="s">
        <v>18444</v>
      </c>
      <c r="AM2689" s="6" t="s">
        <v>18573</v>
      </c>
      <c r="AN2689" s="6" t="s">
        <v>81</v>
      </c>
      <c r="AO2689" s="6" t="s">
        <v>81</v>
      </c>
      <c r="AP2689" s="6" t="s">
        <v>17221</v>
      </c>
      <c r="AQ2689" s="6" t="s">
        <v>81</v>
      </c>
      <c r="AR2689" s="6" t="s">
        <v>10457</v>
      </c>
      <c r="AS2689" s="6" t="s">
        <v>18378</v>
      </c>
      <c r="AT2689" s="6" t="s">
        <v>18444</v>
      </c>
      <c r="AU2689" s="6" t="s">
        <v>18573</v>
      </c>
      <c r="AV2689" s="6" t="s">
        <v>81</v>
      </c>
      <c r="AW2689" s="6" t="s">
        <v>81</v>
      </c>
      <c r="AX2689" s="6" t="s">
        <v>22514</v>
      </c>
      <c r="AY2689" s="6" t="s">
        <v>81</v>
      </c>
      <c r="AZ2689" s="6" t="s">
        <v>81</v>
      </c>
      <c r="BA2689" s="6" t="s">
        <v>81</v>
      </c>
      <c r="BB2689" s="24" t="n">
        <v>78</v>
      </c>
      <c r="BC2689" s="26"/>
      <c r="BD2689" s="26"/>
      <c r="BE2689" s="26"/>
      <c r="BF2689" s="26" t="s">
        <v>23900</v>
      </c>
      <c r="BG2689" s="26"/>
      <c r="BH2689" s="26"/>
      <c r="BI2689" s="26"/>
      <c r="BJ2689" s="26"/>
      <c r="BK2689" s="26"/>
      <c r="BL2689" s="26"/>
      <c r="BM2689" s="26"/>
      <c r="BN2689" s="26"/>
      <c r="BO2689" s="26"/>
      <c r="BP2689" s="16" t="n">
        <v>45670</v>
      </c>
      <c r="BQ2689" s="28" t="str">
        <f>HYPERLINK("https://organic.ams.usda.gov/Integrity/Certificate.aspx?cid=72&amp;nopid=5870107157")</f>
        <v>https://organic.ams.usda.gov/Integrity/Certificate.aspx?cid=72&amp;nopid=5870107157</v>
      </c>
    </row>
    <row r="2690">
      <c r="A2690" t="s">
        <v>3</v>
      </c>
      <c r="B2690" s="6" t="s">
        <v>8</v>
      </c>
      <c r="C2690" s="6" t="s">
        <v>55</v>
      </c>
      <c r="D2690" s="6" t="s">
        <v>101</v>
      </c>
      <c r="E2690" s="10" t="s">
        <v>2831</v>
      </c>
      <c r="F2690" s="6" t="s">
        <v>5534</v>
      </c>
      <c r="G2690" s="6" t="s">
        <v>81</v>
      </c>
      <c r="H2690" s="6" t="s">
        <v>8338</v>
      </c>
      <c r="I2690" s="6" t="s">
        <v>8800</v>
      </c>
      <c r="J2690" s="6" t="s">
        <v>9734</v>
      </c>
      <c r="K2690" s="6" t="s">
        <v>10886</v>
      </c>
      <c r="L2690" s="16" t="n">
        <v>41282</v>
      </c>
      <c r="M2690" s="16" t="n">
        <v>45383</v>
      </c>
      <c r="N2690" s="6" t="s">
        <v>10886</v>
      </c>
      <c r="O2690" s="16" t="n">
        <v>41282</v>
      </c>
      <c r="P2690" s="6" t="s">
        <v>12392</v>
      </c>
      <c r="Q2690" s="6" t="s">
        <v>81</v>
      </c>
      <c r="R2690" s="6" t="s">
        <v>8338</v>
      </c>
      <c r="S2690" s="6" t="s">
        <v>10886</v>
      </c>
      <c r="T2690" s="16" t="n">
        <v>41282</v>
      </c>
      <c r="U2690" s="6" t="s">
        <v>13950</v>
      </c>
      <c r="V2690" s="6" t="s">
        <v>81</v>
      </c>
      <c r="W2690" s="6" t="s">
        <v>8338</v>
      </c>
      <c r="X2690" s="6" t="s">
        <v>81</v>
      </c>
      <c r="Y2690" s="21" t="s">
        <v>81</v>
      </c>
      <c r="Z2690" s="6" t="s">
        <v>81</v>
      </c>
      <c r="AA2690" s="6" t="s">
        <v>81</v>
      </c>
      <c r="AB2690" s="6" t="s">
        <v>81</v>
      </c>
      <c r="AC2690" s="6" t="s">
        <v>81</v>
      </c>
      <c r="AD2690" s="21" t="s">
        <v>81</v>
      </c>
      <c r="AE2690" s="6" t="s">
        <v>81</v>
      </c>
      <c r="AF2690" s="6" t="s">
        <v>81</v>
      </c>
      <c r="AG2690" s="6" t="s">
        <v>81</v>
      </c>
      <c r="AH2690" s="6" t="s">
        <v>17222</v>
      </c>
      <c r="AI2690" s="6" t="s">
        <v>81</v>
      </c>
      <c r="AJ2690" s="6" t="s">
        <v>17315</v>
      </c>
      <c r="AK2690" s="6" t="s">
        <v>18379</v>
      </c>
      <c r="AL2690" s="6" t="s">
        <v>18444</v>
      </c>
      <c r="AM2690" s="6" t="s">
        <v>18467</v>
      </c>
      <c r="AN2690" s="6" t="s">
        <v>19637</v>
      </c>
      <c r="AO2690" s="6" t="s">
        <v>19723</v>
      </c>
      <c r="AP2690" s="6" t="s">
        <v>81</v>
      </c>
      <c r="AQ2690" s="6" t="s">
        <v>81</v>
      </c>
      <c r="AR2690" s="6" t="s">
        <v>81</v>
      </c>
      <c r="AS2690" s="6" t="s">
        <v>81</v>
      </c>
      <c r="AT2690" s="6" t="s">
        <v>81</v>
      </c>
      <c r="AU2690" s="6" t="s">
        <v>81</v>
      </c>
      <c r="AV2690" s="6" t="s">
        <v>81</v>
      </c>
      <c r="AW2690" s="6" t="s">
        <v>81</v>
      </c>
      <c r="AX2690" s="6" t="s">
        <v>22515</v>
      </c>
      <c r="AY2690" s="6" t="s">
        <v>81</v>
      </c>
      <c r="AZ2690" s="6" t="s">
        <v>81</v>
      </c>
      <c r="BA2690" s="6" t="s">
        <v>23819</v>
      </c>
      <c r="BB2690" s="24" t="n">
        <v>120</v>
      </c>
      <c r="BC2690" s="26"/>
      <c r="BD2690" s="26"/>
      <c r="BE2690" s="26"/>
      <c r="BF2690" s="26" t="s">
        <v>23900</v>
      </c>
      <c r="BG2690" s="26"/>
      <c r="BH2690" s="26"/>
      <c r="BI2690" s="26"/>
      <c r="BJ2690" s="26"/>
      <c r="BK2690" s="26"/>
      <c r="BL2690" s="26"/>
      <c r="BM2690" s="26"/>
      <c r="BN2690" s="26"/>
      <c r="BO2690" s="26"/>
      <c r="BP2690" s="16" t="n">
        <v>45418</v>
      </c>
      <c r="BQ2690" s="28" t="str">
        <f>HYPERLINK("https://organic.ams.usda.gov/Integrity/Certificate.aspx?cid=45&amp;nopid=9950004557")</f>
        <v>https://organic.ams.usda.gov/Integrity/Certificate.aspx?cid=45&amp;nopid=9950004557</v>
      </c>
    </row>
    <row r="2691">
      <c r="A2691" t="s">
        <v>3</v>
      </c>
      <c r="B2691" s="6" t="s">
        <v>13</v>
      </c>
      <c r="C2691" s="6" t="s">
        <v>60</v>
      </c>
      <c r="D2691" s="6" t="s">
        <v>106</v>
      </c>
      <c r="E2691" s="10" t="s">
        <v>2832</v>
      </c>
      <c r="F2691" s="6" t="s">
        <v>5535</v>
      </c>
      <c r="G2691" s="6" t="s">
        <v>81</v>
      </c>
      <c r="H2691" s="6" t="s">
        <v>8339</v>
      </c>
      <c r="I2691" s="6" t="s">
        <v>8800</v>
      </c>
      <c r="J2691" s="6" t="s">
        <v>9726</v>
      </c>
      <c r="K2691" s="6" t="s">
        <v>10886</v>
      </c>
      <c r="L2691" s="16" t="n">
        <v>40452</v>
      </c>
      <c r="M2691" s="16" t="n">
        <v>46024</v>
      </c>
      <c r="N2691" s="6" t="s">
        <v>10886</v>
      </c>
      <c r="O2691" s="16" t="n">
        <v>40452</v>
      </c>
      <c r="P2691" s="6" t="s">
        <v>12393</v>
      </c>
      <c r="Q2691" s="6" t="s">
        <v>81</v>
      </c>
      <c r="R2691" s="6" t="s">
        <v>13143</v>
      </c>
      <c r="S2691" s="6" t="s">
        <v>10886</v>
      </c>
      <c r="T2691" s="16" t="n">
        <v>40452</v>
      </c>
      <c r="U2691" s="6" t="s">
        <v>13463</v>
      </c>
      <c r="V2691" s="6" t="s">
        <v>81</v>
      </c>
      <c r="W2691" s="6" t="s">
        <v>13143</v>
      </c>
      <c r="X2691" s="6" t="s">
        <v>81</v>
      </c>
      <c r="Y2691" s="21" t="s">
        <v>81</v>
      </c>
      <c r="Z2691" s="6" t="s">
        <v>81</v>
      </c>
      <c r="AA2691" s="6" t="s">
        <v>81</v>
      </c>
      <c r="AB2691" s="6" t="s">
        <v>81</v>
      </c>
      <c r="AC2691" s="6" t="s">
        <v>81</v>
      </c>
      <c r="AD2691" s="21" t="s">
        <v>81</v>
      </c>
      <c r="AE2691" s="6" t="s">
        <v>81</v>
      </c>
      <c r="AF2691" s="6" t="s">
        <v>81</v>
      </c>
      <c r="AG2691" s="6" t="s">
        <v>81</v>
      </c>
      <c r="AH2691" s="6" t="s">
        <v>17223</v>
      </c>
      <c r="AI2691" s="6" t="s">
        <v>81</v>
      </c>
      <c r="AJ2691" s="6" t="s">
        <v>17669</v>
      </c>
      <c r="AK2691" s="6" t="s">
        <v>18384</v>
      </c>
      <c r="AL2691" s="6" t="s">
        <v>18444</v>
      </c>
      <c r="AM2691" s="6" t="s">
        <v>18836</v>
      </c>
      <c r="AN2691" s="6" t="s">
        <v>8053</v>
      </c>
      <c r="AO2691" s="6" t="s">
        <v>19894</v>
      </c>
      <c r="AP2691" s="6" t="s">
        <v>17223</v>
      </c>
      <c r="AQ2691" s="6" t="s">
        <v>81</v>
      </c>
      <c r="AR2691" s="6" t="s">
        <v>17669</v>
      </c>
      <c r="AS2691" s="6" t="s">
        <v>18384</v>
      </c>
      <c r="AT2691" s="6" t="s">
        <v>18444</v>
      </c>
      <c r="AU2691" s="6" t="s">
        <v>18836</v>
      </c>
      <c r="AV2691" s="6" t="s">
        <v>81</v>
      </c>
      <c r="AW2691" s="6" t="s">
        <v>81</v>
      </c>
      <c r="AX2691" s="6" t="s">
        <v>22516</v>
      </c>
      <c r="AY2691" s="6" t="s">
        <v>81</v>
      </c>
      <c r="AZ2691" s="6" t="s">
        <v>81</v>
      </c>
      <c r="BA2691" s="6" t="s">
        <v>81</v>
      </c>
      <c r="BB2691" s="24" t="n">
        <v>170</v>
      </c>
      <c r="BC2691" s="26"/>
      <c r="BD2691" s="26"/>
      <c r="BE2691" s="26"/>
      <c r="BF2691" s="26" t="s">
        <v>23900</v>
      </c>
      <c r="BG2691" s="26"/>
      <c r="BH2691" s="26"/>
      <c r="BI2691" s="26"/>
      <c r="BJ2691" s="26"/>
      <c r="BK2691" s="26"/>
      <c r="BL2691" s="26"/>
      <c r="BM2691" s="26"/>
      <c r="BN2691" s="26"/>
      <c r="BO2691" s="26"/>
      <c r="BP2691" s="16" t="n">
        <v>45688</v>
      </c>
      <c r="BQ2691" s="28" t="str">
        <f>HYPERLINK("https://organic.ams.usda.gov/Integrity/Certificate.aspx?cid=72&amp;nopid=5870001552")</f>
        <v>https://organic.ams.usda.gov/Integrity/Certificate.aspx?cid=72&amp;nopid=5870001552</v>
      </c>
    </row>
    <row r="2692">
      <c r="A2692" t="s">
        <v>3</v>
      </c>
      <c r="B2692" s="6" t="s">
        <v>9</v>
      </c>
      <c r="C2692" s="6" t="s">
        <v>56</v>
      </c>
      <c r="D2692" s="6" t="s">
        <v>102</v>
      </c>
      <c r="E2692" s="10" t="s">
        <v>2833</v>
      </c>
      <c r="F2692" s="6" t="s">
        <v>5536</v>
      </c>
      <c r="G2692" s="6" t="s">
        <v>81</v>
      </c>
      <c r="H2692" s="6" t="s">
        <v>8340</v>
      </c>
      <c r="I2692" s="6" t="s">
        <v>8800</v>
      </c>
      <c r="J2692" s="6" t="s">
        <v>9666</v>
      </c>
      <c r="K2692" s="6" t="s">
        <v>10886</v>
      </c>
      <c r="L2692" s="16" t="n">
        <v>41555</v>
      </c>
      <c r="M2692" s="16" t="n">
        <v>45748</v>
      </c>
      <c r="N2692" s="6" t="s">
        <v>10886</v>
      </c>
      <c r="O2692" s="16" t="n">
        <v>41555</v>
      </c>
      <c r="P2692" s="6" t="s">
        <v>11253</v>
      </c>
      <c r="Q2692" s="6" t="s">
        <v>81</v>
      </c>
      <c r="R2692" s="6" t="s">
        <v>13144</v>
      </c>
      <c r="S2692" s="6" t="s">
        <v>10886</v>
      </c>
      <c r="T2692" s="16" t="n">
        <v>41555</v>
      </c>
      <c r="U2692" s="6" t="s">
        <v>13640</v>
      </c>
      <c r="V2692" s="6" t="s">
        <v>81</v>
      </c>
      <c r="W2692" s="6" t="s">
        <v>13144</v>
      </c>
      <c r="X2692" s="6" t="s">
        <v>81</v>
      </c>
      <c r="Y2692" s="21" t="s">
        <v>81</v>
      </c>
      <c r="Z2692" s="6" t="s">
        <v>81</v>
      </c>
      <c r="AA2692" s="6" t="s">
        <v>81</v>
      </c>
      <c r="AB2692" s="6" t="s">
        <v>81</v>
      </c>
      <c r="AC2692" s="6" t="s">
        <v>81</v>
      </c>
      <c r="AD2692" s="21" t="s">
        <v>81</v>
      </c>
      <c r="AE2692" s="6" t="s">
        <v>81</v>
      </c>
      <c r="AF2692" s="6" t="s">
        <v>81</v>
      </c>
      <c r="AG2692" s="6" t="s">
        <v>81</v>
      </c>
      <c r="AH2692" s="6" t="s">
        <v>17224</v>
      </c>
      <c r="AI2692" s="6" t="s">
        <v>81</v>
      </c>
      <c r="AJ2692" s="6" t="s">
        <v>17749</v>
      </c>
      <c r="AK2692" s="6" t="s">
        <v>18377</v>
      </c>
      <c r="AL2692" s="6" t="s">
        <v>18444</v>
      </c>
      <c r="AM2692" s="6" t="s">
        <v>18917</v>
      </c>
      <c r="AN2692" s="6" t="s">
        <v>19690</v>
      </c>
      <c r="AO2692" s="6" t="s">
        <v>19849</v>
      </c>
      <c r="AP2692" s="6" t="s">
        <v>81</v>
      </c>
      <c r="AQ2692" s="6" t="s">
        <v>81</v>
      </c>
      <c r="AR2692" s="6" t="s">
        <v>81</v>
      </c>
      <c r="AS2692" s="6" t="s">
        <v>81</v>
      </c>
      <c r="AT2692" s="6" t="s">
        <v>81</v>
      </c>
      <c r="AU2692" s="6" t="s">
        <v>81</v>
      </c>
      <c r="AV2692" s="6" t="s">
        <v>81</v>
      </c>
      <c r="AW2692" s="6" t="s">
        <v>81</v>
      </c>
      <c r="AX2692" s="6" t="s">
        <v>22517</v>
      </c>
      <c r="AY2692" s="6" t="s">
        <v>81</v>
      </c>
      <c r="AZ2692" s="6" t="s">
        <v>81</v>
      </c>
      <c r="BA2692" s="6" t="s">
        <v>81</v>
      </c>
      <c r="BB2692" s="24" t="n">
        <v>77</v>
      </c>
      <c r="BC2692" s="26"/>
      <c r="BD2692" s="26"/>
      <c r="BE2692" s="26"/>
      <c r="BF2692" s="26"/>
      <c r="BG2692" s="26"/>
      <c r="BH2692" s="26"/>
      <c r="BI2692" s="26"/>
      <c r="BJ2692" s="26"/>
      <c r="BK2692" s="26"/>
      <c r="BL2692" s="26"/>
      <c r="BM2692" s="26"/>
      <c r="BN2692" s="26"/>
      <c r="BO2692" s="26"/>
      <c r="BP2692" s="16" t="n">
        <v>45738</v>
      </c>
      <c r="BQ2692" s="28" t="str">
        <f>HYPERLINK("https://organic.ams.usda.gov/Integrity/Certificate.aspx?cid=52&amp;nopid=8431300571")</f>
        <v>https://organic.ams.usda.gov/Integrity/Certificate.aspx?cid=52&amp;nopid=8431300571</v>
      </c>
    </row>
    <row r="2693">
      <c r="A2693" t="s">
        <v>3</v>
      </c>
      <c r="B2693" s="6" t="s">
        <v>7</v>
      </c>
      <c r="C2693" s="6" t="s">
        <v>54</v>
      </c>
      <c r="D2693" s="6" t="s">
        <v>100</v>
      </c>
      <c r="E2693" s="10" t="s">
        <v>2834</v>
      </c>
      <c r="F2693" s="6" t="s">
        <v>5537</v>
      </c>
      <c r="G2693" s="6" t="s">
        <v>81</v>
      </c>
      <c r="H2693" s="6" t="s">
        <v>8341</v>
      </c>
      <c r="I2693" s="6" t="s">
        <v>8800</v>
      </c>
      <c r="J2693" s="6" t="s">
        <v>9763</v>
      </c>
      <c r="K2693" s="6" t="s">
        <v>10886</v>
      </c>
      <c r="L2693" s="16" t="n">
        <v>43727</v>
      </c>
      <c r="M2693" s="16" t="n">
        <v>45716</v>
      </c>
      <c r="N2693" s="6" t="s">
        <v>10886</v>
      </c>
      <c r="O2693" s="16" t="n">
        <v>43727</v>
      </c>
      <c r="P2693" s="6" t="s">
        <v>12394</v>
      </c>
      <c r="Q2693" s="6" t="s">
        <v>81</v>
      </c>
      <c r="R2693" s="6" t="s">
        <v>81</v>
      </c>
      <c r="S2693" s="6" t="s">
        <v>10886</v>
      </c>
      <c r="T2693" s="16" t="n">
        <v>43747</v>
      </c>
      <c r="U2693" s="6" t="s">
        <v>13169</v>
      </c>
      <c r="V2693" s="6" t="s">
        <v>81</v>
      </c>
      <c r="W2693" s="6" t="s">
        <v>81</v>
      </c>
      <c r="X2693" s="6" t="s">
        <v>81</v>
      </c>
      <c r="Y2693" s="21" t="s">
        <v>81</v>
      </c>
      <c r="Z2693" s="6" t="s">
        <v>81</v>
      </c>
      <c r="AA2693" s="6" t="s">
        <v>81</v>
      </c>
      <c r="AB2693" s="6" t="s">
        <v>81</v>
      </c>
      <c r="AC2693" s="6" t="s">
        <v>81</v>
      </c>
      <c r="AD2693" s="21" t="s">
        <v>81</v>
      </c>
      <c r="AE2693" s="6" t="s">
        <v>81</v>
      </c>
      <c r="AF2693" s="6" t="s">
        <v>81</v>
      </c>
      <c r="AG2693" s="6" t="s">
        <v>81</v>
      </c>
      <c r="AH2693" s="6" t="s">
        <v>17225</v>
      </c>
      <c r="AI2693" s="6" t="s">
        <v>81</v>
      </c>
      <c r="AJ2693" s="6" t="s">
        <v>18359</v>
      </c>
      <c r="AK2693" s="6" t="s">
        <v>18380</v>
      </c>
      <c r="AL2693" s="6" t="s">
        <v>18444</v>
      </c>
      <c r="AM2693" s="6" t="s">
        <v>19614</v>
      </c>
      <c r="AN2693" s="6" t="s">
        <v>7595</v>
      </c>
      <c r="AO2693" s="6" t="s">
        <v>19978</v>
      </c>
      <c r="AP2693" s="6" t="s">
        <v>17225</v>
      </c>
      <c r="AQ2693" s="6" t="s">
        <v>81</v>
      </c>
      <c r="AR2693" s="6" t="s">
        <v>18359</v>
      </c>
      <c r="AS2693" s="6" t="s">
        <v>18380</v>
      </c>
      <c r="AT2693" s="6" t="s">
        <v>18444</v>
      </c>
      <c r="AU2693" s="6" t="s">
        <v>19614</v>
      </c>
      <c r="AV2693" s="6" t="s">
        <v>81</v>
      </c>
      <c r="AW2693" s="6" t="s">
        <v>81</v>
      </c>
      <c r="AX2693" s="6" t="s">
        <v>22518</v>
      </c>
      <c r="AY2693" s="6" t="s">
        <v>81</v>
      </c>
      <c r="AZ2693" s="6" t="s">
        <v>81</v>
      </c>
      <c r="BA2693" s="6" t="s">
        <v>81</v>
      </c>
      <c r="BB2693" s="24" t="n">
        <v>166</v>
      </c>
      <c r="BC2693" s="26"/>
      <c r="BD2693" s="26"/>
      <c r="BE2693" s="26"/>
      <c r="BF2693" s="26" t="s">
        <v>23900</v>
      </c>
      <c r="BG2693" s="26"/>
      <c r="BH2693" s="26"/>
      <c r="BI2693" s="26"/>
      <c r="BJ2693" s="26"/>
      <c r="BK2693" s="26"/>
      <c r="BL2693" s="26"/>
      <c r="BM2693" s="26"/>
      <c r="BN2693" s="26"/>
      <c r="BO2693" s="26"/>
      <c r="BP2693" s="16" t="n">
        <v>45595</v>
      </c>
      <c r="BQ2693" s="28" t="str">
        <f>HYPERLINK("https://organic.ams.usda.gov/Integrity/Certificate.aspx?cid=57&amp;nopid=3252019028")</f>
        <v>https://organic.ams.usda.gov/Integrity/Certificate.aspx?cid=57&amp;nopid=3252019028</v>
      </c>
    </row>
    <row r="2694">
      <c r="A2694" t="s">
        <v>3</v>
      </c>
      <c r="B2694" s="6" t="s">
        <v>24</v>
      </c>
      <c r="C2694" s="6" t="s">
        <v>71</v>
      </c>
      <c r="D2694" s="6" t="s">
        <v>117</v>
      </c>
      <c r="E2694" s="10" t="s">
        <v>2835</v>
      </c>
      <c r="F2694" s="6" t="s">
        <v>5538</v>
      </c>
      <c r="G2694" s="6" t="s">
        <v>81</v>
      </c>
      <c r="H2694" s="6" t="s">
        <v>81</v>
      </c>
      <c r="I2694" s="6" t="s">
        <v>9643</v>
      </c>
      <c r="J2694" s="6" t="s">
        <v>10555</v>
      </c>
      <c r="K2694" s="6" t="s">
        <v>10886</v>
      </c>
      <c r="L2694" s="16" t="n">
        <v>44721</v>
      </c>
      <c r="M2694" s="16" t="n">
        <v>45901</v>
      </c>
      <c r="N2694" s="6" t="s">
        <v>10886</v>
      </c>
      <c r="O2694" s="16" t="n">
        <v>45092</v>
      </c>
      <c r="P2694" s="6" t="s">
        <v>11031</v>
      </c>
      <c r="Q2694" s="6" t="s">
        <v>81</v>
      </c>
      <c r="R2694" s="6" t="s">
        <v>81</v>
      </c>
      <c r="S2694" s="6" t="s">
        <v>10886</v>
      </c>
      <c r="T2694" s="16" t="n">
        <v>44721</v>
      </c>
      <c r="U2694" s="6" t="s">
        <v>13951</v>
      </c>
      <c r="V2694" s="6" t="s">
        <v>81</v>
      </c>
      <c r="W2694" s="6" t="s">
        <v>81</v>
      </c>
      <c r="X2694" s="6" t="s">
        <v>81</v>
      </c>
      <c r="Y2694" s="21" t="s">
        <v>81</v>
      </c>
      <c r="Z2694" s="6" t="s">
        <v>81</v>
      </c>
      <c r="AA2694" s="6" t="s">
        <v>81</v>
      </c>
      <c r="AB2694" s="6" t="s">
        <v>81</v>
      </c>
      <c r="AC2694" s="6" t="s">
        <v>10886</v>
      </c>
      <c r="AD2694" s="16" t="n">
        <v>44721</v>
      </c>
      <c r="AE2694" s="6" t="s">
        <v>14014</v>
      </c>
      <c r="AF2694" s="6" t="s">
        <v>81</v>
      </c>
      <c r="AG2694" s="6" t="s">
        <v>81</v>
      </c>
      <c r="AH2694" s="6" t="s">
        <v>17226</v>
      </c>
      <c r="AI2694" s="6" t="s">
        <v>81</v>
      </c>
      <c r="AJ2694" s="6" t="s">
        <v>17660</v>
      </c>
      <c r="AK2694" s="6" t="s">
        <v>18404</v>
      </c>
      <c r="AL2694" s="6" t="s">
        <v>18444</v>
      </c>
      <c r="AM2694" s="6" t="s">
        <v>18828</v>
      </c>
      <c r="AN2694" s="6" t="s">
        <v>19684</v>
      </c>
      <c r="AO2694" s="6" t="s">
        <v>19829</v>
      </c>
      <c r="AP2694" s="6" t="s">
        <v>17226</v>
      </c>
      <c r="AQ2694" s="6" t="s">
        <v>81</v>
      </c>
      <c r="AR2694" s="6" t="s">
        <v>17660</v>
      </c>
      <c r="AS2694" s="6" t="s">
        <v>18404</v>
      </c>
      <c r="AT2694" s="6" t="s">
        <v>18444</v>
      </c>
      <c r="AU2694" s="6" t="s">
        <v>18828</v>
      </c>
      <c r="AV2694" s="6" t="s">
        <v>81</v>
      </c>
      <c r="AW2694" s="6" t="s">
        <v>81</v>
      </c>
      <c r="AX2694" s="6" t="s">
        <v>81</v>
      </c>
      <c r="AY2694" s="6" t="s">
        <v>23552</v>
      </c>
      <c r="AZ2694" s="6" t="s">
        <v>81</v>
      </c>
      <c r="BA2694" s="6" t="s">
        <v>81</v>
      </c>
      <c r="BB2694" s="24" t="n">
        <v>453</v>
      </c>
      <c r="BC2694" s="26"/>
      <c r="BD2694" s="26"/>
      <c r="BE2694" s="26"/>
      <c r="BF2694" s="26"/>
      <c r="BG2694" s="26"/>
      <c r="BH2694" s="26"/>
      <c r="BI2694" s="26"/>
      <c r="BJ2694" s="26"/>
      <c r="BK2694" s="26"/>
      <c r="BL2694" s="26"/>
      <c r="BM2694" s="26"/>
      <c r="BN2694" s="26"/>
      <c r="BO2694" s="26"/>
      <c r="BP2694" s="16" t="n">
        <v>45628</v>
      </c>
      <c r="BQ2694" s="28" t="str">
        <f>HYPERLINK("https://organic.ams.usda.gov/Integrity/Certificate.aspx?cid=1&amp;nopid=9092205902")</f>
        <v>https://organic.ams.usda.gov/Integrity/Certificate.aspx?cid=1&amp;nopid=9092205902</v>
      </c>
    </row>
    <row r="2695">
      <c r="A2695" t="s">
        <v>3</v>
      </c>
      <c r="B2695" s="6" t="s">
        <v>9</v>
      </c>
      <c r="C2695" s="6" t="s">
        <v>56</v>
      </c>
      <c r="D2695" s="6" t="s">
        <v>102</v>
      </c>
      <c r="E2695" s="10" t="s">
        <v>2836</v>
      </c>
      <c r="F2695" s="6" t="s">
        <v>5539</v>
      </c>
      <c r="G2695" s="6" t="s">
        <v>81</v>
      </c>
      <c r="H2695" s="6" t="s">
        <v>8342</v>
      </c>
      <c r="I2695" s="6" t="s">
        <v>9644</v>
      </c>
      <c r="J2695" s="6" t="s">
        <v>9718</v>
      </c>
      <c r="K2695" s="6" t="s">
        <v>10886</v>
      </c>
      <c r="L2695" s="16" t="n">
        <v>44851</v>
      </c>
      <c r="M2695" s="16" t="n">
        <v>46113</v>
      </c>
      <c r="N2695" s="6" t="s">
        <v>10886</v>
      </c>
      <c r="O2695" s="16" t="n">
        <v>44851</v>
      </c>
      <c r="P2695" s="6" t="s">
        <v>10907</v>
      </c>
      <c r="Q2695" s="6" t="s">
        <v>81</v>
      </c>
      <c r="R2695" s="6" t="s">
        <v>13145</v>
      </c>
      <c r="S2695" s="6" t="s">
        <v>10886</v>
      </c>
      <c r="T2695" s="16" t="n">
        <v>44851</v>
      </c>
      <c r="U2695" s="6" t="s">
        <v>13389</v>
      </c>
      <c r="V2695" s="6" t="s">
        <v>81</v>
      </c>
      <c r="W2695" s="6" t="s">
        <v>13145</v>
      </c>
      <c r="X2695" s="6" t="s">
        <v>81</v>
      </c>
      <c r="Y2695" s="21" t="s">
        <v>81</v>
      </c>
      <c r="Z2695" s="6" t="s">
        <v>81</v>
      </c>
      <c r="AA2695" s="6" t="s">
        <v>81</v>
      </c>
      <c r="AB2695" s="6" t="s">
        <v>81</v>
      </c>
      <c r="AC2695" s="6" t="s">
        <v>81</v>
      </c>
      <c r="AD2695" s="21" t="s">
        <v>81</v>
      </c>
      <c r="AE2695" s="6" t="s">
        <v>81</v>
      </c>
      <c r="AF2695" s="6" t="s">
        <v>81</v>
      </c>
      <c r="AG2695" s="6" t="s">
        <v>81</v>
      </c>
      <c r="AH2695" s="6" t="s">
        <v>17227</v>
      </c>
      <c r="AI2695" s="6" t="s">
        <v>81</v>
      </c>
      <c r="AJ2695" s="6" t="s">
        <v>18237</v>
      </c>
      <c r="AK2695" s="6" t="s">
        <v>18377</v>
      </c>
      <c r="AL2695" s="6" t="s">
        <v>18444</v>
      </c>
      <c r="AM2695" s="6" t="s">
        <v>19453</v>
      </c>
      <c r="AN2695" s="6" t="s">
        <v>19653</v>
      </c>
      <c r="AO2695" s="6" t="s">
        <v>19838</v>
      </c>
      <c r="AP2695" s="6" t="s">
        <v>81</v>
      </c>
      <c r="AQ2695" s="6" t="s">
        <v>81</v>
      </c>
      <c r="AR2695" s="6" t="s">
        <v>81</v>
      </c>
      <c r="AS2695" s="6" t="s">
        <v>81</v>
      </c>
      <c r="AT2695" s="6" t="s">
        <v>81</v>
      </c>
      <c r="AU2695" s="6" t="s">
        <v>81</v>
      </c>
      <c r="AV2695" s="6" t="s">
        <v>81</v>
      </c>
      <c r="AW2695" s="6" t="s">
        <v>81</v>
      </c>
      <c r="AX2695" s="6" t="s">
        <v>81</v>
      </c>
      <c r="AY2695" s="6" t="s">
        <v>81</v>
      </c>
      <c r="AZ2695" s="6" t="s">
        <v>81</v>
      </c>
      <c r="BA2695" s="6" t="s">
        <v>81</v>
      </c>
      <c r="BB2695" s="24" t="n">
        <v>109</v>
      </c>
      <c r="BC2695" s="26"/>
      <c r="BD2695" s="26"/>
      <c r="BE2695" s="26"/>
      <c r="BF2695" s="26"/>
      <c r="BG2695" s="26"/>
      <c r="BH2695" s="26"/>
      <c r="BI2695" s="26"/>
      <c r="BJ2695" s="26"/>
      <c r="BK2695" s="26"/>
      <c r="BL2695" s="26"/>
      <c r="BM2695" s="26"/>
      <c r="BN2695" s="26"/>
      <c r="BO2695" s="26"/>
      <c r="BP2695" s="16" t="n">
        <v>45738</v>
      </c>
      <c r="BQ2695" s="28" t="str">
        <f>HYPERLINK("https://organic.ams.usda.gov/Integrity/Certificate.aspx?cid=52&amp;nopid=8432202075")</f>
        <v>https://organic.ams.usda.gov/Integrity/Certificate.aspx?cid=52&amp;nopid=8432202075</v>
      </c>
    </row>
    <row r="2696">
      <c r="A2696" t="s">
        <v>3</v>
      </c>
      <c r="B2696" s="6" t="s">
        <v>9</v>
      </c>
      <c r="C2696" s="6" t="s">
        <v>56</v>
      </c>
      <c r="D2696" s="6" t="s">
        <v>102</v>
      </c>
      <c r="E2696" s="10" t="s">
        <v>2837</v>
      </c>
      <c r="F2696" s="6" t="s">
        <v>5540</v>
      </c>
      <c r="G2696" s="6" t="s">
        <v>81</v>
      </c>
      <c r="H2696" s="6" t="s">
        <v>8343</v>
      </c>
      <c r="I2696" s="6" t="s">
        <v>9645</v>
      </c>
      <c r="J2696" s="6" t="s">
        <v>9675</v>
      </c>
      <c r="K2696" s="6" t="s">
        <v>10886</v>
      </c>
      <c r="L2696" s="16" t="n">
        <v>41395</v>
      </c>
      <c r="M2696" s="16" t="n">
        <v>45748</v>
      </c>
      <c r="N2696" s="6" t="s">
        <v>10886</v>
      </c>
      <c r="O2696" s="16" t="n">
        <v>41395</v>
      </c>
      <c r="P2696" s="6" t="s">
        <v>12395</v>
      </c>
      <c r="Q2696" s="6" t="s">
        <v>81</v>
      </c>
      <c r="R2696" s="6" t="s">
        <v>13146</v>
      </c>
      <c r="S2696" s="6" t="s">
        <v>10886</v>
      </c>
      <c r="T2696" s="16" t="n">
        <v>41395</v>
      </c>
      <c r="U2696" s="6" t="s">
        <v>13168</v>
      </c>
      <c r="V2696" s="6" t="s">
        <v>81</v>
      </c>
      <c r="W2696" s="6" t="s">
        <v>13146</v>
      </c>
      <c r="X2696" s="6" t="s">
        <v>81</v>
      </c>
      <c r="Y2696" s="21" t="s">
        <v>81</v>
      </c>
      <c r="Z2696" s="6" t="s">
        <v>81</v>
      </c>
      <c r="AA2696" s="6" t="s">
        <v>81</v>
      </c>
      <c r="AB2696" s="6" t="s">
        <v>81</v>
      </c>
      <c r="AC2696" s="6" t="s">
        <v>81</v>
      </c>
      <c r="AD2696" s="21" t="s">
        <v>81</v>
      </c>
      <c r="AE2696" s="6" t="s">
        <v>81</v>
      </c>
      <c r="AF2696" s="6" t="s">
        <v>81</v>
      </c>
      <c r="AG2696" s="6" t="s">
        <v>81</v>
      </c>
      <c r="AH2696" s="6" t="s">
        <v>17228</v>
      </c>
      <c r="AI2696" s="6" t="s">
        <v>81</v>
      </c>
      <c r="AJ2696" s="6" t="s">
        <v>17347</v>
      </c>
      <c r="AK2696" s="6" t="s">
        <v>18378</v>
      </c>
      <c r="AL2696" s="6" t="s">
        <v>18444</v>
      </c>
      <c r="AM2696" s="6" t="s">
        <v>18501</v>
      </c>
      <c r="AN2696" s="6" t="s">
        <v>19707</v>
      </c>
      <c r="AO2696" s="6" t="s">
        <v>20013</v>
      </c>
      <c r="AP2696" s="6" t="s">
        <v>81</v>
      </c>
      <c r="AQ2696" s="6" t="s">
        <v>81</v>
      </c>
      <c r="AR2696" s="6" t="s">
        <v>81</v>
      </c>
      <c r="AS2696" s="6" t="s">
        <v>81</v>
      </c>
      <c r="AT2696" s="6" t="s">
        <v>81</v>
      </c>
      <c r="AU2696" s="6" t="s">
        <v>81</v>
      </c>
      <c r="AV2696" s="6" t="s">
        <v>81</v>
      </c>
      <c r="AW2696" s="6" t="s">
        <v>81</v>
      </c>
      <c r="AX2696" s="6" t="s">
        <v>22519</v>
      </c>
      <c r="AY2696" s="6" t="s">
        <v>81</v>
      </c>
      <c r="AZ2696" s="6" t="s">
        <v>81</v>
      </c>
      <c r="BA2696" s="6" t="s">
        <v>81</v>
      </c>
      <c r="BB2696" s="24" t="n">
        <v>103</v>
      </c>
      <c r="BC2696" s="26"/>
      <c r="BD2696" s="26"/>
      <c r="BE2696" s="26"/>
      <c r="BF2696" s="26"/>
      <c r="BG2696" s="26"/>
      <c r="BH2696" s="26"/>
      <c r="BI2696" s="26"/>
      <c r="BJ2696" s="26"/>
      <c r="BK2696" s="26"/>
      <c r="BL2696" s="26"/>
      <c r="BM2696" s="26"/>
      <c r="BN2696" s="26"/>
      <c r="BO2696" s="26"/>
      <c r="BP2696" s="16" t="n">
        <v>45738</v>
      </c>
      <c r="BQ2696" s="28" t="str">
        <f>HYPERLINK("https://organic.ams.usda.gov/Integrity/Certificate.aspx?cid=52&amp;nopid=8431300435")</f>
        <v>https://organic.ams.usda.gov/Integrity/Certificate.aspx?cid=52&amp;nopid=8431300435</v>
      </c>
    </row>
    <row r="2697">
      <c r="A2697" t="s">
        <v>3</v>
      </c>
      <c r="B2697" s="6" t="s">
        <v>18</v>
      </c>
      <c r="C2697" s="6" t="s">
        <v>65</v>
      </c>
      <c r="D2697" s="6" t="s">
        <v>111</v>
      </c>
      <c r="E2697" s="10" t="s">
        <v>2838</v>
      </c>
      <c r="F2697" s="6" t="s">
        <v>5541</v>
      </c>
      <c r="G2697" s="6" t="s">
        <v>81</v>
      </c>
      <c r="H2697" s="6" t="s">
        <v>2838</v>
      </c>
      <c r="I2697" s="6" t="s">
        <v>9646</v>
      </c>
      <c r="J2697" s="6" t="s">
        <v>9727</v>
      </c>
      <c r="K2697" s="6" t="s">
        <v>10886</v>
      </c>
      <c r="L2697" s="16" t="n">
        <v>45008</v>
      </c>
      <c r="M2697" s="16" t="n">
        <v>45703</v>
      </c>
      <c r="N2697" s="6" t="s">
        <v>10886</v>
      </c>
      <c r="O2697" s="16" t="n">
        <v>45008</v>
      </c>
      <c r="P2697" s="6" t="s">
        <v>10900</v>
      </c>
      <c r="Q2697" s="6" t="s">
        <v>81</v>
      </c>
      <c r="R2697" s="6" t="s">
        <v>5541</v>
      </c>
      <c r="S2697" s="6" t="s">
        <v>10886</v>
      </c>
      <c r="T2697" s="16" t="n">
        <v>45008</v>
      </c>
      <c r="U2697" s="6" t="s">
        <v>13952</v>
      </c>
      <c r="V2697" s="6" t="s">
        <v>81</v>
      </c>
      <c r="W2697" s="6" t="s">
        <v>5541</v>
      </c>
      <c r="X2697" s="6" t="s">
        <v>81</v>
      </c>
      <c r="Y2697" s="21" t="s">
        <v>81</v>
      </c>
      <c r="Z2697" s="6" t="s">
        <v>81</v>
      </c>
      <c r="AA2697" s="6" t="s">
        <v>81</v>
      </c>
      <c r="AB2697" s="6" t="s">
        <v>81</v>
      </c>
      <c r="AC2697" s="6" t="s">
        <v>81</v>
      </c>
      <c r="AD2697" s="21" t="s">
        <v>81</v>
      </c>
      <c r="AE2697" s="6" t="s">
        <v>81</v>
      </c>
      <c r="AF2697" s="6" t="s">
        <v>81</v>
      </c>
      <c r="AG2697" s="6" t="s">
        <v>81</v>
      </c>
      <c r="AH2697" s="6" t="s">
        <v>17229</v>
      </c>
      <c r="AI2697" s="6" t="s">
        <v>81</v>
      </c>
      <c r="AJ2697" s="6" t="s">
        <v>18360</v>
      </c>
      <c r="AK2697" s="6" t="s">
        <v>17712</v>
      </c>
      <c r="AL2697" s="6" t="s">
        <v>18444</v>
      </c>
      <c r="AM2697" s="6" t="s">
        <v>19615</v>
      </c>
      <c r="AN2697" s="6" t="s">
        <v>19643</v>
      </c>
      <c r="AO2697" s="6" t="s">
        <v>19766</v>
      </c>
      <c r="AP2697" s="6" t="s">
        <v>17229</v>
      </c>
      <c r="AQ2697" s="6" t="s">
        <v>81</v>
      </c>
      <c r="AR2697" s="6" t="s">
        <v>18360</v>
      </c>
      <c r="AS2697" s="6" t="s">
        <v>17712</v>
      </c>
      <c r="AT2697" s="6" t="s">
        <v>18444</v>
      </c>
      <c r="AU2697" s="6" t="s">
        <v>19615</v>
      </c>
      <c r="AV2697" s="6" t="s">
        <v>81</v>
      </c>
      <c r="AW2697" s="6" t="s">
        <v>81</v>
      </c>
      <c r="AX2697" s="6" t="s">
        <v>81</v>
      </c>
      <c r="AY2697" s="6" t="s">
        <v>81</v>
      </c>
      <c r="AZ2697" s="6" t="s">
        <v>81</v>
      </c>
      <c r="BA2697" s="6" t="s">
        <v>81</v>
      </c>
      <c r="BB2697" s="24" t="n">
        <v>124</v>
      </c>
      <c r="BC2697" s="26"/>
      <c r="BD2697" s="26"/>
      <c r="BE2697" s="26"/>
      <c r="BF2697" s="26" t="s">
        <v>23900</v>
      </c>
      <c r="BG2697" s="26"/>
      <c r="BH2697" s="26"/>
      <c r="BI2697" s="26"/>
      <c r="BJ2697" s="26"/>
      <c r="BK2697" s="26"/>
      <c r="BL2697" s="26"/>
      <c r="BM2697" s="26"/>
      <c r="BN2697" s="26"/>
      <c r="BO2697" s="26"/>
      <c r="BP2697" s="16" t="n">
        <v>45576</v>
      </c>
      <c r="BQ2697" s="28" t="str">
        <f>HYPERLINK("https://organic.ams.usda.gov/Integrity/Certificate.aspx?cid=8&amp;nopid=2202302900")</f>
        <v>https://organic.ams.usda.gov/Integrity/Certificate.aspx?cid=8&amp;nopid=2202302900</v>
      </c>
    </row>
    <row r="2698">
      <c r="A2698" t="s">
        <v>3</v>
      </c>
      <c r="B2698" s="6" t="s">
        <v>13</v>
      </c>
      <c r="C2698" s="6" t="s">
        <v>60</v>
      </c>
      <c r="D2698" s="6" t="s">
        <v>106</v>
      </c>
      <c r="E2698" s="10" t="s">
        <v>2839</v>
      </c>
      <c r="F2698" s="6" t="s">
        <v>5542</v>
      </c>
      <c r="G2698" s="6" t="s">
        <v>81</v>
      </c>
      <c r="H2698" s="6" t="s">
        <v>8344</v>
      </c>
      <c r="I2698" s="6" t="s">
        <v>9646</v>
      </c>
      <c r="J2698" s="6" t="s">
        <v>9665</v>
      </c>
      <c r="K2698" s="6" t="s">
        <v>10886</v>
      </c>
      <c r="L2698" s="16" t="n">
        <v>41472</v>
      </c>
      <c r="M2698" s="16" t="n">
        <v>45748</v>
      </c>
      <c r="N2698" s="6" t="s">
        <v>10886</v>
      </c>
      <c r="O2698" s="16" t="n">
        <v>41472</v>
      </c>
      <c r="P2698" s="6" t="s">
        <v>12396</v>
      </c>
      <c r="Q2698" s="6" t="s">
        <v>81</v>
      </c>
      <c r="R2698" s="6" t="s">
        <v>13147</v>
      </c>
      <c r="S2698" s="6" t="s">
        <v>10886</v>
      </c>
      <c r="T2698" s="16" t="n">
        <v>41604</v>
      </c>
      <c r="U2698" s="6" t="s">
        <v>13167</v>
      </c>
      <c r="V2698" s="6" t="s">
        <v>81</v>
      </c>
      <c r="W2698" s="6" t="s">
        <v>13147</v>
      </c>
      <c r="X2698" s="6" t="s">
        <v>81</v>
      </c>
      <c r="Y2698" s="21" t="s">
        <v>81</v>
      </c>
      <c r="Z2698" s="6" t="s">
        <v>81</v>
      </c>
      <c r="AA2698" s="6" t="s">
        <v>81</v>
      </c>
      <c r="AB2698" s="6" t="s">
        <v>81</v>
      </c>
      <c r="AC2698" s="6" t="s">
        <v>81</v>
      </c>
      <c r="AD2698" s="21" t="s">
        <v>81</v>
      </c>
      <c r="AE2698" s="6" t="s">
        <v>81</v>
      </c>
      <c r="AF2698" s="6" t="s">
        <v>81</v>
      </c>
      <c r="AG2698" s="6" t="s">
        <v>81</v>
      </c>
      <c r="AH2698" s="6" t="s">
        <v>17230</v>
      </c>
      <c r="AI2698" s="6" t="s">
        <v>81</v>
      </c>
      <c r="AJ2698" s="6" t="s">
        <v>18012</v>
      </c>
      <c r="AK2698" s="6" t="s">
        <v>18379</v>
      </c>
      <c r="AL2698" s="6" t="s">
        <v>18444</v>
      </c>
      <c r="AM2698" s="6" t="s">
        <v>19203</v>
      </c>
      <c r="AN2698" s="6" t="s">
        <v>19678</v>
      </c>
      <c r="AO2698" s="6" t="s">
        <v>19994</v>
      </c>
      <c r="AP2698" s="6" t="s">
        <v>17230</v>
      </c>
      <c r="AQ2698" s="6" t="s">
        <v>81</v>
      </c>
      <c r="AR2698" s="6" t="s">
        <v>18012</v>
      </c>
      <c r="AS2698" s="6" t="s">
        <v>18379</v>
      </c>
      <c r="AT2698" s="6" t="s">
        <v>18444</v>
      </c>
      <c r="AU2698" s="6" t="s">
        <v>19203</v>
      </c>
      <c r="AV2698" s="6" t="s">
        <v>81</v>
      </c>
      <c r="AW2698" s="6" t="s">
        <v>81</v>
      </c>
      <c r="AX2698" s="6" t="s">
        <v>22520</v>
      </c>
      <c r="AY2698" s="6" t="s">
        <v>81</v>
      </c>
      <c r="AZ2698" s="6" t="s">
        <v>81</v>
      </c>
      <c r="BA2698" s="6" t="s">
        <v>81</v>
      </c>
      <c r="BB2698" s="24" t="n">
        <v>121</v>
      </c>
      <c r="BC2698" s="26"/>
      <c r="BD2698" s="26"/>
      <c r="BE2698" s="26"/>
      <c r="BF2698" s="26" t="s">
        <v>23900</v>
      </c>
      <c r="BG2698" s="26"/>
      <c r="BH2698" s="26"/>
      <c r="BI2698" s="26"/>
      <c r="BJ2698" s="26"/>
      <c r="BK2698" s="26"/>
      <c r="BL2698" s="26"/>
      <c r="BM2698" s="26"/>
      <c r="BN2698" s="26"/>
      <c r="BO2698" s="26"/>
      <c r="BP2698" s="16" t="n">
        <v>45663</v>
      </c>
      <c r="BQ2698" s="28" t="str">
        <f>HYPERLINK("https://organic.ams.usda.gov/Integrity/Certificate.aspx?cid=72&amp;nopid=5870001661")</f>
        <v>https://organic.ams.usda.gov/Integrity/Certificate.aspx?cid=72&amp;nopid=5870001661</v>
      </c>
    </row>
    <row r="2699">
      <c r="A2699" t="s">
        <v>3</v>
      </c>
      <c r="B2699" s="6" t="s">
        <v>7</v>
      </c>
      <c r="C2699" s="6" t="s">
        <v>54</v>
      </c>
      <c r="D2699" s="6" t="s">
        <v>100</v>
      </c>
      <c r="E2699" s="10" t="s">
        <v>2840</v>
      </c>
      <c r="F2699" s="6" t="s">
        <v>5543</v>
      </c>
      <c r="G2699" s="6" t="s">
        <v>81</v>
      </c>
      <c r="H2699" s="6" t="s">
        <v>8345</v>
      </c>
      <c r="I2699" s="6" t="s">
        <v>9646</v>
      </c>
      <c r="J2699" s="6" t="s">
        <v>9740</v>
      </c>
      <c r="K2699" s="6" t="s">
        <v>10886</v>
      </c>
      <c r="L2699" s="16" t="n">
        <v>43341</v>
      </c>
      <c r="M2699" s="16" t="n">
        <v>45716</v>
      </c>
      <c r="N2699" s="6" t="s">
        <v>10886</v>
      </c>
      <c r="O2699" s="16" t="n">
        <v>43341</v>
      </c>
      <c r="P2699" s="6" t="s">
        <v>11214</v>
      </c>
      <c r="Q2699" s="6" t="s">
        <v>81</v>
      </c>
      <c r="R2699" s="6" t="s">
        <v>81</v>
      </c>
      <c r="S2699" s="6" t="s">
        <v>10886</v>
      </c>
      <c r="T2699" s="16" t="n">
        <v>43341</v>
      </c>
      <c r="U2699" s="6" t="s">
        <v>13169</v>
      </c>
      <c r="V2699" s="6" t="s">
        <v>81</v>
      </c>
      <c r="W2699" s="6" t="s">
        <v>81</v>
      </c>
      <c r="X2699" s="6" t="s">
        <v>81</v>
      </c>
      <c r="Y2699" s="21" t="s">
        <v>81</v>
      </c>
      <c r="Z2699" s="6" t="s">
        <v>81</v>
      </c>
      <c r="AA2699" s="6" t="s">
        <v>81</v>
      </c>
      <c r="AB2699" s="6" t="s">
        <v>81</v>
      </c>
      <c r="AC2699" s="6" t="s">
        <v>81</v>
      </c>
      <c r="AD2699" s="21" t="s">
        <v>81</v>
      </c>
      <c r="AE2699" s="6" t="s">
        <v>81</v>
      </c>
      <c r="AF2699" s="6" t="s">
        <v>81</v>
      </c>
      <c r="AG2699" s="6" t="s">
        <v>81</v>
      </c>
      <c r="AH2699" s="6" t="s">
        <v>17231</v>
      </c>
      <c r="AI2699" s="6" t="s">
        <v>81</v>
      </c>
      <c r="AJ2699" s="6" t="s">
        <v>17647</v>
      </c>
      <c r="AK2699" s="6" t="s">
        <v>17712</v>
      </c>
      <c r="AL2699" s="6" t="s">
        <v>18444</v>
      </c>
      <c r="AM2699" s="6" t="s">
        <v>18816</v>
      </c>
      <c r="AN2699" s="6" t="s">
        <v>19645</v>
      </c>
      <c r="AO2699" s="6" t="s">
        <v>19770</v>
      </c>
      <c r="AP2699" s="6" t="s">
        <v>17231</v>
      </c>
      <c r="AQ2699" s="6" t="s">
        <v>81</v>
      </c>
      <c r="AR2699" s="6" t="s">
        <v>17647</v>
      </c>
      <c r="AS2699" s="6" t="s">
        <v>17712</v>
      </c>
      <c r="AT2699" s="6" t="s">
        <v>18444</v>
      </c>
      <c r="AU2699" s="6" t="s">
        <v>18816</v>
      </c>
      <c r="AV2699" s="6" t="s">
        <v>81</v>
      </c>
      <c r="AW2699" s="6" t="s">
        <v>81</v>
      </c>
      <c r="AX2699" s="6" t="s">
        <v>22521</v>
      </c>
      <c r="AY2699" s="6" t="s">
        <v>81</v>
      </c>
      <c r="AZ2699" s="6" t="s">
        <v>81</v>
      </c>
      <c r="BA2699" s="6" t="s">
        <v>81</v>
      </c>
      <c r="BB2699" s="24" t="n">
        <v>94</v>
      </c>
      <c r="BC2699" s="26"/>
      <c r="BD2699" s="26"/>
      <c r="BE2699" s="26"/>
      <c r="BF2699" s="26" t="s">
        <v>23900</v>
      </c>
      <c r="BG2699" s="26"/>
      <c r="BH2699" s="26"/>
      <c r="BI2699" s="26"/>
      <c r="BJ2699" s="26"/>
      <c r="BK2699" s="26"/>
      <c r="BL2699" s="26"/>
      <c r="BM2699" s="26"/>
      <c r="BN2699" s="26"/>
      <c r="BO2699" s="26"/>
      <c r="BP2699" s="16" t="n">
        <v>45595</v>
      </c>
      <c r="BQ2699" s="28" t="str">
        <f>HYPERLINK("https://organic.ams.usda.gov/Integrity/Certificate.aspx?cid=57&amp;nopid=3252018057")</f>
        <v>https://organic.ams.usda.gov/Integrity/Certificate.aspx?cid=57&amp;nopid=3252018057</v>
      </c>
    </row>
    <row r="2700">
      <c r="A2700" t="s">
        <v>3</v>
      </c>
      <c r="B2700" s="6" t="s">
        <v>7</v>
      </c>
      <c r="C2700" s="6" t="s">
        <v>54</v>
      </c>
      <c r="D2700" s="6" t="s">
        <v>100</v>
      </c>
      <c r="E2700" s="10" t="s">
        <v>2841</v>
      </c>
      <c r="F2700" s="6" t="s">
        <v>5544</v>
      </c>
      <c r="G2700" s="6" t="s">
        <v>81</v>
      </c>
      <c r="H2700" s="6" t="s">
        <v>8346</v>
      </c>
      <c r="I2700" s="6" t="s">
        <v>9647</v>
      </c>
      <c r="J2700" s="6" t="s">
        <v>10865</v>
      </c>
      <c r="K2700" s="6" t="s">
        <v>10886</v>
      </c>
      <c r="L2700" s="16" t="n">
        <v>37539</v>
      </c>
      <c r="M2700" s="16" t="n">
        <v>45716</v>
      </c>
      <c r="N2700" s="6" t="s">
        <v>10886</v>
      </c>
      <c r="O2700" s="16" t="n">
        <v>37539</v>
      </c>
      <c r="P2700" s="6" t="s">
        <v>12397</v>
      </c>
      <c r="Q2700" s="6" t="s">
        <v>81</v>
      </c>
      <c r="R2700" s="6" t="s">
        <v>81</v>
      </c>
      <c r="S2700" s="6" t="s">
        <v>10886</v>
      </c>
      <c r="T2700" s="16" t="n">
        <v>37539</v>
      </c>
      <c r="U2700" s="6" t="s">
        <v>13169</v>
      </c>
      <c r="V2700" s="6" t="s">
        <v>81</v>
      </c>
      <c r="W2700" s="6" t="s">
        <v>81</v>
      </c>
      <c r="X2700" s="6" t="s">
        <v>81</v>
      </c>
      <c r="Y2700" s="21" t="s">
        <v>81</v>
      </c>
      <c r="Z2700" s="6" t="s">
        <v>81</v>
      </c>
      <c r="AA2700" s="6" t="s">
        <v>81</v>
      </c>
      <c r="AB2700" s="6" t="s">
        <v>81</v>
      </c>
      <c r="AC2700" s="6" t="s">
        <v>81</v>
      </c>
      <c r="AD2700" s="21" t="s">
        <v>81</v>
      </c>
      <c r="AE2700" s="6" t="s">
        <v>81</v>
      </c>
      <c r="AF2700" s="6" t="s">
        <v>81</v>
      </c>
      <c r="AG2700" s="6" t="s">
        <v>81</v>
      </c>
      <c r="AH2700" s="6" t="s">
        <v>17232</v>
      </c>
      <c r="AI2700" s="6" t="s">
        <v>81</v>
      </c>
      <c r="AJ2700" s="6" t="s">
        <v>17328</v>
      </c>
      <c r="AK2700" s="6" t="s">
        <v>17712</v>
      </c>
      <c r="AL2700" s="6" t="s">
        <v>18444</v>
      </c>
      <c r="AM2700" s="6" t="s">
        <v>19616</v>
      </c>
      <c r="AN2700" s="6" t="s">
        <v>19662</v>
      </c>
      <c r="AO2700" s="6" t="s">
        <v>19762</v>
      </c>
      <c r="AP2700" s="6" t="s">
        <v>17232</v>
      </c>
      <c r="AQ2700" s="6" t="s">
        <v>81</v>
      </c>
      <c r="AR2700" s="6" t="s">
        <v>17328</v>
      </c>
      <c r="AS2700" s="6" t="s">
        <v>17712</v>
      </c>
      <c r="AT2700" s="6" t="s">
        <v>18444</v>
      </c>
      <c r="AU2700" s="6" t="s">
        <v>20715</v>
      </c>
      <c r="AV2700" s="6" t="s">
        <v>81</v>
      </c>
      <c r="AW2700" s="6" t="s">
        <v>81</v>
      </c>
      <c r="AX2700" s="6" t="s">
        <v>22522</v>
      </c>
      <c r="AY2700" s="6" t="s">
        <v>23553</v>
      </c>
      <c r="AZ2700" s="6" t="s">
        <v>81</v>
      </c>
      <c r="BA2700" s="6" t="s">
        <v>81</v>
      </c>
      <c r="BB2700" s="24" t="n">
        <v>898</v>
      </c>
      <c r="BC2700" s="26"/>
      <c r="BD2700" s="26"/>
      <c r="BE2700" s="26"/>
      <c r="BF2700" s="26" t="s">
        <v>23900</v>
      </c>
      <c r="BG2700" s="26"/>
      <c r="BH2700" s="26"/>
      <c r="BI2700" s="26"/>
      <c r="BJ2700" s="26"/>
      <c r="BK2700" s="26"/>
      <c r="BL2700" s="26"/>
      <c r="BM2700" s="26"/>
      <c r="BN2700" s="26"/>
      <c r="BO2700" s="26"/>
      <c r="BP2700" s="16" t="n">
        <v>45595</v>
      </c>
      <c r="BQ2700" s="28" t="str">
        <f>HYPERLINK("https://organic.ams.usda.gov/Integrity/Certificate.aspx?cid=57&amp;nopid=3250200017")</f>
        <v>https://organic.ams.usda.gov/Integrity/Certificate.aspx?cid=57&amp;nopid=3250200017</v>
      </c>
    </row>
    <row r="2701">
      <c r="A2701" t="s">
        <v>3</v>
      </c>
      <c r="B2701" s="6" t="s">
        <v>34</v>
      </c>
      <c r="C2701" s="6" t="s">
        <v>81</v>
      </c>
      <c r="D2701" s="6" t="s">
        <v>81</v>
      </c>
      <c r="E2701" s="10" t="s">
        <v>2842</v>
      </c>
      <c r="F2701" s="6" t="s">
        <v>5545</v>
      </c>
      <c r="G2701" s="6" t="s">
        <v>5886</v>
      </c>
      <c r="H2701" s="6" t="s">
        <v>8347</v>
      </c>
      <c r="I2701" s="6" t="s">
        <v>8914</v>
      </c>
      <c r="J2701" s="6" t="s">
        <v>10310</v>
      </c>
      <c r="K2701" s="6" t="s">
        <v>10886</v>
      </c>
      <c r="L2701" s="16" t="n">
        <v>40995</v>
      </c>
      <c r="M2701" s="16" t="n">
        <v>45717</v>
      </c>
      <c r="N2701" s="6" t="s">
        <v>10886</v>
      </c>
      <c r="O2701" s="16" t="n">
        <v>40995</v>
      </c>
      <c r="P2701" s="6" t="s">
        <v>11076</v>
      </c>
      <c r="Q2701" s="6" t="s">
        <v>81</v>
      </c>
      <c r="R2701" s="6" t="s">
        <v>8347</v>
      </c>
      <c r="S2701" s="6" t="s">
        <v>10886</v>
      </c>
      <c r="T2701" s="16" t="n">
        <v>40995</v>
      </c>
      <c r="U2701" s="6" t="s">
        <v>13953</v>
      </c>
      <c r="V2701" s="6" t="s">
        <v>81</v>
      </c>
      <c r="W2701" s="6" t="s">
        <v>8347</v>
      </c>
      <c r="X2701" s="6" t="s">
        <v>81</v>
      </c>
      <c r="Y2701" s="21" t="s">
        <v>81</v>
      </c>
      <c r="Z2701" s="6" t="s">
        <v>81</v>
      </c>
      <c r="AA2701" s="6" t="s">
        <v>81</v>
      </c>
      <c r="AB2701" s="6" t="s">
        <v>81</v>
      </c>
      <c r="AC2701" s="6" t="s">
        <v>81</v>
      </c>
      <c r="AD2701" s="21" t="s">
        <v>81</v>
      </c>
      <c r="AE2701" s="6" t="s">
        <v>81</v>
      </c>
      <c r="AF2701" s="6" t="s">
        <v>81</v>
      </c>
      <c r="AG2701" s="6" t="s">
        <v>81</v>
      </c>
      <c r="AH2701" s="6" t="s">
        <v>17233</v>
      </c>
      <c r="AI2701" s="6" t="s">
        <v>81</v>
      </c>
      <c r="AJ2701" s="6" t="s">
        <v>17669</v>
      </c>
      <c r="AK2701" s="6" t="s">
        <v>18386</v>
      </c>
      <c r="AL2701" s="6" t="s">
        <v>18444</v>
      </c>
      <c r="AM2701" s="6" t="s">
        <v>18760</v>
      </c>
      <c r="AN2701" s="6" t="s">
        <v>81</v>
      </c>
      <c r="AO2701" s="6" t="s">
        <v>81</v>
      </c>
      <c r="AP2701" s="6" t="s">
        <v>81</v>
      </c>
      <c r="AQ2701" s="6" t="s">
        <v>81</v>
      </c>
      <c r="AR2701" s="6" t="s">
        <v>81</v>
      </c>
      <c r="AS2701" s="6" t="s">
        <v>81</v>
      </c>
      <c r="AT2701" s="6" t="s">
        <v>81</v>
      </c>
      <c r="AU2701" s="6" t="s">
        <v>81</v>
      </c>
      <c r="AV2701" s="6" t="s">
        <v>81</v>
      </c>
      <c r="AW2701" s="6" t="s">
        <v>81</v>
      </c>
      <c r="AX2701" s="6" t="s">
        <v>22439</v>
      </c>
      <c r="AY2701" s="6" t="s">
        <v>23497</v>
      </c>
      <c r="AZ2701" s="6" t="s">
        <v>81</v>
      </c>
      <c r="BA2701" s="6" t="s">
        <v>23833</v>
      </c>
      <c r="BB2701" s="24" t="n">
        <v>174</v>
      </c>
      <c r="BC2701" s="26"/>
      <c r="BD2701" s="26"/>
      <c r="BE2701" s="26"/>
      <c r="BF2701" s="26" t="s">
        <v>23900</v>
      </c>
      <c r="BG2701" s="26"/>
      <c r="BH2701" s="26"/>
      <c r="BI2701" s="26"/>
      <c r="BJ2701" s="26"/>
      <c r="BK2701" s="26"/>
      <c r="BL2701" s="26"/>
      <c r="BM2701" s="26"/>
      <c r="BN2701" s="26"/>
      <c r="BO2701" s="26"/>
      <c r="BP2701" s="16" t="n">
        <v>45629</v>
      </c>
      <c r="BQ2701" s="28" t="str">
        <f>HYPERLINK("")</f>
      </c>
    </row>
    <row r="2702">
      <c r="A2702" t="s">
        <v>3</v>
      </c>
      <c r="B2702" s="6" t="s">
        <v>12</v>
      </c>
      <c r="C2702" s="6" t="s">
        <v>59</v>
      </c>
      <c r="D2702" s="6" t="s">
        <v>105</v>
      </c>
      <c r="E2702" s="10" t="s">
        <v>2843</v>
      </c>
      <c r="F2702" s="6" t="s">
        <v>5546</v>
      </c>
      <c r="G2702" s="6" t="s">
        <v>81</v>
      </c>
      <c r="H2702" s="6" t="s">
        <v>8348</v>
      </c>
      <c r="I2702" s="6" t="s">
        <v>9648</v>
      </c>
      <c r="J2702" s="6" t="s">
        <v>10866</v>
      </c>
      <c r="K2702" s="6" t="s">
        <v>10886</v>
      </c>
      <c r="L2702" s="16" t="n">
        <v>39089</v>
      </c>
      <c r="M2702" s="16" t="n">
        <v>45717</v>
      </c>
      <c r="N2702" s="6" t="s">
        <v>10886</v>
      </c>
      <c r="O2702" s="16" t="n">
        <v>39089</v>
      </c>
      <c r="P2702" s="6" t="s">
        <v>12398</v>
      </c>
      <c r="Q2702" s="6" t="s">
        <v>81</v>
      </c>
      <c r="R2702" s="6" t="s">
        <v>81</v>
      </c>
      <c r="S2702" s="6" t="s">
        <v>10886</v>
      </c>
      <c r="T2702" s="16" t="n">
        <v>39089</v>
      </c>
      <c r="U2702" s="6" t="s">
        <v>13405</v>
      </c>
      <c r="V2702" s="6" t="s">
        <v>81</v>
      </c>
      <c r="W2702" s="6" t="s">
        <v>81</v>
      </c>
      <c r="X2702" s="6" t="s">
        <v>81</v>
      </c>
      <c r="Y2702" s="21" t="s">
        <v>81</v>
      </c>
      <c r="Z2702" s="6" t="s">
        <v>81</v>
      </c>
      <c r="AA2702" s="6" t="s">
        <v>81</v>
      </c>
      <c r="AB2702" s="6" t="s">
        <v>81</v>
      </c>
      <c r="AC2702" s="6" t="s">
        <v>81</v>
      </c>
      <c r="AD2702" s="21" t="s">
        <v>81</v>
      </c>
      <c r="AE2702" s="6" t="s">
        <v>81</v>
      </c>
      <c r="AF2702" s="6" t="s">
        <v>81</v>
      </c>
      <c r="AG2702" s="6" t="s">
        <v>81</v>
      </c>
      <c r="AH2702" s="6" t="s">
        <v>17234</v>
      </c>
      <c r="AI2702" s="6" t="s">
        <v>81</v>
      </c>
      <c r="AJ2702" s="6" t="s">
        <v>18361</v>
      </c>
      <c r="AK2702" s="6" t="s">
        <v>18380</v>
      </c>
      <c r="AL2702" s="6" t="s">
        <v>18444</v>
      </c>
      <c r="AM2702" s="6" t="s">
        <v>19617</v>
      </c>
      <c r="AN2702" s="6" t="s">
        <v>7595</v>
      </c>
      <c r="AO2702" s="6" t="s">
        <v>19978</v>
      </c>
      <c r="AP2702" s="6" t="s">
        <v>17234</v>
      </c>
      <c r="AQ2702" s="6" t="s">
        <v>81</v>
      </c>
      <c r="AR2702" s="6" t="s">
        <v>18361</v>
      </c>
      <c r="AS2702" s="6" t="s">
        <v>18380</v>
      </c>
      <c r="AT2702" s="6" t="s">
        <v>18444</v>
      </c>
      <c r="AU2702" s="6" t="s">
        <v>19617</v>
      </c>
      <c r="AV2702" s="6" t="s">
        <v>81</v>
      </c>
      <c r="AW2702" s="6" t="s">
        <v>81</v>
      </c>
      <c r="AX2702" s="6" t="s">
        <v>22523</v>
      </c>
      <c r="AY2702" s="6" t="s">
        <v>81</v>
      </c>
      <c r="AZ2702" s="6" t="s">
        <v>81</v>
      </c>
      <c r="BA2702" s="6" t="s">
        <v>81</v>
      </c>
      <c r="BB2702" s="24" t="n">
        <v>412</v>
      </c>
      <c r="BC2702" s="26"/>
      <c r="BD2702" s="26"/>
      <c r="BE2702" s="26"/>
      <c r="BF2702" s="26"/>
      <c r="BG2702" s="26"/>
      <c r="BH2702" s="26"/>
      <c r="BI2702" s="26"/>
      <c r="BJ2702" s="26"/>
      <c r="BK2702" s="26"/>
      <c r="BL2702" s="26"/>
      <c r="BM2702" s="26"/>
      <c r="BN2702" s="26"/>
      <c r="BO2702" s="26"/>
      <c r="BP2702" s="16" t="n">
        <v>45684</v>
      </c>
      <c r="BQ2702" s="28" t="str">
        <f>HYPERLINK("https://organic.ams.usda.gov/Integrity/Certificate.aspx?cid=68&amp;nopid=8210003986")</f>
        <v>https://organic.ams.usda.gov/Integrity/Certificate.aspx?cid=68&amp;nopid=8210003986</v>
      </c>
    </row>
    <row r="2703">
      <c r="A2703" t="s">
        <v>3</v>
      </c>
      <c r="B2703" s="6" t="s">
        <v>10</v>
      </c>
      <c r="C2703" s="6" t="s">
        <v>57</v>
      </c>
      <c r="D2703" s="6" t="s">
        <v>103</v>
      </c>
      <c r="E2703" s="10" t="s">
        <v>2844</v>
      </c>
      <c r="F2703" s="6" t="s">
        <v>5547</v>
      </c>
      <c r="G2703" s="6" t="s">
        <v>81</v>
      </c>
      <c r="H2703" s="6" t="s">
        <v>8349</v>
      </c>
      <c r="I2703" s="6" t="s">
        <v>8567</v>
      </c>
      <c r="J2703" s="6" t="s">
        <v>9233</v>
      </c>
      <c r="K2703" s="6" t="s">
        <v>10886</v>
      </c>
      <c r="L2703" s="16" t="n">
        <v>42824</v>
      </c>
      <c r="M2703" s="16" t="n">
        <v>45748</v>
      </c>
      <c r="N2703" s="6" t="s">
        <v>10886</v>
      </c>
      <c r="O2703" s="16" t="n">
        <v>42824</v>
      </c>
      <c r="P2703" s="6" t="s">
        <v>10925</v>
      </c>
      <c r="Q2703" s="6" t="s">
        <v>81</v>
      </c>
      <c r="R2703" s="6" t="s">
        <v>13148</v>
      </c>
      <c r="S2703" s="6" t="s">
        <v>10886</v>
      </c>
      <c r="T2703" s="16" t="n">
        <v>42824</v>
      </c>
      <c r="U2703" s="6" t="s">
        <v>13163</v>
      </c>
      <c r="V2703" s="6" t="s">
        <v>81</v>
      </c>
      <c r="W2703" s="6" t="s">
        <v>81</v>
      </c>
      <c r="X2703" s="6" t="s">
        <v>81</v>
      </c>
      <c r="Y2703" s="21" t="s">
        <v>81</v>
      </c>
      <c r="Z2703" s="6" t="s">
        <v>81</v>
      </c>
      <c r="AA2703" s="6" t="s">
        <v>81</v>
      </c>
      <c r="AB2703" s="6" t="s">
        <v>81</v>
      </c>
      <c r="AC2703" s="6" t="s">
        <v>81</v>
      </c>
      <c r="AD2703" s="21" t="s">
        <v>81</v>
      </c>
      <c r="AE2703" s="6" t="s">
        <v>81</v>
      </c>
      <c r="AF2703" s="6" t="s">
        <v>81</v>
      </c>
      <c r="AG2703" s="6" t="s">
        <v>81</v>
      </c>
      <c r="AH2703" s="6" t="s">
        <v>17235</v>
      </c>
      <c r="AI2703" s="6" t="s">
        <v>81</v>
      </c>
      <c r="AJ2703" s="6" t="s">
        <v>17727</v>
      </c>
      <c r="AK2703" s="6" t="s">
        <v>18379</v>
      </c>
      <c r="AL2703" s="6" t="s">
        <v>18444</v>
      </c>
      <c r="AM2703" s="6" t="s">
        <v>18896</v>
      </c>
      <c r="AN2703" s="6" t="s">
        <v>19642</v>
      </c>
      <c r="AO2703" s="6" t="s">
        <v>19799</v>
      </c>
      <c r="AP2703" s="6" t="s">
        <v>17235</v>
      </c>
      <c r="AQ2703" s="6" t="s">
        <v>81</v>
      </c>
      <c r="AR2703" s="6" t="s">
        <v>17727</v>
      </c>
      <c r="AS2703" s="6" t="s">
        <v>18379</v>
      </c>
      <c r="AT2703" s="6" t="s">
        <v>18444</v>
      </c>
      <c r="AU2703" s="6" t="s">
        <v>18896</v>
      </c>
      <c r="AV2703" s="6" t="s">
        <v>81</v>
      </c>
      <c r="AW2703" s="6" t="s">
        <v>81</v>
      </c>
      <c r="AX2703" s="6" t="s">
        <v>22524</v>
      </c>
      <c r="AY2703" s="6" t="s">
        <v>81</v>
      </c>
      <c r="AZ2703" s="6" t="s">
        <v>81</v>
      </c>
      <c r="BA2703" s="6" t="s">
        <v>81</v>
      </c>
      <c r="BB2703" s="24" t="n">
        <v>172</v>
      </c>
      <c r="BC2703" s="26"/>
      <c r="BD2703" s="26"/>
      <c r="BE2703" s="26"/>
      <c r="BF2703" s="26"/>
      <c r="BG2703" s="26"/>
      <c r="BH2703" s="26"/>
      <c r="BI2703" s="26"/>
      <c r="BJ2703" s="26"/>
      <c r="BK2703" s="26"/>
      <c r="BL2703" s="26"/>
      <c r="BM2703" s="26"/>
      <c r="BN2703" s="26"/>
      <c r="BO2703" s="26"/>
      <c r="BP2703" s="16" t="n">
        <v>45730</v>
      </c>
      <c r="BQ2703" s="28" t="str">
        <f>HYPERLINK("https://organic.ams.usda.gov/Integrity/Certificate.aspx?cid=90&amp;nopid=7170020087")</f>
        <v>https://organic.ams.usda.gov/Integrity/Certificate.aspx?cid=90&amp;nopid=7170020087</v>
      </c>
    </row>
    <row r="2704">
      <c r="A2704" t="s">
        <v>3</v>
      </c>
      <c r="B2704" s="6" t="s">
        <v>15</v>
      </c>
      <c r="C2704" s="6" t="s">
        <v>62</v>
      </c>
      <c r="D2704" s="6" t="s">
        <v>108</v>
      </c>
      <c r="E2704" s="10" t="s">
        <v>2845</v>
      </c>
      <c r="F2704" s="6" t="s">
        <v>5548</v>
      </c>
      <c r="G2704" s="6" t="s">
        <v>81</v>
      </c>
      <c r="H2704" s="6" t="s">
        <v>8350</v>
      </c>
      <c r="I2704" s="6" t="s">
        <v>8567</v>
      </c>
      <c r="J2704" s="6" t="s">
        <v>10331</v>
      </c>
      <c r="K2704" s="6" t="s">
        <v>10886</v>
      </c>
      <c r="L2704" s="16" t="n">
        <v>40059</v>
      </c>
      <c r="M2704" s="16" t="n">
        <v>46168</v>
      </c>
      <c r="N2704" s="6" t="s">
        <v>10886</v>
      </c>
      <c r="O2704" s="16" t="n">
        <v>40059</v>
      </c>
      <c r="P2704" s="6" t="s">
        <v>12399</v>
      </c>
      <c r="Q2704" s="6" t="s">
        <v>81</v>
      </c>
      <c r="R2704" s="6" t="s">
        <v>81</v>
      </c>
      <c r="S2704" s="6" t="s">
        <v>10886</v>
      </c>
      <c r="T2704" s="16" t="n">
        <v>40059</v>
      </c>
      <c r="U2704" s="6" t="s">
        <v>13954</v>
      </c>
      <c r="V2704" s="6" t="s">
        <v>81</v>
      </c>
      <c r="W2704" s="6" t="s">
        <v>81</v>
      </c>
      <c r="X2704" s="6" t="s">
        <v>81</v>
      </c>
      <c r="Y2704" s="21" t="s">
        <v>81</v>
      </c>
      <c r="Z2704" s="6" t="s">
        <v>81</v>
      </c>
      <c r="AA2704" s="6" t="s">
        <v>81</v>
      </c>
      <c r="AB2704" s="6" t="s">
        <v>81</v>
      </c>
      <c r="AC2704" s="6" t="s">
        <v>81</v>
      </c>
      <c r="AD2704" s="21" t="s">
        <v>81</v>
      </c>
      <c r="AE2704" s="6" t="s">
        <v>81</v>
      </c>
      <c r="AF2704" s="6" t="s">
        <v>81</v>
      </c>
      <c r="AG2704" s="6" t="s">
        <v>81</v>
      </c>
      <c r="AH2704" s="6" t="s">
        <v>17236</v>
      </c>
      <c r="AI2704" s="6" t="s">
        <v>81</v>
      </c>
      <c r="AJ2704" s="6" t="s">
        <v>17858</v>
      </c>
      <c r="AK2704" s="6" t="s">
        <v>18380</v>
      </c>
      <c r="AL2704" s="6" t="s">
        <v>18444</v>
      </c>
      <c r="AM2704" s="6" t="s">
        <v>19040</v>
      </c>
      <c r="AN2704" s="6" t="s">
        <v>19686</v>
      </c>
      <c r="AO2704" s="6" t="s">
        <v>19817</v>
      </c>
      <c r="AP2704" s="6" t="s">
        <v>17236</v>
      </c>
      <c r="AQ2704" s="6" t="s">
        <v>81</v>
      </c>
      <c r="AR2704" s="6" t="s">
        <v>17858</v>
      </c>
      <c r="AS2704" s="6" t="s">
        <v>18380</v>
      </c>
      <c r="AT2704" s="6" t="s">
        <v>18444</v>
      </c>
      <c r="AU2704" s="6" t="s">
        <v>19040</v>
      </c>
      <c r="AV2704" s="6" t="s">
        <v>81</v>
      </c>
      <c r="AW2704" s="6" t="s">
        <v>81</v>
      </c>
      <c r="AX2704" s="6" t="s">
        <v>22525</v>
      </c>
      <c r="AY2704" s="6" t="s">
        <v>23554</v>
      </c>
      <c r="AZ2704" s="6" t="s">
        <v>81</v>
      </c>
      <c r="BA2704" s="6" t="s">
        <v>81</v>
      </c>
      <c r="BB2704" s="24" t="n">
        <v>264</v>
      </c>
      <c r="BC2704" s="26"/>
      <c r="BD2704" s="26"/>
      <c r="BE2704" s="26"/>
      <c r="BF2704" s="26" t="s">
        <v>23900</v>
      </c>
      <c r="BG2704" s="26"/>
      <c r="BH2704" s="26"/>
      <c r="BI2704" s="26"/>
      <c r="BJ2704" s="26"/>
      <c r="BK2704" s="26"/>
      <c r="BL2704" s="26"/>
      <c r="BM2704" s="26"/>
      <c r="BN2704" s="26"/>
      <c r="BO2704" s="26"/>
      <c r="BP2704" s="16" t="n">
        <v>45737</v>
      </c>
      <c r="BQ2704" s="28" t="str">
        <f>HYPERLINK("https://organic.ams.usda.gov/Integrity/Certificate.aspx?cid=58&amp;nopid=1600001705")</f>
        <v>https://organic.ams.usda.gov/Integrity/Certificate.aspx?cid=58&amp;nopid=1600001705</v>
      </c>
    </row>
    <row r="2705">
      <c r="A2705" t="s">
        <v>3</v>
      </c>
      <c r="B2705" s="6" t="s">
        <v>7</v>
      </c>
      <c r="C2705" s="6" t="s">
        <v>54</v>
      </c>
      <c r="D2705" s="6" t="s">
        <v>100</v>
      </c>
      <c r="E2705" s="10" t="s">
        <v>2846</v>
      </c>
      <c r="F2705" s="6" t="s">
        <v>5549</v>
      </c>
      <c r="G2705" s="6" t="s">
        <v>81</v>
      </c>
      <c r="H2705" s="6" t="s">
        <v>8351</v>
      </c>
      <c r="I2705" s="6" t="s">
        <v>8567</v>
      </c>
      <c r="J2705" s="6" t="s">
        <v>9997</v>
      </c>
      <c r="K2705" s="6" t="s">
        <v>10886</v>
      </c>
      <c r="L2705" s="16" t="n">
        <v>44715</v>
      </c>
      <c r="M2705" s="16" t="n">
        <v>45716</v>
      </c>
      <c r="N2705" s="6" t="s">
        <v>10886</v>
      </c>
      <c r="O2705" s="16" t="n">
        <v>44715</v>
      </c>
      <c r="P2705" s="6" t="s">
        <v>12400</v>
      </c>
      <c r="Q2705" s="6" t="s">
        <v>81</v>
      </c>
      <c r="R2705" s="6" t="s">
        <v>81</v>
      </c>
      <c r="S2705" s="6" t="s">
        <v>10886</v>
      </c>
      <c r="T2705" s="16" t="n">
        <v>44880</v>
      </c>
      <c r="U2705" s="6" t="s">
        <v>13169</v>
      </c>
      <c r="V2705" s="6" t="s">
        <v>81</v>
      </c>
      <c r="W2705" s="6" t="s">
        <v>81</v>
      </c>
      <c r="X2705" s="6" t="s">
        <v>81</v>
      </c>
      <c r="Y2705" s="21" t="s">
        <v>81</v>
      </c>
      <c r="Z2705" s="6" t="s">
        <v>81</v>
      </c>
      <c r="AA2705" s="6" t="s">
        <v>81</v>
      </c>
      <c r="AB2705" s="6" t="s">
        <v>81</v>
      </c>
      <c r="AC2705" s="6" t="s">
        <v>81</v>
      </c>
      <c r="AD2705" s="21" t="s">
        <v>81</v>
      </c>
      <c r="AE2705" s="6" t="s">
        <v>81</v>
      </c>
      <c r="AF2705" s="6" t="s">
        <v>81</v>
      </c>
      <c r="AG2705" s="6" t="s">
        <v>81</v>
      </c>
      <c r="AH2705" s="6" t="s">
        <v>17237</v>
      </c>
      <c r="AI2705" s="6" t="s">
        <v>81</v>
      </c>
      <c r="AJ2705" s="6" t="s">
        <v>17311</v>
      </c>
      <c r="AK2705" s="6" t="s">
        <v>17712</v>
      </c>
      <c r="AL2705" s="6" t="s">
        <v>18444</v>
      </c>
      <c r="AM2705" s="6" t="s">
        <v>18463</v>
      </c>
      <c r="AN2705" s="6" t="s">
        <v>19634</v>
      </c>
      <c r="AO2705" s="6" t="s">
        <v>19719</v>
      </c>
      <c r="AP2705" s="6" t="s">
        <v>17237</v>
      </c>
      <c r="AQ2705" s="6" t="s">
        <v>81</v>
      </c>
      <c r="AR2705" s="6" t="s">
        <v>17311</v>
      </c>
      <c r="AS2705" s="6" t="s">
        <v>17712</v>
      </c>
      <c r="AT2705" s="6" t="s">
        <v>18444</v>
      </c>
      <c r="AU2705" s="6" t="s">
        <v>18463</v>
      </c>
      <c r="AV2705" s="6" t="s">
        <v>81</v>
      </c>
      <c r="AW2705" s="6" t="s">
        <v>81</v>
      </c>
      <c r="AX2705" s="6" t="s">
        <v>22526</v>
      </c>
      <c r="AY2705" s="6" t="s">
        <v>81</v>
      </c>
      <c r="AZ2705" s="6" t="s">
        <v>81</v>
      </c>
      <c r="BA2705" s="6" t="s">
        <v>81</v>
      </c>
      <c r="BB2705" s="24" t="n">
        <v>171</v>
      </c>
      <c r="BC2705" s="26"/>
      <c r="BD2705" s="26"/>
      <c r="BE2705" s="26"/>
      <c r="BF2705" s="26" t="s">
        <v>23900</v>
      </c>
      <c r="BG2705" s="26"/>
      <c r="BH2705" s="26"/>
      <c r="BI2705" s="26"/>
      <c r="BJ2705" s="26"/>
      <c r="BK2705" s="26"/>
      <c r="BL2705" s="26"/>
      <c r="BM2705" s="26"/>
      <c r="BN2705" s="26"/>
      <c r="BO2705" s="26"/>
      <c r="BP2705" s="16" t="n">
        <v>45686</v>
      </c>
      <c r="BQ2705" s="28" t="str">
        <f>HYPERLINK("https://organic.ams.usda.gov/Integrity/Certificate.aspx?cid=57&amp;nopid=3252022011")</f>
        <v>https://organic.ams.usda.gov/Integrity/Certificate.aspx?cid=57&amp;nopid=3252022011</v>
      </c>
    </row>
    <row r="2706">
      <c r="A2706" t="s">
        <v>3</v>
      </c>
      <c r="B2706" s="6" t="s">
        <v>8</v>
      </c>
      <c r="C2706" s="6" t="s">
        <v>55</v>
      </c>
      <c r="D2706" s="6" t="s">
        <v>101</v>
      </c>
      <c r="E2706" s="10" t="s">
        <v>2847</v>
      </c>
      <c r="F2706" s="6" t="s">
        <v>5550</v>
      </c>
      <c r="G2706" s="6" t="s">
        <v>5887</v>
      </c>
      <c r="H2706" s="6" t="s">
        <v>6030</v>
      </c>
      <c r="I2706" s="6" t="s">
        <v>9133</v>
      </c>
      <c r="J2706" s="6" t="s">
        <v>9215</v>
      </c>
      <c r="K2706" s="6" t="s">
        <v>10886</v>
      </c>
      <c r="L2706" s="16" t="n">
        <v>36859</v>
      </c>
      <c r="M2706" s="16" t="n">
        <v>45748</v>
      </c>
      <c r="N2706" s="6" t="s">
        <v>10886</v>
      </c>
      <c r="O2706" s="16" t="n">
        <v>36859</v>
      </c>
      <c r="P2706" s="6" t="s">
        <v>12401</v>
      </c>
      <c r="Q2706" s="6" t="s">
        <v>81</v>
      </c>
      <c r="R2706" s="6" t="s">
        <v>6030</v>
      </c>
      <c r="S2706" s="6" t="s">
        <v>10886</v>
      </c>
      <c r="T2706" s="16" t="n">
        <v>36859</v>
      </c>
      <c r="U2706" s="6" t="s">
        <v>13955</v>
      </c>
      <c r="V2706" s="6" t="s">
        <v>81</v>
      </c>
      <c r="W2706" s="6" t="s">
        <v>6030</v>
      </c>
      <c r="X2706" s="6" t="s">
        <v>81</v>
      </c>
      <c r="Y2706" s="21" t="s">
        <v>81</v>
      </c>
      <c r="Z2706" s="6" t="s">
        <v>81</v>
      </c>
      <c r="AA2706" s="6" t="s">
        <v>81</v>
      </c>
      <c r="AB2706" s="6" t="s">
        <v>81</v>
      </c>
      <c r="AC2706" s="6" t="s">
        <v>81</v>
      </c>
      <c r="AD2706" s="21" t="s">
        <v>81</v>
      </c>
      <c r="AE2706" s="6" t="s">
        <v>81</v>
      </c>
      <c r="AF2706" s="6" t="s">
        <v>81</v>
      </c>
      <c r="AG2706" s="6" t="s">
        <v>81</v>
      </c>
      <c r="AH2706" s="6" t="s">
        <v>17238</v>
      </c>
      <c r="AI2706" s="6" t="s">
        <v>81</v>
      </c>
      <c r="AJ2706" s="6" t="s">
        <v>17503</v>
      </c>
      <c r="AK2706" s="6" t="s">
        <v>18377</v>
      </c>
      <c r="AL2706" s="6" t="s">
        <v>18444</v>
      </c>
      <c r="AM2706" s="6" t="s">
        <v>18664</v>
      </c>
      <c r="AN2706" s="6" t="s">
        <v>19643</v>
      </c>
      <c r="AO2706" s="6" t="s">
        <v>19730</v>
      </c>
      <c r="AP2706" s="6" t="s">
        <v>20466</v>
      </c>
      <c r="AQ2706" s="6" t="s">
        <v>81</v>
      </c>
      <c r="AR2706" s="6" t="s">
        <v>17503</v>
      </c>
      <c r="AS2706" s="6" t="s">
        <v>18377</v>
      </c>
      <c r="AT2706" s="6" t="s">
        <v>18444</v>
      </c>
      <c r="AU2706" s="6" t="s">
        <v>18664</v>
      </c>
      <c r="AV2706" s="6" t="s">
        <v>81</v>
      </c>
      <c r="AW2706" s="6" t="s">
        <v>81</v>
      </c>
      <c r="AX2706" s="6" t="s">
        <v>22527</v>
      </c>
      <c r="AY2706" s="6" t="s">
        <v>23555</v>
      </c>
      <c r="AZ2706" s="6" t="s">
        <v>81</v>
      </c>
      <c r="BA2706" s="6" t="s">
        <v>23819</v>
      </c>
      <c r="BB2706" s="24" t="n">
        <v>3600</v>
      </c>
      <c r="BC2706" s="26"/>
      <c r="BD2706" s="26"/>
      <c r="BE2706" s="26"/>
      <c r="BF2706" s="26" t="s">
        <v>23900</v>
      </c>
      <c r="BG2706" s="26"/>
      <c r="BH2706" s="26"/>
      <c r="BI2706" s="26"/>
      <c r="BJ2706" s="26"/>
      <c r="BK2706" s="26"/>
      <c r="BL2706" s="26"/>
      <c r="BM2706" s="26"/>
      <c r="BN2706" s="26"/>
      <c r="BO2706" s="26"/>
      <c r="BP2706" s="16" t="n">
        <v>45594</v>
      </c>
      <c r="BQ2706" s="28" t="str">
        <f>HYPERLINK("https://organic.ams.usda.gov/Integrity/Certificate.aspx?cid=45&amp;nopid=9950000335")</f>
        <v>https://organic.ams.usda.gov/Integrity/Certificate.aspx?cid=45&amp;nopid=9950000335</v>
      </c>
    </row>
    <row r="2707">
      <c r="A2707" t="s">
        <v>3</v>
      </c>
      <c r="B2707" s="6" t="s">
        <v>20</v>
      </c>
      <c r="C2707" s="6" t="s">
        <v>67</v>
      </c>
      <c r="D2707" s="6" t="s">
        <v>113</v>
      </c>
      <c r="E2707" s="10" t="s">
        <v>2848</v>
      </c>
      <c r="F2707" s="6" t="s">
        <v>5551</v>
      </c>
      <c r="G2707" s="6" t="s">
        <v>81</v>
      </c>
      <c r="H2707" s="6" t="s">
        <v>8352</v>
      </c>
      <c r="I2707" s="6" t="s">
        <v>8511</v>
      </c>
      <c r="J2707" s="6" t="s">
        <v>10867</v>
      </c>
      <c r="K2707" s="6" t="s">
        <v>10886</v>
      </c>
      <c r="L2707" s="16" t="n">
        <v>43070</v>
      </c>
      <c r="M2707" s="16" t="n">
        <v>45959</v>
      </c>
      <c r="N2707" s="6" t="s">
        <v>81</v>
      </c>
      <c r="O2707" s="21" t="s">
        <v>81</v>
      </c>
      <c r="P2707" s="6" t="s">
        <v>81</v>
      </c>
      <c r="Q2707" s="6" t="s">
        <v>81</v>
      </c>
      <c r="R2707" s="6" t="s">
        <v>81</v>
      </c>
      <c r="S2707" s="6" t="s">
        <v>81</v>
      </c>
      <c r="T2707" s="21" t="s">
        <v>81</v>
      </c>
      <c r="U2707" s="6" t="s">
        <v>81</v>
      </c>
      <c r="V2707" s="6" t="s">
        <v>81</v>
      </c>
      <c r="W2707" s="6" t="s">
        <v>81</v>
      </c>
      <c r="X2707" s="6" t="s">
        <v>81</v>
      </c>
      <c r="Y2707" s="21" t="s">
        <v>81</v>
      </c>
      <c r="Z2707" s="6" t="s">
        <v>81</v>
      </c>
      <c r="AA2707" s="6" t="s">
        <v>81</v>
      </c>
      <c r="AB2707" s="6" t="s">
        <v>81</v>
      </c>
      <c r="AC2707" s="6" t="s">
        <v>10886</v>
      </c>
      <c r="AD2707" s="16" t="n">
        <v>43070</v>
      </c>
      <c r="AE2707" s="6" t="s">
        <v>14497</v>
      </c>
      <c r="AF2707" s="6" t="s">
        <v>81</v>
      </c>
      <c r="AG2707" s="6" t="s">
        <v>14613</v>
      </c>
      <c r="AH2707" s="6" t="s">
        <v>17239</v>
      </c>
      <c r="AI2707" s="6" t="s">
        <v>81</v>
      </c>
      <c r="AJ2707" s="6" t="s">
        <v>18362</v>
      </c>
      <c r="AK2707" s="6" t="s">
        <v>18386</v>
      </c>
      <c r="AL2707" s="6" t="s">
        <v>18444</v>
      </c>
      <c r="AM2707" s="6" t="s">
        <v>19618</v>
      </c>
      <c r="AN2707" s="6" t="s">
        <v>8233</v>
      </c>
      <c r="AO2707" s="6" t="s">
        <v>19802</v>
      </c>
      <c r="AP2707" s="6" t="s">
        <v>17239</v>
      </c>
      <c r="AQ2707" s="6" t="s">
        <v>81</v>
      </c>
      <c r="AR2707" s="6" t="s">
        <v>18362</v>
      </c>
      <c r="AS2707" s="6" t="s">
        <v>18386</v>
      </c>
      <c r="AT2707" s="6" t="s">
        <v>18444</v>
      </c>
      <c r="AU2707" s="6" t="s">
        <v>19618</v>
      </c>
      <c r="AV2707" s="6" t="s">
        <v>81</v>
      </c>
      <c r="AW2707" s="6" t="s">
        <v>81</v>
      </c>
      <c r="AX2707" s="6" t="s">
        <v>22528</v>
      </c>
      <c r="AY2707" s="6" t="s">
        <v>23556</v>
      </c>
      <c r="AZ2707" s="6" t="s">
        <v>23812</v>
      </c>
      <c r="BA2707" s="6" t="s">
        <v>81</v>
      </c>
      <c r="BB2707" s="6" t="s">
        <v>81</v>
      </c>
      <c r="BC2707" s="26"/>
      <c r="BD2707" s="26"/>
      <c r="BE2707" s="26"/>
      <c r="BF2707" s="26"/>
      <c r="BG2707" s="26"/>
      <c r="BH2707" s="26"/>
      <c r="BI2707" s="26"/>
      <c r="BJ2707" s="26"/>
      <c r="BK2707" s="26"/>
      <c r="BL2707" s="26"/>
      <c r="BM2707" s="26"/>
      <c r="BN2707" s="26"/>
      <c r="BO2707" s="26"/>
      <c r="BP2707" s="16" t="n">
        <v>45737</v>
      </c>
      <c r="BQ2707" s="28" t="str">
        <f>HYPERLINK("https://organic.ams.usda.gov/Integrity/Certificate.aspx?cid=71&amp;nopid=5520362791")</f>
        <v>https://organic.ams.usda.gov/Integrity/Certificate.aspx?cid=71&amp;nopid=5520362791</v>
      </c>
    </row>
    <row r="2708">
      <c r="A2708" t="s">
        <v>3</v>
      </c>
      <c r="B2708" s="6" t="s">
        <v>7</v>
      </c>
      <c r="C2708" s="6" t="s">
        <v>54</v>
      </c>
      <c r="D2708" s="6" t="s">
        <v>100</v>
      </c>
      <c r="E2708" s="10" t="s">
        <v>2849</v>
      </c>
      <c r="F2708" s="6" t="s">
        <v>5552</v>
      </c>
      <c r="G2708" s="6" t="s">
        <v>81</v>
      </c>
      <c r="H2708" s="6" t="s">
        <v>8353</v>
      </c>
      <c r="I2708" s="6" t="s">
        <v>8819</v>
      </c>
      <c r="J2708" s="6" t="s">
        <v>9906</v>
      </c>
      <c r="K2708" s="6" t="s">
        <v>10886</v>
      </c>
      <c r="L2708" s="16" t="n">
        <v>37452</v>
      </c>
      <c r="M2708" s="16" t="n">
        <v>45716</v>
      </c>
      <c r="N2708" s="6" t="s">
        <v>10886</v>
      </c>
      <c r="O2708" s="16" t="n">
        <v>37452</v>
      </c>
      <c r="P2708" s="6" t="s">
        <v>12402</v>
      </c>
      <c r="Q2708" s="6" t="s">
        <v>81</v>
      </c>
      <c r="R2708" s="6" t="s">
        <v>81</v>
      </c>
      <c r="S2708" s="6" t="s">
        <v>10886</v>
      </c>
      <c r="T2708" s="16" t="n">
        <v>37452</v>
      </c>
      <c r="U2708" s="6" t="s">
        <v>13169</v>
      </c>
      <c r="V2708" s="6" t="s">
        <v>81</v>
      </c>
      <c r="W2708" s="6" t="s">
        <v>81</v>
      </c>
      <c r="X2708" s="6" t="s">
        <v>81</v>
      </c>
      <c r="Y2708" s="21" t="s">
        <v>81</v>
      </c>
      <c r="Z2708" s="6" t="s">
        <v>81</v>
      </c>
      <c r="AA2708" s="6" t="s">
        <v>81</v>
      </c>
      <c r="AB2708" s="6" t="s">
        <v>81</v>
      </c>
      <c r="AC2708" s="6" t="s">
        <v>81</v>
      </c>
      <c r="AD2708" s="21" t="s">
        <v>81</v>
      </c>
      <c r="AE2708" s="6" t="s">
        <v>81</v>
      </c>
      <c r="AF2708" s="6" t="s">
        <v>81</v>
      </c>
      <c r="AG2708" s="6" t="s">
        <v>81</v>
      </c>
      <c r="AH2708" s="6" t="s">
        <v>17240</v>
      </c>
      <c r="AI2708" s="6" t="s">
        <v>81</v>
      </c>
      <c r="AJ2708" s="6" t="s">
        <v>17311</v>
      </c>
      <c r="AK2708" s="6" t="s">
        <v>17712</v>
      </c>
      <c r="AL2708" s="6" t="s">
        <v>18444</v>
      </c>
      <c r="AM2708" s="6" t="s">
        <v>18463</v>
      </c>
      <c r="AN2708" s="6" t="s">
        <v>19634</v>
      </c>
      <c r="AO2708" s="6" t="s">
        <v>19719</v>
      </c>
      <c r="AP2708" s="6" t="s">
        <v>17240</v>
      </c>
      <c r="AQ2708" s="6" t="s">
        <v>81</v>
      </c>
      <c r="AR2708" s="6" t="s">
        <v>17311</v>
      </c>
      <c r="AS2708" s="6" t="s">
        <v>17712</v>
      </c>
      <c r="AT2708" s="6" t="s">
        <v>18444</v>
      </c>
      <c r="AU2708" s="6" t="s">
        <v>20716</v>
      </c>
      <c r="AV2708" s="6" t="s">
        <v>81</v>
      </c>
      <c r="AW2708" s="6" t="s">
        <v>81</v>
      </c>
      <c r="AX2708" s="6" t="s">
        <v>22529</v>
      </c>
      <c r="AY2708" s="6" t="s">
        <v>81</v>
      </c>
      <c r="AZ2708" s="6" t="s">
        <v>81</v>
      </c>
      <c r="BA2708" s="6" t="s">
        <v>81</v>
      </c>
      <c r="BB2708" s="24" t="n">
        <v>192</v>
      </c>
      <c r="BC2708" s="26"/>
      <c r="BD2708" s="26"/>
      <c r="BE2708" s="26"/>
      <c r="BF2708" s="26" t="s">
        <v>23900</v>
      </c>
      <c r="BG2708" s="26"/>
      <c r="BH2708" s="26"/>
      <c r="BI2708" s="26"/>
      <c r="BJ2708" s="26"/>
      <c r="BK2708" s="26"/>
      <c r="BL2708" s="26"/>
      <c r="BM2708" s="26"/>
      <c r="BN2708" s="26"/>
      <c r="BO2708" s="26"/>
      <c r="BP2708" s="16" t="n">
        <v>45595</v>
      </c>
      <c r="BQ2708" s="28" t="str">
        <f>HYPERLINK("https://organic.ams.usda.gov/Integrity/Certificate.aspx?cid=57&amp;nopid=3250970048")</f>
        <v>https://organic.ams.usda.gov/Integrity/Certificate.aspx?cid=57&amp;nopid=3250970048</v>
      </c>
    </row>
    <row r="2709">
      <c r="A2709" t="s">
        <v>3</v>
      </c>
      <c r="B2709" s="6" t="s">
        <v>29</v>
      </c>
      <c r="C2709" s="6" t="s">
        <v>76</v>
      </c>
      <c r="D2709" s="6" t="s">
        <v>122</v>
      </c>
      <c r="E2709" s="10" t="s">
        <v>2850</v>
      </c>
      <c r="F2709" s="6" t="s">
        <v>5553</v>
      </c>
      <c r="G2709" s="6" t="s">
        <v>81</v>
      </c>
      <c r="H2709" s="6" t="s">
        <v>8354</v>
      </c>
      <c r="I2709" s="6" t="s">
        <v>9649</v>
      </c>
      <c r="J2709" s="6" t="s">
        <v>9906</v>
      </c>
      <c r="K2709" s="6" t="s">
        <v>10886</v>
      </c>
      <c r="L2709" s="16" t="n">
        <v>41779</v>
      </c>
      <c r="M2709" s="16" t="n">
        <v>45870</v>
      </c>
      <c r="N2709" s="6" t="s">
        <v>10886</v>
      </c>
      <c r="O2709" s="16" t="n">
        <v>41779</v>
      </c>
      <c r="P2709" s="6" t="s">
        <v>10910</v>
      </c>
      <c r="Q2709" s="6" t="s">
        <v>81</v>
      </c>
      <c r="R2709" s="6" t="s">
        <v>13149</v>
      </c>
      <c r="S2709" s="6" t="s">
        <v>10886</v>
      </c>
      <c r="T2709" s="16" t="n">
        <v>41779</v>
      </c>
      <c r="U2709" s="6" t="s">
        <v>13366</v>
      </c>
      <c r="V2709" s="6" t="s">
        <v>81</v>
      </c>
      <c r="W2709" s="6" t="s">
        <v>13149</v>
      </c>
      <c r="X2709" s="6" t="s">
        <v>81</v>
      </c>
      <c r="Y2709" s="21" t="s">
        <v>81</v>
      </c>
      <c r="Z2709" s="6" t="s">
        <v>81</v>
      </c>
      <c r="AA2709" s="6" t="s">
        <v>81</v>
      </c>
      <c r="AB2709" s="6" t="s">
        <v>81</v>
      </c>
      <c r="AC2709" s="6" t="s">
        <v>81</v>
      </c>
      <c r="AD2709" s="21" t="s">
        <v>81</v>
      </c>
      <c r="AE2709" s="6" t="s">
        <v>81</v>
      </c>
      <c r="AF2709" s="6" t="s">
        <v>81</v>
      </c>
      <c r="AG2709" s="6" t="s">
        <v>81</v>
      </c>
      <c r="AH2709" s="6" t="s">
        <v>17241</v>
      </c>
      <c r="AI2709" s="6" t="s">
        <v>81</v>
      </c>
      <c r="AJ2709" s="6" t="s">
        <v>18044</v>
      </c>
      <c r="AK2709" s="6" t="s">
        <v>17759</v>
      </c>
      <c r="AL2709" s="6" t="s">
        <v>18444</v>
      </c>
      <c r="AM2709" s="6" t="s">
        <v>19619</v>
      </c>
      <c r="AN2709" s="6" t="s">
        <v>7195</v>
      </c>
      <c r="AO2709" s="6" t="s">
        <v>19721</v>
      </c>
      <c r="AP2709" s="6" t="s">
        <v>81</v>
      </c>
      <c r="AQ2709" s="6" t="s">
        <v>81</v>
      </c>
      <c r="AR2709" s="6" t="s">
        <v>81</v>
      </c>
      <c r="AS2709" s="6" t="s">
        <v>81</v>
      </c>
      <c r="AT2709" s="6" t="s">
        <v>81</v>
      </c>
      <c r="AU2709" s="6" t="s">
        <v>81</v>
      </c>
      <c r="AV2709" s="6" t="s">
        <v>81</v>
      </c>
      <c r="AW2709" s="6" t="s">
        <v>81</v>
      </c>
      <c r="AX2709" s="6" t="s">
        <v>22530</v>
      </c>
      <c r="AY2709" s="6" t="s">
        <v>81</v>
      </c>
      <c r="AZ2709" s="6" t="s">
        <v>81</v>
      </c>
      <c r="BA2709" s="6" t="s">
        <v>81</v>
      </c>
      <c r="BB2709" s="24" t="n">
        <v>333</v>
      </c>
      <c r="BC2709" s="26"/>
      <c r="BD2709" s="26"/>
      <c r="BE2709" s="26"/>
      <c r="BF2709" s="26" t="s">
        <v>23900</v>
      </c>
      <c r="BG2709" s="26"/>
      <c r="BH2709" s="26"/>
      <c r="BI2709" s="26"/>
      <c r="BJ2709" s="26"/>
      <c r="BK2709" s="26"/>
      <c r="BL2709" s="26"/>
      <c r="BM2709" s="26"/>
      <c r="BN2709" s="26"/>
      <c r="BO2709" s="26"/>
      <c r="BP2709" s="16" t="n">
        <v>45737</v>
      </c>
      <c r="BQ2709" s="28" t="str">
        <f>HYPERLINK("https://organic.ams.usda.gov/Integrity/Certificate.aspx?cid=31&amp;nopid=3928971379")</f>
        <v>https://organic.ams.usda.gov/Integrity/Certificate.aspx?cid=31&amp;nopid=3928971379</v>
      </c>
    </row>
    <row r="2710">
      <c r="A2710" t="s">
        <v>3</v>
      </c>
      <c r="B2710" s="6" t="s">
        <v>8</v>
      </c>
      <c r="C2710" s="6" t="s">
        <v>55</v>
      </c>
      <c r="D2710" s="6" t="s">
        <v>101</v>
      </c>
      <c r="E2710" s="10" t="s">
        <v>2851</v>
      </c>
      <c r="F2710" s="6" t="s">
        <v>5554</v>
      </c>
      <c r="G2710" s="6" t="s">
        <v>81</v>
      </c>
      <c r="H2710" s="6" t="s">
        <v>8355</v>
      </c>
      <c r="I2710" s="6" t="s">
        <v>8877</v>
      </c>
      <c r="J2710" s="6" t="s">
        <v>9742</v>
      </c>
      <c r="K2710" s="6" t="s">
        <v>10886</v>
      </c>
      <c r="L2710" s="16" t="n">
        <v>40319</v>
      </c>
      <c r="M2710" s="16" t="n">
        <v>45748</v>
      </c>
      <c r="N2710" s="6" t="s">
        <v>10886</v>
      </c>
      <c r="O2710" s="16" t="n">
        <v>40319</v>
      </c>
      <c r="P2710" s="6" t="s">
        <v>12403</v>
      </c>
      <c r="Q2710" s="6" t="s">
        <v>81</v>
      </c>
      <c r="R2710" s="6" t="s">
        <v>8355</v>
      </c>
      <c r="S2710" s="6" t="s">
        <v>10886</v>
      </c>
      <c r="T2710" s="16" t="n">
        <v>40319</v>
      </c>
      <c r="U2710" s="6" t="s">
        <v>13956</v>
      </c>
      <c r="V2710" s="6" t="s">
        <v>81</v>
      </c>
      <c r="W2710" s="6" t="s">
        <v>8355</v>
      </c>
      <c r="X2710" s="6" t="s">
        <v>81</v>
      </c>
      <c r="Y2710" s="21" t="s">
        <v>81</v>
      </c>
      <c r="Z2710" s="6" t="s">
        <v>81</v>
      </c>
      <c r="AA2710" s="6" t="s">
        <v>81</v>
      </c>
      <c r="AB2710" s="6" t="s">
        <v>81</v>
      </c>
      <c r="AC2710" s="6" t="s">
        <v>81</v>
      </c>
      <c r="AD2710" s="21" t="s">
        <v>81</v>
      </c>
      <c r="AE2710" s="6" t="s">
        <v>81</v>
      </c>
      <c r="AF2710" s="6" t="s">
        <v>81</v>
      </c>
      <c r="AG2710" s="6" t="s">
        <v>81</v>
      </c>
      <c r="AH2710" s="6" t="s">
        <v>17242</v>
      </c>
      <c r="AI2710" s="6" t="s">
        <v>81</v>
      </c>
      <c r="AJ2710" s="6" t="s">
        <v>17749</v>
      </c>
      <c r="AK2710" s="6" t="s">
        <v>18377</v>
      </c>
      <c r="AL2710" s="6" t="s">
        <v>18444</v>
      </c>
      <c r="AM2710" s="6" t="s">
        <v>18917</v>
      </c>
      <c r="AN2710" s="6" t="s">
        <v>19690</v>
      </c>
      <c r="AO2710" s="6" t="s">
        <v>19849</v>
      </c>
      <c r="AP2710" s="6" t="s">
        <v>81</v>
      </c>
      <c r="AQ2710" s="6" t="s">
        <v>81</v>
      </c>
      <c r="AR2710" s="6" t="s">
        <v>81</v>
      </c>
      <c r="AS2710" s="6" t="s">
        <v>81</v>
      </c>
      <c r="AT2710" s="6" t="s">
        <v>81</v>
      </c>
      <c r="AU2710" s="6" t="s">
        <v>81</v>
      </c>
      <c r="AV2710" s="6" t="s">
        <v>81</v>
      </c>
      <c r="AW2710" s="6" t="s">
        <v>81</v>
      </c>
      <c r="AX2710" s="6" t="s">
        <v>81</v>
      </c>
      <c r="AY2710" s="6" t="s">
        <v>81</v>
      </c>
      <c r="AZ2710" s="6" t="s">
        <v>81</v>
      </c>
      <c r="BA2710" s="6" t="s">
        <v>23824</v>
      </c>
      <c r="BB2710" s="24" t="n">
        <v>73</v>
      </c>
      <c r="BC2710" s="26"/>
      <c r="BD2710" s="26"/>
      <c r="BE2710" s="26"/>
      <c r="BF2710" s="26"/>
      <c r="BG2710" s="26"/>
      <c r="BH2710" s="26"/>
      <c r="BI2710" s="26"/>
      <c r="BJ2710" s="26"/>
      <c r="BK2710" s="26"/>
      <c r="BL2710" s="26"/>
      <c r="BM2710" s="26"/>
      <c r="BN2710" s="26"/>
      <c r="BO2710" s="26"/>
      <c r="BP2710" s="16" t="n">
        <v>45569</v>
      </c>
      <c r="BQ2710" s="28" t="str">
        <f>HYPERLINK("https://organic.ams.usda.gov/Integrity/Certificate.aspx?cid=45&amp;nopid=9950004024")</f>
        <v>https://organic.ams.usda.gov/Integrity/Certificate.aspx?cid=45&amp;nopid=9950004024</v>
      </c>
    </row>
    <row r="2711">
      <c r="A2711" t="s">
        <v>3</v>
      </c>
      <c r="B2711" s="6" t="s">
        <v>8</v>
      </c>
      <c r="C2711" s="6" t="s">
        <v>55</v>
      </c>
      <c r="D2711" s="6" t="s">
        <v>101</v>
      </c>
      <c r="E2711" s="10" t="s">
        <v>2852</v>
      </c>
      <c r="F2711" s="6" t="s">
        <v>5555</v>
      </c>
      <c r="G2711" s="6" t="s">
        <v>81</v>
      </c>
      <c r="H2711" s="6" t="s">
        <v>8356</v>
      </c>
      <c r="I2711" s="6" t="s">
        <v>8713</v>
      </c>
      <c r="J2711" s="6" t="s">
        <v>9740</v>
      </c>
      <c r="K2711" s="6" t="s">
        <v>10886</v>
      </c>
      <c r="L2711" s="16" t="n">
        <v>42681</v>
      </c>
      <c r="M2711" s="16" t="n">
        <v>45748</v>
      </c>
      <c r="N2711" s="6" t="s">
        <v>10886</v>
      </c>
      <c r="O2711" s="16" t="n">
        <v>42681</v>
      </c>
      <c r="P2711" s="6" t="s">
        <v>12404</v>
      </c>
      <c r="Q2711" s="6" t="s">
        <v>81</v>
      </c>
      <c r="R2711" s="6" t="s">
        <v>8356</v>
      </c>
      <c r="S2711" s="6" t="s">
        <v>10886</v>
      </c>
      <c r="T2711" s="16" t="n">
        <v>42681</v>
      </c>
      <c r="U2711" s="6" t="s">
        <v>13173</v>
      </c>
      <c r="V2711" s="6" t="s">
        <v>81</v>
      </c>
      <c r="W2711" s="6" t="s">
        <v>8356</v>
      </c>
      <c r="X2711" s="6" t="s">
        <v>81</v>
      </c>
      <c r="Y2711" s="21" t="s">
        <v>81</v>
      </c>
      <c r="Z2711" s="6" t="s">
        <v>81</v>
      </c>
      <c r="AA2711" s="6" t="s">
        <v>81</v>
      </c>
      <c r="AB2711" s="6" t="s">
        <v>81</v>
      </c>
      <c r="AC2711" s="6" t="s">
        <v>81</v>
      </c>
      <c r="AD2711" s="21" t="s">
        <v>81</v>
      </c>
      <c r="AE2711" s="6" t="s">
        <v>81</v>
      </c>
      <c r="AF2711" s="6" t="s">
        <v>81</v>
      </c>
      <c r="AG2711" s="6" t="s">
        <v>81</v>
      </c>
      <c r="AH2711" s="6" t="s">
        <v>17243</v>
      </c>
      <c r="AI2711" s="6" t="s">
        <v>81</v>
      </c>
      <c r="AJ2711" s="6" t="s">
        <v>17325</v>
      </c>
      <c r="AK2711" s="6" t="s">
        <v>18378</v>
      </c>
      <c r="AL2711" s="6" t="s">
        <v>18444</v>
      </c>
      <c r="AM2711" s="6" t="s">
        <v>18477</v>
      </c>
      <c r="AN2711" s="6" t="s">
        <v>6132</v>
      </c>
      <c r="AO2711" s="6" t="s">
        <v>19943</v>
      </c>
      <c r="AP2711" s="6" t="s">
        <v>81</v>
      </c>
      <c r="AQ2711" s="6" t="s">
        <v>81</v>
      </c>
      <c r="AR2711" s="6" t="s">
        <v>81</v>
      </c>
      <c r="AS2711" s="6" t="s">
        <v>81</v>
      </c>
      <c r="AT2711" s="6" t="s">
        <v>81</v>
      </c>
      <c r="AU2711" s="6" t="s">
        <v>81</v>
      </c>
      <c r="AV2711" s="6" t="s">
        <v>81</v>
      </c>
      <c r="AW2711" s="6" t="s">
        <v>81</v>
      </c>
      <c r="AX2711" s="6" t="s">
        <v>81</v>
      </c>
      <c r="AY2711" s="6" t="s">
        <v>81</v>
      </c>
      <c r="AZ2711" s="6" t="s">
        <v>81</v>
      </c>
      <c r="BA2711" s="6" t="s">
        <v>23819</v>
      </c>
      <c r="BB2711" s="24" t="n">
        <v>90</v>
      </c>
      <c r="BC2711" s="26"/>
      <c r="BD2711" s="26"/>
      <c r="BE2711" s="26"/>
      <c r="BF2711" s="26" t="s">
        <v>23900</v>
      </c>
      <c r="BG2711" s="26"/>
      <c r="BH2711" s="26"/>
      <c r="BI2711" s="26"/>
      <c r="BJ2711" s="26"/>
      <c r="BK2711" s="26"/>
      <c r="BL2711" s="26"/>
      <c r="BM2711" s="26"/>
      <c r="BN2711" s="26"/>
      <c r="BO2711" s="26"/>
      <c r="BP2711" s="16" t="n">
        <v>45614</v>
      </c>
      <c r="BQ2711" s="28" t="str">
        <f>HYPERLINK("https://organic.ams.usda.gov/Integrity/Certificate.aspx?cid=45&amp;nopid=9950009768")</f>
        <v>https://organic.ams.usda.gov/Integrity/Certificate.aspx?cid=45&amp;nopid=9950009768</v>
      </c>
    </row>
    <row r="2712">
      <c r="A2712" t="s">
        <v>3</v>
      </c>
      <c r="B2712" s="6" t="s">
        <v>7</v>
      </c>
      <c r="C2712" s="6" t="s">
        <v>54</v>
      </c>
      <c r="D2712" s="6" t="s">
        <v>100</v>
      </c>
      <c r="E2712" s="10" t="s">
        <v>2853</v>
      </c>
      <c r="F2712" s="6" t="s">
        <v>5556</v>
      </c>
      <c r="G2712" s="6" t="s">
        <v>81</v>
      </c>
      <c r="H2712" s="6" t="s">
        <v>8357</v>
      </c>
      <c r="I2712" s="6" t="s">
        <v>8830</v>
      </c>
      <c r="J2712" s="6" t="s">
        <v>9799</v>
      </c>
      <c r="K2712" s="6" t="s">
        <v>10886</v>
      </c>
      <c r="L2712" s="16" t="n">
        <v>41799</v>
      </c>
      <c r="M2712" s="16" t="n">
        <v>45716</v>
      </c>
      <c r="N2712" s="6" t="s">
        <v>10886</v>
      </c>
      <c r="O2712" s="16" t="n">
        <v>41799</v>
      </c>
      <c r="P2712" s="6" t="s">
        <v>11237</v>
      </c>
      <c r="Q2712" s="6" t="s">
        <v>81</v>
      </c>
      <c r="R2712" s="6" t="s">
        <v>81</v>
      </c>
      <c r="S2712" s="6" t="s">
        <v>10886</v>
      </c>
      <c r="T2712" s="16" t="n">
        <v>42399</v>
      </c>
      <c r="U2712" s="6" t="s">
        <v>13169</v>
      </c>
      <c r="V2712" s="6" t="s">
        <v>81</v>
      </c>
      <c r="W2712" s="6" t="s">
        <v>81</v>
      </c>
      <c r="X2712" s="6" t="s">
        <v>81</v>
      </c>
      <c r="Y2712" s="21" t="s">
        <v>81</v>
      </c>
      <c r="Z2712" s="6" t="s">
        <v>81</v>
      </c>
      <c r="AA2712" s="6" t="s">
        <v>81</v>
      </c>
      <c r="AB2712" s="6" t="s">
        <v>81</v>
      </c>
      <c r="AC2712" s="6" t="s">
        <v>81</v>
      </c>
      <c r="AD2712" s="21" t="s">
        <v>81</v>
      </c>
      <c r="AE2712" s="6" t="s">
        <v>81</v>
      </c>
      <c r="AF2712" s="6" t="s">
        <v>81</v>
      </c>
      <c r="AG2712" s="6" t="s">
        <v>81</v>
      </c>
      <c r="AH2712" s="6" t="s">
        <v>17244</v>
      </c>
      <c r="AI2712" s="6" t="s">
        <v>81</v>
      </c>
      <c r="AJ2712" s="6" t="s">
        <v>17532</v>
      </c>
      <c r="AK2712" s="6" t="s">
        <v>17712</v>
      </c>
      <c r="AL2712" s="6" t="s">
        <v>18444</v>
      </c>
      <c r="AM2712" s="6" t="s">
        <v>18696</v>
      </c>
      <c r="AN2712" s="6" t="s">
        <v>7926</v>
      </c>
      <c r="AO2712" s="6" t="s">
        <v>19842</v>
      </c>
      <c r="AP2712" s="6" t="s">
        <v>17244</v>
      </c>
      <c r="AQ2712" s="6" t="s">
        <v>81</v>
      </c>
      <c r="AR2712" s="6" t="s">
        <v>17532</v>
      </c>
      <c r="AS2712" s="6" t="s">
        <v>17712</v>
      </c>
      <c r="AT2712" s="6" t="s">
        <v>18444</v>
      </c>
      <c r="AU2712" s="6" t="s">
        <v>18696</v>
      </c>
      <c r="AV2712" s="6" t="s">
        <v>81</v>
      </c>
      <c r="AW2712" s="6" t="s">
        <v>81</v>
      </c>
      <c r="AX2712" s="6" t="s">
        <v>81</v>
      </c>
      <c r="AY2712" s="6" t="s">
        <v>81</v>
      </c>
      <c r="AZ2712" s="6" t="s">
        <v>81</v>
      </c>
      <c r="BA2712" s="6" t="s">
        <v>81</v>
      </c>
      <c r="BB2712" s="24" t="n">
        <v>105</v>
      </c>
      <c r="BC2712" s="26"/>
      <c r="BD2712" s="26"/>
      <c r="BE2712" s="26"/>
      <c r="BF2712" s="26" t="s">
        <v>23900</v>
      </c>
      <c r="BG2712" s="26"/>
      <c r="BH2712" s="26"/>
      <c r="BI2712" s="26"/>
      <c r="BJ2712" s="26"/>
      <c r="BK2712" s="26"/>
      <c r="BL2712" s="26"/>
      <c r="BM2712" s="26"/>
      <c r="BN2712" s="26"/>
      <c r="BO2712" s="26"/>
      <c r="BP2712" s="16" t="n">
        <v>45595</v>
      </c>
      <c r="BQ2712" s="28" t="str">
        <f>HYPERLINK("https://organic.ams.usda.gov/Integrity/Certificate.aspx?cid=57&amp;nopid=3252014042")</f>
        <v>https://organic.ams.usda.gov/Integrity/Certificate.aspx?cid=57&amp;nopid=3252014042</v>
      </c>
    </row>
    <row r="2713">
      <c r="A2713" t="s">
        <v>3</v>
      </c>
      <c r="B2713" s="6" t="s">
        <v>8</v>
      </c>
      <c r="C2713" s="6" t="s">
        <v>55</v>
      </c>
      <c r="D2713" s="6" t="s">
        <v>101</v>
      </c>
      <c r="E2713" s="10" t="s">
        <v>2854</v>
      </c>
      <c r="F2713" s="6" t="s">
        <v>5557</v>
      </c>
      <c r="G2713" s="6" t="s">
        <v>5888</v>
      </c>
      <c r="H2713" s="6" t="s">
        <v>8358</v>
      </c>
      <c r="I2713" s="6" t="s">
        <v>8591</v>
      </c>
      <c r="J2713" s="6" t="s">
        <v>10868</v>
      </c>
      <c r="K2713" s="6" t="s">
        <v>10886</v>
      </c>
      <c r="L2713" s="16" t="n">
        <v>40388</v>
      </c>
      <c r="M2713" s="16" t="n">
        <v>45748</v>
      </c>
      <c r="N2713" s="6" t="s">
        <v>10886</v>
      </c>
      <c r="O2713" s="16" t="n">
        <v>40388</v>
      </c>
      <c r="P2713" s="6" t="s">
        <v>12405</v>
      </c>
      <c r="Q2713" s="6" t="s">
        <v>81</v>
      </c>
      <c r="R2713" s="6" t="s">
        <v>8358</v>
      </c>
      <c r="S2713" s="6" t="s">
        <v>10886</v>
      </c>
      <c r="T2713" s="16" t="n">
        <v>40388</v>
      </c>
      <c r="U2713" s="6" t="s">
        <v>13179</v>
      </c>
      <c r="V2713" s="6" t="s">
        <v>81</v>
      </c>
      <c r="W2713" s="6" t="s">
        <v>8358</v>
      </c>
      <c r="X2713" s="6" t="s">
        <v>81</v>
      </c>
      <c r="Y2713" s="21" t="s">
        <v>81</v>
      </c>
      <c r="Z2713" s="6" t="s">
        <v>81</v>
      </c>
      <c r="AA2713" s="6" t="s">
        <v>81</v>
      </c>
      <c r="AB2713" s="6" t="s">
        <v>81</v>
      </c>
      <c r="AC2713" s="6" t="s">
        <v>81</v>
      </c>
      <c r="AD2713" s="21" t="s">
        <v>81</v>
      </c>
      <c r="AE2713" s="6" t="s">
        <v>81</v>
      </c>
      <c r="AF2713" s="6" t="s">
        <v>81</v>
      </c>
      <c r="AG2713" s="6" t="s">
        <v>81</v>
      </c>
      <c r="AH2713" s="6" t="s">
        <v>17245</v>
      </c>
      <c r="AI2713" s="6" t="s">
        <v>81</v>
      </c>
      <c r="AJ2713" s="6" t="s">
        <v>18168</v>
      </c>
      <c r="AK2713" s="6" t="s">
        <v>18381</v>
      </c>
      <c r="AL2713" s="6" t="s">
        <v>18444</v>
      </c>
      <c r="AM2713" s="6" t="s">
        <v>19299</v>
      </c>
      <c r="AN2713" s="6" t="s">
        <v>19676</v>
      </c>
      <c r="AO2713" s="6" t="s">
        <v>19797</v>
      </c>
      <c r="AP2713" s="6" t="s">
        <v>81</v>
      </c>
      <c r="AQ2713" s="6" t="s">
        <v>81</v>
      </c>
      <c r="AR2713" s="6" t="s">
        <v>81</v>
      </c>
      <c r="AS2713" s="6" t="s">
        <v>81</v>
      </c>
      <c r="AT2713" s="6" t="s">
        <v>81</v>
      </c>
      <c r="AU2713" s="6" t="s">
        <v>81</v>
      </c>
      <c r="AV2713" s="6" t="s">
        <v>81</v>
      </c>
      <c r="AW2713" s="6" t="s">
        <v>81</v>
      </c>
      <c r="AX2713" s="6" t="s">
        <v>81</v>
      </c>
      <c r="AY2713" s="6" t="s">
        <v>23557</v>
      </c>
      <c r="AZ2713" s="6" t="s">
        <v>81</v>
      </c>
      <c r="BA2713" s="6" t="s">
        <v>23819</v>
      </c>
      <c r="BB2713" s="24" t="n">
        <v>276</v>
      </c>
      <c r="BC2713" s="26"/>
      <c r="BD2713" s="26"/>
      <c r="BE2713" s="26"/>
      <c r="BF2713" s="26" t="s">
        <v>23900</v>
      </c>
      <c r="BG2713" s="26"/>
      <c r="BH2713" s="26"/>
      <c r="BI2713" s="26"/>
      <c r="BJ2713" s="26"/>
      <c r="BK2713" s="26"/>
      <c r="BL2713" s="26"/>
      <c r="BM2713" s="26"/>
      <c r="BN2713" s="26"/>
      <c r="BO2713" s="26"/>
      <c r="BP2713" s="16" t="n">
        <v>45659</v>
      </c>
      <c r="BQ2713" s="28" t="str">
        <f>HYPERLINK("https://organic.ams.usda.gov/Integrity/Certificate.aspx?cid=45&amp;nopid=9950003911")</f>
        <v>https://organic.ams.usda.gov/Integrity/Certificate.aspx?cid=45&amp;nopid=9950003911</v>
      </c>
    </row>
    <row r="2714">
      <c r="A2714" t="s">
        <v>3</v>
      </c>
      <c r="B2714" s="6" t="s">
        <v>18</v>
      </c>
      <c r="C2714" s="6" t="s">
        <v>65</v>
      </c>
      <c r="D2714" s="6" t="s">
        <v>111</v>
      </c>
      <c r="E2714" s="10" t="s">
        <v>2855</v>
      </c>
      <c r="F2714" s="6" t="s">
        <v>5558</v>
      </c>
      <c r="G2714" s="6" t="s">
        <v>81</v>
      </c>
      <c r="H2714" s="6" t="s">
        <v>2855</v>
      </c>
      <c r="I2714" s="6" t="s">
        <v>9650</v>
      </c>
      <c r="J2714" s="6" t="s">
        <v>9963</v>
      </c>
      <c r="K2714" s="6" t="s">
        <v>10886</v>
      </c>
      <c r="L2714" s="16" t="n">
        <v>45048</v>
      </c>
      <c r="M2714" s="16" t="n">
        <v>45731</v>
      </c>
      <c r="N2714" s="6" t="s">
        <v>10886</v>
      </c>
      <c r="O2714" s="16" t="n">
        <v>45048</v>
      </c>
      <c r="P2714" s="6" t="s">
        <v>12406</v>
      </c>
      <c r="Q2714" s="6" t="s">
        <v>81</v>
      </c>
      <c r="R2714" s="6" t="s">
        <v>5558</v>
      </c>
      <c r="S2714" s="6" t="s">
        <v>10886</v>
      </c>
      <c r="T2714" s="16" t="n">
        <v>45048</v>
      </c>
      <c r="U2714" s="6" t="s">
        <v>13581</v>
      </c>
      <c r="V2714" s="6" t="s">
        <v>81</v>
      </c>
      <c r="W2714" s="6" t="s">
        <v>5558</v>
      </c>
      <c r="X2714" s="6" t="s">
        <v>81</v>
      </c>
      <c r="Y2714" s="21" t="s">
        <v>81</v>
      </c>
      <c r="Z2714" s="6" t="s">
        <v>81</v>
      </c>
      <c r="AA2714" s="6" t="s">
        <v>81</v>
      </c>
      <c r="AB2714" s="6" t="s">
        <v>81</v>
      </c>
      <c r="AC2714" s="6" t="s">
        <v>81</v>
      </c>
      <c r="AD2714" s="21" t="s">
        <v>81</v>
      </c>
      <c r="AE2714" s="6" t="s">
        <v>81</v>
      </c>
      <c r="AF2714" s="6" t="s">
        <v>81</v>
      </c>
      <c r="AG2714" s="6" t="s">
        <v>81</v>
      </c>
      <c r="AH2714" s="6" t="s">
        <v>17246</v>
      </c>
      <c r="AI2714" s="6" t="s">
        <v>81</v>
      </c>
      <c r="AJ2714" s="6" t="s">
        <v>17874</v>
      </c>
      <c r="AK2714" s="6" t="s">
        <v>17712</v>
      </c>
      <c r="AL2714" s="6" t="s">
        <v>18444</v>
      </c>
      <c r="AM2714" s="6" t="s">
        <v>19057</v>
      </c>
      <c r="AN2714" s="6" t="s">
        <v>19652</v>
      </c>
      <c r="AO2714" s="6" t="s">
        <v>19742</v>
      </c>
      <c r="AP2714" s="6" t="s">
        <v>17246</v>
      </c>
      <c r="AQ2714" s="6" t="s">
        <v>81</v>
      </c>
      <c r="AR2714" s="6" t="s">
        <v>17874</v>
      </c>
      <c r="AS2714" s="6" t="s">
        <v>17712</v>
      </c>
      <c r="AT2714" s="6" t="s">
        <v>18444</v>
      </c>
      <c r="AU2714" s="6" t="s">
        <v>19057</v>
      </c>
      <c r="AV2714" s="6" t="s">
        <v>81</v>
      </c>
      <c r="AW2714" s="6" t="s">
        <v>81</v>
      </c>
      <c r="AX2714" s="6" t="s">
        <v>22531</v>
      </c>
      <c r="AY2714" s="6" t="s">
        <v>23558</v>
      </c>
      <c r="AZ2714" s="6" t="s">
        <v>81</v>
      </c>
      <c r="BA2714" s="6" t="s">
        <v>81</v>
      </c>
      <c r="BB2714" s="24" t="n">
        <v>256</v>
      </c>
      <c r="BC2714" s="26"/>
      <c r="BD2714" s="26"/>
      <c r="BE2714" s="26"/>
      <c r="BF2714" s="26" t="s">
        <v>23900</v>
      </c>
      <c r="BG2714" s="26"/>
      <c r="BH2714" s="26"/>
      <c r="BI2714" s="26"/>
      <c r="BJ2714" s="26"/>
      <c r="BK2714" s="26"/>
      <c r="BL2714" s="26"/>
      <c r="BM2714" s="26"/>
      <c r="BN2714" s="26"/>
      <c r="BO2714" s="26"/>
      <c r="BP2714" s="16" t="n">
        <v>45700</v>
      </c>
      <c r="BQ2714" s="28" t="str">
        <f>HYPERLINK("https://organic.ams.usda.gov/Integrity/Certificate.aspx?cid=8&amp;nopid=2202304400")</f>
        <v>https://organic.ams.usda.gov/Integrity/Certificate.aspx?cid=8&amp;nopid=2202304400</v>
      </c>
    </row>
    <row r="2715">
      <c r="A2715" t="s">
        <v>3</v>
      </c>
      <c r="B2715" s="6" t="s">
        <v>8</v>
      </c>
      <c r="C2715" s="6" t="s">
        <v>55</v>
      </c>
      <c r="D2715" s="6" t="s">
        <v>101</v>
      </c>
      <c r="E2715" s="10" t="s">
        <v>2856</v>
      </c>
      <c r="F2715" s="6" t="s">
        <v>5559</v>
      </c>
      <c r="G2715" s="6" t="s">
        <v>81</v>
      </c>
      <c r="H2715" s="6" t="s">
        <v>8359</v>
      </c>
      <c r="I2715" s="6" t="s">
        <v>8621</v>
      </c>
      <c r="J2715" s="6" t="s">
        <v>10869</v>
      </c>
      <c r="K2715" s="6" t="s">
        <v>10886</v>
      </c>
      <c r="L2715" s="16" t="n">
        <v>38587</v>
      </c>
      <c r="M2715" s="16" t="n">
        <v>45383</v>
      </c>
      <c r="N2715" s="6" t="s">
        <v>10886</v>
      </c>
      <c r="O2715" s="16" t="n">
        <v>38587</v>
      </c>
      <c r="P2715" s="6" t="s">
        <v>12407</v>
      </c>
      <c r="Q2715" s="6" t="s">
        <v>81</v>
      </c>
      <c r="R2715" s="6" t="s">
        <v>8359</v>
      </c>
      <c r="S2715" s="6" t="s">
        <v>10886</v>
      </c>
      <c r="T2715" s="16" t="n">
        <v>38587</v>
      </c>
      <c r="U2715" s="6" t="s">
        <v>13271</v>
      </c>
      <c r="V2715" s="6" t="s">
        <v>81</v>
      </c>
      <c r="W2715" s="6" t="s">
        <v>8359</v>
      </c>
      <c r="X2715" s="6" t="s">
        <v>81</v>
      </c>
      <c r="Y2715" s="21" t="s">
        <v>81</v>
      </c>
      <c r="Z2715" s="6" t="s">
        <v>81</v>
      </c>
      <c r="AA2715" s="6" t="s">
        <v>81</v>
      </c>
      <c r="AB2715" s="6" t="s">
        <v>81</v>
      </c>
      <c r="AC2715" s="6" t="s">
        <v>81</v>
      </c>
      <c r="AD2715" s="21" t="s">
        <v>81</v>
      </c>
      <c r="AE2715" s="6" t="s">
        <v>81</v>
      </c>
      <c r="AF2715" s="6" t="s">
        <v>81</v>
      </c>
      <c r="AG2715" s="6" t="s">
        <v>81</v>
      </c>
      <c r="AH2715" s="6" t="s">
        <v>17247</v>
      </c>
      <c r="AI2715" s="6" t="s">
        <v>81</v>
      </c>
      <c r="AJ2715" s="6" t="s">
        <v>18346</v>
      </c>
      <c r="AK2715" s="6" t="s">
        <v>18381</v>
      </c>
      <c r="AL2715" s="6" t="s">
        <v>18444</v>
      </c>
      <c r="AM2715" s="6" t="s">
        <v>19595</v>
      </c>
      <c r="AN2715" s="6" t="s">
        <v>6842</v>
      </c>
      <c r="AO2715" s="6" t="s">
        <v>20075</v>
      </c>
      <c r="AP2715" s="6" t="s">
        <v>81</v>
      </c>
      <c r="AQ2715" s="6" t="s">
        <v>81</v>
      </c>
      <c r="AR2715" s="6" t="s">
        <v>81</v>
      </c>
      <c r="AS2715" s="6" t="s">
        <v>81</v>
      </c>
      <c r="AT2715" s="6" t="s">
        <v>81</v>
      </c>
      <c r="AU2715" s="6" t="s">
        <v>81</v>
      </c>
      <c r="AV2715" s="6" t="s">
        <v>81</v>
      </c>
      <c r="AW2715" s="6" t="s">
        <v>81</v>
      </c>
      <c r="AX2715" s="6" t="s">
        <v>81</v>
      </c>
      <c r="AY2715" s="6" t="s">
        <v>23559</v>
      </c>
      <c r="AZ2715" s="6" t="s">
        <v>81</v>
      </c>
      <c r="BA2715" s="6" t="s">
        <v>23819</v>
      </c>
      <c r="BB2715" s="24" t="n">
        <v>704</v>
      </c>
      <c r="BC2715" s="26"/>
      <c r="BD2715" s="26"/>
      <c r="BE2715" s="26"/>
      <c r="BF2715" s="26" t="s">
        <v>23900</v>
      </c>
      <c r="BG2715" s="26"/>
      <c r="BH2715" s="26"/>
      <c r="BI2715" s="26"/>
      <c r="BJ2715" s="26"/>
      <c r="BK2715" s="26"/>
      <c r="BL2715" s="26"/>
      <c r="BM2715" s="26"/>
      <c r="BN2715" s="26"/>
      <c r="BO2715" s="26"/>
      <c r="BP2715" s="16" t="n">
        <v>45614</v>
      </c>
      <c r="BQ2715" s="28" t="str">
        <f>HYPERLINK("https://organic.ams.usda.gov/Integrity/Certificate.aspx?cid=45&amp;nopid=9950001807")</f>
        <v>https://organic.ams.usda.gov/Integrity/Certificate.aspx?cid=45&amp;nopid=9950001807</v>
      </c>
    </row>
    <row r="2716">
      <c r="A2716" t="s">
        <v>3</v>
      </c>
      <c r="B2716" s="6" t="s">
        <v>9</v>
      </c>
      <c r="C2716" s="6" t="s">
        <v>56</v>
      </c>
      <c r="D2716" s="6" t="s">
        <v>102</v>
      </c>
      <c r="E2716" s="10" t="s">
        <v>2857</v>
      </c>
      <c r="F2716" s="6" t="s">
        <v>5560</v>
      </c>
      <c r="G2716" s="6" t="s">
        <v>81</v>
      </c>
      <c r="H2716" s="6" t="s">
        <v>8360</v>
      </c>
      <c r="I2716" s="6" t="s">
        <v>9651</v>
      </c>
      <c r="J2716" s="6" t="s">
        <v>10870</v>
      </c>
      <c r="K2716" s="6" t="s">
        <v>10886</v>
      </c>
      <c r="L2716" s="16" t="n">
        <v>41823</v>
      </c>
      <c r="M2716" s="16" t="n">
        <v>45748</v>
      </c>
      <c r="N2716" s="6" t="s">
        <v>10886</v>
      </c>
      <c r="O2716" s="16" t="n">
        <v>41823</v>
      </c>
      <c r="P2716" s="6" t="s">
        <v>10922</v>
      </c>
      <c r="Q2716" s="6" t="s">
        <v>81</v>
      </c>
      <c r="R2716" s="6" t="s">
        <v>13150</v>
      </c>
      <c r="S2716" s="6" t="s">
        <v>10886</v>
      </c>
      <c r="T2716" s="16" t="n">
        <v>41823</v>
      </c>
      <c r="U2716" s="6" t="s">
        <v>13354</v>
      </c>
      <c r="V2716" s="6" t="s">
        <v>81</v>
      </c>
      <c r="W2716" s="6" t="s">
        <v>13150</v>
      </c>
      <c r="X2716" s="6" t="s">
        <v>81</v>
      </c>
      <c r="Y2716" s="21" t="s">
        <v>81</v>
      </c>
      <c r="Z2716" s="6" t="s">
        <v>81</v>
      </c>
      <c r="AA2716" s="6" t="s">
        <v>81</v>
      </c>
      <c r="AB2716" s="6" t="s">
        <v>81</v>
      </c>
      <c r="AC2716" s="6" t="s">
        <v>81</v>
      </c>
      <c r="AD2716" s="21" t="s">
        <v>81</v>
      </c>
      <c r="AE2716" s="6" t="s">
        <v>81</v>
      </c>
      <c r="AF2716" s="6" t="s">
        <v>81</v>
      </c>
      <c r="AG2716" s="6" t="s">
        <v>81</v>
      </c>
      <c r="AH2716" s="6" t="s">
        <v>17248</v>
      </c>
      <c r="AI2716" s="6" t="s">
        <v>81</v>
      </c>
      <c r="AJ2716" s="6" t="s">
        <v>18363</v>
      </c>
      <c r="AK2716" s="6" t="s">
        <v>18391</v>
      </c>
      <c r="AL2716" s="6" t="s">
        <v>18444</v>
      </c>
      <c r="AM2716" s="6" t="s">
        <v>19620</v>
      </c>
      <c r="AN2716" s="6" t="s">
        <v>19704</v>
      </c>
      <c r="AO2716" s="6" t="s">
        <v>20079</v>
      </c>
      <c r="AP2716" s="6" t="s">
        <v>81</v>
      </c>
      <c r="AQ2716" s="6" t="s">
        <v>81</v>
      </c>
      <c r="AR2716" s="6" t="s">
        <v>81</v>
      </c>
      <c r="AS2716" s="6" t="s">
        <v>81</v>
      </c>
      <c r="AT2716" s="6" t="s">
        <v>81</v>
      </c>
      <c r="AU2716" s="6" t="s">
        <v>81</v>
      </c>
      <c r="AV2716" s="6" t="s">
        <v>81</v>
      </c>
      <c r="AW2716" s="6" t="s">
        <v>81</v>
      </c>
      <c r="AX2716" s="6" t="s">
        <v>81</v>
      </c>
      <c r="AY2716" s="6" t="s">
        <v>23560</v>
      </c>
      <c r="AZ2716" s="6" t="s">
        <v>81</v>
      </c>
      <c r="BA2716" s="6" t="s">
        <v>81</v>
      </c>
      <c r="BB2716" s="24" t="n">
        <v>406</v>
      </c>
      <c r="BC2716" s="26"/>
      <c r="BD2716" s="26"/>
      <c r="BE2716" s="26"/>
      <c r="BF2716" s="26"/>
      <c r="BG2716" s="26"/>
      <c r="BH2716" s="26"/>
      <c r="BI2716" s="26"/>
      <c r="BJ2716" s="26"/>
      <c r="BK2716" s="26"/>
      <c r="BL2716" s="26"/>
      <c r="BM2716" s="26"/>
      <c r="BN2716" s="26"/>
      <c r="BO2716" s="26"/>
      <c r="BP2716" s="16" t="n">
        <v>45738</v>
      </c>
      <c r="BQ2716" s="28" t="str">
        <f>HYPERLINK("https://organic.ams.usda.gov/Integrity/Certificate.aspx?cid=52&amp;nopid=8431400725")</f>
        <v>https://organic.ams.usda.gov/Integrity/Certificate.aspx?cid=52&amp;nopid=8431400725</v>
      </c>
    </row>
    <row r="2717">
      <c r="A2717" t="s">
        <v>3</v>
      </c>
      <c r="B2717" s="6" t="s">
        <v>8</v>
      </c>
      <c r="C2717" s="6" t="s">
        <v>55</v>
      </c>
      <c r="D2717" s="6" t="s">
        <v>101</v>
      </c>
      <c r="E2717" s="10" t="s">
        <v>2858</v>
      </c>
      <c r="F2717" s="6" t="s">
        <v>5561</v>
      </c>
      <c r="G2717" s="6" t="s">
        <v>81</v>
      </c>
      <c r="H2717" s="6" t="s">
        <v>8361</v>
      </c>
      <c r="I2717" s="6" t="s">
        <v>8694</v>
      </c>
      <c r="J2717" s="6" t="s">
        <v>10871</v>
      </c>
      <c r="K2717" s="6" t="s">
        <v>10886</v>
      </c>
      <c r="L2717" s="16" t="n">
        <v>36819</v>
      </c>
      <c r="M2717" s="18" t="s">
        <v>81</v>
      </c>
      <c r="N2717" s="6" t="s">
        <v>10886</v>
      </c>
      <c r="O2717" s="16" t="n">
        <v>36819</v>
      </c>
      <c r="P2717" s="6" t="s">
        <v>12408</v>
      </c>
      <c r="Q2717" s="6" t="s">
        <v>81</v>
      </c>
      <c r="R2717" s="6" t="s">
        <v>81</v>
      </c>
      <c r="S2717" s="6" t="s">
        <v>10886</v>
      </c>
      <c r="T2717" s="16" t="n">
        <v>36819</v>
      </c>
      <c r="U2717" s="6" t="s">
        <v>13200</v>
      </c>
      <c r="V2717" s="6" t="s">
        <v>81</v>
      </c>
      <c r="W2717" s="6" t="s">
        <v>81</v>
      </c>
      <c r="X2717" s="6" t="s">
        <v>81</v>
      </c>
      <c r="Y2717" s="21" t="s">
        <v>81</v>
      </c>
      <c r="Z2717" s="6" t="s">
        <v>81</v>
      </c>
      <c r="AA2717" s="6" t="s">
        <v>81</v>
      </c>
      <c r="AB2717" s="6" t="s">
        <v>81</v>
      </c>
      <c r="AC2717" s="6" t="s">
        <v>81</v>
      </c>
      <c r="AD2717" s="21" t="s">
        <v>81</v>
      </c>
      <c r="AE2717" s="6" t="s">
        <v>81</v>
      </c>
      <c r="AF2717" s="6" t="s">
        <v>81</v>
      </c>
      <c r="AG2717" s="6" t="s">
        <v>81</v>
      </c>
      <c r="AH2717" s="6" t="s">
        <v>17249</v>
      </c>
      <c r="AI2717" s="6" t="s">
        <v>81</v>
      </c>
      <c r="AJ2717" s="6" t="s">
        <v>18364</v>
      </c>
      <c r="AK2717" s="6" t="s">
        <v>18377</v>
      </c>
      <c r="AL2717" s="6" t="s">
        <v>18444</v>
      </c>
      <c r="AM2717" s="6" t="s">
        <v>19621</v>
      </c>
      <c r="AN2717" s="6" t="s">
        <v>19654</v>
      </c>
      <c r="AO2717" s="6" t="s">
        <v>19824</v>
      </c>
      <c r="AP2717" s="6" t="s">
        <v>20467</v>
      </c>
      <c r="AQ2717" s="6" t="s">
        <v>81</v>
      </c>
      <c r="AR2717" s="6" t="s">
        <v>18364</v>
      </c>
      <c r="AS2717" s="6" t="s">
        <v>18377</v>
      </c>
      <c r="AT2717" s="6" t="s">
        <v>18444</v>
      </c>
      <c r="AU2717" s="6" t="s">
        <v>19621</v>
      </c>
      <c r="AV2717" s="6" t="s">
        <v>81</v>
      </c>
      <c r="AW2717" s="6" t="s">
        <v>81</v>
      </c>
      <c r="AX2717" s="6" t="s">
        <v>81</v>
      </c>
      <c r="AY2717" s="6" t="s">
        <v>81</v>
      </c>
      <c r="AZ2717" s="6" t="s">
        <v>81</v>
      </c>
      <c r="BA2717" s="6" t="s">
        <v>81</v>
      </c>
      <c r="BB2717" s="24" t="n">
        <v>328</v>
      </c>
      <c r="BC2717" s="26"/>
      <c r="BD2717" s="26"/>
      <c r="BE2717" s="26"/>
      <c r="BF2717" s="26"/>
      <c r="BG2717" s="26"/>
      <c r="BH2717" s="26"/>
      <c r="BI2717" s="26"/>
      <c r="BJ2717" s="26"/>
      <c r="BK2717" s="26"/>
      <c r="BL2717" s="26"/>
      <c r="BM2717" s="26"/>
      <c r="BN2717" s="26"/>
      <c r="BO2717" s="26"/>
      <c r="BP2717" s="16" t="n">
        <v>45292</v>
      </c>
      <c r="BQ2717" s="28" t="str">
        <f>HYPERLINK("https://organic.ams.usda.gov/Integrity/Certificate.aspx?cid=45&amp;nopid=9950000463")</f>
        <v>https://organic.ams.usda.gov/Integrity/Certificate.aspx?cid=45&amp;nopid=9950000463</v>
      </c>
    </row>
    <row r="2718">
      <c r="A2718" t="s">
        <v>3</v>
      </c>
      <c r="B2718" s="6" t="s">
        <v>9</v>
      </c>
      <c r="C2718" s="6" t="s">
        <v>56</v>
      </c>
      <c r="D2718" s="6" t="s">
        <v>102</v>
      </c>
      <c r="E2718" s="10" t="s">
        <v>2859</v>
      </c>
      <c r="F2718" s="6" t="s">
        <v>5562</v>
      </c>
      <c r="G2718" s="6" t="s">
        <v>81</v>
      </c>
      <c r="H2718" s="6" t="s">
        <v>8362</v>
      </c>
      <c r="I2718" s="6" t="s">
        <v>81</v>
      </c>
      <c r="J2718" s="6" t="s">
        <v>81</v>
      </c>
      <c r="K2718" s="6" t="s">
        <v>10886</v>
      </c>
      <c r="L2718" s="16" t="n">
        <v>45370</v>
      </c>
      <c r="M2718" s="16" t="n">
        <v>46113</v>
      </c>
      <c r="N2718" s="6" t="s">
        <v>81</v>
      </c>
      <c r="O2718" s="21" t="s">
        <v>81</v>
      </c>
      <c r="P2718" s="6" t="s">
        <v>81</v>
      </c>
      <c r="Q2718" s="6" t="s">
        <v>81</v>
      </c>
      <c r="R2718" s="6" t="s">
        <v>81</v>
      </c>
      <c r="S2718" s="6" t="s">
        <v>81</v>
      </c>
      <c r="T2718" s="21" t="s">
        <v>81</v>
      </c>
      <c r="U2718" s="6" t="s">
        <v>81</v>
      </c>
      <c r="V2718" s="6" t="s">
        <v>81</v>
      </c>
      <c r="W2718" s="6" t="s">
        <v>81</v>
      </c>
      <c r="X2718" s="6" t="s">
        <v>81</v>
      </c>
      <c r="Y2718" s="21" t="s">
        <v>81</v>
      </c>
      <c r="Z2718" s="6" t="s">
        <v>81</v>
      </c>
      <c r="AA2718" s="6" t="s">
        <v>81</v>
      </c>
      <c r="AB2718" s="6" t="s">
        <v>81</v>
      </c>
      <c r="AC2718" s="6" t="s">
        <v>10886</v>
      </c>
      <c r="AD2718" s="16" t="n">
        <v>45370</v>
      </c>
      <c r="AE2718" s="6" t="s">
        <v>14498</v>
      </c>
      <c r="AF2718" s="6" t="s">
        <v>81</v>
      </c>
      <c r="AG2718" s="6" t="s">
        <v>14614</v>
      </c>
      <c r="AH2718" s="6" t="s">
        <v>17250</v>
      </c>
      <c r="AI2718" s="6" t="s">
        <v>81</v>
      </c>
      <c r="AJ2718" s="6" t="s">
        <v>17385</v>
      </c>
      <c r="AK2718" s="6" t="s">
        <v>18377</v>
      </c>
      <c r="AL2718" s="6" t="s">
        <v>18444</v>
      </c>
      <c r="AM2718" s="6" t="s">
        <v>18539</v>
      </c>
      <c r="AN2718" s="6" t="s">
        <v>81</v>
      </c>
      <c r="AO2718" s="6" t="s">
        <v>81</v>
      </c>
      <c r="AP2718" s="6" t="s">
        <v>81</v>
      </c>
      <c r="AQ2718" s="6" t="s">
        <v>81</v>
      </c>
      <c r="AR2718" s="6" t="s">
        <v>81</v>
      </c>
      <c r="AS2718" s="6" t="s">
        <v>81</v>
      </c>
      <c r="AT2718" s="6" t="s">
        <v>81</v>
      </c>
      <c r="AU2718" s="6" t="s">
        <v>81</v>
      </c>
      <c r="AV2718" s="6" t="s">
        <v>81</v>
      </c>
      <c r="AW2718" s="6" t="s">
        <v>81</v>
      </c>
      <c r="AX2718" s="6" t="s">
        <v>22532</v>
      </c>
      <c r="AY2718" s="6" t="s">
        <v>23561</v>
      </c>
      <c r="AZ2718" s="6" t="s">
        <v>81</v>
      </c>
      <c r="BA2718" s="6" t="s">
        <v>23837</v>
      </c>
      <c r="BB2718" s="6" t="s">
        <v>81</v>
      </c>
      <c r="BC2718" s="26"/>
      <c r="BD2718" s="26"/>
      <c r="BE2718" s="26"/>
      <c r="BF2718" s="26"/>
      <c r="BG2718" s="26"/>
      <c r="BH2718" s="26"/>
      <c r="BI2718" s="26"/>
      <c r="BJ2718" s="26"/>
      <c r="BK2718" s="26"/>
      <c r="BL2718" s="26"/>
      <c r="BM2718" s="26"/>
      <c r="BN2718" s="26"/>
      <c r="BO2718" s="26"/>
      <c r="BP2718" s="16" t="n">
        <v>45738</v>
      </c>
      <c r="BQ2718" s="28" t="str">
        <f>HYPERLINK("https://organic.ams.usda.gov/Integrity/Certificate.aspx?cid=52&amp;nopid=8432402181")</f>
        <v>https://organic.ams.usda.gov/Integrity/Certificate.aspx?cid=52&amp;nopid=8432402181</v>
      </c>
    </row>
    <row r="2719">
      <c r="A2719" t="s">
        <v>3</v>
      </c>
      <c r="B2719" s="6" t="s">
        <v>9</v>
      </c>
      <c r="C2719" s="6" t="s">
        <v>56</v>
      </c>
      <c r="D2719" s="6" t="s">
        <v>102</v>
      </c>
      <c r="E2719" s="10" t="s">
        <v>2860</v>
      </c>
      <c r="F2719" s="6" t="s">
        <v>5563</v>
      </c>
      <c r="G2719" s="6" t="s">
        <v>81</v>
      </c>
      <c r="H2719" s="6" t="s">
        <v>8363</v>
      </c>
      <c r="I2719" s="6" t="s">
        <v>9652</v>
      </c>
      <c r="J2719" s="6" t="s">
        <v>10872</v>
      </c>
      <c r="K2719" s="6" t="s">
        <v>10886</v>
      </c>
      <c r="L2719" s="16" t="n">
        <v>39573</v>
      </c>
      <c r="M2719" s="16" t="n">
        <v>45748</v>
      </c>
      <c r="N2719" s="6" t="s">
        <v>10886</v>
      </c>
      <c r="O2719" s="16" t="n">
        <v>39573</v>
      </c>
      <c r="P2719" s="6" t="s">
        <v>12409</v>
      </c>
      <c r="Q2719" s="6" t="s">
        <v>81</v>
      </c>
      <c r="R2719" s="6" t="s">
        <v>13151</v>
      </c>
      <c r="S2719" s="6" t="s">
        <v>10886</v>
      </c>
      <c r="T2719" s="16" t="n">
        <v>39573</v>
      </c>
      <c r="U2719" s="6" t="s">
        <v>13162</v>
      </c>
      <c r="V2719" s="6" t="s">
        <v>81</v>
      </c>
      <c r="W2719" s="6" t="s">
        <v>13151</v>
      </c>
      <c r="X2719" s="6" t="s">
        <v>81</v>
      </c>
      <c r="Y2719" s="21" t="s">
        <v>81</v>
      </c>
      <c r="Z2719" s="6" t="s">
        <v>81</v>
      </c>
      <c r="AA2719" s="6" t="s">
        <v>81</v>
      </c>
      <c r="AB2719" s="6" t="s">
        <v>81</v>
      </c>
      <c r="AC2719" s="6" t="s">
        <v>81</v>
      </c>
      <c r="AD2719" s="21" t="s">
        <v>81</v>
      </c>
      <c r="AE2719" s="6" t="s">
        <v>81</v>
      </c>
      <c r="AF2719" s="6" t="s">
        <v>81</v>
      </c>
      <c r="AG2719" s="6" t="s">
        <v>81</v>
      </c>
      <c r="AH2719" s="6" t="s">
        <v>17251</v>
      </c>
      <c r="AI2719" s="6" t="s">
        <v>81</v>
      </c>
      <c r="AJ2719" s="6" t="s">
        <v>18365</v>
      </c>
      <c r="AK2719" s="6" t="s">
        <v>18377</v>
      </c>
      <c r="AL2719" s="6" t="s">
        <v>18444</v>
      </c>
      <c r="AM2719" s="6" t="s">
        <v>19622</v>
      </c>
      <c r="AN2719" s="6" t="s">
        <v>19640</v>
      </c>
      <c r="AO2719" s="6" t="s">
        <v>20006</v>
      </c>
      <c r="AP2719" s="6" t="s">
        <v>81</v>
      </c>
      <c r="AQ2719" s="6" t="s">
        <v>81</v>
      </c>
      <c r="AR2719" s="6" t="s">
        <v>81</v>
      </c>
      <c r="AS2719" s="6" t="s">
        <v>81</v>
      </c>
      <c r="AT2719" s="6" t="s">
        <v>81</v>
      </c>
      <c r="AU2719" s="6" t="s">
        <v>81</v>
      </c>
      <c r="AV2719" s="6" t="s">
        <v>81</v>
      </c>
      <c r="AW2719" s="6" t="s">
        <v>81</v>
      </c>
      <c r="AX2719" s="6" t="s">
        <v>22533</v>
      </c>
      <c r="AY2719" s="6" t="s">
        <v>23562</v>
      </c>
      <c r="AZ2719" s="6" t="s">
        <v>81</v>
      </c>
      <c r="BA2719" s="6" t="s">
        <v>81</v>
      </c>
      <c r="BB2719" s="24" t="n">
        <v>1558</v>
      </c>
      <c r="BC2719" s="26"/>
      <c r="BD2719" s="26"/>
      <c r="BE2719" s="26"/>
      <c r="BF2719" s="26"/>
      <c r="BG2719" s="26"/>
      <c r="BH2719" s="26"/>
      <c r="BI2719" s="26"/>
      <c r="BJ2719" s="26"/>
      <c r="BK2719" s="26"/>
      <c r="BL2719" s="26"/>
      <c r="BM2719" s="26"/>
      <c r="BN2719" s="26"/>
      <c r="BO2719" s="26"/>
      <c r="BP2719" s="16" t="n">
        <v>45738</v>
      </c>
      <c r="BQ2719" s="28" t="str">
        <f>HYPERLINK("https://organic.ams.usda.gov/Integrity/Certificate.aspx?cid=52&amp;nopid=8430800056")</f>
        <v>https://organic.ams.usda.gov/Integrity/Certificate.aspx?cid=52&amp;nopid=8430800056</v>
      </c>
    </row>
    <row r="2720">
      <c r="A2720" t="s">
        <v>3</v>
      </c>
      <c r="B2720" s="6" t="s">
        <v>8</v>
      </c>
      <c r="C2720" s="6" t="s">
        <v>55</v>
      </c>
      <c r="D2720" s="6" t="s">
        <v>101</v>
      </c>
      <c r="E2720" s="10" t="s">
        <v>2861</v>
      </c>
      <c r="F2720" s="6" t="s">
        <v>5564</v>
      </c>
      <c r="G2720" s="6" t="s">
        <v>81</v>
      </c>
      <c r="H2720" s="6" t="s">
        <v>7562</v>
      </c>
      <c r="I2720" s="6" t="s">
        <v>8599</v>
      </c>
      <c r="J2720" s="6" t="s">
        <v>10873</v>
      </c>
      <c r="K2720" s="6" t="s">
        <v>10886</v>
      </c>
      <c r="L2720" s="16" t="n">
        <v>39983</v>
      </c>
      <c r="M2720" s="18" t="s">
        <v>81</v>
      </c>
      <c r="N2720" s="6" t="s">
        <v>10886</v>
      </c>
      <c r="O2720" s="16" t="n">
        <v>39983</v>
      </c>
      <c r="P2720" s="6" t="s">
        <v>12410</v>
      </c>
      <c r="Q2720" s="6" t="s">
        <v>81</v>
      </c>
      <c r="R2720" s="6" t="s">
        <v>81</v>
      </c>
      <c r="S2720" s="6" t="s">
        <v>10886</v>
      </c>
      <c r="T2720" s="16" t="n">
        <v>39983</v>
      </c>
      <c r="U2720" s="6" t="s">
        <v>13229</v>
      </c>
      <c r="V2720" s="6" t="s">
        <v>81</v>
      </c>
      <c r="W2720" s="6" t="s">
        <v>81</v>
      </c>
      <c r="X2720" s="6" t="s">
        <v>81</v>
      </c>
      <c r="Y2720" s="21" t="s">
        <v>81</v>
      </c>
      <c r="Z2720" s="6" t="s">
        <v>81</v>
      </c>
      <c r="AA2720" s="6" t="s">
        <v>81</v>
      </c>
      <c r="AB2720" s="6" t="s">
        <v>81</v>
      </c>
      <c r="AC2720" s="6" t="s">
        <v>81</v>
      </c>
      <c r="AD2720" s="21" t="s">
        <v>81</v>
      </c>
      <c r="AE2720" s="6" t="s">
        <v>81</v>
      </c>
      <c r="AF2720" s="6" t="s">
        <v>81</v>
      </c>
      <c r="AG2720" s="6" t="s">
        <v>81</v>
      </c>
      <c r="AH2720" s="6" t="s">
        <v>17252</v>
      </c>
      <c r="AI2720" s="6" t="s">
        <v>81</v>
      </c>
      <c r="AJ2720" s="6" t="s">
        <v>18141</v>
      </c>
      <c r="AK2720" s="6" t="s">
        <v>18381</v>
      </c>
      <c r="AL2720" s="6" t="s">
        <v>18444</v>
      </c>
      <c r="AM2720" s="6" t="s">
        <v>19343</v>
      </c>
      <c r="AN2720" s="6" t="s">
        <v>19658</v>
      </c>
      <c r="AO2720" s="6" t="s">
        <v>19752</v>
      </c>
      <c r="AP2720" s="6" t="s">
        <v>81</v>
      </c>
      <c r="AQ2720" s="6" t="s">
        <v>81</v>
      </c>
      <c r="AR2720" s="6" t="s">
        <v>81</v>
      </c>
      <c r="AS2720" s="6" t="s">
        <v>81</v>
      </c>
      <c r="AT2720" s="6" t="s">
        <v>81</v>
      </c>
      <c r="AU2720" s="6" t="s">
        <v>81</v>
      </c>
      <c r="AV2720" s="6" t="s">
        <v>81</v>
      </c>
      <c r="AW2720" s="6" t="s">
        <v>81</v>
      </c>
      <c r="AX2720" s="6" t="s">
        <v>81</v>
      </c>
      <c r="AY2720" s="6" t="s">
        <v>81</v>
      </c>
      <c r="AZ2720" s="6" t="s">
        <v>81</v>
      </c>
      <c r="BA2720" s="6" t="s">
        <v>81</v>
      </c>
      <c r="BB2720" s="24" t="n">
        <v>312</v>
      </c>
      <c r="BC2720" s="26"/>
      <c r="BD2720" s="26"/>
      <c r="BE2720" s="26"/>
      <c r="BF2720" s="26"/>
      <c r="BG2720" s="26"/>
      <c r="BH2720" s="26"/>
      <c r="BI2720" s="26"/>
      <c r="BJ2720" s="26"/>
      <c r="BK2720" s="26"/>
      <c r="BL2720" s="26"/>
      <c r="BM2720" s="26"/>
      <c r="BN2720" s="26"/>
      <c r="BO2720" s="26"/>
      <c r="BP2720" s="16" t="n">
        <v>45292</v>
      </c>
      <c r="BQ2720" s="28" t="str">
        <f>HYPERLINK("https://organic.ams.usda.gov/Integrity/Certificate.aspx?cid=45&amp;nopid=9950003390")</f>
        <v>https://organic.ams.usda.gov/Integrity/Certificate.aspx?cid=45&amp;nopid=9950003390</v>
      </c>
    </row>
    <row r="2721">
      <c r="A2721" t="s">
        <v>3</v>
      </c>
      <c r="B2721" s="6" t="s">
        <v>35</v>
      </c>
      <c r="C2721" s="6" t="s">
        <v>82</v>
      </c>
      <c r="D2721" s="6" t="s">
        <v>127</v>
      </c>
      <c r="E2721" s="10" t="s">
        <v>2862</v>
      </c>
      <c r="F2721" s="6" t="s">
        <v>5565</v>
      </c>
      <c r="G2721" s="6" t="s">
        <v>81</v>
      </c>
      <c r="H2721" s="6" t="s">
        <v>6575</v>
      </c>
      <c r="I2721" s="6" t="s">
        <v>8651</v>
      </c>
      <c r="J2721" s="6" t="s">
        <v>10874</v>
      </c>
      <c r="K2721" s="6" t="s">
        <v>10886</v>
      </c>
      <c r="L2721" s="16" t="n">
        <v>41821</v>
      </c>
      <c r="M2721" s="16" t="n">
        <v>45798</v>
      </c>
      <c r="N2721" s="6" t="s">
        <v>10886</v>
      </c>
      <c r="O2721" s="16" t="n">
        <v>41821</v>
      </c>
      <c r="P2721" s="6" t="s">
        <v>12411</v>
      </c>
      <c r="Q2721" s="6" t="s">
        <v>81</v>
      </c>
      <c r="R2721" s="6" t="s">
        <v>13152</v>
      </c>
      <c r="S2721" s="6" t="s">
        <v>10886</v>
      </c>
      <c r="T2721" s="16" t="n">
        <v>41821</v>
      </c>
      <c r="U2721" s="6" t="s">
        <v>13320</v>
      </c>
      <c r="V2721" s="6" t="s">
        <v>81</v>
      </c>
      <c r="W2721" s="6" t="s">
        <v>13152</v>
      </c>
      <c r="X2721" s="6" t="s">
        <v>81</v>
      </c>
      <c r="Y2721" s="21" t="s">
        <v>81</v>
      </c>
      <c r="Z2721" s="6" t="s">
        <v>81</v>
      </c>
      <c r="AA2721" s="6" t="s">
        <v>81</v>
      </c>
      <c r="AB2721" s="6" t="s">
        <v>81</v>
      </c>
      <c r="AC2721" s="6" t="s">
        <v>81</v>
      </c>
      <c r="AD2721" s="21" t="s">
        <v>81</v>
      </c>
      <c r="AE2721" s="6" t="s">
        <v>81</v>
      </c>
      <c r="AF2721" s="6" t="s">
        <v>81</v>
      </c>
      <c r="AG2721" s="6" t="s">
        <v>81</v>
      </c>
      <c r="AH2721" s="6" t="s">
        <v>17253</v>
      </c>
      <c r="AI2721" s="6" t="s">
        <v>81</v>
      </c>
      <c r="AJ2721" s="6" t="s">
        <v>17703</v>
      </c>
      <c r="AK2721" s="6" t="s">
        <v>18405</v>
      </c>
      <c r="AL2721" s="6" t="s">
        <v>18444</v>
      </c>
      <c r="AM2721" s="6" t="s">
        <v>19623</v>
      </c>
      <c r="AN2721" s="6" t="s">
        <v>19636</v>
      </c>
      <c r="AO2721" s="6" t="s">
        <v>20069</v>
      </c>
      <c r="AP2721" s="6" t="s">
        <v>17253</v>
      </c>
      <c r="AQ2721" s="6" t="s">
        <v>81</v>
      </c>
      <c r="AR2721" s="6" t="s">
        <v>17703</v>
      </c>
      <c r="AS2721" s="6" t="s">
        <v>18405</v>
      </c>
      <c r="AT2721" s="6" t="s">
        <v>18444</v>
      </c>
      <c r="AU2721" s="6" t="s">
        <v>19623</v>
      </c>
      <c r="AV2721" s="6" t="s">
        <v>81</v>
      </c>
      <c r="AW2721" s="6" t="s">
        <v>81</v>
      </c>
      <c r="AX2721" s="6" t="s">
        <v>22534</v>
      </c>
      <c r="AY2721" s="6" t="s">
        <v>23563</v>
      </c>
      <c r="AZ2721" s="6" t="s">
        <v>23813</v>
      </c>
      <c r="BA2721" s="6" t="s">
        <v>81</v>
      </c>
      <c r="BB2721" s="24" t="n">
        <v>280</v>
      </c>
      <c r="BC2721" s="26"/>
      <c r="BD2721" s="26"/>
      <c r="BE2721" s="26"/>
      <c r="BF2721" s="26"/>
      <c r="BG2721" s="26"/>
      <c r="BH2721" s="26"/>
      <c r="BI2721" s="26"/>
      <c r="BJ2721" s="26"/>
      <c r="BK2721" s="26"/>
      <c r="BL2721" s="26"/>
      <c r="BM2721" s="26"/>
      <c r="BN2721" s="26"/>
      <c r="BO2721" s="26"/>
      <c r="BP2721" s="16" t="n">
        <v>45720</v>
      </c>
      <c r="BQ2721" s="28" t="str">
        <f>HYPERLINK("https://organic.ams.usda.gov/Integrity/Certificate.aspx?cid=47&amp;nopid=7142074520")</f>
        <v>https://organic.ams.usda.gov/Integrity/Certificate.aspx?cid=47&amp;nopid=7142074520</v>
      </c>
    </row>
    <row r="2722">
      <c r="A2722" t="s">
        <v>3</v>
      </c>
      <c r="B2722" s="6" t="s">
        <v>8</v>
      </c>
      <c r="C2722" s="6" t="s">
        <v>55</v>
      </c>
      <c r="D2722" s="6" t="s">
        <v>101</v>
      </c>
      <c r="E2722" s="10" t="s">
        <v>2863</v>
      </c>
      <c r="F2722" s="6" t="s">
        <v>5566</v>
      </c>
      <c r="G2722" s="6" t="s">
        <v>81</v>
      </c>
      <c r="H2722" s="6" t="s">
        <v>8364</v>
      </c>
      <c r="I2722" s="6" t="s">
        <v>9653</v>
      </c>
      <c r="J2722" s="6" t="s">
        <v>10875</v>
      </c>
      <c r="K2722" s="6" t="s">
        <v>10886</v>
      </c>
      <c r="L2722" s="16" t="n">
        <v>36425</v>
      </c>
      <c r="M2722" s="16" t="n">
        <v>45383</v>
      </c>
      <c r="N2722" s="6" t="s">
        <v>10886</v>
      </c>
      <c r="O2722" s="16" t="n">
        <v>36425</v>
      </c>
      <c r="P2722" s="6" t="s">
        <v>12412</v>
      </c>
      <c r="Q2722" s="6" t="s">
        <v>81</v>
      </c>
      <c r="R2722" s="6" t="s">
        <v>8364</v>
      </c>
      <c r="S2722" s="6" t="s">
        <v>10886</v>
      </c>
      <c r="T2722" s="16" t="n">
        <v>36425</v>
      </c>
      <c r="U2722" s="6" t="s">
        <v>13179</v>
      </c>
      <c r="V2722" s="6" t="s">
        <v>81</v>
      </c>
      <c r="W2722" s="6" t="s">
        <v>8364</v>
      </c>
      <c r="X2722" s="6" t="s">
        <v>81</v>
      </c>
      <c r="Y2722" s="21" t="s">
        <v>81</v>
      </c>
      <c r="Z2722" s="6" t="s">
        <v>81</v>
      </c>
      <c r="AA2722" s="6" t="s">
        <v>81</v>
      </c>
      <c r="AB2722" s="6" t="s">
        <v>81</v>
      </c>
      <c r="AC2722" s="6" t="s">
        <v>81</v>
      </c>
      <c r="AD2722" s="21" t="s">
        <v>81</v>
      </c>
      <c r="AE2722" s="6" t="s">
        <v>81</v>
      </c>
      <c r="AF2722" s="6" t="s">
        <v>81</v>
      </c>
      <c r="AG2722" s="6" t="s">
        <v>81</v>
      </c>
      <c r="AH2722" s="6" t="s">
        <v>17254</v>
      </c>
      <c r="AI2722" s="6" t="s">
        <v>81</v>
      </c>
      <c r="AJ2722" s="6" t="s">
        <v>17377</v>
      </c>
      <c r="AK2722" s="6" t="s">
        <v>18377</v>
      </c>
      <c r="AL2722" s="6" t="s">
        <v>18444</v>
      </c>
      <c r="AM2722" s="6" t="s">
        <v>18530</v>
      </c>
      <c r="AN2722" s="6" t="s">
        <v>19638</v>
      </c>
      <c r="AO2722" s="6" t="s">
        <v>19724</v>
      </c>
      <c r="AP2722" s="6" t="s">
        <v>81</v>
      </c>
      <c r="AQ2722" s="6" t="s">
        <v>81</v>
      </c>
      <c r="AR2722" s="6" t="s">
        <v>81</v>
      </c>
      <c r="AS2722" s="6" t="s">
        <v>81</v>
      </c>
      <c r="AT2722" s="6" t="s">
        <v>81</v>
      </c>
      <c r="AU2722" s="6" t="s">
        <v>81</v>
      </c>
      <c r="AV2722" s="6" t="s">
        <v>81</v>
      </c>
      <c r="AW2722" s="6" t="s">
        <v>81</v>
      </c>
      <c r="AX2722" s="6" t="s">
        <v>81</v>
      </c>
      <c r="AY2722" s="6" t="s">
        <v>23564</v>
      </c>
      <c r="AZ2722" s="6" t="s">
        <v>81</v>
      </c>
      <c r="BA2722" s="6" t="s">
        <v>23824</v>
      </c>
      <c r="BB2722" s="24" t="n">
        <v>212</v>
      </c>
      <c r="BC2722" s="26"/>
      <c r="BD2722" s="26"/>
      <c r="BE2722" s="26"/>
      <c r="BF2722" s="26" t="s">
        <v>23900</v>
      </c>
      <c r="BG2722" s="26"/>
      <c r="BH2722" s="26"/>
      <c r="BI2722" s="26"/>
      <c r="BJ2722" s="26"/>
      <c r="BK2722" s="26"/>
      <c r="BL2722" s="26"/>
      <c r="BM2722" s="26"/>
      <c r="BN2722" s="26"/>
      <c r="BO2722" s="26"/>
      <c r="BP2722" s="16" t="n">
        <v>45443</v>
      </c>
      <c r="BQ2722" s="28" t="str">
        <f>HYPERLINK("https://organic.ams.usda.gov/Integrity/Certificate.aspx?cid=45&amp;nopid=9950000066")</f>
        <v>https://organic.ams.usda.gov/Integrity/Certificate.aspx?cid=45&amp;nopid=9950000066</v>
      </c>
    </row>
    <row r="2723">
      <c r="A2723" t="s">
        <v>3</v>
      </c>
      <c r="B2723" s="6" t="s">
        <v>12</v>
      </c>
      <c r="C2723" s="6" t="s">
        <v>59</v>
      </c>
      <c r="D2723" s="6" t="s">
        <v>105</v>
      </c>
      <c r="E2723" s="10" t="s">
        <v>2864</v>
      </c>
      <c r="F2723" s="6" t="s">
        <v>5567</v>
      </c>
      <c r="G2723" s="6" t="s">
        <v>81</v>
      </c>
      <c r="H2723" s="6" t="s">
        <v>8365</v>
      </c>
      <c r="I2723" s="6" t="s">
        <v>8432</v>
      </c>
      <c r="J2723" s="6" t="s">
        <v>10086</v>
      </c>
      <c r="K2723" s="6" t="s">
        <v>10886</v>
      </c>
      <c r="L2723" s="16" t="n">
        <v>42522</v>
      </c>
      <c r="M2723" s="16" t="n">
        <v>45717</v>
      </c>
      <c r="N2723" s="6" t="s">
        <v>10886</v>
      </c>
      <c r="O2723" s="16" t="n">
        <v>42522</v>
      </c>
      <c r="P2723" s="6" t="s">
        <v>11031</v>
      </c>
      <c r="Q2723" s="6" t="s">
        <v>81</v>
      </c>
      <c r="R2723" s="6" t="s">
        <v>81</v>
      </c>
      <c r="S2723" s="6" t="s">
        <v>10886</v>
      </c>
      <c r="T2723" s="16" t="n">
        <v>42522</v>
      </c>
      <c r="U2723" s="6" t="s">
        <v>13957</v>
      </c>
      <c r="V2723" s="6" t="s">
        <v>81</v>
      </c>
      <c r="W2723" s="6" t="s">
        <v>81</v>
      </c>
      <c r="X2723" s="6" t="s">
        <v>81</v>
      </c>
      <c r="Y2723" s="21" t="s">
        <v>81</v>
      </c>
      <c r="Z2723" s="6" t="s">
        <v>81</v>
      </c>
      <c r="AA2723" s="6" t="s">
        <v>81</v>
      </c>
      <c r="AB2723" s="6" t="s">
        <v>81</v>
      </c>
      <c r="AC2723" s="6" t="s">
        <v>81</v>
      </c>
      <c r="AD2723" s="21" t="s">
        <v>81</v>
      </c>
      <c r="AE2723" s="6" t="s">
        <v>81</v>
      </c>
      <c r="AF2723" s="6" t="s">
        <v>81</v>
      </c>
      <c r="AG2723" s="6" t="s">
        <v>81</v>
      </c>
      <c r="AH2723" s="6" t="s">
        <v>17255</v>
      </c>
      <c r="AI2723" s="6" t="s">
        <v>81</v>
      </c>
      <c r="AJ2723" s="6" t="s">
        <v>17885</v>
      </c>
      <c r="AK2723" s="6" t="s">
        <v>17712</v>
      </c>
      <c r="AL2723" s="6" t="s">
        <v>18444</v>
      </c>
      <c r="AM2723" s="6" t="s">
        <v>19070</v>
      </c>
      <c r="AN2723" s="6" t="s">
        <v>19652</v>
      </c>
      <c r="AO2723" s="6" t="s">
        <v>19742</v>
      </c>
      <c r="AP2723" s="6" t="s">
        <v>17255</v>
      </c>
      <c r="AQ2723" s="6" t="s">
        <v>81</v>
      </c>
      <c r="AR2723" s="6" t="s">
        <v>17885</v>
      </c>
      <c r="AS2723" s="6" t="s">
        <v>17712</v>
      </c>
      <c r="AT2723" s="6" t="s">
        <v>18444</v>
      </c>
      <c r="AU2723" s="6" t="s">
        <v>19070</v>
      </c>
      <c r="AV2723" s="6" t="s">
        <v>81</v>
      </c>
      <c r="AW2723" s="6" t="s">
        <v>81</v>
      </c>
      <c r="AX2723" s="6" t="s">
        <v>22535</v>
      </c>
      <c r="AY2723" s="6" t="s">
        <v>23565</v>
      </c>
      <c r="AZ2723" s="6" t="s">
        <v>81</v>
      </c>
      <c r="BA2723" s="6" t="s">
        <v>81</v>
      </c>
      <c r="BB2723" s="24" t="n">
        <v>141</v>
      </c>
      <c r="BC2723" s="26"/>
      <c r="BD2723" s="26"/>
      <c r="BE2723" s="26"/>
      <c r="BF2723" s="26"/>
      <c r="BG2723" s="26"/>
      <c r="BH2723" s="26"/>
      <c r="BI2723" s="26"/>
      <c r="BJ2723" s="26"/>
      <c r="BK2723" s="26"/>
      <c r="BL2723" s="26"/>
      <c r="BM2723" s="26"/>
      <c r="BN2723" s="26"/>
      <c r="BO2723" s="26"/>
      <c r="BP2723" s="16" t="n">
        <v>45720</v>
      </c>
      <c r="BQ2723" s="28" t="str">
        <f>HYPERLINK("https://organic.ams.usda.gov/Integrity/Certificate.aspx?cid=68&amp;nopid=8210002870")</f>
        <v>https://organic.ams.usda.gov/Integrity/Certificate.aspx?cid=68&amp;nopid=8210002870</v>
      </c>
    </row>
    <row r="2724">
      <c r="A2724" t="s">
        <v>3</v>
      </c>
      <c r="B2724" s="6" t="s">
        <v>35</v>
      </c>
      <c r="C2724" s="6" t="s">
        <v>82</v>
      </c>
      <c r="D2724" s="6" t="s">
        <v>127</v>
      </c>
      <c r="E2724" s="10" t="s">
        <v>2865</v>
      </c>
      <c r="F2724" s="6" t="s">
        <v>5568</v>
      </c>
      <c r="G2724" s="6" t="s">
        <v>81</v>
      </c>
      <c r="H2724" s="6" t="s">
        <v>8366</v>
      </c>
      <c r="I2724" s="6" t="s">
        <v>9215</v>
      </c>
      <c r="J2724" s="6" t="s">
        <v>10876</v>
      </c>
      <c r="K2724" s="6" t="s">
        <v>10886</v>
      </c>
      <c r="L2724" s="16" t="n">
        <v>37512</v>
      </c>
      <c r="M2724" s="16" t="n">
        <v>46127</v>
      </c>
      <c r="N2724" s="6" t="s">
        <v>10886</v>
      </c>
      <c r="O2724" s="16" t="n">
        <v>37512</v>
      </c>
      <c r="P2724" s="6" t="s">
        <v>11101</v>
      </c>
      <c r="Q2724" s="6" t="s">
        <v>81</v>
      </c>
      <c r="R2724" s="6" t="s">
        <v>13153</v>
      </c>
      <c r="S2724" s="6" t="s">
        <v>10886</v>
      </c>
      <c r="T2724" s="16" t="n">
        <v>37512</v>
      </c>
      <c r="U2724" s="6" t="s">
        <v>13958</v>
      </c>
      <c r="V2724" s="6" t="s">
        <v>81</v>
      </c>
      <c r="W2724" s="6" t="s">
        <v>13153</v>
      </c>
      <c r="X2724" s="6" t="s">
        <v>81</v>
      </c>
      <c r="Y2724" s="21" t="s">
        <v>81</v>
      </c>
      <c r="Z2724" s="6" t="s">
        <v>81</v>
      </c>
      <c r="AA2724" s="6" t="s">
        <v>81</v>
      </c>
      <c r="AB2724" s="6" t="s">
        <v>81</v>
      </c>
      <c r="AC2724" s="6" t="s">
        <v>81</v>
      </c>
      <c r="AD2724" s="21" t="s">
        <v>81</v>
      </c>
      <c r="AE2724" s="6" t="s">
        <v>81</v>
      </c>
      <c r="AF2724" s="6" t="s">
        <v>81</v>
      </c>
      <c r="AG2724" s="6" t="s">
        <v>81</v>
      </c>
      <c r="AH2724" s="6" t="s">
        <v>17256</v>
      </c>
      <c r="AI2724" s="6" t="s">
        <v>81</v>
      </c>
      <c r="AJ2724" s="6" t="s">
        <v>9562</v>
      </c>
      <c r="AK2724" s="6" t="s">
        <v>18405</v>
      </c>
      <c r="AL2724" s="6" t="s">
        <v>18444</v>
      </c>
      <c r="AM2724" s="6" t="s">
        <v>19445</v>
      </c>
      <c r="AN2724" s="6" t="s">
        <v>19683</v>
      </c>
      <c r="AO2724" s="6" t="s">
        <v>20017</v>
      </c>
      <c r="AP2724" s="6" t="s">
        <v>20468</v>
      </c>
      <c r="AQ2724" s="6" t="s">
        <v>81</v>
      </c>
      <c r="AR2724" s="6" t="s">
        <v>9562</v>
      </c>
      <c r="AS2724" s="6" t="s">
        <v>18405</v>
      </c>
      <c r="AT2724" s="6" t="s">
        <v>18444</v>
      </c>
      <c r="AU2724" s="6" t="s">
        <v>19445</v>
      </c>
      <c r="AV2724" s="6" t="s">
        <v>81</v>
      </c>
      <c r="AW2724" s="6" t="s">
        <v>81</v>
      </c>
      <c r="AX2724" s="6" t="s">
        <v>22536</v>
      </c>
      <c r="AY2724" s="6" t="s">
        <v>81</v>
      </c>
      <c r="AZ2724" s="6" t="s">
        <v>81</v>
      </c>
      <c r="BA2724" s="6" t="s">
        <v>81</v>
      </c>
      <c r="BB2724" s="24" t="n">
        <v>210</v>
      </c>
      <c r="BC2724" s="26"/>
      <c r="BD2724" s="26"/>
      <c r="BE2724" s="26"/>
      <c r="BF2724" s="26"/>
      <c r="BG2724" s="26"/>
      <c r="BH2724" s="26"/>
      <c r="BI2724" s="26"/>
      <c r="BJ2724" s="26"/>
      <c r="BK2724" s="26"/>
      <c r="BL2724" s="26"/>
      <c r="BM2724" s="26"/>
      <c r="BN2724" s="26"/>
      <c r="BO2724" s="26"/>
      <c r="BP2724" s="16" t="n">
        <v>45738</v>
      </c>
      <c r="BQ2724" s="28" t="str">
        <f>HYPERLINK("https://organic.ams.usda.gov/Integrity/Certificate.aspx?cid=47&amp;nopid=7142071165")</f>
        <v>https://organic.ams.usda.gov/Integrity/Certificate.aspx?cid=47&amp;nopid=7142071165</v>
      </c>
    </row>
    <row r="2725">
      <c r="A2725" t="s">
        <v>3</v>
      </c>
      <c r="B2725" s="6" t="s">
        <v>7</v>
      </c>
      <c r="C2725" s="6" t="s">
        <v>54</v>
      </c>
      <c r="D2725" s="6" t="s">
        <v>100</v>
      </c>
      <c r="E2725" s="10" t="s">
        <v>2866</v>
      </c>
      <c r="F2725" s="6" t="s">
        <v>5569</v>
      </c>
      <c r="G2725" s="6" t="s">
        <v>81</v>
      </c>
      <c r="H2725" s="6" t="s">
        <v>8367</v>
      </c>
      <c r="I2725" s="6" t="s">
        <v>8516</v>
      </c>
      <c r="J2725" s="6" t="s">
        <v>9671</v>
      </c>
      <c r="K2725" s="6" t="s">
        <v>10886</v>
      </c>
      <c r="L2725" s="16" t="n">
        <v>43691</v>
      </c>
      <c r="M2725" s="16" t="n">
        <v>45716</v>
      </c>
      <c r="N2725" s="6" t="s">
        <v>10886</v>
      </c>
      <c r="O2725" s="16" t="n">
        <v>43691</v>
      </c>
      <c r="P2725" s="6" t="s">
        <v>11016</v>
      </c>
      <c r="Q2725" s="6" t="s">
        <v>81</v>
      </c>
      <c r="R2725" s="6" t="s">
        <v>81</v>
      </c>
      <c r="S2725" s="6" t="s">
        <v>10886</v>
      </c>
      <c r="T2725" s="16" t="n">
        <v>43982</v>
      </c>
      <c r="U2725" s="6" t="s">
        <v>13169</v>
      </c>
      <c r="V2725" s="6" t="s">
        <v>81</v>
      </c>
      <c r="W2725" s="6" t="s">
        <v>81</v>
      </c>
      <c r="X2725" s="6" t="s">
        <v>81</v>
      </c>
      <c r="Y2725" s="21" t="s">
        <v>81</v>
      </c>
      <c r="Z2725" s="6" t="s">
        <v>81</v>
      </c>
      <c r="AA2725" s="6" t="s">
        <v>81</v>
      </c>
      <c r="AB2725" s="6" t="s">
        <v>81</v>
      </c>
      <c r="AC2725" s="6" t="s">
        <v>81</v>
      </c>
      <c r="AD2725" s="21" t="s">
        <v>81</v>
      </c>
      <c r="AE2725" s="6" t="s">
        <v>81</v>
      </c>
      <c r="AF2725" s="6" t="s">
        <v>81</v>
      </c>
      <c r="AG2725" s="6" t="s">
        <v>81</v>
      </c>
      <c r="AH2725" s="6" t="s">
        <v>17257</v>
      </c>
      <c r="AI2725" s="6" t="s">
        <v>81</v>
      </c>
      <c r="AJ2725" s="6" t="s">
        <v>17490</v>
      </c>
      <c r="AK2725" s="6" t="s">
        <v>17712</v>
      </c>
      <c r="AL2725" s="6" t="s">
        <v>18444</v>
      </c>
      <c r="AM2725" s="6" t="s">
        <v>18650</v>
      </c>
      <c r="AN2725" s="6" t="s">
        <v>19635</v>
      </c>
      <c r="AO2725" s="6" t="s">
        <v>19795</v>
      </c>
      <c r="AP2725" s="6" t="s">
        <v>17257</v>
      </c>
      <c r="AQ2725" s="6" t="s">
        <v>81</v>
      </c>
      <c r="AR2725" s="6" t="s">
        <v>17490</v>
      </c>
      <c r="AS2725" s="6" t="s">
        <v>17712</v>
      </c>
      <c r="AT2725" s="6" t="s">
        <v>18444</v>
      </c>
      <c r="AU2725" s="6" t="s">
        <v>18650</v>
      </c>
      <c r="AV2725" s="6" t="s">
        <v>81</v>
      </c>
      <c r="AW2725" s="6" t="s">
        <v>81</v>
      </c>
      <c r="AX2725" s="6" t="s">
        <v>81</v>
      </c>
      <c r="AY2725" s="6" t="s">
        <v>81</v>
      </c>
      <c r="AZ2725" s="6" t="s">
        <v>81</v>
      </c>
      <c r="BA2725" s="6" t="s">
        <v>81</v>
      </c>
      <c r="BB2725" s="24" t="n">
        <v>74</v>
      </c>
      <c r="BC2725" s="26"/>
      <c r="BD2725" s="26"/>
      <c r="BE2725" s="26"/>
      <c r="BF2725" s="26" t="s">
        <v>23900</v>
      </c>
      <c r="BG2725" s="26"/>
      <c r="BH2725" s="26"/>
      <c r="BI2725" s="26"/>
      <c r="BJ2725" s="26"/>
      <c r="BK2725" s="26"/>
      <c r="BL2725" s="26"/>
      <c r="BM2725" s="26"/>
      <c r="BN2725" s="26"/>
      <c r="BO2725" s="26"/>
      <c r="BP2725" s="16" t="n">
        <v>45693</v>
      </c>
      <c r="BQ2725" s="28" t="str">
        <f>HYPERLINK("https://organic.ams.usda.gov/Integrity/Certificate.aspx?cid=57&amp;nopid=3252019075")</f>
        <v>https://organic.ams.usda.gov/Integrity/Certificate.aspx?cid=57&amp;nopid=3252019075</v>
      </c>
    </row>
    <row r="2726">
      <c r="A2726" t="s">
        <v>3</v>
      </c>
      <c r="B2726" s="6" t="s">
        <v>8</v>
      </c>
      <c r="C2726" s="6" t="s">
        <v>55</v>
      </c>
      <c r="D2726" s="6" t="s">
        <v>101</v>
      </c>
      <c r="E2726" s="10" t="s">
        <v>2867</v>
      </c>
      <c r="F2726" s="6" t="s">
        <v>5570</v>
      </c>
      <c r="G2726" s="6" t="s">
        <v>81</v>
      </c>
      <c r="H2726" s="6" t="s">
        <v>8368</v>
      </c>
      <c r="I2726" s="6" t="s">
        <v>9654</v>
      </c>
      <c r="J2726" s="6" t="s">
        <v>10877</v>
      </c>
      <c r="K2726" s="6" t="s">
        <v>10886</v>
      </c>
      <c r="L2726" s="16" t="n">
        <v>44804</v>
      </c>
      <c r="M2726" s="16" t="n">
        <v>45748</v>
      </c>
      <c r="N2726" s="6" t="s">
        <v>10886</v>
      </c>
      <c r="O2726" s="16" t="n">
        <v>44804</v>
      </c>
      <c r="P2726" s="6" t="s">
        <v>12413</v>
      </c>
      <c r="Q2726" s="6" t="s">
        <v>81</v>
      </c>
      <c r="R2726" s="6" t="s">
        <v>8368</v>
      </c>
      <c r="S2726" s="6" t="s">
        <v>10886</v>
      </c>
      <c r="T2726" s="16" t="n">
        <v>44804</v>
      </c>
      <c r="U2726" s="6" t="s">
        <v>13242</v>
      </c>
      <c r="V2726" s="6" t="s">
        <v>81</v>
      </c>
      <c r="W2726" s="6" t="s">
        <v>8368</v>
      </c>
      <c r="X2726" s="6" t="s">
        <v>81</v>
      </c>
      <c r="Y2726" s="21" t="s">
        <v>81</v>
      </c>
      <c r="Z2726" s="6" t="s">
        <v>81</v>
      </c>
      <c r="AA2726" s="6" t="s">
        <v>81</v>
      </c>
      <c r="AB2726" s="6" t="s">
        <v>81</v>
      </c>
      <c r="AC2726" s="6" t="s">
        <v>81</v>
      </c>
      <c r="AD2726" s="21" t="s">
        <v>81</v>
      </c>
      <c r="AE2726" s="6" t="s">
        <v>81</v>
      </c>
      <c r="AF2726" s="6" t="s">
        <v>81</v>
      </c>
      <c r="AG2726" s="6" t="s">
        <v>81</v>
      </c>
      <c r="AH2726" s="6" t="s">
        <v>17258</v>
      </c>
      <c r="AI2726" s="6" t="s">
        <v>81</v>
      </c>
      <c r="AJ2726" s="6" t="s">
        <v>18366</v>
      </c>
      <c r="AK2726" s="6" t="s">
        <v>18391</v>
      </c>
      <c r="AL2726" s="6" t="s">
        <v>18444</v>
      </c>
      <c r="AM2726" s="6" t="s">
        <v>19624</v>
      </c>
      <c r="AN2726" s="6" t="s">
        <v>19707</v>
      </c>
      <c r="AO2726" s="6" t="s">
        <v>20061</v>
      </c>
      <c r="AP2726" s="6" t="s">
        <v>81</v>
      </c>
      <c r="AQ2726" s="6" t="s">
        <v>81</v>
      </c>
      <c r="AR2726" s="6" t="s">
        <v>81</v>
      </c>
      <c r="AS2726" s="6" t="s">
        <v>81</v>
      </c>
      <c r="AT2726" s="6" t="s">
        <v>81</v>
      </c>
      <c r="AU2726" s="6" t="s">
        <v>81</v>
      </c>
      <c r="AV2726" s="6" t="s">
        <v>81</v>
      </c>
      <c r="AW2726" s="6" t="s">
        <v>81</v>
      </c>
      <c r="AX2726" s="6" t="s">
        <v>22537</v>
      </c>
      <c r="AY2726" s="6" t="s">
        <v>23566</v>
      </c>
      <c r="AZ2726" s="6" t="s">
        <v>81</v>
      </c>
      <c r="BA2726" s="6" t="s">
        <v>23819</v>
      </c>
      <c r="BB2726" s="24" t="n">
        <v>525</v>
      </c>
      <c r="BC2726" s="26"/>
      <c r="BD2726" s="26"/>
      <c r="BE2726" s="26"/>
      <c r="BF2726" s="26" t="s">
        <v>23900</v>
      </c>
      <c r="BG2726" s="26"/>
      <c r="BH2726" s="26"/>
      <c r="BI2726" s="26"/>
      <c r="BJ2726" s="26"/>
      <c r="BK2726" s="26"/>
      <c r="BL2726" s="26"/>
      <c r="BM2726" s="26"/>
      <c r="BN2726" s="26"/>
      <c r="BO2726" s="26"/>
      <c r="BP2726" s="16" t="n">
        <v>45646</v>
      </c>
      <c r="BQ2726" s="28" t="str">
        <f>HYPERLINK("https://organic.ams.usda.gov/Integrity/Certificate.aspx?cid=45&amp;nopid=9950012723")</f>
        <v>https://organic.ams.usda.gov/Integrity/Certificate.aspx?cid=45&amp;nopid=9950012723</v>
      </c>
    </row>
    <row r="2727">
      <c r="A2727" t="s">
        <v>3</v>
      </c>
      <c r="B2727" s="6" t="s">
        <v>7</v>
      </c>
      <c r="C2727" s="6" t="s">
        <v>54</v>
      </c>
      <c r="D2727" s="6" t="s">
        <v>100</v>
      </c>
      <c r="E2727" s="10" t="s">
        <v>2868</v>
      </c>
      <c r="F2727" s="6" t="s">
        <v>5571</v>
      </c>
      <c r="G2727" s="6" t="s">
        <v>81</v>
      </c>
      <c r="H2727" s="6" t="s">
        <v>8369</v>
      </c>
      <c r="I2727" s="6" t="s">
        <v>8552</v>
      </c>
      <c r="J2727" s="6" t="s">
        <v>10136</v>
      </c>
      <c r="K2727" s="6" t="s">
        <v>10886</v>
      </c>
      <c r="L2727" s="16" t="n">
        <v>38993</v>
      </c>
      <c r="M2727" s="16" t="n">
        <v>45716</v>
      </c>
      <c r="N2727" s="6" t="s">
        <v>10886</v>
      </c>
      <c r="O2727" s="16" t="n">
        <v>38993</v>
      </c>
      <c r="P2727" s="6" t="s">
        <v>10944</v>
      </c>
      <c r="Q2727" s="6" t="s">
        <v>81</v>
      </c>
      <c r="R2727" s="6" t="s">
        <v>81</v>
      </c>
      <c r="S2727" s="6" t="s">
        <v>10886</v>
      </c>
      <c r="T2727" s="16" t="n">
        <v>40482</v>
      </c>
      <c r="U2727" s="6" t="s">
        <v>13160</v>
      </c>
      <c r="V2727" s="6" t="s">
        <v>81</v>
      </c>
      <c r="W2727" s="6" t="s">
        <v>81</v>
      </c>
      <c r="X2727" s="6" t="s">
        <v>81</v>
      </c>
      <c r="Y2727" s="21" t="s">
        <v>81</v>
      </c>
      <c r="Z2727" s="6" t="s">
        <v>81</v>
      </c>
      <c r="AA2727" s="6" t="s">
        <v>81</v>
      </c>
      <c r="AB2727" s="6" t="s">
        <v>81</v>
      </c>
      <c r="AC2727" s="6" t="s">
        <v>81</v>
      </c>
      <c r="AD2727" s="21" t="s">
        <v>81</v>
      </c>
      <c r="AE2727" s="6" t="s">
        <v>81</v>
      </c>
      <c r="AF2727" s="6" t="s">
        <v>81</v>
      </c>
      <c r="AG2727" s="6" t="s">
        <v>81</v>
      </c>
      <c r="AH2727" s="6" t="s">
        <v>17259</v>
      </c>
      <c r="AI2727" s="6" t="s">
        <v>81</v>
      </c>
      <c r="AJ2727" s="6" t="s">
        <v>18367</v>
      </c>
      <c r="AK2727" s="6" t="s">
        <v>17712</v>
      </c>
      <c r="AL2727" s="6" t="s">
        <v>18444</v>
      </c>
      <c r="AM2727" s="6" t="s">
        <v>6750</v>
      </c>
      <c r="AN2727" s="6" t="s">
        <v>19669</v>
      </c>
      <c r="AO2727" s="6" t="s">
        <v>19790</v>
      </c>
      <c r="AP2727" s="6" t="s">
        <v>17259</v>
      </c>
      <c r="AQ2727" s="6" t="s">
        <v>81</v>
      </c>
      <c r="AR2727" s="6" t="s">
        <v>18367</v>
      </c>
      <c r="AS2727" s="6" t="s">
        <v>17712</v>
      </c>
      <c r="AT2727" s="6" t="s">
        <v>18444</v>
      </c>
      <c r="AU2727" s="6" t="s">
        <v>6750</v>
      </c>
      <c r="AV2727" s="6" t="s">
        <v>81</v>
      </c>
      <c r="AW2727" s="6" t="s">
        <v>81</v>
      </c>
      <c r="AX2727" s="6" t="s">
        <v>22538</v>
      </c>
      <c r="AY2727" s="6" t="s">
        <v>81</v>
      </c>
      <c r="AZ2727" s="6" t="s">
        <v>81</v>
      </c>
      <c r="BA2727" s="6" t="s">
        <v>81</v>
      </c>
      <c r="BB2727" s="24" t="n">
        <v>618</v>
      </c>
      <c r="BC2727" s="26"/>
      <c r="BD2727" s="26"/>
      <c r="BE2727" s="26"/>
      <c r="BF2727" s="26" t="s">
        <v>23900</v>
      </c>
      <c r="BG2727" s="26"/>
      <c r="BH2727" s="26"/>
      <c r="BI2727" s="26"/>
      <c r="BJ2727" s="26"/>
      <c r="BK2727" s="26"/>
      <c r="BL2727" s="26"/>
      <c r="BM2727" s="26"/>
      <c r="BN2727" s="26"/>
      <c r="BO2727" s="26"/>
      <c r="BP2727" s="16" t="n">
        <v>45595</v>
      </c>
      <c r="BQ2727" s="28" t="str">
        <f>HYPERLINK("https://organic.ams.usda.gov/Integrity/Certificate.aspx?cid=57&amp;nopid=3250200657")</f>
        <v>https://organic.ams.usda.gov/Integrity/Certificate.aspx?cid=57&amp;nopid=3250200657</v>
      </c>
    </row>
    <row r="2728">
      <c r="A2728" t="s">
        <v>3</v>
      </c>
      <c r="B2728" s="6" t="s">
        <v>9</v>
      </c>
      <c r="C2728" s="6" t="s">
        <v>56</v>
      </c>
      <c r="D2728" s="6" t="s">
        <v>102</v>
      </c>
      <c r="E2728" s="10" t="s">
        <v>2869</v>
      </c>
      <c r="F2728" s="6" t="s">
        <v>5572</v>
      </c>
      <c r="G2728" s="6" t="s">
        <v>81</v>
      </c>
      <c r="H2728" s="6" t="s">
        <v>8370</v>
      </c>
      <c r="I2728" s="6" t="s">
        <v>9655</v>
      </c>
      <c r="J2728" s="6" t="s">
        <v>9666</v>
      </c>
      <c r="K2728" s="6" t="s">
        <v>10886</v>
      </c>
      <c r="L2728" s="16" t="n">
        <v>41199</v>
      </c>
      <c r="M2728" s="16" t="n">
        <v>45748</v>
      </c>
      <c r="N2728" s="6" t="s">
        <v>10886</v>
      </c>
      <c r="O2728" s="16" t="n">
        <v>41199</v>
      </c>
      <c r="P2728" s="6" t="s">
        <v>10912</v>
      </c>
      <c r="Q2728" s="6" t="s">
        <v>81</v>
      </c>
      <c r="R2728" s="6" t="s">
        <v>13154</v>
      </c>
      <c r="S2728" s="6" t="s">
        <v>10886</v>
      </c>
      <c r="T2728" s="16" t="n">
        <v>41199</v>
      </c>
      <c r="U2728" s="6" t="s">
        <v>13162</v>
      </c>
      <c r="V2728" s="6" t="s">
        <v>81</v>
      </c>
      <c r="W2728" s="6" t="s">
        <v>13154</v>
      </c>
      <c r="X2728" s="6" t="s">
        <v>81</v>
      </c>
      <c r="Y2728" s="21" t="s">
        <v>81</v>
      </c>
      <c r="Z2728" s="6" t="s">
        <v>81</v>
      </c>
      <c r="AA2728" s="6" t="s">
        <v>81</v>
      </c>
      <c r="AB2728" s="6" t="s">
        <v>81</v>
      </c>
      <c r="AC2728" s="6" t="s">
        <v>81</v>
      </c>
      <c r="AD2728" s="21" t="s">
        <v>81</v>
      </c>
      <c r="AE2728" s="6" t="s">
        <v>81</v>
      </c>
      <c r="AF2728" s="6" t="s">
        <v>81</v>
      </c>
      <c r="AG2728" s="6" t="s">
        <v>81</v>
      </c>
      <c r="AH2728" s="6" t="s">
        <v>17260</v>
      </c>
      <c r="AI2728" s="6" t="s">
        <v>81</v>
      </c>
      <c r="AJ2728" s="6" t="s">
        <v>18133</v>
      </c>
      <c r="AK2728" s="6" t="s">
        <v>18378</v>
      </c>
      <c r="AL2728" s="6" t="s">
        <v>18444</v>
      </c>
      <c r="AM2728" s="6" t="s">
        <v>19333</v>
      </c>
      <c r="AN2728" s="6" t="s">
        <v>19640</v>
      </c>
      <c r="AO2728" s="6" t="s">
        <v>19726</v>
      </c>
      <c r="AP2728" s="6" t="s">
        <v>81</v>
      </c>
      <c r="AQ2728" s="6" t="s">
        <v>81</v>
      </c>
      <c r="AR2728" s="6" t="s">
        <v>81</v>
      </c>
      <c r="AS2728" s="6" t="s">
        <v>81</v>
      </c>
      <c r="AT2728" s="6" t="s">
        <v>81</v>
      </c>
      <c r="AU2728" s="6" t="s">
        <v>81</v>
      </c>
      <c r="AV2728" s="6" t="s">
        <v>81</v>
      </c>
      <c r="AW2728" s="6" t="s">
        <v>81</v>
      </c>
      <c r="AX2728" s="6" t="s">
        <v>22539</v>
      </c>
      <c r="AY2728" s="6" t="s">
        <v>23567</v>
      </c>
      <c r="AZ2728" s="6" t="s">
        <v>81</v>
      </c>
      <c r="BA2728" s="6" t="s">
        <v>81</v>
      </c>
      <c r="BB2728" s="24" t="n">
        <v>342</v>
      </c>
      <c r="BC2728" s="26"/>
      <c r="BD2728" s="26"/>
      <c r="BE2728" s="26"/>
      <c r="BF2728" s="26"/>
      <c r="BG2728" s="26"/>
      <c r="BH2728" s="26"/>
      <c r="BI2728" s="26"/>
      <c r="BJ2728" s="26"/>
      <c r="BK2728" s="26"/>
      <c r="BL2728" s="26"/>
      <c r="BM2728" s="26"/>
      <c r="BN2728" s="26"/>
      <c r="BO2728" s="26"/>
      <c r="BP2728" s="16" t="n">
        <v>45738</v>
      </c>
      <c r="BQ2728" s="28" t="str">
        <f>HYPERLINK("https://organic.ams.usda.gov/Integrity/Certificate.aspx?cid=52&amp;nopid=8431200377")</f>
        <v>https://organic.ams.usda.gov/Integrity/Certificate.aspx?cid=52&amp;nopid=8431200377</v>
      </c>
    </row>
    <row r="2729">
      <c r="A2729" t="s">
        <v>3</v>
      </c>
      <c r="B2729" s="6" t="s">
        <v>8</v>
      </c>
      <c r="C2729" s="6" t="s">
        <v>55</v>
      </c>
      <c r="D2729" s="6" t="s">
        <v>101</v>
      </c>
      <c r="E2729" s="10" t="s">
        <v>2870</v>
      </c>
      <c r="F2729" s="6" t="s">
        <v>5573</v>
      </c>
      <c r="G2729" s="6" t="s">
        <v>81</v>
      </c>
      <c r="H2729" s="6" t="s">
        <v>6696</v>
      </c>
      <c r="I2729" s="6" t="s">
        <v>8687</v>
      </c>
      <c r="J2729" s="6" t="s">
        <v>8503</v>
      </c>
      <c r="K2729" s="6" t="s">
        <v>10886</v>
      </c>
      <c r="L2729" s="16" t="n">
        <v>36863</v>
      </c>
      <c r="M2729" s="16" t="n">
        <v>45383</v>
      </c>
      <c r="N2729" s="6" t="s">
        <v>10886</v>
      </c>
      <c r="O2729" s="16" t="n">
        <v>36863</v>
      </c>
      <c r="P2729" s="6" t="s">
        <v>12414</v>
      </c>
      <c r="Q2729" s="6" t="s">
        <v>81</v>
      </c>
      <c r="R2729" s="6" t="s">
        <v>6696</v>
      </c>
      <c r="S2729" s="6" t="s">
        <v>10886</v>
      </c>
      <c r="T2729" s="16" t="n">
        <v>36863</v>
      </c>
      <c r="U2729" s="6" t="s">
        <v>13959</v>
      </c>
      <c r="V2729" s="6" t="s">
        <v>81</v>
      </c>
      <c r="W2729" s="6" t="s">
        <v>6696</v>
      </c>
      <c r="X2729" s="6" t="s">
        <v>81</v>
      </c>
      <c r="Y2729" s="21" t="s">
        <v>81</v>
      </c>
      <c r="Z2729" s="6" t="s">
        <v>81</v>
      </c>
      <c r="AA2729" s="6" t="s">
        <v>81</v>
      </c>
      <c r="AB2729" s="6" t="s">
        <v>81</v>
      </c>
      <c r="AC2729" s="6" t="s">
        <v>81</v>
      </c>
      <c r="AD2729" s="21" t="s">
        <v>81</v>
      </c>
      <c r="AE2729" s="6" t="s">
        <v>81</v>
      </c>
      <c r="AF2729" s="6" t="s">
        <v>81</v>
      </c>
      <c r="AG2729" s="6" t="s">
        <v>81</v>
      </c>
      <c r="AH2729" s="6" t="s">
        <v>17261</v>
      </c>
      <c r="AI2729" s="6" t="s">
        <v>81</v>
      </c>
      <c r="AJ2729" s="6" t="s">
        <v>17339</v>
      </c>
      <c r="AK2729" s="6" t="s">
        <v>18377</v>
      </c>
      <c r="AL2729" s="6" t="s">
        <v>18444</v>
      </c>
      <c r="AM2729" s="6" t="s">
        <v>18493</v>
      </c>
      <c r="AN2729" s="6" t="s">
        <v>7195</v>
      </c>
      <c r="AO2729" s="6" t="s">
        <v>19737</v>
      </c>
      <c r="AP2729" s="6" t="s">
        <v>81</v>
      </c>
      <c r="AQ2729" s="6" t="s">
        <v>81</v>
      </c>
      <c r="AR2729" s="6" t="s">
        <v>81</v>
      </c>
      <c r="AS2729" s="6" t="s">
        <v>81</v>
      </c>
      <c r="AT2729" s="6" t="s">
        <v>81</v>
      </c>
      <c r="AU2729" s="6" t="s">
        <v>81</v>
      </c>
      <c r="AV2729" s="6" t="s">
        <v>81</v>
      </c>
      <c r="AW2729" s="6" t="s">
        <v>81</v>
      </c>
      <c r="AX2729" s="6" t="s">
        <v>81</v>
      </c>
      <c r="AY2729" s="6" t="s">
        <v>81</v>
      </c>
      <c r="AZ2729" s="6" t="s">
        <v>81</v>
      </c>
      <c r="BA2729" s="6" t="s">
        <v>6696</v>
      </c>
      <c r="BB2729" s="24" t="n">
        <v>200</v>
      </c>
      <c r="BC2729" s="26"/>
      <c r="BD2729" s="26"/>
      <c r="BE2729" s="26"/>
      <c r="BF2729" s="26"/>
      <c r="BG2729" s="26"/>
      <c r="BH2729" s="26"/>
      <c r="BI2729" s="26"/>
      <c r="BJ2729" s="26"/>
      <c r="BK2729" s="26"/>
      <c r="BL2729" s="26"/>
      <c r="BM2729" s="26"/>
      <c r="BN2729" s="26"/>
      <c r="BO2729" s="26"/>
      <c r="BP2729" s="16" t="n">
        <v>45425</v>
      </c>
      <c r="BQ2729" s="28" t="str">
        <f>HYPERLINK("https://organic.ams.usda.gov/Integrity/Certificate.aspx?cid=45&amp;nopid=9950000542")</f>
        <v>https://organic.ams.usda.gov/Integrity/Certificate.aspx?cid=45&amp;nopid=9950000542</v>
      </c>
    </row>
    <row r="2730">
      <c r="A2730" t="s">
        <v>3</v>
      </c>
      <c r="B2730" s="6" t="s">
        <v>7</v>
      </c>
      <c r="C2730" s="6" t="s">
        <v>54</v>
      </c>
      <c r="D2730" s="6" t="s">
        <v>100</v>
      </c>
      <c r="E2730" s="10" t="s">
        <v>2871</v>
      </c>
      <c r="F2730" s="6" t="s">
        <v>5574</v>
      </c>
      <c r="G2730" s="6" t="s">
        <v>81</v>
      </c>
      <c r="H2730" s="6" t="s">
        <v>8371</v>
      </c>
      <c r="I2730" s="6" t="s">
        <v>8478</v>
      </c>
      <c r="J2730" s="6" t="s">
        <v>9666</v>
      </c>
      <c r="K2730" s="6" t="s">
        <v>10886</v>
      </c>
      <c r="L2730" s="16" t="n">
        <v>38565</v>
      </c>
      <c r="M2730" s="16" t="n">
        <v>45716</v>
      </c>
      <c r="N2730" s="6" t="s">
        <v>10886</v>
      </c>
      <c r="O2730" s="16" t="n">
        <v>38565</v>
      </c>
      <c r="P2730" s="6" t="s">
        <v>12415</v>
      </c>
      <c r="Q2730" s="6" t="s">
        <v>81</v>
      </c>
      <c r="R2730" s="6" t="s">
        <v>81</v>
      </c>
      <c r="S2730" s="6" t="s">
        <v>10886</v>
      </c>
      <c r="T2730" s="16" t="n">
        <v>38565</v>
      </c>
      <c r="U2730" s="6" t="s">
        <v>13169</v>
      </c>
      <c r="V2730" s="6" t="s">
        <v>81</v>
      </c>
      <c r="W2730" s="6" t="s">
        <v>81</v>
      </c>
      <c r="X2730" s="6" t="s">
        <v>81</v>
      </c>
      <c r="Y2730" s="21" t="s">
        <v>81</v>
      </c>
      <c r="Z2730" s="6" t="s">
        <v>81</v>
      </c>
      <c r="AA2730" s="6" t="s">
        <v>81</v>
      </c>
      <c r="AB2730" s="6" t="s">
        <v>81</v>
      </c>
      <c r="AC2730" s="6" t="s">
        <v>81</v>
      </c>
      <c r="AD2730" s="21" t="s">
        <v>81</v>
      </c>
      <c r="AE2730" s="6" t="s">
        <v>81</v>
      </c>
      <c r="AF2730" s="6" t="s">
        <v>81</v>
      </c>
      <c r="AG2730" s="6" t="s">
        <v>81</v>
      </c>
      <c r="AH2730" s="6" t="s">
        <v>17262</v>
      </c>
      <c r="AI2730" s="6" t="s">
        <v>81</v>
      </c>
      <c r="AJ2730" s="6" t="s">
        <v>17454</v>
      </c>
      <c r="AK2730" s="6" t="s">
        <v>17712</v>
      </c>
      <c r="AL2730" s="6" t="s">
        <v>18444</v>
      </c>
      <c r="AM2730" s="6" t="s">
        <v>7228</v>
      </c>
      <c r="AN2730" s="6" t="s">
        <v>19661</v>
      </c>
      <c r="AO2730" s="6" t="s">
        <v>19841</v>
      </c>
      <c r="AP2730" s="6" t="s">
        <v>17262</v>
      </c>
      <c r="AQ2730" s="6" t="s">
        <v>81</v>
      </c>
      <c r="AR2730" s="6" t="s">
        <v>17454</v>
      </c>
      <c r="AS2730" s="6" t="s">
        <v>17712</v>
      </c>
      <c r="AT2730" s="6" t="s">
        <v>18444</v>
      </c>
      <c r="AU2730" s="6" t="s">
        <v>7228</v>
      </c>
      <c r="AV2730" s="6" t="s">
        <v>81</v>
      </c>
      <c r="AW2730" s="6" t="s">
        <v>81</v>
      </c>
      <c r="AX2730" s="6" t="s">
        <v>22540</v>
      </c>
      <c r="AY2730" s="6" t="s">
        <v>81</v>
      </c>
      <c r="AZ2730" s="6" t="s">
        <v>81</v>
      </c>
      <c r="BA2730" s="6" t="s">
        <v>81</v>
      </c>
      <c r="BB2730" s="24" t="n">
        <v>231</v>
      </c>
      <c r="BC2730" s="26"/>
      <c r="BD2730" s="26"/>
      <c r="BE2730" s="26"/>
      <c r="BF2730" s="26" t="s">
        <v>23900</v>
      </c>
      <c r="BG2730" s="26"/>
      <c r="BH2730" s="26"/>
      <c r="BI2730" s="26"/>
      <c r="BJ2730" s="26"/>
      <c r="BK2730" s="26"/>
      <c r="BL2730" s="26"/>
      <c r="BM2730" s="26"/>
      <c r="BN2730" s="26"/>
      <c r="BO2730" s="26"/>
      <c r="BP2730" s="16" t="n">
        <v>45702</v>
      </c>
      <c r="BQ2730" s="28" t="str">
        <f>HYPERLINK("https://organic.ams.usda.gov/Integrity/Certificate.aspx?cid=57&amp;nopid=3250200501")</f>
        <v>https://organic.ams.usda.gov/Integrity/Certificate.aspx?cid=57&amp;nopid=3250200501</v>
      </c>
    </row>
    <row r="2731">
      <c r="A2731" t="s">
        <v>3</v>
      </c>
      <c r="B2731" s="6" t="s">
        <v>40</v>
      </c>
      <c r="C2731" s="6" t="s">
        <v>87</v>
      </c>
      <c r="D2731" s="6" t="s">
        <v>132</v>
      </c>
      <c r="E2731" s="10" t="s">
        <v>2872</v>
      </c>
      <c r="F2731" s="6" t="s">
        <v>5575</v>
      </c>
      <c r="G2731" s="6" t="s">
        <v>5889</v>
      </c>
      <c r="H2731" s="6" t="s">
        <v>8372</v>
      </c>
      <c r="I2731" s="6" t="s">
        <v>8514</v>
      </c>
      <c r="J2731" s="6" t="s">
        <v>9666</v>
      </c>
      <c r="K2731" s="6" t="s">
        <v>10886</v>
      </c>
      <c r="L2731" s="16" t="n">
        <v>41052</v>
      </c>
      <c r="M2731" s="16" t="n">
        <v>45809</v>
      </c>
      <c r="N2731" s="6" t="s">
        <v>10886</v>
      </c>
      <c r="O2731" s="16" t="n">
        <v>41052</v>
      </c>
      <c r="P2731" s="6" t="s">
        <v>12416</v>
      </c>
      <c r="Q2731" s="6" t="s">
        <v>81</v>
      </c>
      <c r="R2731" s="6" t="s">
        <v>81</v>
      </c>
      <c r="S2731" s="6" t="s">
        <v>10886</v>
      </c>
      <c r="T2731" s="16" t="n">
        <v>41052</v>
      </c>
      <c r="U2731" s="6" t="s">
        <v>13960</v>
      </c>
      <c r="V2731" s="6" t="s">
        <v>81</v>
      </c>
      <c r="W2731" s="6" t="s">
        <v>81</v>
      </c>
      <c r="X2731" s="6" t="s">
        <v>81</v>
      </c>
      <c r="Y2731" s="21" t="s">
        <v>81</v>
      </c>
      <c r="Z2731" s="6" t="s">
        <v>81</v>
      </c>
      <c r="AA2731" s="6" t="s">
        <v>81</v>
      </c>
      <c r="AB2731" s="6" t="s">
        <v>81</v>
      </c>
      <c r="AC2731" s="6" t="s">
        <v>10886</v>
      </c>
      <c r="AD2731" s="16" t="n">
        <v>41052</v>
      </c>
      <c r="AE2731" s="6" t="s">
        <v>14499</v>
      </c>
      <c r="AF2731" s="6" t="s">
        <v>81</v>
      </c>
      <c r="AG2731" s="6" t="s">
        <v>81</v>
      </c>
      <c r="AH2731" s="6" t="s">
        <v>17263</v>
      </c>
      <c r="AI2731" s="6" t="s">
        <v>81</v>
      </c>
      <c r="AJ2731" s="6" t="s">
        <v>18368</v>
      </c>
      <c r="AK2731" s="6" t="s">
        <v>18398</v>
      </c>
      <c r="AL2731" s="6" t="s">
        <v>18444</v>
      </c>
      <c r="AM2731" s="6" t="s">
        <v>19625</v>
      </c>
      <c r="AN2731" s="6" t="s">
        <v>19639</v>
      </c>
      <c r="AO2731" s="6" t="s">
        <v>20080</v>
      </c>
      <c r="AP2731" s="6" t="s">
        <v>17263</v>
      </c>
      <c r="AQ2731" s="6" t="s">
        <v>81</v>
      </c>
      <c r="AR2731" s="6" t="s">
        <v>18368</v>
      </c>
      <c r="AS2731" s="6" t="s">
        <v>18398</v>
      </c>
      <c r="AT2731" s="6" t="s">
        <v>18444</v>
      </c>
      <c r="AU2731" s="6" t="s">
        <v>19625</v>
      </c>
      <c r="AV2731" s="6" t="s">
        <v>81</v>
      </c>
      <c r="AW2731" s="6" t="s">
        <v>81</v>
      </c>
      <c r="AX2731" s="6" t="s">
        <v>22541</v>
      </c>
      <c r="AY2731" s="6" t="s">
        <v>23568</v>
      </c>
      <c r="AZ2731" s="6" t="s">
        <v>81</v>
      </c>
      <c r="BA2731" s="6" t="s">
        <v>81</v>
      </c>
      <c r="BB2731" s="24" t="n">
        <v>1792</v>
      </c>
      <c r="BC2731" s="26"/>
      <c r="BD2731" s="26"/>
      <c r="BE2731" s="26"/>
      <c r="BF2731" s="26"/>
      <c r="BG2731" s="26"/>
      <c r="BH2731" s="26"/>
      <c r="BI2731" s="26"/>
      <c r="BJ2731" s="26"/>
      <c r="BK2731" s="26"/>
      <c r="BL2731" s="26"/>
      <c r="BM2731" s="26"/>
      <c r="BN2731" s="26"/>
      <c r="BO2731" s="26"/>
      <c r="BP2731" s="16" t="n">
        <v>45735</v>
      </c>
      <c r="BQ2731" s="28" t="str">
        <f>HYPERLINK("https://organic.ams.usda.gov/Integrity/Certificate.aspx?cid=19&amp;nopid=6350000378")</f>
        <v>https://organic.ams.usda.gov/Integrity/Certificate.aspx?cid=19&amp;nopid=6350000378</v>
      </c>
    </row>
    <row r="2732">
      <c r="A2732" t="s">
        <v>3</v>
      </c>
      <c r="B2732" s="6" t="s">
        <v>11</v>
      </c>
      <c r="C2732" s="6" t="s">
        <v>58</v>
      </c>
      <c r="D2732" s="6" t="s">
        <v>104</v>
      </c>
      <c r="E2732" s="10" t="s">
        <v>2873</v>
      </c>
      <c r="F2732" s="6" t="s">
        <v>5576</v>
      </c>
      <c r="G2732" s="6" t="s">
        <v>81</v>
      </c>
      <c r="H2732" s="6" t="s">
        <v>81</v>
      </c>
      <c r="I2732" s="6" t="s">
        <v>9656</v>
      </c>
      <c r="J2732" s="6" t="s">
        <v>9666</v>
      </c>
      <c r="K2732" s="6" t="s">
        <v>10886</v>
      </c>
      <c r="L2732" s="16" t="n">
        <v>44467</v>
      </c>
      <c r="M2732" s="16" t="n">
        <v>45383</v>
      </c>
      <c r="N2732" s="6" t="s">
        <v>10886</v>
      </c>
      <c r="O2732" s="16" t="n">
        <v>44467</v>
      </c>
      <c r="P2732" s="6" t="s">
        <v>12417</v>
      </c>
      <c r="Q2732" s="6" t="s">
        <v>81</v>
      </c>
      <c r="R2732" s="6" t="s">
        <v>81</v>
      </c>
      <c r="S2732" s="6" t="s">
        <v>10886</v>
      </c>
      <c r="T2732" s="16" t="n">
        <v>44467</v>
      </c>
      <c r="U2732" s="6" t="s">
        <v>13213</v>
      </c>
      <c r="V2732" s="6" t="s">
        <v>81</v>
      </c>
      <c r="W2732" s="6" t="s">
        <v>81</v>
      </c>
      <c r="X2732" s="6" t="s">
        <v>81</v>
      </c>
      <c r="Y2732" s="21" t="s">
        <v>81</v>
      </c>
      <c r="Z2732" s="6" t="s">
        <v>81</v>
      </c>
      <c r="AA2732" s="6" t="s">
        <v>81</v>
      </c>
      <c r="AB2732" s="6" t="s">
        <v>81</v>
      </c>
      <c r="AC2732" s="6" t="s">
        <v>81</v>
      </c>
      <c r="AD2732" s="21" t="s">
        <v>81</v>
      </c>
      <c r="AE2732" s="6" t="s">
        <v>81</v>
      </c>
      <c r="AF2732" s="6" t="s">
        <v>81</v>
      </c>
      <c r="AG2732" s="6" t="s">
        <v>81</v>
      </c>
      <c r="AH2732" s="6" t="s">
        <v>17264</v>
      </c>
      <c r="AI2732" s="6" t="s">
        <v>81</v>
      </c>
      <c r="AJ2732" s="6" t="s">
        <v>17373</v>
      </c>
      <c r="AK2732" s="6" t="s">
        <v>18377</v>
      </c>
      <c r="AL2732" s="6" t="s">
        <v>18444</v>
      </c>
      <c r="AM2732" s="6" t="s">
        <v>18546</v>
      </c>
      <c r="AN2732" s="6" t="s">
        <v>19652</v>
      </c>
      <c r="AO2732" s="6" t="s">
        <v>19772</v>
      </c>
      <c r="AP2732" s="6" t="s">
        <v>17264</v>
      </c>
      <c r="AQ2732" s="6" t="s">
        <v>81</v>
      </c>
      <c r="AR2732" s="6" t="s">
        <v>17373</v>
      </c>
      <c r="AS2732" s="6" t="s">
        <v>18377</v>
      </c>
      <c r="AT2732" s="6" t="s">
        <v>18444</v>
      </c>
      <c r="AU2732" s="6" t="s">
        <v>18546</v>
      </c>
      <c r="AV2732" s="6" t="s">
        <v>81</v>
      </c>
      <c r="AW2732" s="6" t="s">
        <v>81</v>
      </c>
      <c r="AX2732" s="6" t="s">
        <v>81</v>
      </c>
      <c r="AY2732" s="6" t="s">
        <v>81</v>
      </c>
      <c r="AZ2732" s="6" t="s">
        <v>81</v>
      </c>
      <c r="BA2732" s="6" t="s">
        <v>81</v>
      </c>
      <c r="BB2732" s="24" t="n">
        <v>22</v>
      </c>
      <c r="BC2732" s="26"/>
      <c r="BD2732" s="26"/>
      <c r="BE2732" s="26"/>
      <c r="BF2732" s="26"/>
      <c r="BG2732" s="26"/>
      <c r="BH2732" s="26"/>
      <c r="BI2732" s="26"/>
      <c r="BJ2732" s="26"/>
      <c r="BK2732" s="26"/>
      <c r="BL2732" s="26"/>
      <c r="BM2732" s="26"/>
      <c r="BN2732" s="26"/>
      <c r="BO2732" s="26"/>
      <c r="BP2732" s="16" t="n">
        <v>45454</v>
      </c>
      <c r="BQ2732" s="28" t="str">
        <f>HYPERLINK("https://organic.ams.usda.gov/Integrity/Certificate.aspx?cid=46&amp;nopid=3672100049")</f>
        <v>https://organic.ams.usda.gov/Integrity/Certificate.aspx?cid=46&amp;nopid=3672100049</v>
      </c>
    </row>
    <row r="2733">
      <c r="A2733" t="s">
        <v>3</v>
      </c>
      <c r="B2733" s="6" t="s">
        <v>35</v>
      </c>
      <c r="C2733" s="6" t="s">
        <v>82</v>
      </c>
      <c r="D2733" s="6" t="s">
        <v>127</v>
      </c>
      <c r="E2733" s="10" t="s">
        <v>2874</v>
      </c>
      <c r="F2733" s="6" t="s">
        <v>5577</v>
      </c>
      <c r="G2733" s="6" t="s">
        <v>81</v>
      </c>
      <c r="H2733" s="6" t="s">
        <v>8373</v>
      </c>
      <c r="I2733" s="6" t="s">
        <v>9138</v>
      </c>
      <c r="J2733" s="6" t="s">
        <v>10878</v>
      </c>
      <c r="K2733" s="6" t="s">
        <v>10886</v>
      </c>
      <c r="L2733" s="16" t="n">
        <v>41856</v>
      </c>
      <c r="M2733" s="16" t="n">
        <v>45792</v>
      </c>
      <c r="N2733" s="6" t="s">
        <v>10886</v>
      </c>
      <c r="O2733" s="16" t="n">
        <v>41856</v>
      </c>
      <c r="P2733" s="6" t="s">
        <v>12418</v>
      </c>
      <c r="Q2733" s="6" t="s">
        <v>81</v>
      </c>
      <c r="R2733" s="6" t="s">
        <v>7300</v>
      </c>
      <c r="S2733" s="6" t="s">
        <v>10886</v>
      </c>
      <c r="T2733" s="16" t="n">
        <v>41856</v>
      </c>
      <c r="U2733" s="6" t="s">
        <v>13961</v>
      </c>
      <c r="V2733" s="6" t="s">
        <v>81</v>
      </c>
      <c r="W2733" s="6" t="s">
        <v>7300</v>
      </c>
      <c r="X2733" s="6" t="s">
        <v>81</v>
      </c>
      <c r="Y2733" s="21" t="s">
        <v>81</v>
      </c>
      <c r="Z2733" s="6" t="s">
        <v>81</v>
      </c>
      <c r="AA2733" s="6" t="s">
        <v>81</v>
      </c>
      <c r="AB2733" s="6" t="s">
        <v>81</v>
      </c>
      <c r="AC2733" s="6" t="s">
        <v>10886</v>
      </c>
      <c r="AD2733" s="16" t="n">
        <v>41856</v>
      </c>
      <c r="AE2733" s="6" t="s">
        <v>14500</v>
      </c>
      <c r="AF2733" s="6" t="s">
        <v>81</v>
      </c>
      <c r="AG2733" s="6" t="s">
        <v>7300</v>
      </c>
      <c r="AH2733" s="6" t="s">
        <v>17265</v>
      </c>
      <c r="AI2733" s="6" t="s">
        <v>81</v>
      </c>
      <c r="AJ2733" s="6" t="s">
        <v>18369</v>
      </c>
      <c r="AK2733" s="6" t="s">
        <v>18405</v>
      </c>
      <c r="AL2733" s="6" t="s">
        <v>18444</v>
      </c>
      <c r="AM2733" s="6" t="s">
        <v>19626</v>
      </c>
      <c r="AN2733" s="6" t="s">
        <v>19662</v>
      </c>
      <c r="AO2733" s="6" t="s">
        <v>19856</v>
      </c>
      <c r="AP2733" s="6" t="s">
        <v>20469</v>
      </c>
      <c r="AQ2733" s="6" t="s">
        <v>81</v>
      </c>
      <c r="AR2733" s="6" t="s">
        <v>20589</v>
      </c>
      <c r="AS2733" s="6" t="s">
        <v>18405</v>
      </c>
      <c r="AT2733" s="6" t="s">
        <v>18444</v>
      </c>
      <c r="AU2733" s="6" t="s">
        <v>19626</v>
      </c>
      <c r="AV2733" s="6" t="s">
        <v>81</v>
      </c>
      <c r="AW2733" s="6" t="s">
        <v>81</v>
      </c>
      <c r="AX2733" s="6" t="s">
        <v>22542</v>
      </c>
      <c r="AY2733" s="6" t="s">
        <v>23569</v>
      </c>
      <c r="AZ2733" s="6" t="s">
        <v>81</v>
      </c>
      <c r="BA2733" s="6" t="s">
        <v>81</v>
      </c>
      <c r="BB2733" s="24" t="n">
        <v>345</v>
      </c>
      <c r="BC2733" s="26"/>
      <c r="BD2733" s="26"/>
      <c r="BE2733" s="26"/>
      <c r="BF2733" s="26"/>
      <c r="BG2733" s="26"/>
      <c r="BH2733" s="26"/>
      <c r="BI2733" s="26"/>
      <c r="BJ2733" s="26"/>
      <c r="BK2733" s="26"/>
      <c r="BL2733" s="26"/>
      <c r="BM2733" s="26"/>
      <c r="BN2733" s="26"/>
      <c r="BO2733" s="26"/>
      <c r="BP2733" s="16" t="n">
        <v>45694</v>
      </c>
      <c r="BQ2733" s="28" t="str">
        <f>HYPERLINK("https://organic.ams.usda.gov/Integrity/Certificate.aspx?cid=47&amp;nopid=7142074532")</f>
        <v>https://organic.ams.usda.gov/Integrity/Certificate.aspx?cid=47&amp;nopid=7142074532</v>
      </c>
    </row>
    <row r="2734">
      <c r="A2734" t="s">
        <v>3</v>
      </c>
      <c r="B2734" s="6" t="s">
        <v>9</v>
      </c>
      <c r="C2734" s="6" t="s">
        <v>56</v>
      </c>
      <c r="D2734" s="6" t="s">
        <v>102</v>
      </c>
      <c r="E2734" s="10" t="s">
        <v>2875</v>
      </c>
      <c r="F2734" s="6" t="s">
        <v>5578</v>
      </c>
      <c r="G2734" s="6" t="s">
        <v>81</v>
      </c>
      <c r="H2734" s="6" t="s">
        <v>8374</v>
      </c>
      <c r="I2734" s="6" t="s">
        <v>9657</v>
      </c>
      <c r="J2734" s="6" t="s">
        <v>9970</v>
      </c>
      <c r="K2734" s="6" t="s">
        <v>10886</v>
      </c>
      <c r="L2734" s="16" t="n">
        <v>44412</v>
      </c>
      <c r="M2734" s="16" t="n">
        <v>45748</v>
      </c>
      <c r="N2734" s="6" t="s">
        <v>10886</v>
      </c>
      <c r="O2734" s="16" t="n">
        <v>44412</v>
      </c>
      <c r="P2734" s="6" t="s">
        <v>10922</v>
      </c>
      <c r="Q2734" s="6" t="s">
        <v>81</v>
      </c>
      <c r="R2734" s="6" t="s">
        <v>13155</v>
      </c>
      <c r="S2734" s="6" t="s">
        <v>10886</v>
      </c>
      <c r="T2734" s="16" t="n">
        <v>44412</v>
      </c>
      <c r="U2734" s="6" t="s">
        <v>13162</v>
      </c>
      <c r="V2734" s="6" t="s">
        <v>81</v>
      </c>
      <c r="W2734" s="6" t="s">
        <v>13155</v>
      </c>
      <c r="X2734" s="6" t="s">
        <v>81</v>
      </c>
      <c r="Y2734" s="21" t="s">
        <v>81</v>
      </c>
      <c r="Z2734" s="6" t="s">
        <v>81</v>
      </c>
      <c r="AA2734" s="6" t="s">
        <v>81</v>
      </c>
      <c r="AB2734" s="6" t="s">
        <v>81</v>
      </c>
      <c r="AC2734" s="6" t="s">
        <v>81</v>
      </c>
      <c r="AD2734" s="21" t="s">
        <v>81</v>
      </c>
      <c r="AE2734" s="6" t="s">
        <v>81</v>
      </c>
      <c r="AF2734" s="6" t="s">
        <v>81</v>
      </c>
      <c r="AG2734" s="6" t="s">
        <v>81</v>
      </c>
      <c r="AH2734" s="6" t="s">
        <v>17266</v>
      </c>
      <c r="AI2734" s="6" t="s">
        <v>81</v>
      </c>
      <c r="AJ2734" s="6" t="s">
        <v>18024</v>
      </c>
      <c r="AK2734" s="6" t="s">
        <v>18377</v>
      </c>
      <c r="AL2734" s="6" t="s">
        <v>18444</v>
      </c>
      <c r="AM2734" s="6" t="s">
        <v>19214</v>
      </c>
      <c r="AN2734" s="6" t="s">
        <v>19634</v>
      </c>
      <c r="AO2734" s="6" t="s">
        <v>19764</v>
      </c>
      <c r="AP2734" s="6" t="s">
        <v>81</v>
      </c>
      <c r="AQ2734" s="6" t="s">
        <v>81</v>
      </c>
      <c r="AR2734" s="6" t="s">
        <v>81</v>
      </c>
      <c r="AS2734" s="6" t="s">
        <v>81</v>
      </c>
      <c r="AT2734" s="6" t="s">
        <v>81</v>
      </c>
      <c r="AU2734" s="6" t="s">
        <v>81</v>
      </c>
      <c r="AV2734" s="6" t="s">
        <v>81</v>
      </c>
      <c r="AW2734" s="6" t="s">
        <v>81</v>
      </c>
      <c r="AX2734" s="6" t="s">
        <v>22543</v>
      </c>
      <c r="AY2734" s="6" t="s">
        <v>23570</v>
      </c>
      <c r="AZ2734" s="6" t="s">
        <v>81</v>
      </c>
      <c r="BA2734" s="6" t="s">
        <v>81</v>
      </c>
      <c r="BB2734" s="24" t="n">
        <v>58</v>
      </c>
      <c r="BC2734" s="26"/>
      <c r="BD2734" s="26"/>
      <c r="BE2734" s="26"/>
      <c r="BF2734" s="26"/>
      <c r="BG2734" s="26"/>
      <c r="BH2734" s="26"/>
      <c r="BI2734" s="26"/>
      <c r="BJ2734" s="26"/>
      <c r="BK2734" s="26"/>
      <c r="BL2734" s="26"/>
      <c r="BM2734" s="26"/>
      <c r="BN2734" s="26"/>
      <c r="BO2734" s="26"/>
      <c r="BP2734" s="16" t="n">
        <v>45738</v>
      </c>
      <c r="BQ2734" s="28" t="str">
        <f>HYPERLINK("https://organic.ams.usda.gov/Integrity/Certificate.aspx?cid=52&amp;nopid=8432101976")</f>
        <v>https://organic.ams.usda.gov/Integrity/Certificate.aspx?cid=52&amp;nopid=8432101976</v>
      </c>
    </row>
    <row r="2735">
      <c r="A2735" t="s">
        <v>3</v>
      </c>
      <c r="B2735" s="6" t="s">
        <v>10</v>
      </c>
      <c r="C2735" s="6" t="s">
        <v>57</v>
      </c>
      <c r="D2735" s="6" t="s">
        <v>103</v>
      </c>
      <c r="E2735" s="10" t="s">
        <v>2876</v>
      </c>
      <c r="F2735" s="6" t="s">
        <v>5579</v>
      </c>
      <c r="G2735" s="6" t="s">
        <v>81</v>
      </c>
      <c r="H2735" s="6" t="s">
        <v>8375</v>
      </c>
      <c r="I2735" s="6" t="s">
        <v>9658</v>
      </c>
      <c r="J2735" s="6" t="s">
        <v>10879</v>
      </c>
      <c r="K2735" s="6" t="s">
        <v>10886</v>
      </c>
      <c r="L2735" s="16" t="n">
        <v>41521</v>
      </c>
      <c r="M2735" s="16" t="n">
        <v>45748</v>
      </c>
      <c r="N2735" s="6" t="s">
        <v>10886</v>
      </c>
      <c r="O2735" s="16" t="n">
        <v>41521</v>
      </c>
      <c r="P2735" s="6" t="s">
        <v>12419</v>
      </c>
      <c r="Q2735" s="6" t="s">
        <v>81</v>
      </c>
      <c r="R2735" s="6" t="s">
        <v>13156</v>
      </c>
      <c r="S2735" s="6" t="s">
        <v>10886</v>
      </c>
      <c r="T2735" s="16" t="n">
        <v>41521</v>
      </c>
      <c r="U2735" s="6" t="s">
        <v>13962</v>
      </c>
      <c r="V2735" s="6" t="s">
        <v>81</v>
      </c>
      <c r="W2735" s="6" t="s">
        <v>81</v>
      </c>
      <c r="X2735" s="6" t="s">
        <v>81</v>
      </c>
      <c r="Y2735" s="21" t="s">
        <v>81</v>
      </c>
      <c r="Z2735" s="6" t="s">
        <v>81</v>
      </c>
      <c r="AA2735" s="6" t="s">
        <v>81</v>
      </c>
      <c r="AB2735" s="6" t="s">
        <v>81</v>
      </c>
      <c r="AC2735" s="6" t="s">
        <v>81</v>
      </c>
      <c r="AD2735" s="21" t="s">
        <v>81</v>
      </c>
      <c r="AE2735" s="6" t="s">
        <v>81</v>
      </c>
      <c r="AF2735" s="6" t="s">
        <v>81</v>
      </c>
      <c r="AG2735" s="6" t="s">
        <v>81</v>
      </c>
      <c r="AH2735" s="6" t="s">
        <v>17267</v>
      </c>
      <c r="AI2735" s="6" t="s">
        <v>81</v>
      </c>
      <c r="AJ2735" s="6" t="s">
        <v>18370</v>
      </c>
      <c r="AK2735" s="6" t="s">
        <v>18391</v>
      </c>
      <c r="AL2735" s="6" t="s">
        <v>18444</v>
      </c>
      <c r="AM2735" s="6" t="s">
        <v>19627</v>
      </c>
      <c r="AN2735" s="6" t="s">
        <v>19707</v>
      </c>
      <c r="AO2735" s="6" t="s">
        <v>20061</v>
      </c>
      <c r="AP2735" s="6" t="s">
        <v>17267</v>
      </c>
      <c r="AQ2735" s="6" t="s">
        <v>81</v>
      </c>
      <c r="AR2735" s="6" t="s">
        <v>18370</v>
      </c>
      <c r="AS2735" s="6" t="s">
        <v>18391</v>
      </c>
      <c r="AT2735" s="6" t="s">
        <v>18444</v>
      </c>
      <c r="AU2735" s="6" t="s">
        <v>19627</v>
      </c>
      <c r="AV2735" s="6" t="s">
        <v>81</v>
      </c>
      <c r="AW2735" s="6" t="s">
        <v>81</v>
      </c>
      <c r="AX2735" s="6" t="s">
        <v>22544</v>
      </c>
      <c r="AY2735" s="6" t="s">
        <v>23571</v>
      </c>
      <c r="AZ2735" s="6" t="s">
        <v>81</v>
      </c>
      <c r="BA2735" s="6" t="s">
        <v>81</v>
      </c>
      <c r="BB2735" s="24" t="n">
        <v>3810</v>
      </c>
      <c r="BC2735" s="26"/>
      <c r="BD2735" s="26"/>
      <c r="BE2735" s="26"/>
      <c r="BF2735" s="26"/>
      <c r="BG2735" s="26"/>
      <c r="BH2735" s="26"/>
      <c r="BI2735" s="26"/>
      <c r="BJ2735" s="26"/>
      <c r="BK2735" s="26"/>
      <c r="BL2735" s="26"/>
      <c r="BM2735" s="26"/>
      <c r="BN2735" s="26"/>
      <c r="BO2735" s="26"/>
      <c r="BP2735" s="16" t="n">
        <v>45730</v>
      </c>
      <c r="BQ2735" s="28" t="str">
        <f>HYPERLINK("https://organic.ams.usda.gov/Integrity/Certificate.aspx?cid=90&amp;nopid=7170020214")</f>
        <v>https://organic.ams.usda.gov/Integrity/Certificate.aspx?cid=90&amp;nopid=7170020214</v>
      </c>
    </row>
    <row r="2736">
      <c r="A2736" t="s">
        <v>3</v>
      </c>
      <c r="B2736" s="6" t="s">
        <v>39</v>
      </c>
      <c r="C2736" s="6" t="s">
        <v>86</v>
      </c>
      <c r="D2736" s="6" t="s">
        <v>131</v>
      </c>
      <c r="E2736" s="10" t="s">
        <v>2877</v>
      </c>
      <c r="F2736" s="6" t="s">
        <v>5580</v>
      </c>
      <c r="G2736" s="6" t="s">
        <v>5890</v>
      </c>
      <c r="H2736" s="6" t="s">
        <v>8376</v>
      </c>
      <c r="I2736" s="6" t="s">
        <v>8589</v>
      </c>
      <c r="J2736" s="6" t="s">
        <v>9763</v>
      </c>
      <c r="K2736" s="6" t="s">
        <v>10886</v>
      </c>
      <c r="L2736" s="16" t="n">
        <v>39235</v>
      </c>
      <c r="M2736" s="16" t="n">
        <v>45292</v>
      </c>
      <c r="N2736" s="6" t="s">
        <v>10886</v>
      </c>
      <c r="O2736" s="16" t="n">
        <v>38870</v>
      </c>
      <c r="P2736" s="6" t="s">
        <v>12420</v>
      </c>
      <c r="Q2736" s="6" t="s">
        <v>81</v>
      </c>
      <c r="R2736" s="6" t="s">
        <v>8376</v>
      </c>
      <c r="S2736" s="6" t="s">
        <v>10886</v>
      </c>
      <c r="T2736" s="16" t="n">
        <v>38870</v>
      </c>
      <c r="U2736" s="6" t="s">
        <v>13963</v>
      </c>
      <c r="V2736" s="6" t="s">
        <v>81</v>
      </c>
      <c r="W2736" s="6" t="s">
        <v>8376</v>
      </c>
      <c r="X2736" s="6" t="s">
        <v>81</v>
      </c>
      <c r="Y2736" s="21" t="s">
        <v>81</v>
      </c>
      <c r="Z2736" s="6" t="s">
        <v>81</v>
      </c>
      <c r="AA2736" s="6" t="s">
        <v>81</v>
      </c>
      <c r="AB2736" s="6" t="s">
        <v>81</v>
      </c>
      <c r="AC2736" s="6" t="s">
        <v>81</v>
      </c>
      <c r="AD2736" s="21" t="s">
        <v>81</v>
      </c>
      <c r="AE2736" s="6" t="s">
        <v>81</v>
      </c>
      <c r="AF2736" s="6" t="s">
        <v>81</v>
      </c>
      <c r="AG2736" s="6" t="s">
        <v>81</v>
      </c>
      <c r="AH2736" s="6" t="s">
        <v>17268</v>
      </c>
      <c r="AI2736" s="6" t="s">
        <v>81</v>
      </c>
      <c r="AJ2736" s="6" t="s">
        <v>18371</v>
      </c>
      <c r="AK2736" s="6" t="s">
        <v>18414</v>
      </c>
      <c r="AL2736" s="6" t="s">
        <v>18444</v>
      </c>
      <c r="AM2736" s="6" t="s">
        <v>19628</v>
      </c>
      <c r="AN2736" s="6" t="s">
        <v>19717</v>
      </c>
      <c r="AO2736" s="6" t="s">
        <v>19763</v>
      </c>
      <c r="AP2736" s="6" t="s">
        <v>81</v>
      </c>
      <c r="AQ2736" s="6" t="s">
        <v>81</v>
      </c>
      <c r="AR2736" s="6" t="s">
        <v>81</v>
      </c>
      <c r="AS2736" s="6" t="s">
        <v>81</v>
      </c>
      <c r="AT2736" s="6" t="s">
        <v>81</v>
      </c>
      <c r="AU2736" s="6" t="s">
        <v>81</v>
      </c>
      <c r="AV2736" s="6" t="s">
        <v>81</v>
      </c>
      <c r="AW2736" s="6" t="s">
        <v>81</v>
      </c>
      <c r="AX2736" s="6" t="s">
        <v>22545</v>
      </c>
      <c r="AY2736" s="6" t="s">
        <v>81</v>
      </c>
      <c r="AZ2736" s="6" t="s">
        <v>81</v>
      </c>
      <c r="BA2736" s="6" t="s">
        <v>81</v>
      </c>
      <c r="BB2736" s="24" t="n">
        <v>273</v>
      </c>
      <c r="BC2736" s="26"/>
      <c r="BD2736" s="26"/>
      <c r="BE2736" s="26"/>
      <c r="BF2736" s="26"/>
      <c r="BG2736" s="26"/>
      <c r="BH2736" s="26"/>
      <c r="BI2736" s="26"/>
      <c r="BJ2736" s="26"/>
      <c r="BK2736" s="26"/>
      <c r="BL2736" s="26"/>
      <c r="BM2736" s="26"/>
      <c r="BN2736" s="26"/>
      <c r="BO2736" s="26"/>
      <c r="BP2736" s="16" t="n">
        <v>45363</v>
      </c>
      <c r="BQ2736" s="28" t="str">
        <f>HYPERLINK("https://organic.ams.usda.gov/Integrity/Certificate.aspx?cid=38&amp;nopid=5100110001")</f>
        <v>https://organic.ams.usda.gov/Integrity/Certificate.aspx?cid=38&amp;nopid=5100110001</v>
      </c>
    </row>
    <row r="2737">
      <c r="A2737" t="s">
        <v>3</v>
      </c>
      <c r="B2737" s="6" t="s">
        <v>20</v>
      </c>
      <c r="C2737" s="6" t="s">
        <v>67</v>
      </c>
      <c r="D2737" s="6" t="s">
        <v>113</v>
      </c>
      <c r="E2737" s="10" t="s">
        <v>2878</v>
      </c>
      <c r="F2737" s="6" t="s">
        <v>5581</v>
      </c>
      <c r="G2737" s="6" t="s">
        <v>81</v>
      </c>
      <c r="H2737" s="6" t="s">
        <v>8377</v>
      </c>
      <c r="I2737" s="6" t="s">
        <v>9006</v>
      </c>
      <c r="J2737" s="6" t="s">
        <v>10880</v>
      </c>
      <c r="K2737" s="6" t="s">
        <v>10886</v>
      </c>
      <c r="L2737" s="16" t="n">
        <v>43186</v>
      </c>
      <c r="M2737" s="16" t="n">
        <v>45910</v>
      </c>
      <c r="N2737" s="6" t="s">
        <v>81</v>
      </c>
      <c r="O2737" s="21" t="s">
        <v>81</v>
      </c>
      <c r="P2737" s="6" t="s">
        <v>81</v>
      </c>
      <c r="Q2737" s="6" t="s">
        <v>81</v>
      </c>
      <c r="R2737" s="6" t="s">
        <v>81</v>
      </c>
      <c r="S2737" s="6" t="s">
        <v>81</v>
      </c>
      <c r="T2737" s="21" t="s">
        <v>81</v>
      </c>
      <c r="U2737" s="6" t="s">
        <v>81</v>
      </c>
      <c r="V2737" s="6" t="s">
        <v>81</v>
      </c>
      <c r="W2737" s="6" t="s">
        <v>81</v>
      </c>
      <c r="X2737" s="6" t="s">
        <v>81</v>
      </c>
      <c r="Y2737" s="21" t="s">
        <v>81</v>
      </c>
      <c r="Z2737" s="6" t="s">
        <v>81</v>
      </c>
      <c r="AA2737" s="6" t="s">
        <v>81</v>
      </c>
      <c r="AB2737" s="6" t="s">
        <v>81</v>
      </c>
      <c r="AC2737" s="6" t="s">
        <v>10886</v>
      </c>
      <c r="AD2737" s="16" t="n">
        <v>43186</v>
      </c>
      <c r="AE2737" s="6" t="s">
        <v>14501</v>
      </c>
      <c r="AF2737" s="6" t="s">
        <v>81</v>
      </c>
      <c r="AG2737" s="6" t="s">
        <v>14615</v>
      </c>
      <c r="AH2737" s="6" t="s">
        <v>17269</v>
      </c>
      <c r="AI2737" s="6" t="s">
        <v>81</v>
      </c>
      <c r="AJ2737" s="6" t="s">
        <v>18372</v>
      </c>
      <c r="AK2737" s="6" t="s">
        <v>18414</v>
      </c>
      <c r="AL2737" s="6" t="s">
        <v>18444</v>
      </c>
      <c r="AM2737" s="6" t="s">
        <v>19629</v>
      </c>
      <c r="AN2737" s="6" t="s">
        <v>19660</v>
      </c>
      <c r="AO2737" s="6" t="s">
        <v>20081</v>
      </c>
      <c r="AP2737" s="6" t="s">
        <v>17269</v>
      </c>
      <c r="AQ2737" s="6" t="s">
        <v>81</v>
      </c>
      <c r="AR2737" s="6" t="s">
        <v>18372</v>
      </c>
      <c r="AS2737" s="6" t="s">
        <v>18414</v>
      </c>
      <c r="AT2737" s="6" t="s">
        <v>18444</v>
      </c>
      <c r="AU2737" s="6" t="s">
        <v>19629</v>
      </c>
      <c r="AV2737" s="6" t="s">
        <v>81</v>
      </c>
      <c r="AW2737" s="6" t="s">
        <v>81</v>
      </c>
      <c r="AX2737" s="6" t="s">
        <v>22546</v>
      </c>
      <c r="AY2737" s="6" t="s">
        <v>23572</v>
      </c>
      <c r="AZ2737" s="6" t="s">
        <v>23814</v>
      </c>
      <c r="BA2737" s="6" t="s">
        <v>81</v>
      </c>
      <c r="BB2737" s="6" t="s">
        <v>81</v>
      </c>
      <c r="BC2737" s="26"/>
      <c r="BD2737" s="26"/>
      <c r="BE2737" s="26"/>
      <c r="BF2737" s="26"/>
      <c r="BG2737" s="26"/>
      <c r="BH2737" s="26"/>
      <c r="BI2737" s="26"/>
      <c r="BJ2737" s="26"/>
      <c r="BK2737" s="26"/>
      <c r="BL2737" s="26"/>
      <c r="BM2737" s="26"/>
      <c r="BN2737" s="26"/>
      <c r="BO2737" s="26"/>
      <c r="BP2737" s="16" t="n">
        <v>45737</v>
      </c>
      <c r="BQ2737" s="28" t="str">
        <f>HYPERLINK("https://organic.ams.usda.gov/Integrity/Certificate.aspx?cid=71&amp;nopid=5520379439")</f>
        <v>https://organic.ams.usda.gov/Integrity/Certificate.aspx?cid=71&amp;nopid=5520379439</v>
      </c>
    </row>
    <row r="2738">
      <c r="A2738" t="s">
        <v>3</v>
      </c>
      <c r="B2738" s="6" t="s">
        <v>38</v>
      </c>
      <c r="C2738" s="6" t="s">
        <v>85</v>
      </c>
      <c r="D2738" s="6" t="s">
        <v>130</v>
      </c>
      <c r="E2738" s="10" t="s">
        <v>2879</v>
      </c>
      <c r="F2738" s="6" t="s">
        <v>5582</v>
      </c>
      <c r="G2738" s="6" t="s">
        <v>81</v>
      </c>
      <c r="H2738" s="6" t="s">
        <v>8378</v>
      </c>
      <c r="I2738" s="6" t="s">
        <v>9659</v>
      </c>
      <c r="J2738" s="6" t="s">
        <v>10881</v>
      </c>
      <c r="K2738" s="6" t="s">
        <v>10886</v>
      </c>
      <c r="L2738" s="16" t="n">
        <v>44644</v>
      </c>
      <c r="M2738" s="16" t="n">
        <v>45323</v>
      </c>
      <c r="N2738" s="6" t="s">
        <v>81</v>
      </c>
      <c r="O2738" s="21" t="s">
        <v>81</v>
      </c>
      <c r="P2738" s="6" t="s">
        <v>81</v>
      </c>
      <c r="Q2738" s="6" t="s">
        <v>81</v>
      </c>
      <c r="R2738" s="6" t="s">
        <v>81</v>
      </c>
      <c r="S2738" s="6" t="s">
        <v>81</v>
      </c>
      <c r="T2738" s="21" t="s">
        <v>81</v>
      </c>
      <c r="U2738" s="6" t="s">
        <v>81</v>
      </c>
      <c r="V2738" s="6" t="s">
        <v>81</v>
      </c>
      <c r="W2738" s="6" t="s">
        <v>81</v>
      </c>
      <c r="X2738" s="6" t="s">
        <v>81</v>
      </c>
      <c r="Y2738" s="21" t="s">
        <v>81</v>
      </c>
      <c r="Z2738" s="6" t="s">
        <v>81</v>
      </c>
      <c r="AA2738" s="6" t="s">
        <v>81</v>
      </c>
      <c r="AB2738" s="6" t="s">
        <v>81</v>
      </c>
      <c r="AC2738" s="6" t="s">
        <v>10886</v>
      </c>
      <c r="AD2738" s="16" t="n">
        <v>44644</v>
      </c>
      <c r="AE2738" s="6" t="s">
        <v>14502</v>
      </c>
      <c r="AF2738" s="6" t="s">
        <v>81</v>
      </c>
      <c r="AG2738" s="6" t="s">
        <v>81</v>
      </c>
      <c r="AH2738" s="6" t="s">
        <v>17270</v>
      </c>
      <c r="AI2738" s="6" t="s">
        <v>81</v>
      </c>
      <c r="AJ2738" s="6" t="s">
        <v>10330</v>
      </c>
      <c r="AK2738" s="6" t="s">
        <v>18412</v>
      </c>
      <c r="AL2738" s="6" t="s">
        <v>18444</v>
      </c>
      <c r="AM2738" s="6" t="s">
        <v>19630</v>
      </c>
      <c r="AN2738" s="6" t="s">
        <v>19648</v>
      </c>
      <c r="AO2738" s="6" t="s">
        <v>20082</v>
      </c>
      <c r="AP2738" s="6" t="s">
        <v>17270</v>
      </c>
      <c r="AQ2738" s="6" t="s">
        <v>81</v>
      </c>
      <c r="AR2738" s="6" t="s">
        <v>10330</v>
      </c>
      <c r="AS2738" s="6" t="s">
        <v>18412</v>
      </c>
      <c r="AT2738" s="6" t="s">
        <v>18444</v>
      </c>
      <c r="AU2738" s="6" t="s">
        <v>19630</v>
      </c>
      <c r="AV2738" s="6" t="s">
        <v>81</v>
      </c>
      <c r="AW2738" s="6" t="s">
        <v>81</v>
      </c>
      <c r="AX2738" s="6" t="s">
        <v>22547</v>
      </c>
      <c r="AY2738" s="6" t="s">
        <v>23573</v>
      </c>
      <c r="AZ2738" s="6" t="s">
        <v>23815</v>
      </c>
      <c r="BA2738" s="6" t="s">
        <v>81</v>
      </c>
      <c r="BB2738" s="24" t="n">
        <v>0</v>
      </c>
      <c r="BC2738" s="26"/>
      <c r="BD2738" s="26"/>
      <c r="BE2738" s="26"/>
      <c r="BF2738" s="26"/>
      <c r="BG2738" s="26"/>
      <c r="BH2738" s="26"/>
      <c r="BI2738" s="26"/>
      <c r="BJ2738" s="26"/>
      <c r="BK2738" s="26"/>
      <c r="BL2738" s="26"/>
      <c r="BM2738" s="26"/>
      <c r="BN2738" s="26"/>
      <c r="BO2738" s="26"/>
      <c r="BP2738" s="16" t="n">
        <v>45596</v>
      </c>
      <c r="BQ2738" s="28" t="str">
        <f>HYPERLINK("https://organic.ams.usda.gov/Integrity/Certificate.aspx?cid=33&amp;nopid=2170141169")</f>
        <v>https://organic.ams.usda.gov/Integrity/Certificate.aspx?cid=33&amp;nopid=2170141169</v>
      </c>
    </row>
    <row r="2739">
      <c r="A2739" t="s">
        <v>3</v>
      </c>
      <c r="B2739" s="6" t="s">
        <v>15</v>
      </c>
      <c r="C2739" s="6" t="s">
        <v>62</v>
      </c>
      <c r="D2739" s="6" t="s">
        <v>108</v>
      </c>
      <c r="E2739" s="10" t="s">
        <v>2880</v>
      </c>
      <c r="F2739" s="6" t="s">
        <v>5583</v>
      </c>
      <c r="G2739" s="6" t="s">
        <v>5891</v>
      </c>
      <c r="H2739" s="6" t="s">
        <v>8379</v>
      </c>
      <c r="I2739" s="6" t="s">
        <v>8774</v>
      </c>
      <c r="J2739" s="6" t="s">
        <v>10882</v>
      </c>
      <c r="K2739" s="6" t="s">
        <v>10886</v>
      </c>
      <c r="L2739" s="16" t="n">
        <v>43276</v>
      </c>
      <c r="M2739" s="16" t="n">
        <v>45792</v>
      </c>
      <c r="N2739" s="6" t="s">
        <v>10886</v>
      </c>
      <c r="O2739" s="16" t="n">
        <v>43276</v>
      </c>
      <c r="P2739" s="6" t="s">
        <v>12421</v>
      </c>
      <c r="Q2739" s="6" t="s">
        <v>81</v>
      </c>
      <c r="R2739" s="6" t="s">
        <v>81</v>
      </c>
      <c r="S2739" s="6" t="s">
        <v>10886</v>
      </c>
      <c r="T2739" s="16" t="n">
        <v>43276</v>
      </c>
      <c r="U2739" s="6" t="s">
        <v>13964</v>
      </c>
      <c r="V2739" s="6" t="s">
        <v>81</v>
      </c>
      <c r="W2739" s="6" t="s">
        <v>81</v>
      </c>
      <c r="X2739" s="6" t="s">
        <v>81</v>
      </c>
      <c r="Y2739" s="21" t="s">
        <v>81</v>
      </c>
      <c r="Z2739" s="6" t="s">
        <v>81</v>
      </c>
      <c r="AA2739" s="6" t="s">
        <v>81</v>
      </c>
      <c r="AB2739" s="6" t="s">
        <v>81</v>
      </c>
      <c r="AC2739" s="6" t="s">
        <v>81</v>
      </c>
      <c r="AD2739" s="21" t="s">
        <v>81</v>
      </c>
      <c r="AE2739" s="6" t="s">
        <v>81</v>
      </c>
      <c r="AF2739" s="6" t="s">
        <v>81</v>
      </c>
      <c r="AG2739" s="6" t="s">
        <v>81</v>
      </c>
      <c r="AH2739" s="6" t="s">
        <v>17271</v>
      </c>
      <c r="AI2739" s="6" t="s">
        <v>81</v>
      </c>
      <c r="AJ2739" s="6" t="s">
        <v>18373</v>
      </c>
      <c r="AK2739" s="6" t="s">
        <v>18378</v>
      </c>
      <c r="AL2739" s="6" t="s">
        <v>18444</v>
      </c>
      <c r="AM2739" s="6" t="s">
        <v>19631</v>
      </c>
      <c r="AN2739" s="6" t="s">
        <v>19664</v>
      </c>
      <c r="AO2739" s="6" t="s">
        <v>19874</v>
      </c>
      <c r="AP2739" s="6" t="s">
        <v>17271</v>
      </c>
      <c r="AQ2739" s="6" t="s">
        <v>81</v>
      </c>
      <c r="AR2739" s="6" t="s">
        <v>18373</v>
      </c>
      <c r="AS2739" s="6" t="s">
        <v>18378</v>
      </c>
      <c r="AT2739" s="6" t="s">
        <v>18444</v>
      </c>
      <c r="AU2739" s="6" t="s">
        <v>19631</v>
      </c>
      <c r="AV2739" s="6" t="s">
        <v>81</v>
      </c>
      <c r="AW2739" s="6" t="s">
        <v>81</v>
      </c>
      <c r="AX2739" s="6" t="s">
        <v>22548</v>
      </c>
      <c r="AY2739" s="6" t="s">
        <v>23574</v>
      </c>
      <c r="AZ2739" s="6" t="s">
        <v>81</v>
      </c>
      <c r="BA2739" s="6" t="s">
        <v>81</v>
      </c>
      <c r="BB2739" s="24" t="n">
        <v>386</v>
      </c>
      <c r="BC2739" s="26"/>
      <c r="BD2739" s="26"/>
      <c r="BE2739" s="26"/>
      <c r="BF2739" s="26" t="s">
        <v>23900</v>
      </c>
      <c r="BG2739" s="26"/>
      <c r="BH2739" s="26"/>
      <c r="BI2739" s="26"/>
      <c r="BJ2739" s="26"/>
      <c r="BK2739" s="26"/>
      <c r="BL2739" s="26"/>
      <c r="BM2739" s="26"/>
      <c r="BN2739" s="26"/>
      <c r="BO2739" s="26"/>
      <c r="BP2739" s="16" t="n">
        <v>45737</v>
      </c>
      <c r="BQ2739" s="28" t="str">
        <f>HYPERLINK("https://organic.ams.usda.gov/Integrity/Certificate.aspx?cid=58&amp;nopid=1600003189")</f>
        <v>https://organic.ams.usda.gov/Integrity/Certificate.aspx?cid=58&amp;nopid=1600003189</v>
      </c>
    </row>
    <row r="2740">
      <c r="A2740" t="s">
        <v>3</v>
      </c>
      <c r="B2740" s="6" t="s">
        <v>8</v>
      </c>
      <c r="C2740" s="6" t="s">
        <v>55</v>
      </c>
      <c r="D2740" s="6" t="s">
        <v>101</v>
      </c>
      <c r="E2740" s="10" t="s">
        <v>2881</v>
      </c>
      <c r="F2740" s="6" t="s">
        <v>5584</v>
      </c>
      <c r="G2740" s="6" t="s">
        <v>81</v>
      </c>
      <c r="H2740" s="6" t="s">
        <v>8380</v>
      </c>
      <c r="I2740" s="6" t="s">
        <v>8562</v>
      </c>
      <c r="J2740" s="6" t="s">
        <v>10883</v>
      </c>
      <c r="K2740" s="6" t="s">
        <v>10886</v>
      </c>
      <c r="L2740" s="16" t="n">
        <v>39456</v>
      </c>
      <c r="M2740" s="16" t="n">
        <v>45689</v>
      </c>
      <c r="N2740" s="6" t="s">
        <v>10886</v>
      </c>
      <c r="O2740" s="16" t="n">
        <v>39456</v>
      </c>
      <c r="P2740" s="6" t="s">
        <v>12422</v>
      </c>
      <c r="Q2740" s="6" t="s">
        <v>81</v>
      </c>
      <c r="R2740" s="6" t="s">
        <v>8380</v>
      </c>
      <c r="S2740" s="6" t="s">
        <v>10886</v>
      </c>
      <c r="T2740" s="16" t="n">
        <v>39456</v>
      </c>
      <c r="U2740" s="6" t="s">
        <v>13179</v>
      </c>
      <c r="V2740" s="6" t="s">
        <v>81</v>
      </c>
      <c r="W2740" s="6" t="s">
        <v>8380</v>
      </c>
      <c r="X2740" s="6" t="s">
        <v>81</v>
      </c>
      <c r="Y2740" s="21" t="s">
        <v>81</v>
      </c>
      <c r="Z2740" s="6" t="s">
        <v>81</v>
      </c>
      <c r="AA2740" s="6" t="s">
        <v>81</v>
      </c>
      <c r="AB2740" s="6" t="s">
        <v>81</v>
      </c>
      <c r="AC2740" s="6" t="s">
        <v>81</v>
      </c>
      <c r="AD2740" s="21" t="s">
        <v>81</v>
      </c>
      <c r="AE2740" s="6" t="s">
        <v>81</v>
      </c>
      <c r="AF2740" s="6" t="s">
        <v>81</v>
      </c>
      <c r="AG2740" s="6" t="s">
        <v>81</v>
      </c>
      <c r="AH2740" s="6" t="s">
        <v>17272</v>
      </c>
      <c r="AI2740" s="6" t="s">
        <v>81</v>
      </c>
      <c r="AJ2740" s="6" t="s">
        <v>18374</v>
      </c>
      <c r="AK2740" s="6" t="s">
        <v>18381</v>
      </c>
      <c r="AL2740" s="6" t="s">
        <v>18444</v>
      </c>
      <c r="AM2740" s="6" t="s">
        <v>19632</v>
      </c>
      <c r="AN2740" s="6" t="s">
        <v>6817</v>
      </c>
      <c r="AO2740" s="6" t="s">
        <v>20083</v>
      </c>
      <c r="AP2740" s="6" t="s">
        <v>81</v>
      </c>
      <c r="AQ2740" s="6" t="s">
        <v>81</v>
      </c>
      <c r="AR2740" s="6" t="s">
        <v>81</v>
      </c>
      <c r="AS2740" s="6" t="s">
        <v>81</v>
      </c>
      <c r="AT2740" s="6" t="s">
        <v>81</v>
      </c>
      <c r="AU2740" s="6" t="s">
        <v>81</v>
      </c>
      <c r="AV2740" s="6" t="s">
        <v>81</v>
      </c>
      <c r="AW2740" s="6" t="s">
        <v>81</v>
      </c>
      <c r="AX2740" s="6" t="s">
        <v>22549</v>
      </c>
      <c r="AY2740" s="6" t="s">
        <v>23575</v>
      </c>
      <c r="AZ2740" s="6" t="s">
        <v>23816</v>
      </c>
      <c r="BA2740" s="6" t="s">
        <v>23819</v>
      </c>
      <c r="BB2740" s="24" t="n">
        <v>394</v>
      </c>
      <c r="BC2740" s="26"/>
      <c r="BD2740" s="26"/>
      <c r="BE2740" s="26"/>
      <c r="BF2740" s="26" t="s">
        <v>23900</v>
      </c>
      <c r="BG2740" s="26"/>
      <c r="BH2740" s="26"/>
      <c r="BI2740" s="26"/>
      <c r="BJ2740" s="26"/>
      <c r="BK2740" s="26"/>
      <c r="BL2740" s="26"/>
      <c r="BM2740" s="26"/>
      <c r="BN2740" s="26"/>
      <c r="BO2740" s="26"/>
      <c r="BP2740" s="16" t="n">
        <v>45709</v>
      </c>
      <c r="BQ2740" s="28" t="str">
        <f>HYPERLINK("https://organic.ams.usda.gov/Integrity/Certificate.aspx?cid=45&amp;nopid=9950002895")</f>
        <v>https://organic.ams.usda.gov/Integrity/Certificate.aspx?cid=45&amp;nopid=9950002895</v>
      </c>
    </row>
  </sheetData>
  <conditionalFormatting sqref="A1:D1" pivot="false">
    <cfRule priority="0" type="colorScale">
      <colorScale>
        <cfvo type="min"/>
        <cfvo val="50" type="percentile"/>
        <cfvo type="max"/>
        <color rgb="FF63BE7B"/>
        <color rgb="FFFFEB84"/>
        <color rgb="FFF8696B"/>
      </colorScale>
    </cfRule>
  </conditionalFormatting>
  <pageMargins bottom="0.75" footer="0.3" header="0.3" left="0.6999999999999998" right="0.6999999999999998" top="0.75"/>
</worksheet>
</file>

<file path=docProps/core.xml><?xml version="1.0" encoding="utf-8"?>
<cp:coreProperties xmlns:dc="http://purl.org/dc/elements/1.1/" xmlns:cp="http://schemas.openxmlformats.org/package/2006/metadata/core-properties">
  <dc:creator>USDA/AMS/NOP</dc:creator>
</cp:coreProperties>
</file>